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9.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codeName="ThisWorkbook" autoCompressPictures="0"/>
  <mc:AlternateContent xmlns:mc="http://schemas.openxmlformats.org/markup-compatibility/2006">
    <mc:Choice Requires="x15">
      <x15ac:absPath xmlns:x15ac="http://schemas.microsoft.com/office/spreadsheetml/2010/11/ac" url="C:\Users\WubinWang\Downloads\"/>
    </mc:Choice>
  </mc:AlternateContent>
  <xr:revisionPtr revIDLastSave="0" documentId="13_ncr:1_{747CB958-D482-419C-A824-F6A26447A7DE}" xr6:coauthVersionLast="47" xr6:coauthVersionMax="47" xr10:uidLastSave="{00000000-0000-0000-0000-000000000000}"/>
  <workbookProtection workbookAlgorithmName="SHA-512" workbookHashValue="b+MirVK01DCTvsCU9y7fP25bI7uUqi+KdI3ZGE8YxGgNy4EqaaT226YeSnnSUJb6UfvQh2b0yT+mXy8rMeG2jg==" workbookSaltValue="DY8B3Op4I7nQpnoYqGopwg==" workbookSpinCount="100000" lockStructure="1"/>
  <bookViews>
    <workbookView xWindow="28680" yWindow="-120" windowWidth="29040" windowHeight="15720" tabRatio="468" xr2:uid="{00000000-000D-0000-FFFF-FFFF00000000}"/>
  </bookViews>
  <sheets>
    <sheet name="Design Converter" sheetId="1" r:id="rId1"/>
    <sheet name="Stability Calculations" sheetId="29" state="hidden" r:id="rId2"/>
    <sheet name="Variable Mgmt" sheetId="2" state="hidden" r:id="rId3"/>
    <sheet name="Parameters" sheetId="19" state="hidden" r:id="rId4"/>
    <sheet name="Calculations - Single" sheetId="24" state="hidden" r:id="rId5"/>
    <sheet name="Calculations - Dual" sheetId="25" state="hidden" r:id="rId6"/>
    <sheet name="Fsw vs VIN" sheetId="23" state="hidden" r:id="rId7"/>
    <sheet name="BOM &amp; Schematic" sheetId="16" r:id="rId8"/>
    <sheet name="EVMs" sheetId="14"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Mgmt'!$B$82</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DserR">Parameters!$D$50</definedName>
    <definedName name="BODE_TYPE">'Variable Mgmt'!$Q$20</definedName>
    <definedName name="Cb">'Variable Mgmt'!$B$186</definedName>
    <definedName name="Ccomp">'Stability Calculations'!$D$38</definedName>
    <definedName name="Chf">'Stability Calculations'!$D$39</definedName>
    <definedName name="Cin" localSheetId="3">Parameters!$D$30</definedName>
    <definedName name="Cin">'Variable Mgmt'!$B$152</definedName>
    <definedName name="CinEsrMax">'Variable Mgmt'!$B$154</definedName>
    <definedName name="Cinmin">'Variable Mgmt'!$B$150</definedName>
    <definedName name="CONFIG">'Variable Mgmt'!$C$74</definedName>
    <definedName name="Coss">Parameters!$D$45</definedName>
    <definedName name="Cout" localSheetId="3">Parameters!$D$32</definedName>
    <definedName name="Cout">'Variable Mgmt'!$B$127</definedName>
    <definedName name="Cout_pri">'Stability Calculations'!$B$27</definedName>
    <definedName name="Cout_sec">'Stability Calculations'!$B$25</definedName>
    <definedName name="Cout_Voltage_Rating">'Variable Mgmt'!$S$76</definedName>
    <definedName name="Cout2">'Variable Mgmt'!$B$137</definedName>
    <definedName name="CoutEsr">'Variable Mgmt'!$B$129</definedName>
    <definedName name="CoutEsr2">'Variable Mgmt'!$B$139</definedName>
    <definedName name="Css">'Variable Mgmt'!$B$166</definedName>
    <definedName name="Css_u">'Variable Mgmt'!$B$167</definedName>
    <definedName name="Csw">Parameters!$D$46</definedName>
    <definedName name="Diode_TC">'Variable Mgmt'!$B$197</definedName>
    <definedName name="Don_Vinmax">'Variable Mgmt'!$B$86</definedName>
    <definedName name="Don_Vinmin">'Variable Mgmt'!$B$83</definedName>
    <definedName name="Don_Vinnom">'Variable Mgmt'!$B$85</definedName>
    <definedName name="EFF_DUAL">'Efficiency Plots'!$B$7</definedName>
    <definedName name="EFF_SINGLE">'Efficiency Plots'!$B$5</definedName>
    <definedName name="Efficiency">'Variable Mgmt'!$B$39</definedName>
    <definedName name="Fco_desire">'Design Converter'!$E$58</definedName>
    <definedName name="Fsw" localSheetId="3">Parameters!$D$20</definedName>
    <definedName name="Fsw_DCM">'Variable Mgmt'!$B$61</definedName>
    <definedName name="Fsw_DUAL">'Fsw Plots'!$B$7</definedName>
    <definedName name="Fsw_max">Parameters!$D$21</definedName>
    <definedName name="Fsw_SINGLE">'Fsw Plots'!$B$5</definedName>
    <definedName name="gmEA">'Stability Calculations'!$D$31</definedName>
    <definedName name="Icinrms">'Variable Mgmt'!$B$149</definedName>
    <definedName name="Icoutrms">'Variable Mgmt'!$B$121</definedName>
    <definedName name="Iin_Vinmax">'Variable Mgmt'!$B$47</definedName>
    <definedName name="Iin_Vinmin">'Variable Mgmt'!$B$43</definedName>
    <definedName name="Iin_Vinnom">'Variable Mgmt'!$B$45</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pkCAL">'Variable Mgmt'!$B$117</definedName>
    <definedName name="IQ">Parameters!$D$39</definedName>
    <definedName name="Iripple">Parameters!$D$19</definedName>
    <definedName name="Iripple_Vinmax" localSheetId="5">'Variable Mgmt'!#REF!</definedName>
    <definedName name="Iripple_Vinmax" localSheetId="10">'Variable Mgmt'!#REF!</definedName>
    <definedName name="Iripple_Vinmin" localSheetId="5">'Variable Mgmt'!#REF!</definedName>
    <definedName name="Iripple_Vinmin" localSheetId="10">'Variable Mgmt'!#REF!</definedName>
    <definedName name="Iripple_Vinnom" localSheetId="5">'Variable Mgmt'!#REF!</definedName>
    <definedName name="Iripple_Vinnom" localSheetId="10">'Variable Mgmt'!#REF!</definedName>
    <definedName name="Iripple1" localSheetId="5">'Variable Mgmt'!#REF!</definedName>
    <definedName name="Iripple1" localSheetId="10">'Variable Mgmt'!#REF!</definedName>
    <definedName name="Iss">'Variable Mgmt'!$B$165</definedName>
    <definedName name="Isw_max">Parameters!$D$35</definedName>
    <definedName name="Isw_min">Parameters!$D$36</definedName>
    <definedName name="Iuvlo_hys">'Variable Mgmt'!$B$176</definedName>
    <definedName name="Iuvlo1">'Variable Mgmt'!$B$174</definedName>
    <definedName name="Iuvlo2">'Variable Mgmt'!$B$175</definedName>
    <definedName name="k_core">Parameters!$D$29</definedName>
    <definedName name="ktr_rcmd">'Variable Mgmt'!$B$88</definedName>
    <definedName name="L">Parameters!$D$26</definedName>
    <definedName name="Lleak">'Variable Mgmt'!$B$97</definedName>
    <definedName name="Lmag">'Variable Mgmt'!$B$96</definedName>
    <definedName name="Lmin">'Variable Mgmt'!$B$110</definedName>
    <definedName name="Lmin_abs">'Variable Mgmt'!$B$111</definedName>
    <definedName name="Ls1_">'Variable Mgmt'!$B$98</definedName>
    <definedName name="Ls2_">'Variable Mgmt'!$B$99</definedName>
    <definedName name="Ltc">'Variable Mgmt'!$B$208</definedName>
    <definedName name="M">'Stability Calculations'!$B$18</definedName>
    <definedName name="max_I">Parameters!$H$109</definedName>
    <definedName name="min_I">Parameters!$H$108</definedName>
    <definedName name="MODE">'Variable Mgmt'!$C$73</definedName>
    <definedName name="MODE_SS">'Variable Mgmt'!$J$78</definedName>
    <definedName name="MODE_TC">'Variable Mgmt'!$G$72</definedName>
    <definedName name="MODE_TOP">'Variable Mgmt'!$B$73</definedName>
    <definedName name="MODE_UVLO">'Variable Mgmt'!$G$78</definedName>
    <definedName name="Npri_sec">'Stability Calculations'!$B$13</definedName>
    <definedName name="Npri_sec1">'Variable Mgmt'!$R$64</definedName>
    <definedName name="Npri_sec2">'Variable Mgmt'!$R$66</definedName>
    <definedName name="Nps">'Variable Mgmt'!$R$63</definedName>
    <definedName name="Nsec1sec2">'Variable Mgmt'!$R$65</definedName>
    <definedName name="OffTime">Parameters!$D$18</definedName>
    <definedName name="OnTime">Parameters!$D$17</definedName>
    <definedName name="Pi">'Variable Mgmt'!$B$189</definedName>
    <definedName name="PICTURE1">INDIRECT('Schematic Mgmt'!$A$2)</definedName>
    <definedName name="PICTURE2">INDIRECT('Fsw Plots'!$A$2)</definedName>
    <definedName name="PICTURE3">INDIRECT('Efficiency Plots'!$A$2)</definedName>
    <definedName name="Pin">'Variable Mgmt'!$B$41</definedName>
    <definedName name="PLOT_TYPE">'Variable Mgmt'!$M$78</definedName>
    <definedName name="pole1">'Stability Calculations'!$Q$4</definedName>
    <definedName name="Pole2">'Stability Calculations'!$I$5</definedName>
    <definedName name="pole3">'Stability Calculations'!$T$3</definedName>
    <definedName name="pole4">'Stability Calculations'!$I$7</definedName>
    <definedName name="Pomax_allowed">'Variable Mgmt'!$B$48</definedName>
    <definedName name="Pout">'Variable Mgmt'!$B$14</definedName>
    <definedName name="Pout_total">'Variable Mgmt'!$B$22</definedName>
    <definedName name="Pout2">'Variable Mgmt'!$B$21</definedName>
    <definedName name="_xlnm.Print_Area" localSheetId="7">'BOM &amp; Schematic'!$A$1:$I$59</definedName>
    <definedName name="_xlnm.Print_Area" localSheetId="0">'Design Converter'!$A$1:$R$87</definedName>
    <definedName name="pterm1">'Stability Calculations'!$T$4</definedName>
    <definedName name="pterm2">'Stability Calculations'!$T$5</definedName>
    <definedName name="Qg">Parameters!$D$44</definedName>
    <definedName name="radconv">'Stability Calculations'!$W$6</definedName>
    <definedName name="RCinEsr" localSheetId="3">Parameters!$D$31</definedName>
    <definedName name="RCinEsr">'Variable Mgmt'!$B$155</definedName>
    <definedName name="Rcomp">'Stability Calculations'!$D$37</definedName>
    <definedName name="RCoutEsr" localSheetId="3">Parameters!$D$33</definedName>
    <definedName name="RCoutEsr">'Variable Mgmt'!$B$129</definedName>
    <definedName name="RCS">'Design Converter'!$E$17</definedName>
    <definedName name="Rcs_gain">'Stability Calculations'!$B$34</definedName>
    <definedName name="RCSmin">'Variable Mgmt'!$B$118</definedName>
    <definedName name="Rdcr_pri">'Variable Mgmt'!$B$101</definedName>
    <definedName name="Rdcr_sec">'Variable Mgmt'!$B$102</definedName>
    <definedName name="Rdcr_sec2">'Variable Mgmt'!$B$103</definedName>
    <definedName name="Rdson">Parameters!$D$41</definedName>
    <definedName name="RdsonTC">Parameters!$D$42</definedName>
    <definedName name="REAout">'Stability Calculations'!$D$32</definedName>
    <definedName name="Rfb">'Variable Mgmt'!$B$63</definedName>
    <definedName name="Rfb_recommend">'Variable Mgmt'!$B$193</definedName>
    <definedName name="Rfb2_u">'Variable Mgmt'!$B$195</definedName>
    <definedName name="Rload_pri">'Stability Calculations'!$B$22</definedName>
    <definedName name="Rload_sec">'Stability Calculations'!$B$21</definedName>
    <definedName name="RON">'Design Converter'!$L$22</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Mgmt'!$B$199</definedName>
    <definedName name="RTC_1">'Variable Mgmt'!$B$198</definedName>
    <definedName name="Ruvlo1">'Variable Mgmt'!$B$181</definedName>
    <definedName name="Ruvlo2">'Variable Mgmt'!$B$182</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3">Parameters!$D$12</definedName>
    <definedName name="Ta">'Variable Mgmt'!$B$206</definedName>
    <definedName name="TC">'Variable Mgmt'!$G$72</definedName>
    <definedName name="Tfall">Parameters!$D$23</definedName>
    <definedName name="ThetaCa">'Variable Mgmt'!$B$209</definedName>
    <definedName name="ThetaJA">Parameters!$D$54</definedName>
    <definedName name="TL">'Variable Mgmt'!$B$117</definedName>
    <definedName name="toff_max">'Variable Mgmt'!$B$109</definedName>
    <definedName name="Toff_Vinmax">'Variable Mgmt'!$B$190</definedName>
    <definedName name="Ton_Vinmin">'Variable Mgmt'!$B$191</definedName>
    <definedName name="Trise">Parameters!$D$22</definedName>
    <definedName name="TrrBot">Parameters!$D$52</definedName>
    <definedName name="Tss">'Variable Mgmt'!$B$164</definedName>
    <definedName name="Tsw">'Stability Calculations'!$B$19</definedName>
    <definedName name="Turns_Ratio">'Variable Mgmt'!$S$61</definedName>
    <definedName name="Turns_Ratio2">'Variable Mgmt'!$W$61</definedName>
    <definedName name="Vdd">Parameters!$D$13</definedName>
    <definedName name="Vds_req">'Design Converter'!$E$24</definedName>
    <definedName name="Vfwd1">Parameters!$D$48</definedName>
    <definedName name="Vfwd2">Parameters!$D$49</definedName>
    <definedName name="Vfwd22">'Variable Mgmt'!$L$106</definedName>
    <definedName name="Vin">'Design Converter'!$E$7</definedName>
    <definedName name="Vin_eff">'Stability Calculations'!$B$16</definedName>
    <definedName name="VIN_max">'Variable Mgmt'!$B$9</definedName>
    <definedName name="VIN_min">'Variable Mgmt'!$B$7</definedName>
    <definedName name="VIN_nom">'Variable Mgmt'!$B$8</definedName>
    <definedName name="Vinripple1">'Variable Mgmt'!$B$147</definedName>
    <definedName name="Vinripple2">'Variable Mgmt'!$B$160</definedName>
    <definedName name="VINuvlo_off">'Variable Mgmt'!$B$179</definedName>
    <definedName name="VINuvlo_on">'Variable Mgmt'!$B$178</definedName>
    <definedName name="Vout">'Variable Mgmt'!$B$11</definedName>
    <definedName name="Vout_eff">'Stability Calculations'!$B$14</definedName>
    <definedName name="Vout_ripple">'Variable Mgmt'!$B$35</definedName>
    <definedName name="Vout_ripple2">'Variable Mgmt'!$B$36</definedName>
    <definedName name="Vout2">'Variable Mgmt'!$B$16</definedName>
    <definedName name="Vout2_actual">'Variable Mgmt'!$B$17</definedName>
    <definedName name="Vref">'Variable Mgmt'!$B$62</definedName>
    <definedName name="Vripple1_actual">'Variable Mgmt'!$B$131</definedName>
    <definedName name="Vripple1_spec">'Variable Mgmt'!$B$125</definedName>
    <definedName name="Vripple2_actual">'Variable Mgmt'!$B$141</definedName>
    <definedName name="Vripple2_spec">'Variable Mgmt'!$B$135</definedName>
    <definedName name="VRRM_DIODE">'Variable Mgmt'!$B$28</definedName>
    <definedName name="Vuvlo_hys">'Variable Mgmt'!$B$173</definedName>
    <definedName name="Vuvlo_off">'Variable Mgmt'!$B$172</definedName>
    <definedName name="Vuvlo_on">'Variable Mgmt'!$B$171</definedName>
    <definedName name="z_RHP">'Stability Calculations'!$Q$5</definedName>
    <definedName name="Zero1">'Stability Calculations'!$Q$3</definedName>
    <definedName name="Zero2">'Stability Calculations'!$I$4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63" i="2" l="1"/>
  <c r="V61" i="2" l="1"/>
  <c r="R64" i="2"/>
  <c r="R61" i="2"/>
  <c r="R63" i="2"/>
  <c r="T58" i="2"/>
  <c r="T55" i="2"/>
  <c r="T53" i="2"/>
  <c r="T50" i="2"/>
  <c r="T47" i="2"/>
  <c r="T44" i="2"/>
  <c r="T43" i="2"/>
  <c r="T42" i="2"/>
  <c r="V49" i="2"/>
  <c r="V50" i="2"/>
  <c r="V51" i="2"/>
  <c r="V52" i="2"/>
  <c r="V53" i="2"/>
  <c r="V54" i="2"/>
  <c r="V55" i="2"/>
  <c r="V56" i="2"/>
  <c r="V57" i="2"/>
  <c r="V58" i="2"/>
  <c r="V59" i="2"/>
  <c r="V60" i="2"/>
  <c r="V32" i="2"/>
  <c r="V31" i="2"/>
  <c r="V30" i="2"/>
  <c r="V29" i="2"/>
  <c r="V28" i="2"/>
  <c r="T60" i="2"/>
  <c r="T59" i="2"/>
  <c r="T57" i="2"/>
  <c r="R60" i="2"/>
  <c r="R59" i="2"/>
  <c r="R58" i="2"/>
  <c r="R57" i="2"/>
  <c r="T56" i="2"/>
  <c r="T54" i="2"/>
  <c r="T52" i="2"/>
  <c r="T51" i="2"/>
  <c r="R29" i="2"/>
  <c r="R28" i="2"/>
  <c r="R30" i="2"/>
  <c r="R31" i="2"/>
  <c r="R55" i="2"/>
  <c r="R56" i="2"/>
  <c r="R54" i="2"/>
  <c r="R53" i="2"/>
  <c r="R52" i="2"/>
  <c r="R51" i="2"/>
  <c r="R50" i="2"/>
  <c r="R32" i="2"/>
  <c r="E45" i="1"/>
  <c r="V33" i="2" l="1"/>
  <c r="R33" i="2"/>
  <c r="R49" i="2"/>
  <c r="B29" i="19" l="1"/>
  <c r="U96" i="2" l="1"/>
  <c r="U95" i="2"/>
  <c r="K55" i="16"/>
  <c r="K54" i="16"/>
  <c r="J54" i="16"/>
  <c r="K51" i="16" l="1"/>
  <c r="J51" i="16"/>
  <c r="K53" i="16"/>
  <c r="K52" i="16"/>
  <c r="J53" i="16"/>
  <c r="J52" i="16"/>
  <c r="K38" i="16"/>
  <c r="K37" i="16"/>
  <c r="K36" i="16"/>
  <c r="K35" i="16"/>
  <c r="J38" i="16"/>
  <c r="J37" i="16"/>
  <c r="J35" i="16"/>
  <c r="J36" i="16"/>
  <c r="I38" i="16"/>
  <c r="H38" i="16"/>
  <c r="I36" i="16"/>
  <c r="H36" i="16"/>
  <c r="I35" i="16"/>
  <c r="H35" i="16"/>
  <c r="K44" i="16"/>
  <c r="J44" i="16"/>
  <c r="I44" i="16"/>
  <c r="H44" i="16"/>
  <c r="A44" i="16"/>
  <c r="K43" i="16"/>
  <c r="K46" i="16"/>
  <c r="K42" i="16"/>
  <c r="J43" i="16"/>
  <c r="J41" i="16"/>
  <c r="J42" i="16"/>
  <c r="C54" i="16" l="1"/>
  <c r="C52" i="16"/>
  <c r="D52" i="16" s="1"/>
  <c r="C36" i="16"/>
  <c r="D36" i="16" s="1"/>
  <c r="C35" i="16"/>
  <c r="D35" i="16" s="1"/>
  <c r="K31" i="1" l="1"/>
  <c r="M322" i="25" l="1"/>
  <c r="F322" i="25"/>
  <c r="M77" i="1"/>
  <c r="M74" i="1"/>
  <c r="M73" i="1"/>
  <c r="K77" i="1"/>
  <c r="K75" i="1"/>
  <c r="K74" i="1"/>
  <c r="K73" i="1"/>
  <c r="O325" i="25"/>
  <c r="H325" i="25"/>
  <c r="F322" i="24"/>
  <c r="H325" i="24"/>
  <c r="D75" i="1" l="1"/>
  <c r="D74" i="1"/>
  <c r="D73" i="1"/>
  <c r="D69" i="1"/>
  <c r="D67" i="1"/>
  <c r="N321" i="24" l="1"/>
  <c r="B44" i="19" l="1"/>
  <c r="B23" i="19" s="1"/>
  <c r="B46" i="19"/>
  <c r="L30" i="1"/>
  <c r="S30" i="1"/>
  <c r="L106" i="2"/>
  <c r="E81" i="1"/>
  <c r="K30" i="1"/>
  <c r="K29" i="1"/>
  <c r="B22" i="19" l="1"/>
  <c r="FM5" i="25"/>
  <c r="D48" i="1" l="1"/>
  <c r="D315" i="2" l="1"/>
  <c r="C53" i="16" s="1"/>
  <c r="D53" i="16" s="1"/>
  <c r="B313" i="2"/>
  <c r="D313" i="2" s="1"/>
  <c r="C51" i="16" s="1"/>
  <c r="B311" i="2"/>
  <c r="D311" i="2" s="1"/>
  <c r="B310" i="2"/>
  <c r="D310" i="2" s="1"/>
  <c r="B309" i="2"/>
  <c r="D309" i="2" s="1"/>
  <c r="B137" i="2"/>
  <c r="L23" i="1" l="1"/>
  <c r="E24" i="1"/>
  <c r="C45" i="16" s="1"/>
  <c r="T48" i="2" l="1"/>
  <c r="T46" i="2"/>
  <c r="T45" i="2"/>
  <c r="K14" i="1" l="1"/>
  <c r="CN5" i="25" l="1"/>
  <c r="DP216" i="25"/>
  <c r="DP110" i="25"/>
  <c r="CN105" i="25"/>
  <c r="CN104" i="25"/>
  <c r="CN103" i="25"/>
  <c r="CN102" i="25"/>
  <c r="CN101" i="25"/>
  <c r="CN100" i="25"/>
  <c r="CN99" i="25"/>
  <c r="CN98" i="25"/>
  <c r="CN97" i="25"/>
  <c r="CN96" i="25"/>
  <c r="CN95" i="25"/>
  <c r="CN94" i="25"/>
  <c r="CN93" i="25"/>
  <c r="CN92" i="25"/>
  <c r="CN91" i="25"/>
  <c r="CN90" i="25"/>
  <c r="CN89" i="25"/>
  <c r="CN88" i="25"/>
  <c r="CN87" i="25"/>
  <c r="CN86" i="25"/>
  <c r="CN85" i="25"/>
  <c r="CN84" i="25"/>
  <c r="CN83" i="25"/>
  <c r="CN82" i="25"/>
  <c r="CN81" i="25"/>
  <c r="CN80" i="25"/>
  <c r="CN79" i="25"/>
  <c r="CN78" i="25"/>
  <c r="CN77" i="25"/>
  <c r="CN76" i="25"/>
  <c r="CN75" i="25"/>
  <c r="CN74" i="25"/>
  <c r="CN73" i="25"/>
  <c r="CN72" i="25"/>
  <c r="CN71" i="25"/>
  <c r="CN70" i="25"/>
  <c r="CN69" i="25"/>
  <c r="CN68" i="25"/>
  <c r="CN67" i="25"/>
  <c r="CN66" i="25"/>
  <c r="CN65" i="25"/>
  <c r="CN64" i="25"/>
  <c r="CN63" i="25"/>
  <c r="CN62" i="25"/>
  <c r="CN61" i="25"/>
  <c r="CN60" i="25"/>
  <c r="CN59" i="25"/>
  <c r="CN58" i="25"/>
  <c r="CN57" i="25"/>
  <c r="CN56" i="25"/>
  <c r="CN55" i="25"/>
  <c r="CN54" i="25"/>
  <c r="CN53" i="25"/>
  <c r="CN52" i="25"/>
  <c r="CN51" i="25"/>
  <c r="CN50" i="25"/>
  <c r="CN49" i="25"/>
  <c r="CN48" i="25"/>
  <c r="CN47" i="25"/>
  <c r="CN46" i="25"/>
  <c r="CN45" i="25"/>
  <c r="CN44" i="25"/>
  <c r="CN43" i="25"/>
  <c r="CN42" i="25"/>
  <c r="CN41" i="25"/>
  <c r="CN40" i="25"/>
  <c r="CN39" i="25"/>
  <c r="CN38" i="25"/>
  <c r="CN37" i="25"/>
  <c r="CN36" i="25"/>
  <c r="CN35" i="25"/>
  <c r="CN34" i="25"/>
  <c r="CN33" i="25"/>
  <c r="CN32" i="25"/>
  <c r="CN31" i="25"/>
  <c r="CN30" i="25"/>
  <c r="CN29" i="25"/>
  <c r="CN28" i="25"/>
  <c r="CN27" i="25"/>
  <c r="CN26" i="25"/>
  <c r="CN25" i="25"/>
  <c r="CN24" i="25"/>
  <c r="CN23" i="25"/>
  <c r="CN22" i="25"/>
  <c r="CN21" i="25"/>
  <c r="CN20" i="25"/>
  <c r="CN19" i="25"/>
  <c r="CN18" i="25"/>
  <c r="CN17" i="25"/>
  <c r="CN16" i="25"/>
  <c r="CN15" i="25"/>
  <c r="CN14" i="25"/>
  <c r="CN13" i="25"/>
  <c r="CN12" i="25"/>
  <c r="CN11" i="25"/>
  <c r="CN10" i="25"/>
  <c r="CN9" i="25"/>
  <c r="CN8" i="25"/>
  <c r="CN7" i="25"/>
  <c r="CN6" i="25"/>
  <c r="DP5" i="25"/>
  <c r="DQ216" i="24" l="1"/>
  <c r="DQ110" i="24"/>
  <c r="CR108" i="24"/>
  <c r="CM105" i="24"/>
  <c r="CM104" i="24"/>
  <c r="CM103" i="24"/>
  <c r="CM102" i="24"/>
  <c r="CM101" i="24"/>
  <c r="CM100" i="24"/>
  <c r="CM99" i="24"/>
  <c r="CM98" i="24"/>
  <c r="CM97" i="24"/>
  <c r="CM96" i="24"/>
  <c r="CM95" i="24"/>
  <c r="CM94" i="24"/>
  <c r="CM93" i="24"/>
  <c r="CM92" i="24"/>
  <c r="CM91" i="24"/>
  <c r="CM90" i="24"/>
  <c r="CM89" i="24"/>
  <c r="CM88" i="24"/>
  <c r="CM87" i="24"/>
  <c r="CM86" i="24"/>
  <c r="CM85" i="24"/>
  <c r="CM84" i="24"/>
  <c r="CM83" i="24"/>
  <c r="CM82" i="24"/>
  <c r="CM81" i="24"/>
  <c r="CM80" i="24"/>
  <c r="CM79" i="24"/>
  <c r="CM78" i="24"/>
  <c r="CM77" i="24"/>
  <c r="CM76" i="24"/>
  <c r="CM75" i="24"/>
  <c r="CM74" i="24"/>
  <c r="CM73" i="24"/>
  <c r="CM72" i="24"/>
  <c r="CM71" i="24"/>
  <c r="CM70" i="24"/>
  <c r="CM69" i="24"/>
  <c r="CM68" i="24"/>
  <c r="CM67" i="24"/>
  <c r="CM66" i="24"/>
  <c r="CM65" i="24"/>
  <c r="CM64" i="24"/>
  <c r="CM63" i="24"/>
  <c r="CM62" i="24"/>
  <c r="CM61" i="24"/>
  <c r="CM60" i="24"/>
  <c r="CM59" i="24"/>
  <c r="CM58" i="24"/>
  <c r="CM57" i="24"/>
  <c r="CM56" i="24"/>
  <c r="CM55" i="24"/>
  <c r="CM54" i="24"/>
  <c r="CM53" i="24"/>
  <c r="CM52" i="24"/>
  <c r="CM51" i="24"/>
  <c r="CM50" i="24"/>
  <c r="CM49" i="24"/>
  <c r="CM48" i="24"/>
  <c r="CM47" i="24"/>
  <c r="CM46" i="24"/>
  <c r="CM45" i="24"/>
  <c r="CM44" i="24"/>
  <c r="CM43" i="24"/>
  <c r="CM42" i="24"/>
  <c r="CM41" i="24"/>
  <c r="CM40" i="24"/>
  <c r="CM39" i="24"/>
  <c r="CM38" i="24"/>
  <c r="CM37" i="24"/>
  <c r="CM36" i="24"/>
  <c r="CM35" i="24"/>
  <c r="CM34" i="24"/>
  <c r="CM33" i="24"/>
  <c r="CM32" i="24"/>
  <c r="CM31" i="24"/>
  <c r="CM30" i="24"/>
  <c r="CM29" i="24"/>
  <c r="CM28" i="24"/>
  <c r="CM27" i="24"/>
  <c r="CM26" i="24"/>
  <c r="CM25" i="24"/>
  <c r="CM24" i="24"/>
  <c r="CM23" i="24"/>
  <c r="CM22" i="24"/>
  <c r="CM21" i="24"/>
  <c r="CM20" i="24"/>
  <c r="CM19" i="24"/>
  <c r="CM18" i="24"/>
  <c r="CM17" i="24"/>
  <c r="CM16" i="24"/>
  <c r="CM15" i="24"/>
  <c r="CM14" i="24"/>
  <c r="CM13" i="24"/>
  <c r="CM12" i="24"/>
  <c r="CM11" i="24"/>
  <c r="CM10" i="24"/>
  <c r="CM9" i="24"/>
  <c r="CM8" i="24"/>
  <c r="CM7" i="24"/>
  <c r="CM6" i="24"/>
  <c r="DQ5" i="24"/>
  <c r="CM5" i="24"/>
  <c r="W63" i="1" l="1"/>
  <c r="B39" i="29"/>
  <c r="B38" i="29"/>
  <c r="B37" i="29"/>
  <c r="D49" i="29"/>
  <c r="D13" i="1" l="1"/>
  <c r="F13" i="1"/>
  <c r="B35" i="19"/>
  <c r="B33" i="29" l="1"/>
  <c r="B34" i="29" s="1"/>
  <c r="B30" i="29"/>
  <c r="R48" i="2" l="1"/>
  <c r="V48" i="2" s="1"/>
  <c r="V47" i="2"/>
  <c r="V46" i="2"/>
  <c r="V45" i="2"/>
  <c r="V44" i="2"/>
  <c r="V43" i="2"/>
  <c r="V41" i="2"/>
  <c r="V39" i="2"/>
  <c r="V38" i="2"/>
  <c r="V37" i="2"/>
  <c r="V36" i="2"/>
  <c r="V35" i="2"/>
  <c r="V34" i="2"/>
  <c r="Q105" i="2"/>
  <c r="R46" i="2"/>
  <c r="R44" i="2"/>
  <c r="R42" i="2"/>
  <c r="R40" i="2"/>
  <c r="R38" i="2"/>
  <c r="D37" i="29" l="1"/>
  <c r="C43" i="29" l="1"/>
  <c r="C42" i="29"/>
  <c r="C41" i="29"/>
  <c r="A43" i="29"/>
  <c r="A42" i="29"/>
  <c r="A41" i="29"/>
  <c r="R36" i="2" l="1"/>
  <c r="B13" i="29"/>
  <c r="R37" i="2"/>
  <c r="R39" i="2"/>
  <c r="R41" i="2"/>
  <c r="R43" i="2"/>
  <c r="R45" i="2"/>
  <c r="R47" i="2"/>
  <c r="B45" i="19"/>
  <c r="B41" i="19"/>
  <c r="D12" i="1"/>
  <c r="F12" i="1"/>
  <c r="B36" i="19"/>
  <c r="L3" i="29" l="1"/>
  <c r="D39" i="29"/>
  <c r="D38" i="29"/>
  <c r="D32" i="29"/>
  <c r="D31" i="29"/>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O3" i="29" l="1"/>
  <c r="I6" i="29"/>
  <c r="I7" i="29"/>
  <c r="S452" i="29" s="1"/>
  <c r="I4" i="29"/>
  <c r="R18" i="29" s="1"/>
  <c r="I5" i="29"/>
  <c r="O4" i="29"/>
  <c r="G626" i="29"/>
  <c r="I636" i="29"/>
  <c r="P14" i="29" l="1"/>
  <c r="P22" i="29"/>
  <c r="O297" i="29"/>
  <c r="P408" i="29"/>
  <c r="O382" i="29"/>
  <c r="O158" i="29"/>
  <c r="P21" i="29"/>
  <c r="P94" i="29"/>
  <c r="P162" i="29"/>
  <c r="O159" i="29"/>
  <c r="P235" i="29"/>
  <c r="Q90" i="29"/>
  <c r="R38" i="29"/>
  <c r="Q283" i="29"/>
  <c r="Q334" i="29"/>
  <c r="R73" i="29"/>
  <c r="R30" i="29"/>
  <c r="R26" i="29"/>
  <c r="Q525" i="29"/>
  <c r="Q59" i="29"/>
  <c r="R22" i="29"/>
  <c r="Q50" i="29"/>
  <c r="R34" i="29"/>
  <c r="Q394" i="29"/>
  <c r="Q627" i="29"/>
  <c r="R46" i="29"/>
  <c r="Q101" i="29"/>
  <c r="Q103" i="29"/>
  <c r="R42" i="29"/>
  <c r="R186" i="29"/>
  <c r="Q88" i="29"/>
  <c r="R85" i="29"/>
  <c r="R217" i="29"/>
  <c r="P150" i="29"/>
  <c r="O193" i="29"/>
  <c r="P261" i="29"/>
  <c r="O453" i="29"/>
  <c r="P107" i="29"/>
  <c r="P201" i="29"/>
  <c r="P230" i="29"/>
  <c r="P465" i="29"/>
  <c r="P76" i="29"/>
  <c r="O202" i="29"/>
  <c r="O295" i="29"/>
  <c r="P511" i="29"/>
  <c r="O162" i="29"/>
  <c r="P226" i="29"/>
  <c r="O359" i="29"/>
  <c r="O574" i="29"/>
  <c r="O125" i="29"/>
  <c r="O223" i="29"/>
  <c r="P314" i="29"/>
  <c r="P43" i="29"/>
  <c r="P97" i="29"/>
  <c r="P125" i="29"/>
  <c r="P223" i="29"/>
  <c r="O329" i="29"/>
  <c r="P19" i="29"/>
  <c r="P69" i="29"/>
  <c r="O110" i="29"/>
  <c r="P79" i="29"/>
  <c r="O140" i="29"/>
  <c r="P156" i="29"/>
  <c r="P161" i="29"/>
  <c r="O238" i="29"/>
  <c r="P27" i="29"/>
  <c r="P73" i="29"/>
  <c r="P135" i="29"/>
  <c r="O114" i="29"/>
  <c r="O156" i="29"/>
  <c r="P83" i="29"/>
  <c r="P147" i="29"/>
  <c r="P116" i="29"/>
  <c r="P160" i="29"/>
  <c r="O165" i="29"/>
  <c r="P165" i="29"/>
  <c r="O135" i="29"/>
  <c r="P196" i="29"/>
  <c r="P177" i="29"/>
  <c r="O178" i="29"/>
  <c r="P202" i="29"/>
  <c r="O199" i="29"/>
  <c r="P199" i="29"/>
  <c r="O228" i="29"/>
  <c r="P252" i="29"/>
  <c r="P233" i="29"/>
  <c r="P289" i="29"/>
  <c r="O255" i="29"/>
  <c r="P284" i="29"/>
  <c r="O298" i="29"/>
  <c r="P320" i="29"/>
  <c r="P374" i="29"/>
  <c r="P401" i="29"/>
  <c r="P435" i="29"/>
  <c r="O475" i="29"/>
  <c r="O560" i="29"/>
  <c r="P561" i="29"/>
  <c r="P41" i="29"/>
  <c r="P33" i="29"/>
  <c r="O18" i="29"/>
  <c r="O64" i="29"/>
  <c r="O66" i="29"/>
  <c r="O39" i="29"/>
  <c r="O608" i="29"/>
  <c r="O603" i="29"/>
  <c r="P586" i="29"/>
  <c r="O582" i="29"/>
  <c r="O598" i="29"/>
  <c r="P562" i="29"/>
  <c r="P581" i="29"/>
  <c r="O562" i="29"/>
  <c r="P559" i="29"/>
  <c r="O580" i="29"/>
  <c r="P567" i="29"/>
  <c r="O539" i="29"/>
  <c r="O530" i="29"/>
  <c r="P525" i="29"/>
  <c r="P555" i="29"/>
  <c r="P535" i="29"/>
  <c r="O513" i="29"/>
  <c r="P512" i="29"/>
  <c r="O512" i="29"/>
  <c r="P507" i="29"/>
  <c r="P534" i="29"/>
  <c r="P498" i="29"/>
  <c r="P497" i="29"/>
  <c r="O493" i="29"/>
  <c r="P496" i="29"/>
  <c r="O496" i="29"/>
  <c r="P474" i="29"/>
  <c r="P483" i="29"/>
  <c r="P538" i="29"/>
  <c r="O473" i="29"/>
  <c r="P491" i="29"/>
  <c r="P475" i="29"/>
  <c r="O463" i="29"/>
  <c r="O459" i="29"/>
  <c r="O427" i="29"/>
  <c r="P458" i="29"/>
  <c r="O458" i="29"/>
  <c r="O426" i="29"/>
  <c r="P441" i="29"/>
  <c r="P409" i="29"/>
  <c r="O441" i="29"/>
  <c r="O409" i="29"/>
  <c r="P428" i="29"/>
  <c r="O391" i="29"/>
  <c r="O428" i="29"/>
  <c r="P394" i="29"/>
  <c r="O420" i="29"/>
  <c r="O386" i="29"/>
  <c r="P397" i="29"/>
  <c r="P440" i="29"/>
  <c r="O414" i="29"/>
  <c r="O444" i="29"/>
  <c r="P388" i="29"/>
  <c r="P426" i="29"/>
  <c r="O376" i="29"/>
  <c r="P387" i="29"/>
  <c r="P358" i="29"/>
  <c r="O358" i="29"/>
  <c r="O326" i="29"/>
  <c r="P349" i="29"/>
  <c r="O357" i="29"/>
  <c r="O325" i="29"/>
  <c r="P356" i="29"/>
  <c r="P324" i="29"/>
  <c r="P355" i="29"/>
  <c r="P323" i="29"/>
  <c r="O331" i="29"/>
  <c r="P302" i="29"/>
  <c r="P338" i="29"/>
  <c r="O302" i="29"/>
  <c r="O373" i="29"/>
  <c r="P305" i="29"/>
  <c r="O344" i="29"/>
  <c r="O339" i="29"/>
  <c r="O288" i="29"/>
  <c r="O335" i="29"/>
  <c r="P283" i="29"/>
  <c r="P277" i="29"/>
  <c r="O252" i="29"/>
  <c r="P37" i="29"/>
  <c r="O22" i="29"/>
  <c r="O95" i="29"/>
  <c r="P30" i="29"/>
  <c r="O99" i="29"/>
  <c r="O43" i="29"/>
  <c r="O604" i="29"/>
  <c r="O599" i="29"/>
  <c r="P582" i="29"/>
  <c r="P604" i="29"/>
  <c r="O597" i="29"/>
  <c r="P558" i="29"/>
  <c r="O578" i="29"/>
  <c r="O558" i="29"/>
  <c r="P571" i="29"/>
  <c r="O571" i="29"/>
  <c r="O563" i="29"/>
  <c r="O535" i="29"/>
  <c r="O526" i="29"/>
  <c r="O591" i="29"/>
  <c r="O544" i="29"/>
  <c r="P531" i="29"/>
  <c r="O509" i="29"/>
  <c r="P508" i="29"/>
  <c r="O508" i="29"/>
  <c r="O556" i="29"/>
  <c r="O523" i="29"/>
  <c r="P494" i="29"/>
  <c r="P493" i="29"/>
  <c r="O489" i="29"/>
  <c r="P492" i="29"/>
  <c r="O492" i="29"/>
  <c r="P470" i="29"/>
  <c r="O482" i="29"/>
  <c r="P504" i="29"/>
  <c r="O469" i="29"/>
  <c r="O481" i="29"/>
  <c r="P471" i="29"/>
  <c r="O499" i="29"/>
  <c r="O455" i="29"/>
  <c r="O423" i="29"/>
  <c r="P454" i="29"/>
  <c r="O454" i="29"/>
  <c r="O422" i="29"/>
  <c r="P437" i="29"/>
  <c r="P405" i="29"/>
  <c r="P60" i="29"/>
  <c r="O26" i="29"/>
  <c r="O112" i="29"/>
  <c r="P34" i="29"/>
  <c r="O36" i="29"/>
  <c r="O600" i="29"/>
  <c r="P606" i="29"/>
  <c r="P578" i="29"/>
  <c r="P596" i="29"/>
  <c r="P592" i="29"/>
  <c r="P600" i="29"/>
  <c r="O581" i="29"/>
  <c r="P556" i="29"/>
  <c r="O570" i="29"/>
  <c r="P568" i="29"/>
  <c r="P560" i="29"/>
  <c r="O531" i="29"/>
  <c r="P552" i="29"/>
  <c r="P551" i="29"/>
  <c r="O540" i="29"/>
  <c r="P527" i="29"/>
  <c r="O505" i="29"/>
  <c r="P573" i="29"/>
  <c r="O579" i="29"/>
  <c r="P540" i="29"/>
  <c r="P522" i="29"/>
  <c r="P490" i="29"/>
  <c r="P489" i="29"/>
  <c r="O485" i="29"/>
  <c r="P488" i="29"/>
  <c r="O488" i="29"/>
  <c r="P466" i="29"/>
  <c r="P479" i="29"/>
  <c r="P499" i="29"/>
  <c r="O465" i="29"/>
  <c r="O476" i="29"/>
  <c r="P467" i="29"/>
  <c r="P459" i="29"/>
  <c r="O451" i="29"/>
  <c r="O419" i="29"/>
  <c r="P450" i="29"/>
  <c r="O450" i="29"/>
  <c r="P464" i="29"/>
  <c r="P433" i="29"/>
  <c r="P495" i="29"/>
  <c r="O433" i="29"/>
  <c r="P472" i="29"/>
  <c r="P416" i="29"/>
  <c r="O383" i="29"/>
  <c r="O416" i="29"/>
  <c r="P386" i="29"/>
  <c r="P410" i="29"/>
  <c r="O378" i="29"/>
  <c r="P389" i="29"/>
  <c r="P432" i="29"/>
  <c r="O397" i="29"/>
  <c r="O432" i="29"/>
  <c r="P380" i="29"/>
  <c r="O400" i="29"/>
  <c r="P412" i="29"/>
  <c r="P379" i="29"/>
  <c r="P350" i="29"/>
  <c r="O350" i="29"/>
  <c r="O318" i="29"/>
  <c r="P341" i="29"/>
  <c r="O349" i="29"/>
  <c r="O317" i="29"/>
  <c r="P348" i="29"/>
  <c r="P316" i="29"/>
  <c r="P347" i="29"/>
  <c r="P315" i="29"/>
  <c r="O323" i="29"/>
  <c r="P294" i="29"/>
  <c r="P333" i="29"/>
  <c r="O294" i="29"/>
  <c r="O356" i="29"/>
  <c r="P326" i="29"/>
  <c r="O327" i="29"/>
  <c r="P321" i="29"/>
  <c r="O280" i="29"/>
  <c r="P307" i="29"/>
  <c r="P275" i="29"/>
  <c r="O273" i="29"/>
  <c r="O244" i="29"/>
  <c r="O62" i="29"/>
  <c r="O30" i="29"/>
  <c r="O120" i="29"/>
  <c r="P38" i="29"/>
  <c r="P18" i="29"/>
  <c r="O59" i="29"/>
  <c r="O596" i="29"/>
  <c r="P602" i="29"/>
  <c r="O610" i="29"/>
  <c r="O589" i="29"/>
  <c r="P591" i="29"/>
  <c r="P587" i="29"/>
  <c r="P579" i="29"/>
  <c r="O552" i="29"/>
  <c r="P569" i="29"/>
  <c r="P563" i="29"/>
  <c r="O553" i="29"/>
  <c r="O527" i="29"/>
  <c r="P547" i="29"/>
  <c r="O541" i="29"/>
  <c r="O536" i="29"/>
  <c r="P523" i="29"/>
  <c r="O567" i="29"/>
  <c r="P536" i="29"/>
  <c r="P530" i="29"/>
  <c r="O519" i="29"/>
  <c r="P518" i="29"/>
  <c r="P486" i="29"/>
  <c r="P485" i="29"/>
  <c r="P546" i="29"/>
  <c r="P484" i="29"/>
  <c r="O484" i="29"/>
  <c r="O494" i="29"/>
  <c r="O478" i="29"/>
  <c r="O486" i="29"/>
  <c r="O518" i="29"/>
  <c r="O472" i="29"/>
  <c r="P463" i="29"/>
  <c r="P455" i="29"/>
  <c r="O447" i="29"/>
  <c r="O415" i="29"/>
  <c r="P446" i="29"/>
  <c r="O446" i="29"/>
  <c r="P461" i="29"/>
  <c r="P429" i="29"/>
  <c r="O461" i="29"/>
  <c r="O429" i="29"/>
  <c r="P460" i="29"/>
  <c r="O412" i="29"/>
  <c r="O379" i="29"/>
  <c r="P407" i="29"/>
  <c r="P382" i="29"/>
  <c r="O406" i="29"/>
  <c r="O460" i="29"/>
  <c r="P385" i="29"/>
  <c r="P431" i="29"/>
  <c r="O393" i="29"/>
  <c r="O424" i="29"/>
  <c r="P376" i="29"/>
  <c r="O396" i="29"/>
  <c r="O408" i="29"/>
  <c r="P375" i="29"/>
  <c r="P346" i="29"/>
  <c r="O346" i="29"/>
  <c r="P369" i="29"/>
  <c r="P337" i="29"/>
  <c r="O345" i="29"/>
  <c r="O313" i="29"/>
  <c r="P344" i="29"/>
  <c r="P312" i="29"/>
  <c r="P343" i="29"/>
  <c r="O368" i="29"/>
  <c r="O316" i="29"/>
  <c r="P290" i="29"/>
  <c r="P325" i="29"/>
  <c r="O290" i="29"/>
  <c r="O351" i="29"/>
  <c r="P318" i="29"/>
  <c r="O320" i="29"/>
  <c r="O308" i="29"/>
  <c r="O276" i="29"/>
  <c r="P303" i="29"/>
  <c r="O307" i="29"/>
  <c r="O272" i="29"/>
  <c r="O240" i="29"/>
  <c r="O69" i="29"/>
  <c r="O46" i="29"/>
  <c r="P130" i="29"/>
  <c r="P48" i="29"/>
  <c r="P26" i="29"/>
  <c r="P66" i="29"/>
  <c r="P611" i="29"/>
  <c r="P598" i="29"/>
  <c r="O594" i="29"/>
  <c r="O585" i="29"/>
  <c r="P588" i="29"/>
  <c r="P577" i="29"/>
  <c r="O576" i="29"/>
  <c r="O547" i="29"/>
  <c r="P564" i="29"/>
  <c r="P557" i="29"/>
  <c r="O549" i="29"/>
  <c r="O546" i="29"/>
  <c r="P541" i="29"/>
  <c r="O537" i="29"/>
  <c r="O532" i="29"/>
  <c r="O575" i="29"/>
  <c r="P548" i="29"/>
  <c r="P526" i="29"/>
  <c r="O524" i="29"/>
  <c r="O515" i="29"/>
  <c r="P514" i="29"/>
  <c r="P482" i="29"/>
  <c r="O522" i="29"/>
  <c r="P528" i="29"/>
  <c r="P521" i="29"/>
  <c r="P544" i="29"/>
  <c r="O474" i="29"/>
  <c r="P477" i="29"/>
  <c r="O483" i="29"/>
  <c r="P513" i="29"/>
  <c r="O468" i="29"/>
  <c r="O487" i="29"/>
  <c r="P451" i="29"/>
  <c r="O443" i="29"/>
  <c r="O411" i="29"/>
  <c r="P442" i="29"/>
  <c r="O442" i="29"/>
  <c r="P457" i="29"/>
  <c r="P425" i="29"/>
  <c r="O457" i="29"/>
  <c r="O425" i="29"/>
  <c r="P456" i="29"/>
  <c r="P404" i="29"/>
  <c r="O375" i="29"/>
  <c r="P406" i="29"/>
  <c r="P378" i="29"/>
  <c r="O402" i="29"/>
  <c r="P415" i="29"/>
  <c r="P381" i="29"/>
  <c r="P424" i="29"/>
  <c r="O389" i="29"/>
  <c r="O418" i="29"/>
  <c r="P372" i="29"/>
  <c r="O392" i="29"/>
  <c r="P403" i="29"/>
  <c r="P371" i="29"/>
  <c r="P342" i="29"/>
  <c r="O342" i="29"/>
  <c r="P365" i="29"/>
  <c r="P370" i="29"/>
  <c r="O341" i="29"/>
  <c r="O370" i="29"/>
  <c r="P340" i="29"/>
  <c r="O372" i="29"/>
  <c r="P339" i="29"/>
  <c r="O363" i="29"/>
  <c r="O315" i="29"/>
  <c r="P286" i="29"/>
  <c r="P317" i="29"/>
  <c r="O286" i="29"/>
  <c r="O340" i="29"/>
  <c r="O309" i="29"/>
  <c r="O319" i="29"/>
  <c r="O304" i="29"/>
  <c r="O364" i="29"/>
  <c r="P299" i="29"/>
  <c r="P293" i="29"/>
  <c r="O268" i="29"/>
  <c r="O236" i="29"/>
  <c r="P25" i="29"/>
  <c r="O89" i="29"/>
  <c r="O55" i="29"/>
  <c r="O57" i="29"/>
  <c r="O31" i="29"/>
  <c r="O611" i="29"/>
  <c r="G624" i="29"/>
  <c r="R624" i="29" s="1"/>
  <c r="O590" i="29"/>
  <c r="O606" i="29"/>
  <c r="P584" i="29"/>
  <c r="O557" i="29"/>
  <c r="O568" i="29"/>
  <c r="P565" i="29"/>
  <c r="O554" i="29"/>
  <c r="P549" i="29"/>
  <c r="O566" i="29"/>
  <c r="O538" i="29"/>
  <c r="P533" i="29"/>
  <c r="O529" i="29"/>
  <c r="P543" i="29"/>
  <c r="O521" i="29"/>
  <c r="P520" i="29"/>
  <c r="O520" i="29"/>
  <c r="P515" i="29"/>
  <c r="O507" i="29"/>
  <c r="P506" i="29"/>
  <c r="O502" i="29"/>
  <c r="O501" i="29"/>
  <c r="P503" i="29"/>
  <c r="O503" i="29"/>
  <c r="P502" i="29"/>
  <c r="O466" i="29"/>
  <c r="P469" i="29"/>
  <c r="O479" i="29"/>
  <c r="O514" i="29"/>
  <c r="O491" i="29"/>
  <c r="O471" i="29"/>
  <c r="P443" i="29"/>
  <c r="O435" i="29"/>
  <c r="O480" i="29"/>
  <c r="P476" i="29"/>
  <c r="O434" i="29"/>
  <c r="P449" i="29"/>
  <c r="P417" i="29"/>
  <c r="O449" i="29"/>
  <c r="O417" i="29"/>
  <c r="P436" i="29"/>
  <c r="O399" i="29"/>
  <c r="O452" i="29"/>
  <c r="P402" i="29"/>
  <c r="P430" i="29"/>
  <c r="O394" i="29"/>
  <c r="O410" i="29"/>
  <c r="P373" i="29"/>
  <c r="P419" i="29"/>
  <c r="O381" i="29"/>
  <c r="P396" i="29"/>
  <c r="P448" i="29"/>
  <c r="O384" i="29"/>
  <c r="P395" i="29"/>
  <c r="P366" i="29"/>
  <c r="O366" i="29"/>
  <c r="O334" i="29"/>
  <c r="P357" i="29"/>
  <c r="O365" i="29"/>
  <c r="O333" i="29"/>
  <c r="P364" i="29"/>
  <c r="P332" i="29"/>
  <c r="P363" i="29"/>
  <c r="P331" i="29"/>
  <c r="O347" i="29"/>
  <c r="P310" i="29"/>
  <c r="P278" i="29"/>
  <c r="O310" i="29"/>
  <c r="O278" i="29"/>
  <c r="O312" i="29"/>
  <c r="O360" i="29"/>
  <c r="P304" i="29"/>
  <c r="O296" i="29"/>
  <c r="O348" i="29"/>
  <c r="P291" i="29"/>
  <c r="P285" i="29"/>
  <c r="O260" i="29"/>
  <c r="P330" i="29"/>
  <c r="O14" i="29"/>
  <c r="O15" i="29"/>
  <c r="P594" i="29"/>
  <c r="O561" i="29"/>
  <c r="P553" i="29"/>
  <c r="O533" i="29"/>
  <c r="P524" i="29"/>
  <c r="P478" i="29"/>
  <c r="O506" i="29"/>
  <c r="P509" i="29"/>
  <c r="O439" i="29"/>
  <c r="P453" i="29"/>
  <c r="O413" i="29"/>
  <c r="O371" i="29"/>
  <c r="P411" i="29"/>
  <c r="P444" i="29"/>
  <c r="P400" i="29"/>
  <c r="O362" i="29"/>
  <c r="P352" i="29"/>
  <c r="P327" i="29"/>
  <c r="P282" i="29"/>
  <c r="O367" i="29"/>
  <c r="P300" i="29"/>
  <c r="O248" i="29"/>
  <c r="O267" i="29"/>
  <c r="P242" i="29"/>
  <c r="P297" i="29"/>
  <c r="O48" i="29"/>
  <c r="O35" i="29"/>
  <c r="P590" i="29"/>
  <c r="O587" i="29"/>
  <c r="P545" i="29"/>
  <c r="O525" i="29"/>
  <c r="O516" i="29"/>
  <c r="P501" i="29"/>
  <c r="O498" i="29"/>
  <c r="O495" i="29"/>
  <c r="O431" i="29"/>
  <c r="P445" i="29"/>
  <c r="O405" i="29"/>
  <c r="O436" i="29"/>
  <c r="O398" i="29"/>
  <c r="P439" i="29"/>
  <c r="P392" i="29"/>
  <c r="P399" i="29"/>
  <c r="O354" i="29"/>
  <c r="O361" i="29"/>
  <c r="P336" i="29"/>
  <c r="P319" i="29"/>
  <c r="P274" i="29"/>
  <c r="O314" i="29"/>
  <c r="P329" i="29"/>
  <c r="P287" i="29"/>
  <c r="O232" i="29"/>
  <c r="P255" i="29"/>
  <c r="O263" i="29"/>
  <c r="P270" i="29"/>
  <c r="P238" i="29"/>
  <c r="O270" i="29"/>
  <c r="O289" i="29"/>
  <c r="P245" i="29"/>
  <c r="O291" i="29"/>
  <c r="O249" i="29"/>
  <c r="P260" i="29"/>
  <c r="O233" i="29"/>
  <c r="P200" i="29"/>
  <c r="O212" i="29"/>
  <c r="O180" i="29"/>
  <c r="P207" i="29"/>
  <c r="P175" i="29"/>
  <c r="O207" i="29"/>
  <c r="O175" i="29"/>
  <c r="P210" i="29"/>
  <c r="O218" i="29"/>
  <c r="O186" i="29"/>
  <c r="P217" i="29"/>
  <c r="P185" i="29"/>
  <c r="O209" i="29"/>
  <c r="O177" i="29"/>
  <c r="P184" i="29"/>
  <c r="O143" i="29"/>
  <c r="P178" i="29"/>
  <c r="P171" i="29"/>
  <c r="P141" i="29"/>
  <c r="P176" i="29"/>
  <c r="O141" i="29"/>
  <c r="P168" i="29"/>
  <c r="P136" i="29"/>
  <c r="O130" i="29"/>
  <c r="P92" i="29"/>
  <c r="P155" i="29"/>
  <c r="P123" i="29"/>
  <c r="P91" i="29"/>
  <c r="P59" i="29"/>
  <c r="O115" i="29"/>
  <c r="P110" i="29"/>
  <c r="P159" i="29"/>
  <c r="O90" i="29"/>
  <c r="P143" i="29"/>
  <c r="P113" i="29"/>
  <c r="P81" i="29"/>
  <c r="P49" i="29"/>
  <c r="O70" i="29"/>
  <c r="O105" i="29"/>
  <c r="O68" i="29"/>
  <c r="O586" i="29"/>
  <c r="O543" i="29"/>
  <c r="P62" i="29"/>
  <c r="P593" i="29"/>
  <c r="O572" i="29"/>
  <c r="O545" i="29"/>
  <c r="O528" i="29"/>
  <c r="P519" i="29"/>
  <c r="P517" i="29"/>
  <c r="O470" i="29"/>
  <c r="O464" i="29"/>
  <c r="O407" i="29"/>
  <c r="P421" i="29"/>
  <c r="P452" i="29"/>
  <c r="P420" i="29"/>
  <c r="O390" i="29"/>
  <c r="P423" i="29"/>
  <c r="P384" i="29"/>
  <c r="P391" i="29"/>
  <c r="O338" i="29"/>
  <c r="O353" i="29"/>
  <c r="P328" i="29"/>
  <c r="O352" i="29"/>
  <c r="O336" i="29"/>
  <c r="P309" i="29"/>
  <c r="O300" i="29"/>
  <c r="P279" i="29"/>
  <c r="O293" i="29"/>
  <c r="P251" i="29"/>
  <c r="O259" i="29"/>
  <c r="P266" i="29"/>
  <c r="P234" i="29"/>
  <c r="O266" i="29"/>
  <c r="O281" i="29"/>
  <c r="P241" i="29"/>
  <c r="O283" i="29"/>
  <c r="O245" i="29"/>
  <c r="P256" i="29"/>
  <c r="P228" i="29"/>
  <c r="P239" i="29"/>
  <c r="O208" i="29"/>
  <c r="O176" i="29"/>
  <c r="P203" i="29"/>
  <c r="O246" i="29"/>
  <c r="O203" i="29"/>
  <c r="O171" i="29"/>
  <c r="P206" i="29"/>
  <c r="O214" i="29"/>
  <c r="O182" i="29"/>
  <c r="P213" i="29"/>
  <c r="P181" i="29"/>
  <c r="O205" i="29"/>
  <c r="O173" i="29"/>
  <c r="P172" i="29"/>
  <c r="O139" i="29"/>
  <c r="O172" i="29"/>
  <c r="P169" i="29"/>
  <c r="P137" i="29"/>
  <c r="O169" i="29"/>
  <c r="O137" i="29"/>
  <c r="P164" i="29"/>
  <c r="P132" i="29"/>
  <c r="O122" i="29"/>
  <c r="P88" i="29"/>
  <c r="O148" i="29"/>
  <c r="P119" i="29"/>
  <c r="P87" i="29"/>
  <c r="P55" i="29"/>
  <c r="O170" i="29"/>
  <c r="P106" i="29"/>
  <c r="P118" i="29"/>
  <c r="O86" i="29"/>
  <c r="O136" i="29"/>
  <c r="P109" i="29"/>
  <c r="P77" i="29"/>
  <c r="P15" i="29"/>
  <c r="P31" i="29"/>
  <c r="O107" i="29"/>
  <c r="P146" i="29"/>
  <c r="P29" i="29"/>
  <c r="O50" i="29"/>
  <c r="P595" i="29"/>
  <c r="P585" i="29"/>
  <c r="O559" i="29"/>
  <c r="P537" i="29"/>
  <c r="P542" i="29"/>
  <c r="P510" i="29"/>
  <c r="O510" i="29"/>
  <c r="P480" i="29"/>
  <c r="P447" i="29"/>
  <c r="O438" i="29"/>
  <c r="O437" i="29"/>
  <c r="O395" i="29"/>
  <c r="P438" i="29"/>
  <c r="P393" i="29"/>
  <c r="O377" i="29"/>
  <c r="O388" i="29"/>
  <c r="P354" i="29"/>
  <c r="P353" i="29"/>
  <c r="P368" i="29"/>
  <c r="P351" i="29"/>
  <c r="P306" i="29"/>
  <c r="O282" i="29"/>
  <c r="O328" i="29"/>
  <c r="O343" i="29"/>
  <c r="O264" i="29"/>
  <c r="P267" i="29"/>
  <c r="O279" i="29"/>
  <c r="O243" i="29"/>
  <c r="P250" i="29"/>
  <c r="P288" i="29"/>
  <c r="O250" i="29"/>
  <c r="P257" i="29"/>
  <c r="O301" i="29"/>
  <c r="O261" i="29"/>
  <c r="P272" i="29"/>
  <c r="P240" i="29"/>
  <c r="P212" i="29"/>
  <c r="O224" i="29"/>
  <c r="O192" i="29"/>
  <c r="P219" i="29"/>
  <c r="P187" i="29"/>
  <c r="O219" i="29"/>
  <c r="O187" i="29"/>
  <c r="P222" i="29"/>
  <c r="O230" i="29"/>
  <c r="O198" i="29"/>
  <c r="P229" i="29"/>
  <c r="P197" i="29"/>
  <c r="O221" i="29"/>
  <c r="O189" i="29"/>
  <c r="O164" i="29"/>
  <c r="O155" i="29"/>
  <c r="O123" i="29"/>
  <c r="P158" i="29"/>
  <c r="P153" i="29"/>
  <c r="P121" i="29"/>
  <c r="O153" i="29"/>
  <c r="O121" i="29"/>
  <c r="P148" i="29"/>
  <c r="O154" i="29"/>
  <c r="P104" i="29"/>
  <c r="P167" i="29"/>
  <c r="O132" i="29"/>
  <c r="P103" i="29"/>
  <c r="P71" i="29"/>
  <c r="P142" i="29"/>
  <c r="O134" i="29"/>
  <c r="P90" i="29"/>
  <c r="O102" i="29"/>
  <c r="O152" i="29"/>
  <c r="P120" i="29"/>
  <c r="P93" i="29"/>
  <c r="P61" i="29"/>
  <c r="P23" i="29"/>
  <c r="P39" i="29"/>
  <c r="O61" i="29"/>
  <c r="O369" i="29"/>
  <c r="P301" i="29"/>
  <c r="P264" i="29"/>
  <c r="P204" i="29"/>
  <c r="O184" i="29"/>
  <c r="O75" i="29"/>
  <c r="P64" i="29"/>
  <c r="O607" i="29"/>
  <c r="P583" i="29"/>
  <c r="O550" i="29"/>
  <c r="P529" i="29"/>
  <c r="P516" i="29"/>
  <c r="O504" i="29"/>
  <c r="O500" i="29"/>
  <c r="O477" i="29"/>
  <c r="P468" i="29"/>
  <c r="O430" i="29"/>
  <c r="O421" i="29"/>
  <c r="O387" i="29"/>
  <c r="P422" i="29"/>
  <c r="P377" i="29"/>
  <c r="O440" i="29"/>
  <c r="O380" i="29"/>
  <c r="O374" i="29"/>
  <c r="P345" i="29"/>
  <c r="P360" i="29"/>
  <c r="P335" i="29"/>
  <c r="P298" i="29"/>
  <c r="O274" i="29"/>
  <c r="P308" i="29"/>
  <c r="P313" i="29"/>
  <c r="O256" i="29"/>
  <c r="P263" i="29"/>
  <c r="O271" i="29"/>
  <c r="O239" i="29"/>
  <c r="P246" i="29"/>
  <c r="P281" i="29"/>
  <c r="P311" i="29"/>
  <c r="P253" i="29"/>
  <c r="O299" i="29"/>
  <c r="O257" i="29"/>
  <c r="P268" i="29"/>
  <c r="P236" i="29"/>
  <c r="P208" i="29"/>
  <c r="O220" i="29"/>
  <c r="O188" i="29"/>
  <c r="P215" i="29"/>
  <c r="P183" i="29"/>
  <c r="O215" i="29"/>
  <c r="O183" i="29"/>
  <c r="P218" i="29"/>
  <c r="O226" i="29"/>
  <c r="O194" i="29"/>
  <c r="P225" i="29"/>
  <c r="P193" i="29"/>
  <c r="O217" i="29"/>
  <c r="O185" i="29"/>
  <c r="O160" i="29"/>
  <c r="O151" i="29"/>
  <c r="O119" i="29"/>
  <c r="P188" i="29"/>
  <c r="P149" i="29"/>
  <c r="P198" i="29"/>
  <c r="O149" i="29"/>
  <c r="P186" i="29"/>
  <c r="P144" i="29"/>
  <c r="O146" i="29"/>
  <c r="P100" i="29"/>
  <c r="O116" i="29"/>
  <c r="P131" i="29"/>
  <c r="P99" i="29"/>
  <c r="P67" i="29"/>
  <c r="P134" i="29"/>
  <c r="O126" i="29"/>
  <c r="P86" i="29"/>
  <c r="O98" i="29"/>
  <c r="P151" i="29"/>
  <c r="O118" i="29"/>
  <c r="P89" i="29"/>
  <c r="P57" i="29"/>
  <c r="O92" i="29"/>
  <c r="O448" i="29"/>
  <c r="P295" i="29"/>
  <c r="P259" i="29"/>
  <c r="O303" i="29"/>
  <c r="P280" i="29"/>
  <c r="P249" i="29"/>
  <c r="O253" i="29"/>
  <c r="P232" i="29"/>
  <c r="O216" i="29"/>
  <c r="P105" i="29"/>
  <c r="P115" i="29"/>
  <c r="P52" i="29"/>
  <c r="O128" i="29"/>
  <c r="O79" i="29"/>
  <c r="P85" i="29"/>
  <c r="O144" i="29"/>
  <c r="P82" i="29"/>
  <c r="P126" i="29"/>
  <c r="P95" i="29"/>
  <c r="O166" i="29"/>
  <c r="O138" i="29"/>
  <c r="P174" i="29"/>
  <c r="P192" i="29"/>
  <c r="P182" i="29"/>
  <c r="O147" i="29"/>
  <c r="O181" i="29"/>
  <c r="P189" i="29"/>
  <c r="O190" i="29"/>
  <c r="P214" i="29"/>
  <c r="O211" i="29"/>
  <c r="P211" i="29"/>
  <c r="O234" i="29"/>
  <c r="P273" i="29"/>
  <c r="P237" i="29"/>
  <c r="P296" i="29"/>
  <c r="O287" i="29"/>
  <c r="P292" i="29"/>
  <c r="O306" i="29"/>
  <c r="O321" i="29"/>
  <c r="P383" i="29"/>
  <c r="P414" i="29"/>
  <c r="O445" i="29"/>
  <c r="P487" i="29"/>
  <c r="O511" i="29"/>
  <c r="O583" i="29"/>
  <c r="P627" i="29"/>
  <c r="P68" i="29"/>
  <c r="P101" i="29"/>
  <c r="O78" i="29"/>
  <c r="P98" i="29"/>
  <c r="P173" i="29"/>
  <c r="P111" i="29"/>
  <c r="P80" i="29"/>
  <c r="P124" i="29"/>
  <c r="O129" i="29"/>
  <c r="P129" i="29"/>
  <c r="P166" i="29"/>
  <c r="O163" i="29"/>
  <c r="O197" i="29"/>
  <c r="P205" i="29"/>
  <c r="O206" i="29"/>
  <c r="O237" i="29"/>
  <c r="O227" i="29"/>
  <c r="P227" i="29"/>
  <c r="P216" i="29"/>
  <c r="O241" i="29"/>
  <c r="P265" i="29"/>
  <c r="P254" i="29"/>
  <c r="P247" i="29"/>
  <c r="O284" i="29"/>
  <c r="O311" i="29"/>
  <c r="O337" i="29"/>
  <c r="P434" i="29"/>
  <c r="P390" i="29"/>
  <c r="P413" i="29"/>
  <c r="P473" i="29"/>
  <c r="O517" i="29"/>
  <c r="O605" i="29"/>
  <c r="P51" i="29"/>
  <c r="O133" i="29"/>
  <c r="O167" i="29"/>
  <c r="P209" i="29"/>
  <c r="O242" i="29"/>
  <c r="P243" i="29"/>
  <c r="O235" i="29"/>
  <c r="O265" i="29"/>
  <c r="P269" i="29"/>
  <c r="P258" i="29"/>
  <c r="P271" i="29"/>
  <c r="O292" i="29"/>
  <c r="O324" i="29"/>
  <c r="P361" i="29"/>
  <c r="O456" i="29"/>
  <c r="P398" i="29"/>
  <c r="O462" i="29"/>
  <c r="O490" i="29"/>
  <c r="P532" i="29"/>
  <c r="P613" i="29"/>
  <c r="O82" i="29"/>
  <c r="P84" i="29"/>
  <c r="P133" i="29"/>
  <c r="P170" i="29"/>
  <c r="O201" i="29"/>
  <c r="O210" i="29"/>
  <c r="P220" i="29"/>
  <c r="P35" i="29"/>
  <c r="P53" i="29"/>
  <c r="P117" i="29"/>
  <c r="O94" i="29"/>
  <c r="P114" i="29"/>
  <c r="P63" i="29"/>
  <c r="O124" i="29"/>
  <c r="P96" i="29"/>
  <c r="P140" i="29"/>
  <c r="O145" i="29"/>
  <c r="P145" i="29"/>
  <c r="P194" i="29"/>
  <c r="P190" i="29"/>
  <c r="O213" i="29"/>
  <c r="P221" i="29"/>
  <c r="O222" i="29"/>
  <c r="O179" i="29"/>
  <c r="P179" i="29"/>
  <c r="O196" i="29"/>
  <c r="P224" i="29"/>
  <c r="O269" i="29"/>
  <c r="O254" i="29"/>
  <c r="P262" i="29"/>
  <c r="O277" i="29"/>
  <c r="O355" i="29"/>
  <c r="O332" i="29"/>
  <c r="O322" i="29"/>
  <c r="O385" i="29"/>
  <c r="O404" i="29"/>
  <c r="P481" i="29"/>
  <c r="P500" i="29"/>
  <c r="P539" i="29"/>
  <c r="O88" i="29"/>
  <c r="P128" i="29"/>
  <c r="O54" i="29"/>
  <c r="P65" i="29"/>
  <c r="P127" i="29"/>
  <c r="O106" i="29"/>
  <c r="O142" i="29"/>
  <c r="P75" i="29"/>
  <c r="P139" i="29"/>
  <c r="P108" i="29"/>
  <c r="P152" i="29"/>
  <c r="O157" i="29"/>
  <c r="P157" i="29"/>
  <c r="O127" i="29"/>
  <c r="O168" i="29"/>
  <c r="O225" i="29"/>
  <c r="O231" i="29"/>
  <c r="P231" i="29"/>
  <c r="O191" i="29"/>
  <c r="P191" i="29"/>
  <c r="O200" i="29"/>
  <c r="P244" i="29"/>
  <c r="O275" i="29"/>
  <c r="O258" i="29"/>
  <c r="O247" i="29"/>
  <c r="O285" i="29"/>
  <c r="O305" i="29"/>
  <c r="P359" i="29"/>
  <c r="O330" i="29"/>
  <c r="O401" i="29"/>
  <c r="O403" i="29"/>
  <c r="P462" i="29"/>
  <c r="P505" i="29"/>
  <c r="O534" i="29"/>
  <c r="O627" i="29"/>
  <c r="P102" i="29"/>
  <c r="O150" i="29"/>
  <c r="P112" i="29"/>
  <c r="O161" i="29"/>
  <c r="O131" i="29"/>
  <c r="P180" i="29"/>
  <c r="O229" i="29"/>
  <c r="O174" i="29"/>
  <c r="O195" i="29"/>
  <c r="P195" i="29"/>
  <c r="O204" i="29"/>
  <c r="P248" i="29"/>
  <c r="P322" i="29"/>
  <c r="O262" i="29"/>
  <c r="O251" i="29"/>
  <c r="P276" i="29"/>
  <c r="P334" i="29"/>
  <c r="P367" i="29"/>
  <c r="P362" i="29"/>
  <c r="P418" i="29"/>
  <c r="P427" i="29"/>
  <c r="O467" i="29"/>
  <c r="O497" i="29"/>
  <c r="O542" i="29"/>
  <c r="P580" i="29"/>
  <c r="O551" i="29"/>
  <c r="P575" i="29"/>
  <c r="P572" i="29"/>
  <c r="O565" i="29"/>
  <c r="P566" i="29"/>
  <c r="P608" i="29"/>
  <c r="O613" i="29"/>
  <c r="P612" i="29"/>
  <c r="O601" i="29"/>
  <c r="P601" i="29"/>
  <c r="P610" i="29"/>
  <c r="P599" i="29"/>
  <c r="O612" i="29"/>
  <c r="O52" i="29"/>
  <c r="O27" i="29"/>
  <c r="O97" i="29"/>
  <c r="O47" i="29"/>
  <c r="O44" i="29"/>
  <c r="O93" i="29"/>
  <c r="O42" i="29"/>
  <c r="P163" i="29"/>
  <c r="O53" i="29"/>
  <c r="P17" i="29"/>
  <c r="P550" i="29"/>
  <c r="O555" i="29"/>
  <c r="O592" i="29"/>
  <c r="P576" i="29"/>
  <c r="O569" i="29"/>
  <c r="P570" i="29"/>
  <c r="O584" i="29"/>
  <c r="P597" i="29"/>
  <c r="P589" i="29"/>
  <c r="O602" i="29"/>
  <c r="P609" i="29"/>
  <c r="I634" i="29"/>
  <c r="P603" i="29"/>
  <c r="O103" i="29"/>
  <c r="P50" i="29"/>
  <c r="O23" i="29"/>
  <c r="O84" i="29"/>
  <c r="P46" i="29"/>
  <c r="O24" i="29"/>
  <c r="O80" i="29"/>
  <c r="O38" i="29"/>
  <c r="O108" i="29"/>
  <c r="P45" i="29"/>
  <c r="P13" i="29"/>
  <c r="P554" i="29"/>
  <c r="O548" i="29"/>
  <c r="O564" i="29"/>
  <c r="O577" i="29"/>
  <c r="O573" i="29"/>
  <c r="P574" i="29"/>
  <c r="O588" i="29"/>
  <c r="P605" i="29"/>
  <c r="O593" i="29"/>
  <c r="O609" i="29"/>
  <c r="AC624" i="29"/>
  <c r="O595" i="29"/>
  <c r="P607" i="29"/>
  <c r="O101" i="29"/>
  <c r="P47" i="29"/>
  <c r="O19" i="29"/>
  <c r="O73" i="29"/>
  <c r="P42" i="29"/>
  <c r="O71" i="29"/>
  <c r="O34" i="29"/>
  <c r="O91" i="29"/>
  <c r="T35" i="29"/>
  <c r="S109" i="29"/>
  <c r="Q416" i="29"/>
  <c r="Q559" i="29"/>
  <c r="R627" i="29"/>
  <c r="Q66" i="29"/>
  <c r="R57" i="29"/>
  <c r="Q47" i="29"/>
  <c r="R159" i="29"/>
  <c r="R291" i="29"/>
  <c r="Q333" i="29"/>
  <c r="Q468" i="29"/>
  <c r="R161" i="29"/>
  <c r="Q261" i="29"/>
  <c r="Q383" i="29"/>
  <c r="Q492" i="29"/>
  <c r="Q145" i="29"/>
  <c r="Q30" i="29"/>
  <c r="R67" i="29"/>
  <c r="R149" i="29"/>
  <c r="R185" i="29"/>
  <c r="R214" i="29"/>
  <c r="R296" i="29"/>
  <c r="R318" i="29"/>
  <c r="R375" i="29"/>
  <c r="R453" i="29"/>
  <c r="Q518" i="29"/>
  <c r="Q582" i="29"/>
  <c r="R609" i="29"/>
  <c r="R84" i="29"/>
  <c r="R131" i="29"/>
  <c r="Q228" i="29"/>
  <c r="R316" i="29"/>
  <c r="Q323" i="29"/>
  <c r="R346" i="29"/>
  <c r="Q381" i="29"/>
  <c r="R474" i="29"/>
  <c r="R523" i="29"/>
  <c r="I635" i="29"/>
  <c r="S96" i="29"/>
  <c r="S186" i="29"/>
  <c r="S114" i="29"/>
  <c r="S270" i="29"/>
  <c r="T147" i="29"/>
  <c r="T344" i="29"/>
  <c r="T215" i="29"/>
  <c r="T25" i="29"/>
  <c r="T145" i="29"/>
  <c r="T86" i="29"/>
  <c r="S125" i="29"/>
  <c r="S212" i="29"/>
  <c r="T270" i="29"/>
  <c r="S302" i="29"/>
  <c r="T433" i="29"/>
  <c r="T116" i="29"/>
  <c r="T138" i="29"/>
  <c r="S158" i="29"/>
  <c r="S231" i="29"/>
  <c r="S297" i="29"/>
  <c r="S284" i="29"/>
  <c r="S461" i="29"/>
  <c r="T75" i="29"/>
  <c r="T61" i="29"/>
  <c r="S139" i="29"/>
  <c r="S211" i="29"/>
  <c r="T177" i="29"/>
  <c r="S289" i="29"/>
  <c r="T345" i="29"/>
  <c r="T91" i="29"/>
  <c r="S112" i="29"/>
  <c r="S154" i="29"/>
  <c r="T144" i="29"/>
  <c r="T77" i="29"/>
  <c r="S132" i="29"/>
  <c r="T102" i="29"/>
  <c r="T154" i="29"/>
  <c r="S155" i="29"/>
  <c r="T163" i="29"/>
  <c r="S141" i="29"/>
  <c r="T172" i="29"/>
  <c r="S227" i="29"/>
  <c r="S232" i="29"/>
  <c r="S228" i="29"/>
  <c r="S185" i="29"/>
  <c r="T193" i="29"/>
  <c r="S218" i="29"/>
  <c r="S333" i="29"/>
  <c r="S268" i="29"/>
  <c r="S265" i="29"/>
  <c r="T289" i="29"/>
  <c r="T306" i="29"/>
  <c r="S326" i="29"/>
  <c r="T350" i="29"/>
  <c r="S406" i="29"/>
  <c r="T396" i="29"/>
  <c r="T520" i="29"/>
  <c r="T13" i="29"/>
  <c r="T107" i="29"/>
  <c r="S122" i="29"/>
  <c r="T84" i="29"/>
  <c r="S118" i="29"/>
  <c r="T93" i="29"/>
  <c r="T141" i="29"/>
  <c r="T124" i="29"/>
  <c r="T170" i="29"/>
  <c r="T186" i="29"/>
  <c r="T192" i="29"/>
  <c r="S157" i="29"/>
  <c r="S179" i="29"/>
  <c r="T183" i="29"/>
  <c r="S180" i="29"/>
  <c r="T204" i="29"/>
  <c r="S201" i="29"/>
  <c r="T209" i="29"/>
  <c r="T210" i="29"/>
  <c r="S267" i="29"/>
  <c r="S325" i="29"/>
  <c r="T265" i="29"/>
  <c r="T316" i="29"/>
  <c r="S321" i="29"/>
  <c r="T300" i="29"/>
  <c r="S347" i="29"/>
  <c r="S398" i="29"/>
  <c r="S423" i="29"/>
  <c r="T583" i="29"/>
  <c r="S99" i="29"/>
  <c r="S86" i="29"/>
  <c r="S71" i="29"/>
  <c r="S64" i="29"/>
  <c r="T41" i="29"/>
  <c r="T59" i="29"/>
  <c r="S80" i="29"/>
  <c r="S136" i="29"/>
  <c r="T100" i="29"/>
  <c r="T174" i="29"/>
  <c r="T109" i="29"/>
  <c r="S150" i="29"/>
  <c r="T122" i="29"/>
  <c r="S123" i="29"/>
  <c r="T131" i="29"/>
  <c r="T164" i="29"/>
  <c r="T171" i="29"/>
  <c r="S195" i="29"/>
  <c r="T199" i="29"/>
  <c r="S196" i="29"/>
  <c r="T220" i="29"/>
  <c r="S217" i="29"/>
  <c r="T225" i="29"/>
  <c r="T238" i="29"/>
  <c r="T255" i="29"/>
  <c r="T256" i="29"/>
  <c r="S238" i="29"/>
  <c r="S369" i="29"/>
  <c r="T327" i="29"/>
  <c r="S362" i="29"/>
  <c r="S370" i="29"/>
  <c r="T402" i="29"/>
  <c r="S27" i="29"/>
  <c r="S28" i="29"/>
  <c r="S87" i="29"/>
  <c r="S106" i="29"/>
  <c r="T36" i="29"/>
  <c r="S51" i="29"/>
  <c r="S91" i="29"/>
  <c r="S110" i="29"/>
  <c r="S62" i="29"/>
  <c r="S82" i="29"/>
  <c r="S598" i="29"/>
  <c r="T605" i="29"/>
  <c r="S609" i="29"/>
  <c r="S593" i="29"/>
  <c r="T600" i="29"/>
  <c r="S612" i="29"/>
  <c r="S603" i="29"/>
  <c r="T594" i="29"/>
  <c r="S588" i="29"/>
  <c r="T591" i="29"/>
  <c r="S591" i="29"/>
  <c r="T606" i="29"/>
  <c r="T590" i="29"/>
  <c r="S582" i="29"/>
  <c r="T576" i="29"/>
  <c r="T560" i="29"/>
  <c r="S575" i="29"/>
  <c r="S559" i="29"/>
  <c r="S574" i="29"/>
  <c r="S585" i="29"/>
  <c r="T565" i="29"/>
  <c r="S550" i="29"/>
  <c r="T557" i="29"/>
  <c r="S577" i="29"/>
  <c r="S557" i="29"/>
  <c r="T573" i="29"/>
  <c r="T558" i="29"/>
  <c r="S578" i="29"/>
  <c r="T555" i="29"/>
  <c r="T566" i="29"/>
  <c r="S547" i="29"/>
  <c r="S541" i="29"/>
  <c r="S525" i="29"/>
  <c r="S540" i="29"/>
  <c r="S524" i="29"/>
  <c r="T539" i="29"/>
  <c r="T575" i="29"/>
  <c r="S535" i="29"/>
  <c r="T554" i="29"/>
  <c r="S530" i="29"/>
  <c r="T545" i="29"/>
  <c r="T529" i="29"/>
  <c r="T526" i="29"/>
  <c r="S507" i="29"/>
  <c r="T524" i="29"/>
  <c r="T514" i="29"/>
  <c r="S522" i="29"/>
  <c r="T540" i="29"/>
  <c r="T509" i="29"/>
  <c r="S513" i="29"/>
  <c r="T516" i="29"/>
  <c r="S512" i="29"/>
  <c r="T488" i="29"/>
  <c r="S505" i="29"/>
  <c r="T487" i="29"/>
  <c r="S491" i="29"/>
  <c r="S520" i="29"/>
  <c r="T486" i="29"/>
  <c r="T506" i="29"/>
  <c r="S494" i="29"/>
  <c r="T507" i="29"/>
  <c r="T472" i="29"/>
  <c r="T505" i="29"/>
  <c r="T481" i="29"/>
  <c r="S464" i="29"/>
  <c r="S481" i="29"/>
  <c r="T463" i="29"/>
  <c r="S475" i="29"/>
  <c r="T532" i="29"/>
  <c r="S474" i="29"/>
  <c r="T519" i="29"/>
  <c r="T478" i="29"/>
  <c r="T465" i="29"/>
  <c r="S56" i="29"/>
  <c r="T70" i="29"/>
  <c r="S20" i="29"/>
  <c r="S74" i="29"/>
  <c r="S89" i="29"/>
  <c r="S93" i="29"/>
  <c r="S25" i="29"/>
  <c r="S610" i="29"/>
  <c r="S594" i="29"/>
  <c r="T601" i="29"/>
  <c r="S605" i="29"/>
  <c r="T612" i="29"/>
  <c r="T596" i="29"/>
  <c r="S611" i="29"/>
  <c r="T602" i="29"/>
  <c r="T588" i="29"/>
  <c r="S584" i="29"/>
  <c r="T587" i="29"/>
  <c r="S587" i="29"/>
  <c r="S600" i="29"/>
  <c r="S627" i="29"/>
  <c r="T595" i="29"/>
  <c r="T572" i="29"/>
  <c r="T556" i="29"/>
  <c r="S571" i="29"/>
  <c r="T574" i="29"/>
  <c r="S570" i="29"/>
  <c r="T581" i="29"/>
  <c r="T561" i="29"/>
  <c r="S546" i="29"/>
  <c r="S553" i="29"/>
  <c r="T571" i="29"/>
  <c r="T552" i="29"/>
  <c r="S572" i="29"/>
  <c r="S552" i="29"/>
  <c r="S573" i="29"/>
  <c r="T551" i="29"/>
  <c r="S556" i="29"/>
  <c r="T603" i="29"/>
  <c r="S537" i="29"/>
  <c r="T593" i="29"/>
  <c r="S536" i="29"/>
  <c r="S583" i="29"/>
  <c r="T535" i="29"/>
  <c r="T550" i="29"/>
  <c r="S531" i="29"/>
  <c r="S542" i="29"/>
  <c r="S565" i="29"/>
  <c r="T541" i="29"/>
  <c r="T525" i="29"/>
  <c r="S519" i="29"/>
  <c r="S503" i="29"/>
  <c r="T523" i="29"/>
  <c r="T510" i="29"/>
  <c r="S518" i="29"/>
  <c r="T521" i="29"/>
  <c r="T534" i="29"/>
  <c r="S509" i="29"/>
  <c r="T512" i="29"/>
  <c r="T500" i="29"/>
  <c r="T484" i="29"/>
  <c r="T499" i="29"/>
  <c r="T511" i="29"/>
  <c r="S487" i="29"/>
  <c r="T498" i="29"/>
  <c r="T482" i="29"/>
  <c r="S504" i="29"/>
  <c r="S490" i="29"/>
  <c r="S496" i="29"/>
  <c r="T468" i="29"/>
  <c r="T501" i="29"/>
  <c r="S476" i="29"/>
  <c r="S501" i="29"/>
  <c r="T475" i="29"/>
  <c r="S497" i="29"/>
  <c r="S471" i="29"/>
  <c r="T503" i="29"/>
  <c r="S470" i="29"/>
  <c r="S502" i="29"/>
  <c r="T43" i="29"/>
  <c r="S44" i="29"/>
  <c r="T56" i="29"/>
  <c r="S65" i="29"/>
  <c r="T76" i="29"/>
  <c r="S60" i="29"/>
  <c r="T74" i="29"/>
  <c r="S17" i="29"/>
  <c r="S37" i="29"/>
  <c r="S45" i="29"/>
  <c r="S53" i="29"/>
  <c r="S97" i="29"/>
  <c r="S606" i="29"/>
  <c r="T613" i="29"/>
  <c r="T597" i="29"/>
  <c r="S601" i="29"/>
  <c r="T608" i="29"/>
  <c r="T592" i="29"/>
  <c r="T610" i="29"/>
  <c r="S596" i="29"/>
  <c r="T584" i="29"/>
  <c r="S580" i="29"/>
  <c r="T607" i="29"/>
  <c r="S608" i="29"/>
  <c r="S599" i="29"/>
  <c r="S590" i="29"/>
  <c r="T578" i="29"/>
  <c r="T568" i="29"/>
  <c r="S589" i="29"/>
  <c r="S567" i="29"/>
  <c r="T570" i="29"/>
  <c r="S566" i="29"/>
  <c r="S579" i="29"/>
  <c r="T559" i="29"/>
  <c r="S569" i="29"/>
  <c r="S549" i="29"/>
  <c r="S568" i="29"/>
  <c r="T548" i="29"/>
  <c r="T567" i="29"/>
  <c r="S548" i="29"/>
  <c r="T562" i="29"/>
  <c r="T547" i="29"/>
  <c r="S555" i="29"/>
  <c r="T585" i="29"/>
  <c r="S533" i="29"/>
  <c r="T569" i="29"/>
  <c r="S532" i="29"/>
  <c r="S544" i="29"/>
  <c r="T531" i="29"/>
  <c r="S543" i="29"/>
  <c r="S527" i="29"/>
  <c r="S538" i="29"/>
  <c r="T549" i="29"/>
  <c r="T537" i="29"/>
  <c r="S561" i="29"/>
  <c r="S515" i="29"/>
  <c r="T536" i="29"/>
  <c r="T522" i="29"/>
  <c r="T530" i="29"/>
  <c r="S514" i="29"/>
  <c r="T517" i="29"/>
  <c r="S521" i="29"/>
  <c r="T528" i="29"/>
  <c r="T508" i="29"/>
  <c r="T496" i="29"/>
  <c r="T480" i="29"/>
  <c r="T495" i="29"/>
  <c r="S499" i="29"/>
  <c r="S483" i="29"/>
  <c r="T494" i="29"/>
  <c r="T538" i="29"/>
  <c r="T502" i="29"/>
  <c r="S486" i="29"/>
  <c r="S480" i="29"/>
  <c r="T464" i="29"/>
  <c r="S492" i="29"/>
  <c r="S472" i="29"/>
  <c r="T497" i="29"/>
  <c r="T471" i="29"/>
  <c r="T493" i="29"/>
  <c r="S467" i="29"/>
  <c r="S489" i="29"/>
  <c r="S466" i="29"/>
  <c r="S485" i="29"/>
  <c r="T473" i="29"/>
  <c r="S58" i="29"/>
  <c r="S597" i="29"/>
  <c r="S595" i="29"/>
  <c r="S607" i="29"/>
  <c r="T564" i="29"/>
  <c r="S562" i="29"/>
  <c r="S545" i="29"/>
  <c r="T582" i="29"/>
  <c r="T579" i="29"/>
  <c r="T543" i="29"/>
  <c r="S534" i="29"/>
  <c r="S511" i="29"/>
  <c r="S510" i="29"/>
  <c r="T504" i="29"/>
  <c r="S495" i="29"/>
  <c r="S498" i="29"/>
  <c r="T483" i="29"/>
  <c r="S484" i="29"/>
  <c r="T479" i="29"/>
  <c r="S500" i="29"/>
  <c r="S473" i="29"/>
  <c r="S493" i="29"/>
  <c r="T449" i="29"/>
  <c r="T461" i="29"/>
  <c r="S445" i="29"/>
  <c r="S429" i="29"/>
  <c r="S413" i="29"/>
  <c r="T456" i="29"/>
  <c r="T470" i="29"/>
  <c r="S448" i="29"/>
  <c r="S432" i="29"/>
  <c r="T459" i="29"/>
  <c r="T443" i="29"/>
  <c r="T427" i="29"/>
  <c r="T411" i="29"/>
  <c r="S451" i="29"/>
  <c r="S435" i="29"/>
  <c r="S419" i="29"/>
  <c r="T466" i="29"/>
  <c r="S458" i="29"/>
  <c r="S430" i="29"/>
  <c r="S420" i="29"/>
  <c r="S397" i="29"/>
  <c r="S381" i="29"/>
  <c r="T418" i="29"/>
  <c r="T392" i="29"/>
  <c r="T376" i="29"/>
  <c r="S396" i="29"/>
  <c r="S380" i="29"/>
  <c r="T434" i="29"/>
  <c r="T409" i="29"/>
  <c r="T391" i="29"/>
  <c r="T375" i="29"/>
  <c r="S426" i="29"/>
  <c r="S403" i="29"/>
  <c r="S387" i="29"/>
  <c r="T417" i="29"/>
  <c r="T398" i="29"/>
  <c r="T382" i="29"/>
  <c r="S450" i="29"/>
  <c r="T406" i="29"/>
  <c r="S394" i="29"/>
  <c r="S378" i="29"/>
  <c r="T436" i="29"/>
  <c r="T420" i="29"/>
  <c r="S404" i="29"/>
  <c r="T389" i="29"/>
  <c r="T373" i="29"/>
  <c r="T356" i="29"/>
  <c r="T340" i="29"/>
  <c r="S356" i="29"/>
  <c r="S340" i="29"/>
  <c r="S324" i="29"/>
  <c r="T367" i="29"/>
  <c r="T351" i="29"/>
  <c r="T335" i="29"/>
  <c r="S359" i="29"/>
  <c r="S343" i="29"/>
  <c r="S327" i="29"/>
  <c r="S311" i="29"/>
  <c r="T362" i="29"/>
  <c r="T346" i="29"/>
  <c r="T330" i="29"/>
  <c r="T314" i="29"/>
  <c r="T357" i="29"/>
  <c r="T44" i="29"/>
  <c r="S602" i="29"/>
  <c r="T604" i="29"/>
  <c r="T580" i="29"/>
  <c r="T598" i="29"/>
  <c r="S581" i="29"/>
  <c r="S576" i="29"/>
  <c r="T563" i="29"/>
  <c r="S558" i="29"/>
  <c r="S529" i="29"/>
  <c r="T527" i="29"/>
  <c r="T546" i="29"/>
  <c r="S526" i="29"/>
  <c r="T513" i="29"/>
  <c r="T492" i="29"/>
  <c r="T553" i="29"/>
  <c r="S482" i="29"/>
  <c r="S468" i="29"/>
  <c r="S463" i="29"/>
  <c r="T477" i="29"/>
  <c r="S479" i="29"/>
  <c r="S469" i="29"/>
  <c r="T474" i="29"/>
  <c r="T445" i="29"/>
  <c r="S457" i="29"/>
  <c r="S441" i="29"/>
  <c r="S425" i="29"/>
  <c r="S409" i="29"/>
  <c r="T452" i="29"/>
  <c r="S460" i="29"/>
  <c r="S444" i="29"/>
  <c r="S428" i="29"/>
  <c r="T455" i="29"/>
  <c r="T439" i="29"/>
  <c r="T423" i="29"/>
  <c r="T407" i="29"/>
  <c r="S447" i="29"/>
  <c r="S431" i="29"/>
  <c r="S415" i="29"/>
  <c r="T458" i="29"/>
  <c r="T446" i="29"/>
  <c r="T429" i="29"/>
  <c r="T414" i="29"/>
  <c r="S393" i="29"/>
  <c r="S377" i="29"/>
  <c r="S414" i="29"/>
  <c r="T388" i="29"/>
  <c r="S418" i="29"/>
  <c r="S392" i="29"/>
  <c r="S376" i="29"/>
  <c r="T432" i="29"/>
  <c r="T403" i="29"/>
  <c r="T387" i="29"/>
  <c r="T371" i="29"/>
  <c r="S36" i="29"/>
  <c r="T609" i="29"/>
  <c r="T627" i="29"/>
  <c r="S592" i="29"/>
  <c r="S586" i="29"/>
  <c r="S563" i="29"/>
  <c r="S554" i="29"/>
  <c r="T589" i="29"/>
  <c r="T586" i="29"/>
  <c r="T544" i="29"/>
  <c r="S539" i="29"/>
  <c r="T533" i="29"/>
  <c r="T518" i="29"/>
  <c r="S517" i="29"/>
  <c r="S516" i="29"/>
  <c r="T490" i="29"/>
  <c r="T476" i="29"/>
  <c r="S488" i="29"/>
  <c r="T485" i="29"/>
  <c r="T469" i="29"/>
  <c r="S478" i="29"/>
  <c r="S465" i="29"/>
  <c r="T457" i="29"/>
  <c r="T441" i="29"/>
  <c r="S453" i="29"/>
  <c r="S437" i="29"/>
  <c r="S421" i="29"/>
  <c r="S405" i="29"/>
  <c r="T448" i="29"/>
  <c r="S456" i="29"/>
  <c r="S440" i="29"/>
  <c r="S424" i="29"/>
  <c r="T451" i="29"/>
  <c r="T435" i="29"/>
  <c r="T419" i="29"/>
  <c r="S459" i="29"/>
  <c r="S443" i="29"/>
  <c r="S427" i="29"/>
  <c r="S411" i="29"/>
  <c r="T454" i="29"/>
  <c r="S438" i="29"/>
  <c r="S422" i="29"/>
  <c r="S410" i="29"/>
  <c r="S389" i="29"/>
  <c r="S373" i="29"/>
  <c r="T400" i="29"/>
  <c r="T384" i="29"/>
  <c r="T405" i="29"/>
  <c r="S388" i="29"/>
  <c r="S454" i="29"/>
  <c r="T426" i="29"/>
  <c r="T399" i="29"/>
  <c r="T383" i="29"/>
  <c r="S434" i="29"/>
  <c r="T413" i="29"/>
  <c r="S395" i="29"/>
  <c r="S379" i="29"/>
  <c r="S408" i="29"/>
  <c r="T390" i="29"/>
  <c r="T374" i="29"/>
  <c r="T416" i="29"/>
  <c r="S402" i="29"/>
  <c r="S386" i="29"/>
  <c r="S442" i="29"/>
  <c r="T428" i="29"/>
  <c r="T410" i="29"/>
  <c r="T397" i="29"/>
  <c r="T381" i="29"/>
  <c r="T364" i="29"/>
  <c r="T348" i="29"/>
  <c r="S364" i="29"/>
  <c r="S348" i="29"/>
  <c r="S332" i="29"/>
  <c r="S316" i="29"/>
  <c r="T359" i="29"/>
  <c r="T343" i="29"/>
  <c r="S367" i="29"/>
  <c r="S351" i="29"/>
  <c r="S335" i="29"/>
  <c r="S319" i="29"/>
  <c r="S371" i="29"/>
  <c r="T354" i="29"/>
  <c r="T338" i="29"/>
  <c r="T322" i="29"/>
  <c r="T365" i="29"/>
  <c r="T349" i="29"/>
  <c r="T24" i="29"/>
  <c r="T599" i="29"/>
  <c r="S560" i="29"/>
  <c r="T542" i="29"/>
  <c r="T515" i="29"/>
  <c r="S506" i="29"/>
  <c r="T462" i="29"/>
  <c r="T460" i="29"/>
  <c r="T489" i="29"/>
  <c r="S455" i="29"/>
  <c r="T450" i="29"/>
  <c r="S385" i="29"/>
  <c r="S400" i="29"/>
  <c r="T395" i="29"/>
  <c r="T408" i="29"/>
  <c r="S375" i="29"/>
  <c r="T386" i="29"/>
  <c r="S412" i="29"/>
  <c r="S382" i="29"/>
  <c r="T422" i="29"/>
  <c r="T393" i="29"/>
  <c r="T360" i="29"/>
  <c r="S360" i="29"/>
  <c r="S328" i="29"/>
  <c r="T355" i="29"/>
  <c r="S363" i="29"/>
  <c r="S331" i="29"/>
  <c r="T366" i="29"/>
  <c r="T334" i="29"/>
  <c r="T361" i="29"/>
  <c r="T337" i="29"/>
  <c r="T321" i="29"/>
  <c r="S346" i="29"/>
  <c r="T308" i="29"/>
  <c r="T292" i="29"/>
  <c r="T276" i="29"/>
  <c r="S308" i="29"/>
  <c r="S292" i="29"/>
  <c r="S276" i="29"/>
  <c r="S345" i="29"/>
  <c r="T319" i="29"/>
  <c r="S337" i="29"/>
  <c r="S307" i="29"/>
  <c r="S349" i="29"/>
  <c r="T298" i="29"/>
  <c r="S310" i="29"/>
  <c r="S294" i="29"/>
  <c r="S278" i="29"/>
  <c r="S353" i="29"/>
  <c r="T324" i="29"/>
  <c r="S314" i="29"/>
  <c r="T297" i="29"/>
  <c r="T281" i="29"/>
  <c r="S287" i="29"/>
  <c r="S262" i="29"/>
  <c r="S246" i="29"/>
  <c r="S230" i="29"/>
  <c r="T278" i="29"/>
  <c r="T257" i="29"/>
  <c r="S309" i="29"/>
  <c r="S257" i="29"/>
  <c r="S241" i="29"/>
  <c r="S281" i="29"/>
  <c r="T264" i="29"/>
  <c r="T248" i="29"/>
  <c r="T232" i="29"/>
  <c r="T299" i="29"/>
  <c r="S273" i="29"/>
  <c r="S260" i="29"/>
  <c r="S305" i="29"/>
  <c r="T282" i="29"/>
  <c r="T263" i="29"/>
  <c r="T247" i="29"/>
  <c r="T231" i="29"/>
  <c r="S259" i="29"/>
  <c r="S243" i="29"/>
  <c r="T295" i="29"/>
  <c r="T279" i="29"/>
  <c r="T262" i="29"/>
  <c r="T246" i="29"/>
  <c r="T230" i="29"/>
  <c r="T218" i="29"/>
  <c r="T202" i="29"/>
  <c r="S226" i="29"/>
  <c r="S210" i="29"/>
  <c r="S194" i="29"/>
  <c r="S178" i="29"/>
  <c r="T577" i="29"/>
  <c r="S551" i="29"/>
  <c r="S523" i="29"/>
  <c r="S508" i="29"/>
  <c r="S477" i="29"/>
  <c r="S449" i="29"/>
  <c r="T444" i="29"/>
  <c r="T447" i="29"/>
  <c r="S439" i="29"/>
  <c r="T437" i="29"/>
  <c r="S446" i="29"/>
  <c r="S384" i="29"/>
  <c r="T379" i="29"/>
  <c r="S399" i="29"/>
  <c r="T412" i="29"/>
  <c r="T378" i="29"/>
  <c r="T404" i="29"/>
  <c r="S374" i="29"/>
  <c r="S416" i="29"/>
  <c r="T385" i="29"/>
  <c r="T352" i="29"/>
  <c r="S352" i="29"/>
  <c r="S320" i="29"/>
  <c r="T347" i="29"/>
  <c r="S355" i="29"/>
  <c r="S323" i="29"/>
  <c r="T358" i="29"/>
  <c r="T326" i="29"/>
  <c r="T353" i="29"/>
  <c r="T333" i="29"/>
  <c r="T317" i="29"/>
  <c r="S341" i="29"/>
  <c r="T304" i="29"/>
  <c r="T288" i="29"/>
  <c r="S334" i="29"/>
  <c r="S304" i="29"/>
  <c r="S288" i="29"/>
  <c r="S366" i="29"/>
  <c r="T328" i="29"/>
  <c r="T313" i="29"/>
  <c r="S329" i="29"/>
  <c r="S303" i="29"/>
  <c r="T310" i="29"/>
  <c r="S330" i="29"/>
  <c r="S306" i="29"/>
  <c r="S290" i="29"/>
  <c r="S274" i="29"/>
  <c r="S342" i="29"/>
  <c r="T323" i="29"/>
  <c r="T309" i="29"/>
  <c r="T293" i="29"/>
  <c r="T277" i="29"/>
  <c r="S279" i="29"/>
  <c r="S258" i="29"/>
  <c r="S242" i="29"/>
  <c r="S317" i="29"/>
  <c r="T269" i="29"/>
  <c r="T253" i="29"/>
  <c r="S269" i="29"/>
  <c r="S253" i="29"/>
  <c r="T291" i="29"/>
  <c r="T275" i="29"/>
  <c r="T260" i="29"/>
  <c r="T244" i="29"/>
  <c r="S338" i="29"/>
  <c r="S291" i="29"/>
  <c r="S272" i="29"/>
  <c r="S256" i="29"/>
  <c r="S299" i="29"/>
  <c r="T274" i="29"/>
  <c r="T259" i="29"/>
  <c r="T243" i="29"/>
  <c r="S271" i="29"/>
  <c r="S255" i="29"/>
  <c r="S239" i="29"/>
  <c r="S293" i="29"/>
  <c r="S277" i="29"/>
  <c r="T258" i="29"/>
  <c r="T242" i="29"/>
  <c r="S235" i="29"/>
  <c r="T214" i="29"/>
  <c r="T198" i="29"/>
  <c r="S222" i="29"/>
  <c r="S206" i="29"/>
  <c r="S190" i="29"/>
  <c r="T63" i="29"/>
  <c r="T111" i="29"/>
  <c r="S100" i="29"/>
  <c r="S128" i="29"/>
  <c r="S146" i="29"/>
  <c r="S164" i="29"/>
  <c r="T88" i="29"/>
  <c r="T104" i="29"/>
  <c r="T120" i="29"/>
  <c r="S156" i="29"/>
  <c r="T49" i="29"/>
  <c r="T65" i="29"/>
  <c r="T81" i="29"/>
  <c r="T97" i="29"/>
  <c r="T113" i="29"/>
  <c r="S124" i="29"/>
  <c r="T133" i="29"/>
  <c r="S142" i="29"/>
  <c r="T161" i="29"/>
  <c r="T90" i="29"/>
  <c r="T106" i="29"/>
  <c r="T132" i="29"/>
  <c r="T126" i="29"/>
  <c r="T142" i="29"/>
  <c r="T158" i="29"/>
  <c r="T173" i="29"/>
  <c r="S127" i="29"/>
  <c r="S143" i="29"/>
  <c r="S159" i="29"/>
  <c r="T119" i="29"/>
  <c r="T135" i="29"/>
  <c r="T151" i="29"/>
  <c r="T167" i="29"/>
  <c r="T182" i="29"/>
  <c r="S145" i="29"/>
  <c r="T178" i="29"/>
  <c r="S162" i="29"/>
  <c r="T190" i="29"/>
  <c r="S215" i="29"/>
  <c r="T187" i="29"/>
  <c r="T219" i="29"/>
  <c r="T233" i="29"/>
  <c r="S173" i="29"/>
  <c r="S221" i="29"/>
  <c r="T197" i="29"/>
  <c r="S236" i="29"/>
  <c r="T237" i="29"/>
  <c r="T250" i="29"/>
  <c r="S247" i="29"/>
  <c r="T267" i="29"/>
  <c r="T236" i="29"/>
  <c r="S245" i="29"/>
  <c r="S250" i="29"/>
  <c r="T301" i="29"/>
  <c r="S282" i="29"/>
  <c r="S354" i="29"/>
  <c r="S350" i="29"/>
  <c r="T280" i="29"/>
  <c r="T325" i="29"/>
  <c r="T369" i="29"/>
  <c r="T372" i="29"/>
  <c r="S336" i="29"/>
  <c r="T368" i="29"/>
  <c r="T442" i="29"/>
  <c r="S383" i="29"/>
  <c r="T424" i="29"/>
  <c r="S401" i="29"/>
  <c r="T415" i="29"/>
  <c r="S417" i="29"/>
  <c r="S462" i="29"/>
  <c r="S604" i="29"/>
  <c r="S199" i="29"/>
  <c r="S240" i="29"/>
  <c r="S184" i="29"/>
  <c r="T430" i="29"/>
  <c r="S55" i="29"/>
  <c r="S48" i="29"/>
  <c r="T33" i="29"/>
  <c r="T17" i="29"/>
  <c r="T51" i="29"/>
  <c r="T67" i="29"/>
  <c r="T83" i="29"/>
  <c r="T99" i="29"/>
  <c r="T115" i="29"/>
  <c r="S88" i="29"/>
  <c r="S104" i="29"/>
  <c r="S120" i="29"/>
  <c r="T129" i="29"/>
  <c r="S138" i="29"/>
  <c r="S152" i="29"/>
  <c r="T169" i="29"/>
  <c r="T92" i="29"/>
  <c r="T108" i="29"/>
  <c r="T128" i="29"/>
  <c r="S113" i="29"/>
  <c r="S160" i="29"/>
  <c r="T53" i="29"/>
  <c r="T69" i="29"/>
  <c r="T85" i="29"/>
  <c r="T101" i="29"/>
  <c r="T117" i="29"/>
  <c r="T125" i="29"/>
  <c r="S134" i="29"/>
  <c r="S148" i="29"/>
  <c r="T78" i="29"/>
  <c r="T94" i="29"/>
  <c r="T110" i="29"/>
  <c r="T140" i="29"/>
  <c r="T130" i="29"/>
  <c r="T146" i="29"/>
  <c r="T162" i="29"/>
  <c r="T180" i="29"/>
  <c r="S131" i="29"/>
  <c r="S147" i="29"/>
  <c r="S163" i="29"/>
  <c r="T123" i="29"/>
  <c r="T139" i="29"/>
  <c r="T155" i="29"/>
  <c r="S174" i="29"/>
  <c r="T156" i="29"/>
  <c r="T188" i="29"/>
  <c r="S133" i="29"/>
  <c r="S149" i="29"/>
  <c r="S165" i="29"/>
  <c r="T194" i="29"/>
  <c r="S166" i="29"/>
  <c r="S171" i="29"/>
  <c r="S187" i="29"/>
  <c r="S203" i="29"/>
  <c r="S219" i="29"/>
  <c r="T175" i="29"/>
  <c r="T191" i="29"/>
  <c r="T207" i="29"/>
  <c r="T223" i="29"/>
  <c r="S172" i="29"/>
  <c r="S188" i="29"/>
  <c r="S204" i="29"/>
  <c r="S220" i="29"/>
  <c r="T241" i="29"/>
  <c r="T212" i="29"/>
  <c r="T228" i="29"/>
  <c r="S177" i="29"/>
  <c r="S193" i="29"/>
  <c r="S209" i="29"/>
  <c r="S225" i="29"/>
  <c r="T185" i="29"/>
  <c r="T201" i="29"/>
  <c r="T217" i="29"/>
  <c r="S237" i="29"/>
  <c r="S202" i="29"/>
  <c r="S244" i="29"/>
  <c r="T226" i="29"/>
  <c r="T254" i="29"/>
  <c r="T287" i="29"/>
  <c r="S251" i="29"/>
  <c r="T239" i="29"/>
  <c r="T271" i="29"/>
  <c r="S252" i="29"/>
  <c r="S283" i="29"/>
  <c r="T240" i="29"/>
  <c r="T272" i="29"/>
  <c r="S249" i="29"/>
  <c r="T249" i="29"/>
  <c r="T294" i="29"/>
  <c r="S254" i="29"/>
  <c r="T273" i="29"/>
  <c r="T305" i="29"/>
  <c r="T332" i="29"/>
  <c r="S286" i="29"/>
  <c r="S322" i="29"/>
  <c r="S365" i="29"/>
  <c r="T307" i="29"/>
  <c r="S361" i="29"/>
  <c r="S300" i="29"/>
  <c r="T284" i="29"/>
  <c r="T336" i="29"/>
  <c r="T329" i="29"/>
  <c r="T318" i="29"/>
  <c r="S315" i="29"/>
  <c r="T339" i="29"/>
  <c r="S344" i="29"/>
  <c r="T377" i="29"/>
  <c r="T438" i="29"/>
  <c r="T370" i="29"/>
  <c r="S391" i="29"/>
  <c r="T440" i="29"/>
  <c r="T421" i="29"/>
  <c r="T431" i="29"/>
  <c r="S433" i="29"/>
  <c r="T467" i="29"/>
  <c r="S528" i="29"/>
  <c r="S613" i="29"/>
  <c r="T62" i="29"/>
  <c r="T45" i="29"/>
  <c r="T29" i="29"/>
  <c r="T47" i="29"/>
  <c r="T79" i="29"/>
  <c r="T95" i="29"/>
  <c r="S84" i="29"/>
  <c r="S116" i="29"/>
  <c r="T137" i="29"/>
  <c r="T152" i="29"/>
  <c r="T168" i="29"/>
  <c r="S129" i="29"/>
  <c r="S161" i="29"/>
  <c r="S183" i="29"/>
  <c r="T203" i="29"/>
  <c r="S233" i="29"/>
  <c r="S200" i="29"/>
  <c r="S216" i="29"/>
  <c r="T208" i="29"/>
  <c r="T224" i="29"/>
  <c r="S189" i="29"/>
  <c r="S205" i="29"/>
  <c r="T181" i="29"/>
  <c r="T213" i="29"/>
  <c r="S198" i="29"/>
  <c r="T222" i="29"/>
  <c r="S285" i="29"/>
  <c r="T235" i="29"/>
  <c r="S248" i="29"/>
  <c r="S275" i="29"/>
  <c r="T268" i="29"/>
  <c r="T245" i="29"/>
  <c r="T286" i="29"/>
  <c r="S295" i="29"/>
  <c r="T331" i="29"/>
  <c r="T311" i="29"/>
  <c r="T303" i="29"/>
  <c r="S296" i="29"/>
  <c r="S312" i="29"/>
  <c r="S372" i="29"/>
  <c r="T611" i="29"/>
  <c r="S101" i="29"/>
  <c r="T37" i="29"/>
  <c r="T21" i="29"/>
  <c r="T55" i="29"/>
  <c r="T71" i="29"/>
  <c r="T87" i="29"/>
  <c r="T103" i="29"/>
  <c r="S76" i="29"/>
  <c r="S92" i="29"/>
  <c r="S108" i="29"/>
  <c r="T121" i="29"/>
  <c r="S130" i="29"/>
  <c r="S144" i="29"/>
  <c r="T153" i="29"/>
  <c r="T80" i="29"/>
  <c r="T96" i="29"/>
  <c r="T112" i="29"/>
  <c r="T136" i="29"/>
  <c r="S117" i="29"/>
  <c r="T165" i="29"/>
  <c r="T57" i="29"/>
  <c r="T73" i="29"/>
  <c r="T89" i="29"/>
  <c r="T105" i="29"/>
  <c r="T118" i="29"/>
  <c r="S126" i="29"/>
  <c r="S140" i="29"/>
  <c r="T149" i="29"/>
  <c r="T82" i="29"/>
  <c r="T98" i="29"/>
  <c r="T114" i="29"/>
  <c r="T148" i="29"/>
  <c r="T134" i="29"/>
  <c r="T150" i="29"/>
  <c r="T166" i="29"/>
  <c r="T196" i="29"/>
  <c r="S135" i="29"/>
  <c r="S151" i="29"/>
  <c r="S167" i="29"/>
  <c r="T127" i="29"/>
  <c r="T143" i="29"/>
  <c r="T159" i="29"/>
  <c r="T176" i="29"/>
  <c r="T160" i="29"/>
  <c r="S121" i="29"/>
  <c r="S137" i="29"/>
  <c r="S153" i="29"/>
  <c r="S169" i="29"/>
  <c r="T184" i="29"/>
  <c r="S170" i="29"/>
  <c r="S175" i="29"/>
  <c r="S191" i="29"/>
  <c r="S207" i="29"/>
  <c r="S223" i="29"/>
  <c r="T179" i="29"/>
  <c r="T195" i="29"/>
  <c r="T211" i="29"/>
  <c r="T227" i="29"/>
  <c r="S176" i="29"/>
  <c r="S192" i="29"/>
  <c r="S208" i="29"/>
  <c r="S224" i="29"/>
  <c r="T200" i="29"/>
  <c r="T216" i="29"/>
  <c r="S229" i="29"/>
  <c r="S181" i="29"/>
  <c r="S197" i="29"/>
  <c r="S213" i="29"/>
  <c r="T229" i="29"/>
  <c r="T189" i="29"/>
  <c r="T205" i="29"/>
  <c r="T221" i="29"/>
  <c r="S182" i="29"/>
  <c r="S214" i="29"/>
  <c r="T206" i="29"/>
  <c r="T234" i="29"/>
  <c r="T266" i="29"/>
  <c r="T312" i="29"/>
  <c r="S263" i="29"/>
  <c r="T251" i="29"/>
  <c r="T290" i="29"/>
  <c r="S264" i="29"/>
  <c r="S301" i="29"/>
  <c r="T252" i="29"/>
  <c r="T283" i="29"/>
  <c r="S261" i="29"/>
  <c r="T261" i="29"/>
  <c r="S234" i="29"/>
  <c r="S266" i="29"/>
  <c r="T285" i="29"/>
  <c r="T315" i="29"/>
  <c r="S358" i="29"/>
  <c r="S298" i="29"/>
  <c r="T302" i="29"/>
  <c r="S313" i="29"/>
  <c r="T320" i="29"/>
  <c r="S280" i="29"/>
  <c r="S318" i="29"/>
  <c r="T296" i="29"/>
  <c r="S357" i="29"/>
  <c r="T341" i="29"/>
  <c r="T342" i="29"/>
  <c r="S339" i="29"/>
  <c r="T363" i="29"/>
  <c r="S368" i="29"/>
  <c r="T401" i="29"/>
  <c r="S390" i="29"/>
  <c r="T394" i="29"/>
  <c r="T425" i="29"/>
  <c r="T380" i="29"/>
  <c r="S407" i="29"/>
  <c r="S436" i="29"/>
  <c r="T453" i="29"/>
  <c r="T491" i="29"/>
  <c r="S564" i="29"/>
  <c r="S95" i="29"/>
  <c r="S69" i="29"/>
  <c r="T60" i="29"/>
  <c r="S29" i="29"/>
  <c r="S21" i="29"/>
  <c r="S13" i="29"/>
  <c r="S67" i="29"/>
  <c r="T58" i="29"/>
  <c r="T20" i="29"/>
  <c r="T72" i="29"/>
  <c r="S83" i="29"/>
  <c r="S63" i="29"/>
  <c r="T54" i="29"/>
  <c r="T19" i="29"/>
  <c r="T68" i="29"/>
  <c r="S119" i="29"/>
  <c r="S41" i="29"/>
  <c r="S33" i="29"/>
  <c r="T28" i="29"/>
  <c r="T16" i="29"/>
  <c r="S75" i="29"/>
  <c r="T40" i="29"/>
  <c r="T32" i="29"/>
  <c r="S168" i="29"/>
  <c r="S115" i="29"/>
  <c r="S77" i="29"/>
  <c r="S40" i="29"/>
  <c r="S32" i="29"/>
  <c r="S24" i="29"/>
  <c r="S16" i="29"/>
  <c r="S102" i="29"/>
  <c r="T27" i="29"/>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S49" i="29"/>
  <c r="S72" i="29"/>
  <c r="O113" i="29"/>
  <c r="O74" i="29"/>
  <c r="S85" i="29"/>
  <c r="T39" i="29"/>
  <c r="T31" i="29"/>
  <c r="T23" i="29"/>
  <c r="T15" i="29"/>
  <c r="O76"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AE18" i="29" s="1"/>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P626" i="29"/>
  <c r="O626" i="29"/>
  <c r="V626" i="29"/>
  <c r="U626" i="29"/>
  <c r="R626" i="29"/>
  <c r="T626" i="29"/>
  <c r="S626" i="29"/>
  <c r="Q626" i="29"/>
  <c r="AD452" i="29" l="1"/>
  <c r="AD283" i="29"/>
  <c r="AE46" i="29"/>
  <c r="AE183" i="29"/>
  <c r="AE557" i="29"/>
  <c r="AE457" i="29"/>
  <c r="AD547" i="29"/>
  <c r="AE57" i="29"/>
  <c r="P624" i="29"/>
  <c r="S624" i="29"/>
  <c r="AD306" i="29"/>
  <c r="AD408" i="29"/>
  <c r="AE542" i="29"/>
  <c r="AD489" i="29"/>
  <c r="AE250" i="29"/>
  <c r="AD437" i="29"/>
  <c r="AE564" i="29"/>
  <c r="T624" i="29"/>
  <c r="O624" i="29"/>
  <c r="U624" i="29"/>
  <c r="AE297" i="29"/>
  <c r="Q624" i="29"/>
  <c r="V624" i="29"/>
  <c r="AE38" i="29"/>
  <c r="AE22" i="29"/>
  <c r="AE42" i="29"/>
  <c r="AD334" i="29"/>
  <c r="AE186" i="29"/>
  <c r="AE254" i="29"/>
  <c r="AD203" i="29"/>
  <c r="AD210" i="29"/>
  <c r="AD609" i="29"/>
  <c r="AD257" i="29"/>
  <c r="AD114" i="29"/>
  <c r="AD70" i="29"/>
  <c r="AD304" i="29"/>
  <c r="AE277" i="29"/>
  <c r="AE476" i="29"/>
  <c r="AD268" i="29"/>
  <c r="AD371" i="29"/>
  <c r="AD610" i="29"/>
  <c r="AE492" i="29"/>
  <c r="AE521" i="29"/>
  <c r="AE145" i="29"/>
  <c r="AE571" i="29"/>
  <c r="AE451" i="29"/>
  <c r="AD487" i="29"/>
  <c r="AD557" i="29"/>
  <c r="AE98" i="29"/>
  <c r="AE558" i="29"/>
  <c r="AD591" i="29"/>
  <c r="AD193" i="29"/>
  <c r="AD144" i="29"/>
  <c r="AD166" i="29"/>
  <c r="AE132" i="29"/>
  <c r="AE479" i="29"/>
  <c r="AE513" i="29"/>
  <c r="AE396" i="29"/>
  <c r="AE567" i="29"/>
  <c r="AE25" i="29"/>
  <c r="AE73" i="29"/>
  <c r="AE34" i="29"/>
  <c r="AD194" i="29"/>
  <c r="AE328" i="29"/>
  <c r="AD514" i="29"/>
  <c r="AD432" i="29"/>
  <c r="AE134" i="29"/>
  <c r="AE152" i="29"/>
  <c r="AD297" i="29"/>
  <c r="AE424" i="29"/>
  <c r="AE606" i="29"/>
  <c r="AE512" i="29"/>
  <c r="AE527" i="29"/>
  <c r="AE37" i="29"/>
  <c r="AE76" i="29"/>
  <c r="AD170" i="29"/>
  <c r="AD458" i="29"/>
  <c r="AE507" i="29"/>
  <c r="AE244" i="29"/>
  <c r="AD318" i="29"/>
  <c r="AD425" i="29"/>
  <c r="AD102" i="29"/>
  <c r="AE26" i="29"/>
  <c r="AE389" i="29"/>
  <c r="AE217" i="29"/>
  <c r="AE425" i="29"/>
  <c r="AD424" i="29"/>
  <c r="AD414" i="29"/>
  <c r="AE589" i="29"/>
  <c r="AD566" i="29"/>
  <c r="AE428" i="29"/>
  <c r="AD440" i="29"/>
  <c r="AE30" i="29"/>
  <c r="AE241" i="29"/>
  <c r="AE459" i="29"/>
  <c r="AD519" i="29"/>
  <c r="AD593" i="29"/>
  <c r="AD480" i="29"/>
  <c r="AD590" i="29"/>
  <c r="AD129" i="29"/>
  <c r="AE263" i="29"/>
  <c r="AD445" i="29"/>
  <c r="AD155" i="29"/>
  <c r="AD517" i="29"/>
  <c r="AE65" i="29"/>
  <c r="AE483" i="29"/>
  <c r="AE27" i="29"/>
  <c r="AD128" i="29"/>
  <c r="AE294" i="29"/>
  <c r="AE443" i="29"/>
  <c r="AD402" i="29"/>
  <c r="AD427" i="29"/>
  <c r="AD86" i="29"/>
  <c r="AE35" i="29"/>
  <c r="AE305" i="29"/>
  <c r="AE88" i="29"/>
  <c r="AD525" i="29"/>
  <c r="AE230" i="29"/>
  <c r="AD429" i="29"/>
  <c r="AD377" i="29"/>
  <c r="AD88" i="29"/>
  <c r="AD550" i="29"/>
  <c r="AE546" i="29"/>
  <c r="AE146" i="29"/>
  <c r="AD185" i="29"/>
  <c r="AE29" i="29"/>
  <c r="AD284" i="29"/>
  <c r="AE262" i="29"/>
  <c r="AD589" i="29"/>
  <c r="AD342" i="29"/>
  <c r="AE549" i="29"/>
  <c r="AE270" i="29"/>
  <c r="AE243" i="29"/>
  <c r="AD143" i="29"/>
  <c r="AD351" i="29"/>
  <c r="AD521" i="29"/>
  <c r="AD302" i="29"/>
  <c r="AE472" i="29"/>
  <c r="AD55" i="29"/>
  <c r="AD301" i="29"/>
  <c r="AE550" i="29"/>
  <c r="AE116" i="29"/>
  <c r="AD229" i="29"/>
  <c r="AE317" i="29"/>
  <c r="AE462" i="29"/>
  <c r="AE257" i="29"/>
  <c r="AE423" i="29"/>
  <c r="AE509" i="29"/>
  <c r="AD438" i="29"/>
  <c r="AE373" i="29"/>
  <c r="AE612" i="29"/>
  <c r="AD576" i="29"/>
  <c r="AD498" i="29"/>
  <c r="AD565" i="29"/>
  <c r="AD568" i="29"/>
  <c r="AE85" i="29"/>
  <c r="AD50" i="29"/>
  <c r="AD366" i="29"/>
  <c r="AE220" i="29"/>
  <c r="AE515" i="29"/>
  <c r="AE167" i="29"/>
  <c r="AE274" i="29"/>
  <c r="AE359" i="29"/>
  <c r="AD24" i="29"/>
  <c r="AD394" i="29"/>
  <c r="AE522" i="29"/>
  <c r="AD160" i="29"/>
  <c r="AD148" i="29"/>
  <c r="AE238" i="29"/>
  <c r="AE406" i="29"/>
  <c r="AE561" i="29"/>
  <c r="AE422" i="29"/>
  <c r="AE375" i="29"/>
  <c r="AE336" i="29"/>
  <c r="AE592" i="29"/>
  <c r="AD277" i="29"/>
  <c r="AD59" i="29"/>
  <c r="AD157" i="29"/>
  <c r="AD244" i="29"/>
  <c r="AD139" i="29"/>
  <c r="AE202" i="29"/>
  <c r="AD312" i="29"/>
  <c r="AE545" i="29"/>
  <c r="AE301" i="29"/>
  <c r="AD534" i="29"/>
  <c r="AD90" i="29"/>
  <c r="AE413" i="29"/>
  <c r="AE487" i="29"/>
  <c r="AD522" i="29"/>
  <c r="AE247" i="29"/>
  <c r="AD416" i="29"/>
  <c r="AD100" i="29"/>
  <c r="AD272" i="29"/>
  <c r="AD442" i="29"/>
  <c r="AD164" i="29"/>
  <c r="AE502" i="29"/>
  <c r="AE218" i="29"/>
  <c r="AD462" i="29"/>
  <c r="AD413" i="29"/>
  <c r="AE602" i="29"/>
  <c r="AD239" i="29"/>
  <c r="AD348" i="29"/>
  <c r="AE371" i="29"/>
  <c r="AD541" i="29"/>
  <c r="AE599" i="29"/>
  <c r="AD207" i="29"/>
  <c r="AD296" i="29"/>
  <c r="AD183" i="29"/>
  <c r="AE273" i="29"/>
  <c r="AE136" i="29"/>
  <c r="AE430" i="29"/>
  <c r="AD430" i="29"/>
  <c r="AE477" i="29"/>
  <c r="AE417" i="29"/>
  <c r="AE609" i="29"/>
  <c r="AD361" i="29"/>
  <c r="AE510" i="29"/>
  <c r="AD386" i="29"/>
  <c r="AE437" i="29"/>
  <c r="AE165" i="29"/>
  <c r="AD248" i="29"/>
  <c r="AD374" i="29"/>
  <c r="AD479" i="29"/>
  <c r="AE607" i="29"/>
  <c r="AE528" i="29"/>
  <c r="AD597" i="29"/>
  <c r="AD531" i="29"/>
  <c r="AE75" i="29"/>
  <c r="AD197" i="29"/>
  <c r="AE339" i="29"/>
  <c r="AD71" i="29"/>
  <c r="AE296" i="29"/>
  <c r="AD98" i="29"/>
  <c r="AD101" i="29"/>
  <c r="AD103" i="29"/>
  <c r="AD108" i="29"/>
  <c r="AD27" i="29"/>
  <c r="AD518" i="29"/>
  <c r="AD333" i="29"/>
  <c r="AE112" i="29"/>
  <c r="AD280" i="29"/>
  <c r="AD495" i="29"/>
  <c r="AD217" i="29"/>
  <c r="AD182" i="29"/>
  <c r="AD242" i="29"/>
  <c r="AE360" i="29"/>
  <c r="AD570" i="29"/>
  <c r="AD309" i="29"/>
  <c r="AD188" i="29"/>
  <c r="AD226" i="29"/>
  <c r="AE80" i="29"/>
  <c r="AD209" i="29"/>
  <c r="AE552" i="29"/>
  <c r="AD613" i="29"/>
  <c r="AE276" i="29"/>
  <c r="AD369" i="29"/>
  <c r="AE553" i="29"/>
  <c r="AD571" i="29"/>
  <c r="AE529" i="29"/>
  <c r="AD153" i="29"/>
  <c r="AD359" i="29"/>
  <c r="AD381" i="29"/>
  <c r="AD85" i="29"/>
  <c r="AE464" i="29"/>
  <c r="AD138" i="29"/>
  <c r="AE63" i="29"/>
  <c r="AE53" i="29"/>
  <c r="AD449" i="29"/>
  <c r="AD232" i="29"/>
  <c r="AE393" i="29"/>
  <c r="AE506" i="29"/>
  <c r="AE340" i="29"/>
  <c r="AD527" i="29"/>
  <c r="AD323" i="29"/>
  <c r="AE196" i="29"/>
  <c r="AD109" i="29"/>
  <c r="AE215" i="29"/>
  <c r="AE303" i="29"/>
  <c r="AD448" i="29"/>
  <c r="AE171" i="29"/>
  <c r="AD125" i="29"/>
  <c r="AE329" i="29"/>
  <c r="AE139" i="29"/>
  <c r="AD516" i="29"/>
  <c r="AD436" i="29"/>
  <c r="AE67" i="29"/>
  <c r="AD383" i="29"/>
  <c r="AE131" i="29"/>
  <c r="AD387" i="29"/>
  <c r="AE144" i="29"/>
  <c r="AD163" i="29"/>
  <c r="AE518" i="29"/>
  <c r="AD588" i="29"/>
  <c r="AE318" i="29"/>
  <c r="AD468" i="29"/>
  <c r="AD492" i="29"/>
  <c r="AD228" i="29"/>
  <c r="AD47" i="29"/>
  <c r="AD256" i="29"/>
  <c r="AE147" i="29"/>
  <c r="AE169" i="29"/>
  <c r="AD134" i="29"/>
  <c r="AE345" i="29"/>
  <c r="AD223" i="29"/>
  <c r="AE49" i="29"/>
  <c r="AE313" i="29"/>
  <c r="AD500" i="29"/>
  <c r="AD598" i="29"/>
  <c r="AD508" i="29"/>
  <c r="AE149" i="29"/>
  <c r="AD559" i="29"/>
  <c r="AD582" i="29"/>
  <c r="AE156" i="29"/>
  <c r="AD179" i="29"/>
  <c r="AE353" i="29"/>
  <c r="AD186" i="29"/>
  <c r="AE159" i="29"/>
  <c r="AD145" i="29"/>
  <c r="AE161" i="29"/>
  <c r="AE185" i="29"/>
  <c r="AE316" i="29"/>
  <c r="AE70" i="29"/>
  <c r="AD66" i="29"/>
  <c r="AE214" i="29"/>
  <c r="AE291" i="29"/>
  <c r="AE523" i="29"/>
  <c r="AD261" i="29"/>
  <c r="AE84" i="29"/>
  <c r="AD30" i="29"/>
  <c r="AE453" i="29"/>
  <c r="AE474" i="29"/>
  <c r="AD69" i="29"/>
  <c r="AE377" i="29"/>
  <c r="AE223" i="29"/>
  <c r="AD184" i="29"/>
  <c r="AD236" i="29"/>
  <c r="AE260" i="29"/>
  <c r="AE278" i="29"/>
  <c r="AD337" i="29"/>
  <c r="AE405" i="29"/>
  <c r="AD405" i="29"/>
  <c r="AD460" i="29"/>
  <c r="AD469" i="29"/>
  <c r="AE376" i="29"/>
  <c r="AE466" i="29"/>
  <c r="AD485" i="29"/>
  <c r="AD538" i="29"/>
  <c r="AD542" i="29"/>
  <c r="AD553" i="29"/>
  <c r="AE539" i="29"/>
  <c r="AD362" i="29"/>
  <c r="AD123" i="29"/>
  <c r="AE346" i="29"/>
  <c r="AE58" i="29"/>
  <c r="AE143" i="29"/>
  <c r="AE40" i="29"/>
  <c r="AE572" i="29"/>
  <c r="AE210" i="29"/>
  <c r="AE280" i="29"/>
  <c r="AE322" i="29"/>
  <c r="AD431" i="29"/>
  <c r="AD300" i="29"/>
  <c r="AD397" i="29"/>
  <c r="AD82" i="29"/>
  <c r="AD195" i="29"/>
  <c r="AE287" i="29"/>
  <c r="AD459" i="29"/>
  <c r="AE508" i="29"/>
  <c r="AE71" i="29"/>
  <c r="AE184" i="29"/>
  <c r="AD287" i="29"/>
  <c r="AD608" i="29"/>
  <c r="AE232" i="29"/>
  <c r="AE444" i="29"/>
  <c r="AE283" i="29"/>
  <c r="AD305" i="29"/>
  <c r="AE351" i="29"/>
  <c r="AE409" i="29"/>
  <c r="AD596" i="29"/>
  <c r="AD220" i="29"/>
  <c r="AD327" i="29"/>
  <c r="AE330" i="29"/>
  <c r="AE467" i="29"/>
  <c r="AE478" i="29"/>
  <c r="AD506" i="29"/>
  <c r="AE306" i="29"/>
  <c r="AD515" i="29"/>
  <c r="AD494" i="29"/>
  <c r="AD529" i="29"/>
  <c r="AD141" i="29"/>
  <c r="AD180" i="29"/>
  <c r="AD177" i="29"/>
  <c r="AD270" i="29"/>
  <c r="AE399" i="29"/>
  <c r="AD548" i="29"/>
  <c r="AD602" i="29"/>
  <c r="AD252" i="29"/>
  <c r="AE382" i="29"/>
  <c r="AD523" i="29"/>
  <c r="AE439" i="29"/>
  <c r="AD446" i="29"/>
  <c r="AE490" i="29"/>
  <c r="AE481" i="29"/>
  <c r="AD581" i="29"/>
  <c r="AD544" i="29"/>
  <c r="AD549" i="29"/>
  <c r="AE594" i="29"/>
  <c r="AD363" i="29"/>
  <c r="AE69" i="29"/>
  <c r="AE102" i="29"/>
  <c r="AD398" i="29"/>
  <c r="AD499" i="29"/>
  <c r="AE33" i="29"/>
  <c r="AE290" i="29"/>
  <c r="AE125" i="29"/>
  <c r="AD208" i="29"/>
  <c r="AE310" i="29"/>
  <c r="AD412" i="29"/>
  <c r="AE155" i="29"/>
  <c r="AD403" i="29"/>
  <c r="AD497" i="29"/>
  <c r="AE141" i="29"/>
  <c r="AE231" i="29"/>
  <c r="AD322" i="29"/>
  <c r="AE45" i="29"/>
  <c r="AE118" i="29"/>
  <c r="AE173" i="29"/>
  <c r="AD292" i="29"/>
  <c r="AD310" i="29"/>
  <c r="AE266" i="29"/>
  <c r="AE192" i="29"/>
  <c r="AD202" i="29"/>
  <c r="AE256" i="29"/>
  <c r="AE341" i="29"/>
  <c r="AD376" i="29"/>
  <c r="AE429" i="29"/>
  <c r="AD587" i="29"/>
  <c r="AE97" i="29"/>
  <c r="AE182" i="29"/>
  <c r="AE259" i="29"/>
  <c r="AD249" i="29"/>
  <c r="AD295" i="29"/>
  <c r="AD320" i="29"/>
  <c r="AE411" i="29"/>
  <c r="AE449" i="29"/>
  <c r="AD545" i="29"/>
  <c r="AD512" i="29"/>
  <c r="AE568" i="29"/>
  <c r="AD135" i="29"/>
  <c r="AD142" i="29"/>
  <c r="AD222" i="29"/>
  <c r="AD289" i="29"/>
  <c r="AE361" i="29"/>
  <c r="AD378" i="29"/>
  <c r="AD592" i="29"/>
  <c r="AE59" i="29"/>
  <c r="AD122" i="29"/>
  <c r="AD212" i="29"/>
  <c r="AD274" i="29"/>
  <c r="AD319" i="29"/>
  <c r="AE293" i="29"/>
  <c r="AD475" i="29"/>
  <c r="AE61" i="29"/>
  <c r="AE242" i="29"/>
  <c r="AE324" i="29"/>
  <c r="AE343" i="29"/>
  <c r="AD455" i="29"/>
  <c r="AD507" i="29"/>
  <c r="AE560" i="29"/>
  <c r="AD601" i="29"/>
  <c r="AD441" i="29"/>
  <c r="AE454" i="29"/>
  <c r="AE533" i="29"/>
  <c r="AD605" i="29"/>
  <c r="AD595" i="29"/>
  <c r="AD530" i="29"/>
  <c r="AD578" i="29"/>
  <c r="AD585" i="29"/>
  <c r="AD356" i="29"/>
  <c r="AD140" i="29"/>
  <c r="AE142" i="29"/>
  <c r="AE404" i="29"/>
  <c r="AD246" i="29"/>
  <c r="AE349" i="29"/>
  <c r="AD465" i="29"/>
  <c r="AD563" i="29"/>
  <c r="AE573" i="29"/>
  <c r="AD150" i="29"/>
  <c r="AD265" i="29"/>
  <c r="AD461" i="29"/>
  <c r="AE469" i="29"/>
  <c r="AD20" i="29"/>
  <c r="AD18" i="29"/>
  <c r="AD61" i="29"/>
  <c r="AD78" i="29"/>
  <c r="AD87" i="29"/>
  <c r="AE412" i="29"/>
  <c r="AE95" i="29"/>
  <c r="AD502" i="29"/>
  <c r="AE119" i="29"/>
  <c r="AD97" i="29"/>
  <c r="AD147" i="29"/>
  <c r="AE174" i="29"/>
  <c r="AD269" i="29"/>
  <c r="AD336" i="29"/>
  <c r="AE585" i="29"/>
  <c r="AD156" i="29"/>
  <c r="AD241" i="29"/>
  <c r="AE441" i="29"/>
  <c r="AD504" i="29"/>
  <c r="AD133" i="29"/>
  <c r="AE222" i="29"/>
  <c r="AD368" i="29"/>
  <c r="AD389" i="29"/>
  <c r="AE501" i="29"/>
  <c r="AE190" i="29"/>
  <c r="AE267" i="29"/>
  <c r="AE94" i="29"/>
  <c r="AE111" i="29"/>
  <c r="AD154" i="29"/>
  <c r="AD275" i="29"/>
  <c r="AE308" i="29"/>
  <c r="AE493" i="29"/>
  <c r="AE540" i="29"/>
  <c r="AE19" i="29"/>
  <c r="AE279" i="29"/>
  <c r="AD395" i="29"/>
  <c r="AE381" i="29"/>
  <c r="AD491" i="29"/>
  <c r="AE511" i="29"/>
  <c r="AE603" i="29"/>
  <c r="AE358" i="29"/>
  <c r="AD583" i="29"/>
  <c r="AD92" i="29"/>
  <c r="AD552" i="29"/>
  <c r="AD298" i="29"/>
  <c r="AD577" i="29"/>
  <c r="AE374" i="29"/>
  <c r="AE402" i="29"/>
  <c r="AD201" i="29"/>
  <c r="AD481" i="29"/>
  <c r="AE77" i="29"/>
  <c r="AE91" i="29"/>
  <c r="AD221" i="29"/>
  <c r="AE240" i="29"/>
  <c r="AD158" i="29"/>
  <c r="AD279" i="29"/>
  <c r="AD338" i="29"/>
  <c r="AE13" i="29"/>
  <c r="AE445" i="29"/>
  <c r="AE164" i="29"/>
  <c r="AD64" i="29"/>
  <c r="AE170" i="29"/>
  <c r="AD196" i="29"/>
  <c r="AE300" i="29"/>
  <c r="AD118" i="29"/>
  <c r="AE86" i="29"/>
  <c r="AD227" i="29"/>
  <c r="AD136" i="29"/>
  <c r="AD325" i="29"/>
  <c r="AE323" i="29"/>
  <c r="AD380" i="29"/>
  <c r="AE350" i="29"/>
  <c r="AE193" i="29"/>
  <c r="AD211" i="29"/>
  <c r="AE344" i="29"/>
  <c r="AE583" i="29"/>
  <c r="AD324" i="29"/>
  <c r="AD474" i="29"/>
  <c r="AE221" i="29"/>
  <c r="AE127" i="29"/>
  <c r="AE55" i="29"/>
  <c r="AE137" i="29"/>
  <c r="AD344" i="29"/>
  <c r="AE272" i="29"/>
  <c r="AE271" i="29"/>
  <c r="AE130" i="29"/>
  <c r="AE372" i="29"/>
  <c r="AD159" i="29"/>
  <c r="AE133" i="29"/>
  <c r="AD258" i="29"/>
  <c r="AD260" i="29"/>
  <c r="AD353" i="29"/>
  <c r="AE334" i="29"/>
  <c r="AE338" i="29"/>
  <c r="AD364" i="29"/>
  <c r="AE390" i="29"/>
  <c r="AE426" i="29"/>
  <c r="AD421" i="29"/>
  <c r="AE485" i="29"/>
  <c r="AE387" i="29"/>
  <c r="AD482" i="29"/>
  <c r="AD526" i="29"/>
  <c r="AD404" i="29"/>
  <c r="AE398" i="29"/>
  <c r="AE504" i="29"/>
  <c r="AD466" i="29"/>
  <c r="AE578" i="29"/>
  <c r="AE74" i="29"/>
  <c r="AD470" i="29"/>
  <c r="AE554" i="29"/>
  <c r="AD347" i="29"/>
  <c r="AE289" i="29"/>
  <c r="AD112" i="29"/>
  <c r="AE177" i="29"/>
  <c r="AD231" i="29"/>
  <c r="AE56" i="29"/>
  <c r="AD96" i="29"/>
  <c r="AE16" i="29"/>
  <c r="AD77" i="29"/>
  <c r="AD39" i="29"/>
  <c r="AD73" i="29"/>
  <c r="AD117" i="29"/>
  <c r="AD13" i="29"/>
  <c r="AD162" i="29"/>
  <c r="AD255" i="29"/>
  <c r="AD352" i="29"/>
  <c r="AD554" i="29"/>
  <c r="AE251" i="29"/>
  <c r="AE286" i="29"/>
  <c r="AD555" i="29"/>
  <c r="AE106" i="29"/>
  <c r="AD204" i="29"/>
  <c r="AD447" i="29"/>
  <c r="AD99" i="29"/>
  <c r="AE499" i="29"/>
  <c r="AD556" i="29"/>
  <c r="AD48" i="29"/>
  <c r="AE64" i="29"/>
  <c r="AD225" i="29"/>
  <c r="AE598" i="29"/>
  <c r="AD132" i="29"/>
  <c r="AD146" i="29"/>
  <c r="AE216" i="29"/>
  <c r="AE275" i="29"/>
  <c r="AE288" i="29"/>
  <c r="AE543" i="29"/>
  <c r="AD562" i="29"/>
  <c r="AE96" i="29"/>
  <c r="AE198" i="29"/>
  <c r="AD343" i="29"/>
  <c r="AE281" i="29"/>
  <c r="AE36" i="29"/>
  <c r="AD15" i="29"/>
  <c r="AD16" i="29"/>
  <c r="AE31" i="29"/>
  <c r="AE295" i="29"/>
  <c r="AD131" i="29"/>
  <c r="AE228" i="29"/>
  <c r="AE248" i="29"/>
  <c r="AE386" i="29"/>
  <c r="AE452" i="29"/>
  <c r="AE252" i="29"/>
  <c r="AE611" i="29"/>
  <c r="AE41" i="29"/>
  <c r="AD308" i="29"/>
  <c r="AD433" i="29"/>
  <c r="AE601" i="29"/>
  <c r="AD237" i="29"/>
  <c r="AD254" i="29"/>
  <c r="AE309" i="29"/>
  <c r="AD524" i="29"/>
  <c r="AE117" i="29"/>
  <c r="AE194" i="29"/>
  <c r="AD335" i="29"/>
  <c r="AE455" i="29"/>
  <c r="AD406" i="29"/>
  <c r="AE530" i="29"/>
  <c r="AD569" i="29"/>
  <c r="AE107" i="29"/>
  <c r="AE160" i="29"/>
  <c r="AD200" i="29"/>
  <c r="AD191" i="29"/>
  <c r="AD247" i="29"/>
  <c r="AD611" i="29"/>
  <c r="AE93" i="29"/>
  <c r="AD161" i="29"/>
  <c r="AE255" i="29"/>
  <c r="AD291" i="29"/>
  <c r="AD346" i="29"/>
  <c r="AE367" i="29"/>
  <c r="AE384" i="29"/>
  <c r="AD75" i="29"/>
  <c r="AD399" i="29"/>
  <c r="AD539" i="29"/>
  <c r="AD551" i="29"/>
  <c r="AE105" i="29"/>
  <c r="AE195" i="29"/>
  <c r="AE44" i="29"/>
  <c r="AD33" i="29"/>
  <c r="AE157" i="29"/>
  <c r="AE108" i="29"/>
  <c r="AD358" i="29"/>
  <c r="AE433" i="29"/>
  <c r="AD198" i="29"/>
  <c r="AE434" i="29"/>
  <c r="AE446" i="29"/>
  <c r="AD218" i="29"/>
  <c r="AD95" i="29"/>
  <c r="AE363" i="29"/>
  <c r="AE587" i="29"/>
  <c r="AE253" i="29"/>
  <c r="AD410" i="29"/>
  <c r="AE597" i="29"/>
  <c r="AE163" i="29"/>
  <c r="AD130" i="29"/>
  <c r="AE219" i="29"/>
  <c r="AE319" i="29"/>
  <c r="AE471" i="29"/>
  <c r="AD115" i="29"/>
  <c r="AE394" i="29"/>
  <c r="AE516" i="29"/>
  <c r="AD234" i="29"/>
  <c r="AD286" i="29"/>
  <c r="AD392" i="29"/>
  <c r="AE574" i="29"/>
  <c r="AE62" i="29"/>
  <c r="AE79" i="29"/>
  <c r="AD417" i="29"/>
  <c r="AD426" i="29"/>
  <c r="AD532" i="29"/>
  <c r="AD213" i="29"/>
  <c r="AE298" i="29"/>
  <c r="AE320" i="29"/>
  <c r="AD493" i="29"/>
  <c r="AD536" i="29"/>
  <c r="AD603" i="29"/>
  <c r="AE397" i="29"/>
  <c r="AD420" i="29"/>
  <c r="AE525" i="29"/>
  <c r="AD558" i="29"/>
  <c r="AE538" i="29"/>
  <c r="AD290" i="29"/>
  <c r="AD189" i="29"/>
  <c r="AE258" i="29"/>
  <c r="AD303" i="29"/>
  <c r="AE463" i="29"/>
  <c r="AE468" i="29"/>
  <c r="AE526" i="29"/>
  <c r="AE100" i="29"/>
  <c r="AE158" i="29"/>
  <c r="AE197" i="29"/>
  <c r="AE209" i="29"/>
  <c r="AE333" i="29"/>
  <c r="AD391" i="29"/>
  <c r="AD400" i="29"/>
  <c r="AD572" i="29"/>
  <c r="AE81" i="29"/>
  <c r="AE120" i="29"/>
  <c r="AE265" i="29"/>
  <c r="AE475" i="29"/>
  <c r="AD509" i="29"/>
  <c r="AD419" i="29"/>
  <c r="AD484" i="29"/>
  <c r="AE595" i="29"/>
  <c r="AD561" i="29"/>
  <c r="AE482" i="29"/>
  <c r="AD350" i="29"/>
  <c r="AD62" i="29"/>
  <c r="AE519" i="29"/>
  <c r="AE355" i="29"/>
  <c r="AE188" i="29"/>
  <c r="AE491" i="29"/>
  <c r="AD214" i="29"/>
  <c r="AD181" i="29"/>
  <c r="AD528" i="29"/>
  <c r="AD365" i="29"/>
  <c r="AE249" i="29"/>
  <c r="AD251" i="29"/>
  <c r="AD149" i="29"/>
  <c r="AE162" i="29"/>
  <c r="AD120" i="29"/>
  <c r="AD604" i="29"/>
  <c r="AD282" i="29"/>
  <c r="AD215" i="29"/>
  <c r="AE135" i="29"/>
  <c r="AD206" i="29"/>
  <c r="AD253" i="29"/>
  <c r="AD341" i="29"/>
  <c r="AD384" i="29"/>
  <c r="AD178" i="29"/>
  <c r="AD259" i="29"/>
  <c r="AD314" i="29"/>
  <c r="AD307" i="29"/>
  <c r="AE408" i="29"/>
  <c r="AD367" i="29"/>
  <c r="AE416" i="29"/>
  <c r="AE383" i="29"/>
  <c r="AD388" i="29"/>
  <c r="AD443" i="29"/>
  <c r="AE448" i="29"/>
  <c r="AD478" i="29"/>
  <c r="AE586" i="29"/>
  <c r="AD586" i="29"/>
  <c r="AD444" i="29"/>
  <c r="AD463" i="29"/>
  <c r="AE314" i="29"/>
  <c r="AD450" i="29"/>
  <c r="AE391" i="29"/>
  <c r="AD451" i="29"/>
  <c r="AE461" i="29"/>
  <c r="AD483" i="29"/>
  <c r="AE517" i="29"/>
  <c r="AE536" i="29"/>
  <c r="AE562" i="29"/>
  <c r="AD606" i="29"/>
  <c r="AE43" i="29"/>
  <c r="AD490" i="29"/>
  <c r="AD503" i="29"/>
  <c r="AD537" i="29"/>
  <c r="AD573" i="29"/>
  <c r="AE556" i="29"/>
  <c r="AE575" i="29"/>
  <c r="AE590" i="29"/>
  <c r="AE600" i="29"/>
  <c r="AD370" i="29"/>
  <c r="AE225" i="29"/>
  <c r="AD267" i="29"/>
  <c r="AE427" i="29"/>
  <c r="AE419" i="29"/>
  <c r="AE505" i="29"/>
  <c r="AE610" i="29"/>
  <c r="AD93" i="29"/>
  <c r="AE234" i="29"/>
  <c r="AD250" i="29"/>
  <c r="AD357" i="29"/>
  <c r="AD240" i="29"/>
  <c r="AE489" i="29"/>
  <c r="AE570" i="29"/>
  <c r="AD53" i="29"/>
  <c r="AD169" i="29"/>
  <c r="AD230" i="29"/>
  <c r="AD574" i="29"/>
  <c r="AD192" i="29"/>
  <c r="AE148" i="29"/>
  <c r="AE392" i="29"/>
  <c r="AD411" i="29"/>
  <c r="AD457" i="29"/>
  <c r="AE495" i="29"/>
  <c r="AD546" i="29"/>
  <c r="AE327" i="29"/>
  <c r="AE576" i="29"/>
  <c r="AE207" i="29"/>
  <c r="AD14" i="29"/>
  <c r="AD19" i="29"/>
  <c r="AE54" i="29"/>
  <c r="AD285" i="29"/>
  <c r="AD137" i="29"/>
  <c r="AE312" i="29"/>
  <c r="AE531" i="29"/>
  <c r="AD36" i="29"/>
  <c r="AE153" i="29"/>
  <c r="AE124" i="29"/>
  <c r="AD264" i="29"/>
  <c r="AD401" i="29"/>
  <c r="AE28" i="29"/>
  <c r="AD60" i="29"/>
  <c r="AD28" i="29"/>
  <c r="AE203" i="29"/>
  <c r="AE421" i="29"/>
  <c r="AE325" i="29"/>
  <c r="AD84" i="29"/>
  <c r="AE199" i="29"/>
  <c r="AE236" i="29"/>
  <c r="AE282" i="29"/>
  <c r="AD600" i="29"/>
  <c r="AE87" i="29"/>
  <c r="AD172" i="29"/>
  <c r="AE237" i="29"/>
  <c r="AE299" i="29"/>
  <c r="AD360" i="29"/>
  <c r="AD224" i="29"/>
  <c r="AE284" i="29"/>
  <c r="AE385" i="29"/>
  <c r="AD171" i="29"/>
  <c r="AE99" i="29"/>
  <c r="AE584" i="29"/>
  <c r="AE109" i="29"/>
  <c r="AE208" i="29"/>
  <c r="AD331" i="29"/>
  <c r="AD235" i="29"/>
  <c r="AD293" i="29"/>
  <c r="AD453" i="29"/>
  <c r="AD486" i="29"/>
  <c r="AE113" i="29"/>
  <c r="AD276" i="29"/>
  <c r="AE342" i="29"/>
  <c r="AD520" i="29"/>
  <c r="AE285" i="29"/>
  <c r="AE450" i="29"/>
  <c r="AE172" i="29"/>
  <c r="AE201" i="29"/>
  <c r="AE337" i="29"/>
  <c r="AE154" i="29"/>
  <c r="AE50" i="29"/>
  <c r="AD35" i="29"/>
  <c r="AD238" i="29"/>
  <c r="AD127" i="29"/>
  <c r="AE168" i="29"/>
  <c r="AD467" i="29"/>
  <c r="AE532" i="29"/>
  <c r="AD476" i="29"/>
  <c r="AE331" i="29"/>
  <c r="AD91" i="29"/>
  <c r="AE150" i="29"/>
  <c r="AD80" i="29"/>
  <c r="AE401" i="29"/>
  <c r="AE565" i="29"/>
  <c r="AD151" i="29"/>
  <c r="AD294" i="29"/>
  <c r="AD330" i="29"/>
  <c r="AD464" i="29"/>
  <c r="AD266" i="29"/>
  <c r="AD281" i="29"/>
  <c r="AE608" i="29"/>
  <c r="AE82" i="29"/>
  <c r="AD174" i="29"/>
  <c r="AE292" i="29"/>
  <c r="AE432" i="29"/>
  <c r="AE488" i="29"/>
  <c r="AE175" i="29"/>
  <c r="AE227" i="29"/>
  <c r="AE438" i="29"/>
  <c r="AE364" i="29"/>
  <c r="AE520" i="29"/>
  <c r="AD579" i="29"/>
  <c r="AE368" i="29"/>
  <c r="AD315" i="29"/>
  <c r="AD326" i="29"/>
  <c r="AE347" i="29"/>
  <c r="AE365" i="29"/>
  <c r="AD396" i="29"/>
  <c r="AD382" i="29"/>
  <c r="AE582" i="29"/>
  <c r="AE181" i="29"/>
  <c r="AD340" i="29"/>
  <c r="AE447" i="29"/>
  <c r="AD423" i="29"/>
  <c r="AE110" i="29"/>
  <c r="AD262" i="29"/>
  <c r="AE302" i="29"/>
  <c r="AD511" i="29"/>
  <c r="AE189" i="29"/>
  <c r="AD173" i="29"/>
  <c r="AE388" i="29"/>
  <c r="AE604" i="29"/>
  <c r="AE126" i="29"/>
  <c r="AE204" i="29"/>
  <c r="AE268" i="29"/>
  <c r="AD311" i="29"/>
  <c r="AE335" i="29"/>
  <c r="AD471" i="29"/>
  <c r="AE555" i="29"/>
  <c r="AE68" i="29"/>
  <c r="AE211" i="29"/>
  <c r="AE229" i="29"/>
  <c r="AD317" i="29"/>
  <c r="AE414" i="29"/>
  <c r="AE436" i="29"/>
  <c r="AD373" i="29"/>
  <c r="AE378" i="29"/>
  <c r="AD379" i="29"/>
  <c r="AE456" i="29"/>
  <c r="AD472" i="29"/>
  <c r="AD560" i="29"/>
  <c r="AD121" i="29"/>
  <c r="AE60" i="29"/>
  <c r="AE473" i="29"/>
  <c r="AE496" i="29"/>
  <c r="AE535" i="29"/>
  <c r="AD575" i="29"/>
  <c r="AD599" i="29"/>
  <c r="AE72" i="29"/>
  <c r="AE66" i="29"/>
  <c r="AE83" i="29"/>
  <c r="AD152" i="29"/>
  <c r="AD126" i="29"/>
  <c r="AD216" i="29"/>
  <c r="AE233" i="29"/>
  <c r="AD321" i="29"/>
  <c r="AD415" i="29"/>
  <c r="AE440" i="29"/>
  <c r="AE500" i="29"/>
  <c r="AE588" i="29"/>
  <c r="AE326" i="29"/>
  <c r="AD332" i="29"/>
  <c r="AE380" i="29"/>
  <c r="AD533" i="29"/>
  <c r="AE581" i="29"/>
  <c r="AD607" i="29"/>
  <c r="AE524" i="29"/>
  <c r="AD205" i="29"/>
  <c r="AE17" i="29"/>
  <c r="AE465" i="29"/>
  <c r="AE128" i="29"/>
  <c r="AE395" i="29"/>
  <c r="AD219" i="29"/>
  <c r="AD119" i="29"/>
  <c r="AD564" i="29"/>
  <c r="AD407" i="29"/>
  <c r="AD390" i="29"/>
  <c r="AE179" i="29"/>
  <c r="AD175" i="29"/>
  <c r="AE176" i="29"/>
  <c r="AE114" i="29"/>
  <c r="AD372" i="29"/>
  <c r="AE311" i="29"/>
  <c r="AE213" i="29"/>
  <c r="AE224" i="29"/>
  <c r="AD116" i="29"/>
  <c r="AE115" i="29"/>
  <c r="AD354" i="29"/>
  <c r="AD245" i="29"/>
  <c r="AE187" i="29"/>
  <c r="AE90" i="29"/>
  <c r="AD190" i="29"/>
  <c r="AD271" i="29"/>
  <c r="AD355" i="29"/>
  <c r="AE352" i="29"/>
  <c r="AE577" i="29"/>
  <c r="AE246" i="29"/>
  <c r="AD278" i="29"/>
  <c r="AD328" i="29"/>
  <c r="AD375" i="29"/>
  <c r="AE354" i="29"/>
  <c r="AE348" i="29"/>
  <c r="AD434" i="29"/>
  <c r="AE400" i="29"/>
  <c r="AD488" i="29"/>
  <c r="AE544" i="29"/>
  <c r="AE403" i="29"/>
  <c r="AD393" i="29"/>
  <c r="AD428" i="29"/>
  <c r="AE563" i="29"/>
  <c r="AE362" i="29"/>
  <c r="AE356" i="29"/>
  <c r="AD435" i="29"/>
  <c r="AE470" i="29"/>
  <c r="AD473" i="29"/>
  <c r="AD510" i="29"/>
  <c r="AE579" i="29"/>
  <c r="AD543" i="29"/>
  <c r="AE569" i="29"/>
  <c r="AD501" i="29"/>
  <c r="AD496" i="29"/>
  <c r="AE498" i="29"/>
  <c r="AE541" i="29"/>
  <c r="AE593" i="29"/>
  <c r="AD584" i="29"/>
  <c r="AE486" i="29"/>
  <c r="AD540" i="29"/>
  <c r="AE605" i="29"/>
  <c r="AD422" i="29"/>
  <c r="AE166" i="29"/>
  <c r="AE200" i="29"/>
  <c r="AD273" i="29"/>
  <c r="AE357" i="29"/>
  <c r="AE591" i="29"/>
  <c r="AE321" i="29"/>
  <c r="AD612" i="29"/>
  <c r="AE460" i="29"/>
  <c r="AE264" i="29"/>
  <c r="AE140" i="29"/>
  <c r="AE92" i="29"/>
  <c r="AD167" i="29"/>
  <c r="AE418" i="29"/>
  <c r="AE503" i="29"/>
  <c r="AE205" i="29"/>
  <c r="AD339" i="29"/>
  <c r="AE435" i="29"/>
  <c r="AD456" i="29"/>
  <c r="AE442" i="29"/>
  <c r="AE178" i="29"/>
  <c r="AE332" i="29"/>
  <c r="AD505" i="29"/>
  <c r="AE121" i="29"/>
  <c r="AD176" i="29"/>
  <c r="AE407" i="29"/>
  <c r="AE239" i="29"/>
  <c r="AE261" i="29"/>
  <c r="AD349" i="29"/>
  <c r="AE596" i="29"/>
  <c r="AE104" i="29"/>
  <c r="AE180" i="29"/>
  <c r="AE206" i="29"/>
  <c r="AD316" i="29"/>
  <c r="AE497" i="29"/>
  <c r="AE551" i="29"/>
  <c r="AD44" i="29"/>
  <c r="AE369" i="29"/>
  <c r="AE534" i="29"/>
  <c r="AE613" i="29"/>
  <c r="AE47" i="29"/>
  <c r="AE559" i="29"/>
  <c r="AD580" i="29"/>
  <c r="AE21" i="29"/>
  <c r="AD56" i="29"/>
  <c r="AD124" i="29"/>
  <c r="AE379" i="29"/>
  <c r="AD418" i="29"/>
  <c r="AE245" i="29"/>
  <c r="AE269" i="29"/>
  <c r="AE537" i="29"/>
  <c r="AD477" i="29"/>
  <c r="AD110" i="29"/>
  <c r="AE103" i="29"/>
  <c r="AD187" i="29"/>
  <c r="AD243" i="29"/>
  <c r="AD454" i="29"/>
  <c r="AD567" i="29"/>
  <c r="AE151" i="29"/>
  <c r="AE304" i="29"/>
  <c r="AE410" i="29"/>
  <c r="AE514" i="29"/>
  <c r="AD385" i="29"/>
  <c r="AD535" i="29"/>
  <c r="AD594" i="29"/>
  <c r="AD263" i="29"/>
  <c r="AD329" i="29"/>
  <c r="AE420" i="29"/>
  <c r="AE129" i="29"/>
  <c r="AE480" i="29"/>
  <c r="AD513" i="29"/>
  <c r="AE547" i="29"/>
  <c r="AE580" i="29"/>
  <c r="AD106" i="29"/>
  <c r="AE212" i="29"/>
  <c r="AD313" i="29"/>
  <c r="AE415" i="29"/>
  <c r="AE484" i="29"/>
  <c r="AE548" i="29"/>
  <c r="AE51" i="29"/>
  <c r="AD299" i="29"/>
  <c r="AE89" i="29"/>
  <c r="AE226" i="29"/>
  <c r="AE366" i="29"/>
  <c r="AE101" i="29"/>
  <c r="AE315" i="29"/>
  <c r="AE431" i="29"/>
  <c r="AD165" i="29"/>
  <c r="AD199" i="29"/>
  <c r="AD89" i="29"/>
  <c r="AD233" i="29"/>
  <c r="AD345" i="29"/>
  <c r="AE494" i="29"/>
  <c r="AE235" i="29"/>
  <c r="AE370" i="29"/>
  <c r="AE123" i="29"/>
  <c r="AD288" i="29"/>
  <c r="AE458" i="29"/>
  <c r="AD409" i="29"/>
  <c r="AE191" i="29"/>
  <c r="AE307" i="29"/>
  <c r="AD439" i="29"/>
  <c r="AE566" i="29"/>
  <c r="AD168" i="29"/>
  <c r="AD63" i="29"/>
  <c r="AE32" i="29"/>
  <c r="AD26" i="29"/>
  <c r="AD67" i="29"/>
  <c r="AD22" i="29"/>
  <c r="AD79" i="29"/>
  <c r="AE23" i="29"/>
  <c r="AD107" i="29"/>
  <c r="AD68" i="29"/>
  <c r="AD25" i="29"/>
  <c r="AD105" i="29"/>
  <c r="AD74" i="29"/>
  <c r="AD65" i="29"/>
  <c r="AD41" i="29"/>
  <c r="AE39" i="29"/>
  <c r="AE20" i="29"/>
  <c r="AD40" i="29"/>
  <c r="AD21" i="29"/>
  <c r="AD37" i="29"/>
  <c r="AD83" i="29"/>
  <c r="AD46" i="29"/>
  <c r="AE122" i="29"/>
  <c r="AD32" i="29"/>
  <c r="AE78" i="29"/>
  <c r="AD111" i="29"/>
  <c r="AD81" i="29"/>
  <c r="AD72" i="29"/>
  <c r="AD52" i="29"/>
  <c r="AD17" i="29"/>
  <c r="AE138" i="29"/>
  <c r="AD76" i="29"/>
  <c r="AD42" i="29"/>
  <c r="AD45" i="29"/>
  <c r="AD51" i="29"/>
  <c r="AD54" i="29"/>
  <c r="AD94" i="29"/>
  <c r="Q625" i="29"/>
  <c r="AD49" i="29"/>
  <c r="AD43" i="29"/>
  <c r="AD57" i="29"/>
  <c r="AD29" i="29"/>
  <c r="U625" i="29"/>
  <c r="AE24" i="29"/>
  <c r="AE15" i="29"/>
  <c r="AD34" i="29"/>
  <c r="AD58" i="29"/>
  <c r="AD113" i="29"/>
  <c r="AD104" i="29"/>
  <c r="AE48" i="29"/>
  <c r="AD23" i="29"/>
  <c r="AE14" i="29"/>
  <c r="T625" i="29"/>
  <c r="P625" i="29"/>
  <c r="V625" i="29"/>
  <c r="AD31" i="29"/>
  <c r="R625" i="29"/>
  <c r="O625" i="29"/>
  <c r="S625" i="29"/>
  <c r="AD38" i="29"/>
  <c r="AE52" i="29"/>
  <c r="AE626" i="29"/>
  <c r="AD626" i="29"/>
  <c r="AE624" i="29" l="1"/>
  <c r="AD624" i="29"/>
  <c r="AE625" i="29"/>
  <c r="AD625" i="29"/>
  <c r="D37" i="19" l="1"/>
  <c r="N108" i="24" l="1"/>
  <c r="B54" i="19" l="1"/>
  <c r="D54" i="19" s="1"/>
  <c r="D42" i="19"/>
  <c r="B206" i="2"/>
  <c r="EX1" i="24" s="1"/>
  <c r="BT1" i="24" l="1"/>
  <c r="B97" i="2" l="1"/>
  <c r="M10" i="1"/>
  <c r="K10" i="1"/>
  <c r="B18" i="2" l="1"/>
  <c r="CK212" i="25" s="1"/>
  <c r="B28" i="19"/>
  <c r="D28" i="19" s="1"/>
  <c r="B49" i="19"/>
  <c r="D49" i="19" s="1"/>
  <c r="EQ216" i="25" l="1"/>
  <c r="ES216" i="24"/>
  <c r="EV216" i="24" s="1"/>
  <c r="BO216" i="24"/>
  <c r="BR216" i="24" s="1"/>
  <c r="CK112" i="25"/>
  <c r="L105" i="2"/>
  <c r="G83" i="2"/>
  <c r="EQ110" i="25"/>
  <c r="ES110" i="24"/>
  <c r="EV110" i="24" s="1"/>
  <c r="CQ1" i="24"/>
  <c r="CK287" i="25"/>
  <c r="CK201" i="25"/>
  <c r="CK186" i="25"/>
  <c r="CK172" i="25"/>
  <c r="CK147" i="25"/>
  <c r="CK143" i="25"/>
  <c r="CK118" i="25"/>
  <c r="CK94" i="25"/>
  <c r="CK54" i="25"/>
  <c r="CK46" i="25"/>
  <c r="CK302" i="25"/>
  <c r="CK297" i="25"/>
  <c r="CK292" i="25"/>
  <c r="CK289" i="25"/>
  <c r="CK280" i="25"/>
  <c r="CK261" i="25"/>
  <c r="CK249" i="25"/>
  <c r="CK228" i="25"/>
  <c r="CK225" i="25"/>
  <c r="CK222" i="25"/>
  <c r="CK219" i="25"/>
  <c r="CK199" i="25"/>
  <c r="CK197" i="25"/>
  <c r="CK194" i="25"/>
  <c r="CK191" i="25"/>
  <c r="CK161" i="25"/>
  <c r="CK157" i="25"/>
  <c r="CK139" i="25"/>
  <c r="CK127" i="25"/>
  <c r="CK124" i="25"/>
  <c r="CK113" i="25"/>
  <c r="CK104" i="25"/>
  <c r="CK98" i="25"/>
  <c r="CK96" i="25"/>
  <c r="CK92" i="25"/>
  <c r="CK83" i="25"/>
  <c r="CK81" i="25"/>
  <c r="CK79" i="25"/>
  <c r="CK65" i="25"/>
  <c r="CK23" i="25"/>
  <c r="CK17" i="25"/>
  <c r="CK13" i="25"/>
  <c r="CK314" i="25"/>
  <c r="CK282" i="25"/>
  <c r="CK278" i="25"/>
  <c r="CK272" i="25"/>
  <c r="CK267" i="25"/>
  <c r="CK265" i="25"/>
  <c r="CK263" i="25"/>
  <c r="CK253" i="25"/>
  <c r="CK242" i="25"/>
  <c r="CK233" i="25"/>
  <c r="CK206" i="25"/>
  <c r="CK183" i="25"/>
  <c r="CK179" i="25"/>
  <c r="CK177" i="25"/>
  <c r="CK170" i="25"/>
  <c r="CK150" i="25"/>
  <c r="CK137" i="25"/>
  <c r="CK119" i="25"/>
  <c r="CK87" i="25"/>
  <c r="CK85" i="25"/>
  <c r="CK76" i="25"/>
  <c r="CK72" i="25"/>
  <c r="CK269" i="25"/>
  <c r="CK251" i="25"/>
  <c r="CK230" i="25"/>
  <c r="CK181" i="25"/>
  <c r="CK168" i="25"/>
  <c r="CK164" i="25"/>
  <c r="CK130" i="25"/>
  <c r="CK116" i="25"/>
  <c r="CK74" i="25"/>
  <c r="CK316" i="25"/>
  <c r="CK311" i="25"/>
  <c r="CK309" i="25"/>
  <c r="CK301" i="25"/>
  <c r="CK299" i="25"/>
  <c r="CK294" i="25"/>
  <c r="CK291" i="25"/>
  <c r="CK288" i="25"/>
  <c r="CK286" i="25"/>
  <c r="CK284" i="25"/>
  <c r="CK275" i="25"/>
  <c r="CK258" i="25"/>
  <c r="CK256" i="25"/>
  <c r="CK246" i="25"/>
  <c r="CK244" i="25"/>
  <c r="CK237" i="25"/>
  <c r="CK235" i="25"/>
  <c r="CK224" i="25"/>
  <c r="CK216" i="25"/>
  <c r="CK208" i="25"/>
  <c r="CK204" i="25"/>
  <c r="CK195" i="25"/>
  <c r="CK189" i="25"/>
  <c r="CK185" i="25"/>
  <c r="CK175" i="25"/>
  <c r="CK166" i="25"/>
  <c r="CK160" i="25"/>
  <c r="CK156" i="25"/>
  <c r="CK153" i="25"/>
  <c r="CK122" i="25"/>
  <c r="CK111" i="25"/>
  <c r="CK110" i="25"/>
  <c r="CK89" i="25"/>
  <c r="CK38" i="25"/>
  <c r="CK31" i="25"/>
  <c r="CK27" i="25"/>
  <c r="CK25" i="25"/>
  <c r="CK12" i="25"/>
  <c r="CK10" i="25"/>
  <c r="CK290" i="25"/>
  <c r="CK277" i="25"/>
  <c r="CK254" i="25"/>
  <c r="CK227" i="25"/>
  <c r="CK200" i="25"/>
  <c r="CK196" i="25"/>
  <c r="CK159" i="25"/>
  <c r="CK138" i="25"/>
  <c r="CK120" i="25"/>
  <c r="CK97" i="25"/>
  <c r="CK93" i="25"/>
  <c r="CK80" i="25"/>
  <c r="CK62" i="25"/>
  <c r="CK53" i="25"/>
  <c r="CK42" i="25"/>
  <c r="CK33" i="25"/>
  <c r="CK24" i="25"/>
  <c r="CK313" i="25"/>
  <c r="CK306" i="25"/>
  <c r="CK304" i="25"/>
  <c r="CK296" i="25"/>
  <c r="CK248" i="25"/>
  <c r="CK239" i="25"/>
  <c r="CK232" i="25"/>
  <c r="CK221" i="25"/>
  <c r="CK218" i="25"/>
  <c r="CK202" i="25"/>
  <c r="CK192" i="25"/>
  <c r="CK187" i="25"/>
  <c r="CK173" i="25"/>
  <c r="CK163" i="25"/>
  <c r="CK148" i="25"/>
  <c r="CK146" i="25"/>
  <c r="CK144" i="25"/>
  <c r="CK142" i="25"/>
  <c r="CK140" i="25"/>
  <c r="CK135" i="25"/>
  <c r="CK133" i="25"/>
  <c r="CK128" i="25"/>
  <c r="CK125" i="25"/>
  <c r="CK114" i="25"/>
  <c r="CK103" i="25"/>
  <c r="CK101" i="25"/>
  <c r="CK95" i="25"/>
  <c r="CK91" i="25"/>
  <c r="CK68" i="25"/>
  <c r="CK66" i="25"/>
  <c r="CK55" i="25"/>
  <c r="CK51" i="25"/>
  <c r="CK49" i="25"/>
  <c r="CK45" i="25"/>
  <c r="CK40" i="25"/>
  <c r="CK29" i="25"/>
  <c r="CK22" i="25"/>
  <c r="CK20" i="25"/>
  <c r="CK18" i="25"/>
  <c r="CK16" i="25"/>
  <c r="CK14" i="25"/>
  <c r="CK6" i="25"/>
  <c r="CK308" i="25"/>
  <c r="CK279" i="25"/>
  <c r="CK274" i="25"/>
  <c r="CK260" i="25"/>
  <c r="CK250" i="25"/>
  <c r="CK210" i="25"/>
  <c r="CK198" i="25"/>
  <c r="CK171" i="25"/>
  <c r="CK152" i="25"/>
  <c r="CK131" i="25"/>
  <c r="CK117" i="25"/>
  <c r="CK99" i="25"/>
  <c r="CK82" i="25"/>
  <c r="CK78" i="25"/>
  <c r="CK58" i="25"/>
  <c r="CK47" i="25"/>
  <c r="CK35" i="25"/>
  <c r="CK271" i="25"/>
  <c r="CK71" i="25"/>
  <c r="CK298" i="25"/>
  <c r="CK293" i="25"/>
  <c r="CK281" i="25"/>
  <c r="CK268" i="25"/>
  <c r="CK266" i="25"/>
  <c r="CK264" i="25"/>
  <c r="CK252" i="25"/>
  <c r="CK241" i="25"/>
  <c r="CK234" i="25"/>
  <c r="CK229" i="25"/>
  <c r="CK207" i="25"/>
  <c r="CK193" i="25"/>
  <c r="CK190" i="25"/>
  <c r="CK182" i="25"/>
  <c r="CK180" i="25"/>
  <c r="CK178" i="25"/>
  <c r="CK176" i="25"/>
  <c r="CK162" i="25"/>
  <c r="CK315" i="25"/>
  <c r="CK312" i="25"/>
  <c r="CK310" i="25"/>
  <c r="CK303" i="25"/>
  <c r="CK300" i="25"/>
  <c r="CK295" i="25"/>
  <c r="CK283" i="25"/>
  <c r="CK270" i="25"/>
  <c r="CK262" i="25"/>
  <c r="CK259" i="25"/>
  <c r="CK257" i="25"/>
  <c r="CK245" i="25"/>
  <c r="CK243" i="25"/>
  <c r="CK238" i="25"/>
  <c r="CK236" i="25"/>
  <c r="CK226" i="25"/>
  <c r="CK223" i="25"/>
  <c r="CK220" i="25"/>
  <c r="CK217" i="25"/>
  <c r="CK205" i="25"/>
  <c r="CK184" i="25"/>
  <c r="CK165" i="25"/>
  <c r="CK158" i="25"/>
  <c r="CK151" i="25"/>
  <c r="CK136" i="25"/>
  <c r="CK132" i="25"/>
  <c r="CK129" i="25"/>
  <c r="CK126" i="25"/>
  <c r="CK115" i="25"/>
  <c r="CK105" i="25"/>
  <c r="CK100" i="25"/>
  <c r="CK90" i="25"/>
  <c r="CK88" i="25"/>
  <c r="CK77" i="25"/>
  <c r="CK69" i="25"/>
  <c r="CK67" i="25"/>
  <c r="CK60" i="25"/>
  <c r="CK56" i="25"/>
  <c r="CK50" i="25"/>
  <c r="CK32" i="25"/>
  <c r="CK30" i="25"/>
  <c r="CK28" i="25"/>
  <c r="CK11" i="25"/>
  <c r="CK307" i="25"/>
  <c r="CK305" i="25"/>
  <c r="CK285" i="25"/>
  <c r="CK276" i="25"/>
  <c r="CK273" i="25"/>
  <c r="CK255" i="25"/>
  <c r="CK247" i="25"/>
  <c r="CK240" i="25"/>
  <c r="CK231" i="25"/>
  <c r="CK209" i="25"/>
  <c r="CK203" i="25"/>
  <c r="CK188" i="25"/>
  <c r="CK174" i="25"/>
  <c r="CK154" i="25"/>
  <c r="CK149" i="25"/>
  <c r="CK145" i="25"/>
  <c r="CK141" i="25"/>
  <c r="CK134" i="25"/>
  <c r="CK121" i="25"/>
  <c r="CK102" i="25"/>
  <c r="CK52" i="25"/>
  <c r="CK48" i="25"/>
  <c r="CK70" i="25"/>
  <c r="CK61" i="25"/>
  <c r="CK36" i="25"/>
  <c r="CK44" i="25"/>
  <c r="CK9" i="25"/>
  <c r="CK167" i="25"/>
  <c r="CK169" i="25"/>
  <c r="CK155" i="25"/>
  <c r="CK84" i="25"/>
  <c r="CK41" i="25"/>
  <c r="CK21" i="25"/>
  <c r="CK7" i="25"/>
  <c r="CK39" i="25"/>
  <c r="CK19" i="25"/>
  <c r="CK43" i="25"/>
  <c r="CK26" i="25"/>
  <c r="CK15" i="25"/>
  <c r="CK123" i="25"/>
  <c r="CK34" i="25"/>
  <c r="CK63" i="25"/>
  <c r="CK8" i="25"/>
  <c r="CK86" i="25"/>
  <c r="CK73" i="25"/>
  <c r="CK64" i="25"/>
  <c r="CK57" i="25"/>
  <c r="CK37" i="25"/>
  <c r="CK59" i="25"/>
  <c r="CK75" i="25"/>
  <c r="BO110" i="24"/>
  <c r="BR110" i="24" s="1"/>
  <c r="M1" i="24"/>
  <c r="K41" i="16" l="1"/>
  <c r="K40" i="16"/>
  <c r="K39" i="16"/>
  <c r="K33" i="16"/>
  <c r="J33" i="16"/>
  <c r="I33" i="16"/>
  <c r="H33" i="16"/>
  <c r="I34" i="16"/>
  <c r="H34" i="16"/>
  <c r="C41" i="16"/>
  <c r="D40" i="16"/>
  <c r="D39" i="16"/>
  <c r="J40" i="16"/>
  <c r="H40" i="16"/>
  <c r="J39" i="16"/>
  <c r="J50" i="16"/>
  <c r="I50" i="16"/>
  <c r="H50" i="16"/>
  <c r="A50" i="16"/>
  <c r="D42" i="16"/>
  <c r="D41" i="16"/>
  <c r="F245" i="2"/>
  <c r="K47" i="16"/>
  <c r="J47" i="16"/>
  <c r="I40" i="16"/>
  <c r="C40" i="16"/>
  <c r="B34" i="16"/>
  <c r="A40" i="16"/>
  <c r="B251" i="2"/>
  <c r="A33" i="16"/>
  <c r="K50" i="16"/>
  <c r="M14" i="1" l="1"/>
  <c r="A2" i="28"/>
  <c r="A2" i="22"/>
  <c r="B17" i="2"/>
  <c r="B16" i="2"/>
  <c r="C44" i="16" l="1"/>
  <c r="D44" i="16"/>
  <c r="CM212" i="25"/>
  <c r="N322" i="25"/>
  <c r="CM112" i="25"/>
  <c r="CM5" i="25"/>
  <c r="CM273" i="25"/>
  <c r="CM261" i="25"/>
  <c r="CM298" i="25"/>
  <c r="CM305" i="25"/>
  <c r="CM301" i="25"/>
  <c r="CM307" i="25"/>
  <c r="CM309" i="25"/>
  <c r="CM240" i="25"/>
  <c r="CM284" i="25"/>
  <c r="CM220" i="25"/>
  <c r="CM286" i="25"/>
  <c r="CM223" i="25"/>
  <c r="CM269" i="25"/>
  <c r="CM198" i="25"/>
  <c r="CM162" i="25"/>
  <c r="CM102" i="25"/>
  <c r="CM158" i="25"/>
  <c r="CM66" i="25"/>
  <c r="CM159" i="25"/>
  <c r="CM151" i="25"/>
  <c r="CM7" i="25"/>
  <c r="CM71" i="25"/>
  <c r="CM25" i="25"/>
  <c r="CM85" i="25"/>
  <c r="CM34" i="25"/>
  <c r="CM135" i="25"/>
  <c r="CM202" i="25"/>
  <c r="CM35" i="25"/>
  <c r="CM140" i="25"/>
  <c r="CM160" i="25"/>
  <c r="CM97" i="25"/>
  <c r="CM11" i="25"/>
  <c r="CM77" i="25"/>
  <c r="CM30" i="25"/>
  <c r="CM170" i="25"/>
  <c r="CM26" i="25"/>
  <c r="CM218" i="25"/>
  <c r="CM226" i="25"/>
  <c r="CM285" i="25"/>
  <c r="CM260" i="25"/>
  <c r="CM243" i="25"/>
  <c r="CM278" i="25"/>
  <c r="CM245" i="25"/>
  <c r="CM233" i="25"/>
  <c r="CM217" i="25"/>
  <c r="CM311" i="25"/>
  <c r="CM259" i="25"/>
  <c r="CM316" i="25"/>
  <c r="CM262" i="25"/>
  <c r="CM263" i="25"/>
  <c r="CM116" i="25"/>
  <c r="CM130" i="25"/>
  <c r="CM113" i="25"/>
  <c r="CM6" i="25"/>
  <c r="CM72" i="25"/>
  <c r="CM56" i="25"/>
  <c r="CM133" i="25"/>
  <c r="CM199" i="25"/>
  <c r="CM171" i="25"/>
  <c r="CM32" i="25"/>
  <c r="CM177" i="25"/>
  <c r="CM209" i="25"/>
  <c r="CM180" i="25"/>
  <c r="CM27" i="25"/>
  <c r="CM87" i="25"/>
  <c r="CM147" i="25"/>
  <c r="CM144" i="25"/>
  <c r="CM123" i="25"/>
  <c r="CM67" i="25"/>
  <c r="CM83" i="25"/>
  <c r="CM101" i="25"/>
  <c r="CM92" i="25"/>
  <c r="CM45" i="25"/>
  <c r="CM13" i="25"/>
  <c r="CM43" i="25"/>
  <c r="CM78" i="25"/>
  <c r="CM114" i="25"/>
  <c r="CM139" i="25"/>
  <c r="CM146" i="25"/>
  <c r="CM294" i="25"/>
  <c r="CM52" i="25"/>
  <c r="CM194" i="25"/>
  <c r="CM81" i="25"/>
  <c r="CM279" i="25"/>
  <c r="CM118" i="25"/>
  <c r="CM53" i="25"/>
  <c r="CM75" i="25"/>
  <c r="CM208" i="25"/>
  <c r="CM186" i="25"/>
  <c r="CM48" i="25"/>
  <c r="CM191" i="25"/>
  <c r="CM293" i="25"/>
  <c r="CM270" i="25"/>
  <c r="CM239" i="25"/>
  <c r="CM300" i="25"/>
  <c r="CM219" i="25"/>
  <c r="CM303" i="25"/>
  <c r="CM282" i="25"/>
  <c r="CM257" i="25"/>
  <c r="CM230" i="25"/>
  <c r="CM312" i="25"/>
  <c r="CM251" i="25"/>
  <c r="CM315" i="25"/>
  <c r="CM249" i="25"/>
  <c r="CM188" i="25"/>
  <c r="CM76" i="25"/>
  <c r="CM197" i="25"/>
  <c r="CM9" i="25"/>
  <c r="CM105" i="25"/>
  <c r="CM117" i="25"/>
  <c r="CM153" i="25"/>
  <c r="CM183" i="25"/>
  <c r="CM70" i="25"/>
  <c r="CM82" i="25"/>
  <c r="CM187" i="25"/>
  <c r="CM206" i="25"/>
  <c r="CM189" i="25"/>
  <c r="CM152" i="25"/>
  <c r="CM192" i="25"/>
  <c r="CM216" i="25"/>
  <c r="CM38" i="25"/>
  <c r="CM157" i="25"/>
  <c r="CM89" i="25"/>
  <c r="CM190" i="25"/>
  <c r="CM103" i="25"/>
  <c r="CM161" i="25"/>
  <c r="CM155" i="25"/>
  <c r="CM88" i="25"/>
  <c r="CM110" i="25"/>
  <c r="CM17" i="25"/>
  <c r="CM271" i="25"/>
  <c r="CM228" i="25"/>
  <c r="CM39" i="25"/>
  <c r="CM163" i="25"/>
  <c r="CM62" i="25"/>
  <c r="CM80" i="25"/>
  <c r="CM172" i="25"/>
  <c r="CM236" i="25"/>
  <c r="CM304" i="25"/>
  <c r="CM225" i="25"/>
  <c r="CM121" i="25"/>
  <c r="CM166" i="25"/>
  <c r="CM16" i="25"/>
  <c r="CM250" i="25"/>
  <c r="CM229" i="25"/>
  <c r="CM246" i="25"/>
  <c r="CM252" i="25"/>
  <c r="CM292" i="25"/>
  <c r="CM264" i="25"/>
  <c r="CM222" i="25"/>
  <c r="CM310" i="25"/>
  <c r="CM242" i="25"/>
  <c r="CM268" i="25"/>
  <c r="CM253" i="25"/>
  <c r="CM281" i="25"/>
  <c r="CM287" i="25"/>
  <c r="CM86" i="25"/>
  <c r="CM55" i="25"/>
  <c r="CM8" i="25"/>
  <c r="CM176" i="25"/>
  <c r="CM128" i="25"/>
  <c r="CM12" i="25"/>
  <c r="CM14" i="25"/>
  <c r="CM18" i="25"/>
  <c r="CM23" i="25"/>
  <c r="CM173" i="25"/>
  <c r="CM143" i="25"/>
  <c r="CM94" i="25"/>
  <c r="CM21" i="25"/>
  <c r="CM60" i="25"/>
  <c r="CM131" i="25"/>
  <c r="CM156" i="25"/>
  <c r="CM145" i="25"/>
  <c r="CM41" i="25"/>
  <c r="CM126" i="25"/>
  <c r="CM248" i="25"/>
  <c r="CM93" i="25"/>
  <c r="CM204" i="25"/>
  <c r="CM29" i="25"/>
  <c r="CM104" i="25"/>
  <c r="CM205" i="25"/>
  <c r="CM142" i="25"/>
  <c r="CM185" i="25"/>
  <c r="CM244" i="25"/>
  <c r="CM238" i="25"/>
  <c r="CM241" i="25"/>
  <c r="CM148" i="25"/>
  <c r="CM125" i="25"/>
  <c r="CM115" i="25"/>
  <c r="CM28" i="25"/>
  <c r="CM36" i="25"/>
  <c r="CM181" i="25"/>
  <c r="CM132" i="25"/>
  <c r="CM136" i="25"/>
  <c r="CM74" i="25"/>
  <c r="CM79" i="25"/>
  <c r="CM96" i="25"/>
  <c r="CM299" i="25"/>
  <c r="CM99" i="25"/>
  <c r="CM49" i="25"/>
  <c r="CM46" i="25"/>
  <c r="CM291" i="25"/>
  <c r="CM283" i="25"/>
  <c r="CM280" i="25"/>
  <c r="CM296" i="25"/>
  <c r="CM289" i="25"/>
  <c r="CM227" i="25"/>
  <c r="CM274" i="25"/>
  <c r="CM254" i="25"/>
  <c r="CM302" i="25"/>
  <c r="CM277" i="25"/>
  <c r="CM272" i="25"/>
  <c r="CM237" i="25"/>
  <c r="CM90" i="25"/>
  <c r="CM111" i="25"/>
  <c r="CM195" i="25"/>
  <c r="CM65" i="25"/>
  <c r="CM84" i="25"/>
  <c r="CM203" i="25"/>
  <c r="CM178" i="25"/>
  <c r="CM68" i="25"/>
  <c r="CM196" i="25"/>
  <c r="CM164" i="25"/>
  <c r="CM124" i="25"/>
  <c r="CM69" i="25"/>
  <c r="CM193" i="25"/>
  <c r="CM182" i="25"/>
  <c r="CM95" i="25"/>
  <c r="CM61" i="25"/>
  <c r="CM57" i="25"/>
  <c r="CM58" i="25"/>
  <c r="CM73" i="25"/>
  <c r="CM54" i="25"/>
  <c r="CM210" i="25"/>
  <c r="CM98" i="25"/>
  <c r="CM232" i="25"/>
  <c r="CM313" i="25"/>
  <c r="CM165" i="25"/>
  <c r="CM44" i="25"/>
  <c r="CM40" i="25"/>
  <c r="CM265" i="25"/>
  <c r="CM234" i="25"/>
  <c r="CM295" i="25"/>
  <c r="CM258" i="25"/>
  <c r="CM231" i="25"/>
  <c r="CM275" i="25"/>
  <c r="CM256" i="25"/>
  <c r="CM224" i="25"/>
  <c r="CM247" i="25"/>
  <c r="CM235" i="25"/>
  <c r="CM255" i="25"/>
  <c r="CM288" i="25"/>
  <c r="CM149" i="25"/>
  <c r="CM167" i="25"/>
  <c r="CM100" i="25"/>
  <c r="CM20" i="25"/>
  <c r="CM42" i="25"/>
  <c r="CM174" i="25"/>
  <c r="CM10" i="25"/>
  <c r="CM63" i="25"/>
  <c r="CM169" i="25"/>
  <c r="CM138" i="25"/>
  <c r="CM59" i="25"/>
  <c r="CM134" i="25"/>
  <c r="CM184" i="25"/>
  <c r="CM91" i="25"/>
  <c r="CM200" i="25"/>
  <c r="CM168" i="25"/>
  <c r="CM127" i="25"/>
  <c r="CM47" i="25"/>
  <c r="CM37" i="25"/>
  <c r="CM141" i="25"/>
  <c r="CM31" i="25"/>
  <c r="CM119" i="25"/>
  <c r="CM137" i="25"/>
  <c r="CM201" i="25"/>
  <c r="CM64" i="25"/>
  <c r="CM150" i="25"/>
  <c r="CM154" i="25"/>
  <c r="CM207" i="25"/>
  <c r="CM51" i="25"/>
  <c r="CM120" i="25"/>
  <c r="CM276" i="25"/>
  <c r="CM308" i="25"/>
  <c r="CM297" i="25"/>
  <c r="CM266" i="25"/>
  <c r="CM314" i="25"/>
  <c r="CM221" i="25"/>
  <c r="CM122" i="25"/>
  <c r="CM15" i="25"/>
  <c r="CM129" i="25"/>
  <c r="CM267" i="25"/>
  <c r="CM306" i="25"/>
  <c r="CM290" i="25"/>
  <c r="CM33" i="25"/>
  <c r="CM50" i="25"/>
  <c r="CM179" i="25"/>
  <c r="CM19" i="25"/>
  <c r="CM22" i="25"/>
  <c r="CM175" i="25"/>
  <c r="CM24" i="25"/>
  <c r="I5" i="25"/>
  <c r="B73" i="2"/>
  <c r="D245" i="2" s="1"/>
  <c r="B19" i="2"/>
  <c r="BP6" i="19"/>
  <c r="BQ6" i="19"/>
  <c r="BU6" i="19"/>
  <c r="CA6" i="19" s="1"/>
  <c r="BV6" i="19"/>
  <c r="CB6" i="19" s="1"/>
  <c r="BW6" i="19"/>
  <c r="CC6" i="19" s="1"/>
  <c r="BP7" i="19"/>
  <c r="BQ7" i="19"/>
  <c r="BU7" i="19"/>
  <c r="BV7" i="19"/>
  <c r="CB7" i="19" s="1"/>
  <c r="BW7" i="19"/>
  <c r="CA7" i="19"/>
  <c r="CC7" i="19"/>
  <c r="BP8" i="19"/>
  <c r="BQ8" i="19"/>
  <c r="BU8" i="19"/>
  <c r="BV8" i="19"/>
  <c r="CB8" i="19" s="1"/>
  <c r="BW8" i="19"/>
  <c r="CA8" i="19"/>
  <c r="CC8" i="19"/>
  <c r="BP9" i="19"/>
  <c r="BQ9" i="19"/>
  <c r="BU9" i="19"/>
  <c r="BV9" i="19"/>
  <c r="CB9" i="19" s="1"/>
  <c r="BW9" i="19"/>
  <c r="CA9" i="19"/>
  <c r="CC9" i="19"/>
  <c r="D24" i="2"/>
  <c r="A24" i="2"/>
  <c r="AL216" i="25"/>
  <c r="AL110" i="25"/>
  <c r="AL5" i="25"/>
  <c r="K13" i="1"/>
  <c r="K9" i="1"/>
  <c r="B297" i="2" l="1"/>
  <c r="R35" i="2"/>
  <c r="R34" i="2"/>
  <c r="B139" i="2" l="1"/>
  <c r="C33" i="16"/>
  <c r="B103" i="2"/>
  <c r="B108" i="2" l="1"/>
  <c r="K36" i="1"/>
  <c r="K33" i="1"/>
  <c r="D10" i="1"/>
  <c r="D11" i="1"/>
  <c r="D36" i="1"/>
  <c r="D33" i="1"/>
  <c r="D49" i="1"/>
  <c r="B197" i="2" l="1"/>
  <c r="ER212" i="25" s="1"/>
  <c r="BN5" i="25" l="1"/>
  <c r="BM110" i="25"/>
  <c r="BM216" i="25"/>
  <c r="ER237" i="25"/>
  <c r="ER270" i="25"/>
  <c r="ER261" i="25"/>
  <c r="ER246" i="25"/>
  <c r="ER274" i="25"/>
  <c r="ER300" i="25"/>
  <c r="ER219" i="25"/>
  <c r="ER304" i="25"/>
  <c r="ER297" i="25"/>
  <c r="ER224" i="25"/>
  <c r="ER247" i="25"/>
  <c r="ER235" i="25"/>
  <c r="ER238" i="25"/>
  <c r="ER303" i="25"/>
  <c r="ER255" i="25"/>
  <c r="ER288" i="25"/>
  <c r="ER229" i="25"/>
  <c r="ER276" i="25"/>
  <c r="ER294" i="25"/>
  <c r="ER248" i="25"/>
  <c r="ER252" i="25"/>
  <c r="ER292" i="25"/>
  <c r="ER227" i="25"/>
  <c r="ER240" i="25"/>
  <c r="ER284" i="25"/>
  <c r="ER220" i="25"/>
  <c r="ER286" i="25"/>
  <c r="ER298" i="25"/>
  <c r="ER233" i="25"/>
  <c r="ER223" i="25"/>
  <c r="ER269" i="25"/>
  <c r="ER293" i="25"/>
  <c r="ER236" i="25"/>
  <c r="ER267" i="25"/>
  <c r="ER256" i="25"/>
  <c r="ER271" i="25"/>
  <c r="ER231" i="25"/>
  <c r="ER216" i="25"/>
  <c r="EU216" i="25" s="1"/>
  <c r="ER217" i="25"/>
  <c r="ER311" i="25"/>
  <c r="ER259" i="25"/>
  <c r="ER316" i="25"/>
  <c r="ER262" i="25"/>
  <c r="ER263" i="25"/>
  <c r="ER250" i="25"/>
  <c r="ER283" i="25"/>
  <c r="ER280" i="25"/>
  <c r="ER299" i="25"/>
  <c r="ER279" i="25"/>
  <c r="ER307" i="25"/>
  <c r="ER275" i="25"/>
  <c r="ER257" i="25"/>
  <c r="ER230" i="25"/>
  <c r="ER312" i="25"/>
  <c r="ER251" i="25"/>
  <c r="ER281" i="25"/>
  <c r="ER314" i="25"/>
  <c r="ER315" i="25"/>
  <c r="ER249" i="25"/>
  <c r="ER232" i="25"/>
  <c r="ER234" i="25"/>
  <c r="ER285" i="25"/>
  <c r="ER272" i="25"/>
  <c r="ER296" i="25"/>
  <c r="ER245" i="25"/>
  <c r="ER309" i="25"/>
  <c r="ER310" i="25"/>
  <c r="ER242" i="25"/>
  <c r="ER268" i="25"/>
  <c r="ER253" i="25"/>
  <c r="ER287" i="25"/>
  <c r="ER266" i="25"/>
  <c r="ER221" i="25"/>
  <c r="ER273" i="25"/>
  <c r="ER291" i="25"/>
  <c r="ER260" i="25"/>
  <c r="ER295" i="25"/>
  <c r="ER305" i="25"/>
  <c r="ER301" i="25"/>
  <c r="ER264" i="25"/>
  <c r="ER282" i="25"/>
  <c r="ER306" i="25"/>
  <c r="ER225" i="25"/>
  <c r="ER313" i="25"/>
  <c r="ER244" i="25"/>
  <c r="ER218" i="25"/>
  <c r="ER290" i="25"/>
  <c r="ER226" i="25"/>
  <c r="ER265" i="25"/>
  <c r="ER239" i="25"/>
  <c r="ER241" i="25"/>
  <c r="ER243" i="25"/>
  <c r="ER278" i="25"/>
  <c r="ER308" i="25"/>
  <c r="ER222" i="25"/>
  <c r="ER254" i="25"/>
  <c r="ER302" i="25"/>
  <c r="ER277" i="25"/>
  <c r="ER289" i="25"/>
  <c r="ER258" i="25"/>
  <c r="ER228" i="25"/>
  <c r="ER5" i="25"/>
  <c r="ER73" i="25"/>
  <c r="ER162" i="25"/>
  <c r="ER10" i="25"/>
  <c r="ER194" i="25"/>
  <c r="ER100" i="25"/>
  <c r="ER42" i="25"/>
  <c r="ER65" i="25"/>
  <c r="ER203" i="25"/>
  <c r="ER68" i="25"/>
  <c r="ER164" i="25"/>
  <c r="ER63" i="25"/>
  <c r="ER180" i="25"/>
  <c r="ER27" i="25"/>
  <c r="ER147" i="25"/>
  <c r="ER205" i="25"/>
  <c r="ER80" i="25"/>
  <c r="ER37" i="25"/>
  <c r="ER190" i="25"/>
  <c r="ER93" i="25"/>
  <c r="ER15" i="25"/>
  <c r="ER58" i="25"/>
  <c r="ER175" i="25"/>
  <c r="ER26" i="25"/>
  <c r="ER78" i="25"/>
  <c r="ER110" i="25"/>
  <c r="EU110" i="25" s="1"/>
  <c r="ER16" i="25"/>
  <c r="ER43" i="25"/>
  <c r="ER82" i="25"/>
  <c r="ER111" i="25"/>
  <c r="ER94" i="25"/>
  <c r="ER158" i="25"/>
  <c r="ER159" i="25"/>
  <c r="ER113" i="25"/>
  <c r="ER56" i="25"/>
  <c r="ER133" i="25"/>
  <c r="ER85" i="25"/>
  <c r="ER7" i="25"/>
  <c r="ER131" i="25"/>
  <c r="ER156" i="25"/>
  <c r="ER59" i="25"/>
  <c r="ER182" i="25"/>
  <c r="ER31" i="25"/>
  <c r="ER123" i="25"/>
  <c r="ER47" i="25"/>
  <c r="ER38" i="25"/>
  <c r="ER84" i="25"/>
  <c r="ER198" i="25"/>
  <c r="ER150" i="25"/>
  <c r="ER155" i="25"/>
  <c r="ER210" i="25"/>
  <c r="ER185" i="25"/>
  <c r="ER169" i="25"/>
  <c r="ER18" i="25"/>
  <c r="ER189" i="25"/>
  <c r="ER86" i="25"/>
  <c r="ER176" i="25"/>
  <c r="ER12" i="25"/>
  <c r="ER197" i="25"/>
  <c r="ER105" i="25"/>
  <c r="ER173" i="25"/>
  <c r="ER183" i="25"/>
  <c r="ER44" i="25"/>
  <c r="ER29" i="25"/>
  <c r="ER208" i="25"/>
  <c r="ER34" i="25"/>
  <c r="ER35" i="25"/>
  <c r="ER160" i="25"/>
  <c r="ER41" i="25"/>
  <c r="ER171" i="25"/>
  <c r="ER166" i="25"/>
  <c r="ER70" i="25"/>
  <c r="ER14" i="25"/>
  <c r="ER13" i="25"/>
  <c r="ER52" i="25"/>
  <c r="ER55" i="25"/>
  <c r="ER116" i="25"/>
  <c r="ER19" i="25"/>
  <c r="ER99" i="25"/>
  <c r="ER122" i="25"/>
  <c r="ER118" i="25"/>
  <c r="ER165" i="25"/>
  <c r="ER53" i="25"/>
  <c r="ER79" i="25"/>
  <c r="ER134" i="25"/>
  <c r="ER91" i="25"/>
  <c r="ER168" i="25"/>
  <c r="ER21" i="25"/>
  <c r="ER152" i="25"/>
  <c r="ER181" i="25"/>
  <c r="ER61" i="25"/>
  <c r="ER6" i="25"/>
  <c r="ER137" i="25"/>
  <c r="ER149" i="25"/>
  <c r="ER49" i="25"/>
  <c r="ER96" i="25"/>
  <c r="ER154" i="25"/>
  <c r="ER174" i="25"/>
  <c r="ER125" i="25"/>
  <c r="ER72" i="25"/>
  <c r="ER167" i="25"/>
  <c r="ER20" i="25"/>
  <c r="ER195" i="25"/>
  <c r="ER8" i="25"/>
  <c r="ER178" i="25"/>
  <c r="ER196" i="25"/>
  <c r="ER124" i="25"/>
  <c r="ER209" i="25"/>
  <c r="ER135" i="25"/>
  <c r="ER87" i="25"/>
  <c r="ER36" i="25"/>
  <c r="ER40" i="25"/>
  <c r="ER119" i="25"/>
  <c r="ER145" i="25"/>
  <c r="ER45" i="25"/>
  <c r="ER92" i="25"/>
  <c r="ER28" i="25"/>
  <c r="ER103" i="25"/>
  <c r="ER161" i="25"/>
  <c r="ER30" i="25"/>
  <c r="ER114" i="25"/>
  <c r="ER17" i="25"/>
  <c r="ER51" i="25"/>
  <c r="ER32" i="25"/>
  <c r="ER148" i="25"/>
  <c r="ER177" i="25"/>
  <c r="ER102" i="25"/>
  <c r="ER66" i="25"/>
  <c r="ER130" i="25"/>
  <c r="ER39" i="25"/>
  <c r="ER71" i="25"/>
  <c r="ER25" i="25"/>
  <c r="ER199" i="25"/>
  <c r="ER60" i="25"/>
  <c r="ER187" i="25"/>
  <c r="ER206" i="25"/>
  <c r="ER141" i="25"/>
  <c r="ER95" i="25"/>
  <c r="ER83" i="25"/>
  <c r="ER11" i="25"/>
  <c r="ER101" i="25"/>
  <c r="ER157" i="25"/>
  <c r="ER77" i="25"/>
  <c r="ER144" i="25"/>
  <c r="ER46" i="25"/>
  <c r="ER88" i="25"/>
  <c r="ER146" i="25"/>
  <c r="ER98" i="25"/>
  <c r="ER74" i="25"/>
  <c r="ER170" i="25"/>
  <c r="ER90" i="25"/>
  <c r="ER33" i="25"/>
  <c r="ER23" i="25"/>
  <c r="ER188" i="25"/>
  <c r="ER128" i="25"/>
  <c r="ER76" i="25"/>
  <c r="ER9" i="25"/>
  <c r="ER117" i="25"/>
  <c r="ER153" i="25"/>
  <c r="ER143" i="25"/>
  <c r="ER115" i="25"/>
  <c r="ER62" i="25"/>
  <c r="ER81" i="25"/>
  <c r="ER67" i="25"/>
  <c r="ER140" i="25"/>
  <c r="ER139" i="25"/>
  <c r="ER69" i="25"/>
  <c r="ER142" i="25"/>
  <c r="ER186" i="25"/>
  <c r="ER132" i="25"/>
  <c r="ER97" i="25"/>
  <c r="ER201" i="25"/>
  <c r="ER136" i="25"/>
  <c r="ER24" i="25"/>
  <c r="ER191" i="25"/>
  <c r="ER112" i="25"/>
  <c r="ER151" i="25"/>
  <c r="ER138" i="25"/>
  <c r="ER104" i="25"/>
  <c r="ER50" i="25"/>
  <c r="ER163" i="25"/>
  <c r="ER179" i="25"/>
  <c r="ER121" i="25"/>
  <c r="ER22" i="25"/>
  <c r="ER204" i="25"/>
  <c r="ER75" i="25"/>
  <c r="ER184" i="25"/>
  <c r="ER200" i="25"/>
  <c r="ER127" i="25"/>
  <c r="ER126" i="25"/>
  <c r="ER192" i="25"/>
  <c r="ER172" i="25"/>
  <c r="ER129" i="25"/>
  <c r="ER202" i="25"/>
  <c r="ER57" i="25"/>
  <c r="ER193" i="25"/>
  <c r="ER89" i="25"/>
  <c r="ER64" i="25"/>
  <c r="ER207" i="25"/>
  <c r="ER120" i="25"/>
  <c r="ER54" i="25"/>
  <c r="ER48" i="25"/>
  <c r="BO5" i="24"/>
  <c r="EQ5" i="25"/>
  <c r="ES5" i="24"/>
  <c r="EV5" i="24" s="1"/>
  <c r="BM5" i="25"/>
  <c r="I78" i="2"/>
  <c r="B295" i="2"/>
  <c r="B12" i="2"/>
  <c r="CC216" i="25" l="1"/>
  <c r="FG216" i="25"/>
  <c r="EU5" i="25"/>
  <c r="FG110" i="25"/>
  <c r="CJ7" i="25"/>
  <c r="CJ6" i="25"/>
  <c r="CC110" i="25"/>
  <c r="B280" i="2"/>
  <c r="EQ6" i="25" l="1"/>
  <c r="EU6" i="25" s="1"/>
  <c r="DP6" i="25"/>
  <c r="FG6" i="25"/>
  <c r="EQ7" i="25"/>
  <c r="EU7" i="25" s="1"/>
  <c r="DP7" i="25"/>
  <c r="FG7" i="25"/>
  <c r="B244" i="2"/>
  <c r="A242" i="2"/>
  <c r="B74" i="2"/>
  <c r="D241" i="2" l="1"/>
  <c r="A241" i="2"/>
  <c r="D240" i="2" l="1"/>
  <c r="D296" i="2"/>
  <c r="C259" i="2"/>
  <c r="C268" i="2"/>
  <c r="D268" i="2"/>
  <c r="B48" i="19"/>
  <c r="B36" i="2" l="1"/>
  <c r="B20" i="2"/>
  <c r="B21" i="2"/>
  <c r="B24" i="2"/>
  <c r="C245" i="2"/>
  <c r="C74" i="2"/>
  <c r="B102" i="2"/>
  <c r="B107" i="2" l="1"/>
  <c r="B135" i="2"/>
  <c r="B80" i="2"/>
  <c r="C80" i="2"/>
  <c r="B296" i="2"/>
  <c r="C244" i="2"/>
  <c r="F244" i="2"/>
  <c r="D244" i="2"/>
  <c r="B241" i="2"/>
  <c r="B242" i="2"/>
  <c r="B156" i="2"/>
  <c r="B152" i="2"/>
  <c r="B252" i="2" s="1"/>
  <c r="B129" i="2"/>
  <c r="B127" i="2"/>
  <c r="C32" i="16" s="1"/>
  <c r="D45" i="1"/>
  <c r="AM5" i="24"/>
  <c r="AM216" i="24"/>
  <c r="AM110" i="24"/>
  <c r="B247" i="2" l="1"/>
  <c r="B248" i="2"/>
  <c r="B250" i="2"/>
  <c r="C31" i="16"/>
  <c r="D21" i="19"/>
  <c r="D36" i="19"/>
  <c r="F12" i="19"/>
  <c r="D38" i="19"/>
  <c r="D35" i="19"/>
  <c r="B63" i="2"/>
  <c r="C47" i="16" s="1"/>
  <c r="D47" i="16" s="1"/>
  <c r="B33" i="19"/>
  <c r="F78" i="2"/>
  <c r="F72" i="2"/>
  <c r="D42" i="1"/>
  <c r="G269" i="2"/>
  <c r="C264" i="2"/>
  <c r="C265" i="2"/>
  <c r="A273" i="2"/>
  <c r="G73" i="2"/>
  <c r="A231" i="2"/>
  <c r="C277" i="2"/>
  <c r="E18" i="1" l="1"/>
  <c r="CY2" i="24"/>
  <c r="D93" i="2"/>
  <c r="U2" i="24"/>
  <c r="B194" i="2"/>
  <c r="I10" i="8"/>
  <c r="B179" i="2"/>
  <c r="B176" i="2"/>
  <c r="B198" i="2" l="1"/>
  <c r="I9" i="8" s="1"/>
  <c r="B78" i="2"/>
  <c r="K66" i="2"/>
  <c r="K34" i="16" l="1"/>
  <c r="J34" i="16"/>
  <c r="K49" i="16"/>
  <c r="K48" i="16"/>
  <c r="J49" i="16"/>
  <c r="J48" i="16"/>
  <c r="I49" i="16" l="1"/>
  <c r="I48" i="16"/>
  <c r="H49" i="16"/>
  <c r="H48" i="16"/>
  <c r="J46" i="16"/>
  <c r="K32" i="16"/>
  <c r="J32" i="16"/>
  <c r="K31" i="16"/>
  <c r="J31" i="16" l="1"/>
  <c r="T83" i="2"/>
  <c r="R85" i="2"/>
  <c r="B11" i="2" l="1"/>
  <c r="B26" i="19"/>
  <c r="D26" i="19" s="1"/>
  <c r="D20" i="19"/>
  <c r="B27" i="19"/>
  <c r="D27" i="19" s="1"/>
  <c r="B8" i="2"/>
  <c r="B101" i="2"/>
  <c r="B96" i="2"/>
  <c r="B155" i="2"/>
  <c r="BP106" i="19"/>
  <c r="D46" i="19"/>
  <c r="A34" i="16"/>
  <c r="A49" i="16"/>
  <c r="A48" i="16"/>
  <c r="C278" i="2"/>
  <c r="B293" i="2"/>
  <c r="B268" i="2"/>
  <c r="B264" i="2"/>
  <c r="J72" i="2"/>
  <c r="C261" i="2"/>
  <c r="B261" i="2"/>
  <c r="B32" i="19"/>
  <c r="D32" i="19" s="1"/>
  <c r="B31" i="19"/>
  <c r="D31" i="19" s="1"/>
  <c r="B30" i="19"/>
  <c r="D30" i="19" s="1"/>
  <c r="B8" i="19"/>
  <c r="D8" i="19" s="1"/>
  <c r="F91" i="19"/>
  <c r="F90" i="19"/>
  <c r="F89" i="19"/>
  <c r="D53" i="19"/>
  <c r="D52" i="19"/>
  <c r="D51" i="19"/>
  <c r="D50" i="19"/>
  <c r="D48" i="19"/>
  <c r="D45" i="19"/>
  <c r="D44" i="19"/>
  <c r="D41" i="19"/>
  <c r="D39" i="19"/>
  <c r="D33" i="19"/>
  <c r="D29" i="19"/>
  <c r="D23" i="19"/>
  <c r="D22" i="19"/>
  <c r="D13" i="19"/>
  <c r="B213" i="2" s="1"/>
  <c r="D12" i="19"/>
  <c r="A31" i="16"/>
  <c r="B246" i="2"/>
  <c r="A245" i="2"/>
  <c r="B9" i="2"/>
  <c r="I6" i="8"/>
  <c r="J6" i="8" s="1"/>
  <c r="D46" i="16"/>
  <c r="B178" i="2"/>
  <c r="B181" i="2" s="1"/>
  <c r="B173" i="2"/>
  <c r="B231" i="2"/>
  <c r="B245" i="2"/>
  <c r="B7" i="2"/>
  <c r="B164" i="2"/>
  <c r="B166" i="2" s="1"/>
  <c r="B208" i="2"/>
  <c r="A34" i="8"/>
  <c r="A46" i="8" s="1"/>
  <c r="A58" i="8" s="1"/>
  <c r="A70" i="8" s="1"/>
  <c r="A82" i="8" s="1"/>
  <c r="A94" i="8" s="1"/>
  <c r="A106" i="8" s="1"/>
  <c r="A118" i="8" s="1"/>
  <c r="A130" i="8" s="1"/>
  <c r="A142" i="8" s="1"/>
  <c r="A154" i="8" s="1"/>
  <c r="A35" i="8"/>
  <c r="A36" i="8"/>
  <c r="A37" i="8"/>
  <c r="A38" i="8"/>
  <c r="A50" i="8" s="1"/>
  <c r="A62" i="8" s="1"/>
  <c r="A74" i="8" s="1"/>
  <c r="A86" i="8" s="1"/>
  <c r="A98" i="8" s="1"/>
  <c r="A110" i="8" s="1"/>
  <c r="A122" i="8" s="1"/>
  <c r="A134" i="8" s="1"/>
  <c r="A146" i="8" s="1"/>
  <c r="A158" i="8" s="1"/>
  <c r="A39" i="8"/>
  <c r="A51" i="8" s="1"/>
  <c r="A63" i="8" s="1"/>
  <c r="A75" i="8" s="1"/>
  <c r="A87" i="8" s="1"/>
  <c r="A99" i="8" s="1"/>
  <c r="A111" i="8" s="1"/>
  <c r="A123" i="8" s="1"/>
  <c r="A135" i="8" s="1"/>
  <c r="A147" i="8" s="1"/>
  <c r="A159" i="8" s="1"/>
  <c r="A40" i="8"/>
  <c r="A52" i="8" s="1"/>
  <c r="A64" i="8" s="1"/>
  <c r="A76" i="8" s="1"/>
  <c r="A88" i="8" s="1"/>
  <c r="A100" i="8" s="1"/>
  <c r="A112" i="8" s="1"/>
  <c r="A124" i="8" s="1"/>
  <c r="A136" i="8" s="1"/>
  <c r="A148" i="8" s="1"/>
  <c r="A41" i="8"/>
  <c r="A53" i="8" s="1"/>
  <c r="A65" i="8" s="1"/>
  <c r="A77" i="8" s="1"/>
  <c r="A89" i="8" s="1"/>
  <c r="A101" i="8" s="1"/>
  <c r="A113" i="8" s="1"/>
  <c r="A125" i="8" s="1"/>
  <c r="A137" i="8" s="1"/>
  <c r="A149" i="8" s="1"/>
  <c r="A42" i="8"/>
  <c r="A43" i="8"/>
  <c r="A44" i="8"/>
  <c r="A45" i="8"/>
  <c r="A47" i="8"/>
  <c r="A48" i="8"/>
  <c r="A60" i="8" s="1"/>
  <c r="A72" i="8" s="1"/>
  <c r="A84" i="8" s="1"/>
  <c r="A96" i="8" s="1"/>
  <c r="A108" i="8" s="1"/>
  <c r="A120" i="8" s="1"/>
  <c r="A132" i="8" s="1"/>
  <c r="A144" i="8" s="1"/>
  <c r="A156" i="8" s="1"/>
  <c r="A49" i="8"/>
  <c r="A54" i="8"/>
  <c r="A66" i="8" s="1"/>
  <c r="A78" i="8" s="1"/>
  <c r="A90" i="8" s="1"/>
  <c r="A102" i="8" s="1"/>
  <c r="A114" i="8" s="1"/>
  <c r="A126" i="8" s="1"/>
  <c r="A138" i="8" s="1"/>
  <c r="A150" i="8" s="1"/>
  <c r="A55" i="8"/>
  <c r="A56" i="8"/>
  <c r="A68" i="8" s="1"/>
  <c r="A80" i="8" s="1"/>
  <c r="A92" i="8" s="1"/>
  <c r="A104" i="8" s="1"/>
  <c r="A116" i="8" s="1"/>
  <c r="A128" i="8" s="1"/>
  <c r="A140" i="8" s="1"/>
  <c r="A152" i="8" s="1"/>
  <c r="A57" i="8"/>
  <c r="A69" i="8" s="1"/>
  <c r="A81" i="8" s="1"/>
  <c r="A93" i="8" s="1"/>
  <c r="A105" i="8" s="1"/>
  <c r="A117" i="8" s="1"/>
  <c r="A129" i="8" s="1"/>
  <c r="A141" i="8" s="1"/>
  <c r="A153" i="8" s="1"/>
  <c r="A59" i="8"/>
  <c r="A71" i="8" s="1"/>
  <c r="A83" i="8" s="1"/>
  <c r="A95" i="8" s="1"/>
  <c r="A107" i="8" s="1"/>
  <c r="A119" i="8" s="1"/>
  <c r="A131" i="8" s="1"/>
  <c r="A143" i="8" s="1"/>
  <c r="A155" i="8" s="1"/>
  <c r="A61" i="8"/>
  <c r="A73" i="8" s="1"/>
  <c r="A85" i="8" s="1"/>
  <c r="A97" i="8" s="1"/>
  <c r="A109" i="8" s="1"/>
  <c r="A121" i="8" s="1"/>
  <c r="A133" i="8" s="1"/>
  <c r="A145" i="8" s="1"/>
  <c r="A157" i="8" s="1"/>
  <c r="A67" i="8"/>
  <c r="A79" i="8" s="1"/>
  <c r="A91" i="8" s="1"/>
  <c r="A103" i="8" s="1"/>
  <c r="A115" i="8" s="1"/>
  <c r="A127" i="8" s="1"/>
  <c r="A139" i="8" s="1"/>
  <c r="A151" i="8" s="1"/>
  <c r="E3" i="8"/>
  <c r="A240" i="2"/>
  <c r="B240" i="2"/>
  <c r="I14" i="8"/>
  <c r="J13" i="8"/>
  <c r="J7" i="8"/>
  <c r="J14" i="8"/>
  <c r="EM53" i="25" l="1"/>
  <c r="EM45" i="25"/>
  <c r="EM35" i="25"/>
  <c r="EM77" i="25"/>
  <c r="EM54" i="25"/>
  <c r="EM17" i="25"/>
  <c r="EM70" i="25"/>
  <c r="EM57" i="25"/>
  <c r="EM64" i="25"/>
  <c r="EM15" i="25"/>
  <c r="EM79" i="25"/>
  <c r="EM36" i="25"/>
  <c r="EM89" i="25"/>
  <c r="EM91" i="25"/>
  <c r="EM24" i="25"/>
  <c r="EM19" i="25"/>
  <c r="EM29" i="25"/>
  <c r="EM25" i="25"/>
  <c r="EM96" i="25"/>
  <c r="EM103" i="25"/>
  <c r="EM102" i="25"/>
  <c r="EM21" i="25"/>
  <c r="EM65" i="25"/>
  <c r="EM74" i="25"/>
  <c r="EM11" i="25"/>
  <c r="EM92" i="25"/>
  <c r="EM12" i="25"/>
  <c r="EM69" i="25"/>
  <c r="EM104" i="25"/>
  <c r="EM32" i="25"/>
  <c r="EM84" i="25"/>
  <c r="EM14" i="25"/>
  <c r="EM93" i="25"/>
  <c r="EM97" i="25"/>
  <c r="EM44" i="25"/>
  <c r="EM22" i="25"/>
  <c r="EM26" i="25"/>
  <c r="EM61" i="25"/>
  <c r="EM42" i="25"/>
  <c r="EM55" i="25"/>
  <c r="EM49" i="25"/>
  <c r="EM39" i="25"/>
  <c r="EM90" i="25"/>
  <c r="EM99" i="25"/>
  <c r="EM58" i="25"/>
  <c r="EM33" i="25"/>
  <c r="EM75" i="25"/>
  <c r="EM60" i="25"/>
  <c r="EM28" i="25"/>
  <c r="EM68" i="25"/>
  <c r="EM87" i="25"/>
  <c r="EM20" i="25"/>
  <c r="EM43" i="25"/>
  <c r="EM71" i="25"/>
  <c r="EM31" i="25"/>
  <c r="EM38" i="25"/>
  <c r="EM56" i="25"/>
  <c r="EM72" i="25"/>
  <c r="EM88" i="25"/>
  <c r="EM105" i="25"/>
  <c r="EM41" i="25"/>
  <c r="EM50" i="25"/>
  <c r="EM47" i="25"/>
  <c r="EM62" i="25"/>
  <c r="EM80" i="25"/>
  <c r="EM86" i="25"/>
  <c r="EM10" i="25"/>
  <c r="EM100" i="25"/>
  <c r="EM66" i="25"/>
  <c r="EM48" i="25"/>
  <c r="EM95" i="25"/>
  <c r="EM8" i="25"/>
  <c r="EM76" i="25"/>
  <c r="EM23" i="25"/>
  <c r="EM7" i="25"/>
  <c r="EM98" i="25"/>
  <c r="EM37" i="25"/>
  <c r="EM81" i="25"/>
  <c r="EM94" i="25"/>
  <c r="EM16" i="25"/>
  <c r="EM78" i="25"/>
  <c r="EM83" i="25"/>
  <c r="EM13" i="25"/>
  <c r="EM101" i="25"/>
  <c r="EM73" i="25"/>
  <c r="EM18" i="25"/>
  <c r="EM34" i="25"/>
  <c r="EM27" i="25"/>
  <c r="EM46" i="25"/>
  <c r="EM6" i="25"/>
  <c r="EM85" i="25"/>
  <c r="EM63" i="25"/>
  <c r="EM67" i="25"/>
  <c r="EM40" i="25"/>
  <c r="EM82" i="25"/>
  <c r="EM30" i="25"/>
  <c r="EM51" i="25"/>
  <c r="EM52" i="25"/>
  <c r="EM59" i="25"/>
  <c r="EM9" i="25"/>
  <c r="EO101" i="24"/>
  <c r="EO80" i="24"/>
  <c r="EO25" i="24"/>
  <c r="EO87" i="24"/>
  <c r="EO40" i="24"/>
  <c r="EO63" i="24"/>
  <c r="EO22" i="24"/>
  <c r="EO96" i="24"/>
  <c r="EO84" i="24"/>
  <c r="EO24" i="24"/>
  <c r="EO5" i="24"/>
  <c r="EO103" i="24"/>
  <c r="EO62" i="24"/>
  <c r="EO65" i="24"/>
  <c r="EO47" i="24"/>
  <c r="EO12" i="24"/>
  <c r="EO7" i="24"/>
  <c r="EO88" i="24"/>
  <c r="EO8" i="24"/>
  <c r="EO67" i="24"/>
  <c r="EO6" i="24"/>
  <c r="EO56" i="24"/>
  <c r="EO91" i="24"/>
  <c r="EO49" i="24"/>
  <c r="EO68" i="24"/>
  <c r="EO11" i="24"/>
  <c r="EO97" i="24"/>
  <c r="EO57" i="24"/>
  <c r="EO95" i="24"/>
  <c r="EO46" i="24"/>
  <c r="EO61" i="24"/>
  <c r="EO36" i="24"/>
  <c r="EO60" i="24"/>
  <c r="EO102" i="24"/>
  <c r="EO86" i="24"/>
  <c r="EO9" i="24"/>
  <c r="EO75" i="24"/>
  <c r="EO104" i="24"/>
  <c r="EO38" i="24"/>
  <c r="EO44" i="24"/>
  <c r="EO21" i="24"/>
  <c r="EO72" i="24"/>
  <c r="EO74" i="24"/>
  <c r="EO28" i="24"/>
  <c r="EO43" i="24"/>
  <c r="EO51" i="24"/>
  <c r="EO59" i="24"/>
  <c r="EO83" i="24"/>
  <c r="EO70" i="24"/>
  <c r="EO45" i="24"/>
  <c r="EO17" i="24"/>
  <c r="EO66" i="24"/>
  <c r="EO26" i="24"/>
  <c r="EO99" i="24"/>
  <c r="EO14" i="24"/>
  <c r="EO48" i="24"/>
  <c r="EO81" i="24"/>
  <c r="EO31" i="24"/>
  <c r="EO16" i="24"/>
  <c r="EO105" i="24"/>
  <c r="EO32" i="24"/>
  <c r="EO98" i="24"/>
  <c r="EO39" i="24"/>
  <c r="EO54" i="24"/>
  <c r="EO50" i="24"/>
  <c r="EO100" i="24"/>
  <c r="EO93" i="24"/>
  <c r="EO94" i="24"/>
  <c r="EO35" i="24"/>
  <c r="EO23" i="24"/>
  <c r="EO76" i="24"/>
  <c r="EO64" i="24"/>
  <c r="EO37" i="24"/>
  <c r="EO19" i="24"/>
  <c r="EO77" i="24"/>
  <c r="EO78" i="24"/>
  <c r="EO10" i="24"/>
  <c r="EO69" i="24"/>
  <c r="EO18" i="24"/>
  <c r="EO41" i="24"/>
  <c r="EO79" i="24"/>
  <c r="EO90" i="24"/>
  <c r="EO55" i="24"/>
  <c r="EO15" i="24"/>
  <c r="EO34" i="24"/>
  <c r="EO73" i="24"/>
  <c r="EO27" i="24"/>
  <c r="EO85" i="24"/>
  <c r="EO89" i="24"/>
  <c r="EO20" i="24"/>
  <c r="EO29" i="24"/>
  <c r="EO92" i="24"/>
  <c r="EO71" i="24"/>
  <c r="EO53" i="24"/>
  <c r="EO42" i="24"/>
  <c r="EO13" i="24"/>
  <c r="EO58" i="24"/>
  <c r="EO30" i="24"/>
  <c r="EO52" i="24"/>
  <c r="EO82" i="24"/>
  <c r="EO33" i="24"/>
  <c r="BB1" i="24"/>
  <c r="EF1" i="24"/>
  <c r="B111" i="2"/>
  <c r="L29" i="1"/>
  <c r="B88" i="2"/>
  <c r="L12" i="1" s="1"/>
  <c r="CN212" i="25"/>
  <c r="CR212" i="25" s="1"/>
  <c r="CM212" i="24"/>
  <c r="EO212" i="24" s="1"/>
  <c r="L104" i="2"/>
  <c r="G325" i="25"/>
  <c r="G325" i="24"/>
  <c r="N325" i="25"/>
  <c r="E68" i="1"/>
  <c r="E70" i="1" s="1"/>
  <c r="G322" i="25"/>
  <c r="G322" i="24"/>
  <c r="I325" i="24"/>
  <c r="I325" i="25"/>
  <c r="P325" i="25"/>
  <c r="E26" i="1"/>
  <c r="CN112" i="25"/>
  <c r="CP112" i="25" s="1"/>
  <c r="CP12" i="25"/>
  <c r="CP20" i="25"/>
  <c r="CP28" i="25"/>
  <c r="CP36" i="25"/>
  <c r="CP44" i="25"/>
  <c r="CP52" i="25"/>
  <c r="CP60" i="25"/>
  <c r="CP68" i="25"/>
  <c r="CP76" i="25"/>
  <c r="CP84" i="25"/>
  <c r="CP92" i="25"/>
  <c r="CP100" i="25"/>
  <c r="CP19" i="25"/>
  <c r="CP75" i="25"/>
  <c r="CP13" i="25"/>
  <c r="CP21" i="25"/>
  <c r="CP29" i="25"/>
  <c r="CP37" i="25"/>
  <c r="CP45" i="25"/>
  <c r="CP53" i="25"/>
  <c r="CP61" i="25"/>
  <c r="CP69" i="25"/>
  <c r="CP77" i="25"/>
  <c r="CP85" i="25"/>
  <c r="CP93" i="25"/>
  <c r="CP101" i="25"/>
  <c r="CP11" i="25"/>
  <c r="CP59" i="25"/>
  <c r="CP5" i="25"/>
  <c r="CP6" i="25"/>
  <c r="CP14" i="25"/>
  <c r="CP22" i="25"/>
  <c r="CP30" i="25"/>
  <c r="CP38" i="25"/>
  <c r="CP46" i="25"/>
  <c r="CP54" i="25"/>
  <c r="CP62" i="25"/>
  <c r="CP70" i="25"/>
  <c r="CP78" i="25"/>
  <c r="CP86" i="25"/>
  <c r="CP94" i="25"/>
  <c r="CP102" i="25"/>
  <c r="CP35" i="25"/>
  <c r="CP83" i="25"/>
  <c r="CP7" i="25"/>
  <c r="CP15" i="25"/>
  <c r="CP23" i="25"/>
  <c r="CP31" i="25"/>
  <c r="CP39" i="25"/>
  <c r="CP47" i="25"/>
  <c r="CP55" i="25"/>
  <c r="CP63" i="25"/>
  <c r="CP71" i="25"/>
  <c r="CP79" i="25"/>
  <c r="CP87" i="25"/>
  <c r="CP95" i="25"/>
  <c r="CP103" i="25"/>
  <c r="CP51" i="25"/>
  <c r="CP8" i="25"/>
  <c r="CP16" i="25"/>
  <c r="CP24" i="25"/>
  <c r="CP32" i="25"/>
  <c r="CP40" i="25"/>
  <c r="CP48" i="25"/>
  <c r="CP56" i="25"/>
  <c r="CP64" i="25"/>
  <c r="CP72" i="25"/>
  <c r="CP80" i="25"/>
  <c r="CP88" i="25"/>
  <c r="CP96" i="25"/>
  <c r="CP104" i="25"/>
  <c r="CP43" i="25"/>
  <c r="CP99" i="25"/>
  <c r="CP9" i="25"/>
  <c r="CP17" i="25"/>
  <c r="CP25" i="25"/>
  <c r="CP33" i="25"/>
  <c r="CP41" i="25"/>
  <c r="CP49" i="25"/>
  <c r="CP57" i="25"/>
  <c r="CP65" i="25"/>
  <c r="CP73" i="25"/>
  <c r="CP81" i="25"/>
  <c r="CP89" i="25"/>
  <c r="CP97" i="25"/>
  <c r="CP105" i="25"/>
  <c r="CP27" i="25"/>
  <c r="CP91" i="25"/>
  <c r="CP10" i="25"/>
  <c r="CP18" i="25"/>
  <c r="CP26" i="25"/>
  <c r="CP34" i="25"/>
  <c r="CP42" i="25"/>
  <c r="CP50" i="25"/>
  <c r="CP58" i="25"/>
  <c r="CP66" i="25"/>
  <c r="CP74" i="25"/>
  <c r="CP82" i="25"/>
  <c r="CP90" i="25"/>
  <c r="CP98" i="25"/>
  <c r="CR5" i="25"/>
  <c r="CP67" i="25"/>
  <c r="R65" i="2"/>
  <c r="B92" i="2"/>
  <c r="B115" i="2"/>
  <c r="B85" i="2"/>
  <c r="CQ2" i="24"/>
  <c r="CW5" i="24"/>
  <c r="CX5" i="24" s="1"/>
  <c r="FL106" i="24"/>
  <c r="FL107" i="24"/>
  <c r="FL108" i="24"/>
  <c r="Y13" i="2"/>
  <c r="B98" i="2"/>
  <c r="CN207" i="25"/>
  <c r="EM207" i="25" s="1"/>
  <c r="CN203" i="25"/>
  <c r="EM203" i="25" s="1"/>
  <c r="CN199" i="25"/>
  <c r="EM199" i="25" s="1"/>
  <c r="CN195" i="25"/>
  <c r="EM195" i="25" s="1"/>
  <c r="CN191" i="25"/>
  <c r="EM191" i="25" s="1"/>
  <c r="CN187" i="25"/>
  <c r="EM187" i="25" s="1"/>
  <c r="CN179" i="25"/>
  <c r="EM179" i="25" s="1"/>
  <c r="CN171" i="25"/>
  <c r="EM171" i="25" s="1"/>
  <c r="CN164" i="25"/>
  <c r="EM164" i="25" s="1"/>
  <c r="CN156" i="25"/>
  <c r="EM156" i="25" s="1"/>
  <c r="CN144" i="25"/>
  <c r="EM144" i="25" s="1"/>
  <c r="CN136" i="25"/>
  <c r="EM136" i="25" s="1"/>
  <c r="CN130" i="25"/>
  <c r="EM130" i="25" s="1"/>
  <c r="CN126" i="25"/>
  <c r="EM126" i="25" s="1"/>
  <c r="CN122" i="25"/>
  <c r="EM122" i="25" s="1"/>
  <c r="CN118" i="25"/>
  <c r="EM118" i="25" s="1"/>
  <c r="CN114" i="25"/>
  <c r="EM114" i="25" s="1"/>
  <c r="CN186" i="25"/>
  <c r="EM186" i="25" s="1"/>
  <c r="CN178" i="25"/>
  <c r="EM178" i="25" s="1"/>
  <c r="CN170" i="25"/>
  <c r="EM170" i="25" s="1"/>
  <c r="CN163" i="25"/>
  <c r="EM163" i="25" s="1"/>
  <c r="CN150" i="25"/>
  <c r="EM150" i="25" s="1"/>
  <c r="CN143" i="25"/>
  <c r="EM143" i="25" s="1"/>
  <c r="CN135" i="25"/>
  <c r="EM135" i="25" s="1"/>
  <c r="CN210" i="25"/>
  <c r="EM210" i="25" s="1"/>
  <c r="CN206" i="25"/>
  <c r="EM206" i="25" s="1"/>
  <c r="CN202" i="25"/>
  <c r="EM202" i="25" s="1"/>
  <c r="CN198" i="25"/>
  <c r="EM198" i="25" s="1"/>
  <c r="CN194" i="25"/>
  <c r="EM194" i="25" s="1"/>
  <c r="CN190" i="25"/>
  <c r="EM190" i="25" s="1"/>
  <c r="CN185" i="25"/>
  <c r="EM185" i="25" s="1"/>
  <c r="CN177" i="25"/>
  <c r="EM177" i="25" s="1"/>
  <c r="CN169" i="25"/>
  <c r="EM169" i="25" s="1"/>
  <c r="CN162" i="25"/>
  <c r="EM162" i="25" s="1"/>
  <c r="CN155" i="25"/>
  <c r="EM155" i="25" s="1"/>
  <c r="CN142" i="25"/>
  <c r="EM142" i="25" s="1"/>
  <c r="CN134" i="25"/>
  <c r="EM134" i="25" s="1"/>
  <c r="CN129" i="25"/>
  <c r="EM129" i="25" s="1"/>
  <c r="CN125" i="25"/>
  <c r="EM125" i="25" s="1"/>
  <c r="CN121" i="25"/>
  <c r="EM121" i="25" s="1"/>
  <c r="CN117" i="25"/>
  <c r="EM117" i="25" s="1"/>
  <c r="CN113" i="25"/>
  <c r="EM113" i="25" s="1"/>
  <c r="CN110" i="25"/>
  <c r="EM110" i="25" s="1"/>
  <c r="CN184" i="25"/>
  <c r="EM184" i="25" s="1"/>
  <c r="CN176" i="25"/>
  <c r="EM176" i="25" s="1"/>
  <c r="CN168" i="25"/>
  <c r="EM168" i="25" s="1"/>
  <c r="CN161" i="25"/>
  <c r="EM161" i="25" s="1"/>
  <c r="CN154" i="25"/>
  <c r="EM154" i="25" s="1"/>
  <c r="CN149" i="25"/>
  <c r="EM149" i="25" s="1"/>
  <c r="CN141" i="25"/>
  <c r="EM141" i="25" s="1"/>
  <c r="CN133" i="25"/>
  <c r="EM133" i="25" s="1"/>
  <c r="CN209" i="25"/>
  <c r="EM209" i="25" s="1"/>
  <c r="CN205" i="25"/>
  <c r="EM205" i="25" s="1"/>
  <c r="CN201" i="25"/>
  <c r="EM201" i="25" s="1"/>
  <c r="CN197" i="25"/>
  <c r="EM197" i="25" s="1"/>
  <c r="CN193" i="25"/>
  <c r="EM193" i="25" s="1"/>
  <c r="CN189" i="25"/>
  <c r="EM189" i="25" s="1"/>
  <c r="CN183" i="25"/>
  <c r="EM183" i="25" s="1"/>
  <c r="CN175" i="25"/>
  <c r="EM175" i="25" s="1"/>
  <c r="CN167" i="25"/>
  <c r="EM167" i="25" s="1"/>
  <c r="CN160" i="25"/>
  <c r="EM160" i="25" s="1"/>
  <c r="CN148" i="25"/>
  <c r="EM148" i="25" s="1"/>
  <c r="CN140" i="25"/>
  <c r="EM140" i="25" s="1"/>
  <c r="CN132" i="25"/>
  <c r="EM132" i="25" s="1"/>
  <c r="CN128" i="25"/>
  <c r="EM128" i="25" s="1"/>
  <c r="CN124" i="25"/>
  <c r="EM124" i="25" s="1"/>
  <c r="CN120" i="25"/>
  <c r="EM120" i="25" s="1"/>
  <c r="CN116" i="25"/>
  <c r="EM116" i="25" s="1"/>
  <c r="CN182" i="25"/>
  <c r="EM182" i="25" s="1"/>
  <c r="CN174" i="25"/>
  <c r="EM174" i="25" s="1"/>
  <c r="CN166" i="25"/>
  <c r="EM166" i="25" s="1"/>
  <c r="CN159" i="25"/>
  <c r="EM159" i="25" s="1"/>
  <c r="CN153" i="25"/>
  <c r="EM153" i="25" s="1"/>
  <c r="CN147" i="25"/>
  <c r="EM147" i="25" s="1"/>
  <c r="CN139" i="25"/>
  <c r="EM139" i="25" s="1"/>
  <c r="CN208" i="25"/>
  <c r="EM208" i="25" s="1"/>
  <c r="CN204" i="25"/>
  <c r="EM204" i="25" s="1"/>
  <c r="CN200" i="25"/>
  <c r="EM200" i="25" s="1"/>
  <c r="CN196" i="25"/>
  <c r="EM196" i="25" s="1"/>
  <c r="CN192" i="25"/>
  <c r="EM192" i="25" s="1"/>
  <c r="CN188" i="25"/>
  <c r="EM188" i="25" s="1"/>
  <c r="CN181" i="25"/>
  <c r="EM181" i="25" s="1"/>
  <c r="CN173" i="25"/>
  <c r="EM173" i="25" s="1"/>
  <c r="CN165" i="25"/>
  <c r="EM165" i="25" s="1"/>
  <c r="CN158" i="25"/>
  <c r="EM158" i="25" s="1"/>
  <c r="CN152" i="25"/>
  <c r="EM152" i="25" s="1"/>
  <c r="CN146" i="25"/>
  <c r="EM146" i="25" s="1"/>
  <c r="CN138" i="25"/>
  <c r="EM138" i="25" s="1"/>
  <c r="CN131" i="25"/>
  <c r="EM131" i="25" s="1"/>
  <c r="CN127" i="25"/>
  <c r="EM127" i="25" s="1"/>
  <c r="CN123" i="25"/>
  <c r="EM123" i="25" s="1"/>
  <c r="CN119" i="25"/>
  <c r="EM119" i="25" s="1"/>
  <c r="CN115" i="25"/>
  <c r="EM115" i="25" s="1"/>
  <c r="CN111" i="25"/>
  <c r="EM111" i="25" s="1"/>
  <c r="CN180" i="25"/>
  <c r="EM180" i="25" s="1"/>
  <c r="CN172" i="25"/>
  <c r="EM172" i="25" s="1"/>
  <c r="CN157" i="25"/>
  <c r="EM157" i="25" s="1"/>
  <c r="CN151" i="25"/>
  <c r="EM151" i="25" s="1"/>
  <c r="CN145" i="25"/>
  <c r="EM145" i="25" s="1"/>
  <c r="CN137" i="25"/>
  <c r="EM137" i="25" s="1"/>
  <c r="CM209" i="24"/>
  <c r="EO209" i="24" s="1"/>
  <c r="CM204" i="24"/>
  <c r="EO204" i="24" s="1"/>
  <c r="CM197" i="24"/>
  <c r="EO197" i="24" s="1"/>
  <c r="CM192" i="24"/>
  <c r="EO192" i="24" s="1"/>
  <c r="CM181" i="24"/>
  <c r="EO181" i="24" s="1"/>
  <c r="CM176" i="24"/>
  <c r="EO176" i="24" s="1"/>
  <c r="CM170" i="24"/>
  <c r="EO170" i="24" s="1"/>
  <c r="CM159" i="24"/>
  <c r="EO159" i="24" s="1"/>
  <c r="CM154" i="24"/>
  <c r="EO154" i="24" s="1"/>
  <c r="CM149" i="24"/>
  <c r="EO149" i="24" s="1"/>
  <c r="CM144" i="24"/>
  <c r="EO144" i="24" s="1"/>
  <c r="CM138" i="24"/>
  <c r="EO138" i="24" s="1"/>
  <c r="CM121" i="24"/>
  <c r="EO121" i="24" s="1"/>
  <c r="CM115" i="24"/>
  <c r="EO115" i="24" s="1"/>
  <c r="CM208" i="24"/>
  <c r="EO208" i="24" s="1"/>
  <c r="CM203" i="24"/>
  <c r="EO203" i="24" s="1"/>
  <c r="CM187" i="24"/>
  <c r="EO187" i="24" s="1"/>
  <c r="CM175" i="24"/>
  <c r="EO175" i="24" s="1"/>
  <c r="CM169" i="24"/>
  <c r="EO169" i="24" s="1"/>
  <c r="CM164" i="24"/>
  <c r="EO164" i="24" s="1"/>
  <c r="CM158" i="24"/>
  <c r="EO158" i="24" s="1"/>
  <c r="CM153" i="24"/>
  <c r="EO153" i="24" s="1"/>
  <c r="CM148" i="24"/>
  <c r="EO148" i="24" s="1"/>
  <c r="CM143" i="24"/>
  <c r="EO143" i="24" s="1"/>
  <c r="CM137" i="24"/>
  <c r="EO137" i="24" s="1"/>
  <c r="CM131" i="24"/>
  <c r="EO131" i="24" s="1"/>
  <c r="CM126" i="24"/>
  <c r="EO126" i="24" s="1"/>
  <c r="CM120" i="24"/>
  <c r="EO120" i="24" s="1"/>
  <c r="CM202" i="24"/>
  <c r="EO202" i="24" s="1"/>
  <c r="CM196" i="24"/>
  <c r="EO196" i="24" s="1"/>
  <c r="CM191" i="24"/>
  <c r="EO191" i="24" s="1"/>
  <c r="CM186" i="24"/>
  <c r="EO186" i="24" s="1"/>
  <c r="CM180" i="24"/>
  <c r="EO180" i="24" s="1"/>
  <c r="CM174" i="24"/>
  <c r="EO174" i="24" s="1"/>
  <c r="CM163" i="24"/>
  <c r="EO163" i="24" s="1"/>
  <c r="CM142" i="24"/>
  <c r="EO142" i="24" s="1"/>
  <c r="CM125" i="24"/>
  <c r="EO125" i="24" s="1"/>
  <c r="CM119" i="24"/>
  <c r="EO119" i="24" s="1"/>
  <c r="CM114" i="24"/>
  <c r="EO114" i="24" s="1"/>
  <c r="CM207" i="24"/>
  <c r="EO207" i="24" s="1"/>
  <c r="CM201" i="24"/>
  <c r="EO201" i="24" s="1"/>
  <c r="CM185" i="24"/>
  <c r="EO185" i="24" s="1"/>
  <c r="CM179" i="24"/>
  <c r="EO179" i="24" s="1"/>
  <c r="CM173" i="24"/>
  <c r="EO173" i="24" s="1"/>
  <c r="CM168" i="24"/>
  <c r="EO168" i="24" s="1"/>
  <c r="CM157" i="24"/>
  <c r="EO157" i="24" s="1"/>
  <c r="CM152" i="24"/>
  <c r="EO152" i="24" s="1"/>
  <c r="CM147" i="24"/>
  <c r="EO147" i="24" s="1"/>
  <c r="CM141" i="24"/>
  <c r="EO141" i="24" s="1"/>
  <c r="CM136" i="24"/>
  <c r="EO136" i="24" s="1"/>
  <c r="CM130" i="24"/>
  <c r="EO130" i="24" s="1"/>
  <c r="CM124" i="24"/>
  <c r="EO124" i="24" s="1"/>
  <c r="CM110" i="24"/>
  <c r="CO110" i="24" s="1"/>
  <c r="CM206" i="24"/>
  <c r="EO206" i="24" s="1"/>
  <c r="CM195" i="24"/>
  <c r="EO195" i="24" s="1"/>
  <c r="CM190" i="24"/>
  <c r="EO190" i="24" s="1"/>
  <c r="CM162" i="24"/>
  <c r="EO162" i="24" s="1"/>
  <c r="CM140" i="24"/>
  <c r="EO140" i="24" s="1"/>
  <c r="CM135" i="24"/>
  <c r="EO135" i="24" s="1"/>
  <c r="CM129" i="24"/>
  <c r="EO129" i="24" s="1"/>
  <c r="CM118" i="24"/>
  <c r="EO118" i="24" s="1"/>
  <c r="CM113" i="24"/>
  <c r="EO113" i="24" s="1"/>
  <c r="CM200" i="24"/>
  <c r="EO200" i="24" s="1"/>
  <c r="CM184" i="24"/>
  <c r="EO184" i="24" s="1"/>
  <c r="CM178" i="24"/>
  <c r="EO178" i="24" s="1"/>
  <c r="CM172" i="24"/>
  <c r="EO172" i="24" s="1"/>
  <c r="CM167" i="24"/>
  <c r="EO167" i="24" s="1"/>
  <c r="CM161" i="24"/>
  <c r="EO161" i="24" s="1"/>
  <c r="CM156" i="24"/>
  <c r="EO156" i="24" s="1"/>
  <c r="CM151" i="24"/>
  <c r="EO151" i="24" s="1"/>
  <c r="CM146" i="24"/>
  <c r="EO146" i="24" s="1"/>
  <c r="CM134" i="24"/>
  <c r="EO134" i="24" s="1"/>
  <c r="CM128" i="24"/>
  <c r="EO128" i="24" s="1"/>
  <c r="CM123" i="24"/>
  <c r="EO123" i="24" s="1"/>
  <c r="CM117" i="24"/>
  <c r="EO117" i="24" s="1"/>
  <c r="CM205" i="24"/>
  <c r="EO205" i="24" s="1"/>
  <c r="CM199" i="24"/>
  <c r="EO199" i="24" s="1"/>
  <c r="CM194" i="24"/>
  <c r="EO194" i="24" s="1"/>
  <c r="CM189" i="24"/>
  <c r="EO189" i="24" s="1"/>
  <c r="CM183" i="24"/>
  <c r="EO183" i="24" s="1"/>
  <c r="CM177" i="24"/>
  <c r="EO177" i="24" s="1"/>
  <c r="CM171" i="24"/>
  <c r="EO171" i="24" s="1"/>
  <c r="CM166" i="24"/>
  <c r="EO166" i="24" s="1"/>
  <c r="CM155" i="24"/>
  <c r="EO155" i="24" s="1"/>
  <c r="CM150" i="24"/>
  <c r="EO150" i="24" s="1"/>
  <c r="CM145" i="24"/>
  <c r="EO145" i="24" s="1"/>
  <c r="CM139" i="24"/>
  <c r="EO139" i="24" s="1"/>
  <c r="CM133" i="24"/>
  <c r="EO133" i="24" s="1"/>
  <c r="CM122" i="24"/>
  <c r="EO122" i="24" s="1"/>
  <c r="CM116" i="24"/>
  <c r="EO116" i="24" s="1"/>
  <c r="CM112" i="24"/>
  <c r="EO112" i="24" s="1"/>
  <c r="CM210" i="24"/>
  <c r="EO210" i="24" s="1"/>
  <c r="CM198" i="24"/>
  <c r="EO198" i="24" s="1"/>
  <c r="CM193" i="24"/>
  <c r="EO193" i="24" s="1"/>
  <c r="CM188" i="24"/>
  <c r="EO188" i="24" s="1"/>
  <c r="CM182" i="24"/>
  <c r="EO182" i="24" s="1"/>
  <c r="CM165" i="24"/>
  <c r="EO165" i="24" s="1"/>
  <c r="CM160" i="24"/>
  <c r="EO160" i="24" s="1"/>
  <c r="CM132" i="24"/>
  <c r="EO132" i="24" s="1"/>
  <c r="CM127" i="24"/>
  <c r="EO127" i="24" s="1"/>
  <c r="CM111" i="24"/>
  <c r="EO111" i="24" s="1"/>
  <c r="CL216" i="25"/>
  <c r="DL216" i="25" s="1"/>
  <c r="CL110" i="25"/>
  <c r="DL110" i="25" s="1"/>
  <c r="CL5" i="25"/>
  <c r="DL5" i="25" s="1"/>
  <c r="CL5" i="24"/>
  <c r="CL216" i="24"/>
  <c r="CL110" i="24"/>
  <c r="CR81" i="25"/>
  <c r="CR16" i="25"/>
  <c r="CR84" i="25"/>
  <c r="CR13" i="25"/>
  <c r="CR34" i="25"/>
  <c r="CR46" i="25"/>
  <c r="CR54" i="25"/>
  <c r="CR53" i="25"/>
  <c r="CR15" i="25"/>
  <c r="CR19" i="25"/>
  <c r="CR77" i="25"/>
  <c r="CR27" i="25"/>
  <c r="CR40" i="25"/>
  <c r="CR100" i="25"/>
  <c r="CO37" i="24"/>
  <c r="CQ78" i="24"/>
  <c r="CR78" i="24" s="1"/>
  <c r="CT78" i="24" s="1"/>
  <c r="CQ62" i="24"/>
  <c r="CR62" i="24" s="1"/>
  <c r="CT62" i="24" s="1"/>
  <c r="CQ38" i="24"/>
  <c r="CR38" i="24" s="1"/>
  <c r="CT38" i="24" s="1"/>
  <c r="CQ12" i="24"/>
  <c r="CR12" i="24" s="1"/>
  <c r="CT12" i="24" s="1"/>
  <c r="CO79" i="24"/>
  <c r="CQ87" i="24"/>
  <c r="CR87" i="24" s="1"/>
  <c r="CT87" i="24" s="1"/>
  <c r="CO23" i="24"/>
  <c r="CQ57" i="24"/>
  <c r="CR57" i="24" s="1"/>
  <c r="CT57" i="24" s="1"/>
  <c r="CQ33" i="24"/>
  <c r="CR33" i="24" s="1"/>
  <c r="CT33" i="24" s="1"/>
  <c r="CO52" i="24"/>
  <c r="CO25" i="24"/>
  <c r="CR66" i="25"/>
  <c r="CR10" i="25"/>
  <c r="CR21" i="25"/>
  <c r="CR26" i="25"/>
  <c r="CR44" i="25"/>
  <c r="CR79" i="25"/>
  <c r="CR85" i="25"/>
  <c r="CR91" i="25"/>
  <c r="CR52" i="25"/>
  <c r="CR31" i="25"/>
  <c r="CR51" i="25"/>
  <c r="CR48" i="25"/>
  <c r="CO24" i="24"/>
  <c r="CO5" i="24"/>
  <c r="CQ20" i="24"/>
  <c r="CR20" i="24" s="1"/>
  <c r="CT20" i="24" s="1"/>
  <c r="CQ46" i="24"/>
  <c r="CR46" i="24" s="1"/>
  <c r="CT46" i="24" s="1"/>
  <c r="CQ92" i="24"/>
  <c r="CR92" i="24" s="1"/>
  <c r="CT92" i="24" s="1"/>
  <c r="CQ85" i="24"/>
  <c r="CR85" i="24" s="1"/>
  <c r="CT85" i="24" s="1"/>
  <c r="CO28" i="24"/>
  <c r="CO51" i="24"/>
  <c r="CQ70" i="24"/>
  <c r="CR70" i="24" s="1"/>
  <c r="CT70" i="24" s="1"/>
  <c r="CQ71" i="24"/>
  <c r="CR71" i="24" s="1"/>
  <c r="CT71" i="24" s="1"/>
  <c r="CQ65" i="24"/>
  <c r="CR65" i="24" s="1"/>
  <c r="CT65" i="24" s="1"/>
  <c r="CQ49" i="24"/>
  <c r="CR49" i="24" s="1"/>
  <c r="CT49" i="24" s="1"/>
  <c r="CQ35" i="24"/>
  <c r="CR35" i="24" s="1"/>
  <c r="CT35" i="24" s="1"/>
  <c r="CQ22" i="24"/>
  <c r="CR22" i="24" s="1"/>
  <c r="CT22" i="24" s="1"/>
  <c r="CO39" i="24"/>
  <c r="CO93" i="24"/>
  <c r="CR64" i="25"/>
  <c r="CR96" i="25"/>
  <c r="CR18" i="25"/>
  <c r="CR80" i="25"/>
  <c r="CR65" i="25"/>
  <c r="CR73" i="25"/>
  <c r="CR30" i="25"/>
  <c r="CR62" i="25"/>
  <c r="CR75" i="25"/>
  <c r="CR17" i="25"/>
  <c r="CR76" i="25"/>
  <c r="CR67" i="25"/>
  <c r="CR23" i="25"/>
  <c r="CR43" i="25"/>
  <c r="CR11" i="25"/>
  <c r="CQ103" i="24"/>
  <c r="CR103" i="24" s="1"/>
  <c r="CT103" i="24" s="1"/>
  <c r="CQ14" i="24"/>
  <c r="CR14" i="24" s="1"/>
  <c r="CT14" i="24" s="1"/>
  <c r="CO77" i="24"/>
  <c r="CO34" i="24"/>
  <c r="CQ91" i="24"/>
  <c r="CR91" i="24" s="1"/>
  <c r="CT91" i="24" s="1"/>
  <c r="CO68" i="24"/>
  <c r="CO102" i="24"/>
  <c r="CO67" i="24"/>
  <c r="CO14" i="24"/>
  <c r="CO59" i="24"/>
  <c r="CO21" i="24"/>
  <c r="CO71" i="24"/>
  <c r="CQ17" i="24"/>
  <c r="CR17" i="24" s="1"/>
  <c r="CT17" i="24" s="1"/>
  <c r="CO41" i="24"/>
  <c r="CO94" i="24"/>
  <c r="CO10" i="24"/>
  <c r="CR49" i="25"/>
  <c r="CR102" i="25"/>
  <c r="CR70" i="25"/>
  <c r="CR9" i="25"/>
  <c r="CR72" i="25"/>
  <c r="CR14" i="25"/>
  <c r="CR63" i="25"/>
  <c r="CR45" i="25"/>
  <c r="CR28" i="25"/>
  <c r="CR37" i="25"/>
  <c r="CO96" i="24"/>
  <c r="CO81" i="24"/>
  <c r="CQ42" i="24"/>
  <c r="CR42" i="24" s="1"/>
  <c r="CT42" i="24" s="1"/>
  <c r="CQ27" i="24"/>
  <c r="CR27" i="24" s="1"/>
  <c r="CT27" i="24" s="1"/>
  <c r="CO62" i="24"/>
  <c r="CO55" i="24"/>
  <c r="CO84" i="24"/>
  <c r="CQ86" i="24"/>
  <c r="CR86" i="24" s="1"/>
  <c r="CT86" i="24" s="1"/>
  <c r="CO60" i="24"/>
  <c r="CQ73" i="24"/>
  <c r="CR73" i="24" s="1"/>
  <c r="CT73" i="24" s="1"/>
  <c r="CQ82" i="24"/>
  <c r="CR82" i="24" s="1"/>
  <c r="CT82" i="24" s="1"/>
  <c r="CR42" i="25"/>
  <c r="CR38" i="25"/>
  <c r="CR61" i="25"/>
  <c r="CR105" i="25"/>
  <c r="CR68" i="25"/>
  <c r="CR6" i="25"/>
  <c r="CX6" i="25" s="1"/>
  <c r="CY6" i="25" s="1"/>
  <c r="CR41" i="25"/>
  <c r="CR59" i="25"/>
  <c r="CR94" i="25"/>
  <c r="CR78" i="25"/>
  <c r="CR47" i="25"/>
  <c r="CR83" i="25"/>
  <c r="CO89" i="24"/>
  <c r="CQ5" i="24"/>
  <c r="CY5" i="24" s="1"/>
  <c r="CO15" i="24"/>
  <c r="CO88" i="24"/>
  <c r="CQ45" i="24"/>
  <c r="CR45" i="24" s="1"/>
  <c r="CT45" i="24" s="1"/>
  <c r="CQ105" i="24"/>
  <c r="CR105" i="24" s="1"/>
  <c r="CT105" i="24" s="1"/>
  <c r="CQ40" i="24"/>
  <c r="CR40" i="24" s="1"/>
  <c r="CT40" i="24" s="1"/>
  <c r="CQ68" i="24"/>
  <c r="CR68" i="24" s="1"/>
  <c r="CT68" i="24" s="1"/>
  <c r="CO33" i="24"/>
  <c r="CR35" i="25"/>
  <c r="CR101" i="25"/>
  <c r="CR57" i="25"/>
  <c r="CR60" i="25"/>
  <c r="CR97" i="25"/>
  <c r="CR92" i="25"/>
  <c r="CR25" i="25"/>
  <c r="CR88" i="25"/>
  <c r="CR58" i="25"/>
  <c r="CR56" i="25"/>
  <c r="CR32" i="25"/>
  <c r="CR12" i="25"/>
  <c r="CR71" i="25"/>
  <c r="CR87" i="25"/>
  <c r="CR36" i="25"/>
  <c r="CR24" i="25"/>
  <c r="CR39" i="25"/>
  <c r="CR95" i="25"/>
  <c r="CR55" i="25"/>
  <c r="CQ74" i="24"/>
  <c r="CR74" i="24" s="1"/>
  <c r="CT74" i="24" s="1"/>
  <c r="CO30" i="24"/>
  <c r="CQ37" i="24"/>
  <c r="CR37" i="24" s="1"/>
  <c r="CT37" i="24" s="1"/>
  <c r="CO100" i="24"/>
  <c r="CO58" i="24"/>
  <c r="CO29" i="24"/>
  <c r="CO19" i="24"/>
  <c r="CO17" i="24"/>
  <c r="CQ96" i="24"/>
  <c r="CR96" i="24" s="1"/>
  <c r="CT96" i="24" s="1"/>
  <c r="CQ48" i="24"/>
  <c r="CR48" i="24" s="1"/>
  <c r="CT48" i="24" s="1"/>
  <c r="CO80" i="24"/>
  <c r="CO104" i="24"/>
  <c r="CO99" i="24"/>
  <c r="CO54" i="24"/>
  <c r="CQ81" i="24"/>
  <c r="CR81" i="24" s="1"/>
  <c r="CT81" i="24" s="1"/>
  <c r="CO50" i="24"/>
  <c r="CO87" i="24"/>
  <c r="CR50" i="25"/>
  <c r="CR69" i="25"/>
  <c r="CQ11" i="24"/>
  <c r="CR11" i="24" s="1"/>
  <c r="CT11" i="24" s="1"/>
  <c r="CO82" i="24"/>
  <c r="CQ39" i="24"/>
  <c r="CR39" i="24" s="1"/>
  <c r="CT39" i="24" s="1"/>
  <c r="CQ60" i="24"/>
  <c r="CR60" i="24" s="1"/>
  <c r="CT60" i="24" s="1"/>
  <c r="CO11" i="24"/>
  <c r="CQ56" i="24"/>
  <c r="CR56" i="24" s="1"/>
  <c r="CT56" i="24" s="1"/>
  <c r="CQ13" i="24"/>
  <c r="CR13" i="24" s="1"/>
  <c r="CT13" i="24" s="1"/>
  <c r="CO66" i="24"/>
  <c r="CO91" i="24"/>
  <c r="CQ94" i="24"/>
  <c r="CR94" i="24" s="1"/>
  <c r="CT94" i="24" s="1"/>
  <c r="CQ10" i="24"/>
  <c r="CR10" i="24" s="1"/>
  <c r="CT10" i="24" s="1"/>
  <c r="CO78" i="24"/>
  <c r="CQ30" i="24"/>
  <c r="CR30" i="24" s="1"/>
  <c r="CT30" i="24" s="1"/>
  <c r="CQ26" i="24"/>
  <c r="CR26" i="24" s="1"/>
  <c r="CT26" i="24" s="1"/>
  <c r="CO98" i="24"/>
  <c r="CQ34" i="24"/>
  <c r="CR34" i="24" s="1"/>
  <c r="CT34" i="24" s="1"/>
  <c r="CO76" i="24"/>
  <c r="CO13" i="24"/>
  <c r="CR89" i="25"/>
  <c r="CO6" i="24"/>
  <c r="CO43" i="24"/>
  <c r="CQ51" i="24"/>
  <c r="CR51" i="24" s="1"/>
  <c r="CT51" i="24" s="1"/>
  <c r="CO72" i="24"/>
  <c r="CQ24" i="24"/>
  <c r="CR24" i="24" s="1"/>
  <c r="CT24" i="24" s="1"/>
  <c r="CQ61" i="24"/>
  <c r="CR61" i="24" s="1"/>
  <c r="CT61" i="24" s="1"/>
  <c r="CO9" i="24"/>
  <c r="CR20" i="25"/>
  <c r="CQ104" i="24"/>
  <c r="CR104" i="24" s="1"/>
  <c r="CT104" i="24" s="1"/>
  <c r="CO44" i="24"/>
  <c r="CQ23" i="24"/>
  <c r="CR23" i="24" s="1"/>
  <c r="CT23" i="24" s="1"/>
  <c r="CQ53" i="24"/>
  <c r="CR53" i="24" s="1"/>
  <c r="CT53" i="24" s="1"/>
  <c r="CO69" i="24"/>
  <c r="CQ44" i="24"/>
  <c r="CR44" i="24" s="1"/>
  <c r="CT44" i="24" s="1"/>
  <c r="CO26" i="24"/>
  <c r="CQ31" i="24"/>
  <c r="CR31" i="24" s="1"/>
  <c r="CT31" i="24" s="1"/>
  <c r="CQ7" i="24"/>
  <c r="CR7" i="24" s="1"/>
  <c r="CT7" i="24" s="1"/>
  <c r="CR22" i="25"/>
  <c r="CR82" i="25"/>
  <c r="CR33" i="25"/>
  <c r="CR98" i="25"/>
  <c r="CO57" i="24"/>
  <c r="CO40" i="24"/>
  <c r="CO45" i="24"/>
  <c r="CQ76" i="24"/>
  <c r="CR76" i="24" s="1"/>
  <c r="CT76" i="24" s="1"/>
  <c r="CQ66" i="24"/>
  <c r="CR66" i="24" s="1"/>
  <c r="CT66" i="24" s="1"/>
  <c r="CQ88" i="24"/>
  <c r="CR88" i="24" s="1"/>
  <c r="CT88" i="24" s="1"/>
  <c r="CO42" i="24"/>
  <c r="CO16" i="24"/>
  <c r="CQ90" i="24"/>
  <c r="CR90" i="24" s="1"/>
  <c r="CT90" i="24" s="1"/>
  <c r="CO65" i="24"/>
  <c r="CO64" i="24"/>
  <c r="CQ47" i="24"/>
  <c r="CR47" i="24" s="1"/>
  <c r="CT47" i="24" s="1"/>
  <c r="CO8" i="24"/>
  <c r="CQ95" i="24"/>
  <c r="CR95" i="24" s="1"/>
  <c r="CT95" i="24" s="1"/>
  <c r="CQ32" i="24"/>
  <c r="CR32" i="24" s="1"/>
  <c r="CT32" i="24" s="1"/>
  <c r="CR7" i="25"/>
  <c r="CX7" i="25" s="1"/>
  <c r="CY7" i="25" s="1"/>
  <c r="CQ25" i="24"/>
  <c r="CR25" i="24" s="1"/>
  <c r="CT25" i="24" s="1"/>
  <c r="CO31" i="24"/>
  <c r="CQ15" i="24"/>
  <c r="CR15" i="24" s="1"/>
  <c r="CT15" i="24" s="1"/>
  <c r="CQ99" i="24"/>
  <c r="CR99" i="24" s="1"/>
  <c r="CT99" i="24" s="1"/>
  <c r="CQ100" i="24"/>
  <c r="CR100" i="24" s="1"/>
  <c r="CT100" i="24" s="1"/>
  <c r="CO12" i="24"/>
  <c r="CO85" i="24"/>
  <c r="CO7" i="24"/>
  <c r="CO105" i="24"/>
  <c r="CR104" i="25"/>
  <c r="CQ75" i="24"/>
  <c r="CR75" i="24" s="1"/>
  <c r="CT75" i="24" s="1"/>
  <c r="CQ16" i="24"/>
  <c r="CR16" i="24" s="1"/>
  <c r="CT16" i="24" s="1"/>
  <c r="CO74" i="24"/>
  <c r="CO97" i="24"/>
  <c r="CQ102" i="24"/>
  <c r="CR102" i="24" s="1"/>
  <c r="CT102" i="24" s="1"/>
  <c r="CR99" i="25"/>
  <c r="CR103" i="25"/>
  <c r="CO32" i="24"/>
  <c r="CQ36" i="24"/>
  <c r="CR36" i="24" s="1"/>
  <c r="CT36" i="24" s="1"/>
  <c r="CQ19" i="24"/>
  <c r="CR19" i="24" s="1"/>
  <c r="CT19" i="24" s="1"/>
  <c r="CO27" i="24"/>
  <c r="CQ55" i="24"/>
  <c r="CR55" i="24" s="1"/>
  <c r="CT55" i="24" s="1"/>
  <c r="CO95" i="24"/>
  <c r="CQ54" i="24"/>
  <c r="CR54" i="24" s="1"/>
  <c r="CT54" i="24" s="1"/>
  <c r="CO75" i="24"/>
  <c r="CO103" i="24"/>
  <c r="CQ64" i="24"/>
  <c r="CR64" i="24" s="1"/>
  <c r="CT64" i="24" s="1"/>
  <c r="CQ77" i="24"/>
  <c r="CR77" i="24" s="1"/>
  <c r="CT77" i="24" s="1"/>
  <c r="CO86" i="24"/>
  <c r="CO70" i="24"/>
  <c r="CO46" i="24"/>
  <c r="CQ97" i="24"/>
  <c r="CR97" i="24" s="1"/>
  <c r="CT97" i="24" s="1"/>
  <c r="CQ21" i="24"/>
  <c r="CR21" i="24" s="1"/>
  <c r="CT21" i="24" s="1"/>
  <c r="CO83" i="24"/>
  <c r="CQ89" i="24"/>
  <c r="CR89" i="24" s="1"/>
  <c r="CT89" i="24" s="1"/>
  <c r="CO22" i="24"/>
  <c r="CQ50" i="24"/>
  <c r="CR50" i="24" s="1"/>
  <c r="CT50" i="24" s="1"/>
  <c r="CO36" i="24"/>
  <c r="CO47" i="24"/>
  <c r="CR93" i="25"/>
  <c r="CR74" i="25"/>
  <c r="CQ6" i="24"/>
  <c r="CR6" i="24" s="1"/>
  <c r="CT6" i="24" s="1"/>
  <c r="CQ83" i="24"/>
  <c r="CR83" i="24" s="1"/>
  <c r="CT83" i="24" s="1"/>
  <c r="CQ80" i="24"/>
  <c r="CR80" i="24" s="1"/>
  <c r="CT80" i="24" s="1"/>
  <c r="CQ52" i="24"/>
  <c r="CR52" i="24" s="1"/>
  <c r="CT52" i="24" s="1"/>
  <c r="CQ98" i="24"/>
  <c r="CR98" i="24" s="1"/>
  <c r="CT98" i="24" s="1"/>
  <c r="CQ59" i="24"/>
  <c r="CR59" i="24" s="1"/>
  <c r="CT59" i="24" s="1"/>
  <c r="CO38" i="24"/>
  <c r="CO90" i="24"/>
  <c r="CO53" i="24"/>
  <c r="CR8" i="25"/>
  <c r="CR86" i="25"/>
  <c r="CQ58" i="24"/>
  <c r="CR58" i="24" s="1"/>
  <c r="CT58" i="24" s="1"/>
  <c r="CO61" i="24"/>
  <c r="CQ43" i="24"/>
  <c r="CR43" i="24" s="1"/>
  <c r="CT43" i="24" s="1"/>
  <c r="CQ84" i="24"/>
  <c r="CR84" i="24" s="1"/>
  <c r="CT84" i="24" s="1"/>
  <c r="CO35" i="24"/>
  <c r="CQ41" i="24"/>
  <c r="CR41" i="24" s="1"/>
  <c r="CT41" i="24" s="1"/>
  <c r="CQ29" i="24"/>
  <c r="CR29" i="24" s="1"/>
  <c r="CT29" i="24" s="1"/>
  <c r="CO48" i="24"/>
  <c r="CQ93" i="24"/>
  <c r="CR93" i="24" s="1"/>
  <c r="CT93" i="24" s="1"/>
  <c r="CO56" i="24"/>
  <c r="CQ18" i="24"/>
  <c r="CR18" i="24" s="1"/>
  <c r="CT18" i="24" s="1"/>
  <c r="CO101" i="24"/>
  <c r="CO20" i="24"/>
  <c r="CO18" i="24"/>
  <c r="CQ67" i="24"/>
  <c r="CR67" i="24" s="1"/>
  <c r="CT67" i="24" s="1"/>
  <c r="CR29" i="25"/>
  <c r="CR90" i="25"/>
  <c r="CQ101" i="24"/>
  <c r="CR101" i="24" s="1"/>
  <c r="CT101" i="24" s="1"/>
  <c r="CQ69" i="24"/>
  <c r="CR69" i="24" s="1"/>
  <c r="CT69" i="24" s="1"/>
  <c r="CQ9" i="24"/>
  <c r="CR9" i="24" s="1"/>
  <c r="CT9" i="24" s="1"/>
  <c r="CO73" i="24"/>
  <c r="CO63" i="24"/>
  <c r="CQ8" i="24"/>
  <c r="CR8" i="24" s="1"/>
  <c r="CT8" i="24" s="1"/>
  <c r="CQ63" i="24"/>
  <c r="CR63" i="24" s="1"/>
  <c r="CT63" i="24" s="1"/>
  <c r="CQ72" i="24"/>
  <c r="CR72" i="24" s="1"/>
  <c r="CT72" i="24" s="1"/>
  <c r="CQ28" i="24"/>
  <c r="CR28" i="24" s="1"/>
  <c r="CT28" i="24" s="1"/>
  <c r="CO92" i="24"/>
  <c r="CO49" i="24"/>
  <c r="CQ79" i="24"/>
  <c r="CR79" i="24" s="1"/>
  <c r="CT79" i="24" s="1"/>
  <c r="CL6" i="25"/>
  <c r="DL6" i="25" s="1"/>
  <c r="CL7" i="25"/>
  <c r="DL7" i="25" s="1"/>
  <c r="CN309" i="25"/>
  <c r="CN301" i="25"/>
  <c r="CN293" i="25"/>
  <c r="CN285" i="25"/>
  <c r="CN277" i="25"/>
  <c r="CN269" i="25"/>
  <c r="CN261" i="25"/>
  <c r="CN253" i="25"/>
  <c r="CN245" i="25"/>
  <c r="CN237" i="25"/>
  <c r="CN229" i="25"/>
  <c r="CN221" i="25"/>
  <c r="CN262" i="25"/>
  <c r="CN246" i="25"/>
  <c r="CN222" i="25"/>
  <c r="CN316" i="25"/>
  <c r="CN308" i="25"/>
  <c r="CN300" i="25"/>
  <c r="CN292" i="25"/>
  <c r="CN284" i="25"/>
  <c r="CN276" i="25"/>
  <c r="CN268" i="25"/>
  <c r="CN260" i="25"/>
  <c r="CN252" i="25"/>
  <c r="CN244" i="25"/>
  <c r="CN236" i="25"/>
  <c r="CN228" i="25"/>
  <c r="CN220" i="25"/>
  <c r="CN278" i="25"/>
  <c r="CN254" i="25"/>
  <c r="CN315" i="25"/>
  <c r="CN307" i="25"/>
  <c r="CN299" i="25"/>
  <c r="CN291" i="25"/>
  <c r="CN283" i="25"/>
  <c r="CN275" i="25"/>
  <c r="CN267" i="25"/>
  <c r="CN259" i="25"/>
  <c r="CN251" i="25"/>
  <c r="CN243" i="25"/>
  <c r="CN235" i="25"/>
  <c r="CN227" i="25"/>
  <c r="CN219" i="25"/>
  <c r="CN270" i="25"/>
  <c r="CN238" i="25"/>
  <c r="CN314" i="25"/>
  <c r="CN306" i="25"/>
  <c r="CN298" i="25"/>
  <c r="CN290" i="25"/>
  <c r="CN282" i="25"/>
  <c r="CN274" i="25"/>
  <c r="CN266" i="25"/>
  <c r="CN258" i="25"/>
  <c r="CN250" i="25"/>
  <c r="CN242" i="25"/>
  <c r="CN234" i="25"/>
  <c r="CN226" i="25"/>
  <c r="CN218" i="25"/>
  <c r="CN294" i="25"/>
  <c r="CN313" i="25"/>
  <c r="CN305" i="25"/>
  <c r="CN297" i="25"/>
  <c r="CN289" i="25"/>
  <c r="CN281" i="25"/>
  <c r="CN273" i="25"/>
  <c r="CN265" i="25"/>
  <c r="CN257" i="25"/>
  <c r="CN249" i="25"/>
  <c r="CN241" i="25"/>
  <c r="CN233" i="25"/>
  <c r="CN225" i="25"/>
  <c r="CN217" i="25"/>
  <c r="CN286" i="25"/>
  <c r="CN312" i="25"/>
  <c r="CN304" i="25"/>
  <c r="CN296" i="25"/>
  <c r="CN288" i="25"/>
  <c r="CN280" i="25"/>
  <c r="CN272" i="25"/>
  <c r="CN264" i="25"/>
  <c r="CN256" i="25"/>
  <c r="CN248" i="25"/>
  <c r="CN240" i="25"/>
  <c r="CN232" i="25"/>
  <c r="CN224" i="25"/>
  <c r="CN302" i="25"/>
  <c r="CN230" i="25"/>
  <c r="CN311" i="25"/>
  <c r="CN303" i="25"/>
  <c r="CN295" i="25"/>
  <c r="CN287" i="25"/>
  <c r="CN279" i="25"/>
  <c r="CN271" i="25"/>
  <c r="CN263" i="25"/>
  <c r="CN255" i="25"/>
  <c r="CN247" i="25"/>
  <c r="CN239" i="25"/>
  <c r="CN231" i="25"/>
  <c r="CN223" i="25"/>
  <c r="CN216" i="25"/>
  <c r="CN310" i="25"/>
  <c r="CM312" i="24"/>
  <c r="EO312" i="24" s="1"/>
  <c r="CM304" i="24"/>
  <c r="EO304" i="24" s="1"/>
  <c r="CM296" i="24"/>
  <c r="EO296" i="24" s="1"/>
  <c r="CM288" i="24"/>
  <c r="EO288" i="24" s="1"/>
  <c r="CM280" i="24"/>
  <c r="EO280" i="24" s="1"/>
  <c r="CM272" i="24"/>
  <c r="EO272" i="24" s="1"/>
  <c r="CM264" i="24"/>
  <c r="EO264" i="24" s="1"/>
  <c r="CM256" i="24"/>
  <c r="EO256" i="24" s="1"/>
  <c r="CM248" i="24"/>
  <c r="EO248" i="24" s="1"/>
  <c r="CM240" i="24"/>
  <c r="EO240" i="24" s="1"/>
  <c r="CM232" i="24"/>
  <c r="EO232" i="24" s="1"/>
  <c r="CM224" i="24"/>
  <c r="EO224" i="24" s="1"/>
  <c r="CM281" i="24"/>
  <c r="EO281" i="24" s="1"/>
  <c r="CM311" i="24"/>
  <c r="EO311" i="24" s="1"/>
  <c r="CM303" i="24"/>
  <c r="EO303" i="24" s="1"/>
  <c r="CM295" i="24"/>
  <c r="EO295" i="24" s="1"/>
  <c r="CM287" i="24"/>
  <c r="EO287" i="24" s="1"/>
  <c r="CM279" i="24"/>
  <c r="EO279" i="24" s="1"/>
  <c r="CM271" i="24"/>
  <c r="EO271" i="24" s="1"/>
  <c r="CM263" i="24"/>
  <c r="EO263" i="24" s="1"/>
  <c r="CM255" i="24"/>
  <c r="EO255" i="24" s="1"/>
  <c r="CM247" i="24"/>
  <c r="EO247" i="24" s="1"/>
  <c r="CM239" i="24"/>
  <c r="EO239" i="24" s="1"/>
  <c r="CM231" i="24"/>
  <c r="EO231" i="24" s="1"/>
  <c r="CM223" i="24"/>
  <c r="EO223" i="24" s="1"/>
  <c r="CM216" i="24"/>
  <c r="EO216" i="24" s="1"/>
  <c r="CM305" i="24"/>
  <c r="EO305" i="24" s="1"/>
  <c r="CM241" i="24"/>
  <c r="EO241" i="24" s="1"/>
  <c r="CM310" i="24"/>
  <c r="EO310" i="24" s="1"/>
  <c r="CM302" i="24"/>
  <c r="EO302" i="24" s="1"/>
  <c r="CM294" i="24"/>
  <c r="EO294" i="24" s="1"/>
  <c r="CM286" i="24"/>
  <c r="EO286" i="24" s="1"/>
  <c r="CM278" i="24"/>
  <c r="EO278" i="24" s="1"/>
  <c r="CM270" i="24"/>
  <c r="EO270" i="24" s="1"/>
  <c r="CM262" i="24"/>
  <c r="EO262" i="24" s="1"/>
  <c r="CM254" i="24"/>
  <c r="EO254" i="24" s="1"/>
  <c r="CM246" i="24"/>
  <c r="EO246" i="24" s="1"/>
  <c r="CM238" i="24"/>
  <c r="EO238" i="24" s="1"/>
  <c r="CM230" i="24"/>
  <c r="EO230" i="24" s="1"/>
  <c r="CM222" i="24"/>
  <c r="EO222" i="24" s="1"/>
  <c r="CM313" i="24"/>
  <c r="EO313" i="24" s="1"/>
  <c r="CM233" i="24"/>
  <c r="EO233" i="24" s="1"/>
  <c r="CM309" i="24"/>
  <c r="EO309" i="24" s="1"/>
  <c r="CM301" i="24"/>
  <c r="EO301" i="24" s="1"/>
  <c r="CM293" i="24"/>
  <c r="EO293" i="24" s="1"/>
  <c r="CM285" i="24"/>
  <c r="EO285" i="24" s="1"/>
  <c r="CM277" i="24"/>
  <c r="EO277" i="24" s="1"/>
  <c r="CM269" i="24"/>
  <c r="EO269" i="24" s="1"/>
  <c r="CM261" i="24"/>
  <c r="EO261" i="24" s="1"/>
  <c r="CM253" i="24"/>
  <c r="EO253" i="24" s="1"/>
  <c r="CM245" i="24"/>
  <c r="EO245" i="24" s="1"/>
  <c r="CM237" i="24"/>
  <c r="EO237" i="24" s="1"/>
  <c r="CM229" i="24"/>
  <c r="EO229" i="24" s="1"/>
  <c r="CM221" i="24"/>
  <c r="EO221" i="24" s="1"/>
  <c r="CM289" i="24"/>
  <c r="EO289" i="24" s="1"/>
  <c r="CM249" i="24"/>
  <c r="EO249" i="24" s="1"/>
  <c r="CM316" i="24"/>
  <c r="EO316" i="24" s="1"/>
  <c r="CM308" i="24"/>
  <c r="EO308" i="24" s="1"/>
  <c r="CM300" i="24"/>
  <c r="EO300" i="24" s="1"/>
  <c r="CM292" i="24"/>
  <c r="EO292" i="24" s="1"/>
  <c r="CM284" i="24"/>
  <c r="EO284" i="24" s="1"/>
  <c r="CM276" i="24"/>
  <c r="EO276" i="24" s="1"/>
  <c r="CM268" i="24"/>
  <c r="EO268" i="24" s="1"/>
  <c r="CM260" i="24"/>
  <c r="EO260" i="24" s="1"/>
  <c r="CM252" i="24"/>
  <c r="EO252" i="24" s="1"/>
  <c r="CM244" i="24"/>
  <c r="EO244" i="24" s="1"/>
  <c r="CM236" i="24"/>
  <c r="EO236" i="24" s="1"/>
  <c r="CM228" i="24"/>
  <c r="EO228" i="24" s="1"/>
  <c r="CM220" i="24"/>
  <c r="EO220" i="24" s="1"/>
  <c r="CM226" i="24"/>
  <c r="EO226" i="24" s="1"/>
  <c r="CM297" i="24"/>
  <c r="EO297" i="24" s="1"/>
  <c r="CM265" i="24"/>
  <c r="EO265" i="24" s="1"/>
  <c r="CM225" i="24"/>
  <c r="EO225" i="24" s="1"/>
  <c r="CM315" i="24"/>
  <c r="EO315" i="24" s="1"/>
  <c r="CM307" i="24"/>
  <c r="EO307" i="24" s="1"/>
  <c r="CM299" i="24"/>
  <c r="EO299" i="24" s="1"/>
  <c r="CM291" i="24"/>
  <c r="EO291" i="24" s="1"/>
  <c r="CM283" i="24"/>
  <c r="EO283" i="24" s="1"/>
  <c r="CM275" i="24"/>
  <c r="EO275" i="24" s="1"/>
  <c r="CM267" i="24"/>
  <c r="EO267" i="24" s="1"/>
  <c r="CM259" i="24"/>
  <c r="EO259" i="24" s="1"/>
  <c r="CM251" i="24"/>
  <c r="EO251" i="24" s="1"/>
  <c r="CM243" i="24"/>
  <c r="EO243" i="24" s="1"/>
  <c r="CM235" i="24"/>
  <c r="EO235" i="24" s="1"/>
  <c r="CM227" i="24"/>
  <c r="EO227" i="24" s="1"/>
  <c r="CM219" i="24"/>
  <c r="EO219" i="24" s="1"/>
  <c r="CM234" i="24"/>
  <c r="EO234" i="24" s="1"/>
  <c r="CM257" i="24"/>
  <c r="EO257" i="24" s="1"/>
  <c r="CM314" i="24"/>
  <c r="EO314" i="24" s="1"/>
  <c r="CM306" i="24"/>
  <c r="EO306" i="24" s="1"/>
  <c r="CM298" i="24"/>
  <c r="EO298" i="24" s="1"/>
  <c r="CM290" i="24"/>
  <c r="EO290" i="24" s="1"/>
  <c r="CM282" i="24"/>
  <c r="EO282" i="24" s="1"/>
  <c r="CM274" i="24"/>
  <c r="EO274" i="24" s="1"/>
  <c r="CM266" i="24"/>
  <c r="EO266" i="24" s="1"/>
  <c r="CM258" i="24"/>
  <c r="EO258" i="24" s="1"/>
  <c r="CM250" i="24"/>
  <c r="EO250" i="24" s="1"/>
  <c r="CM242" i="24"/>
  <c r="EO242" i="24" s="1"/>
  <c r="CM218" i="24"/>
  <c r="EO218" i="24" s="1"/>
  <c r="CM273" i="24"/>
  <c r="EO273" i="24" s="1"/>
  <c r="CM217" i="24"/>
  <c r="EO217" i="24" s="1"/>
  <c r="B16" i="29"/>
  <c r="B106" i="2"/>
  <c r="G11" i="2"/>
  <c r="Y14" i="2" s="1"/>
  <c r="Y19" i="2"/>
  <c r="B14" i="29"/>
  <c r="B147" i="2"/>
  <c r="M2" i="24"/>
  <c r="D43" i="16"/>
  <c r="K12" i="2"/>
  <c r="K11" i="2"/>
  <c r="BR5" i="24"/>
  <c r="B28" i="2"/>
  <c r="C43" i="16"/>
  <c r="B14" i="2"/>
  <c r="H110" i="25"/>
  <c r="H5" i="25"/>
  <c r="AH5" i="25" s="1"/>
  <c r="H216" i="25"/>
  <c r="B193" i="2"/>
  <c r="E39" i="1" s="1"/>
  <c r="B214" i="2"/>
  <c r="B210" i="2"/>
  <c r="B35" i="2"/>
  <c r="B157" i="2"/>
  <c r="H216" i="24"/>
  <c r="H110"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E94" i="23"/>
  <c r="R94" i="23" s="1"/>
  <c r="E78" i="23"/>
  <c r="R78" i="23" s="1"/>
  <c r="E62" i="23"/>
  <c r="R62" i="23" s="1"/>
  <c r="E46" i="23"/>
  <c r="R46" i="23" s="1"/>
  <c r="E30" i="23"/>
  <c r="R30" i="23" s="1"/>
  <c r="E14" i="23"/>
  <c r="R14" i="23" s="1"/>
  <c r="E106" i="23"/>
  <c r="R106" i="23" s="1"/>
  <c r="E90" i="23"/>
  <c r="R90" i="23" s="1"/>
  <c r="E74" i="23"/>
  <c r="R74" i="23" s="1"/>
  <c r="E58" i="23"/>
  <c r="R58" i="23" s="1"/>
  <c r="E42" i="23"/>
  <c r="R42" i="23" s="1"/>
  <c r="E26" i="23"/>
  <c r="R26" i="23" s="1"/>
  <c r="E9" i="23"/>
  <c r="R9" i="23" s="1"/>
  <c r="E102" i="23"/>
  <c r="R102" i="23" s="1"/>
  <c r="E70" i="23"/>
  <c r="R70" i="23" s="1"/>
  <c r="E38" i="23"/>
  <c r="R38" i="23" s="1"/>
  <c r="E101" i="23"/>
  <c r="R101" i="23" s="1"/>
  <c r="E85" i="23"/>
  <c r="R85" i="23" s="1"/>
  <c r="E69" i="23"/>
  <c r="R69" i="23" s="1"/>
  <c r="E53" i="23"/>
  <c r="R53" i="23" s="1"/>
  <c r="E37" i="23"/>
  <c r="R37" i="23" s="1"/>
  <c r="E21" i="23"/>
  <c r="R21" i="23" s="1"/>
  <c r="E86" i="23"/>
  <c r="R86" i="23" s="1"/>
  <c r="E22" i="23"/>
  <c r="R22" i="23" s="1"/>
  <c r="E93" i="23"/>
  <c r="R93" i="23" s="1"/>
  <c r="E77" i="23"/>
  <c r="R77" i="23" s="1"/>
  <c r="E45" i="23"/>
  <c r="R45" i="23" s="1"/>
  <c r="E13" i="23"/>
  <c r="R13" i="23" s="1"/>
  <c r="E82" i="23"/>
  <c r="R82" i="23" s="1"/>
  <c r="E50" i="23"/>
  <c r="R50" i="23" s="1"/>
  <c r="E89" i="23"/>
  <c r="R89" i="23" s="1"/>
  <c r="E57" i="23"/>
  <c r="R57" i="23" s="1"/>
  <c r="E25" i="23"/>
  <c r="R25" i="23" s="1"/>
  <c r="E98" i="23"/>
  <c r="R98" i="23" s="1"/>
  <c r="E66" i="23"/>
  <c r="R66" i="23" s="1"/>
  <c r="E34" i="23"/>
  <c r="R34" i="23" s="1"/>
  <c r="E97" i="23"/>
  <c r="R97" i="23" s="1"/>
  <c r="E81" i="23"/>
  <c r="R81" i="23" s="1"/>
  <c r="E65" i="23"/>
  <c r="R65" i="23" s="1"/>
  <c r="E49" i="23"/>
  <c r="R49" i="23" s="1"/>
  <c r="E33" i="23"/>
  <c r="R33" i="23" s="1"/>
  <c r="E17" i="23"/>
  <c r="R17" i="23" s="1"/>
  <c r="E54" i="23"/>
  <c r="R54" i="23" s="1"/>
  <c r="E10" i="23"/>
  <c r="R10" i="23" s="1"/>
  <c r="E61" i="23"/>
  <c r="R61" i="23" s="1"/>
  <c r="E29" i="23"/>
  <c r="R29" i="23" s="1"/>
  <c r="E18" i="23"/>
  <c r="R18" i="23" s="1"/>
  <c r="E105" i="23"/>
  <c r="R105" i="23" s="1"/>
  <c r="E73" i="23"/>
  <c r="R73" i="23" s="1"/>
  <c r="E41" i="23"/>
  <c r="R41" i="23" s="1"/>
  <c r="E8" i="23"/>
  <c r="R8" i="23" s="1"/>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CJ212" i="25" s="1"/>
  <c r="I16" i="8"/>
  <c r="J16" i="8" s="1"/>
  <c r="D181" i="2" s="1"/>
  <c r="B182" i="2" s="1"/>
  <c r="B11" i="19"/>
  <c r="D11" i="19" s="1"/>
  <c r="I4" i="8" s="1"/>
  <c r="J4" i="8" s="1"/>
  <c r="B237"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38" i="2"/>
  <c r="S76" i="2"/>
  <c r="B232" i="2"/>
  <c r="I72" i="2"/>
  <c r="C3" i="8"/>
  <c r="C159" i="8" s="1"/>
  <c r="C158" i="8" s="1"/>
  <c r="A232" i="2"/>
  <c r="F40" i="1"/>
  <c r="B9" i="19"/>
  <c r="D9" i="19" s="1"/>
  <c r="B17" i="19"/>
  <c r="D17" i="19" s="1"/>
  <c r="B221" i="2"/>
  <c r="B13" i="2"/>
  <c r="CR122" i="25" l="1"/>
  <c r="CR195" i="25"/>
  <c r="CS195" i="25" s="1"/>
  <c r="Q104" i="2"/>
  <c r="CQ136" i="24"/>
  <c r="CR136" i="24" s="1"/>
  <c r="CT136" i="24" s="1"/>
  <c r="CQ204" i="24"/>
  <c r="CR204" i="24" s="1"/>
  <c r="CT204" i="24" s="1"/>
  <c r="CQ140" i="24"/>
  <c r="CR140" i="24" s="1"/>
  <c r="CT140" i="24" s="1"/>
  <c r="CQ149" i="24"/>
  <c r="CR149" i="24" s="1"/>
  <c r="CT149" i="24" s="1"/>
  <c r="CO140" i="24"/>
  <c r="CR197" i="25"/>
  <c r="CS197" i="25" s="1"/>
  <c r="CR111" i="25"/>
  <c r="CS111" i="25" s="1"/>
  <c r="CQ175" i="24"/>
  <c r="CR175" i="24" s="1"/>
  <c r="CT175" i="24" s="1"/>
  <c r="CR200" i="25"/>
  <c r="CS200" i="25" s="1"/>
  <c r="CO136" i="24"/>
  <c r="CO174" i="24"/>
  <c r="CQ131" i="24"/>
  <c r="CR131" i="24" s="1"/>
  <c r="CT131" i="24" s="1"/>
  <c r="CQ185" i="24"/>
  <c r="CR185" i="24" s="1"/>
  <c r="CT185" i="24" s="1"/>
  <c r="CQ174" i="24"/>
  <c r="CR174" i="24" s="1"/>
  <c r="CT174" i="24" s="1"/>
  <c r="CO185" i="24"/>
  <c r="CO175" i="24"/>
  <c r="CR152" i="25"/>
  <c r="CS152" i="25" s="1"/>
  <c r="CR126" i="25"/>
  <c r="CS126" i="25" s="1"/>
  <c r="CO204" i="24"/>
  <c r="CR116" i="25"/>
  <c r="CS116" i="25" s="1"/>
  <c r="CR185" i="25"/>
  <c r="CS185" i="25" s="1"/>
  <c r="CR143" i="25"/>
  <c r="CS143" i="25" s="1"/>
  <c r="CR125" i="25"/>
  <c r="CS125" i="25" s="1"/>
  <c r="CR179" i="25"/>
  <c r="CS179" i="25" s="1"/>
  <c r="CR140" i="25"/>
  <c r="CS140" i="25" s="1"/>
  <c r="CQ212" i="24"/>
  <c r="CR212" i="24" s="1"/>
  <c r="CT212" i="24" s="1"/>
  <c r="CO212" i="24"/>
  <c r="CR205" i="25"/>
  <c r="CS205" i="25" s="1"/>
  <c r="D33" i="16"/>
  <c r="D32" i="16"/>
  <c r="CQ114" i="24"/>
  <c r="CR114" i="24" s="1"/>
  <c r="CT114" i="24" s="1"/>
  <c r="CO177" i="24"/>
  <c r="CO165" i="24"/>
  <c r="CQ177" i="24"/>
  <c r="CR177" i="24" s="1"/>
  <c r="CT177" i="24" s="1"/>
  <c r="G327" i="24"/>
  <c r="I27" i="8" s="1"/>
  <c r="CQ128" i="24"/>
  <c r="CR128" i="24" s="1"/>
  <c r="CT128" i="24" s="1"/>
  <c r="CQ178" i="24"/>
  <c r="CR178" i="24" s="1"/>
  <c r="CT178" i="24" s="1"/>
  <c r="CR123" i="25"/>
  <c r="CS123" i="25" s="1"/>
  <c r="CQ122" i="24"/>
  <c r="CR122" i="24" s="1"/>
  <c r="CT122" i="24" s="1"/>
  <c r="CO178" i="24"/>
  <c r="CO128" i="24"/>
  <c r="FG212" i="25"/>
  <c r="CL212" i="25"/>
  <c r="DL212" i="25" s="1"/>
  <c r="DP212" i="25"/>
  <c r="EQ212" i="25"/>
  <c r="EU212" i="25" s="1"/>
  <c r="CP212" i="25"/>
  <c r="EM212" i="25"/>
  <c r="B18" i="29"/>
  <c r="CX212" i="25"/>
  <c r="CS212" i="25"/>
  <c r="L68" i="1"/>
  <c r="L70" i="1" s="1"/>
  <c r="E22" i="1"/>
  <c r="CJ212" i="24"/>
  <c r="N327" i="25"/>
  <c r="I29" i="8" s="1"/>
  <c r="CP223" i="25"/>
  <c r="EM223" i="25"/>
  <c r="CP287" i="25"/>
  <c r="EM287" i="25"/>
  <c r="CP240" i="25"/>
  <c r="EM240" i="25"/>
  <c r="CP304" i="25"/>
  <c r="EM304" i="25"/>
  <c r="CP257" i="25"/>
  <c r="EM257" i="25"/>
  <c r="CP294" i="25"/>
  <c r="EM294" i="25"/>
  <c r="CP274" i="25"/>
  <c r="EM274" i="25"/>
  <c r="CP219" i="25"/>
  <c r="EM219" i="25"/>
  <c r="CP283" i="25"/>
  <c r="EM283" i="25"/>
  <c r="CP228" i="25"/>
  <c r="EM228" i="25"/>
  <c r="CP292" i="25"/>
  <c r="EM292" i="25"/>
  <c r="CP229" i="25"/>
  <c r="EM229" i="25"/>
  <c r="CP293" i="25"/>
  <c r="EM293" i="25"/>
  <c r="CP231" i="25"/>
  <c r="EM231" i="25"/>
  <c r="CP295" i="25"/>
  <c r="EM295" i="25"/>
  <c r="CP248" i="25"/>
  <c r="EM248" i="25"/>
  <c r="CP312" i="25"/>
  <c r="EM312" i="25"/>
  <c r="CP265" i="25"/>
  <c r="EM265" i="25"/>
  <c r="CP218" i="25"/>
  <c r="EM218" i="25"/>
  <c r="CP282" i="25"/>
  <c r="EM282" i="25"/>
  <c r="CP227" i="25"/>
  <c r="EM227" i="25"/>
  <c r="CP291" i="25"/>
  <c r="EM291" i="25"/>
  <c r="CP236" i="25"/>
  <c r="EM236" i="25"/>
  <c r="CP300" i="25"/>
  <c r="EM300" i="25"/>
  <c r="CP237" i="25"/>
  <c r="EM237" i="25"/>
  <c r="CP301" i="25"/>
  <c r="EM301" i="25"/>
  <c r="CP239" i="25"/>
  <c r="EM239" i="25"/>
  <c r="CP303" i="25"/>
  <c r="EM303" i="25"/>
  <c r="CP256" i="25"/>
  <c r="EM256" i="25"/>
  <c r="CP286" i="25"/>
  <c r="EM286" i="25"/>
  <c r="CP273" i="25"/>
  <c r="EM273" i="25"/>
  <c r="CP226" i="25"/>
  <c r="EM226" i="25"/>
  <c r="CP290" i="25"/>
  <c r="EM290" i="25"/>
  <c r="CP235" i="25"/>
  <c r="EM235" i="25"/>
  <c r="CP299" i="25"/>
  <c r="EM299" i="25"/>
  <c r="CP244" i="25"/>
  <c r="EM244" i="25"/>
  <c r="CP308" i="25"/>
  <c r="EM308" i="25"/>
  <c r="CP245" i="25"/>
  <c r="EM245" i="25"/>
  <c r="CP309" i="25"/>
  <c r="EM309" i="25"/>
  <c r="CP247" i="25"/>
  <c r="EM247" i="25"/>
  <c r="CP311" i="25"/>
  <c r="EM311" i="25"/>
  <c r="CP264" i="25"/>
  <c r="EM264" i="25"/>
  <c r="CP217" i="25"/>
  <c r="EM217" i="25"/>
  <c r="CP281" i="25"/>
  <c r="EM281" i="25"/>
  <c r="CP234" i="25"/>
  <c r="EM234" i="25"/>
  <c r="CP298" i="25"/>
  <c r="EM298" i="25"/>
  <c r="CP243" i="25"/>
  <c r="EM243" i="25"/>
  <c r="CP307" i="25"/>
  <c r="EM307" i="25"/>
  <c r="CP252" i="25"/>
  <c r="EM252" i="25"/>
  <c r="CP316" i="25"/>
  <c r="EM316" i="25"/>
  <c r="CP253" i="25"/>
  <c r="EM253" i="25"/>
  <c r="CP255" i="25"/>
  <c r="EM255" i="25"/>
  <c r="CP230" i="25"/>
  <c r="EM230" i="25"/>
  <c r="CP272" i="25"/>
  <c r="EM272" i="25"/>
  <c r="CP225" i="25"/>
  <c r="EM225" i="25"/>
  <c r="CP289" i="25"/>
  <c r="EM289" i="25"/>
  <c r="CP242" i="25"/>
  <c r="EM242" i="25"/>
  <c r="CP306" i="25"/>
  <c r="EM306" i="25"/>
  <c r="CP251" i="25"/>
  <c r="EM251" i="25"/>
  <c r="CP315" i="25"/>
  <c r="EM315" i="25"/>
  <c r="CP260" i="25"/>
  <c r="EM260" i="25"/>
  <c r="CP222" i="25"/>
  <c r="EM222" i="25"/>
  <c r="CP261" i="25"/>
  <c r="EM261" i="25"/>
  <c r="CP263" i="25"/>
  <c r="EM263" i="25"/>
  <c r="CP302" i="25"/>
  <c r="EM302" i="25"/>
  <c r="CP280" i="25"/>
  <c r="EM280" i="25"/>
  <c r="CP233" i="25"/>
  <c r="EM233" i="25"/>
  <c r="CP297" i="25"/>
  <c r="EM297" i="25"/>
  <c r="CP250" i="25"/>
  <c r="EM250" i="25"/>
  <c r="CP314" i="25"/>
  <c r="EM314" i="25"/>
  <c r="CP259" i="25"/>
  <c r="EM259" i="25"/>
  <c r="CP254" i="25"/>
  <c r="EM254" i="25"/>
  <c r="CP268" i="25"/>
  <c r="EM268" i="25"/>
  <c r="CP246" i="25"/>
  <c r="EM246" i="25"/>
  <c r="CP269" i="25"/>
  <c r="EM269" i="25"/>
  <c r="CP310" i="25"/>
  <c r="EM310" i="25"/>
  <c r="CP271" i="25"/>
  <c r="EM271" i="25"/>
  <c r="CP224" i="25"/>
  <c r="EM224" i="25"/>
  <c r="CP288" i="25"/>
  <c r="EM288" i="25"/>
  <c r="CP241" i="25"/>
  <c r="EM241" i="25"/>
  <c r="CP305" i="25"/>
  <c r="EM305" i="25"/>
  <c r="CP258" i="25"/>
  <c r="EM258" i="25"/>
  <c r="CP238" i="25"/>
  <c r="EM238" i="25"/>
  <c r="CP267" i="25"/>
  <c r="EM267" i="25"/>
  <c r="CP278" i="25"/>
  <c r="EM278" i="25"/>
  <c r="CP276" i="25"/>
  <c r="EM276" i="25"/>
  <c r="CP262" i="25"/>
  <c r="EM262" i="25"/>
  <c r="CP277" i="25"/>
  <c r="EM277" i="25"/>
  <c r="CP216" i="25"/>
  <c r="EM216" i="25"/>
  <c r="CP279" i="25"/>
  <c r="EM279" i="25"/>
  <c r="CP232" i="25"/>
  <c r="EM232" i="25"/>
  <c r="CP296" i="25"/>
  <c r="EM296" i="25"/>
  <c r="CP249" i="25"/>
  <c r="EM249" i="25"/>
  <c r="CP313" i="25"/>
  <c r="EM313" i="25"/>
  <c r="CP266" i="25"/>
  <c r="EM266" i="25"/>
  <c r="CP270" i="25"/>
  <c r="EM270" i="25"/>
  <c r="CP275" i="25"/>
  <c r="EM275" i="25"/>
  <c r="CP220" i="25"/>
  <c r="EM220" i="25"/>
  <c r="CP284" i="25"/>
  <c r="EM284" i="25"/>
  <c r="CP221" i="25"/>
  <c r="EM221" i="25"/>
  <c r="CP285" i="25"/>
  <c r="EM285" i="25"/>
  <c r="G327" i="25"/>
  <c r="H329" i="25" s="1"/>
  <c r="I24" i="8" s="1"/>
  <c r="J24" i="8" s="1"/>
  <c r="CP113" i="25"/>
  <c r="CP170" i="25"/>
  <c r="CP139" i="25"/>
  <c r="CP203" i="25"/>
  <c r="CP121" i="25"/>
  <c r="CP172" i="25"/>
  <c r="CP165" i="25"/>
  <c r="CP142" i="25"/>
  <c r="CP206" i="25"/>
  <c r="CP167" i="25"/>
  <c r="CP136" i="25"/>
  <c r="CP200" i="25"/>
  <c r="CP169" i="25"/>
  <c r="CP114" i="25"/>
  <c r="CP178" i="25"/>
  <c r="CP147" i="25"/>
  <c r="CP177" i="25"/>
  <c r="CP116" i="25"/>
  <c r="CP180" i="25"/>
  <c r="CP173" i="25"/>
  <c r="CP150" i="25"/>
  <c r="CP161" i="25"/>
  <c r="CP110" i="25"/>
  <c r="CP175" i="25"/>
  <c r="CP144" i="25"/>
  <c r="CP208" i="25"/>
  <c r="CP122" i="25"/>
  <c r="CP186" i="25"/>
  <c r="CP155" i="25"/>
  <c r="CP124" i="25"/>
  <c r="CP188" i="25"/>
  <c r="CP117" i="25"/>
  <c r="CP181" i="25"/>
  <c r="CP158" i="25"/>
  <c r="CP201" i="25"/>
  <c r="CP119" i="25"/>
  <c r="CP183" i="25"/>
  <c r="CP152" i="25"/>
  <c r="CP130" i="25"/>
  <c r="CP194" i="25"/>
  <c r="CP163" i="25"/>
  <c r="CP132" i="25"/>
  <c r="CP196" i="25"/>
  <c r="CP153" i="25"/>
  <c r="CP125" i="25"/>
  <c r="CP189" i="25"/>
  <c r="CP166" i="25"/>
  <c r="CP127" i="25"/>
  <c r="CP191" i="25"/>
  <c r="CP160" i="25"/>
  <c r="CP138" i="25"/>
  <c r="CP202" i="25"/>
  <c r="CP137" i="25"/>
  <c r="CP171" i="25"/>
  <c r="CP140" i="25"/>
  <c r="CP204" i="25"/>
  <c r="CP133" i="25"/>
  <c r="CP197" i="25"/>
  <c r="CP174" i="25"/>
  <c r="CP135" i="25"/>
  <c r="CP199" i="25"/>
  <c r="CP168" i="25"/>
  <c r="CP146" i="25"/>
  <c r="CP210" i="25"/>
  <c r="CP185" i="25"/>
  <c r="CP115" i="25"/>
  <c r="CP179" i="25"/>
  <c r="CP148" i="25"/>
  <c r="CP141" i="25"/>
  <c r="CP205" i="25"/>
  <c r="CP129" i="25"/>
  <c r="CP118" i="25"/>
  <c r="CP182" i="25"/>
  <c r="CP143" i="25"/>
  <c r="CP207" i="25"/>
  <c r="CP145" i="25"/>
  <c r="CP111" i="25"/>
  <c r="CP176" i="25"/>
  <c r="CP154" i="25"/>
  <c r="CP123" i="25"/>
  <c r="CP187" i="25"/>
  <c r="CP156" i="25"/>
  <c r="CP149" i="25"/>
  <c r="CP193" i="25"/>
  <c r="CP126" i="25"/>
  <c r="CP190" i="25"/>
  <c r="CP151" i="25"/>
  <c r="CP209" i="25"/>
  <c r="CP120" i="25"/>
  <c r="CP184" i="25"/>
  <c r="CR112" i="25"/>
  <c r="CS112" i="25" s="1"/>
  <c r="EM112" i="25"/>
  <c r="CP162" i="25"/>
  <c r="CP131" i="25"/>
  <c r="CP195" i="25"/>
  <c r="CP164" i="25"/>
  <c r="CP157" i="25"/>
  <c r="CP134" i="25"/>
  <c r="CP198" i="25"/>
  <c r="CP159" i="25"/>
  <c r="CP128" i="25"/>
  <c r="CP192" i="25"/>
  <c r="CJ112" i="25"/>
  <c r="CR174" i="25"/>
  <c r="CS174" i="25" s="1"/>
  <c r="CO131" i="24"/>
  <c r="CO149" i="24"/>
  <c r="CQ165" i="24"/>
  <c r="CR165" i="24" s="1"/>
  <c r="CT165" i="24" s="1"/>
  <c r="CR161" i="25"/>
  <c r="CS161" i="25" s="1"/>
  <c r="CQ163" i="24"/>
  <c r="CR163" i="24" s="1"/>
  <c r="CT163" i="24" s="1"/>
  <c r="CO122" i="24"/>
  <c r="CO164" i="24"/>
  <c r="CO132" i="24"/>
  <c r="CO129" i="24"/>
  <c r="CQ167" i="24"/>
  <c r="CR167" i="24" s="1"/>
  <c r="CT167" i="24" s="1"/>
  <c r="CQ164" i="24"/>
  <c r="CR164" i="24" s="1"/>
  <c r="CT164" i="24" s="1"/>
  <c r="CQ192" i="24"/>
  <c r="CR192" i="24" s="1"/>
  <c r="CT192" i="24" s="1"/>
  <c r="CO112" i="24"/>
  <c r="CO124" i="24"/>
  <c r="CR169" i="25"/>
  <c r="CS169" i="25" s="1"/>
  <c r="CR138" i="25"/>
  <c r="CS138" i="25" s="1"/>
  <c r="CR189" i="25"/>
  <c r="CS189" i="25" s="1"/>
  <c r="CR207" i="25"/>
  <c r="CS207" i="25" s="1"/>
  <c r="CO117" i="24"/>
  <c r="CQ142" i="24"/>
  <c r="CR142" i="24" s="1"/>
  <c r="CT142" i="24" s="1"/>
  <c r="CO142" i="24"/>
  <c r="CQ120" i="24"/>
  <c r="CR120" i="24" s="1"/>
  <c r="CT120" i="24" s="1"/>
  <c r="CO138" i="24"/>
  <c r="CO192" i="24"/>
  <c r="CQ129" i="24"/>
  <c r="CR129" i="24" s="1"/>
  <c r="CT129" i="24" s="1"/>
  <c r="CQ132" i="24"/>
  <c r="CR132" i="24" s="1"/>
  <c r="CT132" i="24" s="1"/>
  <c r="CO166" i="24"/>
  <c r="CR164" i="25"/>
  <c r="CS164" i="25" s="1"/>
  <c r="CQ173" i="24"/>
  <c r="CR173" i="24" s="1"/>
  <c r="CT173" i="24" s="1"/>
  <c r="CQ112" i="24"/>
  <c r="CR112" i="24" s="1"/>
  <c r="CT112" i="24" s="1"/>
  <c r="CQ116" i="24"/>
  <c r="CR116" i="24" s="1"/>
  <c r="CT116" i="24" s="1"/>
  <c r="CQ124" i="24"/>
  <c r="CR124" i="24" s="1"/>
  <c r="CT124" i="24" s="1"/>
  <c r="CQ117" i="24"/>
  <c r="CR117" i="24" s="1"/>
  <c r="CT117" i="24" s="1"/>
  <c r="CR132" i="25"/>
  <c r="CS132" i="25" s="1"/>
  <c r="CR192" i="25"/>
  <c r="CS192" i="25" s="1"/>
  <c r="CO167" i="24"/>
  <c r="CR128" i="25"/>
  <c r="CS128" i="25" s="1"/>
  <c r="CQ166" i="24"/>
  <c r="CR166" i="24" s="1"/>
  <c r="CT166" i="24" s="1"/>
  <c r="CR114" i="25"/>
  <c r="CS114" i="25" s="1"/>
  <c r="CO171" i="24"/>
  <c r="CO173" i="24"/>
  <c r="CR172" i="25"/>
  <c r="CS172" i="25" s="1"/>
  <c r="CR159" i="25"/>
  <c r="CS159" i="25" s="1"/>
  <c r="CR201" i="25"/>
  <c r="CS201" i="25" s="1"/>
  <c r="CR115" i="25"/>
  <c r="CS115" i="25" s="1"/>
  <c r="CQ138" i="24"/>
  <c r="CR138" i="24" s="1"/>
  <c r="CT138" i="24" s="1"/>
  <c r="CO116" i="24"/>
  <c r="CQ115" i="24"/>
  <c r="CR115" i="24" s="1"/>
  <c r="CT115" i="24" s="1"/>
  <c r="CO176" i="24"/>
  <c r="CR141" i="25"/>
  <c r="CS141" i="25" s="1"/>
  <c r="CR131" i="25"/>
  <c r="CS131" i="25" s="1"/>
  <c r="CO125" i="24"/>
  <c r="CQ155" i="24"/>
  <c r="CR155" i="24" s="1"/>
  <c r="CT155" i="24" s="1"/>
  <c r="CR183" i="25"/>
  <c r="CS183" i="25" s="1"/>
  <c r="CQ118" i="24"/>
  <c r="CR118" i="24" s="1"/>
  <c r="CT118" i="24" s="1"/>
  <c r="CO118" i="24"/>
  <c r="CO111" i="24"/>
  <c r="CQ113" i="24"/>
  <c r="CR113" i="24" s="1"/>
  <c r="CT113" i="24" s="1"/>
  <c r="CQ119" i="24"/>
  <c r="CR119" i="24" s="1"/>
  <c r="CT119" i="24" s="1"/>
  <c r="CQ156" i="24"/>
  <c r="CR156" i="24" s="1"/>
  <c r="CT156" i="24" s="1"/>
  <c r="CO199" i="24"/>
  <c r="CR147" i="25"/>
  <c r="CS147" i="25" s="1"/>
  <c r="CR199" i="25"/>
  <c r="CS199" i="25" s="1"/>
  <c r="CQ176" i="24"/>
  <c r="CR176" i="24" s="1"/>
  <c r="CT176" i="24" s="1"/>
  <c r="CQ196" i="24"/>
  <c r="CR196" i="24" s="1"/>
  <c r="CT196" i="24" s="1"/>
  <c r="CQ153" i="24"/>
  <c r="CR153" i="24" s="1"/>
  <c r="CT153" i="24" s="1"/>
  <c r="CQ206" i="24"/>
  <c r="CR206" i="24" s="1"/>
  <c r="CT206" i="24" s="1"/>
  <c r="CR110" i="25"/>
  <c r="CX110" i="25" s="1"/>
  <c r="CY110" i="25" s="1"/>
  <c r="CO113" i="24"/>
  <c r="CO150" i="24"/>
  <c r="CQ111" i="24"/>
  <c r="CR111" i="24" s="1"/>
  <c r="CT111" i="24" s="1"/>
  <c r="CO119" i="24"/>
  <c r="CO196" i="24"/>
  <c r="CO198" i="24"/>
  <c r="CQ199" i="24"/>
  <c r="CR199" i="24" s="1"/>
  <c r="CT199" i="24" s="1"/>
  <c r="CR181" i="25"/>
  <c r="CS181" i="25" s="1"/>
  <c r="CO115" i="24"/>
  <c r="CR133" i="25"/>
  <c r="CS133" i="25" s="1"/>
  <c r="CR127" i="25"/>
  <c r="CS127" i="25" s="1"/>
  <c r="CO156" i="24"/>
  <c r="CO157" i="24"/>
  <c r="CQ198" i="24"/>
  <c r="CR198" i="24" s="1"/>
  <c r="CT198" i="24" s="1"/>
  <c r="CR155" i="25"/>
  <c r="CS155" i="25" s="1"/>
  <c r="CR120" i="25"/>
  <c r="CS120" i="25" s="1"/>
  <c r="CQ157" i="24"/>
  <c r="CR157" i="24" s="1"/>
  <c r="CT157" i="24" s="1"/>
  <c r="CR178" i="25"/>
  <c r="CS178" i="25" s="1"/>
  <c r="CR144" i="25"/>
  <c r="CS144" i="25" s="1"/>
  <c r="CQ158" i="24"/>
  <c r="CR158" i="24" s="1"/>
  <c r="CT158" i="24" s="1"/>
  <c r="CO168" i="24"/>
  <c r="CR153" i="25"/>
  <c r="CS153" i="25" s="1"/>
  <c r="CQ181" i="24"/>
  <c r="CR181" i="24" s="1"/>
  <c r="CT181" i="24" s="1"/>
  <c r="CQ110" i="24"/>
  <c r="CR110" i="24" s="1"/>
  <c r="DT110" i="24" s="1"/>
  <c r="CQ127" i="24"/>
  <c r="CR127" i="24" s="1"/>
  <c r="CT127" i="24" s="1"/>
  <c r="CQ205" i="24"/>
  <c r="CR205" i="24" s="1"/>
  <c r="CT205" i="24" s="1"/>
  <c r="CR124" i="25"/>
  <c r="CS124" i="25" s="1"/>
  <c r="CR156" i="25"/>
  <c r="CS156" i="25" s="1"/>
  <c r="CR162" i="25"/>
  <c r="CS162" i="25" s="1"/>
  <c r="CQ125" i="24"/>
  <c r="CR125" i="24" s="1"/>
  <c r="CT125" i="24" s="1"/>
  <c r="CO161" i="24"/>
  <c r="CO210" i="24"/>
  <c r="CR186" i="25"/>
  <c r="CS186" i="25" s="1"/>
  <c r="CR206" i="25"/>
  <c r="CS206" i="25" s="1"/>
  <c r="CO121" i="24"/>
  <c r="CO158" i="24"/>
  <c r="CR113" i="25"/>
  <c r="CS113" i="25" s="1"/>
  <c r="CQ161" i="24"/>
  <c r="CR161" i="24" s="1"/>
  <c r="CT161" i="24" s="1"/>
  <c r="CQ121" i="24"/>
  <c r="CR121" i="24" s="1"/>
  <c r="CT121" i="24" s="1"/>
  <c r="CR157" i="25"/>
  <c r="CS157" i="25" s="1"/>
  <c r="CO154" i="24"/>
  <c r="CQ210" i="24"/>
  <c r="CR210" i="24" s="1"/>
  <c r="CT210" i="24" s="1"/>
  <c r="CO127" i="24"/>
  <c r="CQ195" i="24"/>
  <c r="CR195" i="24" s="1"/>
  <c r="CT195" i="24" s="1"/>
  <c r="CO152" i="24"/>
  <c r="CQ170" i="24"/>
  <c r="CR170" i="24" s="1"/>
  <c r="CT170" i="24" s="1"/>
  <c r="CQ194" i="24"/>
  <c r="CR194" i="24" s="1"/>
  <c r="CT194" i="24" s="1"/>
  <c r="CR145" i="25"/>
  <c r="CS145" i="25" s="1"/>
  <c r="CR170" i="25"/>
  <c r="CS170" i="25" s="1"/>
  <c r="CO194" i="24"/>
  <c r="CR167" i="25"/>
  <c r="CS167" i="25" s="1"/>
  <c r="CR210" i="25"/>
  <c r="CS210" i="25" s="1"/>
  <c r="CR139" i="25"/>
  <c r="CS139" i="25" s="1"/>
  <c r="CQ151" i="24"/>
  <c r="CR151" i="24" s="1"/>
  <c r="CT151" i="24" s="1"/>
  <c r="CO191" i="24"/>
  <c r="CO170" i="24"/>
  <c r="CO151" i="24"/>
  <c r="CO195" i="24"/>
  <c r="CR142" i="25"/>
  <c r="CS142" i="25" s="1"/>
  <c r="CO208" i="24"/>
  <c r="CR173" i="25"/>
  <c r="CS173" i="25" s="1"/>
  <c r="CQ193" i="24"/>
  <c r="CR193" i="24" s="1"/>
  <c r="CT193" i="24" s="1"/>
  <c r="CR184" i="25"/>
  <c r="CS184" i="25" s="1"/>
  <c r="CO145" i="24"/>
  <c r="CQ208" i="24"/>
  <c r="CR208" i="24" s="1"/>
  <c r="CT208" i="24" s="1"/>
  <c r="CQ145" i="24"/>
  <c r="CR145" i="24" s="1"/>
  <c r="CT145" i="24" s="1"/>
  <c r="CR209" i="25"/>
  <c r="CS209" i="25" s="1"/>
  <c r="CO114" i="24"/>
  <c r="CO193" i="24"/>
  <c r="CQ191" i="24"/>
  <c r="CR191" i="24" s="1"/>
  <c r="CT191" i="24" s="1"/>
  <c r="CR136" i="25"/>
  <c r="CS136" i="25" s="1"/>
  <c r="CR117" i="25"/>
  <c r="CS117" i="25" s="1"/>
  <c r="CO148" i="24"/>
  <c r="CO120" i="24"/>
  <c r="CQ148" i="24"/>
  <c r="CR148" i="24" s="1"/>
  <c r="CT148" i="24" s="1"/>
  <c r="CQ152" i="24"/>
  <c r="CR152" i="24" s="1"/>
  <c r="CT152" i="24" s="1"/>
  <c r="CR198" i="25"/>
  <c r="CS198" i="25" s="1"/>
  <c r="CO155" i="24"/>
  <c r="CR188" i="25"/>
  <c r="CS188" i="25" s="1"/>
  <c r="CO205" i="24"/>
  <c r="CO202" i="24"/>
  <c r="CR203" i="25"/>
  <c r="CS203" i="25" s="1"/>
  <c r="CQ202" i="24"/>
  <c r="CR202" i="24" s="1"/>
  <c r="CT202" i="24" s="1"/>
  <c r="CO181" i="24"/>
  <c r="CQ168" i="24"/>
  <c r="CR168" i="24" s="1"/>
  <c r="CT168" i="24" s="1"/>
  <c r="CQ143" i="24"/>
  <c r="CR143" i="24" s="1"/>
  <c r="CT143" i="24" s="1"/>
  <c r="CQ146" i="24"/>
  <c r="CR146" i="24" s="1"/>
  <c r="CT146" i="24" s="1"/>
  <c r="CR191" i="25"/>
  <c r="CS191" i="25" s="1"/>
  <c r="CQ189" i="24"/>
  <c r="CR189" i="24" s="1"/>
  <c r="CT189" i="24" s="1"/>
  <c r="CR151" i="25"/>
  <c r="CS151" i="25" s="1"/>
  <c r="CR175" i="25"/>
  <c r="CS175" i="25" s="1"/>
  <c r="CO206" i="24"/>
  <c r="CQ150" i="24"/>
  <c r="CR150" i="24" s="1"/>
  <c r="CT150" i="24" s="1"/>
  <c r="CR202" i="25"/>
  <c r="CS202" i="25" s="1"/>
  <c r="CO153" i="24"/>
  <c r="CO209" i="24"/>
  <c r="CR204" i="25"/>
  <c r="CS204" i="25" s="1"/>
  <c r="CQ201" i="24"/>
  <c r="CR201" i="24" s="1"/>
  <c r="CT201" i="24" s="1"/>
  <c r="CO133" i="24"/>
  <c r="CR150" i="25"/>
  <c r="CS150" i="25" s="1"/>
  <c r="CO137" i="24"/>
  <c r="CQ137" i="24"/>
  <c r="CR137" i="24" s="1"/>
  <c r="CT137" i="24" s="1"/>
  <c r="CQ180" i="24"/>
  <c r="CR180" i="24" s="1"/>
  <c r="CT180" i="24" s="1"/>
  <c r="CQ141" i="24"/>
  <c r="CR141" i="24" s="1"/>
  <c r="CT141" i="24" s="1"/>
  <c r="CR148" i="25"/>
  <c r="CS148" i="25" s="1"/>
  <c r="CO201" i="24"/>
  <c r="CO182" i="24"/>
  <c r="CR187" i="25"/>
  <c r="CS187" i="25" s="1"/>
  <c r="CR190" i="25"/>
  <c r="CS190" i="25" s="1"/>
  <c r="CO183" i="24"/>
  <c r="CQ154" i="24"/>
  <c r="CR154" i="24" s="1"/>
  <c r="CT154" i="24" s="1"/>
  <c r="CQ182" i="24"/>
  <c r="CR182" i="24" s="1"/>
  <c r="CT182" i="24" s="1"/>
  <c r="CR129" i="25"/>
  <c r="CS129" i="25" s="1"/>
  <c r="CR182" i="25"/>
  <c r="CS182" i="25" s="1"/>
  <c r="CO187" i="24"/>
  <c r="CO141" i="24"/>
  <c r="CO180" i="24"/>
  <c r="CQ133" i="24"/>
  <c r="CR133" i="24" s="1"/>
  <c r="CT133" i="24" s="1"/>
  <c r="CQ187" i="24"/>
  <c r="CR187" i="24" s="1"/>
  <c r="CT187" i="24" s="1"/>
  <c r="CR158" i="25"/>
  <c r="CS158" i="25" s="1"/>
  <c r="CO184" i="24"/>
  <c r="CO162" i="24"/>
  <c r="CQ209" i="24"/>
  <c r="CR209" i="24" s="1"/>
  <c r="CT209" i="24" s="1"/>
  <c r="CQ162" i="24"/>
  <c r="CR162" i="24" s="1"/>
  <c r="CT162" i="24" s="1"/>
  <c r="CR168" i="25"/>
  <c r="CS168" i="25" s="1"/>
  <c r="CO134" i="24"/>
  <c r="CQ183" i="24"/>
  <c r="CR183" i="24" s="1"/>
  <c r="CT183" i="24" s="1"/>
  <c r="CQ134" i="24"/>
  <c r="CR134" i="24" s="1"/>
  <c r="CT134" i="24" s="1"/>
  <c r="CQ184" i="24"/>
  <c r="CR184" i="24" s="1"/>
  <c r="CT184" i="24" s="1"/>
  <c r="CO163" i="24"/>
  <c r="CQ197" i="24"/>
  <c r="CR197" i="24" s="1"/>
  <c r="CT197" i="24" s="1"/>
  <c r="CR146" i="25"/>
  <c r="CS146" i="25" s="1"/>
  <c r="CO130" i="24"/>
  <c r="CR5" i="24"/>
  <c r="DT5" i="24" s="1"/>
  <c r="CO179" i="24"/>
  <c r="CR171" i="25"/>
  <c r="CS171" i="25" s="1"/>
  <c r="CQ172" i="24"/>
  <c r="CR172" i="24" s="1"/>
  <c r="CT172" i="24" s="1"/>
  <c r="CR193" i="25"/>
  <c r="CS193" i="25" s="1"/>
  <c r="CR118" i="25"/>
  <c r="CS118" i="25" s="1"/>
  <c r="CR177" i="25"/>
  <c r="CS177" i="25" s="1"/>
  <c r="CQ171" i="24"/>
  <c r="CR171" i="24" s="1"/>
  <c r="CT171" i="24" s="1"/>
  <c r="CQ126" i="24"/>
  <c r="CR126" i="24" s="1"/>
  <c r="CT126" i="24" s="1"/>
  <c r="CO126" i="24"/>
  <c r="CO160" i="24"/>
  <c r="CO169" i="24"/>
  <c r="CQ160" i="24"/>
  <c r="CR160" i="24" s="1"/>
  <c r="CT160" i="24" s="1"/>
  <c r="CR196" i="25"/>
  <c r="CS196" i="25" s="1"/>
  <c r="CR121" i="25"/>
  <c r="CS121" i="25" s="1"/>
  <c r="CO123" i="24"/>
  <c r="CO197" i="24"/>
  <c r="CR135" i="25"/>
  <c r="CS135" i="25" s="1"/>
  <c r="CQ130" i="24"/>
  <c r="CR130" i="24" s="1"/>
  <c r="CT130" i="24" s="1"/>
  <c r="CR149" i="25"/>
  <c r="CS149" i="25" s="1"/>
  <c r="CO135" i="24"/>
  <c r="CO172" i="24"/>
  <c r="CQ169" i="24"/>
  <c r="CR169" i="24" s="1"/>
  <c r="CT169" i="24" s="1"/>
  <c r="CR166" i="25"/>
  <c r="CS166" i="25" s="1"/>
  <c r="CQ179" i="24"/>
  <c r="CR179" i="24" s="1"/>
  <c r="CT179" i="24" s="1"/>
  <c r="CQ144" i="24"/>
  <c r="CR144" i="24" s="1"/>
  <c r="CT144" i="24" s="1"/>
  <c r="CQ135" i="24"/>
  <c r="CR135" i="24" s="1"/>
  <c r="CT135" i="24" s="1"/>
  <c r="CR180" i="25"/>
  <c r="CS180" i="25" s="1"/>
  <c r="CO144" i="24"/>
  <c r="CQ123" i="24"/>
  <c r="CR123" i="24" s="1"/>
  <c r="CT123" i="24" s="1"/>
  <c r="CR154" i="25"/>
  <c r="CS154" i="25" s="1"/>
  <c r="L14" i="1"/>
  <c r="B99" i="2"/>
  <c r="CO139" i="24"/>
  <c r="CO203" i="24"/>
  <c r="CO190" i="24"/>
  <c r="CO159" i="24"/>
  <c r="CR208" i="25"/>
  <c r="CS208" i="25" s="1"/>
  <c r="CR119" i="25"/>
  <c r="CS119" i="25" s="1"/>
  <c r="CQ188" i="24"/>
  <c r="CR188" i="24" s="1"/>
  <c r="CT188" i="24" s="1"/>
  <c r="CR134" i="25"/>
  <c r="CS134" i="25" s="1"/>
  <c r="CR194" i="25"/>
  <c r="CS194" i="25" s="1"/>
  <c r="CO143" i="24"/>
  <c r="CR160" i="25"/>
  <c r="CS160" i="25" s="1"/>
  <c r="CO189" i="24"/>
  <c r="CQ207" i="24"/>
  <c r="CR207" i="24" s="1"/>
  <c r="CT207" i="24" s="1"/>
  <c r="CR130" i="25"/>
  <c r="CS130" i="25" s="1"/>
  <c r="CO200" i="24"/>
  <c r="CQ203" i="24"/>
  <c r="CR203" i="24" s="1"/>
  <c r="CT203" i="24" s="1"/>
  <c r="CO188" i="24"/>
  <c r="CR176" i="25"/>
  <c r="CS176" i="25" s="1"/>
  <c r="CQ147" i="24"/>
  <c r="CR147" i="24" s="1"/>
  <c r="CT147" i="24" s="1"/>
  <c r="CR165" i="25"/>
  <c r="CS165" i="25" s="1"/>
  <c r="CO146" i="24"/>
  <c r="CO186" i="24"/>
  <c r="CQ190" i="24"/>
  <c r="CR190" i="24" s="1"/>
  <c r="CT190" i="24" s="1"/>
  <c r="CO207" i="24"/>
  <c r="CQ139" i="24"/>
  <c r="CR139" i="24" s="1"/>
  <c r="CT139" i="24" s="1"/>
  <c r="CR163" i="25"/>
  <c r="CS163" i="25" s="1"/>
  <c r="CO147" i="24"/>
  <c r="CQ159" i="24"/>
  <c r="CR159" i="24" s="1"/>
  <c r="CT159" i="24" s="1"/>
  <c r="CR137" i="25"/>
  <c r="CS137" i="25" s="1"/>
  <c r="CQ186" i="24"/>
  <c r="CR186" i="24" s="1"/>
  <c r="CT186" i="24" s="1"/>
  <c r="CQ200" i="24"/>
  <c r="CR200" i="24" s="1"/>
  <c r="CT200" i="24" s="1"/>
  <c r="EO110" i="24"/>
  <c r="CW110" i="24"/>
  <c r="CX110" i="24" s="1"/>
  <c r="CN110" i="24" s="1"/>
  <c r="CN5" i="24"/>
  <c r="DA5" i="24" s="1"/>
  <c r="CS5" i="24"/>
  <c r="FD5" i="24" s="1"/>
  <c r="AW2" i="25"/>
  <c r="EA2" i="25"/>
  <c r="CZ5" i="24"/>
  <c r="CQ298" i="24"/>
  <c r="CR298" i="24" s="1"/>
  <c r="CT298" i="24" s="1"/>
  <c r="CO298" i="24"/>
  <c r="CO307" i="24"/>
  <c r="CQ307" i="24"/>
  <c r="CR307" i="24" s="1"/>
  <c r="CT307" i="24" s="1"/>
  <c r="CO236" i="24"/>
  <c r="CQ236" i="24"/>
  <c r="CR236" i="24" s="1"/>
  <c r="CT236" i="24" s="1"/>
  <c r="CO300" i="24"/>
  <c r="CQ300" i="24"/>
  <c r="CR300" i="24" s="1"/>
  <c r="CT300" i="24" s="1"/>
  <c r="CO309" i="24"/>
  <c r="CQ309" i="24"/>
  <c r="CR309" i="24" s="1"/>
  <c r="CT309" i="24" s="1"/>
  <c r="CQ262" i="24"/>
  <c r="CR262" i="24" s="1"/>
  <c r="CT262" i="24" s="1"/>
  <c r="CO262" i="24"/>
  <c r="CQ232" i="24"/>
  <c r="CR232" i="24" s="1"/>
  <c r="CT232" i="24" s="1"/>
  <c r="CO232" i="24"/>
  <c r="CO296" i="24"/>
  <c r="CQ296" i="24"/>
  <c r="CR296" i="24" s="1"/>
  <c r="CT296" i="24" s="1"/>
  <c r="CR247" i="25"/>
  <c r="CS247" i="25" s="1"/>
  <c r="CR311" i="25"/>
  <c r="CS311" i="25" s="1"/>
  <c r="CR264" i="25"/>
  <c r="CS264" i="25" s="1"/>
  <c r="CR217" i="25"/>
  <c r="CS217" i="25" s="1"/>
  <c r="CR281" i="25"/>
  <c r="CS281" i="25" s="1"/>
  <c r="CR234" i="25"/>
  <c r="CS234" i="25" s="1"/>
  <c r="CR298" i="25"/>
  <c r="CS298" i="25" s="1"/>
  <c r="CR243" i="25"/>
  <c r="CS243" i="25" s="1"/>
  <c r="CR307" i="25"/>
  <c r="CS307" i="25" s="1"/>
  <c r="CR252" i="25"/>
  <c r="CS252" i="25" s="1"/>
  <c r="CR316" i="25"/>
  <c r="CS316" i="25" s="1"/>
  <c r="CR253" i="25"/>
  <c r="CS253" i="25" s="1"/>
  <c r="CQ242" i="24"/>
  <c r="CR242" i="24" s="1"/>
  <c r="CT242" i="24" s="1"/>
  <c r="CO242" i="24"/>
  <c r="CO306" i="24"/>
  <c r="CQ306" i="24"/>
  <c r="CR306" i="24" s="1"/>
  <c r="CT306" i="24" s="1"/>
  <c r="CO251" i="24"/>
  <c r="CQ251" i="24"/>
  <c r="CR251" i="24" s="1"/>
  <c r="CT251" i="24" s="1"/>
  <c r="CO315" i="24"/>
  <c r="CQ315" i="24"/>
  <c r="CR315" i="24" s="1"/>
  <c r="CT315" i="24" s="1"/>
  <c r="CO244" i="24"/>
  <c r="CQ244" i="24"/>
  <c r="CR244" i="24" s="1"/>
  <c r="CT244" i="24" s="1"/>
  <c r="CQ308" i="24"/>
  <c r="CR308" i="24" s="1"/>
  <c r="CT308" i="24" s="1"/>
  <c r="CO308" i="24"/>
  <c r="CQ253" i="24"/>
  <c r="CR253" i="24" s="1"/>
  <c r="CT253" i="24" s="1"/>
  <c r="CO253" i="24"/>
  <c r="CO233" i="24"/>
  <c r="CQ233" i="24"/>
  <c r="CR233" i="24" s="1"/>
  <c r="CT233" i="24" s="1"/>
  <c r="CQ270" i="24"/>
  <c r="CR270" i="24" s="1"/>
  <c r="CT270" i="24" s="1"/>
  <c r="CO270" i="24"/>
  <c r="CW216" i="24"/>
  <c r="CX216" i="24" s="1"/>
  <c r="CO216" i="24"/>
  <c r="CQ216" i="24"/>
  <c r="CR216" i="24" s="1"/>
  <c r="CO279" i="24"/>
  <c r="CQ279" i="24"/>
  <c r="CR279" i="24" s="1"/>
  <c r="CT279" i="24" s="1"/>
  <c r="CQ240" i="24"/>
  <c r="CR240" i="24" s="1"/>
  <c r="CT240" i="24" s="1"/>
  <c r="CO240" i="24"/>
  <c r="CO304" i="24"/>
  <c r="CQ304" i="24"/>
  <c r="CR304" i="24" s="1"/>
  <c r="CT304" i="24" s="1"/>
  <c r="CR255" i="25"/>
  <c r="CS255" i="25" s="1"/>
  <c r="CR230" i="25"/>
  <c r="CS230" i="25" s="1"/>
  <c r="CR272" i="25"/>
  <c r="CS272" i="25" s="1"/>
  <c r="CR225" i="25"/>
  <c r="CS225" i="25" s="1"/>
  <c r="CR289" i="25"/>
  <c r="CS289" i="25" s="1"/>
  <c r="CR242" i="25"/>
  <c r="CS242" i="25" s="1"/>
  <c r="CR306" i="25"/>
  <c r="CS306" i="25" s="1"/>
  <c r="CR251" i="25"/>
  <c r="CS251" i="25" s="1"/>
  <c r="CR315" i="25"/>
  <c r="CS315" i="25" s="1"/>
  <c r="CR260" i="25"/>
  <c r="CS260" i="25" s="1"/>
  <c r="CR222" i="25"/>
  <c r="CS222" i="25" s="1"/>
  <c r="CR261" i="25"/>
  <c r="CS261" i="25" s="1"/>
  <c r="CQ218" i="24"/>
  <c r="CR218" i="24" s="1"/>
  <c r="CT218" i="24" s="1"/>
  <c r="CO218" i="24"/>
  <c r="CQ250" i="24"/>
  <c r="CR250" i="24" s="1"/>
  <c r="CT250" i="24" s="1"/>
  <c r="CO250" i="24"/>
  <c r="CO314" i="24"/>
  <c r="CQ314" i="24"/>
  <c r="CR314" i="24" s="1"/>
  <c r="CT314" i="24" s="1"/>
  <c r="CQ259" i="24"/>
  <c r="CR259" i="24" s="1"/>
  <c r="CT259" i="24" s="1"/>
  <c r="CO259" i="24"/>
  <c r="CO225" i="24"/>
  <c r="CQ225" i="24"/>
  <c r="CR225" i="24" s="1"/>
  <c r="CT225" i="24" s="1"/>
  <c r="CQ252" i="24"/>
  <c r="CR252" i="24" s="1"/>
  <c r="CT252" i="24" s="1"/>
  <c r="CO252" i="24"/>
  <c r="CO316" i="24"/>
  <c r="CQ316" i="24"/>
  <c r="CR316" i="24" s="1"/>
  <c r="CT316" i="24" s="1"/>
  <c r="CQ261" i="24"/>
  <c r="CR261" i="24" s="1"/>
  <c r="CT261" i="24" s="1"/>
  <c r="CO261" i="24"/>
  <c r="CO313" i="24"/>
  <c r="CQ313" i="24"/>
  <c r="CR313" i="24" s="1"/>
  <c r="CT313" i="24" s="1"/>
  <c r="CQ278" i="24"/>
  <c r="CR278" i="24" s="1"/>
  <c r="CT278" i="24" s="1"/>
  <c r="CO278" i="24"/>
  <c r="CQ223" i="24"/>
  <c r="CR223" i="24" s="1"/>
  <c r="CT223" i="24" s="1"/>
  <c r="CO223" i="24"/>
  <c r="CQ287" i="24"/>
  <c r="CR287" i="24" s="1"/>
  <c r="CT287" i="24" s="1"/>
  <c r="CO287" i="24"/>
  <c r="CQ248" i="24"/>
  <c r="CR248" i="24" s="1"/>
  <c r="CT248" i="24" s="1"/>
  <c r="CO248" i="24"/>
  <c r="CO312" i="24"/>
  <c r="CQ312" i="24"/>
  <c r="CR312" i="24" s="1"/>
  <c r="CT312" i="24" s="1"/>
  <c r="CR263" i="25"/>
  <c r="CS263" i="25" s="1"/>
  <c r="CR302" i="25"/>
  <c r="CS302" i="25" s="1"/>
  <c r="CR280" i="25"/>
  <c r="CS280" i="25" s="1"/>
  <c r="CR233" i="25"/>
  <c r="CS233" i="25" s="1"/>
  <c r="CR297" i="25"/>
  <c r="CS297" i="25" s="1"/>
  <c r="CR250" i="25"/>
  <c r="CS250" i="25" s="1"/>
  <c r="CR314" i="25"/>
  <c r="CS314" i="25" s="1"/>
  <c r="CR259" i="25"/>
  <c r="CS259" i="25" s="1"/>
  <c r="CR254" i="25"/>
  <c r="CS254" i="25" s="1"/>
  <c r="CR268" i="25"/>
  <c r="CS268" i="25" s="1"/>
  <c r="CR246" i="25"/>
  <c r="CS246" i="25" s="1"/>
  <c r="CR269" i="25"/>
  <c r="CS269" i="25" s="1"/>
  <c r="CO243" i="24"/>
  <c r="CQ243" i="24"/>
  <c r="CR243" i="24" s="1"/>
  <c r="CT243" i="24" s="1"/>
  <c r="CQ258" i="24"/>
  <c r="CR258" i="24" s="1"/>
  <c r="CT258" i="24" s="1"/>
  <c r="CO258" i="24"/>
  <c r="CO257" i="24"/>
  <c r="CQ257" i="24"/>
  <c r="CR257" i="24" s="1"/>
  <c r="CT257" i="24" s="1"/>
  <c r="CO267" i="24"/>
  <c r="CQ267" i="24"/>
  <c r="CR267" i="24" s="1"/>
  <c r="CT267" i="24" s="1"/>
  <c r="CO265" i="24"/>
  <c r="CQ265" i="24"/>
  <c r="CR265" i="24" s="1"/>
  <c r="CT265" i="24" s="1"/>
  <c r="CO260" i="24"/>
  <c r="CQ260" i="24"/>
  <c r="CR260" i="24" s="1"/>
  <c r="CT260" i="24" s="1"/>
  <c r="CQ249" i="24"/>
  <c r="CR249" i="24" s="1"/>
  <c r="CT249" i="24" s="1"/>
  <c r="CO249" i="24"/>
  <c r="CO269" i="24"/>
  <c r="CQ269" i="24"/>
  <c r="CR269" i="24" s="1"/>
  <c r="CT269" i="24" s="1"/>
  <c r="CO222" i="24"/>
  <c r="CQ222" i="24"/>
  <c r="CR222" i="24" s="1"/>
  <c r="CT222" i="24" s="1"/>
  <c r="CO286" i="24"/>
  <c r="CQ286" i="24"/>
  <c r="CR286" i="24" s="1"/>
  <c r="CT286" i="24" s="1"/>
  <c r="CQ231" i="24"/>
  <c r="CR231" i="24" s="1"/>
  <c r="CT231" i="24" s="1"/>
  <c r="CO231" i="24"/>
  <c r="CQ295" i="24"/>
  <c r="CR295" i="24" s="1"/>
  <c r="CT295" i="24" s="1"/>
  <c r="CO295" i="24"/>
  <c r="CO256" i="24"/>
  <c r="CQ256" i="24"/>
  <c r="CR256" i="24" s="1"/>
  <c r="CT256" i="24" s="1"/>
  <c r="CR310" i="25"/>
  <c r="CS310" i="25" s="1"/>
  <c r="CR271" i="25"/>
  <c r="CS271" i="25" s="1"/>
  <c r="CR224" i="25"/>
  <c r="CS224" i="25" s="1"/>
  <c r="CR288" i="25"/>
  <c r="CS288" i="25" s="1"/>
  <c r="CR241" i="25"/>
  <c r="CS241" i="25" s="1"/>
  <c r="CR305" i="25"/>
  <c r="CS305" i="25" s="1"/>
  <c r="CR258" i="25"/>
  <c r="CS258" i="25" s="1"/>
  <c r="CR238" i="25"/>
  <c r="CS238" i="25" s="1"/>
  <c r="CR267" i="25"/>
  <c r="CS267" i="25" s="1"/>
  <c r="CR278" i="25"/>
  <c r="CS278" i="25" s="1"/>
  <c r="CR276" i="25"/>
  <c r="CS276" i="25" s="1"/>
  <c r="CR262" i="25"/>
  <c r="CS262" i="25" s="1"/>
  <c r="CR277" i="25"/>
  <c r="CS277" i="25" s="1"/>
  <c r="CO245" i="24"/>
  <c r="CQ245" i="24"/>
  <c r="CR245" i="24" s="1"/>
  <c r="CT245" i="24" s="1"/>
  <c r="CO266" i="24"/>
  <c r="CQ266" i="24"/>
  <c r="CR266" i="24" s="1"/>
  <c r="CT266" i="24" s="1"/>
  <c r="CQ234" i="24"/>
  <c r="CR234" i="24" s="1"/>
  <c r="CT234" i="24" s="1"/>
  <c r="CO234" i="24"/>
  <c r="CQ275" i="24"/>
  <c r="CR275" i="24" s="1"/>
  <c r="CT275" i="24" s="1"/>
  <c r="CO275" i="24"/>
  <c r="CQ297" i="24"/>
  <c r="CR297" i="24" s="1"/>
  <c r="CT297" i="24" s="1"/>
  <c r="CO297" i="24"/>
  <c r="CO268" i="24"/>
  <c r="CQ268" i="24"/>
  <c r="CR268" i="24" s="1"/>
  <c r="CT268" i="24" s="1"/>
  <c r="CQ289" i="24"/>
  <c r="CR289" i="24" s="1"/>
  <c r="CT289" i="24" s="1"/>
  <c r="CO289" i="24"/>
  <c r="CQ277" i="24"/>
  <c r="CR277" i="24" s="1"/>
  <c r="CT277" i="24" s="1"/>
  <c r="CO277" i="24"/>
  <c r="CQ230" i="24"/>
  <c r="CR230" i="24" s="1"/>
  <c r="CT230" i="24" s="1"/>
  <c r="CO230" i="24"/>
  <c r="CQ294" i="24"/>
  <c r="CR294" i="24" s="1"/>
  <c r="CT294" i="24" s="1"/>
  <c r="CO294" i="24"/>
  <c r="CO239" i="24"/>
  <c r="CQ239" i="24"/>
  <c r="CR239" i="24" s="1"/>
  <c r="CT239" i="24" s="1"/>
  <c r="CQ303" i="24"/>
  <c r="CR303" i="24" s="1"/>
  <c r="CT303" i="24" s="1"/>
  <c r="CO303" i="24"/>
  <c r="CQ264" i="24"/>
  <c r="CR264" i="24" s="1"/>
  <c r="CT264" i="24" s="1"/>
  <c r="CO264" i="24"/>
  <c r="CR216" i="25"/>
  <c r="CX216" i="25" s="1"/>
  <c r="CY216" i="25" s="1"/>
  <c r="CR279" i="25"/>
  <c r="CS279" i="25" s="1"/>
  <c r="CR232" i="25"/>
  <c r="CS232" i="25" s="1"/>
  <c r="CR296" i="25"/>
  <c r="CS296" i="25" s="1"/>
  <c r="CR249" i="25"/>
  <c r="CS249" i="25" s="1"/>
  <c r="CR313" i="25"/>
  <c r="CS313" i="25" s="1"/>
  <c r="CR266" i="25"/>
  <c r="CS266" i="25" s="1"/>
  <c r="CR270" i="25"/>
  <c r="CS270" i="25" s="1"/>
  <c r="CR275" i="25"/>
  <c r="CS275" i="25" s="1"/>
  <c r="CR220" i="25"/>
  <c r="CS220" i="25" s="1"/>
  <c r="CR284" i="25"/>
  <c r="CS284" i="25" s="1"/>
  <c r="CR221" i="25"/>
  <c r="CS221" i="25" s="1"/>
  <c r="CR285" i="25"/>
  <c r="CS285" i="25" s="1"/>
  <c r="CQ305" i="24"/>
  <c r="CR305" i="24" s="1"/>
  <c r="CT305" i="24" s="1"/>
  <c r="CO305" i="24"/>
  <c r="CQ274" i="24"/>
  <c r="CR274" i="24" s="1"/>
  <c r="CT274" i="24" s="1"/>
  <c r="CO274" i="24"/>
  <c r="CO219" i="24"/>
  <c r="CQ219" i="24"/>
  <c r="CR219" i="24" s="1"/>
  <c r="CT219" i="24" s="1"/>
  <c r="CO283" i="24"/>
  <c r="CQ283" i="24"/>
  <c r="CR283" i="24" s="1"/>
  <c r="CT283" i="24" s="1"/>
  <c r="CQ226" i="24"/>
  <c r="CR226" i="24" s="1"/>
  <c r="CT226" i="24" s="1"/>
  <c r="CO226" i="24"/>
  <c r="CQ276" i="24"/>
  <c r="CR276" i="24" s="1"/>
  <c r="CT276" i="24" s="1"/>
  <c r="CO276" i="24"/>
  <c r="CQ221" i="24"/>
  <c r="CR221" i="24" s="1"/>
  <c r="CT221" i="24" s="1"/>
  <c r="CO221" i="24"/>
  <c r="CO285" i="24"/>
  <c r="CQ285" i="24"/>
  <c r="CR285" i="24" s="1"/>
  <c r="CT285" i="24" s="1"/>
  <c r="CO238" i="24"/>
  <c r="CQ238" i="24"/>
  <c r="CR238" i="24" s="1"/>
  <c r="CT238" i="24" s="1"/>
  <c r="CQ302" i="24"/>
  <c r="CR302" i="24" s="1"/>
  <c r="CT302" i="24" s="1"/>
  <c r="CO302" i="24"/>
  <c r="CQ247" i="24"/>
  <c r="CR247" i="24" s="1"/>
  <c r="CT247" i="24" s="1"/>
  <c r="CO247" i="24"/>
  <c r="CQ311" i="24"/>
  <c r="CR311" i="24" s="1"/>
  <c r="CT311" i="24" s="1"/>
  <c r="CO311" i="24"/>
  <c r="CQ272" i="24"/>
  <c r="CR272" i="24" s="1"/>
  <c r="CT272" i="24" s="1"/>
  <c r="CO272" i="24"/>
  <c r="CR223" i="25"/>
  <c r="CS223" i="25" s="1"/>
  <c r="CR287" i="25"/>
  <c r="CS287" i="25" s="1"/>
  <c r="CR240" i="25"/>
  <c r="CS240" i="25" s="1"/>
  <c r="CR304" i="25"/>
  <c r="CS304" i="25" s="1"/>
  <c r="CR257" i="25"/>
  <c r="CS257" i="25" s="1"/>
  <c r="CR294" i="25"/>
  <c r="CS294" i="25" s="1"/>
  <c r="CR274" i="25"/>
  <c r="CS274" i="25" s="1"/>
  <c r="CR219" i="25"/>
  <c r="CS219" i="25" s="1"/>
  <c r="CR283" i="25"/>
  <c r="CS283" i="25" s="1"/>
  <c r="CR228" i="25"/>
  <c r="CS228" i="25" s="1"/>
  <c r="CR292" i="25"/>
  <c r="CS292" i="25" s="1"/>
  <c r="CR229" i="25"/>
  <c r="CS229" i="25" s="1"/>
  <c r="CR293" i="25"/>
  <c r="CS293" i="25" s="1"/>
  <c r="CO217" i="24"/>
  <c r="CQ217" i="24"/>
  <c r="CR217" i="24" s="1"/>
  <c r="CT217" i="24" s="1"/>
  <c r="CQ282" i="24"/>
  <c r="CR282" i="24" s="1"/>
  <c r="CT282" i="24" s="1"/>
  <c r="CO282" i="24"/>
  <c r="CO227" i="24"/>
  <c r="CQ227" i="24"/>
  <c r="CR227" i="24" s="1"/>
  <c r="CT227" i="24" s="1"/>
  <c r="CQ291" i="24"/>
  <c r="CR291" i="24" s="1"/>
  <c r="CT291" i="24" s="1"/>
  <c r="CO291" i="24"/>
  <c r="CO220" i="24"/>
  <c r="CQ220" i="24"/>
  <c r="CR220" i="24" s="1"/>
  <c r="CT220" i="24" s="1"/>
  <c r="CQ284" i="24"/>
  <c r="CR284" i="24" s="1"/>
  <c r="CT284" i="24" s="1"/>
  <c r="CO284" i="24"/>
  <c r="CQ229" i="24"/>
  <c r="CR229" i="24" s="1"/>
  <c r="CT229" i="24" s="1"/>
  <c r="CO229" i="24"/>
  <c r="CO293" i="24"/>
  <c r="CQ293" i="24"/>
  <c r="CR293" i="24" s="1"/>
  <c r="CT293" i="24" s="1"/>
  <c r="CQ246" i="24"/>
  <c r="CR246" i="24" s="1"/>
  <c r="CT246" i="24" s="1"/>
  <c r="CO246" i="24"/>
  <c r="CO310" i="24"/>
  <c r="CQ310" i="24"/>
  <c r="CR310" i="24" s="1"/>
  <c r="CT310" i="24" s="1"/>
  <c r="CQ255" i="24"/>
  <c r="CR255" i="24" s="1"/>
  <c r="CT255" i="24" s="1"/>
  <c r="CO255" i="24"/>
  <c r="CO281" i="24"/>
  <c r="CQ281" i="24"/>
  <c r="CR281" i="24" s="1"/>
  <c r="CT281" i="24" s="1"/>
  <c r="CO280" i="24"/>
  <c r="CQ280" i="24"/>
  <c r="CR280" i="24" s="1"/>
  <c r="CT280" i="24" s="1"/>
  <c r="CR231" i="25"/>
  <c r="CS231" i="25" s="1"/>
  <c r="CR295" i="25"/>
  <c r="CS295" i="25" s="1"/>
  <c r="CR248" i="25"/>
  <c r="CS248" i="25" s="1"/>
  <c r="CR312" i="25"/>
  <c r="CS312" i="25" s="1"/>
  <c r="CR265" i="25"/>
  <c r="CS265" i="25" s="1"/>
  <c r="CR218" i="25"/>
  <c r="CS218" i="25" s="1"/>
  <c r="CR282" i="25"/>
  <c r="CS282" i="25" s="1"/>
  <c r="CR227" i="25"/>
  <c r="CS227" i="25" s="1"/>
  <c r="CR291" i="25"/>
  <c r="CS291" i="25" s="1"/>
  <c r="CR236" i="25"/>
  <c r="CS236" i="25" s="1"/>
  <c r="CR300" i="25"/>
  <c r="CS300" i="25" s="1"/>
  <c r="CR237" i="25"/>
  <c r="CS237" i="25" s="1"/>
  <c r="CR301" i="25"/>
  <c r="CS301" i="25" s="1"/>
  <c r="CQ271" i="24"/>
  <c r="CR271" i="24" s="1"/>
  <c r="CT271" i="24" s="1"/>
  <c r="CO271" i="24"/>
  <c r="CQ273" i="24"/>
  <c r="CR273" i="24" s="1"/>
  <c r="CT273" i="24" s="1"/>
  <c r="CO273" i="24"/>
  <c r="CQ290" i="24"/>
  <c r="CR290" i="24" s="1"/>
  <c r="CT290" i="24" s="1"/>
  <c r="CO290" i="24"/>
  <c r="CQ235" i="24"/>
  <c r="CR235" i="24" s="1"/>
  <c r="CT235" i="24" s="1"/>
  <c r="CO235" i="24"/>
  <c r="CQ299" i="24"/>
  <c r="CR299" i="24" s="1"/>
  <c r="CT299" i="24" s="1"/>
  <c r="CO299" i="24"/>
  <c r="CO228" i="24"/>
  <c r="CQ228" i="24"/>
  <c r="CR228" i="24" s="1"/>
  <c r="CT228" i="24" s="1"/>
  <c r="CO292" i="24"/>
  <c r="CQ292" i="24"/>
  <c r="CR292" i="24" s="1"/>
  <c r="CT292" i="24" s="1"/>
  <c r="CQ237" i="24"/>
  <c r="CR237" i="24" s="1"/>
  <c r="CT237" i="24" s="1"/>
  <c r="CO237" i="24"/>
  <c r="CO301" i="24"/>
  <c r="CQ301" i="24"/>
  <c r="CR301" i="24" s="1"/>
  <c r="CT301" i="24" s="1"/>
  <c r="CO254" i="24"/>
  <c r="CQ254" i="24"/>
  <c r="CR254" i="24" s="1"/>
  <c r="CT254" i="24" s="1"/>
  <c r="CO241" i="24"/>
  <c r="CQ241" i="24"/>
  <c r="CR241" i="24" s="1"/>
  <c r="CT241" i="24" s="1"/>
  <c r="CQ263" i="24"/>
  <c r="CR263" i="24" s="1"/>
  <c r="CT263" i="24" s="1"/>
  <c r="CO263" i="24"/>
  <c r="CO224" i="24"/>
  <c r="CQ224" i="24"/>
  <c r="CR224" i="24" s="1"/>
  <c r="CT224" i="24" s="1"/>
  <c r="CQ288" i="24"/>
  <c r="CR288" i="24" s="1"/>
  <c r="CT288" i="24" s="1"/>
  <c r="CO288" i="24"/>
  <c r="CR239" i="25"/>
  <c r="CS239" i="25" s="1"/>
  <c r="CR303" i="25"/>
  <c r="CS303" i="25" s="1"/>
  <c r="CR256" i="25"/>
  <c r="CS256" i="25" s="1"/>
  <c r="CR286" i="25"/>
  <c r="CS286" i="25" s="1"/>
  <c r="CR273" i="25"/>
  <c r="CS273" i="25" s="1"/>
  <c r="CR226" i="25"/>
  <c r="CS226" i="25" s="1"/>
  <c r="CR290" i="25"/>
  <c r="CS290" i="25" s="1"/>
  <c r="CR235" i="25"/>
  <c r="CS235" i="25" s="1"/>
  <c r="CR299" i="25"/>
  <c r="CS299" i="25" s="1"/>
  <c r="CR244" i="25"/>
  <c r="CS244" i="25" s="1"/>
  <c r="CR308" i="25"/>
  <c r="CS308" i="25" s="1"/>
  <c r="CR245" i="25"/>
  <c r="CS245" i="25" s="1"/>
  <c r="CR309" i="25"/>
  <c r="CS309" i="25" s="1"/>
  <c r="CS96" i="25"/>
  <c r="CS49" i="25"/>
  <c r="CS30" i="25"/>
  <c r="CS83" i="25"/>
  <c r="CS60" i="25"/>
  <c r="CS84" i="25"/>
  <c r="CS38" i="25"/>
  <c r="CS69" i="25"/>
  <c r="CS65" i="25"/>
  <c r="CS57" i="25"/>
  <c r="CS102" i="25"/>
  <c r="CS64" i="25"/>
  <c r="CS56" i="25"/>
  <c r="CS53" i="25"/>
  <c r="CS75" i="25"/>
  <c r="CS22" i="25"/>
  <c r="CS101" i="25"/>
  <c r="CS73" i="25"/>
  <c r="CS122" i="25"/>
  <c r="CS34" i="25"/>
  <c r="CS26" i="25"/>
  <c r="CS18" i="25"/>
  <c r="CS61" i="25"/>
  <c r="CS105" i="25"/>
  <c r="CS14" i="25"/>
  <c r="CS6" i="25"/>
  <c r="CS13" i="25"/>
  <c r="CS97" i="25"/>
  <c r="CS72" i="25"/>
  <c r="CS21" i="25"/>
  <c r="CS87" i="25"/>
  <c r="CS10" i="25"/>
  <c r="CS46" i="25"/>
  <c r="CS54" i="25"/>
  <c r="CS62" i="25"/>
  <c r="CS70" i="25"/>
  <c r="CS80" i="25"/>
  <c r="CS81" i="25"/>
  <c r="CS25" i="25"/>
  <c r="CS17" i="25"/>
  <c r="CS95" i="25"/>
  <c r="CS91" i="25"/>
  <c r="CS92" i="25"/>
  <c r="CS68" i="25"/>
  <c r="CS88" i="25"/>
  <c r="CS98" i="25"/>
  <c r="CS16" i="25"/>
  <c r="CS9" i="25"/>
  <c r="CS50" i="25"/>
  <c r="CS35" i="25"/>
  <c r="CS42" i="25"/>
  <c r="CS29" i="25"/>
  <c r="CS66" i="25"/>
  <c r="CS58" i="25"/>
  <c r="CS79" i="25"/>
  <c r="CS32" i="25"/>
  <c r="CS15" i="25"/>
  <c r="CS103" i="25"/>
  <c r="CS7" i="25"/>
  <c r="CS48" i="25"/>
  <c r="CS55" i="25"/>
  <c r="CS86" i="25"/>
  <c r="CS20" i="25"/>
  <c r="CS33" i="25"/>
  <c r="CS89" i="25"/>
  <c r="CS90" i="25"/>
  <c r="CS74" i="25"/>
  <c r="CS76" i="25"/>
  <c r="CS51" i="25"/>
  <c r="CS28" i="25"/>
  <c r="CS41" i="25"/>
  <c r="CS44" i="25"/>
  <c r="CS27" i="25"/>
  <c r="CS11" i="25"/>
  <c r="CS36" i="25"/>
  <c r="CS67" i="25"/>
  <c r="CS31" i="25"/>
  <c r="CS47" i="25"/>
  <c r="CS59" i="25"/>
  <c r="CS71" i="25"/>
  <c r="CS94" i="25"/>
  <c r="CS45" i="25"/>
  <c r="CS40" i="25"/>
  <c r="CS43" i="25"/>
  <c r="CS78" i="25"/>
  <c r="CS85" i="25"/>
  <c r="CS77" i="25"/>
  <c r="CS63" i="25"/>
  <c r="CS23" i="25"/>
  <c r="CS37" i="25"/>
  <c r="CS104" i="25"/>
  <c r="CS82" i="25"/>
  <c r="CS8" i="25"/>
  <c r="CS99" i="25"/>
  <c r="CS93" i="25"/>
  <c r="CS39" i="25"/>
  <c r="CS12" i="25"/>
  <c r="CS100" i="25"/>
  <c r="CS24" i="25"/>
  <c r="CS19" i="25"/>
  <c r="CS52" i="25"/>
  <c r="CJ306" i="25"/>
  <c r="CJ300" i="25"/>
  <c r="CJ299" i="25"/>
  <c r="CJ278" i="25"/>
  <c r="CJ263" i="25"/>
  <c r="CJ259" i="25"/>
  <c r="CJ256" i="25"/>
  <c r="CJ250" i="25"/>
  <c r="CJ235" i="25"/>
  <c r="CJ225" i="25"/>
  <c r="CJ220" i="25"/>
  <c r="CJ210" i="25"/>
  <c r="CJ207" i="25"/>
  <c r="CJ200" i="25"/>
  <c r="CJ197" i="25"/>
  <c r="CJ195" i="25"/>
  <c r="CJ194" i="25"/>
  <c r="CJ192" i="25"/>
  <c r="CJ186" i="25"/>
  <c r="CJ178" i="25"/>
  <c r="CJ167" i="25"/>
  <c r="CJ147" i="25"/>
  <c r="CJ309" i="25"/>
  <c r="CJ307" i="25"/>
  <c r="CJ275" i="25"/>
  <c r="CJ272" i="25"/>
  <c r="CJ271" i="25"/>
  <c r="CJ267" i="25"/>
  <c r="CJ255" i="25"/>
  <c r="CJ254" i="25"/>
  <c r="CJ251" i="25"/>
  <c r="CJ242" i="25"/>
  <c r="CJ241" i="25"/>
  <c r="CJ236" i="25"/>
  <c r="CJ231" i="25"/>
  <c r="CJ218" i="25"/>
  <c r="CJ205" i="25"/>
  <c r="CJ198" i="25"/>
  <c r="CJ182" i="25"/>
  <c r="CJ181" i="25"/>
  <c r="CJ180" i="25"/>
  <c r="CJ179" i="25"/>
  <c r="CJ166" i="25"/>
  <c r="CJ158" i="25"/>
  <c r="CJ155" i="25"/>
  <c r="CJ149" i="25"/>
  <c r="CJ314" i="25"/>
  <c r="CJ295" i="25"/>
  <c r="CJ294" i="25"/>
  <c r="CJ289" i="25"/>
  <c r="CJ279" i="25"/>
  <c r="CJ268" i="25"/>
  <c r="CJ260" i="25"/>
  <c r="CJ253" i="25"/>
  <c r="CJ252" i="25"/>
  <c r="CJ244" i="25"/>
  <c r="CJ237" i="25"/>
  <c r="CJ228" i="25"/>
  <c r="CJ204" i="25"/>
  <c r="CJ203" i="25"/>
  <c r="CJ187" i="25"/>
  <c r="CJ183" i="25"/>
  <c r="CJ168" i="25"/>
  <c r="CJ164" i="25"/>
  <c r="CJ161" i="25"/>
  <c r="CJ152" i="25"/>
  <c r="CJ310" i="25"/>
  <c r="CJ303" i="25"/>
  <c r="CJ301" i="25"/>
  <c r="CJ246" i="25"/>
  <c r="CJ245" i="25"/>
  <c r="CJ243" i="25"/>
  <c r="CJ238" i="25"/>
  <c r="CJ232" i="25"/>
  <c r="CJ223" i="25"/>
  <c r="CJ221" i="25"/>
  <c r="CJ191" i="25"/>
  <c r="CJ170" i="25"/>
  <c r="CJ169" i="25"/>
  <c r="CJ156" i="25"/>
  <c r="CJ146" i="25"/>
  <c r="CJ315" i="25"/>
  <c r="CJ311" i="25"/>
  <c r="CJ297" i="25"/>
  <c r="CJ296" i="25"/>
  <c r="CJ292" i="25"/>
  <c r="CJ290" i="25"/>
  <c r="CJ280" i="25"/>
  <c r="CJ276" i="25"/>
  <c r="CJ269" i="25"/>
  <c r="CJ261" i="25"/>
  <c r="CJ248" i="25"/>
  <c r="CJ229" i="25"/>
  <c r="CJ190" i="25"/>
  <c r="CJ189" i="25"/>
  <c r="CJ188" i="25"/>
  <c r="CJ185" i="25"/>
  <c r="CJ184" i="25"/>
  <c r="CJ165" i="25"/>
  <c r="CJ162" i="25"/>
  <c r="CJ159" i="25"/>
  <c r="CJ308" i="25"/>
  <c r="CJ287" i="25"/>
  <c r="CJ285" i="25"/>
  <c r="CJ283" i="25"/>
  <c r="CJ281" i="25"/>
  <c r="CJ274" i="25"/>
  <c r="CJ273" i="25"/>
  <c r="CJ270" i="25"/>
  <c r="CJ247" i="25"/>
  <c r="CJ239" i="25"/>
  <c r="CJ233" i="25"/>
  <c r="CJ226" i="25"/>
  <c r="CJ219" i="25"/>
  <c r="CJ217" i="25"/>
  <c r="CJ206" i="25"/>
  <c r="CJ202" i="25"/>
  <c r="CJ172" i="25"/>
  <c r="CJ171" i="25"/>
  <c r="CJ153" i="25"/>
  <c r="CJ148" i="25"/>
  <c r="CJ302" i="25"/>
  <c r="CJ291" i="25"/>
  <c r="CJ249" i="25"/>
  <c r="CJ222" i="25"/>
  <c r="CJ193" i="25"/>
  <c r="CJ173" i="25"/>
  <c r="CJ151" i="25"/>
  <c r="CJ143" i="25"/>
  <c r="CJ288" i="25"/>
  <c r="CJ282" i="25"/>
  <c r="CJ264" i="25"/>
  <c r="CJ224" i="25"/>
  <c r="CJ209" i="25"/>
  <c r="CJ140" i="25"/>
  <c r="CJ130" i="25"/>
  <c r="CJ129" i="25"/>
  <c r="CJ128" i="25"/>
  <c r="CJ124" i="25"/>
  <c r="CJ120" i="25"/>
  <c r="CJ118" i="25"/>
  <c r="CJ78" i="25"/>
  <c r="CJ69" i="25"/>
  <c r="CJ65" i="25"/>
  <c r="CJ57" i="25"/>
  <c r="CJ44" i="25"/>
  <c r="CJ32" i="25"/>
  <c r="CJ304" i="25"/>
  <c r="CJ293" i="25"/>
  <c r="CJ257" i="25"/>
  <c r="CJ227" i="25"/>
  <c r="CJ177" i="25"/>
  <c r="CJ145" i="25"/>
  <c r="CJ137" i="25"/>
  <c r="CJ134" i="25"/>
  <c r="CJ127" i="25"/>
  <c r="CJ123" i="25"/>
  <c r="CJ122" i="25"/>
  <c r="CJ121" i="25"/>
  <c r="CJ100" i="25"/>
  <c r="CJ85" i="25"/>
  <c r="CJ39" i="25"/>
  <c r="CJ312" i="25"/>
  <c r="CJ201" i="25"/>
  <c r="CJ174" i="25"/>
  <c r="CJ142" i="25"/>
  <c r="CJ139" i="25"/>
  <c r="CJ126" i="25"/>
  <c r="CJ125" i="25"/>
  <c r="CJ102" i="25"/>
  <c r="CJ101" i="25"/>
  <c r="CJ99" i="25"/>
  <c r="CJ94" i="25"/>
  <c r="CJ93" i="25"/>
  <c r="CJ88" i="25"/>
  <c r="CJ86" i="25"/>
  <c r="CJ79" i="25"/>
  <c r="CJ64" i="25"/>
  <c r="CJ56" i="25"/>
  <c r="CJ54" i="25"/>
  <c r="CJ50" i="25"/>
  <c r="CJ45" i="25"/>
  <c r="CJ40" i="25"/>
  <c r="CJ34" i="25"/>
  <c r="CJ33" i="25"/>
  <c r="CJ316" i="25"/>
  <c r="CJ286" i="25"/>
  <c r="CJ265" i="25"/>
  <c r="CJ150" i="25"/>
  <c r="CJ136" i="25"/>
  <c r="CJ95" i="25"/>
  <c r="CJ87" i="25"/>
  <c r="CJ74" i="25"/>
  <c r="CJ73" i="25"/>
  <c r="CJ63" i="25"/>
  <c r="CJ62" i="25"/>
  <c r="CJ52" i="25"/>
  <c r="CJ46" i="25"/>
  <c r="CJ298" i="25"/>
  <c r="CJ277" i="25"/>
  <c r="CJ262" i="25"/>
  <c r="CJ234" i="25"/>
  <c r="CJ196" i="25"/>
  <c r="CJ144" i="25"/>
  <c r="CJ138" i="25"/>
  <c r="CJ104" i="25"/>
  <c r="CJ96" i="25"/>
  <c r="CJ90" i="25"/>
  <c r="CJ89" i="25"/>
  <c r="CJ68" i="25"/>
  <c r="CJ67" i="25"/>
  <c r="CJ53" i="25"/>
  <c r="CJ51" i="25"/>
  <c r="CJ313" i="25"/>
  <c r="CJ284" i="25"/>
  <c r="CJ266" i="25"/>
  <c r="CJ119" i="25"/>
  <c r="CJ91" i="25"/>
  <c r="CJ84" i="25"/>
  <c r="CJ80" i="25"/>
  <c r="CJ75" i="25"/>
  <c r="CJ70" i="25"/>
  <c r="CJ48" i="25"/>
  <c r="CJ47" i="25"/>
  <c r="CJ22" i="25"/>
  <c r="CJ12" i="25"/>
  <c r="CJ11" i="25"/>
  <c r="CJ10" i="25"/>
  <c r="CJ258" i="25"/>
  <c r="CJ115" i="25"/>
  <c r="CJ71" i="25"/>
  <c r="CJ55" i="25"/>
  <c r="CJ43" i="25"/>
  <c r="CJ305" i="25"/>
  <c r="CJ135" i="25"/>
  <c r="CJ116" i="25"/>
  <c r="CJ111" i="25"/>
  <c r="CJ105" i="25"/>
  <c r="CJ92" i="25"/>
  <c r="CJ82" i="25"/>
  <c r="CJ59" i="25"/>
  <c r="CJ49" i="25"/>
  <c r="CJ36" i="25"/>
  <c r="CJ35" i="25"/>
  <c r="CJ41" i="25"/>
  <c r="CJ30" i="25"/>
  <c r="CJ28" i="25"/>
  <c r="CJ27" i="25"/>
  <c r="CJ25" i="25"/>
  <c r="CJ16" i="25"/>
  <c r="CJ61" i="25"/>
  <c r="CJ31" i="25"/>
  <c r="CJ141" i="25"/>
  <c r="CJ13" i="25"/>
  <c r="CJ9" i="25"/>
  <c r="CJ175" i="25"/>
  <c r="CJ117" i="25"/>
  <c r="CJ103" i="25"/>
  <c r="CJ97" i="25"/>
  <c r="CJ77" i="25"/>
  <c r="CJ21" i="25"/>
  <c r="CJ42" i="25"/>
  <c r="CJ17" i="25"/>
  <c r="CJ15" i="25"/>
  <c r="CJ230" i="25"/>
  <c r="CJ131" i="25"/>
  <c r="CJ83" i="25"/>
  <c r="CJ72" i="25"/>
  <c r="CJ66" i="25"/>
  <c r="CJ81" i="25"/>
  <c r="CJ176" i="25"/>
  <c r="CJ157" i="25"/>
  <c r="CJ154" i="25"/>
  <c r="CJ132" i="25"/>
  <c r="CJ113" i="25"/>
  <c r="CJ98" i="25"/>
  <c r="CJ60" i="25"/>
  <c r="CJ29" i="25"/>
  <c r="CJ14" i="25"/>
  <c r="CJ208" i="25"/>
  <c r="CJ199" i="25"/>
  <c r="CJ163" i="25"/>
  <c r="CJ160" i="25"/>
  <c r="CJ133" i="25"/>
  <c r="CJ114" i="25"/>
  <c r="CJ58" i="25"/>
  <c r="CJ37" i="25"/>
  <c r="CJ8" i="25"/>
  <c r="CJ240" i="25"/>
  <c r="CJ76" i="25"/>
  <c r="CJ26" i="25"/>
  <c r="CJ19" i="25"/>
  <c r="CJ23" i="25"/>
  <c r="CJ24" i="25"/>
  <c r="CJ38" i="25"/>
  <c r="CJ20" i="25"/>
  <c r="CJ18" i="25"/>
  <c r="CJ300" i="24"/>
  <c r="ES300" i="24" s="1"/>
  <c r="EV300" i="24" s="1"/>
  <c r="CJ296" i="24"/>
  <c r="ES296" i="24" s="1"/>
  <c r="EV296" i="24" s="1"/>
  <c r="CJ289" i="24"/>
  <c r="ES289" i="24" s="1"/>
  <c r="EV289" i="24" s="1"/>
  <c r="CJ280" i="24"/>
  <c r="ES280" i="24" s="1"/>
  <c r="EV280" i="24" s="1"/>
  <c r="CJ274" i="24"/>
  <c r="ES274" i="24" s="1"/>
  <c r="EV274" i="24" s="1"/>
  <c r="CJ269" i="24"/>
  <c r="ES269" i="24" s="1"/>
  <c r="EV269" i="24" s="1"/>
  <c r="CJ316" i="24"/>
  <c r="ES316" i="24" s="1"/>
  <c r="EV316" i="24" s="1"/>
  <c r="CJ313" i="24"/>
  <c r="ES313" i="24" s="1"/>
  <c r="EV313" i="24" s="1"/>
  <c r="CJ302" i="24"/>
  <c r="ES302" i="24" s="1"/>
  <c r="EV302" i="24" s="1"/>
  <c r="CJ283" i="24"/>
  <c r="ES283" i="24" s="1"/>
  <c r="EV283" i="24" s="1"/>
  <c r="CJ281" i="24"/>
  <c r="ES281" i="24" s="1"/>
  <c r="EV281" i="24" s="1"/>
  <c r="CJ278" i="24"/>
  <c r="ES278" i="24" s="1"/>
  <c r="EV278" i="24" s="1"/>
  <c r="CJ254" i="24"/>
  <c r="ES254" i="24" s="1"/>
  <c r="EV254" i="24" s="1"/>
  <c r="CJ252" i="24"/>
  <c r="ES252" i="24" s="1"/>
  <c r="EV252" i="24" s="1"/>
  <c r="CJ251" i="24"/>
  <c r="ES251" i="24" s="1"/>
  <c r="EV251" i="24" s="1"/>
  <c r="CJ246" i="24"/>
  <c r="ES246" i="24" s="1"/>
  <c r="EV246" i="24" s="1"/>
  <c r="CJ238" i="24"/>
  <c r="ES238" i="24" s="1"/>
  <c r="EV238" i="24" s="1"/>
  <c r="CJ236" i="24"/>
  <c r="ES236" i="24" s="1"/>
  <c r="EV236" i="24" s="1"/>
  <c r="CJ205" i="24"/>
  <c r="CJ204" i="24"/>
  <c r="CJ202" i="24"/>
  <c r="CJ199" i="24"/>
  <c r="CJ198" i="24"/>
  <c r="CJ196" i="24"/>
  <c r="CJ190" i="24"/>
  <c r="CJ189" i="24"/>
  <c r="CJ314" i="24"/>
  <c r="ES314" i="24" s="1"/>
  <c r="EV314" i="24" s="1"/>
  <c r="CJ311" i="24"/>
  <c r="ES311" i="24" s="1"/>
  <c r="EV311" i="24" s="1"/>
  <c r="CJ308" i="24"/>
  <c r="ES308" i="24" s="1"/>
  <c r="EV308" i="24" s="1"/>
  <c r="CJ304" i="24"/>
  <c r="ES304" i="24" s="1"/>
  <c r="EV304" i="24" s="1"/>
  <c r="CJ295" i="24"/>
  <c r="ES295" i="24" s="1"/>
  <c r="EV295" i="24" s="1"/>
  <c r="CJ290" i="24"/>
  <c r="ES290" i="24" s="1"/>
  <c r="EV290" i="24" s="1"/>
  <c r="CJ287" i="24"/>
  <c r="ES287" i="24" s="1"/>
  <c r="EV287" i="24" s="1"/>
  <c r="CJ284" i="24"/>
  <c r="ES284" i="24" s="1"/>
  <c r="EV284" i="24" s="1"/>
  <c r="CJ282" i="24"/>
  <c r="ES282" i="24" s="1"/>
  <c r="EV282" i="24" s="1"/>
  <c r="CJ262" i="24"/>
  <c r="ES262" i="24" s="1"/>
  <c r="EV262" i="24" s="1"/>
  <c r="CJ248" i="24"/>
  <c r="ES248" i="24" s="1"/>
  <c r="EV248" i="24" s="1"/>
  <c r="CJ247" i="24"/>
  <c r="ES247" i="24" s="1"/>
  <c r="EV247" i="24" s="1"/>
  <c r="CJ227" i="24"/>
  <c r="ES227" i="24" s="1"/>
  <c r="EV227" i="24" s="1"/>
  <c r="CJ223" i="24"/>
  <c r="ES223" i="24" s="1"/>
  <c r="EV223" i="24" s="1"/>
  <c r="CJ219" i="24"/>
  <c r="ES219" i="24" s="1"/>
  <c r="EV219" i="24" s="1"/>
  <c r="CJ206" i="24"/>
  <c r="CJ200" i="24"/>
  <c r="CJ293" i="24"/>
  <c r="ES293" i="24" s="1"/>
  <c r="EV293" i="24" s="1"/>
  <c r="CJ292" i="24"/>
  <c r="ES292" i="24" s="1"/>
  <c r="EV292" i="24" s="1"/>
  <c r="CJ273" i="24"/>
  <c r="ES273" i="24" s="1"/>
  <c r="EV273" i="24" s="1"/>
  <c r="CJ268" i="24"/>
  <c r="ES268" i="24" s="1"/>
  <c r="EV268" i="24" s="1"/>
  <c r="CJ260" i="24"/>
  <c r="ES260" i="24" s="1"/>
  <c r="EV260" i="24" s="1"/>
  <c r="CJ259" i="24"/>
  <c r="ES259" i="24" s="1"/>
  <c r="EV259" i="24" s="1"/>
  <c r="CJ255" i="24"/>
  <c r="ES255" i="24" s="1"/>
  <c r="EV255" i="24" s="1"/>
  <c r="CJ253" i="24"/>
  <c r="ES253" i="24" s="1"/>
  <c r="EV253" i="24" s="1"/>
  <c r="CJ245" i="24"/>
  <c r="ES245" i="24" s="1"/>
  <c r="EV245" i="24" s="1"/>
  <c r="CJ241" i="24"/>
  <c r="ES241" i="24" s="1"/>
  <c r="EV241" i="24" s="1"/>
  <c r="CJ231" i="24"/>
  <c r="ES231" i="24" s="1"/>
  <c r="EV231" i="24" s="1"/>
  <c r="CJ229" i="24"/>
  <c r="ES229" i="24" s="1"/>
  <c r="EV229" i="24" s="1"/>
  <c r="CJ225" i="24"/>
  <c r="ES225" i="24" s="1"/>
  <c r="EV225" i="24" s="1"/>
  <c r="CJ208" i="24"/>
  <c r="CJ203" i="24"/>
  <c r="CJ187" i="24"/>
  <c r="CJ185" i="24"/>
  <c r="CJ305" i="24"/>
  <c r="ES305" i="24" s="1"/>
  <c r="EV305" i="24" s="1"/>
  <c r="CJ303" i="24"/>
  <c r="ES303" i="24" s="1"/>
  <c r="EV303" i="24" s="1"/>
  <c r="CJ301" i="24"/>
  <c r="ES301" i="24" s="1"/>
  <c r="EV301" i="24" s="1"/>
  <c r="CJ299" i="24"/>
  <c r="ES299" i="24" s="1"/>
  <c r="EV299" i="24" s="1"/>
  <c r="CJ297" i="24"/>
  <c r="ES297" i="24" s="1"/>
  <c r="EV297" i="24" s="1"/>
  <c r="CJ285" i="24"/>
  <c r="ES285" i="24" s="1"/>
  <c r="EV285" i="24" s="1"/>
  <c r="CJ277" i="24"/>
  <c r="ES277" i="24" s="1"/>
  <c r="EV277" i="24" s="1"/>
  <c r="CJ276" i="24"/>
  <c r="ES276" i="24" s="1"/>
  <c r="EV276" i="24" s="1"/>
  <c r="CJ265" i="24"/>
  <c r="ES265" i="24" s="1"/>
  <c r="EV265" i="24" s="1"/>
  <c r="CJ261" i="24"/>
  <c r="ES261" i="24" s="1"/>
  <c r="EV261" i="24" s="1"/>
  <c r="CJ257" i="24"/>
  <c r="ES257" i="24" s="1"/>
  <c r="EV257" i="24" s="1"/>
  <c r="CJ239" i="24"/>
  <c r="ES239" i="24" s="1"/>
  <c r="EV239" i="24" s="1"/>
  <c r="CJ232" i="24"/>
  <c r="ES232" i="24" s="1"/>
  <c r="EV232" i="24" s="1"/>
  <c r="CJ226" i="24"/>
  <c r="ES226" i="24" s="1"/>
  <c r="EV226" i="24" s="1"/>
  <c r="CJ224" i="24"/>
  <c r="ES224" i="24" s="1"/>
  <c r="EV224" i="24" s="1"/>
  <c r="CJ222" i="24"/>
  <c r="ES222" i="24" s="1"/>
  <c r="EV222" i="24" s="1"/>
  <c r="CJ210" i="24"/>
  <c r="CJ197" i="24"/>
  <c r="CJ195" i="24"/>
  <c r="CJ315" i="24"/>
  <c r="ES315" i="24" s="1"/>
  <c r="EV315" i="24" s="1"/>
  <c r="CJ309" i="24"/>
  <c r="ES309" i="24" s="1"/>
  <c r="EV309" i="24" s="1"/>
  <c r="CJ294" i="24"/>
  <c r="ES294" i="24" s="1"/>
  <c r="EV294" i="24" s="1"/>
  <c r="CJ286" i="24"/>
  <c r="ES286" i="24" s="1"/>
  <c r="EV286" i="24" s="1"/>
  <c r="CJ279" i="24"/>
  <c r="ES279" i="24" s="1"/>
  <c r="EV279" i="24" s="1"/>
  <c r="CJ275" i="24"/>
  <c r="ES275" i="24" s="1"/>
  <c r="EV275" i="24" s="1"/>
  <c r="CJ270" i="24"/>
  <c r="ES270" i="24" s="1"/>
  <c r="EV270" i="24" s="1"/>
  <c r="CJ249" i="24"/>
  <c r="ES249" i="24" s="1"/>
  <c r="EV249" i="24" s="1"/>
  <c r="CJ237" i="24"/>
  <c r="ES237" i="24" s="1"/>
  <c r="EV237" i="24" s="1"/>
  <c r="CJ233" i="24"/>
  <c r="ES233" i="24" s="1"/>
  <c r="EV233" i="24" s="1"/>
  <c r="CJ221" i="24"/>
  <c r="ES221" i="24" s="1"/>
  <c r="EV221" i="24" s="1"/>
  <c r="CJ192" i="24"/>
  <c r="CJ191" i="24"/>
  <c r="CJ312" i="24"/>
  <c r="ES312" i="24" s="1"/>
  <c r="EV312" i="24" s="1"/>
  <c r="CJ288" i="24"/>
  <c r="ES288" i="24" s="1"/>
  <c r="EV288" i="24" s="1"/>
  <c r="CJ272" i="24"/>
  <c r="ES272" i="24" s="1"/>
  <c r="EV272" i="24" s="1"/>
  <c r="CJ271" i="24"/>
  <c r="ES271" i="24" s="1"/>
  <c r="EV271" i="24" s="1"/>
  <c r="CJ267" i="24"/>
  <c r="ES267" i="24" s="1"/>
  <c r="EV267" i="24" s="1"/>
  <c r="CJ263" i="24"/>
  <c r="ES263" i="24" s="1"/>
  <c r="EV263" i="24" s="1"/>
  <c r="CJ240" i="24"/>
  <c r="ES240" i="24" s="1"/>
  <c r="EV240" i="24" s="1"/>
  <c r="CJ235" i="24"/>
  <c r="ES235" i="24" s="1"/>
  <c r="EV235" i="24" s="1"/>
  <c r="CJ230" i="24"/>
  <c r="ES230" i="24" s="1"/>
  <c r="EV230" i="24" s="1"/>
  <c r="CJ220" i="24"/>
  <c r="ES220" i="24" s="1"/>
  <c r="EV220" i="24" s="1"/>
  <c r="CJ207" i="24"/>
  <c r="CJ201" i="24"/>
  <c r="CJ306" i="24"/>
  <c r="ES306" i="24" s="1"/>
  <c r="EV306" i="24" s="1"/>
  <c r="CJ298" i="24"/>
  <c r="ES298" i="24" s="1"/>
  <c r="EV298" i="24" s="1"/>
  <c r="CJ291" i="24"/>
  <c r="ES291" i="24" s="1"/>
  <c r="EV291" i="24" s="1"/>
  <c r="CJ243" i="24"/>
  <c r="ES243" i="24" s="1"/>
  <c r="EV243" i="24" s="1"/>
  <c r="CJ183" i="24"/>
  <c r="CJ181" i="24"/>
  <c r="CJ180" i="24"/>
  <c r="CJ176" i="24"/>
  <c r="CJ171" i="24"/>
  <c r="CJ157" i="24"/>
  <c r="CJ150" i="24"/>
  <c r="CJ143" i="24"/>
  <c r="CJ134" i="24"/>
  <c r="CJ131" i="24"/>
  <c r="CJ125" i="24"/>
  <c r="CJ114" i="24"/>
  <c r="CJ98" i="24"/>
  <c r="CJ83" i="24"/>
  <c r="CJ250" i="24"/>
  <c r="ES250" i="24" s="1"/>
  <c r="EV250" i="24" s="1"/>
  <c r="CJ228" i="24"/>
  <c r="ES228" i="24" s="1"/>
  <c r="EV228" i="24" s="1"/>
  <c r="CJ186" i="24"/>
  <c r="CJ184" i="24"/>
  <c r="CJ178" i="24"/>
  <c r="CJ174" i="24"/>
  <c r="CJ161" i="24"/>
  <c r="CJ153" i="24"/>
  <c r="CJ115" i="24"/>
  <c r="CJ112" i="24"/>
  <c r="CJ105" i="24"/>
  <c r="CJ101" i="24"/>
  <c r="CJ95" i="24"/>
  <c r="CJ310" i="24"/>
  <c r="ES310" i="24" s="1"/>
  <c r="EV310" i="24" s="1"/>
  <c r="CJ307" i="24"/>
  <c r="ES307" i="24" s="1"/>
  <c r="EV307" i="24" s="1"/>
  <c r="CJ209" i="24"/>
  <c r="CJ194" i="24"/>
  <c r="CJ175" i="24"/>
  <c r="CJ169" i="24"/>
  <c r="CJ160" i="24"/>
  <c r="CJ141" i="24"/>
  <c r="CJ138" i="24"/>
  <c r="CJ132" i="24"/>
  <c r="CJ123" i="24"/>
  <c r="CJ116" i="24"/>
  <c r="CJ104" i="24"/>
  <c r="CJ102" i="24"/>
  <c r="CJ100" i="24"/>
  <c r="CJ256" i="24"/>
  <c r="ES256" i="24" s="1"/>
  <c r="EV256" i="24" s="1"/>
  <c r="CJ188" i="24"/>
  <c r="CJ179" i="24"/>
  <c r="CJ177" i="24"/>
  <c r="CJ164" i="24"/>
  <c r="CJ154" i="24"/>
  <c r="CJ147" i="24"/>
  <c r="CJ135" i="24"/>
  <c r="CJ128" i="24"/>
  <c r="CJ124" i="24"/>
  <c r="CJ81" i="24"/>
  <c r="CJ244" i="24"/>
  <c r="ES244" i="24" s="1"/>
  <c r="EV244" i="24" s="1"/>
  <c r="CJ242" i="24"/>
  <c r="ES242" i="24" s="1"/>
  <c r="EV242" i="24" s="1"/>
  <c r="CJ182" i="24"/>
  <c r="CJ173" i="24"/>
  <c r="CJ165" i="24"/>
  <c r="CJ158" i="24"/>
  <c r="CJ151" i="24"/>
  <c r="CJ148" i="24"/>
  <c r="CJ146" i="24"/>
  <c r="CJ133" i="24"/>
  <c r="CJ129" i="24"/>
  <c r="CJ126" i="24"/>
  <c r="CJ121" i="24"/>
  <c r="CJ117" i="24"/>
  <c r="CJ99" i="24"/>
  <c r="CJ264" i="24"/>
  <c r="ES264" i="24" s="1"/>
  <c r="EV264" i="24" s="1"/>
  <c r="CJ217" i="24"/>
  <c r="ES217" i="24" s="1"/>
  <c r="EV217" i="24" s="1"/>
  <c r="CJ172" i="24"/>
  <c r="CJ166" i="24"/>
  <c r="CJ155" i="24"/>
  <c r="CJ144" i="24"/>
  <c r="CJ142" i="24"/>
  <c r="CJ140" i="24"/>
  <c r="CJ139" i="24"/>
  <c r="CJ136" i="24"/>
  <c r="CJ111" i="24"/>
  <c r="CJ82" i="24"/>
  <c r="CJ80" i="24"/>
  <c r="CJ78" i="24"/>
  <c r="CJ74" i="24"/>
  <c r="CJ69" i="24"/>
  <c r="CJ47" i="24"/>
  <c r="CJ40" i="24"/>
  <c r="CJ38" i="24"/>
  <c r="CJ37" i="24"/>
  <c r="CJ33" i="24"/>
  <c r="CJ32" i="24"/>
  <c r="CJ31" i="24"/>
  <c r="CJ266" i="24"/>
  <c r="ES266" i="24" s="1"/>
  <c r="EV266" i="24" s="1"/>
  <c r="CJ258" i="24"/>
  <c r="ES258" i="24" s="1"/>
  <c r="EV258" i="24" s="1"/>
  <c r="CJ234" i="24"/>
  <c r="ES234" i="24" s="1"/>
  <c r="EV234" i="24" s="1"/>
  <c r="CJ193" i="24"/>
  <c r="CJ170" i="24"/>
  <c r="CJ163" i="24"/>
  <c r="CJ159" i="24"/>
  <c r="CJ145" i="24"/>
  <c r="CJ127" i="24"/>
  <c r="CJ120" i="24"/>
  <c r="CJ113" i="24"/>
  <c r="CJ89" i="24"/>
  <c r="CJ88" i="24"/>
  <c r="CJ76" i="24"/>
  <c r="CJ68" i="24"/>
  <c r="CJ218" i="24"/>
  <c r="ES218" i="24" s="1"/>
  <c r="EV218" i="24" s="1"/>
  <c r="CJ168" i="24"/>
  <c r="CJ167" i="24"/>
  <c r="CJ162" i="24"/>
  <c r="CJ156" i="24"/>
  <c r="CJ152" i="24"/>
  <c r="CJ149" i="24"/>
  <c r="CJ137" i="24"/>
  <c r="CJ130" i="24"/>
  <c r="CJ122" i="24"/>
  <c r="CJ119" i="24"/>
  <c r="CJ118" i="24"/>
  <c r="CJ103" i="24"/>
  <c r="CJ97" i="24"/>
  <c r="CJ93" i="24"/>
  <c r="CJ63" i="24"/>
  <c r="CJ44" i="24"/>
  <c r="CJ43" i="24"/>
  <c r="CJ41" i="24"/>
  <c r="CJ70" i="24"/>
  <c r="CJ20" i="24"/>
  <c r="CJ7" i="24"/>
  <c r="CJ90" i="24"/>
  <c r="CJ85" i="24"/>
  <c r="CJ79" i="24"/>
  <c r="CJ71" i="24"/>
  <c r="CJ66" i="24"/>
  <c r="CJ64" i="24"/>
  <c r="CJ60" i="24"/>
  <c r="CJ56" i="24"/>
  <c r="CJ54" i="24"/>
  <c r="CJ51" i="24"/>
  <c r="CJ49" i="24"/>
  <c r="CJ39" i="24"/>
  <c r="CJ36" i="24"/>
  <c r="CJ14" i="24"/>
  <c r="CJ29" i="24"/>
  <c r="CJ19" i="24"/>
  <c r="CJ8" i="24"/>
  <c r="CJ13" i="24"/>
  <c r="CJ96" i="24"/>
  <c r="CJ91" i="24"/>
  <c r="CJ75" i="24"/>
  <c r="CJ73" i="24"/>
  <c r="CJ62" i="24"/>
  <c r="CJ55" i="24"/>
  <c r="CJ25" i="24"/>
  <c r="CJ23" i="24"/>
  <c r="CJ12" i="24"/>
  <c r="CJ11" i="24"/>
  <c r="CJ9" i="24"/>
  <c r="CJ6" i="24"/>
  <c r="CJ58" i="24"/>
  <c r="CJ27" i="24"/>
  <c r="CJ24" i="24"/>
  <c r="CJ35" i="24"/>
  <c r="CJ77" i="24"/>
  <c r="CJ42" i="24"/>
  <c r="CJ21" i="24"/>
  <c r="CJ52" i="24"/>
  <c r="CJ84" i="24"/>
  <c r="CJ67" i="24"/>
  <c r="CJ65" i="24"/>
  <c r="CJ61" i="24"/>
  <c r="CJ59" i="24"/>
  <c r="CJ53" i="24"/>
  <c r="CJ45" i="24"/>
  <c r="CJ18" i="24"/>
  <c r="CJ10" i="24"/>
  <c r="CJ48" i="24"/>
  <c r="CJ16" i="24"/>
  <c r="CJ94" i="24"/>
  <c r="CJ92" i="24"/>
  <c r="CJ87" i="24"/>
  <c r="CJ86" i="24"/>
  <c r="CJ72" i="24"/>
  <c r="CJ57" i="24"/>
  <c r="CJ50" i="24"/>
  <c r="CJ46" i="24"/>
  <c r="CJ28" i="24"/>
  <c r="CJ26" i="24"/>
  <c r="CJ34" i="24"/>
  <c r="CJ15" i="24"/>
  <c r="CJ30" i="24"/>
  <c r="CJ17" i="24"/>
  <c r="CJ22" i="24"/>
  <c r="I3" i="29"/>
  <c r="B222" i="2"/>
  <c r="B281" i="2"/>
  <c r="A28" i="16"/>
  <c r="BQ5" i="25"/>
  <c r="B277" i="2"/>
  <c r="D277" i="2" s="1"/>
  <c r="D34" i="16"/>
  <c r="W64" i="2"/>
  <c r="R66" i="2"/>
  <c r="S29" i="1" s="1"/>
  <c r="R67" i="2"/>
  <c r="B26" i="2"/>
  <c r="I9" i="19"/>
  <c r="I8" i="19"/>
  <c r="I7" i="19"/>
  <c r="I6" i="19"/>
  <c r="B125" i="2"/>
  <c r="B22" i="2"/>
  <c r="F17" i="23"/>
  <c r="J17" i="23" s="1"/>
  <c r="I33" i="23"/>
  <c r="F54" i="23"/>
  <c r="J54" i="23" s="1"/>
  <c r="I9" i="23"/>
  <c r="I70" i="23"/>
  <c r="F32" i="23"/>
  <c r="J32" i="23" s="1"/>
  <c r="F49" i="23"/>
  <c r="G49" i="23" s="1"/>
  <c r="H49" i="23" s="1"/>
  <c r="F103" i="23"/>
  <c r="G103" i="23" s="1"/>
  <c r="H103" i="23" s="1"/>
  <c r="F53" i="23"/>
  <c r="J53" i="23" s="1"/>
  <c r="I16" i="23"/>
  <c r="F46" i="23"/>
  <c r="J46" i="23" s="1"/>
  <c r="I43" i="23"/>
  <c r="I36" i="23"/>
  <c r="F67" i="23"/>
  <c r="G67" i="23" s="1"/>
  <c r="H67" i="23" s="1"/>
  <c r="I59" i="23"/>
  <c r="F30" i="23"/>
  <c r="J30" i="23" s="1"/>
  <c r="F88" i="23"/>
  <c r="G88" i="23" s="1"/>
  <c r="H88" i="23" s="1"/>
  <c r="I78" i="23"/>
  <c r="I27" i="23"/>
  <c r="I75" i="23"/>
  <c r="F73" i="23"/>
  <c r="J73" i="23" s="1"/>
  <c r="F71" i="23"/>
  <c r="J71" i="23" s="1"/>
  <c r="I48" i="23"/>
  <c r="F84" i="23"/>
  <c r="G84" i="23" s="1"/>
  <c r="H84" i="23" s="1"/>
  <c r="F6" i="23"/>
  <c r="J6" i="23" s="1"/>
  <c r="F25" i="23"/>
  <c r="J25" i="23" s="1"/>
  <c r="I23" i="23"/>
  <c r="F60" i="23"/>
  <c r="G60" i="23" s="1"/>
  <c r="H60" i="23" s="1"/>
  <c r="I38" i="23"/>
  <c r="I62" i="23"/>
  <c r="F105" i="23"/>
  <c r="J105" i="23" s="1"/>
  <c r="F94" i="23"/>
  <c r="J94" i="23" s="1"/>
  <c r="I41" i="23"/>
  <c r="F92" i="23"/>
  <c r="J92" i="23" s="1"/>
  <c r="A258" i="2"/>
  <c r="C258" i="2"/>
  <c r="I11" i="23"/>
  <c r="F101" i="23"/>
  <c r="J101" i="23" s="1"/>
  <c r="F20" i="23"/>
  <c r="G20" i="23" s="1"/>
  <c r="H20" i="23" s="1"/>
  <c r="F81" i="23"/>
  <c r="J81" i="23" s="1"/>
  <c r="F14" i="23"/>
  <c r="J14" i="23" s="1"/>
  <c r="F22" i="23"/>
  <c r="J22" i="23" s="1"/>
  <c r="F63" i="23"/>
  <c r="G63" i="23" s="1"/>
  <c r="H63" i="23" s="1"/>
  <c r="I99" i="23"/>
  <c r="F80" i="23"/>
  <c r="J80" i="23" s="1"/>
  <c r="I31" i="23"/>
  <c r="I96" i="23"/>
  <c r="F77" i="23"/>
  <c r="G77" i="23" s="1"/>
  <c r="H77" i="23" s="1"/>
  <c r="I56" i="23"/>
  <c r="I86" i="23"/>
  <c r="I98" i="23"/>
  <c r="H109" i="19"/>
  <c r="H110" i="19"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82" i="2" s="1"/>
  <c r="F270" i="2" s="1"/>
  <c r="G181" i="2"/>
  <c r="F181" i="2"/>
  <c r="E50" i="1" s="1"/>
  <c r="H269" i="2" s="1"/>
  <c r="C48" i="16" s="1"/>
  <c r="I18" i="8"/>
  <c r="J18" i="8" s="1"/>
  <c r="G273" i="2" s="1"/>
  <c r="A276" i="2"/>
  <c r="B276" i="2"/>
  <c r="B257" i="2"/>
  <c r="R76" i="2"/>
  <c r="C34" i="16"/>
  <c r="B167" i="2"/>
  <c r="K71" i="2"/>
  <c r="K72" i="2"/>
  <c r="D257"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56" i="2"/>
  <c r="C257" i="2"/>
  <c r="B258" i="2"/>
  <c r="A259" i="2"/>
  <c r="B262"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W65" i="2" l="1"/>
  <c r="W66" i="2" s="1"/>
  <c r="D54" i="16" s="1"/>
  <c r="B25" i="29"/>
  <c r="B26" i="29" s="1"/>
  <c r="D26" i="29" s="1"/>
  <c r="DC5" i="24"/>
  <c r="N329" i="25"/>
  <c r="L75" i="1" s="1"/>
  <c r="K76" i="1" s="1"/>
  <c r="O329" i="25"/>
  <c r="I25" i="8" s="1"/>
  <c r="J25" i="8" s="1"/>
  <c r="G329" i="24"/>
  <c r="H329" i="24"/>
  <c r="I23" i="8" s="1"/>
  <c r="J23" i="8" s="1"/>
  <c r="CS110" i="25"/>
  <c r="DS110" i="25" s="1"/>
  <c r="B15" i="29"/>
  <c r="B21" i="29" s="1"/>
  <c r="B22" i="29" s="1"/>
  <c r="CU212" i="25"/>
  <c r="CW212" i="25"/>
  <c r="CO212" i="25" s="1"/>
  <c r="CZ212" i="25" s="1"/>
  <c r="CV212" i="25"/>
  <c r="DS212" i="25"/>
  <c r="CY212" i="25"/>
  <c r="CT212" i="25"/>
  <c r="FD212" i="25" s="1"/>
  <c r="G329" i="25"/>
  <c r="I28" i="8"/>
  <c r="EQ266" i="25"/>
  <c r="EU266" i="25" s="1"/>
  <c r="FG266" i="25"/>
  <c r="EQ277" i="25"/>
  <c r="EU277" i="25" s="1"/>
  <c r="FG277" i="25"/>
  <c r="FG233" i="25"/>
  <c r="EQ233" i="25"/>
  <c r="EU233" i="25" s="1"/>
  <c r="EQ285" i="25"/>
  <c r="EU285" i="25" s="1"/>
  <c r="FG285" i="25"/>
  <c r="FG280" i="25"/>
  <c r="EQ280" i="25"/>
  <c r="EU280" i="25" s="1"/>
  <c r="FG243" i="25"/>
  <c r="EQ243" i="25"/>
  <c r="EU243" i="25" s="1"/>
  <c r="EQ244" i="25"/>
  <c r="EU244" i="25" s="1"/>
  <c r="FG244" i="25"/>
  <c r="FG295" i="25"/>
  <c r="EQ295" i="25"/>
  <c r="EU295" i="25" s="1"/>
  <c r="FG242" i="25"/>
  <c r="EQ242" i="25"/>
  <c r="EU242" i="25" s="1"/>
  <c r="EQ307" i="25"/>
  <c r="EU307" i="25" s="1"/>
  <c r="FG307" i="25"/>
  <c r="EQ250" i="25"/>
  <c r="EU250" i="25" s="1"/>
  <c r="FG250" i="25"/>
  <c r="FG284" i="25"/>
  <c r="EQ284" i="25"/>
  <c r="EU284" i="25" s="1"/>
  <c r="EQ298" i="25"/>
  <c r="EU298" i="25" s="1"/>
  <c r="FG298" i="25"/>
  <c r="EQ227" i="25"/>
  <c r="EU227" i="25" s="1"/>
  <c r="FG227" i="25"/>
  <c r="EQ239" i="25"/>
  <c r="EU239" i="25" s="1"/>
  <c r="FG239" i="25"/>
  <c r="EQ287" i="25"/>
  <c r="EU287" i="25" s="1"/>
  <c r="FG287" i="25"/>
  <c r="FG290" i="25"/>
  <c r="EQ290" i="25"/>
  <c r="EU290" i="25" s="1"/>
  <c r="EQ245" i="25"/>
  <c r="EU245" i="25" s="1"/>
  <c r="FG245" i="25"/>
  <c r="EQ252" i="25"/>
  <c r="EU252" i="25" s="1"/>
  <c r="FG252" i="25"/>
  <c r="FG314" i="25"/>
  <c r="EQ314" i="25"/>
  <c r="EU314" i="25" s="1"/>
  <c r="EQ251" i="25"/>
  <c r="EU251" i="25" s="1"/>
  <c r="FG251" i="25"/>
  <c r="FG309" i="25"/>
  <c r="EQ309" i="25"/>
  <c r="EU309" i="25" s="1"/>
  <c r="EQ256" i="25"/>
  <c r="EU256" i="25" s="1"/>
  <c r="FG256" i="25"/>
  <c r="FG313" i="25"/>
  <c r="EQ313" i="25"/>
  <c r="EU313" i="25" s="1"/>
  <c r="FG257" i="25"/>
  <c r="EQ257" i="25"/>
  <c r="EU257" i="25" s="1"/>
  <c r="FG247" i="25"/>
  <c r="EQ247" i="25"/>
  <c r="EU247" i="25" s="1"/>
  <c r="FG308" i="25"/>
  <c r="EQ308" i="25"/>
  <c r="EU308" i="25" s="1"/>
  <c r="EQ292" i="25"/>
  <c r="EU292" i="25" s="1"/>
  <c r="FG292" i="25"/>
  <c r="EQ246" i="25"/>
  <c r="EU246" i="25" s="1"/>
  <c r="FG246" i="25"/>
  <c r="FG253" i="25"/>
  <c r="EQ253" i="25"/>
  <c r="EU253" i="25" s="1"/>
  <c r="EQ254" i="25"/>
  <c r="EU254" i="25" s="1"/>
  <c r="FG254" i="25"/>
  <c r="FG259" i="25"/>
  <c r="EQ259" i="25"/>
  <c r="EU259" i="25" s="1"/>
  <c r="FG258" i="25"/>
  <c r="EQ258" i="25"/>
  <c r="EU258" i="25" s="1"/>
  <c r="EQ293" i="25"/>
  <c r="EU293" i="25" s="1"/>
  <c r="FG293" i="25"/>
  <c r="EQ224" i="25"/>
  <c r="EU224" i="25" s="1"/>
  <c r="FG224" i="25"/>
  <c r="FG222" i="25"/>
  <c r="EQ222" i="25"/>
  <c r="EU222" i="25" s="1"/>
  <c r="EQ270" i="25"/>
  <c r="EU270" i="25" s="1"/>
  <c r="FG270" i="25"/>
  <c r="FG229" i="25"/>
  <c r="EQ229" i="25"/>
  <c r="EU229" i="25" s="1"/>
  <c r="EQ296" i="25"/>
  <c r="EU296" i="25" s="1"/>
  <c r="FG296" i="25"/>
  <c r="EQ301" i="25"/>
  <c r="EU301" i="25" s="1"/>
  <c r="FG301" i="25"/>
  <c r="EQ260" i="25"/>
  <c r="EU260" i="25" s="1"/>
  <c r="FG260" i="25"/>
  <c r="EQ255" i="25"/>
  <c r="EU255" i="25" s="1"/>
  <c r="FG255" i="25"/>
  <c r="EQ263" i="25"/>
  <c r="EU263" i="25" s="1"/>
  <c r="FG263" i="25"/>
  <c r="EQ265" i="25"/>
  <c r="EU265" i="25" s="1"/>
  <c r="FG265" i="25"/>
  <c r="FG304" i="25"/>
  <c r="EQ304" i="25"/>
  <c r="EU304" i="25" s="1"/>
  <c r="FG264" i="25"/>
  <c r="EQ264" i="25"/>
  <c r="EU264" i="25" s="1"/>
  <c r="EQ249" i="25"/>
  <c r="EU249" i="25" s="1"/>
  <c r="FG249" i="25"/>
  <c r="FG273" i="25"/>
  <c r="EQ273" i="25"/>
  <c r="EU273" i="25" s="1"/>
  <c r="FG248" i="25"/>
  <c r="EQ248" i="25"/>
  <c r="EU248" i="25" s="1"/>
  <c r="EQ297" i="25"/>
  <c r="EU297" i="25" s="1"/>
  <c r="FG297" i="25"/>
  <c r="EQ221" i="25"/>
  <c r="EU221" i="25" s="1"/>
  <c r="FG221" i="25"/>
  <c r="EQ303" i="25"/>
  <c r="EU303" i="25" s="1"/>
  <c r="FG303" i="25"/>
  <c r="EQ268" i="25"/>
  <c r="EU268" i="25" s="1"/>
  <c r="FG268" i="25"/>
  <c r="FG218" i="25"/>
  <c r="EQ218" i="25"/>
  <c r="EU218" i="25" s="1"/>
  <c r="EQ267" i="25"/>
  <c r="EU267" i="25" s="1"/>
  <c r="FG267" i="25"/>
  <c r="EQ278" i="25"/>
  <c r="EU278" i="25" s="1"/>
  <c r="FG278" i="25"/>
  <c r="EQ286" i="25"/>
  <c r="EU286" i="25" s="1"/>
  <c r="FG286" i="25"/>
  <c r="EQ312" i="25"/>
  <c r="EU312" i="25" s="1"/>
  <c r="FG312" i="25"/>
  <c r="EQ282" i="25"/>
  <c r="EU282" i="25" s="1"/>
  <c r="FG282" i="25"/>
  <c r="EQ291" i="25"/>
  <c r="EU291" i="25" s="1"/>
  <c r="FG291" i="25"/>
  <c r="EQ217" i="25"/>
  <c r="EU217" i="25" s="1"/>
  <c r="FG217" i="25"/>
  <c r="FG274" i="25"/>
  <c r="EQ274" i="25"/>
  <c r="EU274" i="25" s="1"/>
  <c r="EQ261" i="25"/>
  <c r="EU261" i="25" s="1"/>
  <c r="FG261" i="25"/>
  <c r="EQ311" i="25"/>
  <c r="EU311" i="25" s="1"/>
  <c r="FG311" i="25"/>
  <c r="FG223" i="25"/>
  <c r="EQ223" i="25"/>
  <c r="EU223" i="25" s="1"/>
  <c r="EQ310" i="25"/>
  <c r="EU310" i="25" s="1"/>
  <c r="FG310" i="25"/>
  <c r="FG279" i="25"/>
  <c r="EQ279" i="25"/>
  <c r="EU279" i="25" s="1"/>
  <c r="EQ231" i="25"/>
  <c r="EU231" i="25" s="1"/>
  <c r="FG231" i="25"/>
  <c r="EQ271" i="25"/>
  <c r="EU271" i="25" s="1"/>
  <c r="FG271" i="25"/>
  <c r="EQ220" i="25"/>
  <c r="EU220" i="25" s="1"/>
  <c r="FG220" i="25"/>
  <c r="FG299" i="25"/>
  <c r="EQ299" i="25"/>
  <c r="EU299" i="25" s="1"/>
  <c r="FG305" i="25"/>
  <c r="EQ305" i="25"/>
  <c r="EU305" i="25" s="1"/>
  <c r="EQ234" i="25"/>
  <c r="EU234" i="25" s="1"/>
  <c r="FG234" i="25"/>
  <c r="EQ316" i="25"/>
  <c r="EU316" i="25" s="1"/>
  <c r="FG316" i="25"/>
  <c r="EQ288" i="25"/>
  <c r="EU288" i="25" s="1"/>
  <c r="FG288" i="25"/>
  <c r="EQ302" i="25"/>
  <c r="EU302" i="25" s="1"/>
  <c r="FG302" i="25"/>
  <c r="FG219" i="25"/>
  <c r="EQ219" i="25"/>
  <c r="EU219" i="25" s="1"/>
  <c r="FG281" i="25"/>
  <c r="EQ281" i="25"/>
  <c r="EU281" i="25" s="1"/>
  <c r="FG269" i="25"/>
  <c r="EQ269" i="25"/>
  <c r="EU269" i="25" s="1"/>
  <c r="EQ315" i="25"/>
  <c r="EU315" i="25" s="1"/>
  <c r="FG315" i="25"/>
  <c r="EQ232" i="25"/>
  <c r="EU232" i="25" s="1"/>
  <c r="FG232" i="25"/>
  <c r="FG228" i="25"/>
  <c r="EQ228" i="25"/>
  <c r="EU228" i="25" s="1"/>
  <c r="FG289" i="25"/>
  <c r="EQ289" i="25"/>
  <c r="EU289" i="25" s="1"/>
  <c r="EQ236" i="25"/>
  <c r="EU236" i="25" s="1"/>
  <c r="FG236" i="25"/>
  <c r="EQ272" i="25"/>
  <c r="EU272" i="25" s="1"/>
  <c r="FG272" i="25"/>
  <c r="EQ225" i="25"/>
  <c r="EU225" i="25" s="1"/>
  <c r="FG225" i="25"/>
  <c r="FG300" i="25"/>
  <c r="EQ300" i="25"/>
  <c r="EU300" i="25" s="1"/>
  <c r="EQ240" i="25"/>
  <c r="EU240" i="25" s="1"/>
  <c r="FG240" i="25"/>
  <c r="EQ230" i="25"/>
  <c r="EU230" i="25" s="1"/>
  <c r="FG230" i="25"/>
  <c r="EQ262" i="25"/>
  <c r="EU262" i="25" s="1"/>
  <c r="FG262" i="25"/>
  <c r="EQ226" i="25"/>
  <c r="EU226" i="25" s="1"/>
  <c r="FG226" i="25"/>
  <c r="EQ283" i="25"/>
  <c r="EU283" i="25" s="1"/>
  <c r="FG283" i="25"/>
  <c r="EQ276" i="25"/>
  <c r="EU276" i="25" s="1"/>
  <c r="FG276" i="25"/>
  <c r="FG238" i="25"/>
  <c r="EQ238" i="25"/>
  <c r="EU238" i="25" s="1"/>
  <c r="FG237" i="25"/>
  <c r="EQ237" i="25"/>
  <c r="EU237" i="25" s="1"/>
  <c r="FG294" i="25"/>
  <c r="EQ294" i="25"/>
  <c r="EU294" i="25" s="1"/>
  <c r="EQ241" i="25"/>
  <c r="EU241" i="25" s="1"/>
  <c r="FG241" i="25"/>
  <c r="FG275" i="25"/>
  <c r="EQ275" i="25"/>
  <c r="EU275" i="25" s="1"/>
  <c r="EQ235" i="25"/>
  <c r="EU235" i="25" s="1"/>
  <c r="FG235" i="25"/>
  <c r="EQ306" i="25"/>
  <c r="EU306" i="25" s="1"/>
  <c r="FG306" i="25"/>
  <c r="CU112" i="25"/>
  <c r="CV112" i="25"/>
  <c r="CL112" i="25"/>
  <c r="DP112" i="25"/>
  <c r="EQ112" i="25"/>
  <c r="EU112" i="25" s="1"/>
  <c r="FG112" i="25"/>
  <c r="CX112" i="25"/>
  <c r="CW112" i="25"/>
  <c r="CO112" i="25" s="1"/>
  <c r="B41" i="2"/>
  <c r="B110" i="2" s="1"/>
  <c r="CT112" i="25"/>
  <c r="CY110" i="24"/>
  <c r="DA110" i="24" s="1"/>
  <c r="CT110" i="24"/>
  <c r="CU110" i="24"/>
  <c r="CU5" i="24"/>
  <c r="CV5" i="24" s="1"/>
  <c r="CT5" i="24"/>
  <c r="CS216" i="25"/>
  <c r="DS216" i="25" s="1"/>
  <c r="CS110" i="24"/>
  <c r="FD110" i="24" s="1"/>
  <c r="DM110" i="24"/>
  <c r="DB110" i="24"/>
  <c r="DE110" i="24" s="1"/>
  <c r="DF110" i="24" s="1"/>
  <c r="DG110" i="24" s="1"/>
  <c r="DI110" i="24"/>
  <c r="DB5" i="24"/>
  <c r="DE5" i="24" s="1"/>
  <c r="DF5" i="24" s="1"/>
  <c r="DG5" i="24" s="1"/>
  <c r="DM5" i="24"/>
  <c r="DI5" i="24"/>
  <c r="CY216" i="24"/>
  <c r="CT216" i="24"/>
  <c r="DT216" i="24"/>
  <c r="CU216" i="24"/>
  <c r="CS216" i="24"/>
  <c r="FD216" i="24" s="1"/>
  <c r="CN216" i="24"/>
  <c r="CW113" i="25"/>
  <c r="CO113" i="25" s="1"/>
  <c r="CU113" i="25"/>
  <c r="CV113" i="25"/>
  <c r="FG20" i="25"/>
  <c r="DP20" i="25"/>
  <c r="EQ20" i="25"/>
  <c r="EU20" i="25" s="1"/>
  <c r="CL20" i="25"/>
  <c r="CX20" i="25"/>
  <c r="EQ8" i="25"/>
  <c r="EU8" i="25" s="1"/>
  <c r="DP8" i="25"/>
  <c r="FG8" i="25"/>
  <c r="CX8" i="25"/>
  <c r="CL8" i="25"/>
  <c r="EQ208" i="25"/>
  <c r="EU208" i="25" s="1"/>
  <c r="CL208" i="25"/>
  <c r="CX208" i="25"/>
  <c r="DP208" i="25"/>
  <c r="FG208" i="25"/>
  <c r="FG157" i="25"/>
  <c r="CL157" i="25"/>
  <c r="EQ157" i="25"/>
  <c r="EU157" i="25" s="1"/>
  <c r="DP157" i="25"/>
  <c r="CX157" i="25"/>
  <c r="CY157" i="25" s="1"/>
  <c r="DP15" i="25"/>
  <c r="CL15" i="25"/>
  <c r="EQ15" i="25"/>
  <c r="EU15" i="25" s="1"/>
  <c r="FG15" i="25"/>
  <c r="CX15" i="25"/>
  <c r="EQ117" i="25"/>
  <c r="EU117" i="25" s="1"/>
  <c r="CX117" i="25"/>
  <c r="DP117" i="25"/>
  <c r="CL117" i="25"/>
  <c r="FG117" i="25"/>
  <c r="EQ25" i="25"/>
  <c r="EU25" i="25" s="1"/>
  <c r="CL25" i="25"/>
  <c r="CX25" i="25"/>
  <c r="FG25" i="25"/>
  <c r="DP25" i="25"/>
  <c r="EQ59" i="25"/>
  <c r="EU59" i="25" s="1"/>
  <c r="DP59" i="25"/>
  <c r="CL59" i="25"/>
  <c r="FG59" i="25"/>
  <c r="CX59" i="25"/>
  <c r="EQ43" i="25"/>
  <c r="EU43" i="25" s="1"/>
  <c r="CL43" i="25"/>
  <c r="FG43" i="25"/>
  <c r="DP43" i="25"/>
  <c r="CX43" i="25"/>
  <c r="FG22" i="25"/>
  <c r="CX22" i="25"/>
  <c r="DP22" i="25"/>
  <c r="EQ22" i="25"/>
  <c r="EU22" i="25" s="1"/>
  <c r="CL22" i="25"/>
  <c r="EQ119" i="25"/>
  <c r="EU119" i="25" s="1"/>
  <c r="FG119" i="25"/>
  <c r="CX119" i="25"/>
  <c r="DP119" i="25"/>
  <c r="CL119" i="25"/>
  <c r="CL89" i="25"/>
  <c r="FG89" i="25"/>
  <c r="EQ89" i="25"/>
  <c r="EU89" i="25" s="1"/>
  <c r="DP89" i="25"/>
  <c r="CX89" i="25"/>
  <c r="DP262" i="25"/>
  <c r="CL262" i="25"/>
  <c r="CX262" i="25"/>
  <c r="CL74" i="25"/>
  <c r="DP74" i="25"/>
  <c r="EQ74" i="25"/>
  <c r="EU74" i="25" s="1"/>
  <c r="FG74" i="25"/>
  <c r="CX74" i="25"/>
  <c r="CL33" i="25"/>
  <c r="EQ33" i="25"/>
  <c r="EU33" i="25" s="1"/>
  <c r="FG33" i="25"/>
  <c r="DP33" i="25"/>
  <c r="CX33" i="25"/>
  <c r="DP79" i="25"/>
  <c r="EQ79" i="25"/>
  <c r="EU79" i="25" s="1"/>
  <c r="CX79" i="25"/>
  <c r="FG79" i="25"/>
  <c r="CL79" i="25"/>
  <c r="CX125" i="25"/>
  <c r="DP125" i="25"/>
  <c r="CL125" i="25"/>
  <c r="EQ125" i="25"/>
  <c r="EU125" i="25" s="1"/>
  <c r="FG125" i="25"/>
  <c r="FG85" i="25"/>
  <c r="CL85" i="25"/>
  <c r="DP85" i="25"/>
  <c r="EQ85" i="25"/>
  <c r="EU85" i="25" s="1"/>
  <c r="CX85" i="25"/>
  <c r="EQ145" i="25"/>
  <c r="EU145" i="25" s="1"/>
  <c r="FG145" i="25"/>
  <c r="CL145" i="25"/>
  <c r="DP145" i="25"/>
  <c r="CX145" i="25"/>
  <c r="EQ57" i="25"/>
  <c r="EU57" i="25" s="1"/>
  <c r="DP57" i="25"/>
  <c r="CX57" i="25"/>
  <c r="CL57" i="25"/>
  <c r="FG57" i="25"/>
  <c r="EQ129" i="25"/>
  <c r="EU129" i="25" s="1"/>
  <c r="FG129" i="25"/>
  <c r="CL129" i="25"/>
  <c r="DP129" i="25"/>
  <c r="CX129" i="25"/>
  <c r="FG143" i="25"/>
  <c r="CL143" i="25"/>
  <c r="DP143" i="25"/>
  <c r="CX143" i="25"/>
  <c r="EQ143" i="25"/>
  <c r="EU143" i="25" s="1"/>
  <c r="EQ148" i="25"/>
  <c r="EU148" i="25" s="1"/>
  <c r="FG148" i="25"/>
  <c r="DP148" i="25"/>
  <c r="CL148" i="25"/>
  <c r="CX148" i="25"/>
  <c r="DP226" i="25"/>
  <c r="CL226" i="25"/>
  <c r="CX226" i="25"/>
  <c r="CY226" i="25" s="1"/>
  <c r="DP283" i="25"/>
  <c r="CL283" i="25"/>
  <c r="CX283" i="25"/>
  <c r="EQ185" i="25"/>
  <c r="EU185" i="25" s="1"/>
  <c r="FG185" i="25"/>
  <c r="CL185" i="25"/>
  <c r="DP185" i="25"/>
  <c r="CX185" i="25"/>
  <c r="CL276" i="25"/>
  <c r="CX276" i="25"/>
  <c r="DP276" i="25"/>
  <c r="EQ146" i="25"/>
  <c r="EU146" i="25" s="1"/>
  <c r="FG146" i="25"/>
  <c r="CL146" i="25"/>
  <c r="DP146" i="25"/>
  <c r="CX146" i="25"/>
  <c r="CL238" i="25"/>
  <c r="DP238" i="25"/>
  <c r="CX238" i="25"/>
  <c r="CY238" i="25" s="1"/>
  <c r="CL161" i="25"/>
  <c r="FG161" i="25"/>
  <c r="DP161" i="25"/>
  <c r="EQ161" i="25"/>
  <c r="EU161" i="25" s="1"/>
  <c r="CX161" i="25"/>
  <c r="CL237" i="25"/>
  <c r="CX237" i="25"/>
  <c r="DP237" i="25"/>
  <c r="DP294" i="25"/>
  <c r="CX294" i="25"/>
  <c r="CL294" i="25"/>
  <c r="EQ180" i="25"/>
  <c r="EU180" i="25" s="1"/>
  <c r="DP180" i="25"/>
  <c r="CX180" i="25"/>
  <c r="FG180" i="25"/>
  <c r="CL180" i="25"/>
  <c r="CL241" i="25"/>
  <c r="CX241" i="25"/>
  <c r="DP241" i="25"/>
  <c r="CL275" i="25"/>
  <c r="DP275" i="25"/>
  <c r="CX275" i="25"/>
  <c r="FG194" i="25"/>
  <c r="CX194" i="25"/>
  <c r="DP194" i="25"/>
  <c r="CL194" i="25"/>
  <c r="EQ194" i="25"/>
  <c r="EU194" i="25" s="1"/>
  <c r="CX235" i="25"/>
  <c r="CL235" i="25"/>
  <c r="DP235" i="25"/>
  <c r="DP306" i="25"/>
  <c r="CL306" i="25"/>
  <c r="CX306" i="25"/>
  <c r="CU12" i="25"/>
  <c r="CW12" i="25"/>
  <c r="CO12" i="25" s="1"/>
  <c r="CV12" i="25"/>
  <c r="CV8" i="25"/>
  <c r="CW8" i="25"/>
  <c r="CO8" i="25" s="1"/>
  <c r="CU8" i="25"/>
  <c r="CW63" i="25"/>
  <c r="CO63" i="25" s="1"/>
  <c r="CU63" i="25"/>
  <c r="CV63" i="25"/>
  <c r="CV225" i="25"/>
  <c r="CU225" i="25"/>
  <c r="CW225" i="25"/>
  <c r="CO225" i="25" s="1"/>
  <c r="CV230" i="25"/>
  <c r="CU230" i="25"/>
  <c r="CW230" i="25"/>
  <c r="CO230" i="25" s="1"/>
  <c r="CW222" i="25"/>
  <c r="CO222" i="25" s="1"/>
  <c r="CU222" i="25"/>
  <c r="CV222" i="25"/>
  <c r="CU261" i="25"/>
  <c r="CV261" i="25"/>
  <c r="CW261" i="25"/>
  <c r="CO261" i="25" s="1"/>
  <c r="CW74" i="25"/>
  <c r="CO74" i="25" s="1"/>
  <c r="CV74" i="25"/>
  <c r="CU74" i="25"/>
  <c r="CV33" i="25"/>
  <c r="CU33" i="25"/>
  <c r="CW33" i="25"/>
  <c r="CO33" i="25" s="1"/>
  <c r="CU291" i="25"/>
  <c r="CV291" i="25"/>
  <c r="CW291" i="25"/>
  <c r="CO291" i="25" s="1"/>
  <c r="CW238" i="25"/>
  <c r="CO238" i="25" s="1"/>
  <c r="CV238" i="25"/>
  <c r="CU238" i="25"/>
  <c r="CU285" i="25"/>
  <c r="CW285" i="25"/>
  <c r="CO285" i="25" s="1"/>
  <c r="CV285" i="25"/>
  <c r="CU309" i="25"/>
  <c r="CW309" i="25"/>
  <c r="CO309" i="25" s="1"/>
  <c r="CV309" i="25"/>
  <c r="CV273" i="25"/>
  <c r="CW273" i="25"/>
  <c r="CO273" i="25" s="1"/>
  <c r="CU273" i="25"/>
  <c r="CW253" i="25"/>
  <c r="CO253" i="25" s="1"/>
  <c r="CU253" i="25"/>
  <c r="CV253" i="25"/>
  <c r="CV223" i="25"/>
  <c r="CU223" i="25"/>
  <c r="CW223" i="25"/>
  <c r="CO223" i="25" s="1"/>
  <c r="CU197" i="25"/>
  <c r="CW197" i="25"/>
  <c r="CO197" i="25" s="1"/>
  <c r="CV197" i="25"/>
  <c r="CW189" i="25"/>
  <c r="CO189" i="25" s="1"/>
  <c r="CV189" i="25"/>
  <c r="CU189" i="25"/>
  <c r="CU297" i="25"/>
  <c r="CW297" i="25"/>
  <c r="CO297" i="25" s="1"/>
  <c r="CV297" i="25"/>
  <c r="CV296" i="25"/>
  <c r="CU296" i="25"/>
  <c r="CW296" i="25"/>
  <c r="CO296" i="25" s="1"/>
  <c r="CW219" i="25"/>
  <c r="CO219" i="25" s="1"/>
  <c r="CV219" i="25"/>
  <c r="CU219" i="25"/>
  <c r="CW140" i="25"/>
  <c r="CO140" i="25" s="1"/>
  <c r="CV140" i="25"/>
  <c r="CU140" i="25"/>
  <c r="CU54" i="25"/>
  <c r="CW54" i="25"/>
  <c r="CO54" i="25" s="1"/>
  <c r="CV54" i="25"/>
  <c r="CV245" i="25"/>
  <c r="CU245" i="25"/>
  <c r="CW245" i="25"/>
  <c r="CO245" i="25" s="1"/>
  <c r="CW133" i="25"/>
  <c r="CO133" i="25" s="1"/>
  <c r="CU133" i="25"/>
  <c r="CV133" i="25"/>
  <c r="CW123" i="25"/>
  <c r="CO123" i="25" s="1"/>
  <c r="CV123" i="25"/>
  <c r="CU123" i="25"/>
  <c r="CW73" i="25"/>
  <c r="CO73" i="25" s="1"/>
  <c r="CV73" i="25"/>
  <c r="CU73" i="25"/>
  <c r="CW125" i="25"/>
  <c r="CO125" i="25" s="1"/>
  <c r="CV125" i="25"/>
  <c r="CU125" i="25"/>
  <c r="CU118" i="25"/>
  <c r="CW118" i="25"/>
  <c r="CO118" i="25" s="1"/>
  <c r="CV118" i="25"/>
  <c r="CW115" i="25"/>
  <c r="CO115" i="25" s="1"/>
  <c r="CV115" i="25"/>
  <c r="CU115" i="25"/>
  <c r="CW49" i="25"/>
  <c r="CO49" i="25" s="1"/>
  <c r="CU49" i="25"/>
  <c r="CV49" i="25"/>
  <c r="CV204" i="25"/>
  <c r="CU204" i="25"/>
  <c r="CW204" i="25"/>
  <c r="CO204" i="25" s="1"/>
  <c r="CW182" i="25"/>
  <c r="CO182" i="25" s="1"/>
  <c r="CU182" i="25"/>
  <c r="CV182" i="25"/>
  <c r="CW178" i="25"/>
  <c r="CO178" i="25" s="1"/>
  <c r="CU178" i="25"/>
  <c r="CV178" i="25"/>
  <c r="CV192" i="25"/>
  <c r="CW192" i="25"/>
  <c r="CO192" i="25" s="1"/>
  <c r="CU192" i="25"/>
  <c r="CW258" i="25"/>
  <c r="CO258" i="25" s="1"/>
  <c r="CV258" i="25"/>
  <c r="CU258" i="25"/>
  <c r="FG154" i="25"/>
  <c r="CL154" i="25"/>
  <c r="EQ154" i="25"/>
  <c r="EU154" i="25" s="1"/>
  <c r="DP154" i="25"/>
  <c r="CX154" i="25"/>
  <c r="CY154" i="25" s="1"/>
  <c r="DP305" i="25"/>
  <c r="CX305" i="25"/>
  <c r="CL305" i="25"/>
  <c r="FG68" i="25"/>
  <c r="CL68" i="25"/>
  <c r="DP68" i="25"/>
  <c r="EQ68" i="25"/>
  <c r="EU68" i="25" s="1"/>
  <c r="CX68" i="25"/>
  <c r="DP64" i="25"/>
  <c r="EQ64" i="25"/>
  <c r="EU64" i="25" s="1"/>
  <c r="FG64" i="25"/>
  <c r="CL64" i="25"/>
  <c r="CX64" i="25"/>
  <c r="EQ128" i="25"/>
  <c r="EU128" i="25" s="1"/>
  <c r="FG128" i="25"/>
  <c r="CL128" i="25"/>
  <c r="DP128" i="25"/>
  <c r="CX128" i="25"/>
  <c r="CL232" i="25"/>
  <c r="DP232" i="25"/>
  <c r="CX232" i="25"/>
  <c r="EQ179" i="25"/>
  <c r="EU179" i="25" s="1"/>
  <c r="DP179" i="25"/>
  <c r="CX179" i="25"/>
  <c r="FG179" i="25"/>
  <c r="CL179" i="25"/>
  <c r="CU250" i="25"/>
  <c r="CW250" i="25"/>
  <c r="CO250" i="25" s="1"/>
  <c r="CV250" i="25"/>
  <c r="CU94" i="25"/>
  <c r="CW94" i="25"/>
  <c r="CO94" i="25" s="1"/>
  <c r="CV94" i="25"/>
  <c r="CW55" i="25"/>
  <c r="CO55" i="25" s="1"/>
  <c r="CV55" i="25"/>
  <c r="CU55" i="25"/>
  <c r="CU260" i="25"/>
  <c r="CV260" i="25"/>
  <c r="CW260" i="25"/>
  <c r="CO260" i="25" s="1"/>
  <c r="CU124" i="25"/>
  <c r="CW124" i="25"/>
  <c r="CO124" i="25" s="1"/>
  <c r="CV124" i="25"/>
  <c r="CW145" i="25"/>
  <c r="CO145" i="25" s="1"/>
  <c r="CV145" i="25"/>
  <c r="CU145" i="25"/>
  <c r="CW62" i="25"/>
  <c r="CO62" i="25" s="1"/>
  <c r="CU62" i="25"/>
  <c r="CV62" i="25"/>
  <c r="CW139" i="25"/>
  <c r="CO139" i="25" s="1"/>
  <c r="CV139" i="25"/>
  <c r="CU139" i="25"/>
  <c r="CU315" i="25"/>
  <c r="CV315" i="25"/>
  <c r="CW315" i="25"/>
  <c r="CO315" i="25" s="1"/>
  <c r="CW69" i="25"/>
  <c r="CO69" i="25" s="1"/>
  <c r="CV69" i="25"/>
  <c r="CU69" i="25"/>
  <c r="CW177" i="25"/>
  <c r="CO177" i="25" s="1"/>
  <c r="CU177" i="25"/>
  <c r="CV177" i="25"/>
  <c r="FG38" i="25"/>
  <c r="CX38" i="25"/>
  <c r="DP38" i="25"/>
  <c r="EQ38" i="25"/>
  <c r="EU38" i="25" s="1"/>
  <c r="CL38" i="25"/>
  <c r="EQ37" i="25"/>
  <c r="EU37" i="25" s="1"/>
  <c r="CL37" i="25"/>
  <c r="CX37" i="25"/>
  <c r="DP37" i="25"/>
  <c r="FG37" i="25"/>
  <c r="FG14" i="25"/>
  <c r="CX14" i="25"/>
  <c r="CL14" i="25"/>
  <c r="EQ14" i="25"/>
  <c r="EU14" i="25" s="1"/>
  <c r="DP14" i="25"/>
  <c r="EQ176" i="25"/>
  <c r="EU176" i="25" s="1"/>
  <c r="DP176" i="25"/>
  <c r="FG176" i="25"/>
  <c r="CX176" i="25"/>
  <c r="CL176" i="25"/>
  <c r="FG17" i="25"/>
  <c r="CL17" i="25"/>
  <c r="EQ17" i="25"/>
  <c r="EU17" i="25" s="1"/>
  <c r="CX17" i="25"/>
  <c r="DP17" i="25"/>
  <c r="FG175" i="25"/>
  <c r="CX175" i="25"/>
  <c r="DP175" i="25"/>
  <c r="CL175" i="25"/>
  <c r="EQ175" i="25"/>
  <c r="EU175" i="25" s="1"/>
  <c r="EQ27" i="25"/>
  <c r="EU27" i="25" s="1"/>
  <c r="DP27" i="25"/>
  <c r="CL27" i="25"/>
  <c r="FG27" i="25"/>
  <c r="CX27" i="25"/>
  <c r="DP82" i="25"/>
  <c r="CL82" i="25"/>
  <c r="FG82" i="25"/>
  <c r="EQ82" i="25"/>
  <c r="EU82" i="25" s="1"/>
  <c r="CX82" i="25"/>
  <c r="CY82" i="25" s="1"/>
  <c r="CL55" i="25"/>
  <c r="FG55" i="25"/>
  <c r="EQ55" i="25"/>
  <c r="EU55" i="25" s="1"/>
  <c r="DP55" i="25"/>
  <c r="CX55" i="25"/>
  <c r="DP47" i="25"/>
  <c r="FG47" i="25"/>
  <c r="EQ47" i="25"/>
  <c r="EU47" i="25" s="1"/>
  <c r="CL47" i="25"/>
  <c r="CX47" i="25"/>
  <c r="CX266" i="25"/>
  <c r="DP266" i="25"/>
  <c r="CL266" i="25"/>
  <c r="DP90" i="25"/>
  <c r="CL90" i="25"/>
  <c r="CX90" i="25"/>
  <c r="EQ90" i="25"/>
  <c r="EU90" i="25" s="1"/>
  <c r="FG90" i="25"/>
  <c r="CX277" i="25"/>
  <c r="CL277" i="25"/>
  <c r="DP277" i="25"/>
  <c r="CL87" i="25"/>
  <c r="EQ87" i="25"/>
  <c r="EU87" i="25" s="1"/>
  <c r="CX87" i="25"/>
  <c r="FG87" i="25"/>
  <c r="DP87" i="25"/>
  <c r="EQ34" i="25"/>
  <c r="EU34" i="25" s="1"/>
  <c r="CX34" i="25"/>
  <c r="DP34" i="25"/>
  <c r="CL34" i="25"/>
  <c r="FG34" i="25"/>
  <c r="CL86" i="25"/>
  <c r="DP86" i="25"/>
  <c r="CX86" i="25"/>
  <c r="FG86" i="25"/>
  <c r="EQ86" i="25"/>
  <c r="EU86" i="25" s="1"/>
  <c r="DP126" i="25"/>
  <c r="CL126" i="25"/>
  <c r="EQ126" i="25"/>
  <c r="EU126" i="25" s="1"/>
  <c r="FG126" i="25"/>
  <c r="CX126" i="25"/>
  <c r="EQ100" i="25"/>
  <c r="EU100" i="25" s="1"/>
  <c r="DP100" i="25"/>
  <c r="CL100" i="25"/>
  <c r="CX100" i="25"/>
  <c r="FG100" i="25"/>
  <c r="EQ177" i="25"/>
  <c r="EU177" i="25" s="1"/>
  <c r="CL177" i="25"/>
  <c r="CX177" i="25"/>
  <c r="FG177" i="25"/>
  <c r="DP177" i="25"/>
  <c r="EQ65" i="25"/>
  <c r="EU65" i="25" s="1"/>
  <c r="DP65" i="25"/>
  <c r="CL65" i="25"/>
  <c r="CX65" i="25"/>
  <c r="FG65" i="25"/>
  <c r="EQ130" i="25"/>
  <c r="EU130" i="25" s="1"/>
  <c r="DP130" i="25"/>
  <c r="CX130" i="25"/>
  <c r="FG130" i="25"/>
  <c r="CL130" i="25"/>
  <c r="FG151" i="25"/>
  <c r="CL151" i="25"/>
  <c r="CX151" i="25"/>
  <c r="DP151" i="25"/>
  <c r="EQ151" i="25"/>
  <c r="EU151" i="25" s="1"/>
  <c r="FG153" i="25"/>
  <c r="CL153" i="25"/>
  <c r="EQ153" i="25"/>
  <c r="EU153" i="25" s="1"/>
  <c r="DP153" i="25"/>
  <c r="CX153" i="25"/>
  <c r="CX233" i="25"/>
  <c r="DP233" i="25"/>
  <c r="CL233" i="25"/>
  <c r="CL285" i="25"/>
  <c r="CX285" i="25"/>
  <c r="DP285" i="25"/>
  <c r="FG188" i="25"/>
  <c r="DP188" i="25"/>
  <c r="EQ188" i="25"/>
  <c r="EU188" i="25" s="1"/>
  <c r="CL188" i="25"/>
  <c r="CX188" i="25"/>
  <c r="CL280" i="25"/>
  <c r="DP280" i="25"/>
  <c r="CX280" i="25"/>
  <c r="CL156" i="25"/>
  <c r="FG156" i="25"/>
  <c r="DP156" i="25"/>
  <c r="EQ156" i="25"/>
  <c r="EU156" i="25" s="1"/>
  <c r="CX156" i="25"/>
  <c r="CL243" i="25"/>
  <c r="DP243" i="25"/>
  <c r="CX243" i="25"/>
  <c r="FG164" i="25"/>
  <c r="CL164" i="25"/>
  <c r="EQ164" i="25"/>
  <c r="EU164" i="25" s="1"/>
  <c r="DP164" i="25"/>
  <c r="CX164" i="25"/>
  <c r="CY164" i="25" s="1"/>
  <c r="CL244" i="25"/>
  <c r="DP244" i="25"/>
  <c r="CX244" i="25"/>
  <c r="CL295" i="25"/>
  <c r="CX295" i="25"/>
  <c r="DP295" i="25"/>
  <c r="EQ181" i="25"/>
  <c r="EU181" i="25" s="1"/>
  <c r="DP181" i="25"/>
  <c r="CL181" i="25"/>
  <c r="CX181" i="25"/>
  <c r="FG181" i="25"/>
  <c r="DP242" i="25"/>
  <c r="CL242" i="25"/>
  <c r="CX242" i="25"/>
  <c r="CL307" i="25"/>
  <c r="DP307" i="25"/>
  <c r="CX307" i="25"/>
  <c r="DP195" i="25"/>
  <c r="CX195" i="25"/>
  <c r="CL195" i="25"/>
  <c r="EQ195" i="25"/>
  <c r="EU195" i="25" s="1"/>
  <c r="FG195" i="25"/>
  <c r="DP250" i="25"/>
  <c r="CL250" i="25"/>
  <c r="CX250" i="25"/>
  <c r="CU159" i="25"/>
  <c r="CW159" i="25"/>
  <c r="CO159" i="25" s="1"/>
  <c r="CV159" i="25"/>
  <c r="CV152" i="25"/>
  <c r="CW152" i="25"/>
  <c r="CO152" i="25" s="1"/>
  <c r="CU152" i="25"/>
  <c r="CW82" i="25"/>
  <c r="CO82" i="25" s="1"/>
  <c r="CU82" i="25"/>
  <c r="CV82" i="25"/>
  <c r="CV154" i="25"/>
  <c r="CW154" i="25"/>
  <c r="CO154" i="25" s="1"/>
  <c r="CU154" i="25"/>
  <c r="CU288" i="25"/>
  <c r="CW288" i="25"/>
  <c r="CO288" i="25" s="1"/>
  <c r="CV288" i="25"/>
  <c r="CU236" i="25"/>
  <c r="CW236" i="25"/>
  <c r="CO236" i="25" s="1"/>
  <c r="CV236" i="25"/>
  <c r="CU36" i="25"/>
  <c r="CW36" i="25"/>
  <c r="CO36" i="25" s="1"/>
  <c r="CV36" i="25"/>
  <c r="CU313" i="25"/>
  <c r="CW313" i="25"/>
  <c r="CO313" i="25" s="1"/>
  <c r="CV313" i="25"/>
  <c r="CV163" i="25"/>
  <c r="CW163" i="25"/>
  <c r="CO163" i="25" s="1"/>
  <c r="CU163" i="25"/>
  <c r="CU90" i="25"/>
  <c r="CW90" i="25"/>
  <c r="CO90" i="25" s="1"/>
  <c r="CV90" i="25"/>
  <c r="CW221" i="25"/>
  <c r="CO221" i="25" s="1"/>
  <c r="CU221" i="25"/>
  <c r="CV221" i="25"/>
  <c r="CV224" i="25"/>
  <c r="CU224" i="25"/>
  <c r="CW224" i="25"/>
  <c r="CO224" i="25" s="1"/>
  <c r="CW155" i="25"/>
  <c r="CO155" i="25" s="1"/>
  <c r="CU155" i="25"/>
  <c r="CV155" i="25"/>
  <c r="CW281" i="25"/>
  <c r="CO281" i="25" s="1"/>
  <c r="CU281" i="25"/>
  <c r="CV281" i="25"/>
  <c r="CW310" i="25"/>
  <c r="CO310" i="25" s="1"/>
  <c r="CU310" i="25"/>
  <c r="CV310" i="25"/>
  <c r="CV278" i="25"/>
  <c r="CU278" i="25"/>
  <c r="CW278" i="25"/>
  <c r="CO278" i="25" s="1"/>
  <c r="CU263" i="25"/>
  <c r="CV263" i="25"/>
  <c r="CW263" i="25"/>
  <c r="CO263" i="25" s="1"/>
  <c r="CV194" i="25"/>
  <c r="CW194" i="25"/>
  <c r="CO194" i="25" s="1"/>
  <c r="CU194" i="25"/>
  <c r="CW142" i="25"/>
  <c r="CO142" i="25" s="1"/>
  <c r="CV142" i="25"/>
  <c r="CU142" i="25"/>
  <c r="CV170" i="25"/>
  <c r="CU170" i="25"/>
  <c r="CW170" i="25"/>
  <c r="CO170" i="25" s="1"/>
  <c r="CW167" i="25"/>
  <c r="CO167" i="25" s="1"/>
  <c r="CU167" i="25"/>
  <c r="CV167" i="25"/>
  <c r="CV293" i="25"/>
  <c r="CW293" i="25"/>
  <c r="CO293" i="25" s="1"/>
  <c r="CU293" i="25"/>
  <c r="CW135" i="25"/>
  <c r="CO135" i="25" s="1"/>
  <c r="CV135" i="25"/>
  <c r="CU135" i="25"/>
  <c r="CU17" i="25"/>
  <c r="CV17" i="25"/>
  <c r="CW17" i="25"/>
  <c r="CO17" i="25" s="1"/>
  <c r="CV46" i="25"/>
  <c r="CU46" i="25"/>
  <c r="CW46" i="25"/>
  <c r="CO46" i="25" s="1"/>
  <c r="CU21" i="25"/>
  <c r="CW21" i="25"/>
  <c r="CO21" i="25" s="1"/>
  <c r="CV21" i="25"/>
  <c r="CU13" i="25"/>
  <c r="CW13" i="25"/>
  <c r="CO13" i="25" s="1"/>
  <c r="CV13" i="25"/>
  <c r="CW127" i="25"/>
  <c r="CO127" i="25" s="1"/>
  <c r="CV127" i="25"/>
  <c r="CU127" i="25"/>
  <c r="CU101" i="25"/>
  <c r="CW101" i="25"/>
  <c r="CO101" i="25" s="1"/>
  <c r="CV101" i="25"/>
  <c r="CW126" i="25"/>
  <c r="CO126" i="25" s="1"/>
  <c r="CU126" i="25"/>
  <c r="CV126" i="25"/>
  <c r="CW128" i="25"/>
  <c r="CO128" i="25" s="1"/>
  <c r="CU128" i="25"/>
  <c r="CV128" i="25"/>
  <c r="CW117" i="25"/>
  <c r="CO117" i="25" s="1"/>
  <c r="CV117" i="25"/>
  <c r="CU117" i="25"/>
  <c r="CU96" i="25"/>
  <c r="CW96" i="25"/>
  <c r="CO96" i="25" s="1"/>
  <c r="CV96" i="25"/>
  <c r="CU243" i="25"/>
  <c r="CV243" i="25"/>
  <c r="CW243" i="25"/>
  <c r="CO243" i="25" s="1"/>
  <c r="CW198" i="25"/>
  <c r="CO198" i="25" s="1"/>
  <c r="CU198" i="25"/>
  <c r="CV198" i="25"/>
  <c r="CV208" i="25"/>
  <c r="CU208" i="25"/>
  <c r="CW208" i="25"/>
  <c r="CO208" i="25" s="1"/>
  <c r="CU195" i="25"/>
  <c r="CV195" i="25"/>
  <c r="CW195" i="25"/>
  <c r="CO195" i="25" s="1"/>
  <c r="CW171" i="25"/>
  <c r="CO171" i="25" s="1"/>
  <c r="CU171" i="25"/>
  <c r="CV171" i="25"/>
  <c r="EQ12" i="25"/>
  <c r="EU12" i="25" s="1"/>
  <c r="DP12" i="25"/>
  <c r="FG12" i="25"/>
  <c r="CL12" i="25"/>
  <c r="CX12" i="25"/>
  <c r="CX269" i="25"/>
  <c r="CL269" i="25"/>
  <c r="DP269" i="25"/>
  <c r="CL225" i="25"/>
  <c r="DP225" i="25"/>
  <c r="CX225" i="25"/>
  <c r="CW185" i="25"/>
  <c r="CO185" i="25" s="1"/>
  <c r="CV185" i="25"/>
  <c r="CU185" i="25"/>
  <c r="CU176" i="25"/>
  <c r="CW176" i="25"/>
  <c r="CO176" i="25" s="1"/>
  <c r="CV176" i="25"/>
  <c r="CT176" i="25"/>
  <c r="CT175" i="25"/>
  <c r="CT173" i="25"/>
  <c r="CT286" i="25"/>
  <c r="CT284" i="25"/>
  <c r="CT282" i="25"/>
  <c r="CT277" i="25"/>
  <c r="CT264" i="25"/>
  <c r="CT249" i="25"/>
  <c r="CT201" i="25"/>
  <c r="CT177" i="25"/>
  <c r="CT174" i="25"/>
  <c r="CT256" i="25"/>
  <c r="CT235" i="25"/>
  <c r="CT208" i="25"/>
  <c r="CT199" i="25"/>
  <c r="CT178" i="25"/>
  <c r="CT251" i="25"/>
  <c r="CT241" i="25"/>
  <c r="CT209" i="25"/>
  <c r="CT205" i="25"/>
  <c r="CT198" i="25"/>
  <c r="CT182" i="25"/>
  <c r="CT181" i="25"/>
  <c r="CT180" i="25"/>
  <c r="CT179" i="25"/>
  <c r="CT271" i="25"/>
  <c r="CT252" i="25"/>
  <c r="CT243" i="25"/>
  <c r="CT231" i="25"/>
  <c r="CT207" i="25"/>
  <c r="CT204" i="25"/>
  <c r="CT203" i="25"/>
  <c r="CT197" i="25"/>
  <c r="CT146" i="25"/>
  <c r="CT295" i="25"/>
  <c r="CT294" i="25"/>
  <c r="CT245" i="25"/>
  <c r="CT183" i="25"/>
  <c r="CT169" i="25"/>
  <c r="CT168" i="25"/>
  <c r="CT165" i="25"/>
  <c r="CT184" i="25"/>
  <c r="CT141" i="25"/>
  <c r="CT202" i="25"/>
  <c r="CT172" i="25"/>
  <c r="CT143" i="25"/>
  <c r="CT97" i="25"/>
  <c r="CT83" i="25"/>
  <c r="CT140" i="25"/>
  <c r="CT132" i="25"/>
  <c r="CT131" i="25"/>
  <c r="CT115" i="25"/>
  <c r="CT113" i="25"/>
  <c r="CT111" i="25"/>
  <c r="CT137" i="25"/>
  <c r="CT130" i="25"/>
  <c r="CT129" i="25"/>
  <c r="CT128" i="25"/>
  <c r="CT118" i="25"/>
  <c r="CT69" i="25"/>
  <c r="CT65" i="25"/>
  <c r="CT57" i="25"/>
  <c r="CT296" i="25"/>
  <c r="CT145" i="25"/>
  <c r="CT139" i="25"/>
  <c r="CT134" i="25"/>
  <c r="CT127" i="25"/>
  <c r="CT123" i="25"/>
  <c r="CT122" i="25"/>
  <c r="CT120" i="25"/>
  <c r="CT229" i="25"/>
  <c r="CT148" i="25"/>
  <c r="CT110" i="25"/>
  <c r="CT297" i="25"/>
  <c r="CT233" i="25"/>
  <c r="CT73" i="25"/>
  <c r="CT29" i="25"/>
  <c r="CT144" i="25"/>
  <c r="CT133" i="25"/>
  <c r="CT269" i="25"/>
  <c r="CT247" i="25"/>
  <c r="CT171" i="25"/>
  <c r="CT125" i="25"/>
  <c r="CT13" i="25"/>
  <c r="CT17" i="25"/>
  <c r="CT206" i="25"/>
  <c r="CT136" i="25"/>
  <c r="CT135" i="25"/>
  <c r="CT53" i="25"/>
  <c r="CT142" i="25"/>
  <c r="CT126" i="25"/>
  <c r="CT49" i="25"/>
  <c r="CT35" i="25"/>
  <c r="CT25" i="25"/>
  <c r="CT21" i="25"/>
  <c r="CT138" i="25"/>
  <c r="CT87" i="25"/>
  <c r="CT61" i="25"/>
  <c r="CT75" i="25"/>
  <c r="CT170" i="25"/>
  <c r="CT14" i="25"/>
  <c r="CT84" i="25"/>
  <c r="CT119" i="25"/>
  <c r="CT192" i="25"/>
  <c r="CT6" i="25"/>
  <c r="FD6" i="25" s="1"/>
  <c r="CT46" i="25"/>
  <c r="CT62" i="25"/>
  <c r="CT70" i="25"/>
  <c r="CT81" i="25"/>
  <c r="CT88" i="25"/>
  <c r="CT18" i="25"/>
  <c r="CT10" i="25"/>
  <c r="CT22" i="25"/>
  <c r="CT79" i="25"/>
  <c r="CT92" i="25"/>
  <c r="CT60" i="25"/>
  <c r="CT188" i="25"/>
  <c r="CT195" i="25"/>
  <c r="CT217" i="25"/>
  <c r="CT292" i="25"/>
  <c r="CT42" i="25"/>
  <c r="CT56" i="25"/>
  <c r="CT54" i="25"/>
  <c r="CT101" i="25"/>
  <c r="CT117" i="25"/>
  <c r="CT223" i="25"/>
  <c r="CT299" i="25"/>
  <c r="CT262" i="25"/>
  <c r="CT9" i="25"/>
  <c r="CT105" i="25"/>
  <c r="CT26" i="25"/>
  <c r="CT64" i="25"/>
  <c r="CT72" i="25"/>
  <c r="CT289" i="25"/>
  <c r="CT279" i="25"/>
  <c r="CT191" i="25"/>
  <c r="CT166" i="25"/>
  <c r="CT258" i="25"/>
  <c r="CT316" i="25"/>
  <c r="CT283" i="25"/>
  <c r="CT34" i="25"/>
  <c r="CT287" i="25"/>
  <c r="CT66" i="25"/>
  <c r="CT16" i="25"/>
  <c r="CT124" i="25"/>
  <c r="CT116" i="25"/>
  <c r="CT80" i="25"/>
  <c r="CT266" i="25"/>
  <c r="CT285" i="25"/>
  <c r="CT98" i="25"/>
  <c r="CT147" i="25"/>
  <c r="CT38" i="25"/>
  <c r="CT30" i="25"/>
  <c r="CT200" i="25"/>
  <c r="CT102" i="25"/>
  <c r="CT303" i="25"/>
  <c r="CT95" i="25"/>
  <c r="CT312" i="25"/>
  <c r="CT190" i="25"/>
  <c r="CT114" i="25"/>
  <c r="CT315" i="25"/>
  <c r="CT167" i="25"/>
  <c r="CT196" i="25"/>
  <c r="CT278" i="25"/>
  <c r="CT227" i="25"/>
  <c r="CT121" i="25"/>
  <c r="CT68" i="25"/>
  <c r="CT50" i="25"/>
  <c r="CT306" i="25"/>
  <c r="CT265" i="25"/>
  <c r="CT263" i="25"/>
  <c r="CT253" i="25"/>
  <c r="CT58" i="25"/>
  <c r="CT189" i="25"/>
  <c r="CT237" i="25"/>
  <c r="CT300" i="25"/>
  <c r="CT193" i="25"/>
  <c r="CT257" i="25"/>
  <c r="CT293" i="25"/>
  <c r="CT310" i="25"/>
  <c r="CT254" i="25"/>
  <c r="CT219" i="25"/>
  <c r="CT280" i="25"/>
  <c r="CT305" i="25"/>
  <c r="CT309" i="25"/>
  <c r="CT311" i="25"/>
  <c r="CT239" i="25"/>
  <c r="CT268" i="25"/>
  <c r="CT194" i="25"/>
  <c r="CT255" i="25"/>
  <c r="CT91" i="25"/>
  <c r="CT149" i="25"/>
  <c r="CT260" i="25"/>
  <c r="CT273" i="25"/>
  <c r="CT275" i="25"/>
  <c r="CT304" i="25"/>
  <c r="CT96" i="25"/>
  <c r="CT276" i="25"/>
  <c r="CT281" i="25"/>
  <c r="CT41" i="25"/>
  <c r="CT298" i="25"/>
  <c r="CT224" i="25"/>
  <c r="CT240" i="25"/>
  <c r="CT155" i="25"/>
  <c r="CT55" i="25"/>
  <c r="CT47" i="25"/>
  <c r="CT225" i="25"/>
  <c r="CT59" i="25"/>
  <c r="CT44" i="25"/>
  <c r="CT154" i="25"/>
  <c r="CT267" i="25"/>
  <c r="CT238" i="25"/>
  <c r="CT33" i="25"/>
  <c r="CT15" i="25"/>
  <c r="CT291" i="25"/>
  <c r="CT77" i="25"/>
  <c r="CT7" i="25"/>
  <c r="FD7" i="25" s="1"/>
  <c r="CT36" i="25"/>
  <c r="CT301" i="25"/>
  <c r="CT19" i="25"/>
  <c r="CT162" i="25"/>
  <c r="CT187" i="25"/>
  <c r="CT100" i="25"/>
  <c r="CT156" i="25"/>
  <c r="CT220" i="25"/>
  <c r="CT27" i="25"/>
  <c r="CT185" i="25"/>
  <c r="CT288" i="25"/>
  <c r="CT157" i="25"/>
  <c r="CT163" i="25"/>
  <c r="CT222" i="25"/>
  <c r="CT259" i="25"/>
  <c r="CT218" i="25"/>
  <c r="CT232" i="25"/>
  <c r="CT32" i="25"/>
  <c r="CT103" i="25"/>
  <c r="CT290" i="25"/>
  <c r="CT270" i="25"/>
  <c r="CT20" i="25"/>
  <c r="CT76" i="25"/>
  <c r="CT28" i="25"/>
  <c r="CT242" i="25"/>
  <c r="CT313" i="25"/>
  <c r="CT86" i="25"/>
  <c r="CT48" i="25"/>
  <c r="CT67" i="25"/>
  <c r="CT159" i="25"/>
  <c r="CT99" i="25"/>
  <c r="CT37" i="25"/>
  <c r="CT8" i="25"/>
  <c r="CT228" i="25"/>
  <c r="CT11" i="25"/>
  <c r="CT307" i="25"/>
  <c r="CT161" i="25"/>
  <c r="CT248" i="25"/>
  <c r="CT31" i="25"/>
  <c r="CT90" i="25"/>
  <c r="CT160" i="25"/>
  <c r="CT158" i="25"/>
  <c r="CT82" i="25"/>
  <c r="CT226" i="25"/>
  <c r="CT150" i="25"/>
  <c r="CT71" i="25"/>
  <c r="CT230" i="25"/>
  <c r="CT94" i="25"/>
  <c r="CT164" i="25"/>
  <c r="CT216" i="25"/>
  <c r="CT74" i="25"/>
  <c r="CT78" i="25"/>
  <c r="CT85" i="25"/>
  <c r="CT186" i="25"/>
  <c r="CT274" i="25"/>
  <c r="CT236" i="25"/>
  <c r="CT89" i="25"/>
  <c r="CT151" i="25"/>
  <c r="CT45" i="25"/>
  <c r="CT244" i="25"/>
  <c r="CT210" i="25"/>
  <c r="CT153" i="25"/>
  <c r="CT234" i="25"/>
  <c r="CT152" i="25"/>
  <c r="CT246" i="25"/>
  <c r="CT51" i="25"/>
  <c r="CT43" i="25"/>
  <c r="CT12" i="25"/>
  <c r="CT63" i="25"/>
  <c r="CT314" i="25"/>
  <c r="CT93" i="25"/>
  <c r="CT104" i="25"/>
  <c r="CT23" i="25"/>
  <c r="CT308" i="25"/>
  <c r="CT261" i="25"/>
  <c r="CT302" i="25"/>
  <c r="CT272" i="25"/>
  <c r="CT24" i="25"/>
  <c r="CT40" i="25"/>
  <c r="CT250" i="25"/>
  <c r="CT39" i="25"/>
  <c r="CT221" i="25"/>
  <c r="CT52" i="25"/>
  <c r="FG24" i="25"/>
  <c r="DP24" i="25"/>
  <c r="CX24" i="25"/>
  <c r="CL24" i="25"/>
  <c r="EQ24" i="25"/>
  <c r="EU24" i="25" s="1"/>
  <c r="FG58" i="25"/>
  <c r="EQ58" i="25"/>
  <c r="EU58" i="25" s="1"/>
  <c r="DP58" i="25"/>
  <c r="CL58" i="25"/>
  <c r="CX58" i="25"/>
  <c r="CL29" i="25"/>
  <c r="EQ29" i="25"/>
  <c r="EU29" i="25" s="1"/>
  <c r="CX29" i="25"/>
  <c r="FG29" i="25"/>
  <c r="DP29" i="25"/>
  <c r="CL81" i="25"/>
  <c r="FG81" i="25"/>
  <c r="DP81" i="25"/>
  <c r="EQ81" i="25"/>
  <c r="EU81" i="25" s="1"/>
  <c r="CX81" i="25"/>
  <c r="DP42" i="25"/>
  <c r="FG42" i="25"/>
  <c r="CX42" i="25"/>
  <c r="EQ42" i="25"/>
  <c r="EU42" i="25" s="1"/>
  <c r="CL42" i="25"/>
  <c r="CL9" i="25"/>
  <c r="FG9" i="25"/>
  <c r="EQ9" i="25"/>
  <c r="EU9" i="25" s="1"/>
  <c r="DP9" i="25"/>
  <c r="CX9" i="25"/>
  <c r="DP28" i="25"/>
  <c r="FG28" i="25"/>
  <c r="CX28" i="25"/>
  <c r="CL28" i="25"/>
  <c r="EQ28" i="25"/>
  <c r="EU28" i="25" s="1"/>
  <c r="CX92" i="25"/>
  <c r="DP92" i="25"/>
  <c r="CL92" i="25"/>
  <c r="EQ92" i="25"/>
  <c r="EU92" i="25" s="1"/>
  <c r="FG92" i="25"/>
  <c r="FG71" i="25"/>
  <c r="EQ71" i="25"/>
  <c r="EU71" i="25" s="1"/>
  <c r="DP71" i="25"/>
  <c r="CL71" i="25"/>
  <c r="CX71" i="25"/>
  <c r="DP48" i="25"/>
  <c r="CX48" i="25"/>
  <c r="CL48" i="25"/>
  <c r="EQ48" i="25"/>
  <c r="EU48" i="25" s="1"/>
  <c r="FG48" i="25"/>
  <c r="CL284" i="25"/>
  <c r="DP284" i="25"/>
  <c r="CX284" i="25"/>
  <c r="EQ96" i="25"/>
  <c r="EU96" i="25" s="1"/>
  <c r="FG96" i="25"/>
  <c r="CX96" i="25"/>
  <c r="DP96" i="25"/>
  <c r="CL96" i="25"/>
  <c r="DP298" i="25"/>
  <c r="CL298" i="25"/>
  <c r="CX298" i="25"/>
  <c r="CL95" i="25"/>
  <c r="EQ95" i="25"/>
  <c r="EU95" i="25" s="1"/>
  <c r="CX95" i="25"/>
  <c r="FG95" i="25"/>
  <c r="DP95" i="25"/>
  <c r="FG40" i="25"/>
  <c r="DP40" i="25"/>
  <c r="CX40" i="25"/>
  <c r="CL40" i="25"/>
  <c r="EQ40" i="25"/>
  <c r="EU40" i="25" s="1"/>
  <c r="DP88" i="25"/>
  <c r="CL88" i="25"/>
  <c r="FG88" i="25"/>
  <c r="CX88" i="25"/>
  <c r="EQ88" i="25"/>
  <c r="EU88" i="25" s="1"/>
  <c r="FG139" i="25"/>
  <c r="CL139" i="25"/>
  <c r="DP139" i="25"/>
  <c r="EQ139" i="25"/>
  <c r="EU139" i="25" s="1"/>
  <c r="CX139" i="25"/>
  <c r="EQ121" i="25"/>
  <c r="EU121" i="25" s="1"/>
  <c r="CL121" i="25"/>
  <c r="FG121" i="25"/>
  <c r="CX121" i="25"/>
  <c r="DP121" i="25"/>
  <c r="DP227" i="25"/>
  <c r="CX227" i="25"/>
  <c r="CL227" i="25"/>
  <c r="EQ69" i="25"/>
  <c r="EU69" i="25" s="1"/>
  <c r="CX69" i="25"/>
  <c r="DP69" i="25"/>
  <c r="FG69" i="25"/>
  <c r="CL69" i="25"/>
  <c r="FG140" i="25"/>
  <c r="DP140" i="25"/>
  <c r="CL140" i="25"/>
  <c r="EQ140" i="25"/>
  <c r="EU140" i="25" s="1"/>
  <c r="CX140" i="25"/>
  <c r="EQ173" i="25"/>
  <c r="EU173" i="25" s="1"/>
  <c r="DP173" i="25"/>
  <c r="CX173" i="25"/>
  <c r="CL173" i="25"/>
  <c r="FG173" i="25"/>
  <c r="EQ171" i="25"/>
  <c r="EU171" i="25" s="1"/>
  <c r="CL171" i="25"/>
  <c r="CX171" i="25"/>
  <c r="DP171" i="25"/>
  <c r="FG171" i="25"/>
  <c r="CL239" i="25"/>
  <c r="CX239" i="25"/>
  <c r="DP239" i="25"/>
  <c r="CL287" i="25"/>
  <c r="CX287" i="25"/>
  <c r="DP287" i="25"/>
  <c r="EQ189" i="25"/>
  <c r="EU189" i="25" s="1"/>
  <c r="CL189" i="25"/>
  <c r="CX189" i="25"/>
  <c r="FG189" i="25"/>
  <c r="DP189" i="25"/>
  <c r="DP290" i="25"/>
  <c r="CL290" i="25"/>
  <c r="CX290" i="25"/>
  <c r="EQ169" i="25"/>
  <c r="EU169" i="25" s="1"/>
  <c r="CL169" i="25"/>
  <c r="FG169" i="25"/>
  <c r="CX169" i="25"/>
  <c r="DP169" i="25"/>
  <c r="CL245" i="25"/>
  <c r="CX245" i="25"/>
  <c r="DP245" i="25"/>
  <c r="DP168" i="25"/>
  <c r="EQ168" i="25"/>
  <c r="EU168" i="25" s="1"/>
  <c r="FG168" i="25"/>
  <c r="CX168" i="25"/>
  <c r="CL168" i="25"/>
  <c r="DP252" i="25"/>
  <c r="CX252" i="25"/>
  <c r="CL252" i="25"/>
  <c r="CL314" i="25"/>
  <c r="DP314" i="25"/>
  <c r="CX314" i="25"/>
  <c r="EQ182" i="25"/>
  <c r="EU182" i="25" s="1"/>
  <c r="CL182" i="25"/>
  <c r="FG182" i="25"/>
  <c r="DP182" i="25"/>
  <c r="CX182" i="25"/>
  <c r="DP251" i="25"/>
  <c r="CL251" i="25"/>
  <c r="CX251" i="25"/>
  <c r="DP309" i="25"/>
  <c r="CL309" i="25"/>
  <c r="CX309" i="25"/>
  <c r="FG197" i="25"/>
  <c r="DP197" i="25"/>
  <c r="EQ197" i="25"/>
  <c r="EU197" i="25" s="1"/>
  <c r="CL197" i="25"/>
  <c r="CX197" i="25"/>
  <c r="DP256" i="25"/>
  <c r="CL256" i="25"/>
  <c r="CX256" i="25"/>
  <c r="CU52" i="25"/>
  <c r="CV52" i="25"/>
  <c r="CW52" i="25"/>
  <c r="CO52" i="25" s="1"/>
  <c r="CW39" i="25"/>
  <c r="CO39" i="25" s="1"/>
  <c r="CU39" i="25"/>
  <c r="CV39" i="25"/>
  <c r="CU246" i="25"/>
  <c r="CW246" i="25"/>
  <c r="CO246" i="25" s="1"/>
  <c r="CV246" i="25"/>
  <c r="CW77" i="25"/>
  <c r="CO77" i="25" s="1"/>
  <c r="CU77" i="25"/>
  <c r="CV77" i="25"/>
  <c r="CV153" i="25"/>
  <c r="CW153" i="25"/>
  <c r="CO153" i="25" s="1"/>
  <c r="CU153" i="25"/>
  <c r="CV71" i="25"/>
  <c r="CU71" i="25"/>
  <c r="CW71" i="25"/>
  <c r="CO71" i="25" s="1"/>
  <c r="CV150" i="25"/>
  <c r="CU150" i="25"/>
  <c r="CW150" i="25"/>
  <c r="CO150" i="25" s="1"/>
  <c r="CV162" i="25"/>
  <c r="CU162" i="25"/>
  <c r="CW162" i="25"/>
  <c r="CO162" i="25" s="1"/>
  <c r="CU242" i="25"/>
  <c r="CW242" i="25"/>
  <c r="CO242" i="25" s="1"/>
  <c r="CV242" i="25"/>
  <c r="CV89" i="25"/>
  <c r="CU89" i="25"/>
  <c r="CW89" i="25"/>
  <c r="CO89" i="25" s="1"/>
  <c r="CU20" i="25"/>
  <c r="CW20" i="25"/>
  <c r="CO20" i="25" s="1"/>
  <c r="CV20" i="25"/>
  <c r="CU48" i="25"/>
  <c r="CW48" i="25"/>
  <c r="CO48" i="25" s="1"/>
  <c r="CV48" i="25"/>
  <c r="CW240" i="25"/>
  <c r="CO240" i="25" s="1"/>
  <c r="CV240" i="25"/>
  <c r="CU240" i="25"/>
  <c r="CW303" i="25"/>
  <c r="CO303" i="25" s="1"/>
  <c r="CU303" i="25"/>
  <c r="CV303" i="25"/>
  <c r="CV300" i="25"/>
  <c r="CW300" i="25"/>
  <c r="CO300" i="25" s="1"/>
  <c r="CU300" i="25"/>
  <c r="CV316" i="25"/>
  <c r="CW316" i="25"/>
  <c r="CO316" i="25" s="1"/>
  <c r="CU316" i="25"/>
  <c r="CV265" i="25"/>
  <c r="CW265" i="25"/>
  <c r="CO265" i="25" s="1"/>
  <c r="CU265" i="25"/>
  <c r="CV193" i="25"/>
  <c r="CW193" i="25"/>
  <c r="CO193" i="25" s="1"/>
  <c r="CU193" i="25"/>
  <c r="CV114" i="25"/>
  <c r="CW114" i="25"/>
  <c r="CO114" i="25" s="1"/>
  <c r="CU114" i="25"/>
  <c r="CW116" i="25"/>
  <c r="CO116" i="25" s="1"/>
  <c r="CV116" i="25"/>
  <c r="CU116" i="25"/>
  <c r="CV119" i="25"/>
  <c r="CW119" i="25"/>
  <c r="CO119" i="25" s="1"/>
  <c r="CU119" i="25"/>
  <c r="CW146" i="25"/>
  <c r="CO146" i="25" s="1"/>
  <c r="CU146" i="25"/>
  <c r="CV146" i="25"/>
  <c r="CW137" i="25"/>
  <c r="CO137" i="25" s="1"/>
  <c r="CV137" i="25"/>
  <c r="CU137" i="25"/>
  <c r="CU25" i="25"/>
  <c r="CV25" i="25"/>
  <c r="CW25" i="25"/>
  <c r="CO25" i="25" s="1"/>
  <c r="CW10" i="25"/>
  <c r="CO10" i="25" s="1"/>
  <c r="CU10" i="25"/>
  <c r="CV10" i="25"/>
  <c r="CV72" i="25"/>
  <c r="CW72" i="25"/>
  <c r="CO72" i="25" s="1"/>
  <c r="CU72" i="25"/>
  <c r="CW134" i="25"/>
  <c r="CO134" i="25" s="1"/>
  <c r="CV134" i="25"/>
  <c r="CU134" i="25"/>
  <c r="CW61" i="25"/>
  <c r="CO61" i="25" s="1"/>
  <c r="CU61" i="25"/>
  <c r="CV61" i="25"/>
  <c r="CW22" i="25"/>
  <c r="CO22" i="25" s="1"/>
  <c r="CV22" i="25"/>
  <c r="CU22" i="25"/>
  <c r="CW183" i="25"/>
  <c r="CO183" i="25" s="1"/>
  <c r="CU183" i="25"/>
  <c r="CV183" i="25"/>
  <c r="CW129" i="25"/>
  <c r="CO129" i="25" s="1"/>
  <c r="CU129" i="25"/>
  <c r="CV129" i="25"/>
  <c r="CW131" i="25"/>
  <c r="CO131" i="25" s="1"/>
  <c r="CV131" i="25"/>
  <c r="CU131" i="25"/>
  <c r="CU169" i="25"/>
  <c r="CW169" i="25"/>
  <c r="CO169" i="25" s="1"/>
  <c r="CV169" i="25"/>
  <c r="CU271" i="25"/>
  <c r="CW271" i="25"/>
  <c r="CO271" i="25" s="1"/>
  <c r="CV271" i="25"/>
  <c r="CU205" i="25"/>
  <c r="CV205" i="25"/>
  <c r="CW205" i="25"/>
  <c r="CO205" i="25" s="1"/>
  <c r="CV235" i="25"/>
  <c r="CU235" i="25"/>
  <c r="CW235" i="25"/>
  <c r="CO235" i="25" s="1"/>
  <c r="CU201" i="25"/>
  <c r="CW201" i="25"/>
  <c r="CO201" i="25" s="1"/>
  <c r="CV201" i="25"/>
  <c r="CW172" i="25"/>
  <c r="CO172" i="25" s="1"/>
  <c r="CV172" i="25"/>
  <c r="CU172" i="25"/>
  <c r="EQ199" i="25"/>
  <c r="EU199" i="25" s="1"/>
  <c r="CX199" i="25"/>
  <c r="CL199" i="25"/>
  <c r="DP199" i="25"/>
  <c r="FG199" i="25"/>
  <c r="CL49" i="25"/>
  <c r="EQ49" i="25"/>
  <c r="EU49" i="25" s="1"/>
  <c r="DP49" i="25"/>
  <c r="FG49" i="25"/>
  <c r="CX49" i="25"/>
  <c r="EQ73" i="25"/>
  <c r="EU73" i="25" s="1"/>
  <c r="CL73" i="25"/>
  <c r="DP73" i="25"/>
  <c r="CX73" i="25"/>
  <c r="FG73" i="25"/>
  <c r="EQ39" i="25"/>
  <c r="EU39" i="25" s="1"/>
  <c r="CL39" i="25"/>
  <c r="FG39" i="25"/>
  <c r="DP39" i="25"/>
  <c r="CX39" i="25"/>
  <c r="DP302" i="25"/>
  <c r="CL302" i="25"/>
  <c r="CX302" i="25"/>
  <c r="EQ184" i="25"/>
  <c r="EU184" i="25" s="1"/>
  <c r="CX184" i="25"/>
  <c r="FG184" i="25"/>
  <c r="DP184" i="25"/>
  <c r="CL184" i="25"/>
  <c r="CX289" i="25"/>
  <c r="CL289" i="25"/>
  <c r="DP289" i="25"/>
  <c r="CL272" i="25"/>
  <c r="DP272" i="25"/>
  <c r="CX272" i="25"/>
  <c r="CW43" i="25"/>
  <c r="CO43" i="25" s="1"/>
  <c r="CV43" i="25"/>
  <c r="CU43" i="25"/>
  <c r="CV160" i="25"/>
  <c r="CU160" i="25"/>
  <c r="CW160" i="25"/>
  <c r="CO160" i="25" s="1"/>
  <c r="CV268" i="25"/>
  <c r="CU268" i="25"/>
  <c r="CW268" i="25"/>
  <c r="CO268" i="25" s="1"/>
  <c r="CW88" i="25"/>
  <c r="CO88" i="25" s="1"/>
  <c r="CV88" i="25"/>
  <c r="CU88" i="25"/>
  <c r="CW181" i="25"/>
  <c r="CO181" i="25" s="1"/>
  <c r="CU181" i="25"/>
  <c r="CV181" i="25"/>
  <c r="CL23" i="25"/>
  <c r="EQ23" i="25"/>
  <c r="EU23" i="25" s="1"/>
  <c r="DP23" i="25"/>
  <c r="FG23" i="25"/>
  <c r="CX23" i="25"/>
  <c r="EQ114" i="25"/>
  <c r="EU114" i="25" s="1"/>
  <c r="CL114" i="25"/>
  <c r="FG114" i="25"/>
  <c r="CX114" i="25"/>
  <c r="DP114" i="25"/>
  <c r="DP60" i="25"/>
  <c r="FG60" i="25"/>
  <c r="EQ60" i="25"/>
  <c r="EU60" i="25" s="1"/>
  <c r="CX60" i="25"/>
  <c r="CL60" i="25"/>
  <c r="DP66" i="25"/>
  <c r="EQ66" i="25"/>
  <c r="EU66" i="25" s="1"/>
  <c r="FG66" i="25"/>
  <c r="CL66" i="25"/>
  <c r="CX66" i="25"/>
  <c r="CY66" i="25" s="1"/>
  <c r="EQ21" i="25"/>
  <c r="EU21" i="25" s="1"/>
  <c r="FG21" i="25"/>
  <c r="CL21" i="25"/>
  <c r="DP21" i="25"/>
  <c r="CX21" i="25"/>
  <c r="EQ13" i="25"/>
  <c r="EU13" i="25" s="1"/>
  <c r="FG13" i="25"/>
  <c r="CL13" i="25"/>
  <c r="DP13" i="25"/>
  <c r="CX13" i="25"/>
  <c r="FG30" i="25"/>
  <c r="CX30" i="25"/>
  <c r="DP30" i="25"/>
  <c r="EQ30" i="25"/>
  <c r="EU30" i="25" s="1"/>
  <c r="CL30" i="25"/>
  <c r="CL105" i="25"/>
  <c r="FG105" i="25"/>
  <c r="EQ105" i="25"/>
  <c r="EU105" i="25" s="1"/>
  <c r="CX105" i="25"/>
  <c r="DP105" i="25"/>
  <c r="CX115" i="25"/>
  <c r="DP115" i="25"/>
  <c r="CL115" i="25"/>
  <c r="FG115" i="25"/>
  <c r="EQ115" i="25"/>
  <c r="EU115" i="25" s="1"/>
  <c r="EQ70" i="25"/>
  <c r="EU70" i="25" s="1"/>
  <c r="DP70" i="25"/>
  <c r="FG70" i="25"/>
  <c r="CX70" i="25"/>
  <c r="CL70" i="25"/>
  <c r="DP313" i="25"/>
  <c r="CL313" i="25"/>
  <c r="CX313" i="25"/>
  <c r="DP104" i="25"/>
  <c r="CL104" i="25"/>
  <c r="EQ104" i="25"/>
  <c r="EU104" i="25" s="1"/>
  <c r="FG104" i="25"/>
  <c r="CX104" i="25"/>
  <c r="CL46" i="25"/>
  <c r="CX46" i="25"/>
  <c r="DP46" i="25"/>
  <c r="EQ46" i="25"/>
  <c r="EU46" i="25" s="1"/>
  <c r="FG46" i="25"/>
  <c r="FG136" i="25"/>
  <c r="CL136" i="25"/>
  <c r="DP136" i="25"/>
  <c r="CX136" i="25"/>
  <c r="EQ136" i="25"/>
  <c r="EU136" i="25" s="1"/>
  <c r="CL45" i="25"/>
  <c r="EQ45" i="25"/>
  <c r="EU45" i="25" s="1"/>
  <c r="FG45" i="25"/>
  <c r="DP45" i="25"/>
  <c r="CX45" i="25"/>
  <c r="CL93" i="25"/>
  <c r="FG93" i="25"/>
  <c r="EQ93" i="25"/>
  <c r="EU93" i="25" s="1"/>
  <c r="DP93" i="25"/>
  <c r="CX93" i="25"/>
  <c r="FG142" i="25"/>
  <c r="DP142" i="25"/>
  <c r="CL142" i="25"/>
  <c r="EQ142" i="25"/>
  <c r="EU142" i="25" s="1"/>
  <c r="CX142" i="25"/>
  <c r="EQ122" i="25"/>
  <c r="EU122" i="25" s="1"/>
  <c r="DP122" i="25"/>
  <c r="CL122" i="25"/>
  <c r="FG122" i="25"/>
  <c r="CX122" i="25"/>
  <c r="DP257" i="25"/>
  <c r="CL257" i="25"/>
  <c r="CX257" i="25"/>
  <c r="EQ78" i="25"/>
  <c r="EU78" i="25" s="1"/>
  <c r="DP78" i="25"/>
  <c r="CL78" i="25"/>
  <c r="FG78" i="25"/>
  <c r="CX78" i="25"/>
  <c r="EQ209" i="25"/>
  <c r="EU209" i="25" s="1"/>
  <c r="FG209" i="25"/>
  <c r="DP209" i="25"/>
  <c r="CX209" i="25"/>
  <c r="CL209" i="25"/>
  <c r="EQ193" i="25"/>
  <c r="EU193" i="25" s="1"/>
  <c r="CL193" i="25"/>
  <c r="DP193" i="25"/>
  <c r="CX193" i="25"/>
  <c r="FG193" i="25"/>
  <c r="EQ172" i="25"/>
  <c r="EU172" i="25" s="1"/>
  <c r="CL172" i="25"/>
  <c r="FG172" i="25"/>
  <c r="CX172" i="25"/>
  <c r="DP172" i="25"/>
  <c r="CL247" i="25"/>
  <c r="DP247" i="25"/>
  <c r="CX247" i="25"/>
  <c r="CL308" i="25"/>
  <c r="CX308" i="25"/>
  <c r="DP308" i="25"/>
  <c r="FG190" i="25"/>
  <c r="CL190" i="25"/>
  <c r="EQ190" i="25"/>
  <c r="EU190" i="25" s="1"/>
  <c r="CX190" i="25"/>
  <c r="DP190" i="25"/>
  <c r="CL292" i="25"/>
  <c r="CX292" i="25"/>
  <c r="DP292" i="25"/>
  <c r="CL170" i="25"/>
  <c r="EQ170" i="25"/>
  <c r="EU170" i="25" s="1"/>
  <c r="CX170" i="25"/>
  <c r="DP170" i="25"/>
  <c r="FG170" i="25"/>
  <c r="CL246" i="25"/>
  <c r="DP246" i="25"/>
  <c r="CX246" i="25"/>
  <c r="EQ183" i="25"/>
  <c r="EU183" i="25" s="1"/>
  <c r="DP183" i="25"/>
  <c r="CX183" i="25"/>
  <c r="CL183" i="25"/>
  <c r="FG183" i="25"/>
  <c r="CL253" i="25"/>
  <c r="DP253" i="25"/>
  <c r="CX253" i="25"/>
  <c r="DP149" i="25"/>
  <c r="CL149" i="25"/>
  <c r="FG149" i="25"/>
  <c r="CX149" i="25"/>
  <c r="EQ149" i="25"/>
  <c r="EU149" i="25" s="1"/>
  <c r="CL198" i="25"/>
  <c r="FG198" i="25"/>
  <c r="DP198" i="25"/>
  <c r="CX198" i="25"/>
  <c r="EQ198" i="25"/>
  <c r="EU198" i="25" s="1"/>
  <c r="DP254" i="25"/>
  <c r="CL254" i="25"/>
  <c r="CX254" i="25"/>
  <c r="EQ147" i="25"/>
  <c r="EU147" i="25" s="1"/>
  <c r="CL147" i="25"/>
  <c r="FG147" i="25"/>
  <c r="DP147" i="25"/>
  <c r="CX147" i="25"/>
  <c r="EQ200" i="25"/>
  <c r="EU200" i="25" s="1"/>
  <c r="DP200" i="25"/>
  <c r="CL200" i="25"/>
  <c r="FG200" i="25"/>
  <c r="CX200" i="25"/>
  <c r="DP259" i="25"/>
  <c r="CL259" i="25"/>
  <c r="CX259" i="25"/>
  <c r="CY259" i="25" s="1"/>
  <c r="CU19" i="25"/>
  <c r="CV19" i="25"/>
  <c r="CW19" i="25"/>
  <c r="CO19" i="25" s="1"/>
  <c r="CU272" i="25"/>
  <c r="CW272" i="25"/>
  <c r="CO272" i="25" s="1"/>
  <c r="CV272" i="25"/>
  <c r="CU307" i="25"/>
  <c r="CV307" i="25"/>
  <c r="CW307" i="25"/>
  <c r="CO307" i="25" s="1"/>
  <c r="CV186" i="25"/>
  <c r="CU186" i="25"/>
  <c r="CW186" i="25"/>
  <c r="CO186" i="25" s="1"/>
  <c r="CW218" i="25"/>
  <c r="CO218" i="25" s="1"/>
  <c r="CV218" i="25"/>
  <c r="CU218" i="25"/>
  <c r="CV274" i="25"/>
  <c r="CU274" i="25"/>
  <c r="CW274" i="25"/>
  <c r="CO274" i="25" s="1"/>
  <c r="CV161" i="25"/>
  <c r="CU161" i="25"/>
  <c r="CW161" i="25"/>
  <c r="CO161" i="25" s="1"/>
  <c r="CU301" i="25"/>
  <c r="CW301" i="25"/>
  <c r="CO301" i="25" s="1"/>
  <c r="CV301" i="25"/>
  <c r="CV28" i="25"/>
  <c r="CU28" i="25"/>
  <c r="CW28" i="25"/>
  <c r="CO28" i="25" s="1"/>
  <c r="CV270" i="25"/>
  <c r="CU270" i="25"/>
  <c r="CW270" i="25"/>
  <c r="CO270" i="25" s="1"/>
  <c r="CW86" i="25"/>
  <c r="CO86" i="25" s="1"/>
  <c r="CV86" i="25"/>
  <c r="CU86" i="25"/>
  <c r="CV151" i="25"/>
  <c r="CU151" i="25"/>
  <c r="CW151" i="25"/>
  <c r="CO151" i="25" s="1"/>
  <c r="CU298" i="25"/>
  <c r="CW298" i="25"/>
  <c r="CO298" i="25" s="1"/>
  <c r="CV298" i="25"/>
  <c r="CW305" i="25"/>
  <c r="CO305" i="25" s="1"/>
  <c r="CU305" i="25"/>
  <c r="CV305" i="25"/>
  <c r="CW255" i="25"/>
  <c r="CO255" i="25" s="1"/>
  <c r="CU255" i="25"/>
  <c r="CV255" i="25"/>
  <c r="CW312" i="25"/>
  <c r="CO312" i="25" s="1"/>
  <c r="CV312" i="25"/>
  <c r="CU312" i="25"/>
  <c r="CU287" i="25"/>
  <c r="CV287" i="25"/>
  <c r="CW287" i="25"/>
  <c r="CO287" i="25" s="1"/>
  <c r="CV66" i="25"/>
  <c r="CU66" i="25"/>
  <c r="CW66" i="25"/>
  <c r="CO66" i="25" s="1"/>
  <c r="CW121" i="25"/>
  <c r="CO121" i="25" s="1"/>
  <c r="CU121" i="25"/>
  <c r="CV121" i="25"/>
  <c r="CW16" i="25"/>
  <c r="CO16" i="25" s="1"/>
  <c r="CU16" i="25"/>
  <c r="CV16" i="25"/>
  <c r="CW68" i="25"/>
  <c r="CO68" i="25" s="1"/>
  <c r="CU68" i="25"/>
  <c r="CV68" i="25"/>
  <c r="CW141" i="25"/>
  <c r="CO141" i="25" s="1"/>
  <c r="CV141" i="25"/>
  <c r="CU141" i="25"/>
  <c r="CW136" i="25"/>
  <c r="CO136" i="25" s="1"/>
  <c r="CV136" i="25"/>
  <c r="CU136" i="25"/>
  <c r="CW149" i="25"/>
  <c r="CO149" i="25" s="1"/>
  <c r="CU149" i="25"/>
  <c r="CV149" i="25"/>
  <c r="CV229" i="25"/>
  <c r="CU229" i="25"/>
  <c r="CW229" i="25"/>
  <c r="CO229" i="25" s="1"/>
  <c r="CW148" i="25"/>
  <c r="CO148" i="25" s="1"/>
  <c r="CV148" i="25"/>
  <c r="CU148" i="25"/>
  <c r="CW6" i="25"/>
  <c r="CO6" i="25" s="1"/>
  <c r="CV6" i="25"/>
  <c r="CU6" i="25"/>
  <c r="DS6" i="25"/>
  <c r="CW18" i="25"/>
  <c r="CO18" i="25" s="1"/>
  <c r="CV18" i="25"/>
  <c r="CU18" i="25"/>
  <c r="CV75" i="25"/>
  <c r="CU75" i="25"/>
  <c r="CW75" i="25"/>
  <c r="CO75" i="25" s="1"/>
  <c r="CU247" i="25"/>
  <c r="CV247" i="25"/>
  <c r="CW247" i="25"/>
  <c r="CO247" i="25" s="1"/>
  <c r="CW130" i="25"/>
  <c r="CO130" i="25" s="1"/>
  <c r="CV130" i="25"/>
  <c r="CU130" i="25"/>
  <c r="CV165" i="25"/>
  <c r="CW165" i="25"/>
  <c r="CO165" i="25" s="1"/>
  <c r="CU165" i="25"/>
  <c r="CW184" i="25"/>
  <c r="CO184" i="25" s="1"/>
  <c r="CV184" i="25"/>
  <c r="CU184" i="25"/>
  <c r="CW279" i="25"/>
  <c r="CO279" i="25" s="1"/>
  <c r="CU279" i="25"/>
  <c r="CV279" i="25"/>
  <c r="CV209" i="25"/>
  <c r="CU209" i="25"/>
  <c r="CW209" i="25"/>
  <c r="CO209" i="25" s="1"/>
  <c r="CV256" i="25"/>
  <c r="CU256" i="25"/>
  <c r="CW256" i="25"/>
  <c r="CO256" i="25" s="1"/>
  <c r="CV264" i="25"/>
  <c r="CU264" i="25"/>
  <c r="CW264" i="25"/>
  <c r="CO264" i="25" s="1"/>
  <c r="CW196" i="25"/>
  <c r="CO196" i="25" s="1"/>
  <c r="CV196" i="25"/>
  <c r="CU196" i="25"/>
  <c r="DP230" i="25"/>
  <c r="CL230" i="25"/>
  <c r="CX230" i="25"/>
  <c r="FG137" i="25"/>
  <c r="CL137" i="25"/>
  <c r="DP137" i="25"/>
  <c r="EQ137" i="25"/>
  <c r="EU137" i="25" s="1"/>
  <c r="CX137" i="25"/>
  <c r="CL228" i="25"/>
  <c r="DP228" i="25"/>
  <c r="CX228" i="25"/>
  <c r="DP300" i="25"/>
  <c r="CL300" i="25"/>
  <c r="CX300" i="25"/>
  <c r="CY300" i="25" s="1"/>
  <c r="CW11" i="25"/>
  <c r="CO11" i="25" s="1"/>
  <c r="CV11" i="25"/>
  <c r="CU11" i="25"/>
  <c r="CV227" i="25"/>
  <c r="CU227" i="25"/>
  <c r="CW227" i="25"/>
  <c r="CO227" i="25" s="1"/>
  <c r="CV30" i="25"/>
  <c r="CW30" i="25"/>
  <c r="CO30" i="25" s="1"/>
  <c r="CU30" i="25"/>
  <c r="CL19" i="25"/>
  <c r="EQ19" i="25"/>
  <c r="EU19" i="25" s="1"/>
  <c r="DP19" i="25"/>
  <c r="FG19" i="25"/>
  <c r="CX19" i="25"/>
  <c r="CY19" i="25" s="1"/>
  <c r="FG133" i="25"/>
  <c r="DP133" i="25"/>
  <c r="CL133" i="25"/>
  <c r="EQ133" i="25"/>
  <c r="EU133" i="25" s="1"/>
  <c r="CX133" i="25"/>
  <c r="CX98" i="25"/>
  <c r="FG98" i="25"/>
  <c r="CL98" i="25"/>
  <c r="EQ98" i="25"/>
  <c r="EU98" i="25" s="1"/>
  <c r="DP98" i="25"/>
  <c r="DP72" i="25"/>
  <c r="CL72" i="25"/>
  <c r="EQ72" i="25"/>
  <c r="EU72" i="25" s="1"/>
  <c r="FG72" i="25"/>
  <c r="CX72" i="25"/>
  <c r="FG77" i="25"/>
  <c r="CL77" i="25"/>
  <c r="EQ77" i="25"/>
  <c r="EU77" i="25" s="1"/>
  <c r="DP77" i="25"/>
  <c r="CX77" i="25"/>
  <c r="FG141" i="25"/>
  <c r="DP141" i="25"/>
  <c r="CL141" i="25"/>
  <c r="EQ141" i="25"/>
  <c r="EU141" i="25" s="1"/>
  <c r="CX141" i="25"/>
  <c r="CL41" i="25"/>
  <c r="EQ41" i="25"/>
  <c r="EU41" i="25" s="1"/>
  <c r="FG41" i="25"/>
  <c r="DP41" i="25"/>
  <c r="CX41" i="25"/>
  <c r="EQ111" i="25"/>
  <c r="EU111" i="25" s="1"/>
  <c r="DP111" i="25"/>
  <c r="CL111" i="25"/>
  <c r="FG111" i="25"/>
  <c r="CX111" i="25"/>
  <c r="DP258" i="25"/>
  <c r="CL258" i="25"/>
  <c r="CX258" i="25"/>
  <c r="EQ75" i="25"/>
  <c r="EU75" i="25" s="1"/>
  <c r="FG75" i="25"/>
  <c r="CX75" i="25"/>
  <c r="CL75" i="25"/>
  <c r="DP75" i="25"/>
  <c r="DP51" i="25"/>
  <c r="CL51" i="25"/>
  <c r="FG51" i="25"/>
  <c r="EQ51" i="25"/>
  <c r="EU51" i="25" s="1"/>
  <c r="CX51" i="25"/>
  <c r="CY51" i="25" s="1"/>
  <c r="FG138" i="25"/>
  <c r="DP138" i="25"/>
  <c r="CL138" i="25"/>
  <c r="EQ138" i="25"/>
  <c r="EU138" i="25" s="1"/>
  <c r="CX138" i="25"/>
  <c r="DP52" i="25"/>
  <c r="CL52" i="25"/>
  <c r="EQ52" i="25"/>
  <c r="EU52" i="25" s="1"/>
  <c r="FG52" i="25"/>
  <c r="CX52" i="25"/>
  <c r="FG150" i="25"/>
  <c r="CL150" i="25"/>
  <c r="EQ150" i="25"/>
  <c r="EU150" i="25" s="1"/>
  <c r="DP150" i="25"/>
  <c r="CX150" i="25"/>
  <c r="FG50" i="25"/>
  <c r="CX50" i="25"/>
  <c r="DP50" i="25"/>
  <c r="EQ50" i="25"/>
  <c r="EU50" i="25" s="1"/>
  <c r="CL50" i="25"/>
  <c r="CL94" i="25"/>
  <c r="DP94" i="25"/>
  <c r="FG94" i="25"/>
  <c r="EQ94" i="25"/>
  <c r="EU94" i="25" s="1"/>
  <c r="CX94" i="25"/>
  <c r="EQ174" i="25"/>
  <c r="EU174" i="25" s="1"/>
  <c r="DP174" i="25"/>
  <c r="CX174" i="25"/>
  <c r="FG174" i="25"/>
  <c r="CL174" i="25"/>
  <c r="DP123" i="25"/>
  <c r="CL123" i="25"/>
  <c r="EQ123" i="25"/>
  <c r="EU123" i="25" s="1"/>
  <c r="CX123" i="25"/>
  <c r="FG123" i="25"/>
  <c r="CL293" i="25"/>
  <c r="CX293" i="25"/>
  <c r="DP293" i="25"/>
  <c r="EQ118" i="25"/>
  <c r="EU118" i="25" s="1"/>
  <c r="DP118" i="25"/>
  <c r="CX118" i="25"/>
  <c r="CL118" i="25"/>
  <c r="FG118" i="25"/>
  <c r="DP224" i="25"/>
  <c r="CL224" i="25"/>
  <c r="CX224" i="25"/>
  <c r="CL222" i="25"/>
  <c r="DP222" i="25"/>
  <c r="CX222" i="25"/>
  <c r="DP202" i="25"/>
  <c r="CL202" i="25"/>
  <c r="CX202" i="25"/>
  <c r="FG202" i="25"/>
  <c r="EQ202" i="25"/>
  <c r="EU202" i="25" s="1"/>
  <c r="CL270" i="25"/>
  <c r="DP270" i="25"/>
  <c r="CX270" i="25"/>
  <c r="CY270" i="25" s="1"/>
  <c r="FG159" i="25"/>
  <c r="CL159" i="25"/>
  <c r="DP159" i="25"/>
  <c r="EQ159" i="25"/>
  <c r="EU159" i="25" s="1"/>
  <c r="CX159" i="25"/>
  <c r="CL229" i="25"/>
  <c r="CX229" i="25"/>
  <c r="DP229" i="25"/>
  <c r="DP296" i="25"/>
  <c r="CX296" i="25"/>
  <c r="CL296" i="25"/>
  <c r="FG191" i="25"/>
  <c r="DP191" i="25"/>
  <c r="CX191" i="25"/>
  <c r="EQ191" i="25"/>
  <c r="EU191" i="25" s="1"/>
  <c r="CL191" i="25"/>
  <c r="CL301" i="25"/>
  <c r="DP301" i="25"/>
  <c r="CX301" i="25"/>
  <c r="DP187" i="25"/>
  <c r="FG187" i="25"/>
  <c r="EQ187" i="25"/>
  <c r="EU187" i="25" s="1"/>
  <c r="CL187" i="25"/>
  <c r="CX187" i="25"/>
  <c r="DP260" i="25"/>
  <c r="CX260" i="25"/>
  <c r="CL260" i="25"/>
  <c r="FG155" i="25"/>
  <c r="CL155" i="25"/>
  <c r="DP155" i="25"/>
  <c r="EQ155" i="25"/>
  <c r="EU155" i="25" s="1"/>
  <c r="CX155" i="25"/>
  <c r="CY155" i="25" s="1"/>
  <c r="DP205" i="25"/>
  <c r="CX205" i="25"/>
  <c r="FG205" i="25"/>
  <c r="CL205" i="25"/>
  <c r="EQ205" i="25"/>
  <c r="EU205" i="25" s="1"/>
  <c r="DP255" i="25"/>
  <c r="CX255" i="25"/>
  <c r="CL255" i="25"/>
  <c r="DP167" i="25"/>
  <c r="CL167" i="25"/>
  <c r="CX167" i="25"/>
  <c r="FG167" i="25"/>
  <c r="EQ167" i="25"/>
  <c r="EU167" i="25" s="1"/>
  <c r="EQ207" i="25"/>
  <c r="EU207" i="25" s="1"/>
  <c r="CX207" i="25"/>
  <c r="CY207" i="25" s="1"/>
  <c r="CL207" i="25"/>
  <c r="FG207" i="25"/>
  <c r="DP207" i="25"/>
  <c r="DP263" i="25"/>
  <c r="CX263" i="25"/>
  <c r="CL263" i="25"/>
  <c r="CV24" i="25"/>
  <c r="CU24" i="25"/>
  <c r="CW24" i="25"/>
  <c r="CO24" i="25" s="1"/>
  <c r="CW93" i="25"/>
  <c r="CO93" i="25" s="1"/>
  <c r="CV93" i="25"/>
  <c r="CU93" i="25"/>
  <c r="CV104" i="25"/>
  <c r="CU104" i="25"/>
  <c r="CW104" i="25"/>
  <c r="CO104" i="25" s="1"/>
  <c r="CV85" i="25"/>
  <c r="CU85" i="25"/>
  <c r="CW85" i="25"/>
  <c r="CO85" i="25" s="1"/>
  <c r="CU244" i="25"/>
  <c r="CW244" i="25"/>
  <c r="CO244" i="25" s="1"/>
  <c r="CV244" i="25"/>
  <c r="CW59" i="25"/>
  <c r="CO59" i="25" s="1"/>
  <c r="CV59" i="25"/>
  <c r="CU59" i="25"/>
  <c r="CV232" i="25"/>
  <c r="CU232" i="25"/>
  <c r="CW232" i="25"/>
  <c r="CO232" i="25" s="1"/>
  <c r="CU248" i="25"/>
  <c r="CW248" i="25"/>
  <c r="CO248" i="25" s="1"/>
  <c r="CV248" i="25"/>
  <c r="CV51" i="25"/>
  <c r="CU51" i="25"/>
  <c r="CW51" i="25"/>
  <c r="CO51" i="25" s="1"/>
  <c r="CW234" i="25"/>
  <c r="CO234" i="25" s="1"/>
  <c r="CV234" i="25"/>
  <c r="CU234" i="25"/>
  <c r="CU157" i="25"/>
  <c r="CV157" i="25"/>
  <c r="CW157" i="25"/>
  <c r="CO157" i="25" s="1"/>
  <c r="CU290" i="25"/>
  <c r="CW290" i="25"/>
  <c r="CO290" i="25" s="1"/>
  <c r="CV290" i="25"/>
  <c r="CV226" i="25"/>
  <c r="CU226" i="25"/>
  <c r="CW226" i="25"/>
  <c r="CO226" i="25" s="1"/>
  <c r="CV266" i="25"/>
  <c r="CW266" i="25"/>
  <c r="CO266" i="25" s="1"/>
  <c r="CU266" i="25"/>
  <c r="CV257" i="25"/>
  <c r="CU257" i="25"/>
  <c r="CW257" i="25"/>
  <c r="CO257" i="25" s="1"/>
  <c r="CW304" i="25"/>
  <c r="CO304" i="25" s="1"/>
  <c r="CV304" i="25"/>
  <c r="CU304" i="25"/>
  <c r="CU217" i="25"/>
  <c r="CV217" i="25"/>
  <c r="CW217" i="25"/>
  <c r="CO217" i="25" s="1"/>
  <c r="CU29" i="25"/>
  <c r="CW29" i="25"/>
  <c r="CO29" i="25" s="1"/>
  <c r="CV29" i="25"/>
  <c r="CW50" i="25"/>
  <c r="CO50" i="25" s="1"/>
  <c r="CU50" i="25"/>
  <c r="CV50" i="25"/>
  <c r="CW282" i="25"/>
  <c r="CO282" i="25" s="1"/>
  <c r="CU282" i="25"/>
  <c r="CV282" i="25"/>
  <c r="CV207" i="25"/>
  <c r="CU207" i="25"/>
  <c r="CW207" i="25"/>
  <c r="CO207" i="25" s="1"/>
  <c r="CW249" i="25"/>
  <c r="CO249" i="25" s="1"/>
  <c r="CU249" i="25"/>
  <c r="CV249" i="25"/>
  <c r="CV81" i="25"/>
  <c r="CW81" i="25"/>
  <c r="CO81" i="25" s="1"/>
  <c r="CU81" i="25"/>
  <c r="CW252" i="25"/>
  <c r="CO252" i="25" s="1"/>
  <c r="CV252" i="25"/>
  <c r="CU252" i="25"/>
  <c r="CW286" i="25"/>
  <c r="CO286" i="25" s="1"/>
  <c r="CU286" i="25"/>
  <c r="CV286" i="25"/>
  <c r="CV14" i="25"/>
  <c r="CW14" i="25"/>
  <c r="CO14" i="25" s="1"/>
  <c r="CU14" i="25"/>
  <c r="CW26" i="25"/>
  <c r="CO26" i="25" s="1"/>
  <c r="CV26" i="25"/>
  <c r="CU26" i="25"/>
  <c r="CW53" i="25"/>
  <c r="CO53" i="25" s="1"/>
  <c r="CU53" i="25"/>
  <c r="CV53" i="25"/>
  <c r="CW269" i="25"/>
  <c r="CO269" i="25" s="1"/>
  <c r="CU269" i="25"/>
  <c r="CV269" i="25"/>
  <c r="CV38" i="25"/>
  <c r="CU38" i="25"/>
  <c r="CW38" i="25"/>
  <c r="CO38" i="25" s="1"/>
  <c r="CU60" i="25"/>
  <c r="CV60" i="25"/>
  <c r="CW60" i="25"/>
  <c r="CO60" i="25" s="1"/>
  <c r="CW188" i="25"/>
  <c r="CO188" i="25" s="1"/>
  <c r="CV188" i="25"/>
  <c r="CU188" i="25"/>
  <c r="CW289" i="25"/>
  <c r="CO289" i="25" s="1"/>
  <c r="CV289" i="25"/>
  <c r="CU289" i="25"/>
  <c r="CV237" i="25"/>
  <c r="CU237" i="25"/>
  <c r="CW237" i="25"/>
  <c r="CO237" i="25" s="1"/>
  <c r="CV299" i="25"/>
  <c r="CU299" i="25"/>
  <c r="CW299" i="25"/>
  <c r="CO299" i="25" s="1"/>
  <c r="CU277" i="25"/>
  <c r="CW277" i="25"/>
  <c r="CO277" i="25" s="1"/>
  <c r="CV277" i="25"/>
  <c r="CW206" i="25"/>
  <c r="CO206" i="25" s="1"/>
  <c r="CV206" i="25"/>
  <c r="CU206" i="25"/>
  <c r="DP240" i="25"/>
  <c r="CL240" i="25"/>
  <c r="CX240" i="25"/>
  <c r="DP16" i="25"/>
  <c r="FG16" i="25"/>
  <c r="EQ16" i="25"/>
  <c r="EU16" i="25" s="1"/>
  <c r="CX16" i="25"/>
  <c r="CL16" i="25"/>
  <c r="EQ91" i="25"/>
  <c r="EU91" i="25" s="1"/>
  <c r="CL91" i="25"/>
  <c r="FG91" i="25"/>
  <c r="CX91" i="25"/>
  <c r="DP91" i="25"/>
  <c r="CL102" i="25"/>
  <c r="DP102" i="25"/>
  <c r="EQ102" i="25"/>
  <c r="EU102" i="25" s="1"/>
  <c r="FG102" i="25"/>
  <c r="CX102" i="25"/>
  <c r="DP288" i="25"/>
  <c r="CL288" i="25"/>
  <c r="CX288" i="25"/>
  <c r="CX219" i="25"/>
  <c r="DP219" i="25"/>
  <c r="CL219" i="25"/>
  <c r="CL152" i="25"/>
  <c r="FG152" i="25"/>
  <c r="EQ152" i="25"/>
  <c r="EU152" i="25" s="1"/>
  <c r="DP152" i="25"/>
  <c r="CX152" i="25"/>
  <c r="EQ192" i="25"/>
  <c r="EU192" i="25" s="1"/>
  <c r="FG192" i="25"/>
  <c r="CX192" i="25"/>
  <c r="CL192" i="25"/>
  <c r="DP192" i="25"/>
  <c r="CW23" i="25"/>
  <c r="CO23" i="25" s="1"/>
  <c r="CV23" i="25"/>
  <c r="CU23" i="25"/>
  <c r="CV41" i="25"/>
  <c r="CW41" i="25"/>
  <c r="CO41" i="25" s="1"/>
  <c r="CU41" i="25"/>
  <c r="CW15" i="25"/>
  <c r="CO15" i="25" s="1"/>
  <c r="CV15" i="25"/>
  <c r="CU15" i="25"/>
  <c r="CV58" i="25"/>
  <c r="CU58" i="25"/>
  <c r="CW58" i="25"/>
  <c r="CO58" i="25" s="1"/>
  <c r="CW91" i="25"/>
  <c r="CO91" i="25" s="1"/>
  <c r="CU91" i="25"/>
  <c r="CV91" i="25"/>
  <c r="CU95" i="25"/>
  <c r="CW95" i="25"/>
  <c r="CO95" i="25" s="1"/>
  <c r="CV95" i="25"/>
  <c r="CU132" i="25"/>
  <c r="CW132" i="25"/>
  <c r="CO132" i="25" s="1"/>
  <c r="CV132" i="25"/>
  <c r="CU105" i="25"/>
  <c r="CW105" i="25"/>
  <c r="CO105" i="25" s="1"/>
  <c r="CV105" i="25"/>
  <c r="CU102" i="25"/>
  <c r="CV102" i="25"/>
  <c r="CW102" i="25"/>
  <c r="CO102" i="25" s="1"/>
  <c r="CW166" i="25"/>
  <c r="CO166" i="25" s="1"/>
  <c r="CU166" i="25"/>
  <c r="CV166" i="25"/>
  <c r="FG26" i="25"/>
  <c r="CX26" i="25"/>
  <c r="DP26" i="25"/>
  <c r="CL26" i="25"/>
  <c r="EQ26" i="25"/>
  <c r="EU26" i="25" s="1"/>
  <c r="FG160" i="25"/>
  <c r="CL160" i="25"/>
  <c r="CX160" i="25"/>
  <c r="DP160" i="25"/>
  <c r="EQ160" i="25"/>
  <c r="EU160" i="25" s="1"/>
  <c r="EQ113" i="25"/>
  <c r="EU113" i="25" s="1"/>
  <c r="CL113" i="25"/>
  <c r="FG113" i="25"/>
  <c r="CX113" i="25"/>
  <c r="DP113" i="25"/>
  <c r="EQ83" i="25"/>
  <c r="EU83" i="25" s="1"/>
  <c r="CL83" i="25"/>
  <c r="DP83" i="25"/>
  <c r="FG83" i="25"/>
  <c r="CX83" i="25"/>
  <c r="CL97" i="25"/>
  <c r="DP97" i="25"/>
  <c r="EQ97" i="25"/>
  <c r="EU97" i="25" s="1"/>
  <c r="FG97" i="25"/>
  <c r="CX97" i="25"/>
  <c r="EQ31" i="25"/>
  <c r="EU31" i="25" s="1"/>
  <c r="CL31" i="25"/>
  <c r="FG31" i="25"/>
  <c r="DP31" i="25"/>
  <c r="CX31" i="25"/>
  <c r="EQ35" i="25"/>
  <c r="EU35" i="25" s="1"/>
  <c r="CL35" i="25"/>
  <c r="DP35" i="25"/>
  <c r="CX35" i="25"/>
  <c r="FG35" i="25"/>
  <c r="EQ116" i="25"/>
  <c r="EU116" i="25" s="1"/>
  <c r="DP116" i="25"/>
  <c r="CL116" i="25"/>
  <c r="FG116" i="25"/>
  <c r="CX116" i="25"/>
  <c r="DP10" i="25"/>
  <c r="FG10" i="25"/>
  <c r="CL10" i="25"/>
  <c r="CX10" i="25"/>
  <c r="EQ10" i="25"/>
  <c r="EU10" i="25" s="1"/>
  <c r="EQ80" i="25"/>
  <c r="EU80" i="25" s="1"/>
  <c r="DP80" i="25"/>
  <c r="CL80" i="25"/>
  <c r="FG80" i="25"/>
  <c r="CX80" i="25"/>
  <c r="EQ53" i="25"/>
  <c r="EU53" i="25" s="1"/>
  <c r="CL53" i="25"/>
  <c r="DP53" i="25"/>
  <c r="CX53" i="25"/>
  <c r="FG53" i="25"/>
  <c r="EQ144" i="25"/>
  <c r="EU144" i="25" s="1"/>
  <c r="FG144" i="25"/>
  <c r="DP144" i="25"/>
  <c r="CL144" i="25"/>
  <c r="CX144" i="25"/>
  <c r="EQ62" i="25"/>
  <c r="EU62" i="25" s="1"/>
  <c r="DP62" i="25"/>
  <c r="FG62" i="25"/>
  <c r="CX62" i="25"/>
  <c r="CL62" i="25"/>
  <c r="DP265" i="25"/>
  <c r="CL265" i="25"/>
  <c r="CX265" i="25"/>
  <c r="CY265" i="25" s="1"/>
  <c r="FG54" i="25"/>
  <c r="CX54" i="25"/>
  <c r="DP54" i="25"/>
  <c r="CL54" i="25"/>
  <c r="EQ54" i="25"/>
  <c r="EU54" i="25" s="1"/>
  <c r="CL99" i="25"/>
  <c r="DP99" i="25"/>
  <c r="FG99" i="25"/>
  <c r="EQ99" i="25"/>
  <c r="EU99" i="25" s="1"/>
  <c r="CX99" i="25"/>
  <c r="DP201" i="25"/>
  <c r="CL201" i="25"/>
  <c r="FG201" i="25"/>
  <c r="CX201" i="25"/>
  <c r="EQ201" i="25"/>
  <c r="EU201" i="25" s="1"/>
  <c r="EQ127" i="25"/>
  <c r="EU127" i="25" s="1"/>
  <c r="CL127" i="25"/>
  <c r="FG127" i="25"/>
  <c r="DP127" i="25"/>
  <c r="CX127" i="25"/>
  <c r="DP304" i="25"/>
  <c r="CL304" i="25"/>
  <c r="CX304" i="25"/>
  <c r="CX120" i="25"/>
  <c r="CL120" i="25"/>
  <c r="FG120" i="25"/>
  <c r="DP120" i="25"/>
  <c r="EQ120" i="25"/>
  <c r="EU120" i="25" s="1"/>
  <c r="CX264" i="25"/>
  <c r="DP264" i="25"/>
  <c r="CL264" i="25"/>
  <c r="CX249" i="25"/>
  <c r="CL249" i="25"/>
  <c r="DP249" i="25"/>
  <c r="FG206" i="25"/>
  <c r="DP206" i="25"/>
  <c r="CL206" i="25"/>
  <c r="EQ206" i="25"/>
  <c r="EU206" i="25" s="1"/>
  <c r="CX206" i="25"/>
  <c r="CL273" i="25"/>
  <c r="DP273" i="25"/>
  <c r="CX273" i="25"/>
  <c r="FG162" i="25"/>
  <c r="CL162" i="25"/>
  <c r="DP162" i="25"/>
  <c r="EQ162" i="25"/>
  <c r="EU162" i="25" s="1"/>
  <c r="CX162" i="25"/>
  <c r="CY162" i="25" s="1"/>
  <c r="CL248" i="25"/>
  <c r="DP248" i="25"/>
  <c r="CX248" i="25"/>
  <c r="CL297" i="25"/>
  <c r="CX297" i="25"/>
  <c r="DP297" i="25"/>
  <c r="DP221" i="25"/>
  <c r="CL221" i="25"/>
  <c r="CX221" i="25"/>
  <c r="CX303" i="25"/>
  <c r="DP303" i="25"/>
  <c r="CL303" i="25"/>
  <c r="CX203" i="25"/>
  <c r="FG203" i="25"/>
  <c r="CL203" i="25"/>
  <c r="EQ203" i="25"/>
  <c r="EU203" i="25" s="1"/>
  <c r="DP203" i="25"/>
  <c r="DP268" i="25"/>
  <c r="CX268" i="25"/>
  <c r="CL268" i="25"/>
  <c r="FG158" i="25"/>
  <c r="CL158" i="25"/>
  <c r="EQ158" i="25"/>
  <c r="EU158" i="25" s="1"/>
  <c r="DP158" i="25"/>
  <c r="CX158" i="25"/>
  <c r="CX218" i="25"/>
  <c r="DP218" i="25"/>
  <c r="CL218" i="25"/>
  <c r="DP267" i="25"/>
  <c r="CL267" i="25"/>
  <c r="CX267" i="25"/>
  <c r="EQ178" i="25"/>
  <c r="EU178" i="25" s="1"/>
  <c r="FG178" i="25"/>
  <c r="CL178" i="25"/>
  <c r="DP178" i="25"/>
  <c r="CX178" i="25"/>
  <c r="FG210" i="25"/>
  <c r="EQ210" i="25"/>
  <c r="EU210" i="25" s="1"/>
  <c r="DP210" i="25"/>
  <c r="CL210" i="25"/>
  <c r="CX210" i="25"/>
  <c r="CX278" i="25"/>
  <c r="DP278" i="25"/>
  <c r="CL278" i="25"/>
  <c r="CW302" i="25"/>
  <c r="CO302" i="25" s="1"/>
  <c r="CU302" i="25"/>
  <c r="CV302" i="25"/>
  <c r="CU228" i="25"/>
  <c r="CW228" i="25"/>
  <c r="CO228" i="25" s="1"/>
  <c r="CV228" i="25"/>
  <c r="CU314" i="25"/>
  <c r="CW314" i="25"/>
  <c r="CO314" i="25" s="1"/>
  <c r="CV314" i="25"/>
  <c r="CW78" i="25"/>
  <c r="CO78" i="25" s="1"/>
  <c r="CV78" i="25"/>
  <c r="CU78" i="25"/>
  <c r="CW40" i="25"/>
  <c r="CO40" i="25" s="1"/>
  <c r="CV40" i="25"/>
  <c r="CU40" i="25"/>
  <c r="CW47" i="25"/>
  <c r="CO47" i="25" s="1"/>
  <c r="CV47" i="25"/>
  <c r="CU47" i="25"/>
  <c r="CV308" i="25"/>
  <c r="CW308" i="25"/>
  <c r="CO308" i="25" s="1"/>
  <c r="CU308" i="25"/>
  <c r="CW27" i="25"/>
  <c r="CO27" i="25" s="1"/>
  <c r="CV27" i="25"/>
  <c r="CU27" i="25"/>
  <c r="CU210" i="25"/>
  <c r="CW210" i="25"/>
  <c r="CO210" i="25" s="1"/>
  <c r="CV210" i="25"/>
  <c r="CV220" i="25"/>
  <c r="CW220" i="25"/>
  <c r="CO220" i="25" s="1"/>
  <c r="CU220" i="25"/>
  <c r="CV267" i="25"/>
  <c r="CW267" i="25"/>
  <c r="CO267" i="25" s="1"/>
  <c r="CU267" i="25"/>
  <c r="CU7" i="25"/>
  <c r="CW7" i="25"/>
  <c r="CO7" i="25" s="1"/>
  <c r="CV7" i="25"/>
  <c r="DS7" i="25"/>
  <c r="CV32" i="25"/>
  <c r="CU32" i="25"/>
  <c r="CW32" i="25"/>
  <c r="CO32" i="25" s="1"/>
  <c r="CV254" i="25"/>
  <c r="CW254" i="25"/>
  <c r="CO254" i="25" s="1"/>
  <c r="CU254" i="25"/>
  <c r="CU79" i="25"/>
  <c r="CW79" i="25"/>
  <c r="CO79" i="25" s="1"/>
  <c r="CV79" i="25"/>
  <c r="CV276" i="25"/>
  <c r="CU276" i="25"/>
  <c r="CW276" i="25"/>
  <c r="CO276" i="25" s="1"/>
  <c r="CV200" i="25"/>
  <c r="CW200" i="25"/>
  <c r="CO200" i="25" s="1"/>
  <c r="CU200" i="25"/>
  <c r="CU42" i="25"/>
  <c r="CV42" i="25"/>
  <c r="CW42" i="25"/>
  <c r="CO42" i="25" s="1"/>
  <c r="CW147" i="25"/>
  <c r="CO147" i="25" s="1"/>
  <c r="CV147" i="25"/>
  <c r="CU147" i="25"/>
  <c r="CW138" i="25"/>
  <c r="CO138" i="25" s="1"/>
  <c r="CV138" i="25"/>
  <c r="CU138" i="25"/>
  <c r="CW120" i="25"/>
  <c r="CO120" i="25" s="1"/>
  <c r="CV120" i="25"/>
  <c r="CU120" i="25"/>
  <c r="CV294" i="25"/>
  <c r="CW294" i="25"/>
  <c r="CO294" i="25" s="1"/>
  <c r="CU294" i="25"/>
  <c r="CW199" i="25"/>
  <c r="CO199" i="25" s="1"/>
  <c r="CV199" i="25"/>
  <c r="CU199" i="25"/>
  <c r="CW80" i="25"/>
  <c r="CO80" i="25" s="1"/>
  <c r="CU80" i="25"/>
  <c r="CV80" i="25"/>
  <c r="CU87" i="25"/>
  <c r="CW87" i="25"/>
  <c r="CO87" i="25" s="1"/>
  <c r="CV87" i="25"/>
  <c r="CU231" i="25"/>
  <c r="CW231" i="25"/>
  <c r="CO231" i="25" s="1"/>
  <c r="CV231" i="25"/>
  <c r="CW190" i="25"/>
  <c r="CO190" i="25" s="1"/>
  <c r="CV190" i="25"/>
  <c r="CU190" i="25"/>
  <c r="CU34" i="25"/>
  <c r="CW34" i="25"/>
  <c r="CO34" i="25" s="1"/>
  <c r="CV34" i="25"/>
  <c r="CU56" i="25"/>
  <c r="CV56" i="25"/>
  <c r="CW56" i="25"/>
  <c r="CO56" i="25" s="1"/>
  <c r="CW57" i="25"/>
  <c r="CO57" i="25" s="1"/>
  <c r="CV57" i="25"/>
  <c r="CU57" i="25"/>
  <c r="CV84" i="25"/>
  <c r="CW84" i="25"/>
  <c r="CO84" i="25" s="1"/>
  <c r="CU84" i="25"/>
  <c r="CW83" i="25"/>
  <c r="CO83" i="25" s="1"/>
  <c r="CU83" i="25"/>
  <c r="CV83" i="25"/>
  <c r="CW262" i="25"/>
  <c r="CO262" i="25" s="1"/>
  <c r="CV262" i="25"/>
  <c r="CU262" i="25"/>
  <c r="CW179" i="25"/>
  <c r="CO179" i="25" s="1"/>
  <c r="CU179" i="25"/>
  <c r="CV179" i="25"/>
  <c r="CU241" i="25"/>
  <c r="CW241" i="25"/>
  <c r="CO241" i="25" s="1"/>
  <c r="CV241" i="25"/>
  <c r="CV306" i="25"/>
  <c r="CW306" i="25"/>
  <c r="CO306" i="25" s="1"/>
  <c r="CU306" i="25"/>
  <c r="CW173" i="25"/>
  <c r="CO173" i="25" s="1"/>
  <c r="CU173" i="25"/>
  <c r="CV173" i="25"/>
  <c r="CW233" i="25"/>
  <c r="CO233" i="25" s="1"/>
  <c r="CV233" i="25"/>
  <c r="CU233" i="25"/>
  <c r="FG18" i="25"/>
  <c r="CX18" i="25"/>
  <c r="DP18" i="25"/>
  <c r="CL18" i="25"/>
  <c r="EQ18" i="25"/>
  <c r="EU18" i="25" s="1"/>
  <c r="DP234" i="25"/>
  <c r="CL234" i="25"/>
  <c r="CX234" i="25"/>
  <c r="CX316" i="25"/>
  <c r="CL316" i="25"/>
  <c r="DP316" i="25"/>
  <c r="DP44" i="25"/>
  <c r="EQ44" i="25"/>
  <c r="EU44" i="25" s="1"/>
  <c r="FG44" i="25"/>
  <c r="CL44" i="25"/>
  <c r="CX44" i="25"/>
  <c r="DP281" i="25"/>
  <c r="CX281" i="25"/>
  <c r="CL281" i="25"/>
  <c r="DP315" i="25"/>
  <c r="CX315" i="25"/>
  <c r="CL315" i="25"/>
  <c r="DP236" i="25"/>
  <c r="CL236" i="25"/>
  <c r="CX236" i="25"/>
  <c r="CY236" i="25" s="1"/>
  <c r="CU259" i="25"/>
  <c r="CV259" i="25"/>
  <c r="CW259" i="25"/>
  <c r="CO259" i="25" s="1"/>
  <c r="CW67" i="25"/>
  <c r="CO67" i="25" s="1"/>
  <c r="CV67" i="25"/>
  <c r="CU67" i="25"/>
  <c r="CU311" i="25"/>
  <c r="CW311" i="25"/>
  <c r="CO311" i="25" s="1"/>
  <c r="CV311" i="25"/>
  <c r="CW9" i="25"/>
  <c r="CO9" i="25" s="1"/>
  <c r="CV9" i="25"/>
  <c r="CU9" i="25"/>
  <c r="CV203" i="25"/>
  <c r="CW203" i="25"/>
  <c r="CO203" i="25" s="1"/>
  <c r="CU203" i="25"/>
  <c r="EQ76" i="25"/>
  <c r="EU76" i="25" s="1"/>
  <c r="FG76" i="25"/>
  <c r="CX76" i="25"/>
  <c r="DP76" i="25"/>
  <c r="CL76" i="25"/>
  <c r="FG163" i="25"/>
  <c r="CL163" i="25"/>
  <c r="DP163" i="25"/>
  <c r="EQ163" i="25"/>
  <c r="EU163" i="25" s="1"/>
  <c r="CX163" i="25"/>
  <c r="FG132" i="25"/>
  <c r="DP132" i="25"/>
  <c r="CL132" i="25"/>
  <c r="CX132" i="25"/>
  <c r="EQ132" i="25"/>
  <c r="EU132" i="25" s="1"/>
  <c r="FG131" i="25"/>
  <c r="DP131" i="25"/>
  <c r="CX131" i="25"/>
  <c r="CL131" i="25"/>
  <c r="EQ131" i="25"/>
  <c r="EU131" i="25" s="1"/>
  <c r="CL103" i="25"/>
  <c r="DP103" i="25"/>
  <c r="CX103" i="25"/>
  <c r="EQ103" i="25"/>
  <c r="EU103" i="25" s="1"/>
  <c r="FG103" i="25"/>
  <c r="EQ61" i="25"/>
  <c r="EU61" i="25" s="1"/>
  <c r="DP61" i="25"/>
  <c r="CX61" i="25"/>
  <c r="FG61" i="25"/>
  <c r="CL61" i="25"/>
  <c r="DP36" i="25"/>
  <c r="FG36" i="25"/>
  <c r="CL36" i="25"/>
  <c r="CX36" i="25"/>
  <c r="EQ36" i="25"/>
  <c r="EU36" i="25" s="1"/>
  <c r="FG135" i="25"/>
  <c r="DP135" i="25"/>
  <c r="CL135" i="25"/>
  <c r="EQ135" i="25"/>
  <c r="EU135" i="25" s="1"/>
  <c r="CX135" i="25"/>
  <c r="DP11" i="25"/>
  <c r="EQ11" i="25"/>
  <c r="EU11" i="25" s="1"/>
  <c r="CL11" i="25"/>
  <c r="FG11" i="25"/>
  <c r="CX11" i="25"/>
  <c r="EQ84" i="25"/>
  <c r="EU84" i="25" s="1"/>
  <c r="FG84" i="25"/>
  <c r="CL84" i="25"/>
  <c r="CX84" i="25"/>
  <c r="DP84" i="25"/>
  <c r="DP67" i="25"/>
  <c r="CL67" i="25"/>
  <c r="FG67" i="25"/>
  <c r="EQ67" i="25"/>
  <c r="EU67" i="25" s="1"/>
  <c r="CX67" i="25"/>
  <c r="FG196" i="25"/>
  <c r="EQ196" i="25"/>
  <c r="EU196" i="25" s="1"/>
  <c r="DP196" i="25"/>
  <c r="CL196" i="25"/>
  <c r="CX196" i="25"/>
  <c r="CL63" i="25"/>
  <c r="FG63" i="25"/>
  <c r="EQ63" i="25"/>
  <c r="EU63" i="25" s="1"/>
  <c r="DP63" i="25"/>
  <c r="CX63" i="25"/>
  <c r="CY63" i="25" s="1"/>
  <c r="CX286" i="25"/>
  <c r="CL286" i="25"/>
  <c r="DP286" i="25"/>
  <c r="DP56" i="25"/>
  <c r="EQ56" i="25"/>
  <c r="EU56" i="25" s="1"/>
  <c r="CX56" i="25"/>
  <c r="CL56" i="25"/>
  <c r="FG56" i="25"/>
  <c r="CL101" i="25"/>
  <c r="FG101" i="25"/>
  <c r="DP101" i="25"/>
  <c r="EQ101" i="25"/>
  <c r="EU101" i="25" s="1"/>
  <c r="CX101" i="25"/>
  <c r="DP312" i="25"/>
  <c r="CL312" i="25"/>
  <c r="CX312" i="25"/>
  <c r="FG134" i="25"/>
  <c r="DP134" i="25"/>
  <c r="CL134" i="25"/>
  <c r="CX134" i="25"/>
  <c r="EQ134" i="25"/>
  <c r="EU134" i="25" s="1"/>
  <c r="FG32" i="25"/>
  <c r="DP32" i="25"/>
  <c r="CL32" i="25"/>
  <c r="EQ32" i="25"/>
  <c r="EU32" i="25" s="1"/>
  <c r="CX32" i="25"/>
  <c r="DP124" i="25"/>
  <c r="CL124" i="25"/>
  <c r="EQ124" i="25"/>
  <c r="EU124" i="25" s="1"/>
  <c r="FG124" i="25"/>
  <c r="CX124" i="25"/>
  <c r="CL282" i="25"/>
  <c r="DP282" i="25"/>
  <c r="CX282" i="25"/>
  <c r="DP291" i="25"/>
  <c r="CX291" i="25"/>
  <c r="CL291" i="25"/>
  <c r="CL217" i="25"/>
  <c r="CX217" i="25"/>
  <c r="DP217" i="25"/>
  <c r="CL274" i="25"/>
  <c r="DP274" i="25"/>
  <c r="CX274" i="25"/>
  <c r="EQ165" i="25"/>
  <c r="EU165" i="25" s="1"/>
  <c r="DP165" i="25"/>
  <c r="CX165" i="25"/>
  <c r="CL165" i="25"/>
  <c r="FG165" i="25"/>
  <c r="CL261" i="25"/>
  <c r="DP261" i="25"/>
  <c r="CX261" i="25"/>
  <c r="CX311" i="25"/>
  <c r="DP311" i="25"/>
  <c r="CL311" i="25"/>
  <c r="CX223" i="25"/>
  <c r="CL223" i="25"/>
  <c r="DP223" i="25"/>
  <c r="CL310" i="25"/>
  <c r="DP310" i="25"/>
  <c r="CX310" i="25"/>
  <c r="DP204" i="25"/>
  <c r="CX204" i="25"/>
  <c r="CL204" i="25"/>
  <c r="FG204" i="25"/>
  <c r="EQ204" i="25"/>
  <c r="EU204" i="25" s="1"/>
  <c r="CL279" i="25"/>
  <c r="DP279" i="25"/>
  <c r="CX279" i="25"/>
  <c r="EQ166" i="25"/>
  <c r="EU166" i="25" s="1"/>
  <c r="DP166" i="25"/>
  <c r="CL166" i="25"/>
  <c r="CX166" i="25"/>
  <c r="FG166" i="25"/>
  <c r="DP231" i="25"/>
  <c r="CL231" i="25"/>
  <c r="CX231" i="25"/>
  <c r="DP271" i="25"/>
  <c r="CX271" i="25"/>
  <c r="CL271" i="25"/>
  <c r="FG186" i="25"/>
  <c r="EQ186" i="25"/>
  <c r="EU186" i="25" s="1"/>
  <c r="CX186" i="25"/>
  <c r="DP186" i="25"/>
  <c r="CL186" i="25"/>
  <c r="DP220" i="25"/>
  <c r="CL220" i="25"/>
  <c r="CX220" i="25"/>
  <c r="CY220" i="25" s="1"/>
  <c r="DP299" i="25"/>
  <c r="CX299" i="25"/>
  <c r="CL299" i="25"/>
  <c r="CW100" i="25"/>
  <c r="CO100" i="25" s="1"/>
  <c r="CV100" i="25"/>
  <c r="CU100" i="25"/>
  <c r="CW99" i="25"/>
  <c r="CO99" i="25" s="1"/>
  <c r="CV99" i="25"/>
  <c r="CU99" i="25"/>
  <c r="CV37" i="25"/>
  <c r="CU37" i="25"/>
  <c r="CW37" i="25"/>
  <c r="CO37" i="25" s="1"/>
  <c r="CV187" i="25"/>
  <c r="CU187" i="25"/>
  <c r="CW187" i="25"/>
  <c r="CO187" i="25" s="1"/>
  <c r="CU45" i="25"/>
  <c r="CW45" i="25"/>
  <c r="CO45" i="25" s="1"/>
  <c r="CV45" i="25"/>
  <c r="CV31" i="25"/>
  <c r="CU31" i="25"/>
  <c r="CW31" i="25"/>
  <c r="CO31" i="25" s="1"/>
  <c r="CU158" i="25"/>
  <c r="CW158" i="25"/>
  <c r="CO158" i="25" s="1"/>
  <c r="CV158" i="25"/>
  <c r="CU44" i="25"/>
  <c r="CV44" i="25"/>
  <c r="CW44" i="25"/>
  <c r="CO44" i="25" s="1"/>
  <c r="CV76" i="25"/>
  <c r="CW76" i="25"/>
  <c r="CO76" i="25" s="1"/>
  <c r="CU76" i="25"/>
  <c r="CV164" i="25"/>
  <c r="CU164" i="25"/>
  <c r="CW164" i="25"/>
  <c r="CO164" i="25" s="1"/>
  <c r="CV156" i="25"/>
  <c r="CU156" i="25"/>
  <c r="CW156" i="25"/>
  <c r="CO156" i="25" s="1"/>
  <c r="CV103" i="25"/>
  <c r="CW103" i="25"/>
  <c r="CO103" i="25" s="1"/>
  <c r="CU103" i="25"/>
  <c r="CW275" i="25"/>
  <c r="CO275" i="25" s="1"/>
  <c r="CV275" i="25"/>
  <c r="CU275" i="25"/>
  <c r="CU283" i="25"/>
  <c r="CV283" i="25"/>
  <c r="CW283" i="25"/>
  <c r="CO283" i="25" s="1"/>
  <c r="CW280" i="25"/>
  <c r="CO280" i="25" s="1"/>
  <c r="CU280" i="25"/>
  <c r="CV280" i="25"/>
  <c r="CW239" i="25"/>
  <c r="CO239" i="25" s="1"/>
  <c r="CV239" i="25"/>
  <c r="CU239" i="25"/>
  <c r="CW284" i="25"/>
  <c r="CO284" i="25" s="1"/>
  <c r="CU284" i="25"/>
  <c r="CV284" i="25"/>
  <c r="CW35" i="25"/>
  <c r="CO35" i="25" s="1"/>
  <c r="CV35" i="25"/>
  <c r="CU35" i="25"/>
  <c r="CU295" i="25"/>
  <c r="CW295" i="25"/>
  <c r="CO295" i="25" s="1"/>
  <c r="CV295" i="25"/>
  <c r="CV98" i="25"/>
  <c r="CU98" i="25"/>
  <c r="CW98" i="25"/>
  <c r="CO98" i="25" s="1"/>
  <c r="CU92" i="25"/>
  <c r="CW92" i="25"/>
  <c r="CO92" i="25" s="1"/>
  <c r="CV92" i="25"/>
  <c r="CV168" i="25"/>
  <c r="CW168" i="25"/>
  <c r="CO168" i="25" s="1"/>
  <c r="CU168" i="25"/>
  <c r="CW144" i="25"/>
  <c r="CO144" i="25" s="1"/>
  <c r="CV144" i="25"/>
  <c r="CU144" i="25"/>
  <c r="CV70" i="25"/>
  <c r="CU70" i="25"/>
  <c r="CW70" i="25"/>
  <c r="CO70" i="25" s="1"/>
  <c r="CW143" i="25"/>
  <c r="CO143" i="25" s="1"/>
  <c r="CU143" i="25"/>
  <c r="CV143" i="25"/>
  <c r="CW97" i="25"/>
  <c r="CO97" i="25" s="1"/>
  <c r="CV97" i="25"/>
  <c r="CU97" i="25"/>
  <c r="CV122" i="25"/>
  <c r="CU122" i="25"/>
  <c r="CW122" i="25"/>
  <c r="CO122" i="25" s="1"/>
  <c r="CU64" i="25"/>
  <c r="CV64" i="25"/>
  <c r="CW64" i="25"/>
  <c r="CO64" i="25" s="1"/>
  <c r="CW65" i="25"/>
  <c r="CO65" i="25" s="1"/>
  <c r="CV65" i="25"/>
  <c r="CU65" i="25"/>
  <c r="CV111" i="25"/>
  <c r="CU111" i="25"/>
  <c r="CW111" i="25"/>
  <c r="CO111" i="25" s="1"/>
  <c r="CV202" i="25"/>
  <c r="CU202" i="25"/>
  <c r="CW202" i="25"/>
  <c r="CO202" i="25" s="1"/>
  <c r="CV191" i="25"/>
  <c r="CW191" i="25"/>
  <c r="CO191" i="25" s="1"/>
  <c r="CU191" i="25"/>
  <c r="CW180" i="25"/>
  <c r="CO180" i="25" s="1"/>
  <c r="CV180" i="25"/>
  <c r="CU180" i="25"/>
  <c r="CU251" i="25"/>
  <c r="CW251" i="25"/>
  <c r="CO251" i="25" s="1"/>
  <c r="CV251" i="25"/>
  <c r="CU174" i="25"/>
  <c r="CW174" i="25"/>
  <c r="CO174" i="25" s="1"/>
  <c r="CV174" i="25"/>
  <c r="CU175" i="25"/>
  <c r="CV175" i="25"/>
  <c r="CW175" i="25"/>
  <c r="CO175" i="25" s="1"/>
  <c r="CW292" i="25"/>
  <c r="CO292" i="25" s="1"/>
  <c r="CU292" i="25"/>
  <c r="CV292" i="25"/>
  <c r="CL34" i="24"/>
  <c r="CW34" i="24"/>
  <c r="CX34" i="24" s="1"/>
  <c r="DQ34" i="24"/>
  <c r="ES34" i="24"/>
  <c r="EV34" i="24" s="1"/>
  <c r="CY34" i="24"/>
  <c r="CU34" i="24"/>
  <c r="CV34" i="24" s="1"/>
  <c r="CY87" i="24"/>
  <c r="CL87" i="24"/>
  <c r="ES87" i="24"/>
  <c r="EV87" i="24" s="1"/>
  <c r="CW87" i="24"/>
  <c r="CX87" i="24" s="1"/>
  <c r="DQ87" i="24"/>
  <c r="CU87" i="24"/>
  <c r="CV87" i="24" s="1"/>
  <c r="ES53" i="24"/>
  <c r="EV53" i="24" s="1"/>
  <c r="CL53" i="24"/>
  <c r="DQ53" i="24"/>
  <c r="CW53" i="24"/>
  <c r="CX53" i="24" s="1"/>
  <c r="CY53" i="24"/>
  <c r="CU53" i="24"/>
  <c r="CV53" i="24" s="1"/>
  <c r="ES42" i="24"/>
  <c r="EV42" i="24" s="1"/>
  <c r="CL42" i="24"/>
  <c r="CW42" i="24"/>
  <c r="CX42" i="24" s="1"/>
  <c r="CY42" i="24"/>
  <c r="DQ42" i="24"/>
  <c r="CU42" i="24"/>
  <c r="CV42" i="24" s="1"/>
  <c r="CU11" i="24"/>
  <c r="CV11" i="24" s="1"/>
  <c r="CL11" i="24"/>
  <c r="DQ11" i="24"/>
  <c r="ES11" i="24"/>
  <c r="EV11" i="24" s="1"/>
  <c r="CW11" i="24"/>
  <c r="CX11" i="24" s="1"/>
  <c r="CY11" i="24"/>
  <c r="CZ11" i="24" s="1"/>
  <c r="CL91" i="24"/>
  <c r="DQ91" i="24"/>
  <c r="ES91" i="24"/>
  <c r="EV91" i="24" s="1"/>
  <c r="CW91" i="24"/>
  <c r="CX91" i="24" s="1"/>
  <c r="CY91" i="24"/>
  <c r="CZ91" i="24" s="1"/>
  <c r="CU91" i="24"/>
  <c r="CV91" i="24" s="1"/>
  <c r="CL39" i="24"/>
  <c r="CU39" i="24"/>
  <c r="CV39" i="24" s="1"/>
  <c r="ES39" i="24"/>
  <c r="EV39" i="24" s="1"/>
  <c r="CY39" i="24"/>
  <c r="CW39" i="24"/>
  <c r="CX39" i="24" s="1"/>
  <c r="DQ39" i="24"/>
  <c r="CW71" i="24"/>
  <c r="CX71" i="24" s="1"/>
  <c r="DQ71" i="24"/>
  <c r="ES71" i="24"/>
  <c r="EV71" i="24" s="1"/>
  <c r="CL71" i="24"/>
  <c r="CY71" i="24"/>
  <c r="CU71" i="24"/>
  <c r="CV71" i="24" s="1"/>
  <c r="CW43" i="24"/>
  <c r="CX43" i="24" s="1"/>
  <c r="CL43" i="24"/>
  <c r="ES43" i="24"/>
  <c r="EV43" i="24" s="1"/>
  <c r="CU43" i="24"/>
  <c r="CV43" i="24" s="1"/>
  <c r="DQ43" i="24"/>
  <c r="CY43" i="24"/>
  <c r="DQ122" i="24"/>
  <c r="CY122" i="24"/>
  <c r="CZ122" i="24" s="1"/>
  <c r="CU122" i="24"/>
  <c r="ES122" i="24"/>
  <c r="EV122" i="24" s="1"/>
  <c r="CW122" i="24"/>
  <c r="CX122" i="24" s="1"/>
  <c r="CL122" i="24"/>
  <c r="ES168" i="24"/>
  <c r="EV168" i="24" s="1"/>
  <c r="CL168" i="24"/>
  <c r="CU168" i="24"/>
  <c r="CW168" i="24"/>
  <c r="CX168" i="24" s="1"/>
  <c r="DQ168" i="24"/>
  <c r="CY168" i="24"/>
  <c r="CZ168" i="24" s="1"/>
  <c r="ES127" i="24"/>
  <c r="EV127" i="24" s="1"/>
  <c r="DQ127" i="24"/>
  <c r="CW127" i="24"/>
  <c r="CX127" i="24" s="1"/>
  <c r="CL127" i="24"/>
  <c r="CY127" i="24"/>
  <c r="CU127" i="24"/>
  <c r="CW266" i="24"/>
  <c r="CX266" i="24" s="1"/>
  <c r="CU266" i="24"/>
  <c r="CL266" i="24"/>
  <c r="DQ266" i="24"/>
  <c r="CY266" i="24"/>
  <c r="ES69" i="24"/>
  <c r="EV69" i="24" s="1"/>
  <c r="CW69" i="24"/>
  <c r="CX69" i="24" s="1"/>
  <c r="CL69" i="24"/>
  <c r="DQ69" i="24"/>
  <c r="CU69" i="24"/>
  <c r="CV69" i="24" s="1"/>
  <c r="CY69" i="24"/>
  <c r="CL140" i="24"/>
  <c r="ES140" i="24"/>
  <c r="EV140" i="24" s="1"/>
  <c r="DQ140" i="24"/>
  <c r="CW140" i="24"/>
  <c r="CX140" i="24" s="1"/>
  <c r="CY140" i="24"/>
  <c r="CU140" i="24"/>
  <c r="ES99" i="24"/>
  <c r="EV99" i="24" s="1"/>
  <c r="CW99" i="24"/>
  <c r="CX99" i="24" s="1"/>
  <c r="CY99" i="24"/>
  <c r="DQ99" i="24"/>
  <c r="CL99" i="24"/>
  <c r="CU99" i="24"/>
  <c r="CV99" i="24" s="1"/>
  <c r="DQ151" i="24"/>
  <c r="CL151" i="24"/>
  <c r="CW151" i="24"/>
  <c r="CX151" i="24" s="1"/>
  <c r="ES151" i="24"/>
  <c r="EV151" i="24" s="1"/>
  <c r="CY151" i="24"/>
  <c r="CU151" i="24"/>
  <c r="CY124" i="24"/>
  <c r="DQ124" i="24"/>
  <c r="ES124" i="24"/>
  <c r="EV124" i="24" s="1"/>
  <c r="CL124" i="24"/>
  <c r="CW124" i="24"/>
  <c r="CX124" i="24" s="1"/>
  <c r="CU124" i="24"/>
  <c r="DQ188" i="24"/>
  <c r="CY188" i="24"/>
  <c r="ES188" i="24"/>
  <c r="EV188" i="24" s="1"/>
  <c r="CU188" i="24"/>
  <c r="CL188" i="24"/>
  <c r="CW188" i="24"/>
  <c r="CX188" i="24" s="1"/>
  <c r="ES138" i="24"/>
  <c r="EV138" i="24" s="1"/>
  <c r="CL138" i="24"/>
  <c r="DQ138" i="24"/>
  <c r="CY138" i="24"/>
  <c r="CW138" i="24"/>
  <c r="CX138" i="24" s="1"/>
  <c r="CU138" i="24"/>
  <c r="CL310" i="24"/>
  <c r="CW310" i="24"/>
  <c r="CX310" i="24" s="1"/>
  <c r="CU310" i="24"/>
  <c r="CY310" i="24"/>
  <c r="DQ310" i="24"/>
  <c r="CL174" i="24"/>
  <c r="ES174" i="24"/>
  <c r="EV174" i="24" s="1"/>
  <c r="DQ174" i="24"/>
  <c r="CU174" i="24"/>
  <c r="CW174" i="24"/>
  <c r="CX174" i="24" s="1"/>
  <c r="CY174" i="24"/>
  <c r="ES114" i="24"/>
  <c r="EV114" i="24" s="1"/>
  <c r="CW114" i="24"/>
  <c r="CX114" i="24" s="1"/>
  <c r="DQ114" i="24"/>
  <c r="CL114" i="24"/>
  <c r="CY114" i="24"/>
  <c r="CU114" i="24"/>
  <c r="CL176" i="24"/>
  <c r="CU176" i="24"/>
  <c r="ES176" i="24"/>
  <c r="EV176" i="24" s="1"/>
  <c r="CW176" i="24"/>
  <c r="CX176" i="24" s="1"/>
  <c r="DQ176" i="24"/>
  <c r="CY176" i="24"/>
  <c r="ES201" i="24"/>
  <c r="EV201" i="24" s="1"/>
  <c r="DQ201" i="24"/>
  <c r="CW201" i="24"/>
  <c r="CX201" i="24" s="1"/>
  <c r="CU201" i="24"/>
  <c r="CL201" i="24"/>
  <c r="CY201" i="24"/>
  <c r="CZ201" i="24" s="1"/>
  <c r="CW271" i="24"/>
  <c r="CX271" i="24" s="1"/>
  <c r="CL271" i="24"/>
  <c r="DQ271" i="24"/>
  <c r="CY271" i="24"/>
  <c r="CU271" i="24"/>
  <c r="DQ237" i="24"/>
  <c r="CL237" i="24"/>
  <c r="CW237" i="24"/>
  <c r="CX237" i="24" s="1"/>
  <c r="CU237" i="24"/>
  <c r="CY237" i="24"/>
  <c r="DQ315" i="24"/>
  <c r="CL315" i="24"/>
  <c r="CW315" i="24"/>
  <c r="CX315" i="24" s="1"/>
  <c r="CY315" i="24"/>
  <c r="CU315" i="24"/>
  <c r="DQ239" i="24"/>
  <c r="CW239" i="24"/>
  <c r="CX239" i="24" s="1"/>
  <c r="CL239" i="24"/>
  <c r="CY239" i="24"/>
  <c r="CU239" i="24"/>
  <c r="DQ299" i="24"/>
  <c r="CL299" i="24"/>
  <c r="CY299" i="24"/>
  <c r="CZ299" i="24" s="1"/>
  <c r="CW299" i="24"/>
  <c r="CX299" i="24" s="1"/>
  <c r="CU299" i="24"/>
  <c r="CY225" i="24"/>
  <c r="CW225" i="24"/>
  <c r="CX225" i="24" s="1"/>
  <c r="CU225" i="24"/>
  <c r="DQ225" i="24"/>
  <c r="CL225" i="24"/>
  <c r="CW260" i="24"/>
  <c r="CX260" i="24" s="1"/>
  <c r="CU260" i="24"/>
  <c r="CL260" i="24"/>
  <c r="DQ260" i="24"/>
  <c r="CY260" i="24"/>
  <c r="CU223" i="24"/>
  <c r="CW223" i="24"/>
  <c r="CX223" i="24" s="1"/>
  <c r="CY223" i="24"/>
  <c r="DQ223" i="24"/>
  <c r="CL223" i="24"/>
  <c r="DQ290" i="24"/>
  <c r="CL290" i="24"/>
  <c r="CW290" i="24"/>
  <c r="CX290" i="24" s="1"/>
  <c r="CY290" i="24"/>
  <c r="CU290" i="24"/>
  <c r="ES196" i="24"/>
  <c r="EV196" i="24" s="1"/>
  <c r="CU196" i="24"/>
  <c r="CY196" i="24"/>
  <c r="DQ196" i="24"/>
  <c r="CW196" i="24"/>
  <c r="CX196" i="24" s="1"/>
  <c r="CL196" i="24"/>
  <c r="DQ246" i="24"/>
  <c r="CU246" i="24"/>
  <c r="CL246" i="24"/>
  <c r="CW246" i="24"/>
  <c r="CX246" i="24" s="1"/>
  <c r="CY246" i="24"/>
  <c r="CL313" i="24"/>
  <c r="DQ313" i="24"/>
  <c r="CY313" i="24"/>
  <c r="CW313" i="24"/>
  <c r="CX313" i="24" s="1"/>
  <c r="CU313" i="24"/>
  <c r="CL26" i="24"/>
  <c r="CW26" i="24"/>
  <c r="CX26" i="24" s="1"/>
  <c r="CY26" i="24"/>
  <c r="ES26" i="24"/>
  <c r="EV26" i="24" s="1"/>
  <c r="DQ26" i="24"/>
  <c r="CU26" i="24"/>
  <c r="CV26" i="24" s="1"/>
  <c r="DQ92" i="24"/>
  <c r="CL92" i="24"/>
  <c r="CW92" i="24"/>
  <c r="CX92" i="24" s="1"/>
  <c r="CY92" i="24"/>
  <c r="CU92" i="24"/>
  <c r="CV92" i="24" s="1"/>
  <c r="ES92" i="24"/>
  <c r="EV92" i="24" s="1"/>
  <c r="DQ59" i="24"/>
  <c r="ES59" i="24"/>
  <c r="EV59" i="24" s="1"/>
  <c r="CL59" i="24"/>
  <c r="CW59" i="24"/>
  <c r="CX59" i="24" s="1"/>
  <c r="CY59" i="24"/>
  <c r="CU59" i="24"/>
  <c r="CV59" i="24" s="1"/>
  <c r="CW77" i="24"/>
  <c r="CX77" i="24" s="1"/>
  <c r="ES77" i="24"/>
  <c r="EV77" i="24" s="1"/>
  <c r="CL77" i="24"/>
  <c r="CY77" i="24"/>
  <c r="DQ77" i="24"/>
  <c r="CU77" i="24"/>
  <c r="CV77" i="24" s="1"/>
  <c r="CY12" i="24"/>
  <c r="ES12" i="24"/>
  <c r="EV12" i="24" s="1"/>
  <c r="CW12" i="24"/>
  <c r="CX12" i="24" s="1"/>
  <c r="CU12" i="24"/>
  <c r="CV12" i="24" s="1"/>
  <c r="DQ12" i="24"/>
  <c r="CL12" i="24"/>
  <c r="ES96" i="24"/>
  <c r="EV96" i="24" s="1"/>
  <c r="CL96" i="24"/>
  <c r="DQ96" i="24"/>
  <c r="CW96" i="24"/>
  <c r="CX96" i="24" s="1"/>
  <c r="CU96" i="24"/>
  <c r="CV96" i="24" s="1"/>
  <c r="CY96" i="24"/>
  <c r="ES49" i="24"/>
  <c r="EV49" i="24" s="1"/>
  <c r="CL49" i="24"/>
  <c r="CW49" i="24"/>
  <c r="CX49" i="24" s="1"/>
  <c r="CY49" i="24"/>
  <c r="DQ49" i="24"/>
  <c r="CU49" i="24"/>
  <c r="CV49" i="24" s="1"/>
  <c r="ES79" i="24"/>
  <c r="EV79" i="24" s="1"/>
  <c r="CW79" i="24"/>
  <c r="CX79" i="24" s="1"/>
  <c r="CY79" i="24"/>
  <c r="DQ79" i="24"/>
  <c r="CU79" i="24"/>
  <c r="CV79" i="24" s="1"/>
  <c r="CL79" i="24"/>
  <c r="CW44" i="24"/>
  <c r="CX44" i="24" s="1"/>
  <c r="CL44" i="24"/>
  <c r="DQ44" i="24"/>
  <c r="ES44" i="24"/>
  <c r="EV44" i="24" s="1"/>
  <c r="CY44" i="24"/>
  <c r="CU44" i="24"/>
  <c r="CV44" i="24" s="1"/>
  <c r="ES130" i="24"/>
  <c r="EV130" i="24" s="1"/>
  <c r="DQ130" i="24"/>
  <c r="CL130" i="24"/>
  <c r="CU130" i="24"/>
  <c r="CW130" i="24"/>
  <c r="CX130" i="24" s="1"/>
  <c r="CY130" i="24"/>
  <c r="CU218" i="24"/>
  <c r="CW218" i="24"/>
  <c r="CX218" i="24" s="1"/>
  <c r="CL218" i="24"/>
  <c r="CY218" i="24"/>
  <c r="DQ218" i="24"/>
  <c r="ES145" i="24"/>
  <c r="EV145" i="24" s="1"/>
  <c r="CW145" i="24"/>
  <c r="CX145" i="24" s="1"/>
  <c r="DQ145" i="24"/>
  <c r="CL145" i="24"/>
  <c r="CU145" i="24"/>
  <c r="CY145" i="24"/>
  <c r="ES31" i="24"/>
  <c r="EV31" i="24" s="1"/>
  <c r="DQ31" i="24"/>
  <c r="CY31" i="24"/>
  <c r="CW31" i="24"/>
  <c r="CX31" i="24" s="1"/>
  <c r="CU31" i="24"/>
  <c r="CV31" i="24" s="1"/>
  <c r="CL31" i="24"/>
  <c r="DQ74" i="24"/>
  <c r="ES74" i="24"/>
  <c r="EV74" i="24" s="1"/>
  <c r="CL74" i="24"/>
  <c r="CW74" i="24"/>
  <c r="CX74" i="24" s="1"/>
  <c r="CU74" i="24"/>
  <c r="CV74" i="24" s="1"/>
  <c r="CY74" i="24"/>
  <c r="DQ142" i="24"/>
  <c r="CW142" i="24"/>
  <c r="CX142" i="24" s="1"/>
  <c r="CL142" i="24"/>
  <c r="ES142" i="24"/>
  <c r="EV142" i="24" s="1"/>
  <c r="CU142" i="24"/>
  <c r="CY142" i="24"/>
  <c r="ES117" i="24"/>
  <c r="EV117" i="24" s="1"/>
  <c r="DQ117" i="24"/>
  <c r="CL117" i="24"/>
  <c r="CW117" i="24"/>
  <c r="CX117" i="24" s="1"/>
  <c r="CU117" i="24"/>
  <c r="CY117" i="24"/>
  <c r="DQ158" i="24"/>
  <c r="CL158" i="24"/>
  <c r="ES158" i="24"/>
  <c r="EV158" i="24" s="1"/>
  <c r="CY158" i="24"/>
  <c r="CW158" i="24"/>
  <c r="CX158" i="24" s="1"/>
  <c r="CU158" i="24"/>
  <c r="CW128" i="24"/>
  <c r="CX128" i="24" s="1"/>
  <c r="ES128" i="24"/>
  <c r="EV128" i="24" s="1"/>
  <c r="DQ128" i="24"/>
  <c r="CU128" i="24"/>
  <c r="CY128" i="24"/>
  <c r="CL128" i="24"/>
  <c r="CW256" i="24"/>
  <c r="CX256" i="24" s="1"/>
  <c r="CU256" i="24"/>
  <c r="CY256" i="24"/>
  <c r="DQ256" i="24"/>
  <c r="CL256" i="24"/>
  <c r="ES141" i="24"/>
  <c r="EV141" i="24" s="1"/>
  <c r="CL141" i="24"/>
  <c r="DQ141" i="24"/>
  <c r="CW141" i="24"/>
  <c r="CX141" i="24" s="1"/>
  <c r="CY141" i="24"/>
  <c r="CU141" i="24"/>
  <c r="ES95" i="24"/>
  <c r="EV95" i="24" s="1"/>
  <c r="DQ95" i="24"/>
  <c r="CL95" i="24"/>
  <c r="CU95" i="24"/>
  <c r="CV95" i="24" s="1"/>
  <c r="CW95" i="24"/>
  <c r="CX95" i="24" s="1"/>
  <c r="CY95" i="24"/>
  <c r="DQ178" i="24"/>
  <c r="CL178" i="24"/>
  <c r="CW178" i="24"/>
  <c r="CX178" i="24" s="1"/>
  <c r="CY178" i="24"/>
  <c r="ES178" i="24"/>
  <c r="EV178" i="24" s="1"/>
  <c r="CU178" i="24"/>
  <c r="ES125" i="24"/>
  <c r="EV125" i="24" s="1"/>
  <c r="DQ125" i="24"/>
  <c r="CL125" i="24"/>
  <c r="CW125" i="24"/>
  <c r="CX125" i="24" s="1"/>
  <c r="CY125" i="24"/>
  <c r="CU125" i="24"/>
  <c r="ES180" i="24"/>
  <c r="EV180" i="24" s="1"/>
  <c r="DQ180" i="24"/>
  <c r="CU180" i="24"/>
  <c r="CL180" i="24"/>
  <c r="CY180" i="24"/>
  <c r="CW180" i="24"/>
  <c r="CX180" i="24" s="1"/>
  <c r="ES207" i="24"/>
  <c r="EV207" i="24" s="1"/>
  <c r="CL207" i="24"/>
  <c r="DQ207" i="24"/>
  <c r="CY207" i="24"/>
  <c r="CW207" i="24"/>
  <c r="CX207" i="24" s="1"/>
  <c r="CU207" i="24"/>
  <c r="DQ272" i="24"/>
  <c r="CW272" i="24"/>
  <c r="CX272" i="24" s="1"/>
  <c r="CL272" i="24"/>
  <c r="CY272" i="24"/>
  <c r="CU272" i="24"/>
  <c r="DQ249" i="24"/>
  <c r="CL249" i="24"/>
  <c r="CW249" i="24"/>
  <c r="CX249" i="24" s="1"/>
  <c r="CU249" i="24"/>
  <c r="CY249" i="24"/>
  <c r="DQ195" i="24"/>
  <c r="CW195" i="24"/>
  <c r="CX195" i="24" s="1"/>
  <c r="ES195" i="24"/>
  <c r="EV195" i="24" s="1"/>
  <c r="CY195" i="24"/>
  <c r="CL195" i="24"/>
  <c r="CU195" i="24"/>
  <c r="DQ257" i="24"/>
  <c r="CL257" i="24"/>
  <c r="CW257" i="24"/>
  <c r="CX257" i="24" s="1"/>
  <c r="CY257" i="24"/>
  <c r="CU257" i="24"/>
  <c r="DQ301" i="24"/>
  <c r="CL301" i="24"/>
  <c r="CW301" i="24"/>
  <c r="CX301" i="24" s="1"/>
  <c r="CY301" i="24"/>
  <c r="CU301" i="24"/>
  <c r="DQ229" i="24"/>
  <c r="CY229" i="24"/>
  <c r="CZ229" i="24" s="1"/>
  <c r="CL229" i="24"/>
  <c r="CW229" i="24"/>
  <c r="CX229" i="24" s="1"/>
  <c r="CU229" i="24"/>
  <c r="DQ268" i="24"/>
  <c r="CL268" i="24"/>
  <c r="CW268" i="24"/>
  <c r="CX268" i="24" s="1"/>
  <c r="CY268" i="24"/>
  <c r="CU268" i="24"/>
  <c r="CY227" i="24"/>
  <c r="CZ227" i="24" s="1"/>
  <c r="CL227" i="24"/>
  <c r="DQ227" i="24"/>
  <c r="CW227" i="24"/>
  <c r="CX227" i="24" s="1"/>
  <c r="CU227" i="24"/>
  <c r="CY295" i="24"/>
  <c r="CW295" i="24"/>
  <c r="CX295" i="24" s="1"/>
  <c r="CL295" i="24"/>
  <c r="DQ295" i="24"/>
  <c r="CU295" i="24"/>
  <c r="ES198" i="24"/>
  <c r="EV198" i="24" s="1"/>
  <c r="CL198" i="24"/>
  <c r="CY198" i="24"/>
  <c r="DQ198" i="24"/>
  <c r="CW198" i="24"/>
  <c r="CX198" i="24" s="1"/>
  <c r="CU198" i="24"/>
  <c r="DQ251" i="24"/>
  <c r="CY251" i="24"/>
  <c r="CL251" i="24"/>
  <c r="CW251" i="24"/>
  <c r="CX251" i="24" s="1"/>
  <c r="CU251" i="24"/>
  <c r="DQ316" i="24"/>
  <c r="CY316" i="24"/>
  <c r="CL316" i="24"/>
  <c r="CW316" i="24"/>
  <c r="CX316" i="24" s="1"/>
  <c r="CU316" i="24"/>
  <c r="CL28" i="24"/>
  <c r="CU28" i="24"/>
  <c r="CV28" i="24" s="1"/>
  <c r="DQ28" i="24"/>
  <c r="CW28" i="24"/>
  <c r="CX28" i="24" s="1"/>
  <c r="CY28" i="24"/>
  <c r="CZ28" i="24" s="1"/>
  <c r="ES28" i="24"/>
  <c r="EV28" i="24" s="1"/>
  <c r="CL94" i="24"/>
  <c r="CY94" i="24"/>
  <c r="CW94" i="24"/>
  <c r="CX94" i="24" s="1"/>
  <c r="ES94" i="24"/>
  <c r="EV94" i="24" s="1"/>
  <c r="DQ94" i="24"/>
  <c r="CU94" i="24"/>
  <c r="CV94" i="24" s="1"/>
  <c r="CL61" i="24"/>
  <c r="CY61" i="24"/>
  <c r="CW61" i="24"/>
  <c r="CX61" i="24" s="1"/>
  <c r="DQ61" i="24"/>
  <c r="ES61" i="24"/>
  <c r="EV61" i="24" s="1"/>
  <c r="CU61" i="24"/>
  <c r="CV61" i="24" s="1"/>
  <c r="CL35" i="24"/>
  <c r="ES35" i="24"/>
  <c r="EV35" i="24" s="1"/>
  <c r="DQ35" i="24"/>
  <c r="CU35" i="24"/>
  <c r="CV35" i="24" s="1"/>
  <c r="CY35" i="24"/>
  <c r="CW35" i="24"/>
  <c r="CX35" i="24" s="1"/>
  <c r="ES23" i="24"/>
  <c r="EV23" i="24" s="1"/>
  <c r="DQ23" i="24"/>
  <c r="CY23" i="24"/>
  <c r="CW23" i="24"/>
  <c r="CX23" i="24" s="1"/>
  <c r="CL23" i="24"/>
  <c r="CU23" i="24"/>
  <c r="CV23" i="24" s="1"/>
  <c r="ES13" i="24"/>
  <c r="EV13" i="24" s="1"/>
  <c r="CL13" i="24"/>
  <c r="CW13" i="24"/>
  <c r="CX13" i="24" s="1"/>
  <c r="CY13" i="24"/>
  <c r="CU13" i="24"/>
  <c r="CV13" i="24" s="1"/>
  <c r="DQ13" i="24"/>
  <c r="CU51" i="24"/>
  <c r="CV51" i="24" s="1"/>
  <c r="CY51" i="24"/>
  <c r="CW51" i="24"/>
  <c r="CX51" i="24" s="1"/>
  <c r="CL51" i="24"/>
  <c r="ES51" i="24"/>
  <c r="EV51" i="24" s="1"/>
  <c r="DQ51" i="24"/>
  <c r="CL85" i="24"/>
  <c r="CW85" i="24"/>
  <c r="CX85" i="24" s="1"/>
  <c r="ES85" i="24"/>
  <c r="EV85" i="24" s="1"/>
  <c r="DQ85" i="24"/>
  <c r="CY85" i="24"/>
  <c r="CU85" i="24"/>
  <c r="CV85" i="24" s="1"/>
  <c r="CU63" i="24"/>
  <c r="CV63" i="24" s="1"/>
  <c r="DQ63" i="24"/>
  <c r="CW63" i="24"/>
  <c r="CX63" i="24" s="1"/>
  <c r="CL63" i="24"/>
  <c r="ES63" i="24"/>
  <c r="EV63" i="24" s="1"/>
  <c r="CY63" i="24"/>
  <c r="ES137" i="24"/>
  <c r="EV137" i="24" s="1"/>
  <c r="CW137" i="24"/>
  <c r="CX137" i="24" s="1"/>
  <c r="CL137" i="24"/>
  <c r="DQ137" i="24"/>
  <c r="CY137" i="24"/>
  <c r="CU137" i="24"/>
  <c r="DQ68" i="24"/>
  <c r="CL68" i="24"/>
  <c r="CW68" i="24"/>
  <c r="CX68" i="24" s="1"/>
  <c r="CU68" i="24"/>
  <c r="CV68" i="24" s="1"/>
  <c r="ES68" i="24"/>
  <c r="EV68" i="24" s="1"/>
  <c r="CY68" i="24"/>
  <c r="DQ159" i="24"/>
  <c r="CW159" i="24"/>
  <c r="CX159" i="24" s="1"/>
  <c r="CY159" i="24"/>
  <c r="CU159" i="24"/>
  <c r="ES159" i="24"/>
  <c r="EV159" i="24" s="1"/>
  <c r="CL159" i="24"/>
  <c r="ES32" i="24"/>
  <c r="EV32" i="24" s="1"/>
  <c r="CL32" i="24"/>
  <c r="DQ32" i="24"/>
  <c r="CW32" i="24"/>
  <c r="CX32" i="24" s="1"/>
  <c r="CY32" i="24"/>
  <c r="CU32" i="24"/>
  <c r="CV32" i="24" s="1"/>
  <c r="DQ78" i="24"/>
  <c r="CW78" i="24"/>
  <c r="CX78" i="24" s="1"/>
  <c r="CU78" i="24"/>
  <c r="CV78" i="24" s="1"/>
  <c r="CL78" i="24"/>
  <c r="ES78" i="24"/>
  <c r="EV78" i="24" s="1"/>
  <c r="CY78" i="24"/>
  <c r="ES144" i="24"/>
  <c r="EV144" i="24" s="1"/>
  <c r="CW144" i="24"/>
  <c r="CX144" i="24" s="1"/>
  <c r="CL144" i="24"/>
  <c r="CU144" i="24"/>
  <c r="DQ144" i="24"/>
  <c r="CY144" i="24"/>
  <c r="DQ121" i="24"/>
  <c r="ES121" i="24"/>
  <c r="EV121" i="24" s="1"/>
  <c r="CU121" i="24"/>
  <c r="CY121" i="24"/>
  <c r="CW121" i="24"/>
  <c r="CX121" i="24" s="1"/>
  <c r="CL121" i="24"/>
  <c r="ES165" i="24"/>
  <c r="EV165" i="24" s="1"/>
  <c r="CU165" i="24"/>
  <c r="CY165" i="24"/>
  <c r="CL165" i="24"/>
  <c r="CW165" i="24"/>
  <c r="CX165" i="24" s="1"/>
  <c r="DQ165" i="24"/>
  <c r="CL135" i="24"/>
  <c r="ES135" i="24"/>
  <c r="EV135" i="24" s="1"/>
  <c r="DQ135" i="24"/>
  <c r="CY135" i="24"/>
  <c r="CW135" i="24"/>
  <c r="CX135" i="24" s="1"/>
  <c r="CU135" i="24"/>
  <c r="DQ100" i="24"/>
  <c r="CL100" i="24"/>
  <c r="ES100" i="24"/>
  <c r="EV100" i="24" s="1"/>
  <c r="CU100" i="24"/>
  <c r="CV100" i="24" s="1"/>
  <c r="CY100" i="24"/>
  <c r="CW100" i="24"/>
  <c r="CX100" i="24" s="1"/>
  <c r="CL160" i="24"/>
  <c r="ES160" i="24"/>
  <c r="EV160" i="24" s="1"/>
  <c r="CU160" i="24"/>
  <c r="DQ160" i="24"/>
  <c r="CW160" i="24"/>
  <c r="CX160" i="24" s="1"/>
  <c r="CY160" i="24"/>
  <c r="CY101" i="24"/>
  <c r="CU101" i="24"/>
  <c r="CV101" i="24" s="1"/>
  <c r="DQ101" i="24"/>
  <c r="ES101" i="24"/>
  <c r="EV101" i="24" s="1"/>
  <c r="CL101" i="24"/>
  <c r="CW101" i="24"/>
  <c r="CX101" i="24" s="1"/>
  <c r="DQ184" i="24"/>
  <c r="ES184" i="24"/>
  <c r="EV184" i="24" s="1"/>
  <c r="CL184" i="24"/>
  <c r="CU184" i="24"/>
  <c r="CW184" i="24"/>
  <c r="CX184" i="24" s="1"/>
  <c r="CY184" i="24"/>
  <c r="CZ184" i="24" s="1"/>
  <c r="CU131" i="24"/>
  <c r="CL131" i="24"/>
  <c r="CY131" i="24"/>
  <c r="DQ131" i="24"/>
  <c r="ES131" i="24"/>
  <c r="EV131" i="24" s="1"/>
  <c r="CW131" i="24"/>
  <c r="CX131" i="24" s="1"/>
  <c r="DQ181" i="24"/>
  <c r="CW181" i="24"/>
  <c r="CX181" i="24" s="1"/>
  <c r="CY181" i="24"/>
  <c r="ES181" i="24"/>
  <c r="EV181" i="24" s="1"/>
  <c r="CL181" i="24"/>
  <c r="CU181" i="24"/>
  <c r="CL220" i="24"/>
  <c r="DQ220" i="24"/>
  <c r="CY220" i="24"/>
  <c r="CW220" i="24"/>
  <c r="CX220" i="24" s="1"/>
  <c r="CU220" i="24"/>
  <c r="DQ288" i="24"/>
  <c r="CY288" i="24"/>
  <c r="CL288" i="24"/>
  <c r="CU288" i="24"/>
  <c r="CW288" i="24"/>
  <c r="CX288" i="24" s="1"/>
  <c r="CY270" i="24"/>
  <c r="DQ270" i="24"/>
  <c r="CL270" i="24"/>
  <c r="CU270" i="24"/>
  <c r="CW270" i="24"/>
  <c r="CX270" i="24" s="1"/>
  <c r="CL197" i="24"/>
  <c r="CW197" i="24"/>
  <c r="CX197" i="24" s="1"/>
  <c r="ES197" i="24"/>
  <c r="EV197" i="24" s="1"/>
  <c r="DQ197" i="24"/>
  <c r="CY197" i="24"/>
  <c r="CU197" i="24"/>
  <c r="CW261" i="24"/>
  <c r="CX261" i="24" s="1"/>
  <c r="CY261" i="24"/>
  <c r="CZ261" i="24" s="1"/>
  <c r="DQ261" i="24"/>
  <c r="CL261" i="24"/>
  <c r="CU261" i="24"/>
  <c r="CW303" i="24"/>
  <c r="CX303" i="24" s="1"/>
  <c r="DQ303" i="24"/>
  <c r="CL303" i="24"/>
  <c r="CY303" i="24"/>
  <c r="CU303" i="24"/>
  <c r="CL231" i="24"/>
  <c r="CU231" i="24"/>
  <c r="CY231" i="24"/>
  <c r="DQ231" i="24"/>
  <c r="CW231" i="24"/>
  <c r="CX231" i="24" s="1"/>
  <c r="CL273" i="24"/>
  <c r="CW273" i="24"/>
  <c r="CX273" i="24" s="1"/>
  <c r="DQ273" i="24"/>
  <c r="CY273" i="24"/>
  <c r="CU273" i="24"/>
  <c r="CL247" i="24"/>
  <c r="DQ247" i="24"/>
  <c r="CW247" i="24"/>
  <c r="CX247" i="24" s="1"/>
  <c r="CY247" i="24"/>
  <c r="CU247" i="24"/>
  <c r="CL304" i="24"/>
  <c r="DQ304" i="24"/>
  <c r="CW304" i="24"/>
  <c r="CX304" i="24" s="1"/>
  <c r="CY304" i="24"/>
  <c r="CU304" i="24"/>
  <c r="DQ199" i="24"/>
  <c r="CW199" i="24"/>
  <c r="CX199" i="24" s="1"/>
  <c r="CL199" i="24"/>
  <c r="ES199" i="24"/>
  <c r="EV199" i="24" s="1"/>
  <c r="CY199" i="24"/>
  <c r="CU199" i="24"/>
  <c r="CW252" i="24"/>
  <c r="CX252" i="24" s="1"/>
  <c r="CL252" i="24"/>
  <c r="CU252" i="24"/>
  <c r="DQ252" i="24"/>
  <c r="CY252" i="24"/>
  <c r="CL269" i="24"/>
  <c r="DQ269" i="24"/>
  <c r="CW269" i="24"/>
  <c r="CX269" i="24" s="1"/>
  <c r="CU269" i="24"/>
  <c r="CY269" i="24"/>
  <c r="ES46" i="24"/>
  <c r="EV46" i="24" s="1"/>
  <c r="DQ46" i="24"/>
  <c r="CU46" i="24"/>
  <c r="CV46" i="24" s="1"/>
  <c r="CW46" i="24"/>
  <c r="CX46" i="24" s="1"/>
  <c r="CL46" i="24"/>
  <c r="CY46" i="24"/>
  <c r="CL16" i="24"/>
  <c r="ES16" i="24"/>
  <c r="EV16" i="24" s="1"/>
  <c r="DQ16" i="24"/>
  <c r="CW16" i="24"/>
  <c r="CX16" i="24" s="1"/>
  <c r="CY16" i="24"/>
  <c r="CU16" i="24"/>
  <c r="CV16" i="24" s="1"/>
  <c r="ES65" i="24"/>
  <c r="EV65" i="24" s="1"/>
  <c r="DQ65" i="24"/>
  <c r="CY65" i="24"/>
  <c r="CZ65" i="24" s="1"/>
  <c r="CL65" i="24"/>
  <c r="CW65" i="24"/>
  <c r="CX65" i="24" s="1"/>
  <c r="CU65" i="24"/>
  <c r="CV65" i="24" s="1"/>
  <c r="CL24" i="24"/>
  <c r="ES24" i="24"/>
  <c r="EV24" i="24" s="1"/>
  <c r="DQ24" i="24"/>
  <c r="CW24" i="24"/>
  <c r="CX24" i="24" s="1"/>
  <c r="CY24" i="24"/>
  <c r="CU24" i="24"/>
  <c r="CV24" i="24" s="1"/>
  <c r="DQ25" i="24"/>
  <c r="ES25" i="24"/>
  <c r="EV25" i="24" s="1"/>
  <c r="CW25" i="24"/>
  <c r="CX25" i="24" s="1"/>
  <c r="CL25" i="24"/>
  <c r="CY25" i="24"/>
  <c r="CU25" i="24"/>
  <c r="CV25" i="24" s="1"/>
  <c r="CL8" i="24"/>
  <c r="ES8" i="24"/>
  <c r="EV8" i="24" s="1"/>
  <c r="DQ8" i="24"/>
  <c r="CW8" i="24"/>
  <c r="CX8" i="24" s="1"/>
  <c r="CY8" i="24"/>
  <c r="CU8" i="24"/>
  <c r="CV8" i="24" s="1"/>
  <c r="DQ54" i="24"/>
  <c r="CY54" i="24"/>
  <c r="CL54" i="24"/>
  <c r="CU54" i="24"/>
  <c r="CV54" i="24" s="1"/>
  <c r="ES54" i="24"/>
  <c r="EV54" i="24" s="1"/>
  <c r="CW54" i="24"/>
  <c r="CX54" i="24" s="1"/>
  <c r="CL90" i="24"/>
  <c r="CW90" i="24"/>
  <c r="CX90" i="24" s="1"/>
  <c r="ES90" i="24"/>
  <c r="EV90" i="24" s="1"/>
  <c r="DQ90" i="24"/>
  <c r="CU90" i="24"/>
  <c r="CV90" i="24" s="1"/>
  <c r="CY90" i="24"/>
  <c r="DQ93" i="24"/>
  <c r="ES93" i="24"/>
  <c r="EV93" i="24" s="1"/>
  <c r="CY93" i="24"/>
  <c r="CL93" i="24"/>
  <c r="CW93" i="24"/>
  <c r="CX93" i="24" s="1"/>
  <c r="CU93" i="24"/>
  <c r="CV93" i="24" s="1"/>
  <c r="DQ149" i="24"/>
  <c r="CY149" i="24"/>
  <c r="CU149" i="24"/>
  <c r="CW149" i="24"/>
  <c r="CX149" i="24" s="1"/>
  <c r="ES149" i="24"/>
  <c r="EV149" i="24" s="1"/>
  <c r="CL149" i="24"/>
  <c r="CL76" i="24"/>
  <c r="ES76" i="24"/>
  <c r="EV76" i="24" s="1"/>
  <c r="CY76" i="24"/>
  <c r="CZ76" i="24" s="1"/>
  <c r="CW76" i="24"/>
  <c r="CX76" i="24" s="1"/>
  <c r="DQ76" i="24"/>
  <c r="CU76" i="24"/>
  <c r="CV76" i="24" s="1"/>
  <c r="DQ163" i="24"/>
  <c r="ES163" i="24"/>
  <c r="EV163" i="24" s="1"/>
  <c r="CL163" i="24"/>
  <c r="CW163" i="24"/>
  <c r="CX163" i="24" s="1"/>
  <c r="CY163" i="24"/>
  <c r="CZ163" i="24" s="1"/>
  <c r="CU163" i="24"/>
  <c r="ES33" i="24"/>
  <c r="EV33" i="24" s="1"/>
  <c r="DQ33" i="24"/>
  <c r="CY33" i="24"/>
  <c r="CL33" i="24"/>
  <c r="CW33" i="24"/>
  <c r="CX33" i="24" s="1"/>
  <c r="CU33" i="24"/>
  <c r="CV33" i="24" s="1"/>
  <c r="DQ80" i="24"/>
  <c r="CW80" i="24"/>
  <c r="CX80" i="24" s="1"/>
  <c r="ES80" i="24"/>
  <c r="EV80" i="24" s="1"/>
  <c r="CU80" i="24"/>
  <c r="CV80" i="24" s="1"/>
  <c r="CL80" i="24"/>
  <c r="CY80" i="24"/>
  <c r="ES155" i="24"/>
  <c r="EV155" i="24" s="1"/>
  <c r="DQ155" i="24"/>
  <c r="CL155" i="24"/>
  <c r="CW155" i="24"/>
  <c r="CX155" i="24" s="1"/>
  <c r="CY155" i="24"/>
  <c r="CU155" i="24"/>
  <c r="DQ126" i="24"/>
  <c r="CW126" i="24"/>
  <c r="CX126" i="24" s="1"/>
  <c r="CL126" i="24"/>
  <c r="ES126" i="24"/>
  <c r="EV126" i="24" s="1"/>
  <c r="CU126" i="24"/>
  <c r="CY126" i="24"/>
  <c r="CW173" i="24"/>
  <c r="CX173" i="24" s="1"/>
  <c r="CL173" i="24"/>
  <c r="ES173" i="24"/>
  <c r="EV173" i="24" s="1"/>
  <c r="DQ173" i="24"/>
  <c r="CY173" i="24"/>
  <c r="CU173" i="24"/>
  <c r="CY147" i="24"/>
  <c r="CU147" i="24"/>
  <c r="DQ147" i="24"/>
  <c r="CW147" i="24"/>
  <c r="CX147" i="24" s="1"/>
  <c r="ES147" i="24"/>
  <c r="EV147" i="24" s="1"/>
  <c r="CL147" i="24"/>
  <c r="ES102" i="24"/>
  <c r="EV102" i="24" s="1"/>
  <c r="CL102" i="24"/>
  <c r="DQ102" i="24"/>
  <c r="CW102" i="24"/>
  <c r="CX102" i="24" s="1"/>
  <c r="CY102" i="24"/>
  <c r="CU102" i="24"/>
  <c r="CV102" i="24" s="1"/>
  <c r="DQ169" i="24"/>
  <c r="CW169" i="24"/>
  <c r="CX169" i="24" s="1"/>
  <c r="CL169" i="24"/>
  <c r="ES169" i="24"/>
  <c r="EV169" i="24" s="1"/>
  <c r="CY169" i="24"/>
  <c r="CU169" i="24"/>
  <c r="CL105" i="24"/>
  <c r="ES105" i="24"/>
  <c r="EV105" i="24" s="1"/>
  <c r="DQ105" i="24"/>
  <c r="CW105" i="24"/>
  <c r="CX105" i="24" s="1"/>
  <c r="CY105" i="24"/>
  <c r="CU105" i="24"/>
  <c r="CV105" i="24" s="1"/>
  <c r="DQ186" i="24"/>
  <c r="CW186" i="24"/>
  <c r="CX186" i="24" s="1"/>
  <c r="CL186" i="24"/>
  <c r="ES186" i="24"/>
  <c r="EV186" i="24" s="1"/>
  <c r="CY186" i="24"/>
  <c r="CU186" i="24"/>
  <c r="DQ134" i="24"/>
  <c r="CL134" i="24"/>
  <c r="CW134" i="24"/>
  <c r="CX134" i="24" s="1"/>
  <c r="CY134" i="24"/>
  <c r="ES134" i="24"/>
  <c r="EV134" i="24" s="1"/>
  <c r="CU134" i="24"/>
  <c r="ES183" i="24"/>
  <c r="EV183" i="24" s="1"/>
  <c r="DQ183" i="24"/>
  <c r="CY183" i="24"/>
  <c r="CL183" i="24"/>
  <c r="CW183" i="24"/>
  <c r="CX183" i="24" s="1"/>
  <c r="CU183" i="24"/>
  <c r="DQ230" i="24"/>
  <c r="CW230" i="24"/>
  <c r="CX230" i="24" s="1"/>
  <c r="CL230" i="24"/>
  <c r="CY230" i="24"/>
  <c r="CU230" i="24"/>
  <c r="DQ312" i="24"/>
  <c r="CL312" i="24"/>
  <c r="CY312" i="24"/>
  <c r="CW312" i="24"/>
  <c r="CX312" i="24" s="1"/>
  <c r="CU312" i="24"/>
  <c r="CL275" i="24"/>
  <c r="DQ275" i="24"/>
  <c r="CW275" i="24"/>
  <c r="CX275" i="24" s="1"/>
  <c r="CU275" i="24"/>
  <c r="CY275" i="24"/>
  <c r="ES210" i="24"/>
  <c r="EV210" i="24" s="1"/>
  <c r="CW210" i="24"/>
  <c r="CX210" i="24" s="1"/>
  <c r="CY210" i="24"/>
  <c r="CU210" i="24"/>
  <c r="CL210" i="24"/>
  <c r="DQ210" i="24"/>
  <c r="DQ265" i="24"/>
  <c r="CL265" i="24"/>
  <c r="CU265" i="24"/>
  <c r="CW265" i="24"/>
  <c r="CX265" i="24" s="1"/>
  <c r="CY265" i="24"/>
  <c r="DQ305" i="24"/>
  <c r="CW305" i="24"/>
  <c r="CX305" i="24" s="1"/>
  <c r="CY305" i="24"/>
  <c r="CZ305" i="24" s="1"/>
  <c r="CL305" i="24"/>
  <c r="CU305" i="24"/>
  <c r="DQ241" i="24"/>
  <c r="CW241" i="24"/>
  <c r="CX241" i="24" s="1"/>
  <c r="CL241" i="24"/>
  <c r="CU241" i="24"/>
  <c r="CY241" i="24"/>
  <c r="CL292" i="24"/>
  <c r="DQ292" i="24"/>
  <c r="CY292" i="24"/>
  <c r="CW292" i="24"/>
  <c r="CX292" i="24" s="1"/>
  <c r="CU292" i="24"/>
  <c r="CY248" i="24"/>
  <c r="CZ248" i="24" s="1"/>
  <c r="DQ248" i="24"/>
  <c r="CU248" i="24"/>
  <c r="CW248" i="24"/>
  <c r="CX248" i="24" s="1"/>
  <c r="CL248" i="24"/>
  <c r="CL308" i="24"/>
  <c r="DQ308" i="24"/>
  <c r="CU308" i="24"/>
  <c r="CY308" i="24"/>
  <c r="CW308" i="24"/>
  <c r="CX308" i="24" s="1"/>
  <c r="ES202" i="24"/>
  <c r="EV202" i="24" s="1"/>
  <c r="DQ202" i="24"/>
  <c r="CW202" i="24"/>
  <c r="CX202" i="24" s="1"/>
  <c r="CL202" i="24"/>
  <c r="CU202" i="24"/>
  <c r="CY202" i="24"/>
  <c r="CZ202" i="24" s="1"/>
  <c r="DQ254" i="24"/>
  <c r="CW254" i="24"/>
  <c r="CX254" i="24" s="1"/>
  <c r="CL254" i="24"/>
  <c r="CY254" i="24"/>
  <c r="CU254" i="24"/>
  <c r="CU274" i="24"/>
  <c r="CL274" i="24"/>
  <c r="CW274" i="24"/>
  <c r="CX274" i="24" s="1"/>
  <c r="DQ274" i="24"/>
  <c r="CY274" i="24"/>
  <c r="ES22" i="24"/>
  <c r="EV22" i="24" s="1"/>
  <c r="DQ22" i="24"/>
  <c r="CW22" i="24"/>
  <c r="CX22" i="24" s="1"/>
  <c r="CY22" i="24"/>
  <c r="CU22" i="24"/>
  <c r="CV22" i="24" s="1"/>
  <c r="CL22" i="24"/>
  <c r="ES50" i="24"/>
  <c r="EV50" i="24" s="1"/>
  <c r="CL50" i="24"/>
  <c r="CU50" i="24"/>
  <c r="CV50" i="24" s="1"/>
  <c r="CW50" i="24"/>
  <c r="CX50" i="24" s="1"/>
  <c r="DQ50" i="24"/>
  <c r="CY50" i="24"/>
  <c r="CZ50" i="24" s="1"/>
  <c r="CW48" i="24"/>
  <c r="CX48" i="24" s="1"/>
  <c r="DQ48" i="24"/>
  <c r="ES48" i="24"/>
  <c r="EV48" i="24" s="1"/>
  <c r="CL48" i="24"/>
  <c r="CY48" i="24"/>
  <c r="CU48" i="24"/>
  <c r="CV48" i="24" s="1"/>
  <c r="DQ67" i="24"/>
  <c r="ES67" i="24"/>
  <c r="EV67" i="24" s="1"/>
  <c r="CL67" i="24"/>
  <c r="CW67" i="24"/>
  <c r="CX67" i="24" s="1"/>
  <c r="CY67" i="24"/>
  <c r="CU67" i="24"/>
  <c r="CV67" i="24" s="1"/>
  <c r="CL27" i="24"/>
  <c r="CU27" i="24"/>
  <c r="CV27" i="24" s="1"/>
  <c r="CW27" i="24"/>
  <c r="CX27" i="24" s="1"/>
  <c r="DQ27" i="24"/>
  <c r="ES27" i="24"/>
  <c r="EV27" i="24" s="1"/>
  <c r="CY27" i="24"/>
  <c r="CL55" i="24"/>
  <c r="CW55" i="24"/>
  <c r="CX55" i="24" s="1"/>
  <c r="ES55" i="24"/>
  <c r="EV55" i="24" s="1"/>
  <c r="CY55" i="24"/>
  <c r="DQ55" i="24"/>
  <c r="CU55" i="24"/>
  <c r="CV55" i="24" s="1"/>
  <c r="CU19" i="24"/>
  <c r="CV19" i="24" s="1"/>
  <c r="CL19" i="24"/>
  <c r="CY19" i="24"/>
  <c r="ES19" i="24"/>
  <c r="EV19" i="24" s="1"/>
  <c r="DQ19" i="24"/>
  <c r="CW19" i="24"/>
  <c r="CX19" i="24" s="1"/>
  <c r="CL56" i="24"/>
  <c r="ES56" i="24"/>
  <c r="EV56" i="24" s="1"/>
  <c r="CY56" i="24"/>
  <c r="CW56" i="24"/>
  <c r="CX56" i="24" s="1"/>
  <c r="DQ56" i="24"/>
  <c r="CU56" i="24"/>
  <c r="CV56" i="24" s="1"/>
  <c r="ES7" i="24"/>
  <c r="EV7" i="24" s="1"/>
  <c r="CL7" i="24"/>
  <c r="DQ7" i="24"/>
  <c r="CW7" i="24"/>
  <c r="CX7" i="24" s="1"/>
  <c r="CY7" i="24"/>
  <c r="CU7" i="24"/>
  <c r="CV7" i="24" s="1"/>
  <c r="DQ97" i="24"/>
  <c r="CL97" i="24"/>
  <c r="ES97" i="24"/>
  <c r="EV97" i="24" s="1"/>
  <c r="CW97" i="24"/>
  <c r="CX97" i="24" s="1"/>
  <c r="CY97" i="24"/>
  <c r="CU97" i="24"/>
  <c r="CV97" i="24" s="1"/>
  <c r="ES152" i="24"/>
  <c r="EV152" i="24" s="1"/>
  <c r="CU152" i="24"/>
  <c r="CY152" i="24"/>
  <c r="CW152" i="24"/>
  <c r="CX152" i="24" s="1"/>
  <c r="CL152" i="24"/>
  <c r="DQ152" i="24"/>
  <c r="ES88" i="24"/>
  <c r="EV88" i="24" s="1"/>
  <c r="CU88" i="24"/>
  <c r="CV88" i="24" s="1"/>
  <c r="CL88" i="24"/>
  <c r="CW88" i="24"/>
  <c r="CX88" i="24" s="1"/>
  <c r="DQ88" i="24"/>
  <c r="CY88" i="24"/>
  <c r="DQ170" i="24"/>
  <c r="CL170" i="24"/>
  <c r="CW170" i="24"/>
  <c r="CX170" i="24" s="1"/>
  <c r="CU170" i="24"/>
  <c r="ES170" i="24"/>
  <c r="EV170" i="24" s="1"/>
  <c r="CY170" i="24"/>
  <c r="ES37" i="24"/>
  <c r="EV37" i="24" s="1"/>
  <c r="CL37" i="24"/>
  <c r="CY37" i="24"/>
  <c r="CW37" i="24"/>
  <c r="CX37" i="24" s="1"/>
  <c r="DQ37" i="24"/>
  <c r="CU37" i="24"/>
  <c r="CV37" i="24" s="1"/>
  <c r="ES82" i="24"/>
  <c r="EV82" i="24" s="1"/>
  <c r="DQ82" i="24"/>
  <c r="CL82" i="24"/>
  <c r="CY82" i="24"/>
  <c r="CW82" i="24"/>
  <c r="CX82" i="24" s="1"/>
  <c r="CU82" i="24"/>
  <c r="CV82" i="24" s="1"/>
  <c r="ES166" i="24"/>
  <c r="EV166" i="24" s="1"/>
  <c r="DQ166" i="24"/>
  <c r="CL166" i="24"/>
  <c r="CW166" i="24"/>
  <c r="CX166" i="24" s="1"/>
  <c r="CY166" i="24"/>
  <c r="CU166" i="24"/>
  <c r="DQ129" i="24"/>
  <c r="CW129" i="24"/>
  <c r="CX129" i="24" s="1"/>
  <c r="CL129" i="24"/>
  <c r="ES129" i="24"/>
  <c r="EV129" i="24" s="1"/>
  <c r="CU129" i="24"/>
  <c r="CY129" i="24"/>
  <c r="ES182" i="24"/>
  <c r="EV182" i="24" s="1"/>
  <c r="DQ182" i="24"/>
  <c r="CL182" i="24"/>
  <c r="CW182" i="24"/>
  <c r="CX182" i="24" s="1"/>
  <c r="CU182" i="24"/>
  <c r="CY182" i="24"/>
  <c r="DQ154" i="24"/>
  <c r="CL154" i="24"/>
  <c r="CW154" i="24"/>
  <c r="CX154" i="24" s="1"/>
  <c r="CY154" i="24"/>
  <c r="ES154" i="24"/>
  <c r="EV154" i="24" s="1"/>
  <c r="CU154" i="24"/>
  <c r="ES104" i="24"/>
  <c r="EV104" i="24" s="1"/>
  <c r="DQ104" i="24"/>
  <c r="CW104" i="24"/>
  <c r="CX104" i="24" s="1"/>
  <c r="CY104" i="24"/>
  <c r="CL104" i="24"/>
  <c r="CU104" i="24"/>
  <c r="CV104" i="24" s="1"/>
  <c r="CY175" i="24"/>
  <c r="DQ175" i="24"/>
  <c r="CW175" i="24"/>
  <c r="CX175" i="24" s="1"/>
  <c r="ES175" i="24"/>
  <c r="EV175" i="24" s="1"/>
  <c r="CL175" i="24"/>
  <c r="CU175" i="24"/>
  <c r="DQ112" i="24"/>
  <c r="CW112" i="24"/>
  <c r="CX112" i="24" s="1"/>
  <c r="ES112" i="24"/>
  <c r="EV112" i="24" s="1"/>
  <c r="CL112" i="24"/>
  <c r="CY112" i="24"/>
  <c r="CU112" i="24"/>
  <c r="DQ228" i="24"/>
  <c r="CL228" i="24"/>
  <c r="CW228" i="24"/>
  <c r="CX228" i="24" s="1"/>
  <c r="CY228" i="24"/>
  <c r="CU228" i="24"/>
  <c r="DQ143" i="24"/>
  <c r="CL143" i="24"/>
  <c r="CW143" i="24"/>
  <c r="CX143" i="24" s="1"/>
  <c r="ES143" i="24"/>
  <c r="EV143" i="24" s="1"/>
  <c r="CU143" i="24"/>
  <c r="CY143" i="24"/>
  <c r="DQ243" i="24"/>
  <c r="CW243" i="24"/>
  <c r="CX243" i="24" s="1"/>
  <c r="CL243" i="24"/>
  <c r="CU243" i="24"/>
  <c r="CY243" i="24"/>
  <c r="DQ235" i="24"/>
  <c r="CL235" i="24"/>
  <c r="CY235" i="24"/>
  <c r="CW235" i="24"/>
  <c r="CX235" i="24" s="1"/>
  <c r="CU235" i="24"/>
  <c r="CL191" i="24"/>
  <c r="CU191" i="24"/>
  <c r="CY191" i="24"/>
  <c r="ES191" i="24"/>
  <c r="EV191" i="24" s="1"/>
  <c r="CW191" i="24"/>
  <c r="CX191" i="24" s="1"/>
  <c r="DQ191" i="24"/>
  <c r="DQ279" i="24"/>
  <c r="CL279" i="24"/>
  <c r="CW279" i="24"/>
  <c r="CX279" i="24" s="1"/>
  <c r="CU279" i="24"/>
  <c r="CY279" i="24"/>
  <c r="DQ222" i="24"/>
  <c r="CW222" i="24"/>
  <c r="CX222" i="24" s="1"/>
  <c r="CL222" i="24"/>
  <c r="CY222" i="24"/>
  <c r="CU222" i="24"/>
  <c r="CL276" i="24"/>
  <c r="CY276" i="24"/>
  <c r="CZ276" i="24" s="1"/>
  <c r="CW276" i="24"/>
  <c r="CX276" i="24" s="1"/>
  <c r="DQ276" i="24"/>
  <c r="CU276" i="24"/>
  <c r="ES185" i="24"/>
  <c r="EV185" i="24" s="1"/>
  <c r="CL185" i="24"/>
  <c r="CW185" i="24"/>
  <c r="CX185" i="24" s="1"/>
  <c r="DQ185" i="24"/>
  <c r="CU185" i="24"/>
  <c r="CY185" i="24"/>
  <c r="CL245" i="24"/>
  <c r="CY245" i="24"/>
  <c r="CZ245" i="24" s="1"/>
  <c r="DQ245" i="24"/>
  <c r="CW245" i="24"/>
  <c r="CX245" i="24" s="1"/>
  <c r="CU245" i="24"/>
  <c r="CU293" i="24"/>
  <c r="CW293" i="24"/>
  <c r="CX293" i="24" s="1"/>
  <c r="DQ293" i="24"/>
  <c r="CL293" i="24"/>
  <c r="CY293" i="24"/>
  <c r="CL262" i="24"/>
  <c r="DQ262" i="24"/>
  <c r="CW262" i="24"/>
  <c r="CX262" i="24" s="1"/>
  <c r="CU262" i="24"/>
  <c r="CY262" i="24"/>
  <c r="CL311" i="24"/>
  <c r="DQ311" i="24"/>
  <c r="CY311" i="24"/>
  <c r="CW311" i="24"/>
  <c r="CX311" i="24" s="1"/>
  <c r="CU311" i="24"/>
  <c r="ES204" i="24"/>
  <c r="EV204" i="24" s="1"/>
  <c r="CW204" i="24"/>
  <c r="CX204" i="24" s="1"/>
  <c r="CY204" i="24"/>
  <c r="CL204" i="24"/>
  <c r="DQ204" i="24"/>
  <c r="CU204" i="24"/>
  <c r="CL278" i="24"/>
  <c r="DQ278" i="24"/>
  <c r="CW278" i="24"/>
  <c r="CX278" i="24" s="1"/>
  <c r="CY278" i="24"/>
  <c r="CU278" i="24"/>
  <c r="CY280" i="24"/>
  <c r="CL280" i="24"/>
  <c r="CW280" i="24"/>
  <c r="CX280" i="24" s="1"/>
  <c r="CU280" i="24"/>
  <c r="DQ280" i="24"/>
  <c r="ES17" i="24"/>
  <c r="EV17" i="24" s="1"/>
  <c r="CW17" i="24"/>
  <c r="CX17" i="24" s="1"/>
  <c r="DQ17" i="24"/>
  <c r="CL17" i="24"/>
  <c r="CU17" i="24"/>
  <c r="CV17" i="24" s="1"/>
  <c r="CY17" i="24"/>
  <c r="ES57" i="24"/>
  <c r="EV57" i="24" s="1"/>
  <c r="DQ57" i="24"/>
  <c r="CW57" i="24"/>
  <c r="CX57" i="24" s="1"/>
  <c r="CL57" i="24"/>
  <c r="CY57" i="24"/>
  <c r="CU57" i="24"/>
  <c r="CV57" i="24" s="1"/>
  <c r="CL10" i="24"/>
  <c r="ES10" i="24"/>
  <c r="EV10" i="24" s="1"/>
  <c r="CW10" i="24"/>
  <c r="CX10" i="24" s="1"/>
  <c r="DQ10" i="24"/>
  <c r="CU10" i="24"/>
  <c r="CV10" i="24" s="1"/>
  <c r="CY10" i="24"/>
  <c r="DQ84" i="24"/>
  <c r="ES84" i="24"/>
  <c r="EV84" i="24" s="1"/>
  <c r="CU84" i="24"/>
  <c r="CV84" i="24" s="1"/>
  <c r="CW84" i="24"/>
  <c r="CX84" i="24" s="1"/>
  <c r="CL84" i="24"/>
  <c r="CY84" i="24"/>
  <c r="DQ58" i="24"/>
  <c r="ES58" i="24"/>
  <c r="EV58" i="24" s="1"/>
  <c r="CL58" i="24"/>
  <c r="CY58" i="24"/>
  <c r="CU58" i="24"/>
  <c r="CV58" i="24" s="1"/>
  <c r="CW58" i="24"/>
  <c r="CX58" i="24" s="1"/>
  <c r="ES62" i="24"/>
  <c r="EV62" i="24" s="1"/>
  <c r="CL62" i="24"/>
  <c r="CW62" i="24"/>
  <c r="CX62" i="24" s="1"/>
  <c r="CU62" i="24"/>
  <c r="CV62" i="24" s="1"/>
  <c r="CY62" i="24"/>
  <c r="DQ62" i="24"/>
  <c r="ES29" i="24"/>
  <c r="EV29" i="24" s="1"/>
  <c r="CL29" i="24"/>
  <c r="CW29" i="24"/>
  <c r="CX29" i="24" s="1"/>
  <c r="CY29" i="24"/>
  <c r="CU29" i="24"/>
  <c r="CV29" i="24" s="1"/>
  <c r="DQ29" i="24"/>
  <c r="CY60" i="24"/>
  <c r="CW60" i="24"/>
  <c r="CX60" i="24" s="1"/>
  <c r="ES60" i="24"/>
  <c r="EV60" i="24" s="1"/>
  <c r="DQ60" i="24"/>
  <c r="CL60" i="24"/>
  <c r="CU60" i="24"/>
  <c r="CV60" i="24" s="1"/>
  <c r="CY20" i="24"/>
  <c r="CU20" i="24"/>
  <c r="CV20" i="24" s="1"/>
  <c r="CL20" i="24"/>
  <c r="CW20" i="24"/>
  <c r="CX20" i="24" s="1"/>
  <c r="ES20" i="24"/>
  <c r="EV20" i="24" s="1"/>
  <c r="DQ20" i="24"/>
  <c r="DQ103" i="24"/>
  <c r="ES103" i="24"/>
  <c r="EV103" i="24" s="1"/>
  <c r="CL103" i="24"/>
  <c r="CW103" i="24"/>
  <c r="CX103" i="24" s="1"/>
  <c r="CY103" i="24"/>
  <c r="CU103" i="24"/>
  <c r="CV103" i="24" s="1"/>
  <c r="ES156" i="24"/>
  <c r="EV156" i="24" s="1"/>
  <c r="DQ156" i="24"/>
  <c r="CW156" i="24"/>
  <c r="CX156" i="24" s="1"/>
  <c r="CL156" i="24"/>
  <c r="CY156" i="24"/>
  <c r="CU156" i="24"/>
  <c r="CU89" i="24"/>
  <c r="CV89" i="24" s="1"/>
  <c r="DQ89" i="24"/>
  <c r="CL89" i="24"/>
  <c r="ES89" i="24"/>
  <c r="EV89" i="24" s="1"/>
  <c r="CW89" i="24"/>
  <c r="CX89" i="24" s="1"/>
  <c r="CY89" i="24"/>
  <c r="CZ89" i="24" s="1"/>
  <c r="ES193" i="24"/>
  <c r="EV193" i="24" s="1"/>
  <c r="DQ193" i="24"/>
  <c r="CW193" i="24"/>
  <c r="CX193" i="24" s="1"/>
  <c r="CL193" i="24"/>
  <c r="CY193" i="24"/>
  <c r="CU193" i="24"/>
  <c r="ES38" i="24"/>
  <c r="EV38" i="24" s="1"/>
  <c r="DQ38" i="24"/>
  <c r="CW38" i="24"/>
  <c r="CX38" i="24" s="1"/>
  <c r="CU38" i="24"/>
  <c r="CV38" i="24" s="1"/>
  <c r="CY38" i="24"/>
  <c r="CL38" i="24"/>
  <c r="DQ111" i="24"/>
  <c r="CW111" i="24"/>
  <c r="CX111" i="24" s="1"/>
  <c r="ES111" i="24"/>
  <c r="EV111" i="24" s="1"/>
  <c r="CY111" i="24"/>
  <c r="CL111" i="24"/>
  <c r="CU111" i="24"/>
  <c r="ES172" i="24"/>
  <c r="EV172" i="24" s="1"/>
  <c r="CW172" i="24"/>
  <c r="CX172" i="24" s="1"/>
  <c r="CU172" i="24"/>
  <c r="CL172" i="24"/>
  <c r="DQ172" i="24"/>
  <c r="CY172" i="24"/>
  <c r="ES133" i="24"/>
  <c r="EV133" i="24" s="1"/>
  <c r="DQ133" i="24"/>
  <c r="CL133" i="24"/>
  <c r="CW133" i="24"/>
  <c r="CX133" i="24" s="1"/>
  <c r="CY133" i="24"/>
  <c r="CU133" i="24"/>
  <c r="CW242" i="24"/>
  <c r="CX242" i="24" s="1"/>
  <c r="DQ242" i="24"/>
  <c r="CL242" i="24"/>
  <c r="CY242" i="24"/>
  <c r="CU242" i="24"/>
  <c r="ES164" i="24"/>
  <c r="EV164" i="24" s="1"/>
  <c r="CL164" i="24"/>
  <c r="DQ164" i="24"/>
  <c r="CW164" i="24"/>
  <c r="CX164" i="24" s="1"/>
  <c r="CU164" i="24"/>
  <c r="CY164" i="24"/>
  <c r="CL116" i="24"/>
  <c r="ES116" i="24"/>
  <c r="EV116" i="24" s="1"/>
  <c r="CW116" i="24"/>
  <c r="CX116" i="24" s="1"/>
  <c r="DQ116" i="24"/>
  <c r="CY116" i="24"/>
  <c r="CU116" i="24"/>
  <c r="CW194" i="24"/>
  <c r="CX194" i="24" s="1"/>
  <c r="CY194" i="24"/>
  <c r="CZ194" i="24" s="1"/>
  <c r="DQ194" i="24"/>
  <c r="CU194" i="24"/>
  <c r="ES194" i="24"/>
  <c r="EV194" i="24" s="1"/>
  <c r="CL194" i="24"/>
  <c r="CY115" i="24"/>
  <c r="CZ115" i="24" s="1"/>
  <c r="CW115" i="24"/>
  <c r="CX115" i="24" s="1"/>
  <c r="CU115" i="24"/>
  <c r="DQ115" i="24"/>
  <c r="ES115" i="24"/>
  <c r="EV115" i="24" s="1"/>
  <c r="CL115" i="24"/>
  <c r="DQ250" i="24"/>
  <c r="CY250" i="24"/>
  <c r="CZ250" i="24" s="1"/>
  <c r="CW250" i="24"/>
  <c r="CX250" i="24" s="1"/>
  <c r="CL250" i="24"/>
  <c r="CU250" i="24"/>
  <c r="ES150" i="24"/>
  <c r="EV150" i="24" s="1"/>
  <c r="CL150" i="24"/>
  <c r="DQ150" i="24"/>
  <c r="CU150" i="24"/>
  <c r="CW150" i="24"/>
  <c r="CX150" i="24" s="1"/>
  <c r="CY150" i="24"/>
  <c r="DQ291" i="24"/>
  <c r="CL291" i="24"/>
  <c r="CW291" i="24"/>
  <c r="CX291" i="24" s="1"/>
  <c r="CY291" i="24"/>
  <c r="CU291" i="24"/>
  <c r="CL240" i="24"/>
  <c r="CW240" i="24"/>
  <c r="CX240" i="24" s="1"/>
  <c r="DQ240" i="24"/>
  <c r="CY240" i="24"/>
  <c r="CU240" i="24"/>
  <c r="ES192" i="24"/>
  <c r="EV192" i="24" s="1"/>
  <c r="CW192" i="24"/>
  <c r="CX192" i="24" s="1"/>
  <c r="CL192" i="24"/>
  <c r="DQ192" i="24"/>
  <c r="CY192" i="24"/>
  <c r="CU192" i="24"/>
  <c r="DQ286" i="24"/>
  <c r="CY286" i="24"/>
  <c r="CL286" i="24"/>
  <c r="CW286" i="24"/>
  <c r="CX286" i="24" s="1"/>
  <c r="CU286" i="24"/>
  <c r="CL224" i="24"/>
  <c r="DQ224" i="24"/>
  <c r="CW224" i="24"/>
  <c r="CX224" i="24" s="1"/>
  <c r="CU224" i="24"/>
  <c r="CY224" i="24"/>
  <c r="DQ277" i="24"/>
  <c r="CY277" i="24"/>
  <c r="CL277" i="24"/>
  <c r="CW277" i="24"/>
  <c r="CX277" i="24" s="1"/>
  <c r="CU277" i="24"/>
  <c r="CL187" i="24"/>
  <c r="CY187" i="24"/>
  <c r="ES187" i="24"/>
  <c r="EV187" i="24" s="1"/>
  <c r="CU187" i="24"/>
  <c r="CW187" i="24"/>
  <c r="CX187" i="24" s="1"/>
  <c r="DQ187" i="24"/>
  <c r="CY253" i="24"/>
  <c r="DQ253" i="24"/>
  <c r="CW253" i="24"/>
  <c r="CX253" i="24" s="1"/>
  <c r="CL253" i="24"/>
  <c r="CU253" i="24"/>
  <c r="CL200" i="24"/>
  <c r="CW200" i="24"/>
  <c r="CX200" i="24" s="1"/>
  <c r="DQ200" i="24"/>
  <c r="ES200" i="24"/>
  <c r="EV200" i="24" s="1"/>
  <c r="CY200" i="24"/>
  <c r="CU200" i="24"/>
  <c r="CL282" i="24"/>
  <c r="CY282" i="24"/>
  <c r="CU282" i="24"/>
  <c r="CW282" i="24"/>
  <c r="CX282" i="24" s="1"/>
  <c r="DQ282" i="24"/>
  <c r="CW314" i="24"/>
  <c r="CX314" i="24" s="1"/>
  <c r="CU314" i="24"/>
  <c r="CL314" i="24"/>
  <c r="CY314" i="24"/>
  <c r="DQ314" i="24"/>
  <c r="CW205" i="24"/>
  <c r="CX205" i="24" s="1"/>
  <c r="CY205" i="24"/>
  <c r="DQ205" i="24"/>
  <c r="CU205" i="24"/>
  <c r="CL205" i="24"/>
  <c r="ES205" i="24"/>
  <c r="EV205" i="24" s="1"/>
  <c r="CL281" i="24"/>
  <c r="DQ281" i="24"/>
  <c r="CW281" i="24"/>
  <c r="CX281" i="24" s="1"/>
  <c r="CU281" i="24"/>
  <c r="CY281" i="24"/>
  <c r="CU289" i="24"/>
  <c r="CL289" i="24"/>
  <c r="CY289" i="24"/>
  <c r="DQ289" i="24"/>
  <c r="CW289" i="24"/>
  <c r="CX289" i="24" s="1"/>
  <c r="ES30" i="24"/>
  <c r="EV30" i="24" s="1"/>
  <c r="DQ30" i="24"/>
  <c r="CY30" i="24"/>
  <c r="CW30" i="24"/>
  <c r="CX30" i="24" s="1"/>
  <c r="CL30" i="24"/>
  <c r="CU30" i="24"/>
  <c r="CV30" i="24" s="1"/>
  <c r="CY72" i="24"/>
  <c r="ES72" i="24"/>
  <c r="EV72" i="24" s="1"/>
  <c r="DQ72" i="24"/>
  <c r="CW72" i="24"/>
  <c r="CX72" i="24" s="1"/>
  <c r="CL72" i="24"/>
  <c r="CU72" i="24"/>
  <c r="CV72" i="24" s="1"/>
  <c r="CL18" i="24"/>
  <c r="ES18" i="24"/>
  <c r="EV18" i="24" s="1"/>
  <c r="CW18" i="24"/>
  <c r="CX18" i="24" s="1"/>
  <c r="DQ18" i="24"/>
  <c r="CY18" i="24"/>
  <c r="CZ18" i="24" s="1"/>
  <c r="CU18" i="24"/>
  <c r="CV18" i="24" s="1"/>
  <c r="ES52" i="24"/>
  <c r="EV52" i="24" s="1"/>
  <c r="DQ52" i="24"/>
  <c r="CW52" i="24"/>
  <c r="CX52" i="24" s="1"/>
  <c r="CU52" i="24"/>
  <c r="CV52" i="24" s="1"/>
  <c r="CL52" i="24"/>
  <c r="CY52" i="24"/>
  <c r="CZ52" i="24" s="1"/>
  <c r="DQ6" i="24"/>
  <c r="CY6" i="24"/>
  <c r="CU6" i="24"/>
  <c r="CV6" i="24" s="1"/>
  <c r="CL6" i="24"/>
  <c r="CW6" i="24"/>
  <c r="CX6" i="24" s="1"/>
  <c r="ES6" i="24"/>
  <c r="EV6" i="24" s="1"/>
  <c r="ES73" i="24"/>
  <c r="EV73" i="24" s="1"/>
  <c r="DQ73" i="24"/>
  <c r="CU73" i="24"/>
  <c r="CV73" i="24" s="1"/>
  <c r="CW73" i="24"/>
  <c r="CX73" i="24" s="1"/>
  <c r="CY73" i="24"/>
  <c r="CL73" i="24"/>
  <c r="ES14" i="24"/>
  <c r="EV14" i="24" s="1"/>
  <c r="DQ14" i="24"/>
  <c r="CY14" i="24"/>
  <c r="CZ14" i="24" s="1"/>
  <c r="CW14" i="24"/>
  <c r="CX14" i="24" s="1"/>
  <c r="CL14" i="24"/>
  <c r="CU14" i="24"/>
  <c r="CV14" i="24" s="1"/>
  <c r="CL64" i="24"/>
  <c r="DQ64" i="24"/>
  <c r="CY64" i="24"/>
  <c r="CW64" i="24"/>
  <c r="CX64" i="24" s="1"/>
  <c r="ES64" i="24"/>
  <c r="EV64" i="24" s="1"/>
  <c r="CU64" i="24"/>
  <c r="CV64" i="24" s="1"/>
  <c r="CL70" i="24"/>
  <c r="DQ70" i="24"/>
  <c r="CY70" i="24"/>
  <c r="CZ70" i="24" s="1"/>
  <c r="CW70" i="24"/>
  <c r="CX70" i="24" s="1"/>
  <c r="CU70" i="24"/>
  <c r="CV70" i="24" s="1"/>
  <c r="ES70" i="24"/>
  <c r="EV70" i="24" s="1"/>
  <c r="DQ118" i="24"/>
  <c r="CU118" i="24"/>
  <c r="CL118" i="24"/>
  <c r="CY118" i="24"/>
  <c r="CW118" i="24"/>
  <c r="CX118" i="24" s="1"/>
  <c r="ES118" i="24"/>
  <c r="EV118" i="24" s="1"/>
  <c r="DQ162" i="24"/>
  <c r="CL162" i="24"/>
  <c r="CW162" i="24"/>
  <c r="CX162" i="24" s="1"/>
  <c r="CY162" i="24"/>
  <c r="CU162" i="24"/>
  <c r="ES162" i="24"/>
  <c r="EV162" i="24" s="1"/>
  <c r="ES113" i="24"/>
  <c r="EV113" i="24" s="1"/>
  <c r="CU113" i="24"/>
  <c r="CW113" i="24"/>
  <c r="CX113" i="24" s="1"/>
  <c r="DQ113" i="24"/>
  <c r="CL113" i="24"/>
  <c r="CY113" i="24"/>
  <c r="DQ234" i="24"/>
  <c r="CL234" i="24"/>
  <c r="CY234" i="24"/>
  <c r="CW234" i="24"/>
  <c r="CX234" i="24" s="1"/>
  <c r="CU234" i="24"/>
  <c r="ES40" i="24"/>
  <c r="EV40" i="24" s="1"/>
  <c r="DQ40" i="24"/>
  <c r="CY40" i="24"/>
  <c r="CU40" i="24"/>
  <c r="CV40" i="24" s="1"/>
  <c r="CL40" i="24"/>
  <c r="CW40" i="24"/>
  <c r="CX40" i="24" s="1"/>
  <c r="ES136" i="24"/>
  <c r="EV136" i="24" s="1"/>
  <c r="CU136" i="24"/>
  <c r="CL136" i="24"/>
  <c r="DQ136" i="24"/>
  <c r="CW136" i="24"/>
  <c r="CX136" i="24" s="1"/>
  <c r="CY136" i="24"/>
  <c r="CY217" i="24"/>
  <c r="CW217" i="24"/>
  <c r="CX217" i="24" s="1"/>
  <c r="CU217" i="24"/>
  <c r="CL217" i="24"/>
  <c r="DQ217" i="24"/>
  <c r="ES146" i="24"/>
  <c r="EV146" i="24" s="1"/>
  <c r="CL146" i="24"/>
  <c r="DQ146" i="24"/>
  <c r="CW146" i="24"/>
  <c r="CX146" i="24" s="1"/>
  <c r="CU146" i="24"/>
  <c r="CY146" i="24"/>
  <c r="DQ244" i="24"/>
  <c r="CY244" i="24"/>
  <c r="CW244" i="24"/>
  <c r="CX244" i="24" s="1"/>
  <c r="CU244" i="24"/>
  <c r="CL244" i="24"/>
  <c r="DQ177" i="24"/>
  <c r="CW177" i="24"/>
  <c r="CX177" i="24" s="1"/>
  <c r="CY177" i="24"/>
  <c r="CL177" i="24"/>
  <c r="ES177" i="24"/>
  <c r="EV177" i="24" s="1"/>
  <c r="CU177" i="24"/>
  <c r="CY123" i="24"/>
  <c r="CU123" i="24"/>
  <c r="CL123" i="24"/>
  <c r="DQ123" i="24"/>
  <c r="ES123" i="24"/>
  <c r="EV123" i="24" s="1"/>
  <c r="CW123" i="24"/>
  <c r="CX123" i="24" s="1"/>
  <c r="DQ209" i="24"/>
  <c r="CL209" i="24"/>
  <c r="ES209" i="24"/>
  <c r="EV209" i="24" s="1"/>
  <c r="CW209" i="24"/>
  <c r="CX209" i="24" s="1"/>
  <c r="CY209" i="24"/>
  <c r="CU209" i="24"/>
  <c r="CL153" i="24"/>
  <c r="ES153" i="24"/>
  <c r="EV153" i="24" s="1"/>
  <c r="DQ153" i="24"/>
  <c r="CW153" i="24"/>
  <c r="CX153" i="24" s="1"/>
  <c r="CU153" i="24"/>
  <c r="CY153" i="24"/>
  <c r="ES83" i="24"/>
  <c r="EV83" i="24" s="1"/>
  <c r="CL83" i="24"/>
  <c r="DQ83" i="24"/>
  <c r="CW83" i="24"/>
  <c r="CX83" i="24" s="1"/>
  <c r="CY83" i="24"/>
  <c r="CZ83" i="24" s="1"/>
  <c r="CU83" i="24"/>
  <c r="CV83" i="24" s="1"/>
  <c r="ES157" i="24"/>
  <c r="EV157" i="24" s="1"/>
  <c r="CY157" i="24"/>
  <c r="CW157" i="24"/>
  <c r="CX157" i="24" s="1"/>
  <c r="DQ157" i="24"/>
  <c r="CL157" i="24"/>
  <c r="CU157" i="24"/>
  <c r="DQ298" i="24"/>
  <c r="CW298" i="24"/>
  <c r="CX298" i="24" s="1"/>
  <c r="CL298" i="24"/>
  <c r="CU298" i="24"/>
  <c r="CY298" i="24"/>
  <c r="DQ263" i="24"/>
  <c r="CL263" i="24"/>
  <c r="CW263" i="24"/>
  <c r="CX263" i="24" s="1"/>
  <c r="CU263" i="24"/>
  <c r="CY263" i="24"/>
  <c r="CL221" i="24"/>
  <c r="CY221" i="24"/>
  <c r="CU221" i="24"/>
  <c r="CW221" i="24"/>
  <c r="CX221" i="24" s="1"/>
  <c r="DQ221" i="24"/>
  <c r="CW294" i="24"/>
  <c r="CX294" i="24" s="1"/>
  <c r="DQ294" i="24"/>
  <c r="CY294" i="24"/>
  <c r="CL294" i="24"/>
  <c r="CU294" i="24"/>
  <c r="CL226" i="24"/>
  <c r="CW226" i="24"/>
  <c r="CX226" i="24" s="1"/>
  <c r="DQ226" i="24"/>
  <c r="CU226" i="24"/>
  <c r="CY226" i="24"/>
  <c r="CL285" i="24"/>
  <c r="DQ285" i="24"/>
  <c r="CW285" i="24"/>
  <c r="CX285" i="24" s="1"/>
  <c r="CY285" i="24"/>
  <c r="CU285" i="24"/>
  <c r="ES203" i="24"/>
  <c r="EV203" i="24" s="1"/>
  <c r="DQ203" i="24"/>
  <c r="CL203" i="24"/>
  <c r="CW203" i="24"/>
  <c r="CX203" i="24" s="1"/>
  <c r="CY203" i="24"/>
  <c r="CU203" i="24"/>
  <c r="DQ255" i="24"/>
  <c r="CL255" i="24"/>
  <c r="CY255" i="24"/>
  <c r="CU255" i="24"/>
  <c r="CW255" i="24"/>
  <c r="CX255" i="24" s="1"/>
  <c r="ES206" i="24"/>
  <c r="EV206" i="24" s="1"/>
  <c r="CL206" i="24"/>
  <c r="DQ206" i="24"/>
  <c r="CW206" i="24"/>
  <c r="CX206" i="24" s="1"/>
  <c r="CY206" i="24"/>
  <c r="CU206" i="24"/>
  <c r="CL284" i="24"/>
  <c r="CW284" i="24"/>
  <c r="CX284" i="24" s="1"/>
  <c r="CY284" i="24"/>
  <c r="DQ284" i="24"/>
  <c r="CU284" i="24"/>
  <c r="DQ189" i="24"/>
  <c r="CU189" i="24"/>
  <c r="CL189" i="24"/>
  <c r="CY189" i="24"/>
  <c r="CZ189" i="24" s="1"/>
  <c r="CW189" i="24"/>
  <c r="CX189" i="24" s="1"/>
  <c r="ES189" i="24"/>
  <c r="EV189" i="24" s="1"/>
  <c r="DQ236" i="24"/>
  <c r="CL236" i="24"/>
  <c r="CW236" i="24"/>
  <c r="CX236" i="24" s="1"/>
  <c r="CY236" i="24"/>
  <c r="CU236" i="24"/>
  <c r="CL283" i="24"/>
  <c r="DQ283" i="24"/>
  <c r="CW283" i="24"/>
  <c r="CX283" i="24" s="1"/>
  <c r="CY283" i="24"/>
  <c r="CU283" i="24"/>
  <c r="DQ296" i="24"/>
  <c r="CL296" i="24"/>
  <c r="CY296" i="24"/>
  <c r="CW296" i="24"/>
  <c r="CX296" i="24" s="1"/>
  <c r="CU296" i="24"/>
  <c r="DQ15" i="24"/>
  <c r="ES15" i="24"/>
  <c r="EV15" i="24" s="1"/>
  <c r="CL15" i="24"/>
  <c r="CW15" i="24"/>
  <c r="CX15" i="24" s="1"/>
  <c r="CY15" i="24"/>
  <c r="CU15" i="24"/>
  <c r="CV15" i="24" s="1"/>
  <c r="CW86" i="24"/>
  <c r="CX86" i="24" s="1"/>
  <c r="ES86" i="24"/>
  <c r="EV86" i="24" s="1"/>
  <c r="DQ86" i="24"/>
  <c r="CL86" i="24"/>
  <c r="CU86" i="24"/>
  <c r="CV86" i="24" s="1"/>
  <c r="CY86" i="24"/>
  <c r="CW45" i="24"/>
  <c r="CX45" i="24" s="1"/>
  <c r="DQ45" i="24"/>
  <c r="CL45" i="24"/>
  <c r="ES45" i="24"/>
  <c r="EV45" i="24" s="1"/>
  <c r="CY45" i="24"/>
  <c r="CU45" i="24"/>
  <c r="CV45" i="24" s="1"/>
  <c r="ES21" i="24"/>
  <c r="EV21" i="24" s="1"/>
  <c r="CL21" i="24"/>
  <c r="CY21" i="24"/>
  <c r="CW21" i="24"/>
  <c r="CX21" i="24" s="1"/>
  <c r="CU21" i="24"/>
  <c r="CV21" i="24" s="1"/>
  <c r="DQ21" i="24"/>
  <c r="DQ9" i="24"/>
  <c r="CL9" i="24"/>
  <c r="CU9" i="24"/>
  <c r="CV9" i="24" s="1"/>
  <c r="CW9" i="24"/>
  <c r="CX9" i="24" s="1"/>
  <c r="ES9" i="24"/>
  <c r="EV9" i="24" s="1"/>
  <c r="CY9" i="24"/>
  <c r="ES75" i="24"/>
  <c r="EV75" i="24" s="1"/>
  <c r="CL75" i="24"/>
  <c r="DQ75" i="24"/>
  <c r="CW75" i="24"/>
  <c r="CX75" i="24" s="1"/>
  <c r="CY75" i="24"/>
  <c r="CU75" i="24"/>
  <c r="CV75" i="24" s="1"/>
  <c r="DQ36" i="24"/>
  <c r="CU36" i="24"/>
  <c r="CV36" i="24" s="1"/>
  <c r="ES36" i="24"/>
  <c r="EV36" i="24" s="1"/>
  <c r="CW36" i="24"/>
  <c r="CX36" i="24" s="1"/>
  <c r="CL36" i="24"/>
  <c r="CY36" i="24"/>
  <c r="CL66" i="24"/>
  <c r="ES66" i="24"/>
  <c r="EV66" i="24" s="1"/>
  <c r="DQ66" i="24"/>
  <c r="CW66" i="24"/>
  <c r="CX66" i="24" s="1"/>
  <c r="CY66" i="24"/>
  <c r="CU66" i="24"/>
  <c r="CV66" i="24" s="1"/>
  <c r="DQ41" i="24"/>
  <c r="ES41" i="24"/>
  <c r="EV41" i="24" s="1"/>
  <c r="CL41" i="24"/>
  <c r="CW41" i="24"/>
  <c r="CX41" i="24" s="1"/>
  <c r="CY41" i="24"/>
  <c r="CU41" i="24"/>
  <c r="CV41" i="24" s="1"/>
  <c r="DQ119" i="24"/>
  <c r="CY119" i="24"/>
  <c r="CU119" i="24"/>
  <c r="CL119" i="24"/>
  <c r="ES119" i="24"/>
  <c r="EV119" i="24" s="1"/>
  <c r="CW119" i="24"/>
  <c r="CX119" i="24" s="1"/>
  <c r="DQ167" i="24"/>
  <c r="CY167" i="24"/>
  <c r="CW167" i="24"/>
  <c r="CX167" i="24" s="1"/>
  <c r="CU167" i="24"/>
  <c r="ES167" i="24"/>
  <c r="EV167" i="24" s="1"/>
  <c r="CL167" i="24"/>
  <c r="DQ120" i="24"/>
  <c r="ES120" i="24"/>
  <c r="EV120" i="24" s="1"/>
  <c r="CW120" i="24"/>
  <c r="CX120" i="24" s="1"/>
  <c r="CL120" i="24"/>
  <c r="CY120" i="24"/>
  <c r="CU120" i="24"/>
  <c r="DQ258" i="24"/>
  <c r="CW258" i="24"/>
  <c r="CX258" i="24" s="1"/>
  <c r="CL258" i="24"/>
  <c r="CY258" i="24"/>
  <c r="CU258" i="24"/>
  <c r="CW47" i="24"/>
  <c r="CX47" i="24" s="1"/>
  <c r="DQ47" i="24"/>
  <c r="CL47" i="24"/>
  <c r="CY47" i="24"/>
  <c r="ES47" i="24"/>
  <c r="EV47" i="24" s="1"/>
  <c r="CU47" i="24"/>
  <c r="CV47" i="24" s="1"/>
  <c r="CU139" i="24"/>
  <c r="CL139" i="24"/>
  <c r="ES139" i="24"/>
  <c r="EV139" i="24" s="1"/>
  <c r="CY139" i="24"/>
  <c r="CW139" i="24"/>
  <c r="CX139" i="24" s="1"/>
  <c r="DQ139" i="24"/>
  <c r="CU264" i="24"/>
  <c r="CL264" i="24"/>
  <c r="CW264" i="24"/>
  <c r="CX264" i="24" s="1"/>
  <c r="CY264" i="24"/>
  <c r="DQ264" i="24"/>
  <c r="ES148" i="24"/>
  <c r="EV148" i="24" s="1"/>
  <c r="CL148" i="24"/>
  <c r="CW148" i="24"/>
  <c r="CX148" i="24" s="1"/>
  <c r="DQ148" i="24"/>
  <c r="CY148" i="24"/>
  <c r="CU148" i="24"/>
  <c r="DQ81" i="24"/>
  <c r="ES81" i="24"/>
  <c r="EV81" i="24" s="1"/>
  <c r="CY81" i="24"/>
  <c r="CZ81" i="24" s="1"/>
  <c r="CU81" i="24"/>
  <c r="CV81" i="24" s="1"/>
  <c r="CL81" i="24"/>
  <c r="CW81" i="24"/>
  <c r="CX81" i="24" s="1"/>
  <c r="ES179" i="24"/>
  <c r="EV179" i="24" s="1"/>
  <c r="CL179" i="24"/>
  <c r="CY179" i="24"/>
  <c r="DQ179" i="24"/>
  <c r="CW179" i="24"/>
  <c r="CX179" i="24" s="1"/>
  <c r="CU179" i="24"/>
  <c r="CL132" i="24"/>
  <c r="ES132" i="24"/>
  <c r="EV132" i="24" s="1"/>
  <c r="CW132" i="24"/>
  <c r="CX132" i="24" s="1"/>
  <c r="DQ132" i="24"/>
  <c r="CY132" i="24"/>
  <c r="CU132" i="24"/>
  <c r="DQ307" i="24"/>
  <c r="CW307" i="24"/>
  <c r="CX307" i="24" s="1"/>
  <c r="CL307" i="24"/>
  <c r="CY307" i="24"/>
  <c r="CU307" i="24"/>
  <c r="ES161" i="24"/>
  <c r="EV161" i="24" s="1"/>
  <c r="CY161" i="24"/>
  <c r="DQ161" i="24"/>
  <c r="CL161" i="24"/>
  <c r="CW161" i="24"/>
  <c r="CX161" i="24" s="1"/>
  <c r="CU161" i="24"/>
  <c r="ES98" i="24"/>
  <c r="EV98" i="24" s="1"/>
  <c r="CL98" i="24"/>
  <c r="DQ98" i="24"/>
  <c r="CW98" i="24"/>
  <c r="CX98" i="24" s="1"/>
  <c r="CY98" i="24"/>
  <c r="CU98" i="24"/>
  <c r="CV98" i="24" s="1"/>
  <c r="DQ171" i="24"/>
  <c r="CL171" i="24"/>
  <c r="ES171" i="24"/>
  <c r="EV171" i="24" s="1"/>
  <c r="CY171" i="24"/>
  <c r="CZ171" i="24" s="1"/>
  <c r="CW171" i="24"/>
  <c r="CX171" i="24" s="1"/>
  <c r="CU171" i="24"/>
  <c r="CW306" i="24"/>
  <c r="CX306" i="24" s="1"/>
  <c r="CL306" i="24"/>
  <c r="CU306" i="24"/>
  <c r="CY306" i="24"/>
  <c r="DQ306" i="24"/>
  <c r="DQ267" i="24"/>
  <c r="CL267" i="24"/>
  <c r="CY267" i="24"/>
  <c r="CU267" i="24"/>
  <c r="CW267" i="24"/>
  <c r="CX267" i="24" s="1"/>
  <c r="CW233" i="24"/>
  <c r="CX233" i="24" s="1"/>
  <c r="CU233" i="24"/>
  <c r="CL233" i="24"/>
  <c r="DQ233" i="24"/>
  <c r="CY233" i="24"/>
  <c r="DQ309" i="24"/>
  <c r="CY309" i="24"/>
  <c r="CL309" i="24"/>
  <c r="CW309" i="24"/>
  <c r="CX309" i="24" s="1"/>
  <c r="CU309" i="24"/>
  <c r="CL232" i="24"/>
  <c r="DQ232" i="24"/>
  <c r="CY232" i="24"/>
  <c r="CZ232" i="24" s="1"/>
  <c r="CW232" i="24"/>
  <c r="CX232" i="24" s="1"/>
  <c r="CU232" i="24"/>
  <c r="CL297" i="24"/>
  <c r="CU297" i="24"/>
  <c r="DQ297" i="24"/>
  <c r="CY297" i="24"/>
  <c r="CW297" i="24"/>
  <c r="CX297" i="24" s="1"/>
  <c r="CL208" i="24"/>
  <c r="CW208" i="24"/>
  <c r="CX208" i="24" s="1"/>
  <c r="DQ208" i="24"/>
  <c r="ES208" i="24"/>
  <c r="EV208" i="24" s="1"/>
  <c r="CY208" i="24"/>
  <c r="CU208" i="24"/>
  <c r="CL259" i="24"/>
  <c r="DQ259" i="24"/>
  <c r="CY259" i="24"/>
  <c r="CW259" i="24"/>
  <c r="CX259" i="24" s="1"/>
  <c r="CU259" i="24"/>
  <c r="DQ219" i="24"/>
  <c r="CU219" i="24"/>
  <c r="CL219" i="24"/>
  <c r="CW219" i="24"/>
  <c r="CX219" i="24" s="1"/>
  <c r="CY219" i="24"/>
  <c r="CL287" i="24"/>
  <c r="CW287" i="24"/>
  <c r="CX287" i="24" s="1"/>
  <c r="DQ287" i="24"/>
  <c r="CY287" i="24"/>
  <c r="CU287" i="24"/>
  <c r="CW190" i="24"/>
  <c r="CX190" i="24" s="1"/>
  <c r="CL190" i="24"/>
  <c r="DQ190" i="24"/>
  <c r="ES190" i="24"/>
  <c r="EV190" i="24" s="1"/>
  <c r="CU190" i="24"/>
  <c r="CY190" i="24"/>
  <c r="CW238" i="24"/>
  <c r="CX238" i="24" s="1"/>
  <c r="CL238" i="24"/>
  <c r="DQ238" i="24"/>
  <c r="CU238" i="24"/>
  <c r="CY238" i="24"/>
  <c r="CU302" i="24"/>
  <c r="DQ302" i="24"/>
  <c r="CW302" i="24"/>
  <c r="CX302" i="24" s="1"/>
  <c r="CL302" i="24"/>
  <c r="CY302" i="24"/>
  <c r="DQ300" i="24"/>
  <c r="CL300" i="24"/>
  <c r="CW300" i="24"/>
  <c r="CX300" i="24" s="1"/>
  <c r="CY300" i="24"/>
  <c r="CU300" i="24"/>
  <c r="J77" i="23"/>
  <c r="L77" i="23" s="1"/>
  <c r="B25" i="2"/>
  <c r="AY7" i="19"/>
  <c r="BD7" i="19" s="1"/>
  <c r="BN7" i="19"/>
  <c r="AY8" i="19"/>
  <c r="BC8" i="19" s="1"/>
  <c r="BN8" i="19"/>
  <c r="AY6" i="19"/>
  <c r="BJ6" i="19" s="1"/>
  <c r="BN6" i="19"/>
  <c r="AY9" i="19"/>
  <c r="BN9" i="19"/>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95" i="2" s="1"/>
  <c r="B259" i="2" s="1"/>
  <c r="J84" i="23"/>
  <c r="L84" i="23" s="1"/>
  <c r="G81" i="23"/>
  <c r="H81" i="23" s="1"/>
  <c r="G52" i="23"/>
  <c r="H52" i="23" s="1"/>
  <c r="G87" i="23"/>
  <c r="H87" i="23" s="1"/>
  <c r="G47" i="23"/>
  <c r="H47" i="23" s="1"/>
  <c r="G15" i="23"/>
  <c r="H15" i="23" s="1"/>
  <c r="G34" i="23"/>
  <c r="H34" i="23" s="1"/>
  <c r="Q34" i="23"/>
  <c r="Q44" i="23"/>
  <c r="Q106" i="23"/>
  <c r="Q14" i="23"/>
  <c r="Q81" i="23"/>
  <c r="Q91" i="23"/>
  <c r="Q6" i="23"/>
  <c r="Q48" i="23"/>
  <c r="Q82" i="23"/>
  <c r="Q93" i="23"/>
  <c r="Q22" i="23"/>
  <c r="Q99" i="23"/>
  <c r="Q42" i="23"/>
  <c r="Q35" i="23"/>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5" i="24"/>
  <c r="Q23" i="23"/>
  <c r="Q59" i="23"/>
  <c r="Q13" i="23"/>
  <c r="Q76" i="23"/>
  <c r="Q17" i="23"/>
  <c r="Q96" i="23"/>
  <c r="Q21" i="23"/>
  <c r="Q87" i="23"/>
  <c r="Q94" i="23"/>
  <c r="Q71" i="23"/>
  <c r="Q84" i="23"/>
  <c r="Q24" i="23"/>
  <c r="Q97" i="23"/>
  <c r="Q54" i="23"/>
  <c r="Q103" i="23"/>
  <c r="Q20" i="23"/>
  <c r="Q31" i="23"/>
  <c r="Q10" i="23"/>
  <c r="Q40" i="23"/>
  <c r="Q64" i="23"/>
  <c r="Q61" i="23"/>
  <c r="Q57" i="23"/>
  <c r="Q62" i="23"/>
  <c r="Q67" i="23"/>
  <c r="Q36" i="23"/>
  <c r="Q85" i="23"/>
  <c r="Q68" i="23"/>
  <c r="Q86" i="23"/>
  <c r="Q73" i="23"/>
  <c r="Q104" i="23"/>
  <c r="Q100" i="23"/>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69" i="2"/>
  <c r="B269" i="2"/>
  <c r="B185" i="2"/>
  <c r="A228" i="2"/>
  <c r="F269" i="2"/>
  <c r="B270" i="2"/>
  <c r="H270" i="2"/>
  <c r="C49" i="16" s="1"/>
  <c r="F182" i="2"/>
  <c r="E51" i="1" s="1"/>
  <c r="A229" i="2" s="1"/>
  <c r="G182" i="2"/>
  <c r="G270" i="2"/>
  <c r="C270" i="2"/>
  <c r="A270" i="2" s="1"/>
  <c r="B184" i="2"/>
  <c r="AO2" i="19"/>
  <c r="H273" i="2"/>
  <c r="F273" i="2"/>
  <c r="K57" i="16"/>
  <c r="M57" i="16" s="1"/>
  <c r="B235" i="2"/>
  <c r="A235" i="2"/>
  <c r="E43" i="1"/>
  <c r="A2" i="21"/>
  <c r="K70" i="2"/>
  <c r="G89" i="19"/>
  <c r="G64" i="19"/>
  <c r="G65" i="19"/>
  <c r="G90" i="19"/>
  <c r="G91" i="19"/>
  <c r="AY106" i="19"/>
  <c r="G66" i="19"/>
  <c r="BN106" i="19"/>
  <c r="FD225" i="25" l="1"/>
  <c r="FD243" i="25"/>
  <c r="FD233" i="25"/>
  <c r="DB212" i="25"/>
  <c r="CV110" i="25"/>
  <c r="B47" i="2"/>
  <c r="CW110" i="25"/>
  <c r="CO110" i="25" s="1"/>
  <c r="DH110" i="25" s="1"/>
  <c r="CU110" i="25"/>
  <c r="FD110" i="25"/>
  <c r="B112" i="2"/>
  <c r="B113" i="2" s="1"/>
  <c r="L6" i="1"/>
  <c r="M76" i="1"/>
  <c r="L76" i="1"/>
  <c r="L77" i="1" s="1"/>
  <c r="E75" i="1"/>
  <c r="B43" i="2"/>
  <c r="D25" i="29"/>
  <c r="Q3" i="29" s="1"/>
  <c r="B27" i="29"/>
  <c r="D27" i="29" s="1"/>
  <c r="DH212" i="25"/>
  <c r="DA212" i="25"/>
  <c r="DD212" i="25" s="1"/>
  <c r="DE212" i="25" s="1"/>
  <c r="DF212" i="25" s="1"/>
  <c r="DM212" i="25" s="1"/>
  <c r="DW212" i="25" s="1"/>
  <c r="DS193" i="25"/>
  <c r="DS204" i="25"/>
  <c r="DS203" i="25"/>
  <c r="DS99" i="25"/>
  <c r="DS96" i="25"/>
  <c r="DS194" i="25"/>
  <c r="DS206" i="25"/>
  <c r="DS209" i="25"/>
  <c r="DS100" i="25"/>
  <c r="DS201" i="25"/>
  <c r="DS205" i="25"/>
  <c r="DS105" i="25"/>
  <c r="DS103" i="25"/>
  <c r="DS198" i="25"/>
  <c r="DS102" i="25"/>
  <c r="DS202" i="25"/>
  <c r="DS200" i="25"/>
  <c r="DS199" i="25"/>
  <c r="DS196" i="25"/>
  <c r="DS97" i="25"/>
  <c r="DS197" i="25"/>
  <c r="DS208" i="25"/>
  <c r="DS101" i="25"/>
  <c r="DS207" i="25"/>
  <c r="DS210" i="25"/>
  <c r="DS98" i="25"/>
  <c r="DS104" i="25"/>
  <c r="DS195" i="25"/>
  <c r="DS91" i="25"/>
  <c r="DS94" i="25"/>
  <c r="DS93" i="25"/>
  <c r="DS95" i="25"/>
  <c r="DS92" i="25"/>
  <c r="DT120" i="24"/>
  <c r="DT189" i="24"/>
  <c r="DT157" i="24"/>
  <c r="DT153" i="24"/>
  <c r="DT193" i="24"/>
  <c r="DT204" i="24"/>
  <c r="DT202" i="24"/>
  <c r="DT155" i="24"/>
  <c r="DT198" i="24"/>
  <c r="DT180" i="24"/>
  <c r="DT117" i="24"/>
  <c r="DT174" i="24"/>
  <c r="DT139" i="24"/>
  <c r="DT192" i="24"/>
  <c r="DT115" i="24"/>
  <c r="DT133" i="24"/>
  <c r="DT143" i="24"/>
  <c r="DT129" i="24"/>
  <c r="DT183" i="24"/>
  <c r="DT134" i="24"/>
  <c r="DT184" i="24"/>
  <c r="DT137" i="24"/>
  <c r="DT195" i="24"/>
  <c r="DT128" i="24"/>
  <c r="DT140" i="24"/>
  <c r="DT122" i="24"/>
  <c r="DT208" i="24"/>
  <c r="DT179" i="24"/>
  <c r="DT123" i="24"/>
  <c r="DT150" i="24"/>
  <c r="DT116" i="24"/>
  <c r="DT191" i="24"/>
  <c r="DT112" i="24"/>
  <c r="DT170" i="24"/>
  <c r="DT169" i="24"/>
  <c r="DT126" i="24"/>
  <c r="DT163" i="24"/>
  <c r="DT197" i="24"/>
  <c r="DT121" i="24"/>
  <c r="DT159" i="24"/>
  <c r="DT141" i="24"/>
  <c r="DT201" i="24"/>
  <c r="DT138" i="24"/>
  <c r="DT118" i="24"/>
  <c r="DT200" i="24"/>
  <c r="DT111" i="24"/>
  <c r="DT182" i="24"/>
  <c r="DT152" i="24"/>
  <c r="DT210" i="24"/>
  <c r="H83" i="2" s="1"/>
  <c r="DT147" i="24"/>
  <c r="DT149" i="24"/>
  <c r="DT181" i="24"/>
  <c r="DT135" i="24"/>
  <c r="DT144" i="24"/>
  <c r="DT158" i="24"/>
  <c r="DT130" i="24"/>
  <c r="DT190" i="24"/>
  <c r="DT167" i="24"/>
  <c r="DT119" i="24"/>
  <c r="DT206" i="24"/>
  <c r="DT146" i="24"/>
  <c r="DT156" i="24"/>
  <c r="DT185" i="24"/>
  <c r="DT199" i="24"/>
  <c r="DT131" i="24"/>
  <c r="DT207" i="24"/>
  <c r="DT176" i="24"/>
  <c r="DT124" i="24"/>
  <c r="DT151" i="24"/>
  <c r="DT171" i="24"/>
  <c r="DT132" i="24"/>
  <c r="DT209" i="24"/>
  <c r="DT113" i="24"/>
  <c r="DT173" i="24"/>
  <c r="DT188" i="24"/>
  <c r="DT148" i="24"/>
  <c r="DT203" i="24"/>
  <c r="DT136" i="24"/>
  <c r="DT162" i="24"/>
  <c r="DT187" i="24"/>
  <c r="DT172" i="24"/>
  <c r="DT154" i="24"/>
  <c r="DT186" i="24"/>
  <c r="DT165" i="24"/>
  <c r="DT178" i="24"/>
  <c r="DT142" i="24"/>
  <c r="DT196" i="24"/>
  <c r="DT161" i="24"/>
  <c r="DT177" i="24"/>
  <c r="DT205" i="24"/>
  <c r="DT194" i="24"/>
  <c r="DT164" i="24"/>
  <c r="DT175" i="24"/>
  <c r="DT166" i="24"/>
  <c r="DT160" i="24"/>
  <c r="DT125" i="24"/>
  <c r="DT145" i="24"/>
  <c r="DT114" i="24"/>
  <c r="DT127" i="24"/>
  <c r="DT168" i="24"/>
  <c r="FD266" i="25"/>
  <c r="FD232" i="25"/>
  <c r="FD305" i="25"/>
  <c r="FD235" i="25"/>
  <c r="FD216" i="25"/>
  <c r="FD241" i="25"/>
  <c r="FD269" i="25"/>
  <c r="FD277" i="25"/>
  <c r="FD237" i="25"/>
  <c r="FD276" i="25"/>
  <c r="FD307" i="25"/>
  <c r="FD238" i="25"/>
  <c r="FD242" i="25"/>
  <c r="FD226" i="25"/>
  <c r="FD294" i="25"/>
  <c r="FD275" i="25"/>
  <c r="FD295" i="25"/>
  <c r="FD154" i="25"/>
  <c r="FD250" i="25"/>
  <c r="FD306" i="25"/>
  <c r="FD262" i="25"/>
  <c r="FD280" i="25"/>
  <c r="FD244" i="25"/>
  <c r="FD285" i="25"/>
  <c r="FD283" i="25"/>
  <c r="FD234" i="25"/>
  <c r="FD274" i="25"/>
  <c r="FD230" i="25"/>
  <c r="FD259" i="25"/>
  <c r="FD300" i="25"/>
  <c r="FD292" i="25"/>
  <c r="FD249" i="25"/>
  <c r="FD314" i="25"/>
  <c r="FD248" i="25"/>
  <c r="FD222" i="25"/>
  <c r="FD291" i="25"/>
  <c r="FD281" i="25"/>
  <c r="FD279" i="25"/>
  <c r="FD299" i="25"/>
  <c r="FD217" i="25"/>
  <c r="FD229" i="25"/>
  <c r="FD296" i="25"/>
  <c r="FD264" i="25"/>
  <c r="FD272" i="25"/>
  <c r="FD270" i="25"/>
  <c r="FD255" i="25"/>
  <c r="FD219" i="25"/>
  <c r="FD312" i="25"/>
  <c r="FD287" i="25"/>
  <c r="FD289" i="25"/>
  <c r="FD223" i="25"/>
  <c r="FD302" i="25"/>
  <c r="FD290" i="25"/>
  <c r="FD254" i="25"/>
  <c r="FD227" i="25"/>
  <c r="FD245" i="25"/>
  <c r="FD231" i="25"/>
  <c r="FD282" i="25"/>
  <c r="FD261" i="25"/>
  <c r="FD288" i="25"/>
  <c r="FD304" i="25"/>
  <c r="FD268" i="25"/>
  <c r="FD310" i="25"/>
  <c r="FD253" i="25"/>
  <c r="FD278" i="25"/>
  <c r="FD303" i="25"/>
  <c r="FD256" i="25"/>
  <c r="FD284" i="25"/>
  <c r="FD221" i="25"/>
  <c r="FD308" i="25"/>
  <c r="FD228" i="25"/>
  <c r="FD313" i="25"/>
  <c r="FD301" i="25"/>
  <c r="FD267" i="25"/>
  <c r="FD240" i="25"/>
  <c r="FD239" i="25"/>
  <c r="FD293" i="25"/>
  <c r="FD263" i="25"/>
  <c r="FD316" i="25"/>
  <c r="FD252" i="25"/>
  <c r="FD286" i="25"/>
  <c r="FD246" i="25"/>
  <c r="FD224" i="25"/>
  <c r="FD273" i="25"/>
  <c r="FD311" i="25"/>
  <c r="FD257" i="25"/>
  <c r="FD265" i="25"/>
  <c r="FD258" i="25"/>
  <c r="FD297" i="25"/>
  <c r="FD271" i="25"/>
  <c r="FD236" i="25"/>
  <c r="FD218" i="25"/>
  <c r="FD220" i="25"/>
  <c r="FD298" i="25"/>
  <c r="FD260" i="25"/>
  <c r="FD309" i="25"/>
  <c r="FD315" i="25"/>
  <c r="FD247" i="25"/>
  <c r="FD251" i="25"/>
  <c r="B45" i="2"/>
  <c r="FD112" i="25"/>
  <c r="DL112" i="25"/>
  <c r="DS112" i="25"/>
  <c r="DA112" i="25"/>
  <c r="DD112" i="25" s="1"/>
  <c r="DE112" i="25" s="1"/>
  <c r="DF112" i="25" s="1"/>
  <c r="DH112" i="25"/>
  <c r="CY112" i="25"/>
  <c r="CZ112" i="25"/>
  <c r="CZ110" i="24"/>
  <c r="DC110" i="24" s="1"/>
  <c r="DN5" i="24"/>
  <c r="DZ5" i="24" s="1"/>
  <c r="FD27" i="25"/>
  <c r="CW216" i="25"/>
  <c r="FD51" i="25"/>
  <c r="DS24" i="25"/>
  <c r="FD31" i="25"/>
  <c r="CV216" i="25"/>
  <c r="CU216" i="25"/>
  <c r="DS87" i="25"/>
  <c r="DN110" i="24"/>
  <c r="DX110" i="24" s="1"/>
  <c r="DJ5" i="24"/>
  <c r="DK5" i="24"/>
  <c r="DJ110" i="24"/>
  <c r="DK110" i="24"/>
  <c r="DI216" i="24"/>
  <c r="DM216" i="24"/>
  <c r="DB216" i="24"/>
  <c r="DE216" i="24" s="1"/>
  <c r="DF216" i="24" s="1"/>
  <c r="DG216" i="24" s="1"/>
  <c r="DA216" i="24"/>
  <c r="CZ216" i="24"/>
  <c r="DT35" i="24"/>
  <c r="DT289" i="24"/>
  <c r="DT221" i="24"/>
  <c r="DT37" i="24"/>
  <c r="DT50" i="24"/>
  <c r="FD19" i="25"/>
  <c r="DS9" i="25"/>
  <c r="DS83" i="25"/>
  <c r="DS49" i="25"/>
  <c r="DS245" i="25"/>
  <c r="DA180" i="25"/>
  <c r="DD180" i="25" s="1"/>
  <c r="DE180" i="25" s="1"/>
  <c r="DF180" i="25" s="1"/>
  <c r="DH180" i="25"/>
  <c r="DA122" i="25"/>
  <c r="DD122" i="25" s="1"/>
  <c r="DE122" i="25" s="1"/>
  <c r="DF122" i="25" s="1"/>
  <c r="DH122" i="25"/>
  <c r="DL271" i="25"/>
  <c r="DS271" i="25"/>
  <c r="DL231" i="25"/>
  <c r="DS231" i="25"/>
  <c r="DS166" i="25"/>
  <c r="FD166" i="25"/>
  <c r="DL166" i="25"/>
  <c r="DS279" i="25"/>
  <c r="DL279" i="25"/>
  <c r="CY204" i="25"/>
  <c r="CZ204" i="25"/>
  <c r="CY165" i="25"/>
  <c r="CZ165" i="25"/>
  <c r="DL274" i="25"/>
  <c r="DS274" i="25"/>
  <c r="CY32" i="25"/>
  <c r="CZ32" i="25"/>
  <c r="CZ101" i="25"/>
  <c r="CY101" i="25"/>
  <c r="DL36" i="25"/>
  <c r="FD36" i="25"/>
  <c r="DS36" i="25"/>
  <c r="DA203" i="25"/>
  <c r="DD203" i="25" s="1"/>
  <c r="DE203" i="25" s="1"/>
  <c r="DF203" i="25" s="1"/>
  <c r="DH203" i="25"/>
  <c r="CY315" i="25"/>
  <c r="CZ315" i="25"/>
  <c r="DA233" i="25"/>
  <c r="DD233" i="25" s="1"/>
  <c r="DE233" i="25" s="1"/>
  <c r="DF233" i="25" s="1"/>
  <c r="DH233" i="25"/>
  <c r="DA241" i="25"/>
  <c r="DD241" i="25" s="1"/>
  <c r="DE241" i="25" s="1"/>
  <c r="DF241" i="25" s="1"/>
  <c r="DH241" i="25"/>
  <c r="DA57" i="25"/>
  <c r="DD57" i="25" s="1"/>
  <c r="DE57" i="25" s="1"/>
  <c r="DF57" i="25" s="1"/>
  <c r="DH57" i="25"/>
  <c r="DH276" i="25"/>
  <c r="DA276" i="25"/>
  <c r="DD276" i="25" s="1"/>
  <c r="DE276" i="25" s="1"/>
  <c r="DF276" i="25" s="1"/>
  <c r="CZ7" i="25"/>
  <c r="DB7" i="25" s="1"/>
  <c r="DH7" i="25"/>
  <c r="DA7" i="25"/>
  <c r="DD7" i="25" s="1"/>
  <c r="DE7" i="25" s="1"/>
  <c r="DF7" i="25" s="1"/>
  <c r="DM7" i="25" s="1"/>
  <c r="CZ278" i="25"/>
  <c r="CY278" i="25"/>
  <c r="CY221" i="25"/>
  <c r="CZ221" i="25"/>
  <c r="DL297" i="25"/>
  <c r="DS264" i="25"/>
  <c r="DL264" i="25"/>
  <c r="CY304" i="25"/>
  <c r="CZ304" i="25"/>
  <c r="DL127" i="25"/>
  <c r="FD127" i="25"/>
  <c r="DS127" i="25"/>
  <c r="CZ201" i="25"/>
  <c r="CY201" i="25"/>
  <c r="CY99" i="25"/>
  <c r="CZ99" i="25"/>
  <c r="DL62" i="25"/>
  <c r="DS62" i="25"/>
  <c r="FD62" i="25"/>
  <c r="CZ144" i="25"/>
  <c r="CY144" i="25"/>
  <c r="FD116" i="25"/>
  <c r="DS116" i="25"/>
  <c r="DL116" i="25"/>
  <c r="DS113" i="25"/>
  <c r="FD113" i="25"/>
  <c r="DL113" i="25"/>
  <c r="CY160" i="25"/>
  <c r="CZ160" i="25"/>
  <c r="FD26" i="25"/>
  <c r="DS26" i="25"/>
  <c r="DL26" i="25"/>
  <c r="DL240" i="25"/>
  <c r="DS240" i="25"/>
  <c r="DH206" i="25"/>
  <c r="DA206" i="25"/>
  <c r="DD206" i="25" s="1"/>
  <c r="DE206" i="25" s="1"/>
  <c r="DF206" i="25" s="1"/>
  <c r="DA60" i="25"/>
  <c r="DD60" i="25" s="1"/>
  <c r="DE60" i="25" s="1"/>
  <c r="DF60" i="25" s="1"/>
  <c r="DH60" i="25"/>
  <c r="DH269" i="25"/>
  <c r="DA269" i="25"/>
  <c r="DD269" i="25" s="1"/>
  <c r="DE269" i="25" s="1"/>
  <c r="DF269" i="25" s="1"/>
  <c r="DH14" i="25"/>
  <c r="DA14" i="25"/>
  <c r="DD14" i="25" s="1"/>
  <c r="DE14" i="25" s="1"/>
  <c r="DF14" i="25" s="1"/>
  <c r="FD50" i="25"/>
  <c r="DL50" i="25"/>
  <c r="DS50" i="25"/>
  <c r="DH174" i="25"/>
  <c r="DA174" i="25"/>
  <c r="DD174" i="25" s="1"/>
  <c r="DE174" i="25" s="1"/>
  <c r="DF174" i="25" s="1"/>
  <c r="DH92" i="25"/>
  <c r="DA92" i="25"/>
  <c r="DD92" i="25" s="1"/>
  <c r="DE92" i="25" s="1"/>
  <c r="DF92" i="25" s="1"/>
  <c r="DA239" i="25"/>
  <c r="DD239" i="25" s="1"/>
  <c r="DE239" i="25" s="1"/>
  <c r="DF239" i="25" s="1"/>
  <c r="DH239" i="25"/>
  <c r="CZ164" i="25"/>
  <c r="DB164" i="25" s="1"/>
  <c r="DH164" i="25"/>
  <c r="DA164" i="25"/>
  <c r="DD164" i="25" s="1"/>
  <c r="DE164" i="25" s="1"/>
  <c r="DF164" i="25" s="1"/>
  <c r="DL220" i="25"/>
  <c r="DS220" i="25"/>
  <c r="CY186" i="25"/>
  <c r="CZ186" i="25"/>
  <c r="CY271" i="25"/>
  <c r="CZ271" i="25"/>
  <c r="DS311" i="25"/>
  <c r="DL311" i="25"/>
  <c r="DL261" i="25"/>
  <c r="DS261" i="25"/>
  <c r="DS282" i="25"/>
  <c r="DL282" i="25"/>
  <c r="CZ134" i="25"/>
  <c r="CY134" i="25"/>
  <c r="CZ312" i="25"/>
  <c r="CY312" i="25"/>
  <c r="CZ196" i="25"/>
  <c r="CY196" i="25"/>
  <c r="CY61" i="25"/>
  <c r="CZ61" i="25"/>
  <c r="DH56" i="25"/>
  <c r="DA56" i="25"/>
  <c r="DD56" i="25" s="1"/>
  <c r="DE56" i="25" s="1"/>
  <c r="DF56" i="25" s="1"/>
  <c r="DA190" i="25"/>
  <c r="DD190" i="25" s="1"/>
  <c r="DE190" i="25" s="1"/>
  <c r="DF190" i="25" s="1"/>
  <c r="DH190" i="25"/>
  <c r="DH147" i="25"/>
  <c r="DA147" i="25"/>
  <c r="DD147" i="25" s="1"/>
  <c r="DE147" i="25" s="1"/>
  <c r="DF147" i="25" s="1"/>
  <c r="DA32" i="25"/>
  <c r="DD32" i="25" s="1"/>
  <c r="DE32" i="25" s="1"/>
  <c r="DF32" i="25" s="1"/>
  <c r="DH32" i="25"/>
  <c r="DA210" i="25"/>
  <c r="DD210" i="25" s="1"/>
  <c r="DE210" i="25" s="1"/>
  <c r="DF210" i="25" s="1"/>
  <c r="DH210" i="25"/>
  <c r="DA78" i="25"/>
  <c r="DD78" i="25" s="1"/>
  <c r="DE78" i="25" s="1"/>
  <c r="DF78" i="25" s="1"/>
  <c r="DH78" i="25"/>
  <c r="DL221" i="25"/>
  <c r="DS221" i="25"/>
  <c r="CZ206" i="25"/>
  <c r="CY206" i="25"/>
  <c r="DL304" i="25"/>
  <c r="DS304" i="25"/>
  <c r="CY62" i="25"/>
  <c r="CZ62" i="25"/>
  <c r="CY35" i="25"/>
  <c r="CZ35" i="25"/>
  <c r="CY31" i="25"/>
  <c r="CZ31" i="25"/>
  <c r="DL160" i="25"/>
  <c r="FD160" i="25"/>
  <c r="DS160" i="25"/>
  <c r="DH105" i="25"/>
  <c r="DA105" i="25"/>
  <c r="DD105" i="25" s="1"/>
  <c r="DE105" i="25" s="1"/>
  <c r="DF105" i="25" s="1"/>
  <c r="DH15" i="25"/>
  <c r="DA15" i="25"/>
  <c r="DD15" i="25" s="1"/>
  <c r="DE15" i="25" s="1"/>
  <c r="DF15" i="25" s="1"/>
  <c r="DL219" i="25"/>
  <c r="DS219" i="25"/>
  <c r="CY16" i="25"/>
  <c r="CZ16" i="25"/>
  <c r="CZ226" i="25"/>
  <c r="DB226" i="25" s="1"/>
  <c r="DH226" i="25"/>
  <c r="DA226" i="25"/>
  <c r="DD226" i="25" s="1"/>
  <c r="DE226" i="25" s="1"/>
  <c r="DF226" i="25" s="1"/>
  <c r="DH59" i="25"/>
  <c r="DA59" i="25"/>
  <c r="DD59" i="25" s="1"/>
  <c r="DE59" i="25" s="1"/>
  <c r="DF59" i="25" s="1"/>
  <c r="CY167" i="25"/>
  <c r="CZ167" i="25"/>
  <c r="CZ229" i="25"/>
  <c r="CY229" i="25"/>
  <c r="DL202" i="25"/>
  <c r="FD202" i="25"/>
  <c r="DL224" i="25"/>
  <c r="DS224" i="25"/>
  <c r="DS123" i="25"/>
  <c r="DL123" i="25"/>
  <c r="FD123" i="25"/>
  <c r="DL150" i="25"/>
  <c r="DS150" i="25"/>
  <c r="FD150" i="25"/>
  <c r="DL41" i="25"/>
  <c r="FD41" i="25"/>
  <c r="DS41" i="25"/>
  <c r="DH191" i="25"/>
  <c r="DA191" i="25"/>
  <c r="DD191" i="25" s="1"/>
  <c r="DE191" i="25" s="1"/>
  <c r="DF191" i="25" s="1"/>
  <c r="DA275" i="25"/>
  <c r="DD275" i="25" s="1"/>
  <c r="DE275" i="25" s="1"/>
  <c r="DF275" i="25" s="1"/>
  <c r="DH275" i="25"/>
  <c r="DH45" i="25"/>
  <c r="DA45" i="25"/>
  <c r="DD45" i="25" s="1"/>
  <c r="DE45" i="25" s="1"/>
  <c r="DF45" i="25" s="1"/>
  <c r="DS299" i="25"/>
  <c r="DL299" i="25"/>
  <c r="DL291" i="25"/>
  <c r="DS291" i="25"/>
  <c r="DS124" i="25"/>
  <c r="FD124" i="25"/>
  <c r="DL124" i="25"/>
  <c r="DL32" i="25"/>
  <c r="DS32" i="25"/>
  <c r="FD32" i="25"/>
  <c r="DS134" i="25"/>
  <c r="FD134" i="25"/>
  <c r="DL134" i="25"/>
  <c r="DL312" i="25"/>
  <c r="DS312" i="25"/>
  <c r="DL286" i="25"/>
  <c r="DS286" i="25"/>
  <c r="FD196" i="25"/>
  <c r="DL196" i="25"/>
  <c r="CZ67" i="25"/>
  <c r="CY67" i="25"/>
  <c r="CY103" i="25"/>
  <c r="CZ103" i="25"/>
  <c r="DL131" i="25"/>
  <c r="DS131" i="25"/>
  <c r="FD131" i="25"/>
  <c r="DH67" i="25"/>
  <c r="DA67" i="25"/>
  <c r="DD67" i="25" s="1"/>
  <c r="DE67" i="25" s="1"/>
  <c r="DF67" i="25" s="1"/>
  <c r="DL236" i="25"/>
  <c r="DS236" i="25"/>
  <c r="CY234" i="25"/>
  <c r="CZ234" i="25"/>
  <c r="DH83" i="25"/>
  <c r="DA83" i="25"/>
  <c r="DD83" i="25" s="1"/>
  <c r="DE83" i="25" s="1"/>
  <c r="DF83" i="25" s="1"/>
  <c r="DA80" i="25"/>
  <c r="DD80" i="25" s="1"/>
  <c r="DE80" i="25" s="1"/>
  <c r="DF80" i="25" s="1"/>
  <c r="DH80" i="25"/>
  <c r="DH42" i="25"/>
  <c r="DA42" i="25"/>
  <c r="DD42" i="25" s="1"/>
  <c r="DE42" i="25" s="1"/>
  <c r="DF42" i="25" s="1"/>
  <c r="DH302" i="25"/>
  <c r="DA302" i="25"/>
  <c r="DD302" i="25" s="1"/>
  <c r="DE302" i="25" s="1"/>
  <c r="DF302" i="25" s="1"/>
  <c r="DS303" i="25"/>
  <c r="DL303" i="25"/>
  <c r="CY264" i="25"/>
  <c r="CZ264" i="25"/>
  <c r="FD201" i="25"/>
  <c r="DL201" i="25"/>
  <c r="FD54" i="25"/>
  <c r="DS54" i="25"/>
  <c r="DL54" i="25"/>
  <c r="DL265" i="25"/>
  <c r="DS265" i="25"/>
  <c r="FD144" i="25"/>
  <c r="DS144" i="25"/>
  <c r="DL144" i="25"/>
  <c r="CY97" i="25"/>
  <c r="CZ97" i="25"/>
  <c r="CZ26" i="25"/>
  <c r="CY26" i="25"/>
  <c r="DH277" i="25"/>
  <c r="DA277" i="25"/>
  <c r="DD277" i="25" s="1"/>
  <c r="DE277" i="25" s="1"/>
  <c r="DF277" i="25" s="1"/>
  <c r="DH304" i="25"/>
  <c r="DA304" i="25"/>
  <c r="DD304" i="25" s="1"/>
  <c r="DE304" i="25" s="1"/>
  <c r="DF304" i="25" s="1"/>
  <c r="DA97" i="25"/>
  <c r="DD97" i="25" s="1"/>
  <c r="DE97" i="25" s="1"/>
  <c r="DF97" i="25" s="1"/>
  <c r="DH97" i="25"/>
  <c r="DH98" i="25"/>
  <c r="DA98" i="25"/>
  <c r="DD98" i="25" s="1"/>
  <c r="DE98" i="25" s="1"/>
  <c r="DF98" i="25" s="1"/>
  <c r="DH35" i="25"/>
  <c r="DA35" i="25"/>
  <c r="DD35" i="25" s="1"/>
  <c r="DE35" i="25" s="1"/>
  <c r="DF35" i="25" s="1"/>
  <c r="DH158" i="25"/>
  <c r="DA158" i="25"/>
  <c r="DD158" i="25" s="1"/>
  <c r="DE158" i="25" s="1"/>
  <c r="DF158" i="25" s="1"/>
  <c r="CZ299" i="25"/>
  <c r="CY299" i="25"/>
  <c r="CY311" i="25"/>
  <c r="CZ311" i="25"/>
  <c r="CY291" i="25"/>
  <c r="CZ291" i="25"/>
  <c r="DL56" i="25"/>
  <c r="DS56" i="25"/>
  <c r="FD56" i="25"/>
  <c r="CY286" i="25"/>
  <c r="CZ286" i="25"/>
  <c r="CZ131" i="25"/>
  <c r="CY131" i="25"/>
  <c r="CZ132" i="25"/>
  <c r="CY132" i="25"/>
  <c r="CY163" i="25"/>
  <c r="CZ163" i="25"/>
  <c r="CZ259" i="25"/>
  <c r="DB259" i="25" s="1"/>
  <c r="DH259" i="25"/>
  <c r="DA259" i="25"/>
  <c r="DD259" i="25" s="1"/>
  <c r="DE259" i="25" s="1"/>
  <c r="DF259" i="25" s="1"/>
  <c r="DL234" i="25"/>
  <c r="DS234" i="25"/>
  <c r="DL18" i="25"/>
  <c r="DS18" i="25"/>
  <c r="FD18" i="25"/>
  <c r="DH173" i="25"/>
  <c r="DA173" i="25"/>
  <c r="DD173" i="25" s="1"/>
  <c r="DE173" i="25" s="1"/>
  <c r="DF173" i="25" s="1"/>
  <c r="DH231" i="25"/>
  <c r="DA231" i="25"/>
  <c r="DD231" i="25" s="1"/>
  <c r="DE231" i="25" s="1"/>
  <c r="DF231" i="25" s="1"/>
  <c r="DA120" i="25"/>
  <c r="DD120" i="25" s="1"/>
  <c r="DE120" i="25" s="1"/>
  <c r="DF120" i="25" s="1"/>
  <c r="DH120" i="25"/>
  <c r="DH267" i="25"/>
  <c r="DA267" i="25"/>
  <c r="DD267" i="25" s="1"/>
  <c r="DE267" i="25" s="1"/>
  <c r="DF267" i="25" s="1"/>
  <c r="DH47" i="25"/>
  <c r="DA47" i="25"/>
  <c r="DD47" i="25" s="1"/>
  <c r="DE47" i="25" s="1"/>
  <c r="DF47" i="25" s="1"/>
  <c r="DH314" i="25"/>
  <c r="DA314" i="25"/>
  <c r="DD314" i="25" s="1"/>
  <c r="DE314" i="25" s="1"/>
  <c r="DF314" i="25" s="1"/>
  <c r="CZ158" i="25"/>
  <c r="CY158" i="25"/>
  <c r="DS268" i="25"/>
  <c r="DL268" i="25"/>
  <c r="CY273" i="25"/>
  <c r="CZ273" i="25"/>
  <c r="FD206" i="25"/>
  <c r="DL206" i="25"/>
  <c r="DL249" i="25"/>
  <c r="DS249" i="25"/>
  <c r="FD120" i="25"/>
  <c r="DS120" i="25"/>
  <c r="DL120" i="25"/>
  <c r="DS35" i="25"/>
  <c r="DL35" i="25"/>
  <c r="FD35" i="25"/>
  <c r="CZ83" i="25"/>
  <c r="CY83" i="25"/>
  <c r="DH91" i="25"/>
  <c r="DA91" i="25"/>
  <c r="DD91" i="25" s="1"/>
  <c r="DE91" i="25" s="1"/>
  <c r="DF91" i="25" s="1"/>
  <c r="DH41" i="25"/>
  <c r="DA41" i="25"/>
  <c r="DD41" i="25" s="1"/>
  <c r="DE41" i="25" s="1"/>
  <c r="DF41" i="25" s="1"/>
  <c r="CY152" i="25"/>
  <c r="CZ152" i="25"/>
  <c r="DA257" i="25"/>
  <c r="DD257" i="25" s="1"/>
  <c r="DE257" i="25" s="1"/>
  <c r="DF257" i="25" s="1"/>
  <c r="DH257" i="25"/>
  <c r="DH244" i="25"/>
  <c r="DA244" i="25"/>
  <c r="DD244" i="25" s="1"/>
  <c r="DE244" i="25" s="1"/>
  <c r="DF244" i="25" s="1"/>
  <c r="DH292" i="25"/>
  <c r="DA292" i="25"/>
  <c r="DD292" i="25" s="1"/>
  <c r="DE292" i="25" s="1"/>
  <c r="DF292" i="25" s="1"/>
  <c r="DH251" i="25"/>
  <c r="DA251" i="25"/>
  <c r="DD251" i="25" s="1"/>
  <c r="DE251" i="25" s="1"/>
  <c r="DF251" i="25" s="1"/>
  <c r="DH202" i="25"/>
  <c r="DA202" i="25"/>
  <c r="DD202" i="25" s="1"/>
  <c r="DE202" i="25" s="1"/>
  <c r="DF202" i="25" s="1"/>
  <c r="DA65" i="25"/>
  <c r="DD65" i="25" s="1"/>
  <c r="DE65" i="25" s="1"/>
  <c r="DF65" i="25" s="1"/>
  <c r="DH65" i="25"/>
  <c r="DH144" i="25"/>
  <c r="DA144" i="25"/>
  <c r="DD144" i="25" s="1"/>
  <c r="DE144" i="25" s="1"/>
  <c r="DF144" i="25" s="1"/>
  <c r="DA280" i="25"/>
  <c r="DD280" i="25" s="1"/>
  <c r="DE280" i="25" s="1"/>
  <c r="DF280" i="25" s="1"/>
  <c r="DH280" i="25"/>
  <c r="DH103" i="25"/>
  <c r="DA103" i="25"/>
  <c r="DD103" i="25" s="1"/>
  <c r="DE103" i="25" s="1"/>
  <c r="DF103" i="25" s="1"/>
  <c r="DA187" i="25"/>
  <c r="DD187" i="25" s="1"/>
  <c r="DE187" i="25" s="1"/>
  <c r="DF187" i="25" s="1"/>
  <c r="DH187" i="25"/>
  <c r="DH99" i="25"/>
  <c r="DA99" i="25"/>
  <c r="DD99" i="25" s="1"/>
  <c r="DE99" i="25" s="1"/>
  <c r="DF99" i="25" s="1"/>
  <c r="DL223" i="25"/>
  <c r="DS223" i="25"/>
  <c r="FD101" i="25"/>
  <c r="DL101" i="25"/>
  <c r="CY56" i="25"/>
  <c r="CZ56" i="25"/>
  <c r="DL63" i="25"/>
  <c r="DS63" i="25"/>
  <c r="FD63" i="25"/>
  <c r="CZ84" i="25"/>
  <c r="CY84" i="25"/>
  <c r="CY11" i="25"/>
  <c r="CZ11" i="25"/>
  <c r="CZ135" i="25"/>
  <c r="CY135" i="25"/>
  <c r="DL103" i="25"/>
  <c r="FD103" i="25"/>
  <c r="DS132" i="25"/>
  <c r="DL132" i="25"/>
  <c r="FD132" i="25"/>
  <c r="DS76" i="25"/>
  <c r="DL76" i="25"/>
  <c r="FD76" i="25"/>
  <c r="DH9" i="25"/>
  <c r="DA9" i="25"/>
  <c r="DD9" i="25" s="1"/>
  <c r="DE9" i="25" s="1"/>
  <c r="DF9" i="25" s="1"/>
  <c r="CY44" i="25"/>
  <c r="CZ44" i="25"/>
  <c r="DA179" i="25"/>
  <c r="DD179" i="25" s="1"/>
  <c r="DE179" i="25" s="1"/>
  <c r="DF179" i="25" s="1"/>
  <c r="DH179" i="25"/>
  <c r="DA84" i="25"/>
  <c r="DD84" i="25" s="1"/>
  <c r="DE84" i="25" s="1"/>
  <c r="DF84" i="25" s="1"/>
  <c r="DH84" i="25"/>
  <c r="DA79" i="25"/>
  <c r="DD79" i="25" s="1"/>
  <c r="DE79" i="25" s="1"/>
  <c r="DF79" i="25" s="1"/>
  <c r="DH79" i="25"/>
  <c r="DL218" i="25"/>
  <c r="DS218" i="25"/>
  <c r="CY268" i="25"/>
  <c r="CZ268" i="25"/>
  <c r="DL203" i="25"/>
  <c r="FD203" i="25"/>
  <c r="CY303" i="25"/>
  <c r="CZ303" i="25"/>
  <c r="CY248" i="25"/>
  <c r="CZ248" i="25"/>
  <c r="CY249" i="25"/>
  <c r="CZ249" i="25"/>
  <c r="CZ120" i="25"/>
  <c r="CY120" i="25"/>
  <c r="DL99" i="25"/>
  <c r="FD99" i="25"/>
  <c r="CY54" i="25"/>
  <c r="CZ54" i="25"/>
  <c r="CY53" i="25"/>
  <c r="CZ53" i="25"/>
  <c r="CY80" i="25"/>
  <c r="CZ80" i="25"/>
  <c r="DL31" i="25"/>
  <c r="DS31" i="25"/>
  <c r="DH166" i="25"/>
  <c r="DA166" i="25"/>
  <c r="DD166" i="25" s="1"/>
  <c r="DE166" i="25" s="1"/>
  <c r="DF166" i="25" s="1"/>
  <c r="DH132" i="25"/>
  <c r="DA132" i="25"/>
  <c r="DD132" i="25" s="1"/>
  <c r="DE132" i="25" s="1"/>
  <c r="DF132" i="25" s="1"/>
  <c r="DA58" i="25"/>
  <c r="DD58" i="25" s="1"/>
  <c r="DE58" i="25" s="1"/>
  <c r="DF58" i="25" s="1"/>
  <c r="DH58" i="25"/>
  <c r="DS192" i="25"/>
  <c r="FD192" i="25"/>
  <c r="DL192" i="25"/>
  <c r="DL91" i="25"/>
  <c r="DH299" i="25"/>
  <c r="DA299" i="25"/>
  <c r="DD299" i="25" s="1"/>
  <c r="DE299" i="25" s="1"/>
  <c r="DF299" i="25" s="1"/>
  <c r="DA289" i="25"/>
  <c r="DD289" i="25" s="1"/>
  <c r="DE289" i="25" s="1"/>
  <c r="DF289" i="25" s="1"/>
  <c r="DH289" i="25"/>
  <c r="DH286" i="25"/>
  <c r="DA286" i="25"/>
  <c r="DD286" i="25" s="1"/>
  <c r="DE286" i="25" s="1"/>
  <c r="DF286" i="25" s="1"/>
  <c r="DH234" i="25"/>
  <c r="DA234" i="25"/>
  <c r="DD234" i="25" s="1"/>
  <c r="DE234" i="25" s="1"/>
  <c r="DF234" i="25" s="1"/>
  <c r="DA232" i="25"/>
  <c r="DD232" i="25" s="1"/>
  <c r="DE232" i="25" s="1"/>
  <c r="DF232" i="25" s="1"/>
  <c r="DH232" i="25"/>
  <c r="DL270" i="25"/>
  <c r="DS270" i="25"/>
  <c r="DL293" i="25"/>
  <c r="DS138" i="25"/>
  <c r="DL138" i="25"/>
  <c r="FD138" i="25"/>
  <c r="DH175" i="25"/>
  <c r="DA175" i="25"/>
  <c r="DD175" i="25" s="1"/>
  <c r="DE175" i="25" s="1"/>
  <c r="DF175" i="25" s="1"/>
  <c r="DA64" i="25"/>
  <c r="DD64" i="25" s="1"/>
  <c r="DE64" i="25" s="1"/>
  <c r="DF64" i="25" s="1"/>
  <c r="DH64" i="25"/>
  <c r="DH283" i="25"/>
  <c r="DA283" i="25"/>
  <c r="DD283" i="25" s="1"/>
  <c r="DE283" i="25" s="1"/>
  <c r="DF283" i="25" s="1"/>
  <c r="DA76" i="25"/>
  <c r="DD76" i="25" s="1"/>
  <c r="DE76" i="25" s="1"/>
  <c r="DF76" i="25" s="1"/>
  <c r="DH76" i="25"/>
  <c r="DA31" i="25"/>
  <c r="DD31" i="25" s="1"/>
  <c r="DE31" i="25" s="1"/>
  <c r="DF31" i="25" s="1"/>
  <c r="DH31" i="25"/>
  <c r="CY310" i="25"/>
  <c r="CZ310" i="25"/>
  <c r="CZ223" i="25"/>
  <c r="CY223" i="25"/>
  <c r="CY217" i="25"/>
  <c r="CZ217" i="25"/>
  <c r="DL67" i="25"/>
  <c r="DS67" i="25"/>
  <c r="FD67" i="25"/>
  <c r="DS84" i="25"/>
  <c r="FD84" i="25"/>
  <c r="DL84" i="25"/>
  <c r="DS281" i="25"/>
  <c r="DL281" i="25"/>
  <c r="DL44" i="25"/>
  <c r="DS44" i="25"/>
  <c r="DS316" i="25"/>
  <c r="DL316" i="25"/>
  <c r="CZ18" i="25"/>
  <c r="CY18" i="25"/>
  <c r="DH306" i="25"/>
  <c r="DA306" i="25"/>
  <c r="DD306" i="25" s="1"/>
  <c r="DE306" i="25" s="1"/>
  <c r="DF306" i="25" s="1"/>
  <c r="DH34" i="25"/>
  <c r="DA34" i="25"/>
  <c r="DD34" i="25" s="1"/>
  <c r="DE34" i="25" s="1"/>
  <c r="DF34" i="25" s="1"/>
  <c r="DA199" i="25"/>
  <c r="DD199" i="25" s="1"/>
  <c r="DE199" i="25" s="1"/>
  <c r="DF199" i="25" s="1"/>
  <c r="DH199" i="25"/>
  <c r="DH27" i="25"/>
  <c r="DA27" i="25"/>
  <c r="DD27" i="25" s="1"/>
  <c r="DE27" i="25" s="1"/>
  <c r="DF27" i="25" s="1"/>
  <c r="CY210" i="25"/>
  <c r="CZ210" i="25"/>
  <c r="CY178" i="25"/>
  <c r="CZ178" i="25"/>
  <c r="DL273" i="25"/>
  <c r="DS273" i="25"/>
  <c r="CZ127" i="25"/>
  <c r="CY127" i="25"/>
  <c r="DH102" i="25"/>
  <c r="DA102" i="25"/>
  <c r="DD102" i="25" s="1"/>
  <c r="DE102" i="25" s="1"/>
  <c r="DF102" i="25" s="1"/>
  <c r="CZ192" i="25"/>
  <c r="CY192" i="25"/>
  <c r="DH249" i="25"/>
  <c r="DA249" i="25"/>
  <c r="DD249" i="25" s="1"/>
  <c r="DE249" i="25" s="1"/>
  <c r="DF249" i="25" s="1"/>
  <c r="DH217" i="25"/>
  <c r="DA217" i="25"/>
  <c r="DD217" i="25" s="1"/>
  <c r="DE217" i="25" s="1"/>
  <c r="DF217" i="25" s="1"/>
  <c r="CY205" i="25"/>
  <c r="CZ205" i="25"/>
  <c r="DH143" i="25"/>
  <c r="DA143" i="25"/>
  <c r="DD143" i="25" s="1"/>
  <c r="DE143" i="25" s="1"/>
  <c r="DF143" i="25" s="1"/>
  <c r="DA168" i="25"/>
  <c r="DD168" i="25" s="1"/>
  <c r="DE168" i="25" s="1"/>
  <c r="DF168" i="25" s="1"/>
  <c r="DH168" i="25"/>
  <c r="DH284" i="25"/>
  <c r="DA284" i="25"/>
  <c r="DD284" i="25" s="1"/>
  <c r="DE284" i="25" s="1"/>
  <c r="DF284" i="25" s="1"/>
  <c r="DH156" i="25"/>
  <c r="DA156" i="25"/>
  <c r="DD156" i="25" s="1"/>
  <c r="DE156" i="25" s="1"/>
  <c r="DF156" i="25" s="1"/>
  <c r="CY279" i="25"/>
  <c r="CZ279" i="25"/>
  <c r="CY274" i="25"/>
  <c r="CZ274" i="25"/>
  <c r="DL217" i="25"/>
  <c r="DS217" i="25"/>
  <c r="DL11" i="25"/>
  <c r="DS11" i="25"/>
  <c r="FD11" i="25"/>
  <c r="DL163" i="25"/>
  <c r="FD163" i="25"/>
  <c r="DS163" i="25"/>
  <c r="CY76" i="25"/>
  <c r="CZ76" i="25"/>
  <c r="DH311" i="25"/>
  <c r="DA311" i="25"/>
  <c r="DD311" i="25" s="1"/>
  <c r="DE311" i="25" s="1"/>
  <c r="DF311" i="25" s="1"/>
  <c r="CZ281" i="25"/>
  <c r="CY281" i="25"/>
  <c r="CY316" i="25"/>
  <c r="CZ316" i="25"/>
  <c r="DA87" i="25"/>
  <c r="DD87" i="25" s="1"/>
  <c r="DE87" i="25" s="1"/>
  <c r="DF87" i="25" s="1"/>
  <c r="DH87" i="25"/>
  <c r="DH138" i="25"/>
  <c r="DA138" i="25"/>
  <c r="DD138" i="25" s="1"/>
  <c r="DE138" i="25" s="1"/>
  <c r="DF138" i="25" s="1"/>
  <c r="DH200" i="25"/>
  <c r="DA200" i="25"/>
  <c r="DD200" i="25" s="1"/>
  <c r="DE200" i="25" s="1"/>
  <c r="DF200" i="25" s="1"/>
  <c r="CZ220" i="25"/>
  <c r="DB220" i="25" s="1"/>
  <c r="DH220" i="25"/>
  <c r="DA220" i="25"/>
  <c r="DD220" i="25" s="1"/>
  <c r="DE220" i="25" s="1"/>
  <c r="DF220" i="25" s="1"/>
  <c r="DH40" i="25"/>
  <c r="DA40" i="25"/>
  <c r="DD40" i="25" s="1"/>
  <c r="DE40" i="25" s="1"/>
  <c r="DF40" i="25" s="1"/>
  <c r="DH228" i="25"/>
  <c r="DA228" i="25"/>
  <c r="DD228" i="25" s="1"/>
  <c r="DE228" i="25" s="1"/>
  <c r="DF228" i="25" s="1"/>
  <c r="DL278" i="25"/>
  <c r="DS278" i="25"/>
  <c r="DL210" i="25"/>
  <c r="FD210" i="25"/>
  <c r="CY267" i="25"/>
  <c r="CZ267" i="25"/>
  <c r="CY218" i="25"/>
  <c r="CZ218" i="25"/>
  <c r="DL158" i="25"/>
  <c r="DS158" i="25"/>
  <c r="FD158" i="25"/>
  <c r="CZ203" i="25"/>
  <c r="CY203" i="25"/>
  <c r="DS297" i="25"/>
  <c r="DL248" i="25"/>
  <c r="DS248" i="25"/>
  <c r="DL162" i="25"/>
  <c r="DS162" i="25"/>
  <c r="FD162" i="25"/>
  <c r="DS53" i="25"/>
  <c r="FD53" i="25"/>
  <c r="DL53" i="25"/>
  <c r="DS80" i="25"/>
  <c r="FD80" i="25"/>
  <c r="DL80" i="25"/>
  <c r="CY10" i="25"/>
  <c r="CZ10" i="25"/>
  <c r="CY116" i="25"/>
  <c r="CZ116" i="25"/>
  <c r="DL97" i="25"/>
  <c r="FD97" i="25"/>
  <c r="DL83" i="25"/>
  <c r="FD83" i="25"/>
  <c r="CY113" i="25"/>
  <c r="CZ113" i="25"/>
  <c r="CY288" i="25"/>
  <c r="CZ288" i="25"/>
  <c r="DS191" i="25"/>
  <c r="FD191" i="25"/>
  <c r="DL191" i="25"/>
  <c r="CY118" i="25"/>
  <c r="CZ118" i="25"/>
  <c r="CZ174" i="25"/>
  <c r="CY174" i="25"/>
  <c r="CY133" i="25"/>
  <c r="CZ133" i="25"/>
  <c r="DA111" i="25"/>
  <c r="DD111" i="25" s="1"/>
  <c r="DE111" i="25" s="1"/>
  <c r="DF111" i="25" s="1"/>
  <c r="DH111" i="25"/>
  <c r="DH70" i="25"/>
  <c r="DA70" i="25"/>
  <c r="DD70" i="25" s="1"/>
  <c r="DE70" i="25" s="1"/>
  <c r="DF70" i="25" s="1"/>
  <c r="DA295" i="25"/>
  <c r="DD295" i="25" s="1"/>
  <c r="DE295" i="25" s="1"/>
  <c r="DF295" i="25" s="1"/>
  <c r="DH295" i="25"/>
  <c r="DH44" i="25"/>
  <c r="DA44" i="25"/>
  <c r="DD44" i="25" s="1"/>
  <c r="DE44" i="25" s="1"/>
  <c r="DF44" i="25" s="1"/>
  <c r="DH37" i="25"/>
  <c r="DA37" i="25"/>
  <c r="DD37" i="25" s="1"/>
  <c r="DE37" i="25" s="1"/>
  <c r="DF37" i="25" s="1"/>
  <c r="DH100" i="25"/>
  <c r="DA100" i="25"/>
  <c r="DD100" i="25" s="1"/>
  <c r="DE100" i="25" s="1"/>
  <c r="DF100" i="25" s="1"/>
  <c r="DL186" i="25"/>
  <c r="FD186" i="25"/>
  <c r="DS186" i="25"/>
  <c r="CZ231" i="25"/>
  <c r="CY231" i="25"/>
  <c r="CZ166" i="25"/>
  <c r="CY166" i="25"/>
  <c r="DL204" i="25"/>
  <c r="FD204" i="25"/>
  <c r="DL310" i="25"/>
  <c r="DS310" i="25"/>
  <c r="CY261" i="25"/>
  <c r="CZ261" i="25"/>
  <c r="DL165" i="25"/>
  <c r="DS165" i="25"/>
  <c r="FD165" i="25"/>
  <c r="CY282" i="25"/>
  <c r="CZ282" i="25"/>
  <c r="CZ124" i="25"/>
  <c r="CY124" i="25"/>
  <c r="DL135" i="25"/>
  <c r="FD135" i="25"/>
  <c r="DS135" i="25"/>
  <c r="CY36" i="25"/>
  <c r="CZ36" i="25"/>
  <c r="DS61" i="25"/>
  <c r="DL61" i="25"/>
  <c r="FD61" i="25"/>
  <c r="DL315" i="25"/>
  <c r="DS315" i="25"/>
  <c r="DH262" i="25"/>
  <c r="DA262" i="25"/>
  <c r="DD262" i="25" s="1"/>
  <c r="DE262" i="25" s="1"/>
  <c r="DF262" i="25" s="1"/>
  <c r="DA294" i="25"/>
  <c r="DD294" i="25" s="1"/>
  <c r="DE294" i="25" s="1"/>
  <c r="DF294" i="25" s="1"/>
  <c r="DH294" i="25"/>
  <c r="DA254" i="25"/>
  <c r="DD254" i="25" s="1"/>
  <c r="DE254" i="25" s="1"/>
  <c r="DF254" i="25" s="1"/>
  <c r="DH254" i="25"/>
  <c r="DH308" i="25"/>
  <c r="DA308" i="25"/>
  <c r="DD308" i="25" s="1"/>
  <c r="DE308" i="25" s="1"/>
  <c r="DF308" i="25" s="1"/>
  <c r="DS178" i="25"/>
  <c r="FD178" i="25"/>
  <c r="DL178" i="25"/>
  <c r="DL267" i="25"/>
  <c r="DS267" i="25"/>
  <c r="CY297" i="25"/>
  <c r="CZ297" i="25"/>
  <c r="FD10" i="25"/>
  <c r="DS10" i="25"/>
  <c r="DL10" i="25"/>
  <c r="DA95" i="25"/>
  <c r="DD95" i="25" s="1"/>
  <c r="DE95" i="25" s="1"/>
  <c r="DF95" i="25" s="1"/>
  <c r="DH95" i="25"/>
  <c r="DH23" i="25"/>
  <c r="DA23" i="25"/>
  <c r="DD23" i="25" s="1"/>
  <c r="DE23" i="25" s="1"/>
  <c r="DF23" i="25" s="1"/>
  <c r="DL152" i="25"/>
  <c r="FD152" i="25"/>
  <c r="DS152" i="25"/>
  <c r="DL288" i="25"/>
  <c r="DS288" i="25"/>
  <c r="FD102" i="25"/>
  <c r="DL102" i="25"/>
  <c r="DA266" i="25"/>
  <c r="DD266" i="25" s="1"/>
  <c r="DE266" i="25" s="1"/>
  <c r="DF266" i="25" s="1"/>
  <c r="DH266" i="25"/>
  <c r="CZ157" i="25"/>
  <c r="DB157" i="25" s="1"/>
  <c r="DH157" i="25"/>
  <c r="DA157" i="25"/>
  <c r="DD157" i="25" s="1"/>
  <c r="DE157" i="25" s="1"/>
  <c r="DF157" i="25" s="1"/>
  <c r="CZ91" i="25"/>
  <c r="CY91" i="25"/>
  <c r="DL16" i="25"/>
  <c r="DS16" i="25"/>
  <c r="FD16" i="25"/>
  <c r="CY240" i="25"/>
  <c r="CZ240" i="25"/>
  <c r="DH38" i="25"/>
  <c r="DA38" i="25"/>
  <c r="DD38" i="25" s="1"/>
  <c r="DE38" i="25" s="1"/>
  <c r="DF38" i="25" s="1"/>
  <c r="DA53" i="25"/>
  <c r="DD53" i="25" s="1"/>
  <c r="DE53" i="25" s="1"/>
  <c r="DF53" i="25" s="1"/>
  <c r="DH53" i="25"/>
  <c r="DH29" i="25"/>
  <c r="DA29" i="25"/>
  <c r="DD29" i="25" s="1"/>
  <c r="DE29" i="25" s="1"/>
  <c r="DF29" i="25" s="1"/>
  <c r="DA248" i="25"/>
  <c r="DD248" i="25" s="1"/>
  <c r="DE248" i="25" s="1"/>
  <c r="DF248" i="25" s="1"/>
  <c r="DH248" i="25"/>
  <c r="CY202" i="25"/>
  <c r="CZ202" i="25"/>
  <c r="DL222" i="25"/>
  <c r="DS222" i="25"/>
  <c r="DL94" i="25"/>
  <c r="FD94" i="25"/>
  <c r="CY50" i="25"/>
  <c r="CZ50" i="25"/>
  <c r="CZ111" i="25"/>
  <c r="CY111" i="25"/>
  <c r="DS133" i="25"/>
  <c r="DL133" i="25"/>
  <c r="FD133" i="25"/>
  <c r="DH141" i="25"/>
  <c r="DA141" i="25"/>
  <c r="DD141" i="25" s="1"/>
  <c r="DE141" i="25" s="1"/>
  <c r="DF141" i="25" s="1"/>
  <c r="DL147" i="25"/>
  <c r="DS147" i="25"/>
  <c r="FD198" i="25"/>
  <c r="DL198" i="25"/>
  <c r="FD149" i="25"/>
  <c r="DL149" i="25"/>
  <c r="DS149" i="25"/>
  <c r="DS247" i="25"/>
  <c r="CY193" i="25"/>
  <c r="CZ193" i="25"/>
  <c r="DL209" i="25"/>
  <c r="FD209" i="25"/>
  <c r="CY122" i="25"/>
  <c r="CZ122" i="25"/>
  <c r="CZ142" i="25"/>
  <c r="CY142" i="25"/>
  <c r="CY46" i="25"/>
  <c r="CZ46" i="25"/>
  <c r="DS115" i="25"/>
  <c r="DL115" i="25"/>
  <c r="FD115" i="25"/>
  <c r="CY105" i="25"/>
  <c r="CZ105" i="25"/>
  <c r="FD30" i="25"/>
  <c r="DL30" i="25"/>
  <c r="DS30" i="25"/>
  <c r="CY114" i="25"/>
  <c r="CZ114" i="25"/>
  <c r="CZ23" i="25"/>
  <c r="CY23" i="25"/>
  <c r="DH268" i="25"/>
  <c r="DA268" i="25"/>
  <c r="DD268" i="25" s="1"/>
  <c r="DE268" i="25" s="1"/>
  <c r="DF268" i="25" s="1"/>
  <c r="DH43" i="25"/>
  <c r="DA43" i="25"/>
  <c r="DD43" i="25" s="1"/>
  <c r="DE43" i="25" s="1"/>
  <c r="DF43" i="25" s="1"/>
  <c r="DH134" i="25"/>
  <c r="DA134" i="25"/>
  <c r="DD134" i="25" s="1"/>
  <c r="DE134" i="25" s="1"/>
  <c r="DF134" i="25" s="1"/>
  <c r="DA316" i="25"/>
  <c r="DD316" i="25" s="1"/>
  <c r="DE316" i="25" s="1"/>
  <c r="DF316" i="25" s="1"/>
  <c r="DH316" i="25"/>
  <c r="CZ251" i="25"/>
  <c r="CY251" i="25"/>
  <c r="CZ95" i="25"/>
  <c r="CY95" i="25"/>
  <c r="FD92" i="25"/>
  <c r="DL92" i="25"/>
  <c r="DL28" i="25"/>
  <c r="DS28" i="25"/>
  <c r="CZ9" i="25"/>
  <c r="CY9" i="25"/>
  <c r="DS29" i="25"/>
  <c r="FD29" i="25"/>
  <c r="DL29" i="25"/>
  <c r="CY24" i="25"/>
  <c r="CZ24" i="25"/>
  <c r="CZ269" i="25"/>
  <c r="CY269" i="25"/>
  <c r="DA208" i="25"/>
  <c r="DD208" i="25" s="1"/>
  <c r="DE208" i="25" s="1"/>
  <c r="DF208" i="25" s="1"/>
  <c r="DH208" i="25"/>
  <c r="DH170" i="25"/>
  <c r="DA170" i="25"/>
  <c r="DD170" i="25" s="1"/>
  <c r="DE170" i="25" s="1"/>
  <c r="DF170" i="25" s="1"/>
  <c r="DA224" i="25"/>
  <c r="DD224" i="25" s="1"/>
  <c r="DE224" i="25" s="1"/>
  <c r="DF224" i="25" s="1"/>
  <c r="DH224" i="25"/>
  <c r="DH90" i="25"/>
  <c r="DA90" i="25"/>
  <c r="DD90" i="25" s="1"/>
  <c r="DE90" i="25" s="1"/>
  <c r="DF90" i="25" s="1"/>
  <c r="CY307" i="25"/>
  <c r="CZ307" i="25"/>
  <c r="CZ188" i="25"/>
  <c r="CY188" i="25"/>
  <c r="CY14" i="25"/>
  <c r="CZ14" i="25"/>
  <c r="CY37" i="25"/>
  <c r="CZ37" i="25"/>
  <c r="DS128" i="25"/>
  <c r="DL128" i="25"/>
  <c r="FD128" i="25"/>
  <c r="DS64" i="25"/>
  <c r="DL64" i="25"/>
  <c r="FD64" i="25"/>
  <c r="CY68" i="25"/>
  <c r="CZ68" i="25"/>
  <c r="DS305" i="25"/>
  <c r="DL305" i="25"/>
  <c r="DA178" i="25"/>
  <c r="DD178" i="25" s="1"/>
  <c r="DE178" i="25" s="1"/>
  <c r="DF178" i="25" s="1"/>
  <c r="DH178" i="25"/>
  <c r="DH123" i="25"/>
  <c r="DA123" i="25"/>
  <c r="DD123" i="25" s="1"/>
  <c r="DE123" i="25" s="1"/>
  <c r="DF123" i="25" s="1"/>
  <c r="DH54" i="25"/>
  <c r="DA54" i="25"/>
  <c r="DD54" i="25" s="1"/>
  <c r="DE54" i="25" s="1"/>
  <c r="DF54" i="25" s="1"/>
  <c r="DA296" i="25"/>
  <c r="DD296" i="25" s="1"/>
  <c r="DE296" i="25" s="1"/>
  <c r="DF296" i="25" s="1"/>
  <c r="DH296" i="25"/>
  <c r="DA189" i="25"/>
  <c r="DD189" i="25" s="1"/>
  <c r="DE189" i="25" s="1"/>
  <c r="DF189" i="25" s="1"/>
  <c r="DH189" i="25"/>
  <c r="DH225" i="25"/>
  <c r="DA225" i="25"/>
  <c r="DD225" i="25" s="1"/>
  <c r="DE225" i="25" s="1"/>
  <c r="DF225" i="25" s="1"/>
  <c r="DS306" i="25"/>
  <c r="DL306" i="25"/>
  <c r="CY235" i="25"/>
  <c r="CZ235" i="25"/>
  <c r="CY194" i="25"/>
  <c r="CZ194" i="25"/>
  <c r="DS180" i="25"/>
  <c r="FD180" i="25"/>
  <c r="DL180" i="25"/>
  <c r="CY237" i="25"/>
  <c r="CZ237" i="25"/>
  <c r="DL238" i="25"/>
  <c r="DS238" i="25"/>
  <c r="CY148" i="25"/>
  <c r="CZ148" i="25"/>
  <c r="DL85" i="25"/>
  <c r="FD85" i="25"/>
  <c r="DS85" i="25"/>
  <c r="DS125" i="25"/>
  <c r="FD125" i="25"/>
  <c r="DL125" i="25"/>
  <c r="CY33" i="25"/>
  <c r="CZ33" i="25"/>
  <c r="DS119" i="25"/>
  <c r="FD119" i="25"/>
  <c r="DL119" i="25"/>
  <c r="CY117" i="25"/>
  <c r="CZ117" i="25"/>
  <c r="CY258" i="25"/>
  <c r="CZ258" i="25"/>
  <c r="CY41" i="25"/>
  <c r="CZ41" i="25"/>
  <c r="CY141" i="25"/>
  <c r="CZ141" i="25"/>
  <c r="CZ98" i="25"/>
  <c r="CY98" i="25"/>
  <c r="DA11" i="25"/>
  <c r="DD11" i="25" s="1"/>
  <c r="DE11" i="25" s="1"/>
  <c r="DF11" i="25" s="1"/>
  <c r="DH11" i="25"/>
  <c r="DA256" i="25"/>
  <c r="DD256" i="25" s="1"/>
  <c r="DE256" i="25" s="1"/>
  <c r="DF256" i="25" s="1"/>
  <c r="DH256" i="25"/>
  <c r="DH279" i="25"/>
  <c r="DA279" i="25"/>
  <c r="DD279" i="25" s="1"/>
  <c r="DE279" i="25" s="1"/>
  <c r="DF279" i="25" s="1"/>
  <c r="DA6" i="25"/>
  <c r="DD6" i="25" s="1"/>
  <c r="DE6" i="25" s="1"/>
  <c r="DF6" i="25" s="1"/>
  <c r="DM6" i="25" s="1"/>
  <c r="DH6" i="25"/>
  <c r="CZ6" i="25"/>
  <c r="DB6" i="25" s="1"/>
  <c r="DH121" i="25"/>
  <c r="DA121" i="25"/>
  <c r="DD121" i="25" s="1"/>
  <c r="DE121" i="25" s="1"/>
  <c r="DF121" i="25" s="1"/>
  <c r="DH305" i="25"/>
  <c r="DA305" i="25"/>
  <c r="DD305" i="25" s="1"/>
  <c r="DE305" i="25" s="1"/>
  <c r="DF305" i="25" s="1"/>
  <c r="DA307" i="25"/>
  <c r="DD307" i="25" s="1"/>
  <c r="DE307" i="25" s="1"/>
  <c r="DF307" i="25" s="1"/>
  <c r="DH307" i="25"/>
  <c r="DL247" i="25"/>
  <c r="DL172" i="25"/>
  <c r="DS172" i="25"/>
  <c r="FD172" i="25"/>
  <c r="CZ209" i="25"/>
  <c r="CY209" i="25"/>
  <c r="CY78" i="25"/>
  <c r="CZ78" i="25"/>
  <c r="CZ257" i="25"/>
  <c r="CY257" i="25"/>
  <c r="DS46" i="25"/>
  <c r="DL46" i="25"/>
  <c r="FD46" i="25"/>
  <c r="DL104" i="25"/>
  <c r="FD104" i="25"/>
  <c r="CY39" i="25"/>
  <c r="CZ39" i="25"/>
  <c r="DA201" i="25"/>
  <c r="DD201" i="25" s="1"/>
  <c r="DE201" i="25" s="1"/>
  <c r="DF201" i="25" s="1"/>
  <c r="DH201" i="25"/>
  <c r="DA131" i="25"/>
  <c r="DD131" i="25" s="1"/>
  <c r="DE131" i="25" s="1"/>
  <c r="DF131" i="25" s="1"/>
  <c r="DH131" i="25"/>
  <c r="DH119" i="25"/>
  <c r="DA119" i="25"/>
  <c r="DD119" i="25" s="1"/>
  <c r="DE119" i="25" s="1"/>
  <c r="DF119" i="25" s="1"/>
  <c r="DH89" i="25"/>
  <c r="DA89" i="25"/>
  <c r="DD89" i="25" s="1"/>
  <c r="DE89" i="25" s="1"/>
  <c r="DF89" i="25" s="1"/>
  <c r="DH153" i="25"/>
  <c r="DA153" i="25"/>
  <c r="DD153" i="25" s="1"/>
  <c r="DE153" i="25" s="1"/>
  <c r="DF153" i="25" s="1"/>
  <c r="CY197" i="25"/>
  <c r="CZ197" i="25"/>
  <c r="CZ309" i="25"/>
  <c r="CY309" i="25"/>
  <c r="DS251" i="25"/>
  <c r="DL251" i="25"/>
  <c r="DL314" i="25"/>
  <c r="DS314" i="25"/>
  <c r="CY140" i="25"/>
  <c r="CZ140" i="25"/>
  <c r="CY28" i="25"/>
  <c r="CZ28" i="25"/>
  <c r="DS42" i="25"/>
  <c r="FD42" i="25"/>
  <c r="DL42" i="25"/>
  <c r="DL225" i="25"/>
  <c r="DA128" i="25"/>
  <c r="DD128" i="25" s="1"/>
  <c r="DE128" i="25" s="1"/>
  <c r="DF128" i="25" s="1"/>
  <c r="DH128" i="25"/>
  <c r="DH46" i="25"/>
  <c r="DA46" i="25"/>
  <c r="DD46" i="25" s="1"/>
  <c r="DE46" i="25" s="1"/>
  <c r="DF46" i="25" s="1"/>
  <c r="DH135" i="25"/>
  <c r="DA135" i="25"/>
  <c r="DD135" i="25" s="1"/>
  <c r="DE135" i="25" s="1"/>
  <c r="DF135" i="25" s="1"/>
  <c r="DH263" i="25"/>
  <c r="DA263" i="25"/>
  <c r="DD263" i="25" s="1"/>
  <c r="DE263" i="25" s="1"/>
  <c r="DF263" i="25" s="1"/>
  <c r="DA310" i="25"/>
  <c r="DD310" i="25" s="1"/>
  <c r="DE310" i="25" s="1"/>
  <c r="DF310" i="25" s="1"/>
  <c r="DH310" i="25"/>
  <c r="DH36" i="25"/>
  <c r="DA36" i="25"/>
  <c r="DD36" i="25" s="1"/>
  <c r="DE36" i="25" s="1"/>
  <c r="DF36" i="25" s="1"/>
  <c r="DH152" i="25"/>
  <c r="DA152" i="25"/>
  <c r="DD152" i="25" s="1"/>
  <c r="DE152" i="25" s="1"/>
  <c r="DF152" i="25" s="1"/>
  <c r="CZ250" i="25"/>
  <c r="CY250" i="25"/>
  <c r="CY156" i="25"/>
  <c r="CZ156" i="25"/>
  <c r="CY280" i="25"/>
  <c r="CZ280" i="25"/>
  <c r="FD188" i="25"/>
  <c r="DS188" i="25"/>
  <c r="DL188" i="25"/>
  <c r="CY285" i="25"/>
  <c r="CZ285" i="25"/>
  <c r="CZ233" i="25"/>
  <c r="CY233" i="25"/>
  <c r="DL153" i="25"/>
  <c r="FD153" i="25"/>
  <c r="DS153" i="25"/>
  <c r="CY151" i="25"/>
  <c r="CZ151" i="25"/>
  <c r="DL86" i="25"/>
  <c r="DS86" i="25"/>
  <c r="FD86" i="25"/>
  <c r="CZ34" i="25"/>
  <c r="CY34" i="25"/>
  <c r="CY87" i="25"/>
  <c r="CZ87" i="25"/>
  <c r="DS277" i="25"/>
  <c r="DL277" i="25"/>
  <c r="CY90" i="25"/>
  <c r="CZ90" i="25"/>
  <c r="CY266" i="25"/>
  <c r="CZ266" i="25"/>
  <c r="CZ27" i="25"/>
  <c r="CY27" i="25"/>
  <c r="DL37" i="25"/>
  <c r="DS37" i="25"/>
  <c r="FD37" i="25"/>
  <c r="DH250" i="25"/>
  <c r="DA250" i="25"/>
  <c r="DD250" i="25" s="1"/>
  <c r="DE250" i="25" s="1"/>
  <c r="DF250" i="25" s="1"/>
  <c r="CZ179" i="25"/>
  <c r="CY179" i="25"/>
  <c r="DL232" i="25"/>
  <c r="DS232" i="25"/>
  <c r="CZ305" i="25"/>
  <c r="CY305" i="25"/>
  <c r="DA49" i="25"/>
  <c r="DD49" i="25" s="1"/>
  <c r="DE49" i="25" s="1"/>
  <c r="DF49" i="25" s="1"/>
  <c r="DH49" i="25"/>
  <c r="DH253" i="25"/>
  <c r="DA253" i="25"/>
  <c r="DD253" i="25" s="1"/>
  <c r="DE253" i="25" s="1"/>
  <c r="DF253" i="25" s="1"/>
  <c r="DA285" i="25"/>
  <c r="DD285" i="25" s="1"/>
  <c r="DE285" i="25" s="1"/>
  <c r="DF285" i="25" s="1"/>
  <c r="DH285" i="25"/>
  <c r="DH33" i="25"/>
  <c r="DA33" i="25"/>
  <c r="DD33" i="25" s="1"/>
  <c r="DE33" i="25" s="1"/>
  <c r="DF33" i="25" s="1"/>
  <c r="DH12" i="25"/>
  <c r="DA12" i="25"/>
  <c r="DD12" i="25" s="1"/>
  <c r="DE12" i="25" s="1"/>
  <c r="DF12" i="25" s="1"/>
  <c r="DL294" i="25"/>
  <c r="DS294" i="25"/>
  <c r="DL237" i="25"/>
  <c r="DS237" i="25"/>
  <c r="CY143" i="25"/>
  <c r="CZ143" i="25"/>
  <c r="CY79" i="25"/>
  <c r="CZ79" i="25"/>
  <c r="CY74" i="25"/>
  <c r="CZ74" i="25"/>
  <c r="DL262" i="25"/>
  <c r="DS262" i="25"/>
  <c r="DS22" i="25"/>
  <c r="DL22" i="25"/>
  <c r="FD22" i="25"/>
  <c r="DL15" i="25"/>
  <c r="FD15" i="25"/>
  <c r="DS15" i="25"/>
  <c r="DL8" i="25"/>
  <c r="FD8" i="25"/>
  <c r="DS8" i="25"/>
  <c r="CY187" i="25"/>
  <c r="CZ187" i="25"/>
  <c r="CZ301" i="25"/>
  <c r="CY301" i="25"/>
  <c r="DL296" i="25"/>
  <c r="DS296" i="25"/>
  <c r="DL229" i="25"/>
  <c r="DS229" i="25"/>
  <c r="DL159" i="25"/>
  <c r="DS159" i="25"/>
  <c r="FD159" i="25"/>
  <c r="DS293" i="25"/>
  <c r="DL52" i="25"/>
  <c r="DS52" i="25"/>
  <c r="FD52" i="25"/>
  <c r="FD75" i="25"/>
  <c r="DS75" i="25"/>
  <c r="DL75" i="25"/>
  <c r="DS258" i="25"/>
  <c r="DL258" i="25"/>
  <c r="DL111" i="25"/>
  <c r="DS111" i="25"/>
  <c r="FD111" i="25"/>
  <c r="DH30" i="25"/>
  <c r="DA30" i="25"/>
  <c r="DD30" i="25" s="1"/>
  <c r="DE30" i="25" s="1"/>
  <c r="DF30" i="25" s="1"/>
  <c r="CZ137" i="25"/>
  <c r="CY137" i="25"/>
  <c r="DA130" i="25"/>
  <c r="DD130" i="25" s="1"/>
  <c r="DE130" i="25" s="1"/>
  <c r="DF130" i="25" s="1"/>
  <c r="DH130" i="25"/>
  <c r="DH149" i="25"/>
  <c r="DA149" i="25"/>
  <c r="DD149" i="25" s="1"/>
  <c r="DE149" i="25" s="1"/>
  <c r="DF149" i="25" s="1"/>
  <c r="CZ66" i="25"/>
  <c r="DB66" i="25" s="1"/>
  <c r="DA66" i="25"/>
  <c r="DD66" i="25" s="1"/>
  <c r="DE66" i="25" s="1"/>
  <c r="DF66" i="25" s="1"/>
  <c r="DH66" i="25"/>
  <c r="DH312" i="25"/>
  <c r="DA312" i="25"/>
  <c r="DD312" i="25" s="1"/>
  <c r="DE312" i="25" s="1"/>
  <c r="DF312" i="25" s="1"/>
  <c r="DH86" i="25"/>
  <c r="DA86" i="25"/>
  <c r="DD86" i="25" s="1"/>
  <c r="DE86" i="25" s="1"/>
  <c r="DF86" i="25" s="1"/>
  <c r="DH301" i="25"/>
  <c r="DA301" i="25"/>
  <c r="DD301" i="25" s="1"/>
  <c r="DE301" i="25" s="1"/>
  <c r="DF301" i="25" s="1"/>
  <c r="CY190" i="25"/>
  <c r="CZ190" i="25"/>
  <c r="CY308" i="25"/>
  <c r="CZ308" i="25"/>
  <c r="FD193" i="25"/>
  <c r="DL193" i="25"/>
  <c r="DL257" i="25"/>
  <c r="DS257" i="25"/>
  <c r="DS122" i="25"/>
  <c r="FD122" i="25"/>
  <c r="DL122" i="25"/>
  <c r="CZ93" i="25"/>
  <c r="CY93" i="25"/>
  <c r="CY115" i="25"/>
  <c r="CZ115" i="25"/>
  <c r="CY13" i="25"/>
  <c r="CZ13" i="25"/>
  <c r="FD114" i="25"/>
  <c r="DS114" i="25"/>
  <c r="DL114" i="25"/>
  <c r="DS184" i="25"/>
  <c r="DL184" i="25"/>
  <c r="FD184" i="25"/>
  <c r="CY302" i="25"/>
  <c r="CZ302" i="25"/>
  <c r="CY73" i="25"/>
  <c r="CZ73" i="25"/>
  <c r="CY49" i="25"/>
  <c r="CZ49" i="25"/>
  <c r="DH271" i="25"/>
  <c r="DA271" i="25"/>
  <c r="DD271" i="25" s="1"/>
  <c r="DE271" i="25" s="1"/>
  <c r="DF271" i="25" s="1"/>
  <c r="DH22" i="25"/>
  <c r="DA22" i="25"/>
  <c r="DD22" i="25" s="1"/>
  <c r="DE22" i="25" s="1"/>
  <c r="DF22" i="25" s="1"/>
  <c r="DH72" i="25"/>
  <c r="DA72" i="25"/>
  <c r="DD72" i="25" s="1"/>
  <c r="DE72" i="25" s="1"/>
  <c r="DF72" i="25" s="1"/>
  <c r="DA193" i="25"/>
  <c r="DD193" i="25" s="1"/>
  <c r="DE193" i="25" s="1"/>
  <c r="DF193" i="25" s="1"/>
  <c r="DH193" i="25"/>
  <c r="DA240" i="25"/>
  <c r="DD240" i="25" s="1"/>
  <c r="DE240" i="25" s="1"/>
  <c r="DF240" i="25" s="1"/>
  <c r="DH240" i="25"/>
  <c r="DH150" i="25"/>
  <c r="DA150" i="25"/>
  <c r="DD150" i="25" s="1"/>
  <c r="DE150" i="25" s="1"/>
  <c r="DF150" i="25" s="1"/>
  <c r="CZ256" i="25"/>
  <c r="CY256" i="25"/>
  <c r="FD197" i="25"/>
  <c r="DL197" i="25"/>
  <c r="DL309" i="25"/>
  <c r="DS309" i="25"/>
  <c r="FD182" i="25"/>
  <c r="DL182" i="25"/>
  <c r="DS182" i="25"/>
  <c r="CZ239" i="25"/>
  <c r="CY239" i="25"/>
  <c r="CY171" i="25"/>
  <c r="CZ171" i="25"/>
  <c r="DS173" i="25"/>
  <c r="FD173" i="25"/>
  <c r="DL173" i="25"/>
  <c r="DS69" i="25"/>
  <c r="FD69" i="25"/>
  <c r="DL69" i="25"/>
  <c r="CZ139" i="25"/>
  <c r="CY139" i="25"/>
  <c r="DL95" i="25"/>
  <c r="CY92" i="25"/>
  <c r="CZ92" i="25"/>
  <c r="CY81" i="25"/>
  <c r="CZ81" i="25"/>
  <c r="DA96" i="25"/>
  <c r="DD96" i="25" s="1"/>
  <c r="DE96" i="25" s="1"/>
  <c r="DF96" i="25" s="1"/>
  <c r="DH96" i="25"/>
  <c r="DA127" i="25"/>
  <c r="DD127" i="25" s="1"/>
  <c r="DE127" i="25" s="1"/>
  <c r="DF127" i="25" s="1"/>
  <c r="DH127" i="25"/>
  <c r="CZ154" i="25"/>
  <c r="DB154" i="25" s="1"/>
  <c r="DH154" i="25"/>
  <c r="DA154" i="25"/>
  <c r="DD154" i="25" s="1"/>
  <c r="DE154" i="25" s="1"/>
  <c r="DF154" i="25" s="1"/>
  <c r="DL250" i="25"/>
  <c r="DS250" i="25"/>
  <c r="FD195" i="25"/>
  <c r="DL195" i="25"/>
  <c r="DL307" i="25"/>
  <c r="DS307" i="25"/>
  <c r="CZ243" i="25"/>
  <c r="CY243" i="25"/>
  <c r="DS285" i="25"/>
  <c r="DL285" i="25"/>
  <c r="DL151" i="25"/>
  <c r="DS151" i="25"/>
  <c r="FD151" i="25"/>
  <c r="CZ130" i="25"/>
  <c r="CY130" i="25"/>
  <c r="CY65" i="25"/>
  <c r="CZ65" i="25"/>
  <c r="CY277" i="25"/>
  <c r="CZ277" i="25"/>
  <c r="DL90" i="25"/>
  <c r="FD90" i="25"/>
  <c r="DS90" i="25"/>
  <c r="CZ38" i="25"/>
  <c r="CY38" i="25"/>
  <c r="DH145" i="25"/>
  <c r="DA145" i="25"/>
  <c r="DD145" i="25" s="1"/>
  <c r="DE145" i="25" s="1"/>
  <c r="DF145" i="25" s="1"/>
  <c r="DL154" i="25"/>
  <c r="DS154" i="25"/>
  <c r="DH258" i="25"/>
  <c r="DA258" i="25"/>
  <c r="DD258" i="25" s="1"/>
  <c r="DE258" i="25" s="1"/>
  <c r="DF258" i="25" s="1"/>
  <c r="DH125" i="25"/>
  <c r="DA125" i="25"/>
  <c r="DD125" i="25" s="1"/>
  <c r="DE125" i="25" s="1"/>
  <c r="DF125" i="25" s="1"/>
  <c r="DA197" i="25"/>
  <c r="DD197" i="25" s="1"/>
  <c r="DE197" i="25" s="1"/>
  <c r="DF197" i="25" s="1"/>
  <c r="DH197" i="25"/>
  <c r="CY180" i="25"/>
  <c r="CZ180" i="25"/>
  <c r="CZ294" i="25"/>
  <c r="CY294" i="25"/>
  <c r="DL161" i="25"/>
  <c r="DS161" i="25"/>
  <c r="FD161" i="25"/>
  <c r="DS148" i="25"/>
  <c r="DL148" i="25"/>
  <c r="FD148" i="25"/>
  <c r="CZ129" i="25"/>
  <c r="CY129" i="25"/>
  <c r="CZ125" i="25"/>
  <c r="CY125" i="25"/>
  <c r="CY119" i="25"/>
  <c r="CZ119" i="25"/>
  <c r="CZ43" i="25"/>
  <c r="CY43" i="25"/>
  <c r="DL157" i="25"/>
  <c r="DS157" i="25"/>
  <c r="FD157" i="25"/>
  <c r="CZ208" i="25"/>
  <c r="CY208" i="25"/>
  <c r="CY8" i="25"/>
  <c r="CZ8" i="25"/>
  <c r="CY20" i="25"/>
  <c r="CZ20" i="25"/>
  <c r="CZ219" i="25"/>
  <c r="CY219" i="25"/>
  <c r="DH26" i="25"/>
  <c r="DA26" i="25"/>
  <c r="DD26" i="25" s="1"/>
  <c r="DE26" i="25" s="1"/>
  <c r="DF26" i="25" s="1"/>
  <c r="DH282" i="25"/>
  <c r="DA282" i="25"/>
  <c r="DD282" i="25" s="1"/>
  <c r="DE282" i="25" s="1"/>
  <c r="DF282" i="25" s="1"/>
  <c r="DH290" i="25"/>
  <c r="DA290" i="25"/>
  <c r="DD290" i="25" s="1"/>
  <c r="DE290" i="25" s="1"/>
  <c r="DF290" i="25" s="1"/>
  <c r="CZ51" i="25"/>
  <c r="DB51" i="25" s="1"/>
  <c r="DA51" i="25"/>
  <c r="DD51" i="25" s="1"/>
  <c r="DE51" i="25" s="1"/>
  <c r="DF51" i="25" s="1"/>
  <c r="DH51" i="25"/>
  <c r="DH85" i="25"/>
  <c r="DA85" i="25"/>
  <c r="DD85" i="25" s="1"/>
  <c r="DE85" i="25" s="1"/>
  <c r="DF85" i="25" s="1"/>
  <c r="DH93" i="25"/>
  <c r="DA93" i="25"/>
  <c r="DD93" i="25" s="1"/>
  <c r="DE93" i="25" s="1"/>
  <c r="DF93" i="25" s="1"/>
  <c r="DL263" i="25"/>
  <c r="DS263" i="25"/>
  <c r="DL255" i="25"/>
  <c r="DL205" i="25"/>
  <c r="FD205" i="25"/>
  <c r="DS260" i="25"/>
  <c r="DL260" i="25"/>
  <c r="DL187" i="25"/>
  <c r="FD187" i="25"/>
  <c r="DS187" i="25"/>
  <c r="CY191" i="25"/>
  <c r="CZ191" i="25"/>
  <c r="CY296" i="25"/>
  <c r="CZ296" i="25"/>
  <c r="CZ293" i="25"/>
  <c r="CY293" i="25"/>
  <c r="CY123" i="25"/>
  <c r="CZ123" i="25"/>
  <c r="DL174" i="25"/>
  <c r="DS174" i="25"/>
  <c r="FD174" i="25"/>
  <c r="DL51" i="25"/>
  <c r="DS51" i="25"/>
  <c r="CZ75" i="25"/>
  <c r="CY75" i="25"/>
  <c r="DS141" i="25"/>
  <c r="FD141" i="25"/>
  <c r="DL141" i="25"/>
  <c r="CY77" i="25"/>
  <c r="CZ77" i="25"/>
  <c r="DL19" i="25"/>
  <c r="DS19" i="25"/>
  <c r="CY230" i="25"/>
  <c r="CZ230" i="25"/>
  <c r="DH247" i="25"/>
  <c r="DA247" i="25"/>
  <c r="DD247" i="25" s="1"/>
  <c r="DE247" i="25" s="1"/>
  <c r="DF247" i="25" s="1"/>
  <c r="DH18" i="25"/>
  <c r="DA18" i="25"/>
  <c r="DD18" i="25" s="1"/>
  <c r="DE18" i="25" s="1"/>
  <c r="DF18" i="25" s="1"/>
  <c r="DA68" i="25"/>
  <c r="DD68" i="25" s="1"/>
  <c r="DE68" i="25" s="1"/>
  <c r="DF68" i="25" s="1"/>
  <c r="DH68" i="25"/>
  <c r="DA298" i="25"/>
  <c r="DD298" i="25" s="1"/>
  <c r="DE298" i="25" s="1"/>
  <c r="DF298" i="25" s="1"/>
  <c r="DH298" i="25"/>
  <c r="CZ270" i="25"/>
  <c r="DB270" i="25" s="1"/>
  <c r="DA270" i="25"/>
  <c r="DD270" i="25" s="1"/>
  <c r="DE270" i="25" s="1"/>
  <c r="DF270" i="25" s="1"/>
  <c r="DH270" i="25"/>
  <c r="CY198" i="25"/>
  <c r="CZ198" i="25"/>
  <c r="CY246" i="25"/>
  <c r="CZ246" i="25"/>
  <c r="CZ292" i="25"/>
  <c r="CY292" i="25"/>
  <c r="DL308" i="25"/>
  <c r="DS308" i="25"/>
  <c r="DL78" i="25"/>
  <c r="FD78" i="25"/>
  <c r="DS78" i="25"/>
  <c r="DL142" i="25"/>
  <c r="DS142" i="25"/>
  <c r="FD142" i="25"/>
  <c r="CY45" i="25"/>
  <c r="CZ45" i="25"/>
  <c r="FD105" i="25"/>
  <c r="DL105" i="25"/>
  <c r="CZ30" i="25"/>
  <c r="CY30" i="25"/>
  <c r="DS13" i="25"/>
  <c r="CZ21" i="25"/>
  <c r="CY21" i="25"/>
  <c r="DH160" i="25"/>
  <c r="DA160" i="25"/>
  <c r="DD160" i="25" s="1"/>
  <c r="DE160" i="25" s="1"/>
  <c r="DF160" i="25" s="1"/>
  <c r="DL289" i="25"/>
  <c r="DS289" i="25"/>
  <c r="DL302" i="25"/>
  <c r="DS302" i="25"/>
  <c r="DA235" i="25"/>
  <c r="DD235" i="25" s="1"/>
  <c r="DE235" i="25" s="1"/>
  <c r="DF235" i="25" s="1"/>
  <c r="DH235" i="25"/>
  <c r="CZ300" i="25"/>
  <c r="DB300" i="25" s="1"/>
  <c r="DH300" i="25"/>
  <c r="DA300" i="25"/>
  <c r="DD300" i="25" s="1"/>
  <c r="DE300" i="25" s="1"/>
  <c r="DF300" i="25" s="1"/>
  <c r="DH39" i="25"/>
  <c r="DA39" i="25"/>
  <c r="DD39" i="25" s="1"/>
  <c r="DE39" i="25" s="1"/>
  <c r="DF39" i="25" s="1"/>
  <c r="DS256" i="25"/>
  <c r="DL256" i="25"/>
  <c r="DL239" i="25"/>
  <c r="DS239" i="25"/>
  <c r="DS171" i="25"/>
  <c r="DL171" i="25"/>
  <c r="FD171" i="25"/>
  <c r="CZ173" i="25"/>
  <c r="CY173" i="25"/>
  <c r="DL227" i="25"/>
  <c r="DS227" i="25"/>
  <c r="CY121" i="25"/>
  <c r="CZ121" i="25"/>
  <c r="CY42" i="25"/>
  <c r="CZ42" i="25"/>
  <c r="FD28" i="25"/>
  <c r="FD44" i="25"/>
  <c r="DA185" i="25"/>
  <c r="DD185" i="25" s="1"/>
  <c r="DE185" i="25" s="1"/>
  <c r="DF185" i="25" s="1"/>
  <c r="DH185" i="25"/>
  <c r="DH293" i="25"/>
  <c r="DA293" i="25"/>
  <c r="DD293" i="25" s="1"/>
  <c r="DE293" i="25" s="1"/>
  <c r="DF293" i="25" s="1"/>
  <c r="DH163" i="25"/>
  <c r="DA163" i="25"/>
  <c r="DD163" i="25" s="1"/>
  <c r="DE163" i="25" s="1"/>
  <c r="DF163" i="25" s="1"/>
  <c r="CY195" i="25"/>
  <c r="CZ195" i="25"/>
  <c r="CZ244" i="25"/>
  <c r="CY244" i="25"/>
  <c r="DS243" i="25"/>
  <c r="DL280" i="25"/>
  <c r="DS280" i="25"/>
  <c r="FD65" i="25"/>
  <c r="DL65" i="25"/>
  <c r="DS65" i="25"/>
  <c r="FD87" i="25"/>
  <c r="DL87" i="25"/>
  <c r="DL55" i="25"/>
  <c r="DS55" i="25"/>
  <c r="DL82" i="25"/>
  <c r="FD82" i="25"/>
  <c r="DS82" i="25"/>
  <c r="DL27" i="25"/>
  <c r="DS27" i="25"/>
  <c r="DS175" i="25"/>
  <c r="DL175" i="25"/>
  <c r="FD175" i="25"/>
  <c r="DS17" i="25"/>
  <c r="DA177" i="25"/>
  <c r="DD177" i="25" s="1"/>
  <c r="DE177" i="25" s="1"/>
  <c r="DF177" i="25" s="1"/>
  <c r="DH177" i="25"/>
  <c r="DH55" i="25"/>
  <c r="DA55" i="25"/>
  <c r="DD55" i="25" s="1"/>
  <c r="DE55" i="25" s="1"/>
  <c r="DF55" i="25" s="1"/>
  <c r="DL68" i="25"/>
  <c r="FD68" i="25"/>
  <c r="DS68" i="25"/>
  <c r="DH182" i="25"/>
  <c r="DA182" i="25"/>
  <c r="DD182" i="25" s="1"/>
  <c r="DE182" i="25" s="1"/>
  <c r="DF182" i="25" s="1"/>
  <c r="DH133" i="25"/>
  <c r="DA133" i="25"/>
  <c r="DD133" i="25" s="1"/>
  <c r="DE133" i="25" s="1"/>
  <c r="DF133" i="25" s="1"/>
  <c r="DH273" i="25"/>
  <c r="DA273" i="25"/>
  <c r="DD273" i="25" s="1"/>
  <c r="DE273" i="25" s="1"/>
  <c r="DF273" i="25" s="1"/>
  <c r="DS225" i="25"/>
  <c r="CZ63" i="25"/>
  <c r="DB63" i="25" s="1"/>
  <c r="DH63" i="25"/>
  <c r="DA63" i="25"/>
  <c r="DD63" i="25" s="1"/>
  <c r="DE63" i="25" s="1"/>
  <c r="DF63" i="25" s="1"/>
  <c r="DL226" i="25"/>
  <c r="DS226" i="25"/>
  <c r="FD143" i="25"/>
  <c r="DS143" i="25"/>
  <c r="DL143" i="25"/>
  <c r="DL89" i="25"/>
  <c r="DS89" i="25"/>
  <c r="FD89" i="25"/>
  <c r="CY59" i="25"/>
  <c r="CZ59" i="25"/>
  <c r="DL208" i="25"/>
  <c r="FD208" i="25"/>
  <c r="FD20" i="25"/>
  <c r="DL20" i="25"/>
  <c r="DS20" i="25"/>
  <c r="DA237" i="25"/>
  <c r="DD237" i="25" s="1"/>
  <c r="DE237" i="25" s="1"/>
  <c r="DF237" i="25" s="1"/>
  <c r="DH237" i="25"/>
  <c r="DH188" i="25"/>
  <c r="DA188" i="25"/>
  <c r="DD188" i="25" s="1"/>
  <c r="DE188" i="25" s="1"/>
  <c r="DF188" i="25" s="1"/>
  <c r="DH252" i="25"/>
  <c r="DA252" i="25"/>
  <c r="DD252" i="25" s="1"/>
  <c r="DE252" i="25" s="1"/>
  <c r="DF252" i="25" s="1"/>
  <c r="DH24" i="25"/>
  <c r="DA24" i="25"/>
  <c r="DD24" i="25" s="1"/>
  <c r="DE24" i="25" s="1"/>
  <c r="DF24" i="25" s="1"/>
  <c r="CY263" i="25"/>
  <c r="CZ263" i="25"/>
  <c r="DL207" i="25"/>
  <c r="FD207" i="25"/>
  <c r="CY255" i="25"/>
  <c r="CZ255" i="25"/>
  <c r="CZ260" i="25"/>
  <c r="CY260" i="25"/>
  <c r="DL301" i="25"/>
  <c r="DS301" i="25"/>
  <c r="CZ224" i="25"/>
  <c r="CY224" i="25"/>
  <c r="FD118" i="25"/>
  <c r="DS118" i="25"/>
  <c r="DL118" i="25"/>
  <c r="CZ94" i="25"/>
  <c r="CY94" i="25"/>
  <c r="CY72" i="25"/>
  <c r="CZ72" i="25"/>
  <c r="DH227" i="25"/>
  <c r="DA227" i="25"/>
  <c r="DD227" i="25" s="1"/>
  <c r="DE227" i="25" s="1"/>
  <c r="DF227" i="25" s="1"/>
  <c r="CY228" i="25"/>
  <c r="CZ228" i="25"/>
  <c r="DL230" i="25"/>
  <c r="DS230" i="25"/>
  <c r="DH209" i="25"/>
  <c r="DA209" i="25"/>
  <c r="DD209" i="25" s="1"/>
  <c r="DE209" i="25" s="1"/>
  <c r="DF209" i="25" s="1"/>
  <c r="DH184" i="25"/>
  <c r="DA184" i="25"/>
  <c r="DD184" i="25" s="1"/>
  <c r="DE184" i="25" s="1"/>
  <c r="DF184" i="25" s="1"/>
  <c r="DH148" i="25"/>
  <c r="DA148" i="25"/>
  <c r="DD148" i="25" s="1"/>
  <c r="DE148" i="25" s="1"/>
  <c r="DF148" i="25" s="1"/>
  <c r="DH161" i="25"/>
  <c r="DA161" i="25"/>
  <c r="DD161" i="25" s="1"/>
  <c r="DE161" i="25" s="1"/>
  <c r="DF161" i="25" s="1"/>
  <c r="DH218" i="25"/>
  <c r="DA218" i="25"/>
  <c r="DD218" i="25" s="1"/>
  <c r="DE218" i="25" s="1"/>
  <c r="DF218" i="25" s="1"/>
  <c r="DL183" i="25"/>
  <c r="FD183" i="25"/>
  <c r="DS183" i="25"/>
  <c r="CY170" i="25"/>
  <c r="CZ170" i="25"/>
  <c r="DS292" i="25"/>
  <c r="DL292" i="25"/>
  <c r="DL190" i="25"/>
  <c r="DS190" i="25"/>
  <c r="FD190" i="25"/>
  <c r="CY136" i="25"/>
  <c r="CZ136" i="25"/>
  <c r="DL13" i="25"/>
  <c r="FD13" i="25"/>
  <c r="DL23" i="25"/>
  <c r="FD23" i="25"/>
  <c r="DS23" i="25"/>
  <c r="DH181" i="25"/>
  <c r="DA181" i="25"/>
  <c r="DD181" i="25" s="1"/>
  <c r="DE181" i="25" s="1"/>
  <c r="DF181" i="25" s="1"/>
  <c r="CY272" i="25"/>
  <c r="CZ272" i="25"/>
  <c r="CZ289" i="25"/>
  <c r="CY289" i="25"/>
  <c r="DL39" i="25"/>
  <c r="FD39" i="25"/>
  <c r="DS39" i="25"/>
  <c r="DL73" i="25"/>
  <c r="DS73" i="25"/>
  <c r="FD73" i="25"/>
  <c r="DA129" i="25"/>
  <c r="DD129" i="25" s="1"/>
  <c r="DE129" i="25" s="1"/>
  <c r="DF129" i="25" s="1"/>
  <c r="DH129" i="25"/>
  <c r="DH137" i="25"/>
  <c r="DA137" i="25"/>
  <c r="DD137" i="25" s="1"/>
  <c r="DE137" i="25" s="1"/>
  <c r="DF137" i="25" s="1"/>
  <c r="DH48" i="25"/>
  <c r="DA48" i="25"/>
  <c r="DD48" i="25" s="1"/>
  <c r="DE48" i="25" s="1"/>
  <c r="DF48" i="25" s="1"/>
  <c r="DH52" i="25"/>
  <c r="DA52" i="25"/>
  <c r="DD52" i="25" s="1"/>
  <c r="DE52" i="25" s="1"/>
  <c r="DF52" i="25" s="1"/>
  <c r="CY290" i="25"/>
  <c r="CZ290" i="25"/>
  <c r="CY287" i="25"/>
  <c r="CZ287" i="25"/>
  <c r="FD140" i="25"/>
  <c r="DS140" i="25"/>
  <c r="DL140" i="25"/>
  <c r="CY227" i="25"/>
  <c r="CZ227" i="25"/>
  <c r="CY284" i="25"/>
  <c r="CZ284" i="25"/>
  <c r="FD9" i="25"/>
  <c r="DL9" i="25"/>
  <c r="DH171" i="25"/>
  <c r="DA171" i="25"/>
  <c r="DD171" i="25" s="1"/>
  <c r="DE171" i="25" s="1"/>
  <c r="DF171" i="25" s="1"/>
  <c r="DH126" i="25"/>
  <c r="DA126" i="25"/>
  <c r="DD126" i="25" s="1"/>
  <c r="DE126" i="25" s="1"/>
  <c r="DF126" i="25" s="1"/>
  <c r="DH13" i="25"/>
  <c r="DA13" i="25"/>
  <c r="DD13" i="25" s="1"/>
  <c r="DE13" i="25" s="1"/>
  <c r="DF13" i="25" s="1"/>
  <c r="DH17" i="25"/>
  <c r="DA17" i="25"/>
  <c r="DD17" i="25" s="1"/>
  <c r="DE17" i="25" s="1"/>
  <c r="DF17" i="25" s="1"/>
  <c r="DH278" i="25"/>
  <c r="DA278" i="25"/>
  <c r="DD278" i="25" s="1"/>
  <c r="DE278" i="25" s="1"/>
  <c r="DF278" i="25" s="1"/>
  <c r="DA281" i="25"/>
  <c r="DD281" i="25" s="1"/>
  <c r="DE281" i="25" s="1"/>
  <c r="DF281" i="25" s="1"/>
  <c r="DH281" i="25"/>
  <c r="CZ236" i="25"/>
  <c r="DB236" i="25" s="1"/>
  <c r="DH236" i="25"/>
  <c r="DA236" i="25"/>
  <c r="DD236" i="25" s="1"/>
  <c r="DE236" i="25" s="1"/>
  <c r="DF236" i="25" s="1"/>
  <c r="DH159" i="25"/>
  <c r="DA159" i="25"/>
  <c r="DD159" i="25" s="1"/>
  <c r="DE159" i="25" s="1"/>
  <c r="DF159" i="25" s="1"/>
  <c r="DL243" i="25"/>
  <c r="CY177" i="25"/>
  <c r="CZ177" i="25"/>
  <c r="CY100" i="25"/>
  <c r="CZ100" i="25"/>
  <c r="CY126" i="25"/>
  <c r="CZ126" i="25"/>
  <c r="CY17" i="25"/>
  <c r="CZ17" i="25"/>
  <c r="DS176" i="25"/>
  <c r="FD176" i="25"/>
  <c r="DL176" i="25"/>
  <c r="DH139" i="25"/>
  <c r="DA139" i="25"/>
  <c r="DD139" i="25" s="1"/>
  <c r="DE139" i="25" s="1"/>
  <c r="DF139" i="25" s="1"/>
  <c r="DH124" i="25"/>
  <c r="DA124" i="25"/>
  <c r="DD124" i="25" s="1"/>
  <c r="DE124" i="25" s="1"/>
  <c r="DF124" i="25" s="1"/>
  <c r="FD55" i="25"/>
  <c r="DA192" i="25"/>
  <c r="DD192" i="25" s="1"/>
  <c r="DE192" i="25" s="1"/>
  <c r="DF192" i="25" s="1"/>
  <c r="DH192" i="25"/>
  <c r="DA204" i="25"/>
  <c r="DD204" i="25" s="1"/>
  <c r="DE204" i="25" s="1"/>
  <c r="DF204" i="25" s="1"/>
  <c r="DH204" i="25"/>
  <c r="DH115" i="25"/>
  <c r="DA115" i="25"/>
  <c r="DD115" i="25" s="1"/>
  <c r="DE115" i="25" s="1"/>
  <c r="DF115" i="25" s="1"/>
  <c r="DH245" i="25"/>
  <c r="DA245" i="25"/>
  <c r="DD245" i="25" s="1"/>
  <c r="DE245" i="25" s="1"/>
  <c r="DF245" i="25" s="1"/>
  <c r="DH140" i="25"/>
  <c r="DA140" i="25"/>
  <c r="DD140" i="25" s="1"/>
  <c r="DE140" i="25" s="1"/>
  <c r="DF140" i="25" s="1"/>
  <c r="DH297" i="25"/>
  <c r="DA297" i="25"/>
  <c r="DD297" i="25" s="1"/>
  <c r="DE297" i="25" s="1"/>
  <c r="DF297" i="25" s="1"/>
  <c r="DH223" i="25"/>
  <c r="DA223" i="25"/>
  <c r="DD223" i="25" s="1"/>
  <c r="DE223" i="25" s="1"/>
  <c r="DF223" i="25" s="1"/>
  <c r="DH222" i="25"/>
  <c r="DA222" i="25"/>
  <c r="DD222" i="25" s="1"/>
  <c r="DE222" i="25" s="1"/>
  <c r="DF222" i="25" s="1"/>
  <c r="CZ241" i="25"/>
  <c r="CY241" i="25"/>
  <c r="CY146" i="25"/>
  <c r="CZ146" i="25"/>
  <c r="CY185" i="25"/>
  <c r="CZ185" i="25"/>
  <c r="CZ283" i="25"/>
  <c r="CY283" i="25"/>
  <c r="DS129" i="25"/>
  <c r="DL129" i="25"/>
  <c r="FD129" i="25"/>
  <c r="DL57" i="25"/>
  <c r="DS57" i="25"/>
  <c r="FD57" i="25"/>
  <c r="CZ145" i="25"/>
  <c r="CY145" i="25"/>
  <c r="DL33" i="25"/>
  <c r="FD33" i="25"/>
  <c r="DS33" i="25"/>
  <c r="CY22" i="25"/>
  <c r="CZ22" i="25"/>
  <c r="DS25" i="25"/>
  <c r="DA196" i="25"/>
  <c r="DD196" i="25" s="1"/>
  <c r="DE196" i="25" s="1"/>
  <c r="DF196" i="25" s="1"/>
  <c r="DH196" i="25"/>
  <c r="DA229" i="25"/>
  <c r="DD229" i="25" s="1"/>
  <c r="DE229" i="25" s="1"/>
  <c r="DF229" i="25" s="1"/>
  <c r="DH229" i="25"/>
  <c r="DH136" i="25"/>
  <c r="DA136" i="25"/>
  <c r="DD136" i="25" s="1"/>
  <c r="DE136" i="25" s="1"/>
  <c r="DF136" i="25" s="1"/>
  <c r="DA287" i="25"/>
  <c r="DD287" i="25" s="1"/>
  <c r="DE287" i="25" s="1"/>
  <c r="DF287" i="25" s="1"/>
  <c r="DH287" i="25"/>
  <c r="DA255" i="25"/>
  <c r="DD255" i="25" s="1"/>
  <c r="DE255" i="25" s="1"/>
  <c r="DF255" i="25" s="1"/>
  <c r="DH255" i="25"/>
  <c r="DH151" i="25"/>
  <c r="DA151" i="25"/>
  <c r="DD151" i="25" s="1"/>
  <c r="DE151" i="25" s="1"/>
  <c r="DF151" i="25" s="1"/>
  <c r="DA186" i="25"/>
  <c r="DD186" i="25" s="1"/>
  <c r="DE186" i="25" s="1"/>
  <c r="DF186" i="25" s="1"/>
  <c r="DH186" i="25"/>
  <c r="DH272" i="25"/>
  <c r="DA272" i="25"/>
  <c r="DD272" i="25" s="1"/>
  <c r="DE272" i="25" s="1"/>
  <c r="DF272" i="25" s="1"/>
  <c r="CY200" i="25"/>
  <c r="CZ200" i="25"/>
  <c r="CY147" i="25"/>
  <c r="CZ147" i="25"/>
  <c r="CY254" i="25"/>
  <c r="CZ254" i="25"/>
  <c r="CY253" i="25"/>
  <c r="CZ253" i="25"/>
  <c r="CZ183" i="25"/>
  <c r="CY183" i="25"/>
  <c r="DL246" i="25"/>
  <c r="DS246" i="25"/>
  <c r="FD70" i="25"/>
  <c r="DS70" i="25"/>
  <c r="DL70" i="25"/>
  <c r="DL21" i="25"/>
  <c r="FD21" i="25"/>
  <c r="DS21" i="25"/>
  <c r="DS66" i="25"/>
  <c r="DL66" i="25"/>
  <c r="FD66" i="25"/>
  <c r="CZ184" i="25"/>
  <c r="CY184" i="25"/>
  <c r="FD199" i="25"/>
  <c r="DL199" i="25"/>
  <c r="DH169" i="25"/>
  <c r="DA169" i="25"/>
  <c r="DD169" i="25" s="1"/>
  <c r="DE169" i="25" s="1"/>
  <c r="DF169" i="25" s="1"/>
  <c r="DA61" i="25"/>
  <c r="DD61" i="25" s="1"/>
  <c r="DE61" i="25" s="1"/>
  <c r="DF61" i="25" s="1"/>
  <c r="DH61" i="25"/>
  <c r="DH116" i="25"/>
  <c r="DA116" i="25"/>
  <c r="DD116" i="25" s="1"/>
  <c r="DE116" i="25" s="1"/>
  <c r="DF116" i="25" s="1"/>
  <c r="CZ265" i="25"/>
  <c r="DB265" i="25" s="1"/>
  <c r="DA265" i="25"/>
  <c r="DD265" i="25" s="1"/>
  <c r="DE265" i="25" s="1"/>
  <c r="DF265" i="25" s="1"/>
  <c r="DH265" i="25"/>
  <c r="DH242" i="25"/>
  <c r="DA242" i="25"/>
  <c r="DD242" i="25" s="1"/>
  <c r="DE242" i="25" s="1"/>
  <c r="DF242" i="25" s="1"/>
  <c r="DA71" i="25"/>
  <c r="DD71" i="25" s="1"/>
  <c r="DE71" i="25" s="1"/>
  <c r="DF71" i="25" s="1"/>
  <c r="DH71" i="25"/>
  <c r="DH77" i="25"/>
  <c r="DA77" i="25"/>
  <c r="DD77" i="25" s="1"/>
  <c r="DE77" i="25" s="1"/>
  <c r="DF77" i="25" s="1"/>
  <c r="FD168" i="25"/>
  <c r="DS168" i="25"/>
  <c r="DL168" i="25"/>
  <c r="CY169" i="25"/>
  <c r="CZ169" i="25"/>
  <c r="DS290" i="25"/>
  <c r="DL290" i="25"/>
  <c r="CZ189" i="25"/>
  <c r="CY189" i="25"/>
  <c r="DS287" i="25"/>
  <c r="DL287" i="25"/>
  <c r="FD121" i="25"/>
  <c r="DS121" i="25"/>
  <c r="DL121" i="25"/>
  <c r="CY88" i="25"/>
  <c r="CZ88" i="25"/>
  <c r="FD96" i="25"/>
  <c r="DL96" i="25"/>
  <c r="CY71" i="25"/>
  <c r="CZ71" i="25"/>
  <c r="CY58" i="25"/>
  <c r="CZ58" i="25"/>
  <c r="FD91" i="25"/>
  <c r="FD147" i="25"/>
  <c r="CY12" i="25"/>
  <c r="CZ12" i="25"/>
  <c r="DA195" i="25"/>
  <c r="DD195" i="25" s="1"/>
  <c r="DE195" i="25" s="1"/>
  <c r="DF195" i="25" s="1"/>
  <c r="DH195" i="25"/>
  <c r="DA198" i="25"/>
  <c r="DD198" i="25" s="1"/>
  <c r="DE198" i="25" s="1"/>
  <c r="DF198" i="25" s="1"/>
  <c r="DH198" i="25"/>
  <c r="DH142" i="25"/>
  <c r="DA142" i="25"/>
  <c r="DD142" i="25" s="1"/>
  <c r="DE142" i="25" s="1"/>
  <c r="DF142" i="25" s="1"/>
  <c r="DH221" i="25"/>
  <c r="DA221" i="25"/>
  <c r="DD221" i="25" s="1"/>
  <c r="DE221" i="25" s="1"/>
  <c r="DF221" i="25" s="1"/>
  <c r="CY181" i="25"/>
  <c r="CZ181" i="25"/>
  <c r="DS295" i="25"/>
  <c r="DL244" i="25"/>
  <c r="DS244" i="25"/>
  <c r="DL164" i="25"/>
  <c r="FD164" i="25"/>
  <c r="DS164" i="25"/>
  <c r="DL156" i="25"/>
  <c r="DS156" i="25"/>
  <c r="FD156" i="25"/>
  <c r="DL177" i="25"/>
  <c r="DS177" i="25"/>
  <c r="FD177" i="25"/>
  <c r="DL100" i="25"/>
  <c r="FD100" i="25"/>
  <c r="CZ175" i="25"/>
  <c r="CY175" i="25"/>
  <c r="CZ176" i="25"/>
  <c r="CY176" i="25"/>
  <c r="CZ128" i="25"/>
  <c r="CY128" i="25"/>
  <c r="DA73" i="25"/>
  <c r="DD73" i="25" s="1"/>
  <c r="DE73" i="25" s="1"/>
  <c r="DF73" i="25" s="1"/>
  <c r="DH73" i="25"/>
  <c r="CZ238" i="25"/>
  <c r="DB238" i="25" s="1"/>
  <c r="DH238" i="25"/>
  <c r="DA238" i="25"/>
  <c r="DD238" i="25" s="1"/>
  <c r="DE238" i="25" s="1"/>
  <c r="DF238" i="25" s="1"/>
  <c r="DA230" i="25"/>
  <c r="DD230" i="25" s="1"/>
  <c r="DE230" i="25" s="1"/>
  <c r="DF230" i="25" s="1"/>
  <c r="DH230" i="25"/>
  <c r="CY275" i="25"/>
  <c r="CZ275" i="25"/>
  <c r="DL241" i="25"/>
  <c r="DS241" i="25"/>
  <c r="DS283" i="25"/>
  <c r="DL283" i="25"/>
  <c r="CY57" i="25"/>
  <c r="CZ57" i="25"/>
  <c r="CY85" i="25"/>
  <c r="CZ85" i="25"/>
  <c r="DL74" i="25"/>
  <c r="FD74" i="25"/>
  <c r="DS74" i="25"/>
  <c r="DL43" i="25"/>
  <c r="FD43" i="25"/>
  <c r="DS43" i="25"/>
  <c r="DL59" i="25"/>
  <c r="DS59" i="25"/>
  <c r="FD59" i="25"/>
  <c r="CY102" i="25"/>
  <c r="CZ102" i="25"/>
  <c r="DH81" i="25"/>
  <c r="DA81" i="25"/>
  <c r="DD81" i="25" s="1"/>
  <c r="DE81" i="25" s="1"/>
  <c r="DF81" i="25" s="1"/>
  <c r="CZ207" i="25"/>
  <c r="DB207" i="25" s="1"/>
  <c r="DH207" i="25"/>
  <c r="DA207" i="25"/>
  <c r="DD207" i="25" s="1"/>
  <c r="DE207" i="25" s="1"/>
  <c r="DF207" i="25" s="1"/>
  <c r="DH50" i="25"/>
  <c r="DA50" i="25"/>
  <c r="DD50" i="25" s="1"/>
  <c r="DE50" i="25" s="1"/>
  <c r="DF50" i="25" s="1"/>
  <c r="DH104" i="25"/>
  <c r="DA104" i="25"/>
  <c r="DD104" i="25" s="1"/>
  <c r="DE104" i="25" s="1"/>
  <c r="DF104" i="25" s="1"/>
  <c r="DS167" i="25"/>
  <c r="DL167" i="25"/>
  <c r="FD167" i="25"/>
  <c r="DL155" i="25"/>
  <c r="DS155" i="25"/>
  <c r="FD155" i="25"/>
  <c r="CY222" i="25"/>
  <c r="CZ222" i="25"/>
  <c r="CZ150" i="25"/>
  <c r="CY150" i="25"/>
  <c r="CZ138" i="25"/>
  <c r="CY138" i="25"/>
  <c r="DL77" i="25"/>
  <c r="DS77" i="25"/>
  <c r="FD77" i="25"/>
  <c r="DL228" i="25"/>
  <c r="DS228" i="25"/>
  <c r="DS137" i="25"/>
  <c r="FD137" i="25"/>
  <c r="DL137" i="25"/>
  <c r="DH264" i="25"/>
  <c r="DA264" i="25"/>
  <c r="DD264" i="25" s="1"/>
  <c r="DE264" i="25" s="1"/>
  <c r="DF264" i="25" s="1"/>
  <c r="DH165" i="25"/>
  <c r="DA165" i="25"/>
  <c r="DD165" i="25" s="1"/>
  <c r="DE165" i="25" s="1"/>
  <c r="DF165" i="25" s="1"/>
  <c r="DA75" i="25"/>
  <c r="DD75" i="25" s="1"/>
  <c r="DE75" i="25" s="1"/>
  <c r="DF75" i="25" s="1"/>
  <c r="DH75" i="25"/>
  <c r="DH16" i="25"/>
  <c r="DA16" i="25"/>
  <c r="DD16" i="25" s="1"/>
  <c r="DE16" i="25" s="1"/>
  <c r="DF16" i="25" s="1"/>
  <c r="DS255" i="25"/>
  <c r="DH28" i="25"/>
  <c r="DA28" i="25"/>
  <c r="DD28" i="25" s="1"/>
  <c r="DE28" i="25" s="1"/>
  <c r="DF28" i="25" s="1"/>
  <c r="DL254" i="25"/>
  <c r="DS254" i="25"/>
  <c r="CZ149" i="25"/>
  <c r="CY149" i="25"/>
  <c r="DS170" i="25"/>
  <c r="FD170" i="25"/>
  <c r="DL170" i="25"/>
  <c r="DL93" i="25"/>
  <c r="FD93" i="25"/>
  <c r="CY104" i="25"/>
  <c r="CZ104" i="25"/>
  <c r="CY313" i="25"/>
  <c r="CZ313" i="25"/>
  <c r="CY70" i="25"/>
  <c r="CZ70" i="25"/>
  <c r="FD60" i="25"/>
  <c r="DL60" i="25"/>
  <c r="DS60" i="25"/>
  <c r="DL272" i="25"/>
  <c r="DS272" i="25"/>
  <c r="DL49" i="25"/>
  <c r="FD49" i="25"/>
  <c r="CZ199" i="25"/>
  <c r="CY199" i="25"/>
  <c r="DH205" i="25"/>
  <c r="DA205" i="25"/>
  <c r="DD205" i="25" s="1"/>
  <c r="DE205" i="25" s="1"/>
  <c r="DF205" i="25" s="1"/>
  <c r="DH10" i="25"/>
  <c r="DA10" i="25"/>
  <c r="DD10" i="25" s="1"/>
  <c r="DE10" i="25" s="1"/>
  <c r="DF10" i="25" s="1"/>
  <c r="DS252" i="25"/>
  <c r="DL252" i="25"/>
  <c r="CZ168" i="25"/>
  <c r="CY168" i="25"/>
  <c r="CY245" i="25"/>
  <c r="CZ245" i="25"/>
  <c r="DL189" i="25"/>
  <c r="FD189" i="25"/>
  <c r="DS189" i="25"/>
  <c r="CY69" i="25"/>
  <c r="CZ69" i="25"/>
  <c r="DS139" i="25"/>
  <c r="DL139" i="25"/>
  <c r="FD139" i="25"/>
  <c r="DL40" i="25"/>
  <c r="FD40" i="25"/>
  <c r="DS40" i="25"/>
  <c r="CY298" i="25"/>
  <c r="CZ298" i="25"/>
  <c r="DS284" i="25"/>
  <c r="DL284" i="25"/>
  <c r="DL48" i="25"/>
  <c r="DS48" i="25"/>
  <c r="FD71" i="25"/>
  <c r="DL71" i="25"/>
  <c r="DS71" i="25"/>
  <c r="DL81" i="25"/>
  <c r="DS81" i="25"/>
  <c r="FD81" i="25"/>
  <c r="CZ29" i="25"/>
  <c r="CY29" i="25"/>
  <c r="DS58" i="25"/>
  <c r="DL58" i="25"/>
  <c r="FD58" i="25"/>
  <c r="DL12" i="25"/>
  <c r="DS12" i="25"/>
  <c r="FD12" i="25"/>
  <c r="DH243" i="25"/>
  <c r="DA243" i="25"/>
  <c r="DD243" i="25" s="1"/>
  <c r="DE243" i="25" s="1"/>
  <c r="DF243" i="25" s="1"/>
  <c r="DA117" i="25"/>
  <c r="DD117" i="25" s="1"/>
  <c r="DE117" i="25" s="1"/>
  <c r="DF117" i="25" s="1"/>
  <c r="DH117" i="25"/>
  <c r="DH101" i="25"/>
  <c r="DA101" i="25"/>
  <c r="DD101" i="25" s="1"/>
  <c r="DE101" i="25" s="1"/>
  <c r="DF101" i="25" s="1"/>
  <c r="DH313" i="25"/>
  <c r="DA313" i="25"/>
  <c r="DD313" i="25" s="1"/>
  <c r="DE313" i="25" s="1"/>
  <c r="DF313" i="25" s="1"/>
  <c r="CY242" i="25"/>
  <c r="CZ242" i="25"/>
  <c r="DS181" i="25"/>
  <c r="FD181" i="25"/>
  <c r="DL181" i="25"/>
  <c r="CY295" i="25"/>
  <c r="CZ295" i="25"/>
  <c r="CY153" i="25"/>
  <c r="CZ153" i="25"/>
  <c r="CY47" i="25"/>
  <c r="CZ47" i="25"/>
  <c r="FD17" i="25"/>
  <c r="DL17" i="25"/>
  <c r="DA69" i="25"/>
  <c r="DD69" i="25" s="1"/>
  <c r="DE69" i="25" s="1"/>
  <c r="DF69" i="25" s="1"/>
  <c r="DH69" i="25"/>
  <c r="DH260" i="25"/>
  <c r="DA260" i="25"/>
  <c r="DD260" i="25" s="1"/>
  <c r="DE260" i="25" s="1"/>
  <c r="DF260" i="25" s="1"/>
  <c r="DH94" i="25"/>
  <c r="DA94" i="25"/>
  <c r="DD94" i="25" s="1"/>
  <c r="DE94" i="25" s="1"/>
  <c r="DF94" i="25" s="1"/>
  <c r="DH118" i="25"/>
  <c r="DA118" i="25"/>
  <c r="DD118" i="25" s="1"/>
  <c r="DE118" i="25" s="1"/>
  <c r="DF118" i="25" s="1"/>
  <c r="DH309" i="25"/>
  <c r="DA309" i="25"/>
  <c r="DD309" i="25" s="1"/>
  <c r="DE309" i="25" s="1"/>
  <c r="DF309" i="25" s="1"/>
  <c r="DA291" i="25"/>
  <c r="DD291" i="25" s="1"/>
  <c r="DE291" i="25" s="1"/>
  <c r="DF291" i="25" s="1"/>
  <c r="DH291" i="25"/>
  <c r="DH74" i="25"/>
  <c r="DA74" i="25"/>
  <c r="DD74" i="25" s="1"/>
  <c r="DE74" i="25" s="1"/>
  <c r="DF74" i="25" s="1"/>
  <c r="DH8" i="25"/>
  <c r="DA8" i="25"/>
  <c r="DD8" i="25" s="1"/>
  <c r="DE8" i="25" s="1"/>
  <c r="DF8" i="25" s="1"/>
  <c r="FD194" i="25"/>
  <c r="DL194" i="25"/>
  <c r="CZ161" i="25"/>
  <c r="CY161" i="25"/>
  <c r="CY276" i="25"/>
  <c r="CZ276" i="25"/>
  <c r="DL185" i="25"/>
  <c r="DS185" i="25"/>
  <c r="FD185" i="25"/>
  <c r="DS145" i="25"/>
  <c r="DL145" i="25"/>
  <c r="FD145" i="25"/>
  <c r="CY25" i="25"/>
  <c r="CZ25" i="25"/>
  <c r="DS117" i="25"/>
  <c r="DL117" i="25"/>
  <c r="FD117" i="25"/>
  <c r="CY15" i="25"/>
  <c r="CZ15" i="25"/>
  <c r="CY159" i="25"/>
  <c r="CZ159" i="25"/>
  <c r="CY52" i="25"/>
  <c r="CZ52" i="25"/>
  <c r="DL72" i="25"/>
  <c r="DS72" i="25"/>
  <c r="FD72" i="25"/>
  <c r="FD98" i="25"/>
  <c r="DL98" i="25"/>
  <c r="DS300" i="25"/>
  <c r="DL300" i="25"/>
  <c r="DH274" i="25"/>
  <c r="DA274" i="25"/>
  <c r="DD274" i="25" s="1"/>
  <c r="DE274" i="25" s="1"/>
  <c r="DF274" i="25" s="1"/>
  <c r="CZ19" i="25"/>
  <c r="DB19" i="25" s="1"/>
  <c r="DH19" i="25"/>
  <c r="DA19" i="25"/>
  <c r="DD19" i="25" s="1"/>
  <c r="DE19" i="25" s="1"/>
  <c r="DF19" i="25" s="1"/>
  <c r="DL259" i="25"/>
  <c r="DS259" i="25"/>
  <c r="DL200" i="25"/>
  <c r="FD200" i="25"/>
  <c r="DL253" i="25"/>
  <c r="DS253" i="25"/>
  <c r="CY247" i="25"/>
  <c r="CZ247" i="25"/>
  <c r="CZ172" i="25"/>
  <c r="CY172" i="25"/>
  <c r="DL45" i="25"/>
  <c r="DS45" i="25"/>
  <c r="FD45" i="25"/>
  <c r="FD136" i="25"/>
  <c r="DS136" i="25"/>
  <c r="DL136" i="25"/>
  <c r="DL313" i="25"/>
  <c r="DS313" i="25"/>
  <c r="CY60" i="25"/>
  <c r="CZ60" i="25"/>
  <c r="DH88" i="25"/>
  <c r="DA88" i="25"/>
  <c r="DD88" i="25" s="1"/>
  <c r="DE88" i="25" s="1"/>
  <c r="DF88" i="25" s="1"/>
  <c r="DA172" i="25"/>
  <c r="DD172" i="25" s="1"/>
  <c r="DE172" i="25" s="1"/>
  <c r="DF172" i="25" s="1"/>
  <c r="DH172" i="25"/>
  <c r="DH183" i="25"/>
  <c r="DA183" i="25"/>
  <c r="DD183" i="25" s="1"/>
  <c r="DE183" i="25" s="1"/>
  <c r="DF183" i="25" s="1"/>
  <c r="DH25" i="25"/>
  <c r="DA25" i="25"/>
  <c r="DD25" i="25" s="1"/>
  <c r="DE25" i="25" s="1"/>
  <c r="DF25" i="25" s="1"/>
  <c r="DH146" i="25"/>
  <c r="DA146" i="25"/>
  <c r="DD146" i="25" s="1"/>
  <c r="DE146" i="25" s="1"/>
  <c r="DF146" i="25" s="1"/>
  <c r="DA114" i="25"/>
  <c r="DD114" i="25" s="1"/>
  <c r="DE114" i="25" s="1"/>
  <c r="DF114" i="25" s="1"/>
  <c r="DH114" i="25"/>
  <c r="DH303" i="25"/>
  <c r="DA303" i="25"/>
  <c r="DD303" i="25" s="1"/>
  <c r="DE303" i="25" s="1"/>
  <c r="DF303" i="25" s="1"/>
  <c r="DH20" i="25"/>
  <c r="DA20" i="25"/>
  <c r="DD20" i="25" s="1"/>
  <c r="DE20" i="25" s="1"/>
  <c r="DF20" i="25" s="1"/>
  <c r="CZ162" i="25"/>
  <c r="DB162" i="25" s="1"/>
  <c r="DH162" i="25"/>
  <c r="DA162" i="25"/>
  <c r="DD162" i="25" s="1"/>
  <c r="DE162" i="25" s="1"/>
  <c r="DF162" i="25" s="1"/>
  <c r="DH246" i="25"/>
  <c r="DA246" i="25"/>
  <c r="DD246" i="25" s="1"/>
  <c r="DE246" i="25" s="1"/>
  <c r="DF246" i="25" s="1"/>
  <c r="CY182" i="25"/>
  <c r="CZ182" i="25"/>
  <c r="CY314" i="25"/>
  <c r="CZ314" i="25"/>
  <c r="CZ252" i="25"/>
  <c r="CY252" i="25"/>
  <c r="DL245" i="25"/>
  <c r="FD169" i="25"/>
  <c r="DS169" i="25"/>
  <c r="DL169" i="25"/>
  <c r="DL88" i="25"/>
  <c r="DS88" i="25"/>
  <c r="FD88" i="25"/>
  <c r="CY40" i="25"/>
  <c r="CZ40" i="25"/>
  <c r="DL298" i="25"/>
  <c r="DS298" i="25"/>
  <c r="CZ96" i="25"/>
  <c r="CY96" i="25"/>
  <c r="CY48" i="25"/>
  <c r="CZ48" i="25"/>
  <c r="DL24" i="25"/>
  <c r="FD24" i="25"/>
  <c r="FD48" i="25"/>
  <c r="FD95" i="25"/>
  <c r="DH176" i="25"/>
  <c r="DA176" i="25"/>
  <c r="DD176" i="25" s="1"/>
  <c r="DE176" i="25" s="1"/>
  <c r="DF176" i="25" s="1"/>
  <c r="CY225" i="25"/>
  <c r="CZ225" i="25"/>
  <c r="DL269" i="25"/>
  <c r="DS269" i="25"/>
  <c r="DH21" i="25"/>
  <c r="DA21" i="25"/>
  <c r="DD21" i="25" s="1"/>
  <c r="DE21" i="25" s="1"/>
  <c r="DF21" i="25" s="1"/>
  <c r="DH167" i="25"/>
  <c r="DA167" i="25"/>
  <c r="DD167" i="25" s="1"/>
  <c r="DE167" i="25" s="1"/>
  <c r="DF167" i="25" s="1"/>
  <c r="DA194" i="25"/>
  <c r="DD194" i="25" s="1"/>
  <c r="DE194" i="25" s="1"/>
  <c r="DF194" i="25" s="1"/>
  <c r="DH194" i="25"/>
  <c r="CZ155" i="25"/>
  <c r="DB155" i="25" s="1"/>
  <c r="DH155" i="25"/>
  <c r="DA155" i="25"/>
  <c r="DD155" i="25" s="1"/>
  <c r="DE155" i="25" s="1"/>
  <c r="DF155" i="25" s="1"/>
  <c r="DH288" i="25"/>
  <c r="DA288" i="25"/>
  <c r="DD288" i="25" s="1"/>
  <c r="DE288" i="25" s="1"/>
  <c r="DF288" i="25" s="1"/>
  <c r="CZ82" i="25"/>
  <c r="DB82" i="25" s="1"/>
  <c r="DH82" i="25"/>
  <c r="DA82" i="25"/>
  <c r="DD82" i="25" s="1"/>
  <c r="DE82" i="25" s="1"/>
  <c r="DF82" i="25" s="1"/>
  <c r="DL242" i="25"/>
  <c r="DS242" i="25"/>
  <c r="DL295" i="25"/>
  <c r="DS233" i="25"/>
  <c r="DL233" i="25"/>
  <c r="FD130" i="25"/>
  <c r="DL130" i="25"/>
  <c r="DS130" i="25"/>
  <c r="DS126" i="25"/>
  <c r="FD126" i="25"/>
  <c r="DL126" i="25"/>
  <c r="CY86" i="25"/>
  <c r="CZ86" i="25"/>
  <c r="FD34" i="25"/>
  <c r="DL34" i="25"/>
  <c r="DS34" i="25"/>
  <c r="DS266" i="25"/>
  <c r="DL266" i="25"/>
  <c r="DL47" i="25"/>
  <c r="DS47" i="25"/>
  <c r="FD47" i="25"/>
  <c r="CY55" i="25"/>
  <c r="CZ55" i="25"/>
  <c r="DL14" i="25"/>
  <c r="DS14" i="25"/>
  <c r="FD14" i="25"/>
  <c r="DS38" i="25"/>
  <c r="FD38" i="25"/>
  <c r="DL38" i="25"/>
  <c r="DH315" i="25"/>
  <c r="DA315" i="25"/>
  <c r="DD315" i="25" s="1"/>
  <c r="DE315" i="25" s="1"/>
  <c r="DF315" i="25" s="1"/>
  <c r="DA62" i="25"/>
  <c r="DD62" i="25" s="1"/>
  <c r="DE62" i="25" s="1"/>
  <c r="DF62" i="25" s="1"/>
  <c r="DH62" i="25"/>
  <c r="DL179" i="25"/>
  <c r="FD179" i="25"/>
  <c r="DS179" i="25"/>
  <c r="CY232" i="25"/>
  <c r="CZ232" i="25"/>
  <c r="CY64" i="25"/>
  <c r="CZ64" i="25"/>
  <c r="DH219" i="25"/>
  <c r="DA219" i="25"/>
  <c r="DD219" i="25" s="1"/>
  <c r="DE219" i="25" s="1"/>
  <c r="DF219" i="25" s="1"/>
  <c r="DA261" i="25"/>
  <c r="DD261" i="25" s="1"/>
  <c r="DE261" i="25" s="1"/>
  <c r="DF261" i="25" s="1"/>
  <c r="DH261" i="25"/>
  <c r="CZ306" i="25"/>
  <c r="CY306" i="25"/>
  <c r="DL235" i="25"/>
  <c r="DS235" i="25"/>
  <c r="DL275" i="25"/>
  <c r="DS275" i="25"/>
  <c r="DS146" i="25"/>
  <c r="FD146" i="25"/>
  <c r="DL146" i="25"/>
  <c r="DL276" i="25"/>
  <c r="DS276" i="25"/>
  <c r="DS79" i="25"/>
  <c r="DL79" i="25"/>
  <c r="FD79" i="25"/>
  <c r="CY262" i="25"/>
  <c r="CZ262" i="25"/>
  <c r="CY89" i="25"/>
  <c r="CZ89" i="25"/>
  <c r="DL25" i="25"/>
  <c r="FD25" i="25"/>
  <c r="DH113" i="25"/>
  <c r="DA113" i="25"/>
  <c r="DD113" i="25" s="1"/>
  <c r="DE113" i="25" s="1"/>
  <c r="DF113" i="25" s="1"/>
  <c r="DT43" i="24"/>
  <c r="DT282" i="24"/>
  <c r="DT29" i="24"/>
  <c r="DT11" i="24"/>
  <c r="CN302" i="24"/>
  <c r="DA302" i="24" s="1"/>
  <c r="CS302" i="24"/>
  <c r="FD302" i="24" s="1"/>
  <c r="DT287" i="24"/>
  <c r="DT219" i="24"/>
  <c r="CS267" i="24"/>
  <c r="FD267" i="24" s="1"/>
  <c r="CN267" i="24"/>
  <c r="DA267" i="24" s="1"/>
  <c r="CZ47" i="24"/>
  <c r="DT66" i="24"/>
  <c r="DT36" i="24"/>
  <c r="CS9" i="24"/>
  <c r="FD9" i="24" s="1"/>
  <c r="CN9" i="24"/>
  <c r="DA9" i="24" s="1"/>
  <c r="CZ86" i="24"/>
  <c r="DT15" i="24"/>
  <c r="CS236" i="24"/>
  <c r="FD236" i="24" s="1"/>
  <c r="CN236" i="24"/>
  <c r="DA236" i="24" s="1"/>
  <c r="CN206" i="24"/>
  <c r="DA206" i="24" s="1"/>
  <c r="CS206" i="24"/>
  <c r="FD206" i="24" s="1"/>
  <c r="CZ226" i="24"/>
  <c r="DT263" i="24"/>
  <c r="DT83" i="24"/>
  <c r="CZ153" i="24"/>
  <c r="CN73" i="24"/>
  <c r="DA73" i="24" s="1"/>
  <c r="CS73" i="24"/>
  <c r="FD73" i="24" s="1"/>
  <c r="CS52" i="24"/>
  <c r="FD52" i="24" s="1"/>
  <c r="CN52" i="24"/>
  <c r="CZ72" i="24"/>
  <c r="CS30" i="24"/>
  <c r="FD30" i="24" s="1"/>
  <c r="CN30" i="24"/>
  <c r="DA30" i="24" s="1"/>
  <c r="DT281" i="24"/>
  <c r="DT277" i="24"/>
  <c r="CN192" i="24"/>
  <c r="DA192" i="24" s="1"/>
  <c r="CS192" i="24"/>
  <c r="FD192" i="24" s="1"/>
  <c r="CZ240" i="24"/>
  <c r="CN116" i="24"/>
  <c r="DA116" i="24" s="1"/>
  <c r="CS116" i="24"/>
  <c r="FD116" i="24" s="1"/>
  <c r="CN133" i="24"/>
  <c r="DA133" i="24" s="1"/>
  <c r="CS133" i="24"/>
  <c r="FD133" i="24" s="1"/>
  <c r="CZ172" i="24"/>
  <c r="DT38" i="24"/>
  <c r="DT103" i="24"/>
  <c r="CN20" i="24"/>
  <c r="DA20" i="24" s="1"/>
  <c r="CS20" i="24"/>
  <c r="FD20" i="24" s="1"/>
  <c r="CN311" i="24"/>
  <c r="DA311" i="24" s="1"/>
  <c r="CS311" i="24"/>
  <c r="FD311" i="24" s="1"/>
  <c r="DT238" i="24"/>
  <c r="CS259" i="24"/>
  <c r="FD259" i="24" s="1"/>
  <c r="CN259" i="24"/>
  <c r="DA259" i="24" s="1"/>
  <c r="CS232" i="24"/>
  <c r="FD232" i="24" s="1"/>
  <c r="CN232" i="24"/>
  <c r="CN233" i="24"/>
  <c r="DA233" i="24" s="1"/>
  <c r="CS233" i="24"/>
  <c r="FD233" i="24" s="1"/>
  <c r="DT306" i="24"/>
  <c r="DT98" i="24"/>
  <c r="CS161" i="24"/>
  <c r="FD161" i="24" s="1"/>
  <c r="CN161" i="24"/>
  <c r="DA161" i="24" s="1"/>
  <c r="CS132" i="24"/>
  <c r="FD132" i="24" s="1"/>
  <c r="CN132" i="24"/>
  <c r="DA132" i="24" s="1"/>
  <c r="CZ148" i="24"/>
  <c r="DT47" i="24"/>
  <c r="CS120" i="24"/>
  <c r="FD120" i="24" s="1"/>
  <c r="CN120" i="24"/>
  <c r="DA120" i="24" s="1"/>
  <c r="CZ119" i="24"/>
  <c r="CZ41" i="24"/>
  <c r="CZ66" i="24"/>
  <c r="CS36" i="24"/>
  <c r="FD36" i="24" s="1"/>
  <c r="CN36" i="24"/>
  <c r="DA36" i="24" s="1"/>
  <c r="DT21" i="24"/>
  <c r="DT45" i="24"/>
  <c r="DT236" i="24"/>
  <c r="CS189" i="24"/>
  <c r="FD189" i="24" s="1"/>
  <c r="CN189" i="24"/>
  <c r="CS255" i="24"/>
  <c r="FD255" i="24" s="1"/>
  <c r="CN255" i="24"/>
  <c r="DA255" i="24" s="1"/>
  <c r="DT285" i="24"/>
  <c r="DT298" i="24"/>
  <c r="CS146" i="24"/>
  <c r="FD146" i="24" s="1"/>
  <c r="CN146" i="24"/>
  <c r="DA146" i="24" s="1"/>
  <c r="DT217" i="24"/>
  <c r="CZ40" i="24"/>
  <c r="DT70" i="24"/>
  <c r="CZ30" i="24"/>
  <c r="CZ314" i="24"/>
  <c r="CN200" i="24"/>
  <c r="DA200" i="24" s="1"/>
  <c r="CS200" i="24"/>
  <c r="FD200" i="24" s="1"/>
  <c r="CZ277" i="24"/>
  <c r="CN224" i="24"/>
  <c r="DA224" i="24" s="1"/>
  <c r="CS224" i="24"/>
  <c r="FD224" i="24" s="1"/>
  <c r="DT242" i="24"/>
  <c r="CS29" i="24"/>
  <c r="FD29" i="24" s="1"/>
  <c r="CN29" i="24"/>
  <c r="DA29" i="24" s="1"/>
  <c r="CZ259" i="24"/>
  <c r="CZ208" i="24"/>
  <c r="DT297" i="24"/>
  <c r="CZ267" i="24"/>
  <c r="CN179" i="24"/>
  <c r="DA179" i="24" s="1"/>
  <c r="CS179" i="24"/>
  <c r="FD179" i="24" s="1"/>
  <c r="CN41" i="24"/>
  <c r="CS41" i="24"/>
  <c r="FD41" i="24" s="1"/>
  <c r="DT9" i="24"/>
  <c r="CN296" i="24"/>
  <c r="DA296" i="24" s="1"/>
  <c r="CS296" i="24"/>
  <c r="FD296" i="24" s="1"/>
  <c r="CS298" i="24"/>
  <c r="FD298" i="24" s="1"/>
  <c r="CN298" i="24"/>
  <c r="DA298" i="24" s="1"/>
  <c r="CS153" i="24"/>
  <c r="FD153" i="24" s="1"/>
  <c r="CN153" i="24"/>
  <c r="DA153" i="24" s="1"/>
  <c r="CS234" i="24"/>
  <c r="FD234" i="24" s="1"/>
  <c r="CN234" i="24"/>
  <c r="DA234" i="24" s="1"/>
  <c r="CN118" i="24"/>
  <c r="DA118" i="24" s="1"/>
  <c r="CS118" i="24"/>
  <c r="FD118" i="24" s="1"/>
  <c r="CS64" i="24"/>
  <c r="FD64" i="24" s="1"/>
  <c r="CN64" i="24"/>
  <c r="CS6" i="24"/>
  <c r="FD6" i="24" s="1"/>
  <c r="CN6" i="24"/>
  <c r="DA6" i="24" s="1"/>
  <c r="DT18" i="24"/>
  <c r="CN289" i="24"/>
  <c r="DA289" i="24" s="1"/>
  <c r="CS289" i="24"/>
  <c r="FD289" i="24" s="1"/>
  <c r="CZ205" i="24"/>
  <c r="DT314" i="24"/>
  <c r="DT253" i="24"/>
  <c r="CN240" i="24"/>
  <c r="DA240" i="24" s="1"/>
  <c r="CS240" i="24"/>
  <c r="FD240" i="24" s="1"/>
  <c r="CZ111" i="24"/>
  <c r="DT58" i="24"/>
  <c r="CN238" i="24"/>
  <c r="DA238" i="24" s="1"/>
  <c r="CS238" i="24"/>
  <c r="FD238" i="24" s="1"/>
  <c r="DT267" i="24"/>
  <c r="CN306" i="24"/>
  <c r="DA306" i="24" s="1"/>
  <c r="CS306" i="24"/>
  <c r="FD306" i="24" s="1"/>
  <c r="CS171" i="24"/>
  <c r="FD171" i="24" s="1"/>
  <c r="CN171" i="24"/>
  <c r="CS148" i="24"/>
  <c r="FD148" i="24" s="1"/>
  <c r="CN148" i="24"/>
  <c r="DA148" i="24" s="1"/>
  <c r="CZ258" i="24"/>
  <c r="DT41" i="24"/>
  <c r="CS45" i="24"/>
  <c r="FD45" i="24" s="1"/>
  <c r="CN45" i="24"/>
  <c r="DA45" i="24" s="1"/>
  <c r="DT86" i="24"/>
  <c r="CZ296" i="24"/>
  <c r="CZ255" i="24"/>
  <c r="CZ285" i="24"/>
  <c r="CS226" i="24"/>
  <c r="FD226" i="24" s="1"/>
  <c r="CN226" i="24"/>
  <c r="DT294" i="24"/>
  <c r="CZ123" i="24"/>
  <c r="CZ136" i="24"/>
  <c r="CZ234" i="24"/>
  <c r="CZ113" i="24"/>
  <c r="CZ118" i="24"/>
  <c r="CZ64" i="24"/>
  <c r="DT6" i="24"/>
  <c r="CS18" i="24"/>
  <c r="FD18" i="24" s="1"/>
  <c r="CN18" i="24"/>
  <c r="CS205" i="24"/>
  <c r="FD205" i="24" s="1"/>
  <c r="CN205" i="24"/>
  <c r="CN253" i="24"/>
  <c r="DA253" i="24" s="1"/>
  <c r="CS253" i="24"/>
  <c r="FD253" i="24" s="1"/>
  <c r="DT224" i="24"/>
  <c r="CS286" i="24"/>
  <c r="FD286" i="24" s="1"/>
  <c r="CN286" i="24"/>
  <c r="DA286" i="24" s="1"/>
  <c r="DT240" i="24"/>
  <c r="CZ150" i="24"/>
  <c r="CN242" i="24"/>
  <c r="DA242" i="24" s="1"/>
  <c r="CS242" i="24"/>
  <c r="FD242" i="24" s="1"/>
  <c r="CN89" i="24"/>
  <c r="CS89" i="24"/>
  <c r="FD89" i="24" s="1"/>
  <c r="CZ20" i="24"/>
  <c r="DT280" i="24"/>
  <c r="DT311" i="24"/>
  <c r="CZ300" i="24"/>
  <c r="DT259" i="24"/>
  <c r="DT232" i="24"/>
  <c r="CS309" i="24"/>
  <c r="FD309" i="24" s="1"/>
  <c r="CN309" i="24"/>
  <c r="DA309" i="24" s="1"/>
  <c r="CZ161" i="24"/>
  <c r="CZ307" i="24"/>
  <c r="CZ179" i="24"/>
  <c r="CS81" i="24"/>
  <c r="FD81" i="24" s="1"/>
  <c r="CN81" i="24"/>
  <c r="CZ264" i="24"/>
  <c r="CN47" i="24"/>
  <c r="DA47" i="24" s="1"/>
  <c r="CS47" i="24"/>
  <c r="FD47" i="24" s="1"/>
  <c r="CS167" i="24"/>
  <c r="FD167" i="24" s="1"/>
  <c r="CN167" i="24"/>
  <c r="DA167" i="24" s="1"/>
  <c r="CZ75" i="24"/>
  <c r="CN21" i="24"/>
  <c r="DA21" i="24" s="1"/>
  <c r="CS21" i="24"/>
  <c r="FD21" i="24" s="1"/>
  <c r="DT296" i="24"/>
  <c r="CZ283" i="24"/>
  <c r="DT255" i="24"/>
  <c r="CZ203" i="24"/>
  <c r="DT226" i="24"/>
  <c r="CZ294" i="24"/>
  <c r="CS221" i="24"/>
  <c r="FD221" i="24" s="1"/>
  <c r="CN221" i="24"/>
  <c r="DA221" i="24" s="1"/>
  <c r="CS157" i="24"/>
  <c r="FD157" i="24" s="1"/>
  <c r="CN157" i="24"/>
  <c r="DA157" i="24" s="1"/>
  <c r="CZ209" i="24"/>
  <c r="CZ177" i="24"/>
  <c r="DT244" i="24"/>
  <c r="CS217" i="24"/>
  <c r="FD217" i="24" s="1"/>
  <c r="CN217" i="24"/>
  <c r="DA217" i="24" s="1"/>
  <c r="CS136" i="24"/>
  <c r="FD136" i="24" s="1"/>
  <c r="CN136" i="24"/>
  <c r="DT234" i="24"/>
  <c r="DT14" i="24"/>
  <c r="DT72" i="24"/>
  <c r="CZ289" i="24"/>
  <c r="CZ281" i="24"/>
  <c r="CS282" i="24"/>
  <c r="FD282" i="24" s="1"/>
  <c r="CN282" i="24"/>
  <c r="DA282" i="24" s="1"/>
  <c r="CN187" i="24"/>
  <c r="DA187" i="24" s="1"/>
  <c r="CS187" i="24"/>
  <c r="FD187" i="24" s="1"/>
  <c r="DT286" i="24"/>
  <c r="CN291" i="24"/>
  <c r="DA291" i="24" s="1"/>
  <c r="CS291" i="24"/>
  <c r="FD291" i="24" s="1"/>
  <c r="CN150" i="24"/>
  <c r="CS150" i="24"/>
  <c r="FD150" i="24" s="1"/>
  <c r="CN115" i="24"/>
  <c r="CS115" i="24"/>
  <c r="FD115" i="24" s="1"/>
  <c r="CS172" i="24"/>
  <c r="FD172" i="24" s="1"/>
  <c r="CN172" i="24"/>
  <c r="DA172" i="24" s="1"/>
  <c r="CZ17" i="24"/>
  <c r="CS300" i="24"/>
  <c r="FD300" i="24" s="1"/>
  <c r="CN300" i="24"/>
  <c r="DA300" i="24" s="1"/>
  <c r="CZ238" i="24"/>
  <c r="CS190" i="24"/>
  <c r="FD190" i="24" s="1"/>
  <c r="CN190" i="24"/>
  <c r="DA190" i="24" s="1"/>
  <c r="CZ287" i="24"/>
  <c r="DT309" i="24"/>
  <c r="CZ233" i="24"/>
  <c r="DT307" i="24"/>
  <c r="DT81" i="24"/>
  <c r="CN264" i="24"/>
  <c r="DA264" i="24" s="1"/>
  <c r="CS264" i="24"/>
  <c r="FD264" i="24" s="1"/>
  <c r="DT258" i="24"/>
  <c r="CZ167" i="24"/>
  <c r="CN119" i="24"/>
  <c r="DA119" i="24" s="1"/>
  <c r="CS119" i="24"/>
  <c r="FD119" i="24" s="1"/>
  <c r="CN66" i="24"/>
  <c r="CS66" i="24"/>
  <c r="FD66" i="24" s="1"/>
  <c r="CN75" i="24"/>
  <c r="DA75" i="24" s="1"/>
  <c r="CS75" i="24"/>
  <c r="FD75" i="24" s="1"/>
  <c r="CZ21" i="24"/>
  <c r="CS283" i="24"/>
  <c r="FD283" i="24" s="1"/>
  <c r="CN283" i="24"/>
  <c r="DA283" i="24" s="1"/>
  <c r="DT284" i="24"/>
  <c r="CS203" i="24"/>
  <c r="FD203" i="24" s="1"/>
  <c r="CN203" i="24"/>
  <c r="DA203" i="24" s="1"/>
  <c r="CZ263" i="24"/>
  <c r="CZ157" i="24"/>
  <c r="CN209" i="24"/>
  <c r="DA209" i="24" s="1"/>
  <c r="CS209" i="24"/>
  <c r="FD209" i="24" s="1"/>
  <c r="CS177" i="24"/>
  <c r="FD177" i="24" s="1"/>
  <c r="CN177" i="24"/>
  <c r="CZ217" i="24"/>
  <c r="DT64" i="24"/>
  <c r="CS14" i="24"/>
  <c r="FD14" i="24" s="1"/>
  <c r="CN14" i="24"/>
  <c r="CZ6" i="24"/>
  <c r="CN72" i="24"/>
  <c r="CS72" i="24"/>
  <c r="FD72" i="24" s="1"/>
  <c r="CS314" i="24"/>
  <c r="FD314" i="24" s="1"/>
  <c r="CN314" i="24"/>
  <c r="CZ253" i="24"/>
  <c r="CZ286" i="24"/>
  <c r="CZ192" i="24"/>
  <c r="DT291" i="24"/>
  <c r="CZ116" i="24"/>
  <c r="CS193" i="24"/>
  <c r="FD193" i="24" s="1"/>
  <c r="CN193" i="24"/>
  <c r="DA193" i="24" s="1"/>
  <c r="CZ156" i="24"/>
  <c r="DT300" i="24"/>
  <c r="CZ302" i="24"/>
  <c r="CZ190" i="24"/>
  <c r="CZ219" i="24"/>
  <c r="CN208" i="24"/>
  <c r="CS208" i="24"/>
  <c r="FD208" i="24" s="1"/>
  <c r="CN297" i="24"/>
  <c r="DA297" i="24" s="1"/>
  <c r="CS297" i="24"/>
  <c r="FD297" i="24" s="1"/>
  <c r="CZ309" i="24"/>
  <c r="CZ98" i="24"/>
  <c r="CN307" i="24"/>
  <c r="DA307" i="24" s="1"/>
  <c r="CS307" i="24"/>
  <c r="FD307" i="24" s="1"/>
  <c r="DT264" i="24"/>
  <c r="CN139" i="24"/>
  <c r="DA139" i="24" s="1"/>
  <c r="CS139" i="24"/>
  <c r="FD139" i="24" s="1"/>
  <c r="CS258" i="24"/>
  <c r="FD258" i="24" s="1"/>
  <c r="CN258" i="24"/>
  <c r="CZ9" i="24"/>
  <c r="CS86" i="24"/>
  <c r="FD86" i="24" s="1"/>
  <c r="CN86" i="24"/>
  <c r="DA86" i="24" s="1"/>
  <c r="CZ15" i="24"/>
  <c r="CZ284" i="24"/>
  <c r="CN294" i="24"/>
  <c r="DA294" i="24" s="1"/>
  <c r="CS294" i="24"/>
  <c r="FD294" i="24" s="1"/>
  <c r="CZ221" i="24"/>
  <c r="CS83" i="24"/>
  <c r="FD83" i="24" s="1"/>
  <c r="CN83" i="24"/>
  <c r="CS123" i="24"/>
  <c r="FD123" i="24" s="1"/>
  <c r="CN123" i="24"/>
  <c r="CS244" i="24"/>
  <c r="FD244" i="24" s="1"/>
  <c r="CN244" i="24"/>
  <c r="DA244" i="24" s="1"/>
  <c r="CZ146" i="24"/>
  <c r="CN40" i="24"/>
  <c r="CS40" i="24"/>
  <c r="FD40" i="24" s="1"/>
  <c r="CN113" i="24"/>
  <c r="DA113" i="24" s="1"/>
  <c r="CS113" i="24"/>
  <c r="FD113" i="24" s="1"/>
  <c r="CZ162" i="24"/>
  <c r="CS70" i="24"/>
  <c r="FD70" i="24" s="1"/>
  <c r="CN70" i="24"/>
  <c r="DT73" i="24"/>
  <c r="DT52" i="24"/>
  <c r="CS281" i="24"/>
  <c r="FD281" i="24" s="1"/>
  <c r="CN281" i="24"/>
  <c r="DA281" i="24" s="1"/>
  <c r="CZ282" i="24"/>
  <c r="CZ200" i="24"/>
  <c r="CZ224" i="24"/>
  <c r="DT250" i="24"/>
  <c r="CZ103" i="24"/>
  <c r="CZ57" i="24"/>
  <c r="CN262" i="24"/>
  <c r="DA262" i="24" s="1"/>
  <c r="CS262" i="24"/>
  <c r="FD262" i="24" s="1"/>
  <c r="DT302" i="24"/>
  <c r="CN287" i="24"/>
  <c r="DA287" i="24" s="1"/>
  <c r="CS287" i="24"/>
  <c r="FD287" i="24" s="1"/>
  <c r="CN219" i="24"/>
  <c r="CS219" i="24"/>
  <c r="FD219" i="24" s="1"/>
  <c r="CZ297" i="24"/>
  <c r="DT233" i="24"/>
  <c r="CZ306" i="24"/>
  <c r="CS98" i="24"/>
  <c r="FD98" i="24" s="1"/>
  <c r="CN98" i="24"/>
  <c r="CZ132" i="24"/>
  <c r="CZ139" i="24"/>
  <c r="CZ120" i="24"/>
  <c r="CZ36" i="24"/>
  <c r="DT75" i="24"/>
  <c r="CZ45" i="24"/>
  <c r="CN15" i="24"/>
  <c r="CS15" i="24"/>
  <c r="FD15" i="24" s="1"/>
  <c r="DT283" i="24"/>
  <c r="CZ236" i="24"/>
  <c r="CS284" i="24"/>
  <c r="FD284" i="24" s="1"/>
  <c r="CN284" i="24"/>
  <c r="CZ206" i="24"/>
  <c r="CS285" i="24"/>
  <c r="FD285" i="24" s="1"/>
  <c r="CN285" i="24"/>
  <c r="DA285" i="24" s="1"/>
  <c r="CS263" i="24"/>
  <c r="FD263" i="24" s="1"/>
  <c r="CN263" i="24"/>
  <c r="CZ298" i="24"/>
  <c r="CZ244" i="24"/>
  <c r="DT40" i="24"/>
  <c r="CN162" i="24"/>
  <c r="DA162" i="24" s="1"/>
  <c r="CS162" i="24"/>
  <c r="FD162" i="24" s="1"/>
  <c r="CZ73" i="24"/>
  <c r="DT30" i="24"/>
  <c r="CZ187" i="24"/>
  <c r="CN277" i="24"/>
  <c r="DA277" i="24" s="1"/>
  <c r="CS277" i="24"/>
  <c r="FD277" i="24" s="1"/>
  <c r="CS250" i="24"/>
  <c r="FD250" i="24" s="1"/>
  <c r="CN250" i="24"/>
  <c r="CN194" i="24"/>
  <c r="CS194" i="24"/>
  <c r="FD194" i="24" s="1"/>
  <c r="CZ164" i="24"/>
  <c r="CZ242" i="24"/>
  <c r="CZ133" i="24"/>
  <c r="CS103" i="24"/>
  <c r="FD103" i="24" s="1"/>
  <c r="CN103" i="24"/>
  <c r="DA103" i="24" s="1"/>
  <c r="DT60" i="24"/>
  <c r="CS58" i="24"/>
  <c r="FD58" i="24" s="1"/>
  <c r="CN58" i="24"/>
  <c r="DA58" i="24" s="1"/>
  <c r="CZ84" i="24"/>
  <c r="CZ185" i="24"/>
  <c r="CZ222" i="24"/>
  <c r="CZ235" i="24"/>
  <c r="DT228" i="24"/>
  <c r="CZ112" i="24"/>
  <c r="CS104" i="24"/>
  <c r="FD104" i="24" s="1"/>
  <c r="CN104" i="24"/>
  <c r="DA104" i="24" s="1"/>
  <c r="DT82" i="24"/>
  <c r="CS67" i="24"/>
  <c r="FD67" i="24" s="1"/>
  <c r="CN67" i="24"/>
  <c r="DA67" i="24" s="1"/>
  <c r="CN50" i="24"/>
  <c r="CS50" i="24"/>
  <c r="FD50" i="24" s="1"/>
  <c r="DT22" i="24"/>
  <c r="DT274" i="24"/>
  <c r="CN248" i="24"/>
  <c r="CS248" i="24"/>
  <c r="FD248" i="24" s="1"/>
  <c r="CZ183" i="24"/>
  <c r="CN186" i="24"/>
  <c r="DA186" i="24" s="1"/>
  <c r="CS186" i="24"/>
  <c r="FD186" i="24" s="1"/>
  <c r="CZ105" i="24"/>
  <c r="CN102" i="24"/>
  <c r="DA102" i="24" s="1"/>
  <c r="CS102" i="24"/>
  <c r="FD102" i="24" s="1"/>
  <c r="DT80" i="24"/>
  <c r="CS163" i="24"/>
  <c r="FD163" i="24" s="1"/>
  <c r="CN163" i="24"/>
  <c r="DT54" i="24"/>
  <c r="CZ8" i="24"/>
  <c r="CN25" i="24"/>
  <c r="DA25" i="24" s="1"/>
  <c r="CS25" i="24"/>
  <c r="FD25" i="24" s="1"/>
  <c r="CS269" i="24"/>
  <c r="FD269" i="24" s="1"/>
  <c r="CN269" i="24"/>
  <c r="DA269" i="24" s="1"/>
  <c r="CZ252" i="24"/>
  <c r="CS247" i="24"/>
  <c r="FD247" i="24" s="1"/>
  <c r="CN247" i="24"/>
  <c r="DA247" i="24" s="1"/>
  <c r="CN303" i="24"/>
  <c r="DA303" i="24" s="1"/>
  <c r="CS303" i="24"/>
  <c r="FD303" i="24" s="1"/>
  <c r="CZ288" i="24"/>
  <c r="CN160" i="24"/>
  <c r="DA160" i="24" s="1"/>
  <c r="CS160" i="24"/>
  <c r="FD160" i="24" s="1"/>
  <c r="CZ135" i="24"/>
  <c r="CZ144" i="24"/>
  <c r="CN78" i="24"/>
  <c r="DA78" i="24" s="1"/>
  <c r="CS78" i="24"/>
  <c r="FD78" i="24" s="1"/>
  <c r="CZ32" i="24"/>
  <c r="CS68" i="24"/>
  <c r="FD68" i="24" s="1"/>
  <c r="CN68" i="24"/>
  <c r="DA68" i="24" s="1"/>
  <c r="CZ94" i="24"/>
  <c r="CS268" i="24"/>
  <c r="FD268" i="24" s="1"/>
  <c r="CN268" i="24"/>
  <c r="DA268" i="24" s="1"/>
  <c r="CN257" i="24"/>
  <c r="DA257" i="24" s="1"/>
  <c r="CS257" i="24"/>
  <c r="FD257" i="24" s="1"/>
  <c r="DT272" i="24"/>
  <c r="CS125" i="24"/>
  <c r="FD125" i="24" s="1"/>
  <c r="CN125" i="24"/>
  <c r="DA125" i="24" s="1"/>
  <c r="CZ141" i="24"/>
  <c r="CZ158" i="24"/>
  <c r="CN142" i="24"/>
  <c r="DA142" i="24" s="1"/>
  <c r="CS142" i="24"/>
  <c r="FD142" i="24" s="1"/>
  <c r="CS74" i="24"/>
  <c r="FD74" i="24" s="1"/>
  <c r="CN74" i="24"/>
  <c r="DA74" i="24" s="1"/>
  <c r="DT218" i="24"/>
  <c r="DT44" i="24"/>
  <c r="CS59" i="24"/>
  <c r="FD59" i="24" s="1"/>
  <c r="CN59" i="24"/>
  <c r="DA59" i="24" s="1"/>
  <c r="DT26" i="24"/>
  <c r="CS313" i="24"/>
  <c r="FD313" i="24" s="1"/>
  <c r="CN313" i="24"/>
  <c r="DA313" i="24" s="1"/>
  <c r="CN290" i="24"/>
  <c r="DA290" i="24" s="1"/>
  <c r="CS290" i="24"/>
  <c r="FD290" i="24" s="1"/>
  <c r="CS225" i="24"/>
  <c r="FD225" i="24" s="1"/>
  <c r="CN225" i="24"/>
  <c r="DA225" i="24" s="1"/>
  <c r="CN237" i="24"/>
  <c r="DA237" i="24" s="1"/>
  <c r="CS237" i="24"/>
  <c r="FD237" i="24" s="1"/>
  <c r="CZ271" i="24"/>
  <c r="CZ114" i="24"/>
  <c r="CZ310" i="24"/>
  <c r="CZ188" i="24"/>
  <c r="DT69" i="24"/>
  <c r="CZ266" i="24"/>
  <c r="CS122" i="24"/>
  <c r="FD122" i="24" s="1"/>
  <c r="CN122" i="24"/>
  <c r="CS43" i="24"/>
  <c r="FD43" i="24" s="1"/>
  <c r="CN43" i="24"/>
  <c r="DA43" i="24" s="1"/>
  <c r="DT71" i="24"/>
  <c r="DT91" i="24"/>
  <c r="DT53" i="24"/>
  <c r="CS60" i="24"/>
  <c r="FD60" i="24" s="1"/>
  <c r="CN60" i="24"/>
  <c r="DA60" i="24" s="1"/>
  <c r="CS17" i="24"/>
  <c r="FD17" i="24" s="1"/>
  <c r="CN17" i="24"/>
  <c r="CZ311" i="24"/>
  <c r="CZ262" i="24"/>
  <c r="DT222" i="24"/>
  <c r="CZ279" i="24"/>
  <c r="DT235" i="24"/>
  <c r="DT243" i="24"/>
  <c r="CN37" i="24"/>
  <c r="DA37" i="24" s="1"/>
  <c r="CS37" i="24"/>
  <c r="FD37" i="24" s="1"/>
  <c r="CS152" i="24"/>
  <c r="FD152" i="24" s="1"/>
  <c r="CN152" i="24"/>
  <c r="DA152" i="24" s="1"/>
  <c r="DT7" i="24"/>
  <c r="CZ55" i="24"/>
  <c r="DT67" i="24"/>
  <c r="CZ254" i="24"/>
  <c r="DT308" i="24"/>
  <c r="CS305" i="24"/>
  <c r="FD305" i="24" s="1"/>
  <c r="CN305" i="24"/>
  <c r="CZ265" i="24"/>
  <c r="CS275" i="24"/>
  <c r="FD275" i="24" s="1"/>
  <c r="CN275" i="24"/>
  <c r="DA275" i="24" s="1"/>
  <c r="CN173" i="24"/>
  <c r="DA173" i="24" s="1"/>
  <c r="CS173" i="24"/>
  <c r="FD173" i="24" s="1"/>
  <c r="CZ149" i="24"/>
  <c r="CS93" i="24"/>
  <c r="FD93" i="24" s="1"/>
  <c r="CN93" i="24"/>
  <c r="DA93" i="24" s="1"/>
  <c r="CZ90" i="24"/>
  <c r="CZ54" i="24"/>
  <c r="CS16" i="24"/>
  <c r="FD16" i="24" s="1"/>
  <c r="CN16" i="24"/>
  <c r="DA16" i="24" s="1"/>
  <c r="DT304" i="24"/>
  <c r="CZ273" i="24"/>
  <c r="CZ197" i="24"/>
  <c r="CS220" i="24"/>
  <c r="FD220" i="24" s="1"/>
  <c r="CN220" i="24"/>
  <c r="DA220" i="24" s="1"/>
  <c r="CZ131" i="24"/>
  <c r="CZ101" i="24"/>
  <c r="CS32" i="24"/>
  <c r="FD32" i="24" s="1"/>
  <c r="CN32" i="24"/>
  <c r="DA32" i="24" s="1"/>
  <c r="DT68" i="24"/>
  <c r="DT94" i="24"/>
  <c r="CS28" i="24"/>
  <c r="FD28" i="24" s="1"/>
  <c r="CN28" i="24"/>
  <c r="CZ198" i="24"/>
  <c r="DT268" i="24"/>
  <c r="DT257" i="24"/>
  <c r="CN272" i="24"/>
  <c r="DA272" i="24" s="1"/>
  <c r="CS272" i="24"/>
  <c r="FD272" i="24" s="1"/>
  <c r="CN207" i="24"/>
  <c r="DA207" i="24" s="1"/>
  <c r="CS207" i="24"/>
  <c r="FD207" i="24" s="1"/>
  <c r="CN141" i="24"/>
  <c r="CS141" i="24"/>
  <c r="FD141" i="24" s="1"/>
  <c r="CZ128" i="24"/>
  <c r="CZ117" i="24"/>
  <c r="DT74" i="24"/>
  <c r="DT31" i="24"/>
  <c r="CZ145" i="24"/>
  <c r="CS218" i="24"/>
  <c r="FD218" i="24" s="1"/>
  <c r="CN218" i="24"/>
  <c r="DA218" i="24" s="1"/>
  <c r="CZ130" i="24"/>
  <c r="CN44" i="24"/>
  <c r="DA44" i="24" s="1"/>
  <c r="CS44" i="24"/>
  <c r="FD44" i="24" s="1"/>
  <c r="DT96" i="24"/>
  <c r="DT12" i="24"/>
  <c r="CN77" i="24"/>
  <c r="DA77" i="24" s="1"/>
  <c r="CS77" i="24"/>
  <c r="FD77" i="24" s="1"/>
  <c r="DT59" i="24"/>
  <c r="CZ313" i="24"/>
  <c r="CZ246" i="24"/>
  <c r="DT290" i="24"/>
  <c r="DT223" i="24"/>
  <c r="CZ260" i="24"/>
  <c r="CZ225" i="24"/>
  <c r="CN299" i="24"/>
  <c r="CS299" i="24"/>
  <c r="FD299" i="24" s="1"/>
  <c r="DT237" i="24"/>
  <c r="CN124" i="24"/>
  <c r="DA124" i="24" s="1"/>
  <c r="CS124" i="24"/>
  <c r="FD124" i="24" s="1"/>
  <c r="CZ99" i="24"/>
  <c r="CN69" i="24"/>
  <c r="DA69" i="24" s="1"/>
  <c r="CS69" i="24"/>
  <c r="FD69" i="24" s="1"/>
  <c r="CZ127" i="24"/>
  <c r="CN39" i="24"/>
  <c r="DA39" i="24" s="1"/>
  <c r="CS39" i="24"/>
  <c r="FD39" i="24" s="1"/>
  <c r="CS87" i="24"/>
  <c r="FD87" i="24" s="1"/>
  <c r="CN87" i="24"/>
  <c r="DA87" i="24" s="1"/>
  <c r="CZ291" i="24"/>
  <c r="CS111" i="24"/>
  <c r="FD111" i="24" s="1"/>
  <c r="CN111" i="24"/>
  <c r="DA111" i="24" s="1"/>
  <c r="CZ38" i="24"/>
  <c r="DT89" i="24"/>
  <c r="CZ60" i="24"/>
  <c r="CZ29" i="24"/>
  <c r="CZ58" i="24"/>
  <c r="CN10" i="24"/>
  <c r="DA10" i="24" s="1"/>
  <c r="CS10" i="24"/>
  <c r="FD10" i="24" s="1"/>
  <c r="CN280" i="24"/>
  <c r="DA280" i="24" s="1"/>
  <c r="CS280" i="24"/>
  <c r="FD280" i="24" s="1"/>
  <c r="CZ293" i="24"/>
  <c r="DT245" i="24"/>
  <c r="CS222" i="24"/>
  <c r="FD222" i="24" s="1"/>
  <c r="CN222" i="24"/>
  <c r="CS243" i="24"/>
  <c r="FD243" i="24" s="1"/>
  <c r="CN243" i="24"/>
  <c r="DA243" i="24" s="1"/>
  <c r="CZ143" i="24"/>
  <c r="CZ37" i="24"/>
  <c r="CZ170" i="24"/>
  <c r="CZ152" i="24"/>
  <c r="CZ27" i="24"/>
  <c r="DT254" i="24"/>
  <c r="CS292" i="24"/>
  <c r="FD292" i="24" s="1"/>
  <c r="CN292" i="24"/>
  <c r="DA292" i="24" s="1"/>
  <c r="CN265" i="24"/>
  <c r="CS265" i="24"/>
  <c r="FD265" i="24" s="1"/>
  <c r="CN312" i="24"/>
  <c r="DA312" i="24" s="1"/>
  <c r="CS312" i="24"/>
  <c r="FD312" i="24" s="1"/>
  <c r="CZ134" i="24"/>
  <c r="CS105" i="24"/>
  <c r="FD105" i="24" s="1"/>
  <c r="CN105" i="24"/>
  <c r="CZ169" i="24"/>
  <c r="DT102" i="24"/>
  <c r="DT93" i="24"/>
  <c r="CZ24" i="24"/>
  <c r="CZ46" i="24"/>
  <c r="DT269" i="24"/>
  <c r="CZ199" i="24"/>
  <c r="DT247" i="24"/>
  <c r="DT273" i="24"/>
  <c r="CS231" i="24"/>
  <c r="FD231" i="24" s="1"/>
  <c r="CN231" i="24"/>
  <c r="DA231" i="24" s="1"/>
  <c r="CN261" i="24"/>
  <c r="CS261" i="24"/>
  <c r="FD261" i="24" s="1"/>
  <c r="CZ220" i="24"/>
  <c r="CS184" i="24"/>
  <c r="FD184" i="24" s="1"/>
  <c r="CN184" i="24"/>
  <c r="CS100" i="24"/>
  <c r="FD100" i="24" s="1"/>
  <c r="CN100" i="24"/>
  <c r="DA100" i="24" s="1"/>
  <c r="CN165" i="24"/>
  <c r="DA165" i="24" s="1"/>
  <c r="CS165" i="24"/>
  <c r="FD165" i="24" s="1"/>
  <c r="CZ78" i="24"/>
  <c r="CN137" i="24"/>
  <c r="DA137" i="24" s="1"/>
  <c r="CS137" i="24"/>
  <c r="FD137" i="24" s="1"/>
  <c r="CN85" i="24"/>
  <c r="DA85" i="24" s="1"/>
  <c r="CS85" i="24"/>
  <c r="FD85" i="24" s="1"/>
  <c r="DT23" i="24"/>
  <c r="CN229" i="24"/>
  <c r="CS229" i="24"/>
  <c r="FD229" i="24" s="1"/>
  <c r="CZ195" i="24"/>
  <c r="CZ207" i="24"/>
  <c r="DT256" i="24"/>
  <c r="CN130" i="24"/>
  <c r="DA130" i="24" s="1"/>
  <c r="CS130" i="24"/>
  <c r="FD130" i="24" s="1"/>
  <c r="CZ79" i="24"/>
  <c r="CZ92" i="24"/>
  <c r="CN246" i="24"/>
  <c r="DA246" i="24" s="1"/>
  <c r="CS246" i="24"/>
  <c r="FD246" i="24" s="1"/>
  <c r="CS310" i="24"/>
  <c r="FD310" i="24" s="1"/>
  <c r="CN310" i="24"/>
  <c r="CS138" i="24"/>
  <c r="FD138" i="24" s="1"/>
  <c r="CN138" i="24"/>
  <c r="CN99" i="24"/>
  <c r="CS99" i="24"/>
  <c r="FD99" i="24" s="1"/>
  <c r="DT266" i="24"/>
  <c r="CZ39" i="24"/>
  <c r="DT293" i="24"/>
  <c r="CS185" i="24"/>
  <c r="FD185" i="24" s="1"/>
  <c r="CN185" i="24"/>
  <c r="DA185" i="24" s="1"/>
  <c r="CS279" i="24"/>
  <c r="FD279" i="24" s="1"/>
  <c r="CN279" i="24"/>
  <c r="CN112" i="24"/>
  <c r="CS112" i="24"/>
  <c r="FD112" i="24" s="1"/>
  <c r="CZ154" i="24"/>
  <c r="CS129" i="24"/>
  <c r="FD129" i="24" s="1"/>
  <c r="CN129" i="24"/>
  <c r="DA129" i="24" s="1"/>
  <c r="CZ166" i="24"/>
  <c r="CZ88" i="24"/>
  <c r="CZ97" i="24"/>
  <c r="CS56" i="24"/>
  <c r="FD56" i="24" s="1"/>
  <c r="CN56" i="24"/>
  <c r="DA56" i="24" s="1"/>
  <c r="CN55" i="24"/>
  <c r="CS55" i="24"/>
  <c r="FD55" i="24" s="1"/>
  <c r="CZ48" i="24"/>
  <c r="CZ22" i="24"/>
  <c r="CS254" i="24"/>
  <c r="FD254" i="24" s="1"/>
  <c r="CN254" i="24"/>
  <c r="CZ292" i="24"/>
  <c r="CZ241" i="24"/>
  <c r="DT275" i="24"/>
  <c r="CZ312" i="24"/>
  <c r="CS134" i="24"/>
  <c r="FD134" i="24" s="1"/>
  <c r="CN134" i="24"/>
  <c r="CN147" i="24"/>
  <c r="DA147" i="24" s="1"/>
  <c r="CS147" i="24"/>
  <c r="FD147" i="24" s="1"/>
  <c r="CS126" i="24"/>
  <c r="FD126" i="24" s="1"/>
  <c r="CN126" i="24"/>
  <c r="DA126" i="24" s="1"/>
  <c r="CN80" i="24"/>
  <c r="DA80" i="24" s="1"/>
  <c r="CS80" i="24"/>
  <c r="FD80" i="24" s="1"/>
  <c r="CS76" i="24"/>
  <c r="FD76" i="24" s="1"/>
  <c r="CN76" i="24"/>
  <c r="CZ93" i="24"/>
  <c r="CN8" i="24"/>
  <c r="DA8" i="24" s="1"/>
  <c r="CS8" i="24"/>
  <c r="FD8" i="24" s="1"/>
  <c r="CS24" i="24"/>
  <c r="FD24" i="24" s="1"/>
  <c r="CN24" i="24"/>
  <c r="DA24" i="24" s="1"/>
  <c r="DT46" i="24"/>
  <c r="DT252" i="24"/>
  <c r="CN273" i="24"/>
  <c r="DA273" i="24" s="1"/>
  <c r="CS273" i="24"/>
  <c r="FD273" i="24" s="1"/>
  <c r="DT231" i="24"/>
  <c r="CS270" i="24"/>
  <c r="FD270" i="24" s="1"/>
  <c r="CN270" i="24"/>
  <c r="DA270" i="24" s="1"/>
  <c r="CZ100" i="24"/>
  <c r="DT32" i="24"/>
  <c r="CZ63" i="24"/>
  <c r="DT85" i="24"/>
  <c r="DT51" i="24"/>
  <c r="DT13" i="24"/>
  <c r="CN23" i="24"/>
  <c r="DA23" i="24" s="1"/>
  <c r="CS23" i="24"/>
  <c r="FD23" i="24" s="1"/>
  <c r="DT61" i="24"/>
  <c r="CN316" i="24"/>
  <c r="DA316" i="24" s="1"/>
  <c r="CS316" i="24"/>
  <c r="FD316" i="24" s="1"/>
  <c r="DT295" i="24"/>
  <c r="DT229" i="24"/>
  <c r="CS180" i="24"/>
  <c r="FD180" i="24" s="1"/>
  <c r="CN180" i="24"/>
  <c r="DA180" i="24" s="1"/>
  <c r="CZ178" i="24"/>
  <c r="CS117" i="24"/>
  <c r="FD117" i="24" s="1"/>
  <c r="CN117" i="24"/>
  <c r="CZ142" i="24"/>
  <c r="CN31" i="24"/>
  <c r="DA31" i="24" s="1"/>
  <c r="CS31" i="24"/>
  <c r="FD31" i="24" s="1"/>
  <c r="CN79" i="24"/>
  <c r="CS79" i="24"/>
  <c r="FD79" i="24" s="1"/>
  <c r="CS92" i="24"/>
  <c r="FD92" i="24" s="1"/>
  <c r="CN92" i="24"/>
  <c r="DA92" i="24" s="1"/>
  <c r="DT313" i="24"/>
  <c r="DT246" i="24"/>
  <c r="CZ223" i="24"/>
  <c r="DT260" i="24"/>
  <c r="DT299" i="24"/>
  <c r="CZ239" i="24"/>
  <c r="DT271" i="24"/>
  <c r="DT310" i="24"/>
  <c r="CZ138" i="24"/>
  <c r="CZ140" i="24"/>
  <c r="CZ43" i="24"/>
  <c r="CN71" i="24"/>
  <c r="DA71" i="24" s="1"/>
  <c r="CS71" i="24"/>
  <c r="FD71" i="24" s="1"/>
  <c r="CZ42" i="24"/>
  <c r="DT87" i="24"/>
  <c r="CZ34" i="24"/>
  <c r="CS38" i="24"/>
  <c r="FD38" i="24" s="1"/>
  <c r="CN38" i="24"/>
  <c r="DA38" i="24" s="1"/>
  <c r="DT20" i="24"/>
  <c r="DT62" i="24"/>
  <c r="DT84" i="24"/>
  <c r="DT10" i="24"/>
  <c r="DT57" i="24"/>
  <c r="CZ280" i="24"/>
  <c r="CZ278" i="24"/>
  <c r="DT279" i="24"/>
  <c r="CN191" i="24"/>
  <c r="DA191" i="24" s="1"/>
  <c r="CS191" i="24"/>
  <c r="FD191" i="24" s="1"/>
  <c r="DT104" i="24"/>
  <c r="CS154" i="24"/>
  <c r="FD154" i="24" s="1"/>
  <c r="CN154" i="24"/>
  <c r="DA154" i="24" s="1"/>
  <c r="CZ182" i="24"/>
  <c r="CS166" i="24"/>
  <c r="FD166" i="24" s="1"/>
  <c r="CN166" i="24"/>
  <c r="DA166" i="24" s="1"/>
  <c r="CN97" i="24"/>
  <c r="CS97" i="24"/>
  <c r="FD97" i="24" s="1"/>
  <c r="CZ7" i="24"/>
  <c r="CZ56" i="24"/>
  <c r="CN19" i="24"/>
  <c r="DA19" i="24" s="1"/>
  <c r="CS19" i="24"/>
  <c r="FD19" i="24" s="1"/>
  <c r="DT55" i="24"/>
  <c r="DT48" i="24"/>
  <c r="CS22" i="24"/>
  <c r="FD22" i="24" s="1"/>
  <c r="CN22" i="24"/>
  <c r="DA22" i="24" s="1"/>
  <c r="DT265" i="24"/>
  <c r="DT312" i="24"/>
  <c r="CZ230" i="24"/>
  <c r="CZ155" i="24"/>
  <c r="CS33" i="24"/>
  <c r="FD33" i="24" s="1"/>
  <c r="CN33" i="24"/>
  <c r="DA33" i="24" s="1"/>
  <c r="DT16" i="24"/>
  <c r="CS46" i="24"/>
  <c r="FD46" i="24" s="1"/>
  <c r="CN46" i="24"/>
  <c r="CS252" i="24"/>
  <c r="FD252" i="24" s="1"/>
  <c r="CN252" i="24"/>
  <c r="DA252" i="24" s="1"/>
  <c r="CZ247" i="24"/>
  <c r="CZ231" i="24"/>
  <c r="CS197" i="24"/>
  <c r="FD197" i="24" s="1"/>
  <c r="CN197" i="24"/>
  <c r="DT220" i="24"/>
  <c r="CN101" i="24"/>
  <c r="CS101" i="24"/>
  <c r="FD101" i="24" s="1"/>
  <c r="CZ165" i="24"/>
  <c r="CN51" i="24"/>
  <c r="DA51" i="24" s="1"/>
  <c r="CS51" i="24"/>
  <c r="FD51" i="24" s="1"/>
  <c r="CZ23" i="24"/>
  <c r="CN61" i="24"/>
  <c r="DA61" i="24" s="1"/>
  <c r="CS61" i="24"/>
  <c r="FD61" i="24" s="1"/>
  <c r="DT28" i="24"/>
  <c r="DT316" i="24"/>
  <c r="CN295" i="24"/>
  <c r="DA295" i="24" s="1"/>
  <c r="CS295" i="24"/>
  <c r="FD295" i="24" s="1"/>
  <c r="CS195" i="24"/>
  <c r="FD195" i="24" s="1"/>
  <c r="CN195" i="24"/>
  <c r="DA195" i="24" s="1"/>
  <c r="CZ249" i="24"/>
  <c r="CZ180" i="24"/>
  <c r="CS178" i="24"/>
  <c r="FD178" i="24" s="1"/>
  <c r="CN178" i="24"/>
  <c r="DA178" i="24" s="1"/>
  <c r="CZ95" i="24"/>
  <c r="CZ256" i="24"/>
  <c r="CZ74" i="24"/>
  <c r="CZ31" i="24"/>
  <c r="CZ44" i="24"/>
  <c r="CZ96" i="24"/>
  <c r="CN12" i="24"/>
  <c r="DA12" i="24" s="1"/>
  <c r="CS12" i="24"/>
  <c r="FD12" i="24" s="1"/>
  <c r="DT92" i="24"/>
  <c r="CS196" i="24"/>
  <c r="FD196" i="24" s="1"/>
  <c r="CN196" i="24"/>
  <c r="DA196" i="24" s="1"/>
  <c r="CS223" i="24"/>
  <c r="FD223" i="24" s="1"/>
  <c r="CN223" i="24"/>
  <c r="DT225" i="24"/>
  <c r="DT239" i="24"/>
  <c r="CN271" i="24"/>
  <c r="CS271" i="24"/>
  <c r="FD271" i="24" s="1"/>
  <c r="CZ174" i="24"/>
  <c r="CS188" i="24"/>
  <c r="FD188" i="24" s="1"/>
  <c r="CN188" i="24"/>
  <c r="CZ151" i="24"/>
  <c r="CS140" i="24"/>
  <c r="FD140" i="24" s="1"/>
  <c r="CN140" i="24"/>
  <c r="DA140" i="24" s="1"/>
  <c r="CS266" i="24"/>
  <c r="FD266" i="24" s="1"/>
  <c r="CN266" i="24"/>
  <c r="CN127" i="24"/>
  <c r="DA127" i="24" s="1"/>
  <c r="CS127" i="24"/>
  <c r="FD127" i="24" s="1"/>
  <c r="CS42" i="24"/>
  <c r="FD42" i="24" s="1"/>
  <c r="CN42" i="24"/>
  <c r="DA42" i="24" s="1"/>
  <c r="CZ87" i="24"/>
  <c r="CN164" i="24"/>
  <c r="DA164" i="24" s="1"/>
  <c r="CS164" i="24"/>
  <c r="FD164" i="24" s="1"/>
  <c r="CZ193" i="24"/>
  <c r="CS156" i="24"/>
  <c r="FD156" i="24" s="1"/>
  <c r="CN156" i="24"/>
  <c r="CZ62" i="24"/>
  <c r="CS84" i="24"/>
  <c r="FD84" i="24" s="1"/>
  <c r="CN84" i="24"/>
  <c r="CS57" i="24"/>
  <c r="FD57" i="24" s="1"/>
  <c r="CN57" i="24"/>
  <c r="DA57" i="24" s="1"/>
  <c r="CS278" i="24"/>
  <c r="FD278" i="24" s="1"/>
  <c r="CN278" i="24"/>
  <c r="DA278" i="24" s="1"/>
  <c r="DT262" i="24"/>
  <c r="DT276" i="24"/>
  <c r="CS143" i="24"/>
  <c r="FD143" i="24" s="1"/>
  <c r="CN143" i="24"/>
  <c r="CS175" i="24"/>
  <c r="FD175" i="24" s="1"/>
  <c r="CN175" i="24"/>
  <c r="DA175" i="24" s="1"/>
  <c r="CN170" i="24"/>
  <c r="CS170" i="24"/>
  <c r="FD170" i="24" s="1"/>
  <c r="DT19" i="24"/>
  <c r="CS27" i="24"/>
  <c r="FD27" i="24" s="1"/>
  <c r="CN27" i="24"/>
  <c r="CZ274" i="24"/>
  <c r="CS202" i="24"/>
  <c r="FD202" i="24" s="1"/>
  <c r="CN202" i="24"/>
  <c r="CS308" i="24"/>
  <c r="FD308" i="24" s="1"/>
  <c r="CN308" i="24"/>
  <c r="DA308" i="24" s="1"/>
  <c r="DT292" i="24"/>
  <c r="DT241" i="24"/>
  <c r="DT230" i="24"/>
  <c r="CZ186" i="24"/>
  <c r="DT105" i="24"/>
  <c r="CZ173" i="24"/>
  <c r="CN155" i="24"/>
  <c r="DA155" i="24" s="1"/>
  <c r="CS155" i="24"/>
  <c r="FD155" i="24" s="1"/>
  <c r="DT33" i="24"/>
  <c r="CS54" i="24"/>
  <c r="FD54" i="24" s="1"/>
  <c r="CN54" i="24"/>
  <c r="CS65" i="24"/>
  <c r="FD65" i="24" s="1"/>
  <c r="CN65" i="24"/>
  <c r="CZ304" i="24"/>
  <c r="CZ303" i="24"/>
  <c r="DT270" i="24"/>
  <c r="CN288" i="24"/>
  <c r="DA288" i="24" s="1"/>
  <c r="CS288" i="24"/>
  <c r="FD288" i="24" s="1"/>
  <c r="CZ181" i="24"/>
  <c r="DT101" i="24"/>
  <c r="CS144" i="24"/>
  <c r="FD144" i="24" s="1"/>
  <c r="CN144" i="24"/>
  <c r="CZ159" i="24"/>
  <c r="CZ68" i="24"/>
  <c r="CZ137" i="24"/>
  <c r="DT63" i="24"/>
  <c r="CZ51" i="24"/>
  <c r="CZ13" i="24"/>
  <c r="CS35" i="24"/>
  <c r="FD35" i="24" s="1"/>
  <c r="CN35" i="24"/>
  <c r="DA35" i="24" s="1"/>
  <c r="CZ61" i="24"/>
  <c r="CZ316" i="24"/>
  <c r="CS251" i="24"/>
  <c r="FD251" i="24" s="1"/>
  <c r="CN251" i="24"/>
  <c r="DA251" i="24" s="1"/>
  <c r="CZ295" i="24"/>
  <c r="CN227" i="24"/>
  <c r="CS227" i="24"/>
  <c r="FD227" i="24" s="1"/>
  <c r="CZ301" i="24"/>
  <c r="CS95" i="24"/>
  <c r="FD95" i="24" s="1"/>
  <c r="CN95" i="24"/>
  <c r="CZ49" i="24"/>
  <c r="CN239" i="24"/>
  <c r="CS239" i="24"/>
  <c r="FD239" i="24" s="1"/>
  <c r="CZ315" i="24"/>
  <c r="CS201" i="24"/>
  <c r="FD201" i="24" s="1"/>
  <c r="CN201" i="24"/>
  <c r="CZ176" i="24"/>
  <c r="CN114" i="24"/>
  <c r="CS114" i="24"/>
  <c r="FD114" i="24" s="1"/>
  <c r="CS174" i="24"/>
  <c r="FD174" i="24" s="1"/>
  <c r="CN174" i="24"/>
  <c r="CZ124" i="24"/>
  <c r="CZ69" i="24"/>
  <c r="DT39" i="24"/>
  <c r="CN91" i="24"/>
  <c r="CS91" i="24"/>
  <c r="FD91" i="24" s="1"/>
  <c r="DT42" i="24"/>
  <c r="CZ53" i="24"/>
  <c r="DT34" i="24"/>
  <c r="CZ204" i="24"/>
  <c r="CS293" i="24"/>
  <c r="FD293" i="24" s="1"/>
  <c r="CN293" i="24"/>
  <c r="DA293" i="24" s="1"/>
  <c r="CS276" i="24"/>
  <c r="FD276" i="24" s="1"/>
  <c r="CN276" i="24"/>
  <c r="CZ191" i="24"/>
  <c r="CZ228" i="24"/>
  <c r="CS182" i="24"/>
  <c r="FD182" i="24" s="1"/>
  <c r="CN182" i="24"/>
  <c r="CZ129" i="24"/>
  <c r="CN82" i="24"/>
  <c r="DA82" i="24" s="1"/>
  <c r="CS82" i="24"/>
  <c r="FD82" i="24" s="1"/>
  <c r="CN88" i="24"/>
  <c r="CS88" i="24"/>
  <c r="FD88" i="24" s="1"/>
  <c r="DT97" i="24"/>
  <c r="DT56" i="24"/>
  <c r="CZ308" i="24"/>
  <c r="CS241" i="24"/>
  <c r="FD241" i="24" s="1"/>
  <c r="CN241" i="24"/>
  <c r="CZ210" i="24"/>
  <c r="CN230" i="24"/>
  <c r="DA230" i="24" s="1"/>
  <c r="CS230" i="24"/>
  <c r="FD230" i="24" s="1"/>
  <c r="CN183" i="24"/>
  <c r="DA183" i="24" s="1"/>
  <c r="CS183" i="24"/>
  <c r="FD183" i="24" s="1"/>
  <c r="CZ147" i="24"/>
  <c r="CZ33" i="24"/>
  <c r="DT76" i="24"/>
  <c r="CN90" i="24"/>
  <c r="CS90" i="24"/>
  <c r="FD90" i="24" s="1"/>
  <c r="DT8" i="24"/>
  <c r="CZ25" i="24"/>
  <c r="DT24" i="24"/>
  <c r="DT65" i="24"/>
  <c r="CZ269" i="24"/>
  <c r="CN199" i="24"/>
  <c r="DA199" i="24" s="1"/>
  <c r="CS199" i="24"/>
  <c r="FD199" i="24" s="1"/>
  <c r="DT303" i="24"/>
  <c r="CN181" i="24"/>
  <c r="CS181" i="24"/>
  <c r="FD181" i="24" s="1"/>
  <c r="CN131" i="24"/>
  <c r="DA131" i="24" s="1"/>
  <c r="CS131" i="24"/>
  <c r="FD131" i="24" s="1"/>
  <c r="DT100" i="24"/>
  <c r="CN121" i="24"/>
  <c r="DA121" i="24" s="1"/>
  <c r="CS121" i="24"/>
  <c r="FD121" i="24" s="1"/>
  <c r="DT78" i="24"/>
  <c r="CS159" i="24"/>
  <c r="FD159" i="24" s="1"/>
  <c r="CN159" i="24"/>
  <c r="CS63" i="24"/>
  <c r="FD63" i="24" s="1"/>
  <c r="CN63" i="24"/>
  <c r="CZ35" i="24"/>
  <c r="DT251" i="24"/>
  <c r="CS301" i="24"/>
  <c r="FD301" i="24" s="1"/>
  <c r="CN301" i="24"/>
  <c r="DA301" i="24" s="1"/>
  <c r="CN249" i="24"/>
  <c r="CS249" i="24"/>
  <c r="FD249" i="24" s="1"/>
  <c r="CN256" i="24"/>
  <c r="CS256" i="24"/>
  <c r="FD256" i="24" s="1"/>
  <c r="CS49" i="24"/>
  <c r="FD49" i="24" s="1"/>
  <c r="CN49" i="24"/>
  <c r="DA49" i="24" s="1"/>
  <c r="CZ12" i="24"/>
  <c r="CZ77" i="24"/>
  <c r="CZ26" i="24"/>
  <c r="CZ196" i="24"/>
  <c r="CN260" i="24"/>
  <c r="DA260" i="24" s="1"/>
  <c r="CS260" i="24"/>
  <c r="FD260" i="24" s="1"/>
  <c r="CN315" i="24"/>
  <c r="CS315" i="24"/>
  <c r="FD315" i="24" s="1"/>
  <c r="CZ237" i="24"/>
  <c r="CS151" i="24"/>
  <c r="FD151" i="24" s="1"/>
  <c r="CN151" i="24"/>
  <c r="DA151" i="24" s="1"/>
  <c r="CN168" i="24"/>
  <c r="CS168" i="24"/>
  <c r="FD168" i="24" s="1"/>
  <c r="CN53" i="24"/>
  <c r="DA53" i="24" s="1"/>
  <c r="CS53" i="24"/>
  <c r="FD53" i="24" s="1"/>
  <c r="CS34" i="24"/>
  <c r="FD34" i="24" s="1"/>
  <c r="CN34" i="24"/>
  <c r="DA34" i="24" s="1"/>
  <c r="CN62" i="24"/>
  <c r="DA62" i="24" s="1"/>
  <c r="CS62" i="24"/>
  <c r="FD62" i="24" s="1"/>
  <c r="CZ10" i="24"/>
  <c r="DT17" i="24"/>
  <c r="DT278" i="24"/>
  <c r="CS204" i="24"/>
  <c r="FD204" i="24" s="1"/>
  <c r="CN204" i="24"/>
  <c r="DA204" i="24" s="1"/>
  <c r="CN245" i="24"/>
  <c r="CS245" i="24"/>
  <c r="FD245" i="24" s="1"/>
  <c r="CN235" i="24"/>
  <c r="CS235" i="24"/>
  <c r="FD235" i="24" s="1"/>
  <c r="CZ243" i="24"/>
  <c r="CS228" i="24"/>
  <c r="FD228" i="24" s="1"/>
  <c r="CN228" i="24"/>
  <c r="CZ175" i="24"/>
  <c r="CZ104" i="24"/>
  <c r="CZ82" i="24"/>
  <c r="DT88" i="24"/>
  <c r="CS7" i="24"/>
  <c r="FD7" i="24" s="1"/>
  <c r="CN7" i="24"/>
  <c r="DA7" i="24" s="1"/>
  <c r="CZ19" i="24"/>
  <c r="DT27" i="24"/>
  <c r="CZ67" i="24"/>
  <c r="CS48" i="24"/>
  <c r="FD48" i="24" s="1"/>
  <c r="CN48" i="24"/>
  <c r="DA48" i="24" s="1"/>
  <c r="CS274" i="24"/>
  <c r="FD274" i="24" s="1"/>
  <c r="CN274" i="24"/>
  <c r="DT248" i="24"/>
  <c r="DT305" i="24"/>
  <c r="CN210" i="24"/>
  <c r="CS210" i="24"/>
  <c r="FD210" i="24" s="1"/>
  <c r="CZ275" i="24"/>
  <c r="CN169" i="24"/>
  <c r="DA169" i="24" s="1"/>
  <c r="CS169" i="24"/>
  <c r="FD169" i="24" s="1"/>
  <c r="CZ102" i="24"/>
  <c r="CZ126" i="24"/>
  <c r="CZ80" i="24"/>
  <c r="CS149" i="24"/>
  <c r="FD149" i="24" s="1"/>
  <c r="CN149" i="24"/>
  <c r="DA149" i="24" s="1"/>
  <c r="DT90" i="24"/>
  <c r="DT25" i="24"/>
  <c r="CZ16" i="24"/>
  <c r="CS304" i="24"/>
  <c r="FD304" i="24" s="1"/>
  <c r="CN304" i="24"/>
  <c r="DT261" i="24"/>
  <c r="CZ270" i="24"/>
  <c r="DT288" i="24"/>
  <c r="CZ160" i="24"/>
  <c r="CS135" i="24"/>
  <c r="FD135" i="24" s="1"/>
  <c r="CN135" i="24"/>
  <c r="DA135" i="24" s="1"/>
  <c r="CZ121" i="24"/>
  <c r="CZ85" i="24"/>
  <c r="CN13" i="24"/>
  <c r="DA13" i="24" s="1"/>
  <c r="CS13" i="24"/>
  <c r="FD13" i="24" s="1"/>
  <c r="CS94" i="24"/>
  <c r="FD94" i="24" s="1"/>
  <c r="CN94" i="24"/>
  <c r="CZ251" i="24"/>
  <c r="CS198" i="24"/>
  <c r="FD198" i="24" s="1"/>
  <c r="CN198" i="24"/>
  <c r="DA198" i="24" s="1"/>
  <c r="DT227" i="24"/>
  <c r="CZ268" i="24"/>
  <c r="DT301" i="24"/>
  <c r="CZ257" i="24"/>
  <c r="DT249" i="24"/>
  <c r="CZ272" i="24"/>
  <c r="CZ125" i="24"/>
  <c r="DT95" i="24"/>
  <c r="CN128" i="24"/>
  <c r="DA128" i="24" s="1"/>
  <c r="CS128" i="24"/>
  <c r="FD128" i="24" s="1"/>
  <c r="CN158" i="24"/>
  <c r="CS158" i="24"/>
  <c r="FD158" i="24" s="1"/>
  <c r="CS145" i="24"/>
  <c r="FD145" i="24" s="1"/>
  <c r="CN145" i="24"/>
  <c r="CZ218" i="24"/>
  <c r="DT79" i="24"/>
  <c r="DT49" i="24"/>
  <c r="CN96" i="24"/>
  <c r="CS96" i="24"/>
  <c r="FD96" i="24" s="1"/>
  <c r="DT77" i="24"/>
  <c r="CZ59" i="24"/>
  <c r="CN26" i="24"/>
  <c r="DA26" i="24" s="1"/>
  <c r="CS26" i="24"/>
  <c r="FD26" i="24" s="1"/>
  <c r="CZ290" i="24"/>
  <c r="DT315" i="24"/>
  <c r="CN176" i="24"/>
  <c r="DA176" i="24" s="1"/>
  <c r="CS176" i="24"/>
  <c r="FD176" i="24" s="1"/>
  <c r="DT99" i="24"/>
  <c r="CZ71" i="24"/>
  <c r="CS11" i="24"/>
  <c r="FD11" i="24" s="1"/>
  <c r="CN11" i="24"/>
  <c r="Q5" i="29"/>
  <c r="BC7" i="19"/>
  <c r="K77" i="23"/>
  <c r="M77" i="23" s="1"/>
  <c r="B233" i="2"/>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K67" i="23"/>
  <c r="M67" i="23" s="1"/>
  <c r="L103" i="23"/>
  <c r="M103" i="23" s="1"/>
  <c r="L88" i="23"/>
  <c r="M88" i="23" s="1"/>
  <c r="K20" i="23"/>
  <c r="M20" i="23" s="1"/>
  <c r="K63" i="23"/>
  <c r="M63" i="23" s="1"/>
  <c r="L49" i="23"/>
  <c r="M49" i="23" s="1"/>
  <c r="K84" i="23"/>
  <c r="M84" i="23" s="1"/>
  <c r="L60" i="23"/>
  <c r="M60" i="23" s="1"/>
  <c r="L100" i="23"/>
  <c r="M100" i="23" s="1"/>
  <c r="L24" i="23"/>
  <c r="M24" i="23" s="1"/>
  <c r="K42" i="23"/>
  <c r="M42" i="23" s="1"/>
  <c r="K66" i="23"/>
  <c r="M66" i="23" s="1"/>
  <c r="K74" i="23"/>
  <c r="M74" i="23" s="1"/>
  <c r="K58" i="23"/>
  <c r="M58" i="23" s="1"/>
  <c r="K93" i="23"/>
  <c r="M93" i="23" s="1"/>
  <c r="L57" i="23"/>
  <c r="M57" i="23" s="1"/>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228" i="2"/>
  <c r="A269" i="2"/>
  <c r="D48" i="16"/>
  <c r="B229" i="2"/>
  <c r="D49" i="16"/>
  <c r="DC85" i="24" l="1"/>
  <c r="DC58" i="24"/>
  <c r="DC29" i="24"/>
  <c r="E76" i="1"/>
  <c r="E77" i="1" s="1"/>
  <c r="F76" i="1"/>
  <c r="DC25" i="24"/>
  <c r="DC87" i="24"/>
  <c r="DC74" i="24"/>
  <c r="DC19" i="24"/>
  <c r="DC45" i="24"/>
  <c r="DC82" i="24"/>
  <c r="DC73" i="24"/>
  <c r="DC77" i="24"/>
  <c r="DC67" i="24"/>
  <c r="DB210" i="25"/>
  <c r="DC43" i="24"/>
  <c r="DC23" i="24"/>
  <c r="DC35" i="24"/>
  <c r="DC80" i="24"/>
  <c r="DC93" i="24"/>
  <c r="DC16" i="24"/>
  <c r="DC9" i="24"/>
  <c r="DC104" i="24"/>
  <c r="DC12" i="24"/>
  <c r="DC33" i="24"/>
  <c r="DC102" i="24"/>
  <c r="DC10" i="24"/>
  <c r="DC31" i="24"/>
  <c r="DC61" i="24"/>
  <c r="DC32" i="24"/>
  <c r="DC59" i="24"/>
  <c r="DC60" i="24"/>
  <c r="DC30" i="24"/>
  <c r="DC20" i="24"/>
  <c r="DC51" i="24"/>
  <c r="DC44" i="24"/>
  <c r="DC6" i="24"/>
  <c r="DC21" i="24"/>
  <c r="DC68" i="24"/>
  <c r="DC24" i="24"/>
  <c r="DC36" i="24"/>
  <c r="DC75" i="24"/>
  <c r="DC22" i="24"/>
  <c r="DC86" i="24"/>
  <c r="DC53" i="24"/>
  <c r="DC62" i="24"/>
  <c r="DC48" i="24"/>
  <c r="DC13" i="24"/>
  <c r="DC26" i="24"/>
  <c r="DC49" i="24"/>
  <c r="DC34" i="24"/>
  <c r="DC100" i="24"/>
  <c r="DC39" i="24"/>
  <c r="DC78" i="24"/>
  <c r="DC57" i="24"/>
  <c r="CZ110" i="25"/>
  <c r="DB110" i="25" s="1"/>
  <c r="DC56" i="24"/>
  <c r="DC42" i="24"/>
  <c r="DC92" i="24"/>
  <c r="DC37" i="24"/>
  <c r="DC38" i="24"/>
  <c r="DC8" i="24"/>
  <c r="DC103" i="24"/>
  <c r="DC47" i="24"/>
  <c r="DA110" i="25"/>
  <c r="DD110" i="25" s="1"/>
  <c r="DE110" i="25" s="1"/>
  <c r="DF110" i="25" s="1"/>
  <c r="DM110" i="25" s="1"/>
  <c r="DW110" i="25" s="1"/>
  <c r="DC71" i="24"/>
  <c r="DC69" i="24"/>
  <c r="DC7" i="24"/>
  <c r="DM101" i="25"/>
  <c r="DW101" i="25" s="1"/>
  <c r="K345" i="29"/>
  <c r="K107" i="29"/>
  <c r="K578" i="29"/>
  <c r="L563" i="29"/>
  <c r="L532" i="29"/>
  <c r="K493" i="29"/>
  <c r="K433" i="29"/>
  <c r="K405" i="29"/>
  <c r="L438" i="29"/>
  <c r="L23" i="29"/>
  <c r="L603" i="29"/>
  <c r="L566" i="29"/>
  <c r="K503" i="29"/>
  <c r="L482" i="29"/>
  <c r="K492" i="29"/>
  <c r="K411" i="29"/>
  <c r="L429" i="29"/>
  <c r="L344" i="29"/>
  <c r="L601" i="29"/>
  <c r="K575" i="29"/>
  <c r="K565" i="29"/>
  <c r="L536" i="29"/>
  <c r="L485" i="29"/>
  <c r="L31" i="29"/>
  <c r="L607" i="29"/>
  <c r="L571" i="29"/>
  <c r="K543" i="29"/>
  <c r="K526" i="29"/>
  <c r="K474" i="29"/>
  <c r="L443" i="29"/>
  <c r="K396" i="29"/>
  <c r="K386" i="29"/>
  <c r="K79" i="29"/>
  <c r="K582" i="29"/>
  <c r="K555" i="29"/>
  <c r="K522" i="29"/>
  <c r="L476" i="29"/>
  <c r="K449" i="29"/>
  <c r="L424" i="29"/>
  <c r="K383" i="29"/>
  <c r="K336" i="29"/>
  <c r="L600" i="29"/>
  <c r="K574" i="29"/>
  <c r="L539" i="29"/>
  <c r="L500" i="29"/>
  <c r="K467" i="29"/>
  <c r="K428" i="29"/>
  <c r="L442" i="29"/>
  <c r="L410" i="29"/>
  <c r="K126" i="29"/>
  <c r="K604" i="29"/>
  <c r="K547" i="29"/>
  <c r="K514" i="29"/>
  <c r="L468" i="29"/>
  <c r="K441" i="29"/>
  <c r="K414" i="29"/>
  <c r="K375" i="29"/>
  <c r="K328" i="29"/>
  <c r="K442" i="29"/>
  <c r="L314" i="29"/>
  <c r="K317" i="29"/>
  <c r="L249" i="29"/>
  <c r="K271" i="29"/>
  <c r="K217" i="29"/>
  <c r="K183" i="29"/>
  <c r="L188" i="29"/>
  <c r="K154" i="29"/>
  <c r="K26" i="29"/>
  <c r="K451" i="29"/>
  <c r="K319" i="29"/>
  <c r="L332" i="29"/>
  <c r="K234" i="29"/>
  <c r="L278" i="29"/>
  <c r="L217" i="29"/>
  <c r="L183" i="29"/>
  <c r="L194" i="29"/>
  <c r="L97" i="29"/>
  <c r="L99" i="29"/>
  <c r="K516" i="29"/>
  <c r="L343" i="29"/>
  <c r="K296" i="29"/>
  <c r="L277" i="29"/>
  <c r="K243" i="29"/>
  <c r="L609" i="29"/>
  <c r="K596" i="29"/>
  <c r="K525" i="29"/>
  <c r="K513" i="29"/>
  <c r="K500" i="29"/>
  <c r="L456" i="29"/>
  <c r="K373" i="29"/>
  <c r="L398" i="29"/>
  <c r="L52" i="29"/>
  <c r="L593" i="29"/>
  <c r="L547" i="29"/>
  <c r="L510" i="29"/>
  <c r="K497" i="29"/>
  <c r="K461" i="29"/>
  <c r="L433" i="29"/>
  <c r="K395" i="29"/>
  <c r="K348" i="29"/>
  <c r="L612" i="29"/>
  <c r="L574" i="29"/>
  <c r="K524" i="29"/>
  <c r="L515" i="29"/>
  <c r="K485" i="29"/>
  <c r="K54" i="29"/>
  <c r="K599" i="29"/>
  <c r="L567" i="29"/>
  <c r="K530" i="29"/>
  <c r="K506" i="29"/>
  <c r="K478" i="29"/>
  <c r="L411" i="29"/>
  <c r="L412" i="29"/>
  <c r="L397" i="29"/>
  <c r="K602" i="29"/>
  <c r="L568" i="29"/>
  <c r="K541" i="29"/>
  <c r="L509" i="29"/>
  <c r="K472" i="29"/>
  <c r="K417" i="29"/>
  <c r="K389" i="29"/>
  <c r="K416" i="29"/>
  <c r="L39" i="29"/>
  <c r="L599" i="29"/>
  <c r="K568" i="29"/>
  <c r="K535" i="29"/>
  <c r="K508" i="29"/>
  <c r="K466" i="29"/>
  <c r="L435" i="29"/>
  <c r="K388" i="29"/>
  <c r="K378" i="29"/>
  <c r="K594" i="29"/>
  <c r="L560" i="29"/>
  <c r="K533" i="29"/>
  <c r="K521" i="29"/>
  <c r="K464" i="29"/>
  <c r="K409" i="29"/>
  <c r="K381" i="29"/>
  <c r="K404" i="29"/>
  <c r="L581" i="29"/>
  <c r="L422" i="29"/>
  <c r="L341" i="29"/>
  <c r="K314" i="29"/>
  <c r="K275" i="29"/>
  <c r="K239" i="29"/>
  <c r="K185" i="29"/>
  <c r="K162" i="29"/>
  <c r="L142" i="29"/>
  <c r="L116" i="29"/>
  <c r="L24" i="29"/>
  <c r="K377" i="29"/>
  <c r="L342" i="29"/>
  <c r="K303" i="29"/>
  <c r="L275" i="29"/>
  <c r="L243" i="29"/>
  <c r="L185" i="29"/>
  <c r="K211" i="29"/>
  <c r="K147" i="29"/>
  <c r="L65" i="29"/>
  <c r="L67" i="29"/>
  <c r="L448" i="29"/>
  <c r="K85" i="29"/>
  <c r="K189" i="29"/>
  <c r="K142" i="29"/>
  <c r="K597" i="29"/>
  <c r="K585" i="29"/>
  <c r="K532" i="29"/>
  <c r="L504" i="29"/>
  <c r="K502" i="29"/>
  <c r="K448" i="29"/>
  <c r="L392" i="29"/>
  <c r="K454" i="29"/>
  <c r="K44" i="29"/>
  <c r="K577" i="29"/>
  <c r="K561" i="29"/>
  <c r="L521" i="29"/>
  <c r="L489" i="29"/>
  <c r="K429" i="29"/>
  <c r="K401" i="29"/>
  <c r="L430" i="29"/>
  <c r="L43" i="29"/>
  <c r="K627" i="29"/>
  <c r="K572" i="29"/>
  <c r="L545" i="29"/>
  <c r="L480" i="29"/>
  <c r="L478" i="29"/>
  <c r="K101" i="29"/>
  <c r="L591" i="29"/>
  <c r="L558" i="29"/>
  <c r="L534" i="29"/>
  <c r="K512" i="29"/>
  <c r="K480" i="29"/>
  <c r="K435" i="29"/>
  <c r="L379" i="29"/>
  <c r="L368" i="29"/>
  <c r="K613" i="29"/>
  <c r="K567" i="29"/>
  <c r="L549" i="29"/>
  <c r="L520" i="29"/>
  <c r="L471" i="29"/>
  <c r="L474" i="29"/>
  <c r="K418" i="29"/>
  <c r="L382" i="29"/>
  <c r="K86" i="29"/>
  <c r="K588" i="29"/>
  <c r="K553" i="29"/>
  <c r="L541" i="29"/>
  <c r="K499" i="29"/>
  <c r="L473" i="29"/>
  <c r="K459" i="29"/>
  <c r="L403" i="29"/>
  <c r="L389" i="29"/>
  <c r="K605" i="29"/>
  <c r="K559" i="29"/>
  <c r="K540" i="29"/>
  <c r="L512" i="29"/>
  <c r="L463" i="29"/>
  <c r="K456" i="29"/>
  <c r="L400" i="29"/>
  <c r="L374" i="29"/>
  <c r="L589" i="29"/>
  <c r="L401" i="29"/>
  <c r="K329" i="29"/>
  <c r="K286" i="29"/>
  <c r="K241" i="29"/>
  <c r="L242" i="29"/>
  <c r="L220" i="29"/>
  <c r="K157" i="29"/>
  <c r="L110" i="29"/>
  <c r="L84" i="29"/>
  <c r="L613" i="29"/>
  <c r="L395" i="29"/>
  <c r="L369" i="29"/>
  <c r="K311" i="29"/>
  <c r="L245" i="29"/>
  <c r="K267" i="29"/>
  <c r="K213" i="29"/>
  <c r="K179" i="29"/>
  <c r="L170" i="29"/>
  <c r="K146" i="29"/>
  <c r="K38" i="29"/>
  <c r="K439" i="29"/>
  <c r="K315" i="29"/>
  <c r="L331" i="29"/>
  <c r="K230" i="29"/>
  <c r="K45" i="29"/>
  <c r="K81" i="29"/>
  <c r="K446" i="29"/>
  <c r="L35" i="29"/>
  <c r="I633" i="29"/>
  <c r="K562" i="29"/>
  <c r="L527" i="29"/>
  <c r="L488" i="29"/>
  <c r="L505" i="29"/>
  <c r="L455" i="29"/>
  <c r="L417" i="29"/>
  <c r="K398" i="29"/>
  <c r="L605" i="29"/>
  <c r="L585" i="29"/>
  <c r="L578" i="29"/>
  <c r="K509" i="29"/>
  <c r="K489" i="29"/>
  <c r="L452" i="29"/>
  <c r="K450" i="29"/>
  <c r="L394" i="29"/>
  <c r="K70" i="29"/>
  <c r="K607" i="29"/>
  <c r="L573" i="29"/>
  <c r="K534" i="29"/>
  <c r="L487" i="29"/>
  <c r="L479" i="29"/>
  <c r="K20" i="29"/>
  <c r="L595" i="29"/>
  <c r="K556" i="29"/>
  <c r="L544" i="29"/>
  <c r="L502" i="29"/>
  <c r="L457" i="29"/>
  <c r="L470" i="29"/>
  <c r="L421" i="29"/>
  <c r="L372" i="29"/>
  <c r="L604" i="29"/>
  <c r="K583" i="29"/>
  <c r="L543" i="29"/>
  <c r="L503" i="29"/>
  <c r="K471" i="29"/>
  <c r="K432" i="29"/>
  <c r="L376" i="29"/>
  <c r="K420" i="29"/>
  <c r="K103" i="29"/>
  <c r="K591" i="29"/>
  <c r="L548" i="29"/>
  <c r="K519" i="29"/>
  <c r="L498" i="29"/>
  <c r="K477" i="29"/>
  <c r="K427" i="29"/>
  <c r="L371" i="29"/>
  <c r="L360" i="29"/>
  <c r="L596" i="29"/>
  <c r="K570" i="29"/>
  <c r="L535" i="29"/>
  <c r="L496" i="29"/>
  <c r="K463" i="29"/>
  <c r="K424" i="29"/>
  <c r="K434" i="29"/>
  <c r="K406" i="29"/>
  <c r="K510" i="29"/>
  <c r="K324" i="29"/>
  <c r="L284" i="29"/>
  <c r="K318" i="29"/>
  <c r="L252" i="29"/>
  <c r="L214" i="29"/>
  <c r="K220" i="29"/>
  <c r="K125" i="29"/>
  <c r="L78" i="29"/>
  <c r="K116" i="29"/>
  <c r="L556" i="29"/>
  <c r="L402" i="29"/>
  <c r="L337" i="29"/>
  <c r="L312" i="29"/>
  <c r="K269" i="29"/>
  <c r="L270" i="29"/>
  <c r="K181" i="29"/>
  <c r="K158" i="29"/>
  <c r="L138" i="29"/>
  <c r="L112" i="29"/>
  <c r="K36" i="29"/>
  <c r="L434" i="29"/>
  <c r="L338" i="29"/>
  <c r="K362" i="29"/>
  <c r="L274" i="29"/>
  <c r="E55" i="1"/>
  <c r="L21" i="29"/>
  <c r="K60" i="29"/>
  <c r="K59" i="29"/>
  <c r="L584" i="29"/>
  <c r="K550" i="29"/>
  <c r="K542" i="29"/>
  <c r="L495" i="29"/>
  <c r="K484" i="29"/>
  <c r="L423" i="29"/>
  <c r="K376" i="29"/>
  <c r="K410" i="29"/>
  <c r="K593" i="29"/>
  <c r="L583" i="29"/>
  <c r="K528" i="29"/>
  <c r="K520" i="29"/>
  <c r="K496" i="29"/>
  <c r="K444" i="29"/>
  <c r="L388" i="29"/>
  <c r="K438" i="29"/>
  <c r="K32" i="29"/>
  <c r="K600" i="29"/>
  <c r="L562" i="29"/>
  <c r="L569" i="29"/>
  <c r="L530" i="29"/>
  <c r="L497" i="29"/>
  <c r="L54" i="29"/>
  <c r="K586" i="29"/>
  <c r="L561" i="29"/>
  <c r="L538" i="29"/>
  <c r="L481" i="29"/>
  <c r="K453" i="29"/>
  <c r="L425" i="29"/>
  <c r="K387" i="29"/>
  <c r="K340" i="29"/>
  <c r="L606" i="29"/>
  <c r="K569" i="29"/>
  <c r="K539" i="29"/>
  <c r="L519" i="29"/>
  <c r="K470" i="29"/>
  <c r="L439" i="29"/>
  <c r="K392" i="29"/>
  <c r="K382" i="29"/>
  <c r="K28" i="29"/>
  <c r="L590" i="29"/>
  <c r="K548" i="29"/>
  <c r="K523" i="29"/>
  <c r="K494" i="29"/>
  <c r="L449" i="29"/>
  <c r="L458" i="29"/>
  <c r="K412" i="29"/>
  <c r="K364" i="29"/>
  <c r="L598" i="29"/>
  <c r="L557" i="29"/>
  <c r="K531" i="29"/>
  <c r="L506" i="29"/>
  <c r="K462" i="29"/>
  <c r="L431" i="29"/>
  <c r="K384" i="29"/>
  <c r="K374" i="29"/>
  <c r="L464" i="29"/>
  <c r="L351" i="29"/>
  <c r="K304" i="29"/>
  <c r="L285" i="29"/>
  <c r="K285" i="29"/>
  <c r="K222" i="29"/>
  <c r="K188" i="29"/>
  <c r="L160" i="29"/>
  <c r="K168" i="29"/>
  <c r="K84" i="29"/>
  <c r="K529" i="29"/>
  <c r="L381" i="29"/>
  <c r="K321" i="29"/>
  <c r="K282" i="29"/>
  <c r="L327" i="29"/>
  <c r="L238" i="29"/>
  <c r="L216" i="29"/>
  <c r="K153" i="29"/>
  <c r="L106" i="29"/>
  <c r="L80" i="29"/>
  <c r="K601" i="29"/>
  <c r="L383" i="29"/>
  <c r="L365" i="29"/>
  <c r="L310" i="29"/>
  <c r="K62" i="29"/>
  <c r="K113" i="29"/>
  <c r="K166" i="29"/>
  <c r="L345" i="29"/>
  <c r="L68" i="29"/>
  <c r="G623" i="29"/>
  <c r="K581" i="29"/>
  <c r="L529" i="29"/>
  <c r="K487" i="29"/>
  <c r="L577" i="29"/>
  <c r="K447" i="29"/>
  <c r="L391" i="29"/>
  <c r="L377" i="29"/>
  <c r="L627" i="29"/>
  <c r="K589" i="29"/>
  <c r="L553" i="29"/>
  <c r="L484" i="29"/>
  <c r="K488" i="29"/>
  <c r="L451" i="29"/>
  <c r="L408" i="29"/>
  <c r="K394" i="29"/>
  <c r="K61" i="29"/>
  <c r="L602" i="29"/>
  <c r="K558" i="29"/>
  <c r="L546" i="29"/>
  <c r="L524" i="29"/>
  <c r="L461" i="29"/>
  <c r="K606" i="29"/>
  <c r="L572" i="29"/>
  <c r="L550" i="29"/>
  <c r="L513" i="29"/>
  <c r="K476" i="29"/>
  <c r="K421" i="29"/>
  <c r="K393" i="29"/>
  <c r="L420" i="29"/>
  <c r="L19" i="29"/>
  <c r="K592" i="29"/>
  <c r="K560" i="29"/>
  <c r="K557" i="29"/>
  <c r="K504" i="29"/>
  <c r="L477" i="29"/>
  <c r="L407" i="29"/>
  <c r="K408" i="29"/>
  <c r="L393" i="29"/>
  <c r="K56" i="29"/>
  <c r="K612" i="29"/>
  <c r="K551" i="29"/>
  <c r="K518" i="29"/>
  <c r="L472" i="29"/>
  <c r="K445" i="29"/>
  <c r="L418" i="29"/>
  <c r="K379" i="29"/>
  <c r="L27" i="29"/>
  <c r="K584" i="29"/>
  <c r="K549" i="29"/>
  <c r="L537" i="29"/>
  <c r="K495" i="29"/>
  <c r="L469" i="29"/>
  <c r="K455" i="29"/>
  <c r="L399" i="29"/>
  <c r="L385" i="29"/>
  <c r="K437" i="29"/>
  <c r="K355" i="29"/>
  <c r="K358" i="29"/>
  <c r="K270" i="29"/>
  <c r="K248" i="29"/>
  <c r="K190" i="29"/>
  <c r="L219" i="29"/>
  <c r="L151" i="29"/>
  <c r="K128" i="29"/>
  <c r="K140" i="29"/>
  <c r="K517" i="29"/>
  <c r="K320" i="29"/>
  <c r="L280" i="29"/>
  <c r="K312" i="29"/>
  <c r="L248" i="29"/>
  <c r="L210" i="29"/>
  <c r="K216" i="29"/>
  <c r="K121" i="29"/>
  <c r="L169" i="29"/>
  <c r="K112" i="29"/>
  <c r="L586" i="29"/>
  <c r="L390" i="29"/>
  <c r="L333" i="29"/>
  <c r="K310" i="29"/>
  <c r="K603" i="29"/>
  <c r="K13" i="29"/>
  <c r="K24" i="29"/>
  <c r="L610" i="29"/>
  <c r="L575" i="29"/>
  <c r="K507" i="29"/>
  <c r="L486" i="29"/>
  <c r="K465" i="29"/>
  <c r="K415" i="29"/>
  <c r="L436" i="29"/>
  <c r="L348" i="29"/>
  <c r="L580" i="29"/>
  <c r="K546" i="29"/>
  <c r="K538" i="29"/>
  <c r="L491" i="29"/>
  <c r="L483" i="29"/>
  <c r="L419" i="29"/>
  <c r="K458" i="29"/>
  <c r="L405" i="29"/>
  <c r="L70" i="29"/>
  <c r="K590" i="29"/>
  <c r="L565" i="29"/>
  <c r="K564" i="29"/>
  <c r="L493" i="29"/>
  <c r="K457" i="29"/>
  <c r="L597" i="29"/>
  <c r="K571" i="29"/>
  <c r="L554" i="29"/>
  <c r="L526" i="29"/>
  <c r="L475" i="29"/>
  <c r="L444" i="29"/>
  <c r="L426" i="29"/>
  <c r="L386" i="29"/>
  <c r="K40" i="29"/>
  <c r="L587" i="29"/>
  <c r="L552" i="29"/>
  <c r="L523" i="29"/>
  <c r="L507" i="29"/>
  <c r="K479" i="29"/>
  <c r="K431" i="29"/>
  <c r="L375" i="29"/>
  <c r="L364" i="29"/>
  <c r="K598" i="29"/>
  <c r="L564" i="29"/>
  <c r="K537" i="29"/>
  <c r="L542" i="29"/>
  <c r="K468" i="29"/>
  <c r="K413" i="29"/>
  <c r="K385" i="29"/>
  <c r="L406" i="29"/>
  <c r="K16" i="29"/>
  <c r="K587" i="29"/>
  <c r="L579" i="29"/>
  <c r="K515" i="29"/>
  <c r="L494" i="29"/>
  <c r="K473" i="29"/>
  <c r="K423" i="29"/>
  <c r="L446" i="29"/>
  <c r="L356" i="29"/>
  <c r="L415" i="29"/>
  <c r="K323" i="29"/>
  <c r="K341" i="29"/>
  <c r="K238" i="29"/>
  <c r="L279" i="29"/>
  <c r="L221" i="29"/>
  <c r="L187" i="29"/>
  <c r="L119" i="29"/>
  <c r="L101" i="29"/>
  <c r="L103" i="29"/>
  <c r="L511" i="29"/>
  <c r="L347" i="29"/>
  <c r="K300" i="29"/>
  <c r="L281" i="29"/>
  <c r="K277" i="29"/>
  <c r="K218" i="29"/>
  <c r="K184" i="29"/>
  <c r="L156" i="29"/>
  <c r="L153" i="29"/>
  <c r="K80" i="29"/>
  <c r="K536" i="29"/>
  <c r="K371" i="29"/>
  <c r="L308" i="29"/>
  <c r="K278" i="29"/>
  <c r="L146" i="29"/>
  <c r="K283" i="29"/>
  <c r="K90" i="29"/>
  <c r="K595" i="29"/>
  <c r="L551" i="29"/>
  <c r="L514" i="29"/>
  <c r="K482" i="29"/>
  <c r="L466" i="29"/>
  <c r="L440" i="29"/>
  <c r="K399" i="29"/>
  <c r="K352" i="29"/>
  <c r="K608" i="29"/>
  <c r="K573" i="29"/>
  <c r="L525" i="29"/>
  <c r="K483" i="29"/>
  <c r="K501" i="29"/>
  <c r="K443" i="29"/>
  <c r="L387" i="29"/>
  <c r="L373" i="29"/>
  <c r="K610" i="29"/>
  <c r="L576" i="29"/>
  <c r="L559" i="29"/>
  <c r="L517" i="29"/>
  <c r="K481" i="29"/>
  <c r="K425" i="29"/>
  <c r="L608" i="29"/>
  <c r="L570" i="29"/>
  <c r="L582" i="29"/>
  <c r="K505" i="29"/>
  <c r="K475" i="29"/>
  <c r="K436" i="29"/>
  <c r="L380" i="29"/>
  <c r="K422" i="29"/>
  <c r="K72" i="29"/>
  <c r="L594" i="29"/>
  <c r="K552" i="29"/>
  <c r="L528" i="29"/>
  <c r="K498" i="29"/>
  <c r="L453" i="29"/>
  <c r="L462" i="29"/>
  <c r="L416" i="29"/>
  <c r="K368" i="29"/>
  <c r="K609" i="29"/>
  <c r="K563" i="29"/>
  <c r="K544" i="29"/>
  <c r="L516" i="29"/>
  <c r="L467" i="29"/>
  <c r="K460" i="29"/>
  <c r="L413" i="29"/>
  <c r="L378" i="29"/>
  <c r="K105" i="29"/>
  <c r="K611" i="29"/>
  <c r="K579" i="29"/>
  <c r="L522" i="29"/>
  <c r="K490" i="29"/>
  <c r="L445" i="29"/>
  <c r="L454" i="29"/>
  <c r="L404" i="29"/>
  <c r="K360" i="29"/>
  <c r="K397" i="29"/>
  <c r="L346" i="29"/>
  <c r="K307" i="29"/>
  <c r="L282" i="29"/>
  <c r="L247" i="29"/>
  <c r="L189" i="29"/>
  <c r="K215" i="29"/>
  <c r="K151" i="29"/>
  <c r="L69" i="29"/>
  <c r="L71" i="29"/>
  <c r="L460" i="29"/>
  <c r="K351" i="29"/>
  <c r="K342" i="29"/>
  <c r="K266" i="29"/>
  <c r="K365" i="29"/>
  <c r="K186" i="29"/>
  <c r="L215" i="29"/>
  <c r="L147" i="29"/>
  <c r="L121" i="29"/>
  <c r="L133" i="29"/>
  <c r="L508" i="29"/>
  <c r="K316" i="29"/>
  <c r="L276" i="29"/>
  <c r="L309" i="29"/>
  <c r="K347" i="29"/>
  <c r="L328" i="29"/>
  <c r="K182" i="29"/>
  <c r="L211" i="29"/>
  <c r="L143" i="29"/>
  <c r="L120" i="29"/>
  <c r="K132" i="29"/>
  <c r="K566" i="29"/>
  <c r="L370" i="29"/>
  <c r="L329" i="29"/>
  <c r="K306" i="29"/>
  <c r="K261" i="29"/>
  <c r="L262" i="29"/>
  <c r="K173" i="29"/>
  <c r="L186" i="29"/>
  <c r="L130" i="29"/>
  <c r="L104" i="29"/>
  <c r="L588" i="29"/>
  <c r="L428" i="29"/>
  <c r="L357" i="29"/>
  <c r="L302" i="29"/>
  <c r="K299" i="29"/>
  <c r="K255" i="29"/>
  <c r="K201" i="29"/>
  <c r="L182" i="29"/>
  <c r="L158" i="29"/>
  <c r="K122" i="29"/>
  <c r="K48" i="29"/>
  <c r="K426" i="29"/>
  <c r="L326" i="29"/>
  <c r="L336" i="29"/>
  <c r="L261" i="29"/>
  <c r="K295" i="29"/>
  <c r="K229" i="29"/>
  <c r="K195" i="29"/>
  <c r="K131" i="29"/>
  <c r="L49" i="29"/>
  <c r="L51" i="29"/>
  <c r="L447" i="29"/>
  <c r="K331" i="29"/>
  <c r="L303" i="29"/>
  <c r="K246" i="29"/>
  <c r="L287" i="29"/>
  <c r="L229" i="29"/>
  <c r="L195" i="29"/>
  <c r="L127" i="29"/>
  <c r="L109" i="29"/>
  <c r="L111" i="29"/>
  <c r="K94" i="29"/>
  <c r="K325" i="29"/>
  <c r="K49" i="29"/>
  <c r="L193" i="29"/>
  <c r="K65" i="29"/>
  <c r="L286" i="29"/>
  <c r="L72" i="29"/>
  <c r="K252" i="29"/>
  <c r="K69" i="29"/>
  <c r="K308" i="29"/>
  <c r="K119" i="29"/>
  <c r="K332" i="29"/>
  <c r="K33" i="29"/>
  <c r="K290" i="29"/>
  <c r="L48" i="29"/>
  <c r="K134" i="29"/>
  <c r="K31" i="29"/>
  <c r="L34" i="29"/>
  <c r="L38" i="29"/>
  <c r="K68" i="29"/>
  <c r="L492" i="29"/>
  <c r="L144" i="29"/>
  <c r="K366" i="29"/>
  <c r="L94" i="29"/>
  <c r="L321" i="29"/>
  <c r="L254" i="29"/>
  <c r="L96" i="29"/>
  <c r="L322" i="29"/>
  <c r="K225" i="29"/>
  <c r="K127" i="29"/>
  <c r="L157" i="29"/>
  <c r="L283" i="29"/>
  <c r="K276" i="29"/>
  <c r="K129" i="29"/>
  <c r="K330" i="29"/>
  <c r="L271" i="29"/>
  <c r="L213" i="29"/>
  <c r="L179" i="29"/>
  <c r="L178" i="29"/>
  <c r="L93" i="29"/>
  <c r="L95" i="29"/>
  <c r="L531" i="29"/>
  <c r="L352" i="29"/>
  <c r="L304" i="29"/>
  <c r="K274" i="29"/>
  <c r="L272" i="29"/>
  <c r="L230" i="29"/>
  <c r="L208" i="29"/>
  <c r="K145" i="29"/>
  <c r="L98" i="29"/>
  <c r="L148" i="29"/>
  <c r="K554" i="29"/>
  <c r="K430" i="29"/>
  <c r="L325" i="29"/>
  <c r="K302" i="29"/>
  <c r="K257" i="29"/>
  <c r="L258" i="29"/>
  <c r="K244" i="29"/>
  <c r="L174" i="29"/>
  <c r="L126" i="29"/>
  <c r="L100" i="29"/>
  <c r="K580" i="29"/>
  <c r="K403" i="29"/>
  <c r="L353" i="29"/>
  <c r="L298" i="29"/>
  <c r="K297" i="29"/>
  <c r="K251" i="29"/>
  <c r="K197" i="29"/>
  <c r="L171" i="29"/>
  <c r="L154" i="29"/>
  <c r="K120" i="29"/>
  <c r="K64" i="29"/>
  <c r="L432" i="29"/>
  <c r="L354" i="29"/>
  <c r="L315" i="29"/>
  <c r="L290" i="29"/>
  <c r="L255" i="29"/>
  <c r="L197" i="29"/>
  <c r="K223" i="29"/>
  <c r="K159" i="29"/>
  <c r="L77" i="29"/>
  <c r="L79" i="29"/>
  <c r="K58" i="29"/>
  <c r="L318" i="29"/>
  <c r="K37" i="29"/>
  <c r="L251" i="29"/>
  <c r="K17" i="29"/>
  <c r="K242" i="29"/>
  <c r="K63" i="29"/>
  <c r="K281" i="29"/>
  <c r="K88" i="29"/>
  <c r="L355" i="29"/>
  <c r="L82" i="29"/>
  <c r="L518" i="29"/>
  <c r="L44" i="29"/>
  <c r="K354" i="29"/>
  <c r="L46" i="29"/>
  <c r="K73" i="29"/>
  <c r="K115" i="29"/>
  <c r="K97" i="29"/>
  <c r="K34" i="29"/>
  <c r="K43" i="29"/>
  <c r="K372" i="29"/>
  <c r="K104" i="29"/>
  <c r="L300" i="29"/>
  <c r="L204" i="29"/>
  <c r="L140" i="29"/>
  <c r="K298" i="29"/>
  <c r="K169" i="29"/>
  <c r="L15" i="29"/>
  <c r="L257" i="29"/>
  <c r="K191" i="29"/>
  <c r="K380" i="29"/>
  <c r="K109" i="29"/>
  <c r="K114" i="29"/>
  <c r="K67" i="29"/>
  <c r="K262" i="29"/>
  <c r="L239" i="29"/>
  <c r="L181" i="29"/>
  <c r="K207" i="29"/>
  <c r="K143" i="29"/>
  <c r="L61" i="29"/>
  <c r="K370" i="29"/>
  <c r="L305" i="29"/>
  <c r="L240" i="29"/>
  <c r="L202" i="29"/>
  <c r="L196" i="29"/>
  <c r="L340" i="29"/>
  <c r="K237" i="29"/>
  <c r="K545" i="29"/>
  <c r="K233" i="29"/>
  <c r="K333" i="29"/>
  <c r="L47" i="29"/>
  <c r="L40" i="29"/>
  <c r="K349" i="29"/>
  <c r="K263" i="29"/>
  <c r="K209" i="29"/>
  <c r="K175" i="29"/>
  <c r="L166" i="29"/>
  <c r="K138" i="29"/>
  <c r="K42" i="29"/>
  <c r="L540" i="29"/>
  <c r="L339" i="29"/>
  <c r="K292" i="29"/>
  <c r="L273" i="29"/>
  <c r="K268" i="29"/>
  <c r="K210" i="29"/>
  <c r="K176" i="29"/>
  <c r="L184" i="29"/>
  <c r="L145" i="29"/>
  <c r="L173" i="29"/>
  <c r="L499" i="29"/>
  <c r="L367" i="29"/>
  <c r="K369" i="29"/>
  <c r="L301" i="29"/>
  <c r="L236" i="29"/>
  <c r="L198" i="29"/>
  <c r="K204" i="29"/>
  <c r="L180" i="29"/>
  <c r="L136" i="29"/>
  <c r="K100" i="29"/>
  <c r="L533" i="29"/>
  <c r="K356" i="29"/>
  <c r="L296" i="29"/>
  <c r="K350" i="29"/>
  <c r="L264" i="29"/>
  <c r="L226" i="29"/>
  <c r="K235" i="29"/>
  <c r="K137" i="29"/>
  <c r="L90" i="29"/>
  <c r="L132" i="29"/>
  <c r="L611" i="29"/>
  <c r="K391" i="29"/>
  <c r="L349" i="29"/>
  <c r="K361" i="29"/>
  <c r="K291" i="29"/>
  <c r="K247" i="29"/>
  <c r="K193" i="29"/>
  <c r="K170" i="29"/>
  <c r="L150" i="29"/>
  <c r="K117" i="29"/>
  <c r="L56" i="29"/>
  <c r="K123" i="29"/>
  <c r="K77" i="29"/>
  <c r="K74" i="29"/>
  <c r="L311" i="29"/>
  <c r="L107" i="29"/>
  <c r="K327" i="29"/>
  <c r="L141" i="29"/>
  <c r="K359" i="29"/>
  <c r="L164" i="29"/>
  <c r="L29" i="29"/>
  <c r="K224" i="29"/>
  <c r="L17" i="29"/>
  <c r="L114" i="29"/>
  <c r="L555" i="29"/>
  <c r="L66" i="29"/>
  <c r="K75" i="29"/>
  <c r="L14" i="29"/>
  <c r="K30" i="29"/>
  <c r="K82" i="29"/>
  <c r="K71" i="29"/>
  <c r="L626" i="29"/>
  <c r="L152" i="29"/>
  <c r="L235" i="29"/>
  <c r="K139" i="29"/>
  <c r="L362" i="29"/>
  <c r="L205" i="29"/>
  <c r="L85" i="29"/>
  <c r="K335" i="29"/>
  <c r="L294" i="29"/>
  <c r="L113" i="29"/>
  <c r="L359" i="29"/>
  <c r="K231" i="29"/>
  <c r="L118" i="29"/>
  <c r="L45" i="29"/>
  <c r="L191" i="29"/>
  <c r="K293" i="29"/>
  <c r="L41" i="29"/>
  <c r="K265" i="29"/>
  <c r="L266" i="29"/>
  <c r="K177" i="29"/>
  <c r="L192" i="29"/>
  <c r="L134" i="29"/>
  <c r="L108" i="29"/>
  <c r="L28" i="29"/>
  <c r="K452" i="29"/>
  <c r="K343" i="29"/>
  <c r="K322" i="29"/>
  <c r="K258" i="29"/>
  <c r="K309" i="29"/>
  <c r="K178" i="29"/>
  <c r="L207" i="29"/>
  <c r="L139" i="29"/>
  <c r="K118" i="29"/>
  <c r="L125" i="29"/>
  <c r="L501" i="29"/>
  <c r="L335" i="29"/>
  <c r="K288" i="29"/>
  <c r="L319" i="29"/>
  <c r="K264" i="29"/>
  <c r="K206" i="29"/>
  <c r="K172" i="29"/>
  <c r="L167" i="29"/>
  <c r="K144" i="29"/>
  <c r="K160" i="29"/>
  <c r="K491" i="29"/>
  <c r="L363" i="29"/>
  <c r="K353" i="29"/>
  <c r="L297" i="29"/>
  <c r="L232" i="29"/>
  <c r="L241" i="29"/>
  <c r="K200" i="29"/>
  <c r="K174" i="29"/>
  <c r="L128" i="29"/>
  <c r="K96" i="29"/>
  <c r="K576" i="29"/>
  <c r="K390" i="29"/>
  <c r="L317" i="29"/>
  <c r="K294" i="29"/>
  <c r="K249" i="29"/>
  <c r="L250" i="29"/>
  <c r="L228" i="29"/>
  <c r="K165" i="29"/>
  <c r="K164" i="29"/>
  <c r="L92" i="29"/>
  <c r="L33" i="29"/>
  <c r="K187" i="29"/>
  <c r="L60" i="29"/>
  <c r="L75" i="29"/>
  <c r="L350" i="29"/>
  <c r="L105" i="29"/>
  <c r="L427" i="29"/>
  <c r="L129" i="29"/>
  <c r="L441" i="29"/>
  <c r="K192" i="29"/>
  <c r="L13" i="29"/>
  <c r="L218" i="29"/>
  <c r="K87" i="29"/>
  <c r="K161" i="29"/>
  <c r="K19" i="29"/>
  <c r="K57" i="29"/>
  <c r="K52" i="29"/>
  <c r="K23" i="29"/>
  <c r="K27" i="29"/>
  <c r="K39" i="29"/>
  <c r="L22" i="29"/>
  <c r="K626" i="29"/>
  <c r="K108" i="29"/>
  <c r="L177" i="29"/>
  <c r="L59" i="29"/>
  <c r="L323" i="29"/>
  <c r="L237" i="29"/>
  <c r="L87" i="29"/>
  <c r="K250" i="29"/>
  <c r="L131" i="29"/>
  <c r="L490" i="29"/>
  <c r="K337" i="29"/>
  <c r="L168" i="29"/>
  <c r="K279" i="29"/>
  <c r="L76" i="29"/>
  <c r="K18" i="29"/>
  <c r="K326" i="29"/>
  <c r="K273" i="29"/>
  <c r="L234" i="29"/>
  <c r="L212" i="29"/>
  <c r="K149" i="29"/>
  <c r="L102" i="29"/>
  <c r="L161" i="29"/>
  <c r="K78" i="29"/>
  <c r="K419" i="29"/>
  <c r="L366" i="29"/>
  <c r="L324" i="29"/>
  <c r="K301" i="29"/>
  <c r="L267" i="29"/>
  <c r="L209" i="29"/>
  <c r="L175" i="29"/>
  <c r="L172" i="29"/>
  <c r="L89" i="29"/>
  <c r="L91" i="29"/>
  <c r="K440" i="29"/>
  <c r="K339" i="29"/>
  <c r="K313" i="29"/>
  <c r="K254" i="29"/>
  <c r="L295" i="29"/>
  <c r="K240" i="29"/>
  <c r="L203" i="29"/>
  <c r="L135" i="29"/>
  <c r="L117" i="29"/>
  <c r="K124" i="29"/>
  <c r="L465" i="29"/>
  <c r="K367" i="29"/>
  <c r="K284" i="29"/>
  <c r="K305" i="29"/>
  <c r="K260" i="29"/>
  <c r="K202" i="29"/>
  <c r="K236" i="29"/>
  <c r="L163" i="29"/>
  <c r="L137" i="29"/>
  <c r="L149" i="29"/>
  <c r="K511" i="29"/>
  <c r="K344" i="29"/>
  <c r="L292" i="29"/>
  <c r="K334" i="29"/>
  <c r="L260" i="29"/>
  <c r="L222" i="29"/>
  <c r="K228" i="29"/>
  <c r="K133" i="29"/>
  <c r="L86" i="29"/>
  <c r="L124" i="29"/>
  <c r="K25" i="29"/>
  <c r="K221" i="29"/>
  <c r="K51" i="29"/>
  <c r="L73" i="29"/>
  <c r="L409" i="29"/>
  <c r="L123" i="29"/>
  <c r="L37" i="29"/>
  <c r="L155" i="29"/>
  <c r="L25" i="29"/>
  <c r="K226" i="29"/>
  <c r="K83" i="29"/>
  <c r="L256" i="29"/>
  <c r="K102" i="29"/>
  <c r="L224" i="29"/>
  <c r="K106" i="29"/>
  <c r="K47" i="29"/>
  <c r="K35" i="29"/>
  <c r="L62" i="29"/>
  <c r="K46" i="29"/>
  <c r="K110" i="29"/>
  <c r="K150" i="29"/>
  <c r="L396" i="29"/>
  <c r="L57" i="29"/>
  <c r="L299" i="29"/>
  <c r="K167" i="29"/>
  <c r="L307" i="29"/>
  <c r="K232" i="29"/>
  <c r="L115" i="29"/>
  <c r="L293" i="29"/>
  <c r="K196" i="29"/>
  <c r="L20" i="29"/>
  <c r="K155" i="29"/>
  <c r="L223" i="29"/>
  <c r="K21" i="29"/>
  <c r="L244" i="29"/>
  <c r="L206" i="29"/>
  <c r="K212" i="29"/>
  <c r="L200" i="29"/>
  <c r="L36" i="29"/>
  <c r="L334" i="29"/>
  <c r="K346" i="29"/>
  <c r="L269" i="29"/>
  <c r="K203" i="29"/>
  <c r="K407" i="29"/>
  <c r="L263" i="29"/>
  <c r="L459" i="29"/>
  <c r="L199" i="29"/>
  <c r="L313" i="29"/>
  <c r="K92" i="29"/>
  <c r="K22" i="29"/>
  <c r="K272" i="29"/>
  <c r="K214" i="29"/>
  <c r="K180" i="29"/>
  <c r="L190" i="29"/>
  <c r="K152" i="29"/>
  <c r="K76" i="29"/>
  <c r="L592" i="29"/>
  <c r="L437" i="29"/>
  <c r="L361" i="29"/>
  <c r="L306" i="29"/>
  <c r="L320" i="29"/>
  <c r="K259" i="29"/>
  <c r="K205" i="29"/>
  <c r="K171" i="29"/>
  <c r="L162" i="29"/>
  <c r="K130" i="29"/>
  <c r="L16" i="29"/>
  <c r="L384" i="29"/>
  <c r="L330" i="29"/>
  <c r="K338" i="29"/>
  <c r="L265" i="29"/>
  <c r="L231" i="29"/>
  <c r="L233" i="29"/>
  <c r="K199" i="29"/>
  <c r="K135" i="29"/>
  <c r="L53" i="29"/>
  <c r="L55" i="29"/>
  <c r="L450" i="29"/>
  <c r="L358" i="29"/>
  <c r="L316" i="29"/>
  <c r="L291" i="29"/>
  <c r="L259" i="29"/>
  <c r="L201" i="29"/>
  <c r="K227" i="29"/>
  <c r="K163" i="29"/>
  <c r="L81" i="29"/>
  <c r="L83" i="29"/>
  <c r="K469" i="29"/>
  <c r="K363" i="29"/>
  <c r="K280" i="29"/>
  <c r="K289" i="29"/>
  <c r="K256" i="29"/>
  <c r="K198" i="29"/>
  <c r="L227" i="29"/>
  <c r="L159" i="29"/>
  <c r="K136" i="29"/>
  <c r="K148" i="29"/>
  <c r="K111" i="29"/>
  <c r="L253" i="29"/>
  <c r="L58" i="29"/>
  <c r="K219" i="29"/>
  <c r="L74" i="29"/>
  <c r="L225" i="29"/>
  <c r="K29" i="29"/>
  <c r="K194" i="29"/>
  <c r="K41" i="29"/>
  <c r="L289" i="29"/>
  <c r="K53" i="29"/>
  <c r="L288" i="29"/>
  <c r="K98" i="29"/>
  <c r="K245" i="29"/>
  <c r="K15" i="29"/>
  <c r="L30" i="29"/>
  <c r="L165" i="29"/>
  <c r="K55" i="29"/>
  <c r="K50" i="29"/>
  <c r="L18" i="29"/>
  <c r="L63" i="29"/>
  <c r="K208" i="29"/>
  <c r="K527" i="29"/>
  <c r="L268" i="29"/>
  <c r="K141" i="29"/>
  <c r="K402" i="29"/>
  <c r="K253" i="29"/>
  <c r="L122" i="29"/>
  <c r="K400" i="29"/>
  <c r="K287" i="29"/>
  <c r="L176" i="29"/>
  <c r="L32" i="29"/>
  <c r="K357" i="29"/>
  <c r="K486" i="29"/>
  <c r="L88" i="29"/>
  <c r="L246" i="29"/>
  <c r="L64" i="29"/>
  <c r="L414" i="29"/>
  <c r="L50" i="29"/>
  <c r="K91" i="29"/>
  <c r="K95" i="29"/>
  <c r="K89" i="29"/>
  <c r="K99" i="29"/>
  <c r="K93" i="29"/>
  <c r="K66" i="29"/>
  <c r="K14" i="29"/>
  <c r="K156" i="29"/>
  <c r="L26" i="29"/>
  <c r="L42" i="29"/>
  <c r="K624" i="29"/>
  <c r="K625" i="29"/>
  <c r="L624" i="29"/>
  <c r="L625" i="29"/>
  <c r="Q4" i="29"/>
  <c r="EB212" i="25"/>
  <c r="EA212" i="25"/>
  <c r="DJ212" i="25"/>
  <c r="DI212" i="25"/>
  <c r="DM112" i="25"/>
  <c r="DW112" i="25" s="1"/>
  <c r="EB112" i="25" s="1"/>
  <c r="DB112" i="25"/>
  <c r="DI112" i="25"/>
  <c r="DJ112" i="25"/>
  <c r="CO216" i="25"/>
  <c r="DA216" i="25" s="1"/>
  <c r="DD216" i="25" s="1"/>
  <c r="DE216" i="25" s="1"/>
  <c r="DF216" i="25" s="1"/>
  <c r="DM216" i="25" s="1"/>
  <c r="DW216" i="25" s="1"/>
  <c r="DM219" i="25"/>
  <c r="DW219" i="25" s="1"/>
  <c r="DM229" i="25"/>
  <c r="DW229" i="25" s="1"/>
  <c r="DM163" i="25"/>
  <c r="DW163" i="25" s="1"/>
  <c r="DM184" i="25"/>
  <c r="DW184" i="25" s="1"/>
  <c r="DM297" i="25"/>
  <c r="DW297" i="25" s="1"/>
  <c r="DM224" i="25"/>
  <c r="DW224" i="25" s="1"/>
  <c r="DM152" i="25"/>
  <c r="DW152" i="25" s="1"/>
  <c r="DM135" i="25"/>
  <c r="DW135" i="25" s="1"/>
  <c r="DM166" i="25"/>
  <c r="DW166" i="25" s="1"/>
  <c r="DM69" i="25"/>
  <c r="DW69" i="25" s="1"/>
  <c r="DX5" i="24"/>
  <c r="EE5" i="24" s="1"/>
  <c r="DM207" i="25"/>
  <c r="DW207" i="25" s="1"/>
  <c r="DM192" i="25"/>
  <c r="DW192" i="25" s="1"/>
  <c r="DM204" i="25"/>
  <c r="DW204" i="25" s="1"/>
  <c r="DM201" i="25"/>
  <c r="DW201" i="25" s="1"/>
  <c r="DM142" i="25"/>
  <c r="DW142" i="25" s="1"/>
  <c r="DM151" i="25"/>
  <c r="DW151" i="25" s="1"/>
  <c r="DM209" i="25"/>
  <c r="DW209" i="25" s="1"/>
  <c r="DM237" i="25"/>
  <c r="DW237" i="25" s="1"/>
  <c r="DM196" i="25"/>
  <c r="DW196" i="25" s="1"/>
  <c r="DM76" i="25"/>
  <c r="DW76" i="25" s="1"/>
  <c r="DM61" i="25"/>
  <c r="DW61" i="25" s="1"/>
  <c r="DM240" i="25"/>
  <c r="DW240" i="25" s="1"/>
  <c r="DM221" i="25"/>
  <c r="DW221" i="25" s="1"/>
  <c r="DM222" i="25"/>
  <c r="DW222" i="25" s="1"/>
  <c r="DM53" i="25"/>
  <c r="DW53" i="25" s="1"/>
  <c r="DM238" i="25"/>
  <c r="DW238" i="25" s="1"/>
  <c r="DM273" i="25"/>
  <c r="DW273" i="25" s="1"/>
  <c r="DM270" i="25"/>
  <c r="DW270" i="25" s="1"/>
  <c r="DM288" i="25"/>
  <c r="DW288" i="25" s="1"/>
  <c r="DM104" i="25"/>
  <c r="DW104" i="25" s="1"/>
  <c r="DM183" i="25"/>
  <c r="DW183" i="25" s="1"/>
  <c r="DM75" i="25"/>
  <c r="DW75" i="25" s="1"/>
  <c r="DM149" i="25"/>
  <c r="DW149" i="25" s="1"/>
  <c r="DM125" i="25"/>
  <c r="DW125" i="25" s="1"/>
  <c r="DM223" i="25"/>
  <c r="DW223" i="25" s="1"/>
  <c r="DM165" i="25"/>
  <c r="DW165" i="25" s="1"/>
  <c r="DM162" i="25"/>
  <c r="DW162" i="25" s="1"/>
  <c r="DM188" i="25"/>
  <c r="DW188" i="25" s="1"/>
  <c r="DM182" i="25"/>
  <c r="DW182" i="25" s="1"/>
  <c r="DM274" i="25"/>
  <c r="DW274" i="25" s="1"/>
  <c r="DM255" i="25"/>
  <c r="DW255" i="25" s="1"/>
  <c r="DM62" i="25"/>
  <c r="DW62" i="25" s="1"/>
  <c r="DM268" i="25"/>
  <c r="DW268" i="25" s="1"/>
  <c r="DM303" i="25"/>
  <c r="DW303" i="25" s="1"/>
  <c r="DM113" i="25"/>
  <c r="DW113" i="25" s="1"/>
  <c r="DM159" i="25"/>
  <c r="DW159" i="25" s="1"/>
  <c r="DM63" i="25"/>
  <c r="DW63" i="25" s="1"/>
  <c r="DM10" i="25"/>
  <c r="DW10" i="25" s="1"/>
  <c r="DM312" i="25"/>
  <c r="DW312" i="25" s="1"/>
  <c r="DM282" i="25"/>
  <c r="DW282" i="25" s="1"/>
  <c r="DM57" i="25"/>
  <c r="DW57" i="25" s="1"/>
  <c r="DM54" i="25"/>
  <c r="DW54" i="25" s="1"/>
  <c r="DM246" i="25"/>
  <c r="DW246" i="25" s="1"/>
  <c r="DM260" i="25"/>
  <c r="DW260" i="25" s="1"/>
  <c r="DB10" i="25"/>
  <c r="DB186" i="25"/>
  <c r="DN216" i="24"/>
  <c r="DM315" i="25"/>
  <c r="DW315" i="25" s="1"/>
  <c r="DM197" i="25"/>
  <c r="DW197" i="25" s="1"/>
  <c r="DC198" i="24"/>
  <c r="DM16" i="25"/>
  <c r="DW16" i="25" s="1"/>
  <c r="DM20" i="25"/>
  <c r="DW20" i="25" s="1"/>
  <c r="EE110" i="24"/>
  <c r="DO110" i="24"/>
  <c r="DR110" i="24"/>
  <c r="DO5" i="24"/>
  <c r="DR5" i="24"/>
  <c r="DC216" i="24"/>
  <c r="DB278" i="25"/>
  <c r="DB304" i="25"/>
  <c r="DJ216" i="24"/>
  <c r="DK216" i="24"/>
  <c r="DM205" i="25"/>
  <c r="DW205" i="25" s="1"/>
  <c r="DM85" i="25"/>
  <c r="DW85" i="25" s="1"/>
  <c r="DM150" i="25"/>
  <c r="DW150" i="25" s="1"/>
  <c r="DM309" i="25"/>
  <c r="DW309" i="25" s="1"/>
  <c r="DM195" i="25"/>
  <c r="DW195" i="25" s="1"/>
  <c r="DM186" i="25"/>
  <c r="DW186" i="25" s="1"/>
  <c r="DM281" i="25"/>
  <c r="DW281" i="25" s="1"/>
  <c r="DM28" i="25"/>
  <c r="DW28" i="25" s="1"/>
  <c r="DM134" i="25"/>
  <c r="DW134" i="25" s="1"/>
  <c r="DM202" i="25"/>
  <c r="DW202" i="25" s="1"/>
  <c r="DM41" i="25"/>
  <c r="DW41" i="25" s="1"/>
  <c r="DM234" i="25"/>
  <c r="DW234" i="25" s="1"/>
  <c r="DM160" i="25"/>
  <c r="DW160" i="25" s="1"/>
  <c r="DM316" i="25"/>
  <c r="DW316" i="25" s="1"/>
  <c r="DM286" i="25"/>
  <c r="DW286" i="25" s="1"/>
  <c r="DM304" i="25"/>
  <c r="DW304" i="25" s="1"/>
  <c r="DM130" i="25"/>
  <c r="DW130" i="25" s="1"/>
  <c r="DM231" i="25"/>
  <c r="DW231" i="25" s="1"/>
  <c r="DC183" i="24"/>
  <c r="DC149" i="24"/>
  <c r="DM248" i="25"/>
  <c r="DW248" i="25" s="1"/>
  <c r="DM19" i="25"/>
  <c r="DW19" i="25" s="1"/>
  <c r="DM161" i="25"/>
  <c r="DW161" i="25" s="1"/>
  <c r="DM82" i="25"/>
  <c r="DW82" i="25" s="1"/>
  <c r="DC292" i="24"/>
  <c r="DM155" i="25"/>
  <c r="DW155" i="25" s="1"/>
  <c r="DM30" i="25"/>
  <c r="DW30" i="25" s="1"/>
  <c r="DB310" i="25"/>
  <c r="DB101" i="25"/>
  <c r="DC217" i="24"/>
  <c r="DM46" i="25"/>
  <c r="DW46" i="25" s="1"/>
  <c r="DC165" i="24"/>
  <c r="DB143" i="25"/>
  <c r="DB156" i="25"/>
  <c r="DB140" i="25"/>
  <c r="DB41" i="25"/>
  <c r="DB24" i="25"/>
  <c r="DC288" i="24"/>
  <c r="DB148" i="25"/>
  <c r="DC186" i="24"/>
  <c r="DB279" i="25"/>
  <c r="DM249" i="25"/>
  <c r="DW249" i="25" s="1"/>
  <c r="DM198" i="25"/>
  <c r="DW198" i="25" s="1"/>
  <c r="DM293" i="25"/>
  <c r="DW293" i="25" s="1"/>
  <c r="DM18" i="25"/>
  <c r="DW18" i="25" s="1"/>
  <c r="DM36" i="25"/>
  <c r="DW36" i="25" s="1"/>
  <c r="DM206" i="25"/>
  <c r="DW206" i="25" s="1"/>
  <c r="DM261" i="25"/>
  <c r="DW261" i="25" s="1"/>
  <c r="DB295" i="25"/>
  <c r="DB181" i="25"/>
  <c r="DB71" i="25"/>
  <c r="DB169" i="25"/>
  <c r="DB284" i="25"/>
  <c r="DM218" i="25"/>
  <c r="DW218" i="25" s="1"/>
  <c r="DM31" i="25"/>
  <c r="DW31" i="25" s="1"/>
  <c r="DM118" i="25"/>
  <c r="DW118" i="25" s="1"/>
  <c r="DM73" i="25"/>
  <c r="DW73" i="25" s="1"/>
  <c r="DM220" i="25"/>
  <c r="DW220" i="25" s="1"/>
  <c r="DM114" i="25"/>
  <c r="DW114" i="25" s="1"/>
  <c r="DM172" i="25"/>
  <c r="DW172" i="25" s="1"/>
  <c r="DM52" i="25"/>
  <c r="DW52" i="25" s="1"/>
  <c r="DM133" i="25"/>
  <c r="DW133" i="25" s="1"/>
  <c r="DM94" i="25"/>
  <c r="DW94" i="25" s="1"/>
  <c r="DM264" i="25"/>
  <c r="DW264" i="25" s="1"/>
  <c r="DM278" i="25"/>
  <c r="DW278" i="25" s="1"/>
  <c r="DB27" i="25"/>
  <c r="DB166" i="25"/>
  <c r="DB223" i="25"/>
  <c r="DB44" i="25"/>
  <c r="DB83" i="25"/>
  <c r="DB103" i="25"/>
  <c r="DM258" i="25"/>
  <c r="DW258" i="25" s="1"/>
  <c r="DB73" i="25"/>
  <c r="DB117" i="25"/>
  <c r="DB235" i="25"/>
  <c r="DM21" i="25"/>
  <c r="DW21" i="25" s="1"/>
  <c r="DB150" i="25"/>
  <c r="DB72" i="25"/>
  <c r="DB244" i="25"/>
  <c r="DM247" i="25"/>
  <c r="DW247" i="25" s="1"/>
  <c r="DB268" i="25"/>
  <c r="DB219" i="25"/>
  <c r="DB179" i="25"/>
  <c r="DM243" i="25"/>
  <c r="DW243" i="25" s="1"/>
  <c r="DB200" i="25"/>
  <c r="DB65" i="25"/>
  <c r="DB243" i="25"/>
  <c r="DB218" i="25"/>
  <c r="DB281" i="25"/>
  <c r="DB86" i="25"/>
  <c r="DM116" i="25"/>
  <c r="DW116" i="25" s="1"/>
  <c r="DM115" i="25"/>
  <c r="DW115" i="25" s="1"/>
  <c r="DB255" i="25"/>
  <c r="DM154" i="25"/>
  <c r="DW154" i="25" s="1"/>
  <c r="DM120" i="25"/>
  <c r="DW120" i="25" s="1"/>
  <c r="DM291" i="25"/>
  <c r="DW291" i="25" s="1"/>
  <c r="DM44" i="25"/>
  <c r="DW44" i="25" s="1"/>
  <c r="DM22" i="25"/>
  <c r="DW22" i="25" s="1"/>
  <c r="DB302" i="25"/>
  <c r="DB187" i="25"/>
  <c r="DB90" i="25"/>
  <c r="DB280" i="25"/>
  <c r="DB237" i="25"/>
  <c r="DB269" i="25"/>
  <c r="DB251" i="25"/>
  <c r="DB203" i="25"/>
  <c r="DB192" i="25"/>
  <c r="DM132" i="25"/>
  <c r="DW132" i="25" s="1"/>
  <c r="DM144" i="25"/>
  <c r="DW144" i="25" s="1"/>
  <c r="DM32" i="25"/>
  <c r="DW32" i="25" s="1"/>
  <c r="DB221" i="25"/>
  <c r="DB315" i="25"/>
  <c r="DB32" i="25"/>
  <c r="DM8" i="25"/>
  <c r="DW8" i="25" s="1"/>
  <c r="DM140" i="25"/>
  <c r="DW140" i="25" s="1"/>
  <c r="DM123" i="25"/>
  <c r="DW123" i="25" s="1"/>
  <c r="DB105" i="25"/>
  <c r="DB48" i="25"/>
  <c r="DB276" i="25"/>
  <c r="DB69" i="25"/>
  <c r="DB70" i="25"/>
  <c r="DB222" i="25"/>
  <c r="DB147" i="25"/>
  <c r="DB177" i="25"/>
  <c r="DB263" i="25"/>
  <c r="DB173" i="25"/>
  <c r="DM26" i="25"/>
  <c r="DW26" i="25" s="1"/>
  <c r="DB119" i="25"/>
  <c r="DB277" i="25"/>
  <c r="DB247" i="25"/>
  <c r="DB12" i="25"/>
  <c r="DB241" i="25"/>
  <c r="DM55" i="25"/>
  <c r="DW55" i="25" s="1"/>
  <c r="DB292" i="25"/>
  <c r="DB282" i="25"/>
  <c r="DB76" i="25"/>
  <c r="DB178" i="25"/>
  <c r="DB53" i="25"/>
  <c r="DM84" i="25"/>
  <c r="DW84" i="25" s="1"/>
  <c r="DB135" i="25"/>
  <c r="DB273" i="25"/>
  <c r="DM67" i="25"/>
  <c r="DW67" i="25" s="1"/>
  <c r="DB271" i="25"/>
  <c r="DM146" i="25"/>
  <c r="DW146" i="25" s="1"/>
  <c r="DM271" i="25"/>
  <c r="DW271" i="25" s="1"/>
  <c r="DM310" i="25"/>
  <c r="DW310" i="25" s="1"/>
  <c r="DM102" i="25"/>
  <c r="DW102" i="25" s="1"/>
  <c r="DB306" i="25"/>
  <c r="DB64" i="25"/>
  <c r="DM117" i="25"/>
  <c r="DW117" i="25" s="1"/>
  <c r="DB313" i="25"/>
  <c r="DB189" i="25"/>
  <c r="DM265" i="25"/>
  <c r="DW265" i="25" s="1"/>
  <c r="DB145" i="25"/>
  <c r="DB283" i="25"/>
  <c r="DB260" i="25"/>
  <c r="DB195" i="25"/>
  <c r="DM39" i="25"/>
  <c r="DW39" i="25" s="1"/>
  <c r="DB246" i="25"/>
  <c r="DB230" i="25"/>
  <c r="DB75" i="25"/>
  <c r="DB125" i="25"/>
  <c r="DM153" i="25"/>
  <c r="DW153" i="25" s="1"/>
  <c r="DB33" i="25"/>
  <c r="DB14" i="25"/>
  <c r="DB122" i="25"/>
  <c r="DB316" i="25"/>
  <c r="DB248" i="25"/>
  <c r="DB56" i="25"/>
  <c r="DB97" i="25"/>
  <c r="DM167" i="25"/>
  <c r="DW167" i="25" s="1"/>
  <c r="DM176" i="25"/>
  <c r="DW176" i="25" s="1"/>
  <c r="DM50" i="25"/>
  <c r="DW50" i="25" s="1"/>
  <c r="DM124" i="25"/>
  <c r="DW124" i="25" s="1"/>
  <c r="DM148" i="25"/>
  <c r="DW148" i="25" s="1"/>
  <c r="DB239" i="25"/>
  <c r="DB88" i="25"/>
  <c r="DB228" i="25"/>
  <c r="DM68" i="25"/>
  <c r="DW68" i="25" s="1"/>
  <c r="DB87" i="25"/>
  <c r="DM11" i="25"/>
  <c r="DW11" i="25" s="1"/>
  <c r="DB194" i="25"/>
  <c r="DB114" i="25"/>
  <c r="DB132" i="25"/>
  <c r="DM299" i="25"/>
  <c r="DW299" i="25" s="1"/>
  <c r="DB165" i="25"/>
  <c r="DM307" i="25"/>
  <c r="DW307" i="25" s="1"/>
  <c r="DB182" i="25"/>
  <c r="DB245" i="25"/>
  <c r="DB275" i="25"/>
  <c r="DB175" i="25"/>
  <c r="DB184" i="25"/>
  <c r="DB185" i="25"/>
  <c r="DB126" i="25"/>
  <c r="DM236" i="25"/>
  <c r="DW236" i="25" s="1"/>
  <c r="DB294" i="25"/>
  <c r="DB301" i="25"/>
  <c r="DB39" i="25"/>
  <c r="DB307" i="25"/>
  <c r="DB297" i="25"/>
  <c r="DB261" i="25"/>
  <c r="DB231" i="25"/>
  <c r="DB80" i="25"/>
  <c r="DM71" i="25"/>
  <c r="DW71" i="25" s="1"/>
  <c r="DB224" i="25"/>
  <c r="DB92" i="25"/>
  <c r="DB137" i="25"/>
  <c r="DB78" i="25"/>
  <c r="DM296" i="25"/>
  <c r="DW296" i="25" s="1"/>
  <c r="DB9" i="25"/>
  <c r="DB204" i="25"/>
  <c r="DC308" i="24"/>
  <c r="DC121" i="24"/>
  <c r="DC119" i="24"/>
  <c r="DC173" i="24"/>
  <c r="DC230" i="24"/>
  <c r="DC309" i="24"/>
  <c r="DC298" i="24"/>
  <c r="DC116" i="24"/>
  <c r="DC157" i="24"/>
  <c r="DC272" i="24"/>
  <c r="DJ219" i="25"/>
  <c r="DI219" i="25"/>
  <c r="DJ167" i="25"/>
  <c r="DI167" i="25"/>
  <c r="DJ303" i="25"/>
  <c r="DI303" i="25"/>
  <c r="DJ183" i="25"/>
  <c r="DI183" i="25"/>
  <c r="DJ8" i="25"/>
  <c r="DI8" i="25"/>
  <c r="DJ118" i="25"/>
  <c r="DI118" i="25"/>
  <c r="DJ104" i="25"/>
  <c r="DI104" i="25"/>
  <c r="DJ238" i="25"/>
  <c r="DI238" i="25"/>
  <c r="DM77" i="25"/>
  <c r="DJ186" i="25"/>
  <c r="DI186" i="25"/>
  <c r="DM136" i="25"/>
  <c r="DB22" i="25"/>
  <c r="DJ222" i="25"/>
  <c r="DI222" i="25"/>
  <c r="DJ245" i="25"/>
  <c r="DI245" i="25"/>
  <c r="DJ126" i="25"/>
  <c r="DI126" i="25"/>
  <c r="DJ129" i="25"/>
  <c r="DI129" i="25"/>
  <c r="DJ218" i="25"/>
  <c r="DI218" i="25"/>
  <c r="DJ209" i="25"/>
  <c r="DI209" i="25"/>
  <c r="DJ24" i="25"/>
  <c r="DI24" i="25"/>
  <c r="DB59" i="25"/>
  <c r="DJ185" i="25"/>
  <c r="DI185" i="25"/>
  <c r="DJ39" i="25"/>
  <c r="DI39" i="25"/>
  <c r="DB198" i="25"/>
  <c r="DM290" i="25"/>
  <c r="DW290" i="25" s="1"/>
  <c r="DB180" i="25"/>
  <c r="DM193" i="25"/>
  <c r="DB49" i="25"/>
  <c r="DB115" i="25"/>
  <c r="DJ66" i="25"/>
  <c r="DI66" i="25"/>
  <c r="DJ285" i="25"/>
  <c r="DI285" i="25"/>
  <c r="DJ131" i="25"/>
  <c r="DI131" i="25"/>
  <c r="DB258" i="25"/>
  <c r="DM141" i="25"/>
  <c r="DJ53" i="25"/>
  <c r="DI53" i="25"/>
  <c r="DM266" i="25"/>
  <c r="DW266" i="25" s="1"/>
  <c r="DM254" i="25"/>
  <c r="DW254" i="25" s="1"/>
  <c r="DJ44" i="25"/>
  <c r="DI44" i="25"/>
  <c r="DB133" i="25"/>
  <c r="DB267" i="25"/>
  <c r="DM228" i="25"/>
  <c r="DW228" i="25" s="1"/>
  <c r="DJ200" i="25"/>
  <c r="DI200" i="25"/>
  <c r="DJ168" i="25"/>
  <c r="DI168" i="25"/>
  <c r="DB205" i="25"/>
  <c r="DJ102" i="25"/>
  <c r="DI102" i="25"/>
  <c r="DM306" i="25"/>
  <c r="DW306" i="25" s="1"/>
  <c r="DJ283" i="25"/>
  <c r="DI283" i="25"/>
  <c r="DB303" i="25"/>
  <c r="DJ280" i="25"/>
  <c r="DI280" i="25"/>
  <c r="DM251" i="25"/>
  <c r="DW251" i="25" s="1"/>
  <c r="DM257" i="25"/>
  <c r="DW257" i="25" s="1"/>
  <c r="DM314" i="25"/>
  <c r="DW314" i="25" s="1"/>
  <c r="DM158" i="25"/>
  <c r="DB264" i="25"/>
  <c r="DJ80" i="25"/>
  <c r="DI80" i="25"/>
  <c r="DM226" i="25"/>
  <c r="DW226" i="25" s="1"/>
  <c r="DM15" i="25"/>
  <c r="DM78" i="25"/>
  <c r="DM190" i="25"/>
  <c r="DM164" i="25"/>
  <c r="DJ174" i="25"/>
  <c r="DI174" i="25"/>
  <c r="DJ269" i="25"/>
  <c r="DI269" i="25"/>
  <c r="DJ7" i="25"/>
  <c r="DI7" i="25"/>
  <c r="DJ233" i="25"/>
  <c r="DI233" i="25"/>
  <c r="DJ113" i="25"/>
  <c r="DI113" i="25"/>
  <c r="DB262" i="25"/>
  <c r="DJ288" i="25"/>
  <c r="DI288" i="25"/>
  <c r="DJ176" i="25"/>
  <c r="DI176" i="25"/>
  <c r="DB96" i="25"/>
  <c r="DJ246" i="25"/>
  <c r="DI246" i="25"/>
  <c r="DJ114" i="25"/>
  <c r="DI114" i="25"/>
  <c r="DJ172" i="25"/>
  <c r="DI172" i="25"/>
  <c r="DJ19" i="25"/>
  <c r="DI19" i="25"/>
  <c r="DB52" i="25"/>
  <c r="DB161" i="25"/>
  <c r="DM74" i="25"/>
  <c r="DJ101" i="25"/>
  <c r="DI101" i="25"/>
  <c r="DB168" i="25"/>
  <c r="DJ205" i="25"/>
  <c r="DI205" i="25"/>
  <c r="DB138" i="25"/>
  <c r="DB102" i="25"/>
  <c r="DB57" i="25"/>
  <c r="DJ221" i="25"/>
  <c r="DI221" i="25"/>
  <c r="DJ77" i="25"/>
  <c r="DI77" i="25"/>
  <c r="DB254" i="25"/>
  <c r="DJ136" i="25"/>
  <c r="DI136" i="25"/>
  <c r="DJ124" i="25"/>
  <c r="DI124" i="25"/>
  <c r="DB17" i="25"/>
  <c r="DM171" i="25"/>
  <c r="DB227" i="25"/>
  <c r="DB290" i="25"/>
  <c r="DM129" i="25"/>
  <c r="DB136" i="25"/>
  <c r="DB170" i="25"/>
  <c r="DM252" i="25"/>
  <c r="DW252" i="25" s="1"/>
  <c r="DJ273" i="25"/>
  <c r="DI273" i="25"/>
  <c r="DM185" i="25"/>
  <c r="DM300" i="25"/>
  <c r="DW300" i="25" s="1"/>
  <c r="DB30" i="25"/>
  <c r="DJ270" i="25"/>
  <c r="DI270" i="25"/>
  <c r="DJ18" i="25"/>
  <c r="DI18" i="25"/>
  <c r="DB77" i="25"/>
  <c r="DB123" i="25"/>
  <c r="DM93" i="25"/>
  <c r="DJ290" i="25"/>
  <c r="DI290" i="25"/>
  <c r="DJ197" i="25"/>
  <c r="DI197" i="25"/>
  <c r="DJ96" i="25"/>
  <c r="DI96" i="25"/>
  <c r="DB139" i="25"/>
  <c r="DB256" i="25"/>
  <c r="DM72" i="25"/>
  <c r="DB93" i="25"/>
  <c r="DB190" i="25"/>
  <c r="DM66" i="25"/>
  <c r="DB74" i="25"/>
  <c r="DM285" i="25"/>
  <c r="DW285" i="25" s="1"/>
  <c r="DJ152" i="25"/>
  <c r="DI152" i="25"/>
  <c r="DJ135" i="25"/>
  <c r="DI135" i="25"/>
  <c r="DB197" i="25"/>
  <c r="DJ6" i="25"/>
  <c r="DI6" i="25"/>
  <c r="DB98" i="25"/>
  <c r="DB188" i="25"/>
  <c r="DM170" i="25"/>
  <c r="DJ268" i="25"/>
  <c r="DI268" i="25"/>
  <c r="DB46" i="25"/>
  <c r="DJ141" i="25"/>
  <c r="DI141" i="25"/>
  <c r="DB50" i="25"/>
  <c r="DJ294" i="25"/>
  <c r="DI294" i="25"/>
  <c r="DJ295" i="25"/>
  <c r="DI295" i="25"/>
  <c r="DB174" i="25"/>
  <c r="DB288" i="25"/>
  <c r="DJ228" i="25"/>
  <c r="DI228" i="25"/>
  <c r="DM138" i="25"/>
  <c r="DM311" i="25"/>
  <c r="DW311" i="25" s="1"/>
  <c r="DB274" i="25"/>
  <c r="DM168" i="25"/>
  <c r="DM217" i="25"/>
  <c r="DW217" i="25" s="1"/>
  <c r="DB127" i="25"/>
  <c r="DJ306" i="25"/>
  <c r="DI306" i="25"/>
  <c r="DJ64" i="25"/>
  <c r="DI64" i="25"/>
  <c r="DJ234" i="25"/>
  <c r="DI234" i="25"/>
  <c r="DI132" i="25"/>
  <c r="DJ132" i="25"/>
  <c r="DB120" i="25"/>
  <c r="DM280" i="25"/>
  <c r="DW280" i="25" s="1"/>
  <c r="DJ251" i="25"/>
  <c r="DI251" i="25"/>
  <c r="DB152" i="25"/>
  <c r="DJ314" i="25"/>
  <c r="DI314" i="25"/>
  <c r="DJ231" i="25"/>
  <c r="DI231" i="25"/>
  <c r="DJ158" i="25"/>
  <c r="DI158" i="25"/>
  <c r="DJ304" i="25"/>
  <c r="DI304" i="25"/>
  <c r="DM80" i="25"/>
  <c r="DM45" i="25"/>
  <c r="DJ226" i="25"/>
  <c r="DI226" i="25"/>
  <c r="DJ15" i="25"/>
  <c r="DI15" i="25"/>
  <c r="DB31" i="25"/>
  <c r="DJ210" i="25"/>
  <c r="DI210" i="25"/>
  <c r="DM56" i="25"/>
  <c r="DB61" i="25"/>
  <c r="DJ164" i="25"/>
  <c r="DI164" i="25"/>
  <c r="DJ60" i="25"/>
  <c r="DI60" i="25"/>
  <c r="DM233" i="25"/>
  <c r="DW233" i="25" s="1"/>
  <c r="DJ62" i="25"/>
  <c r="DI62" i="25"/>
  <c r="DJ21" i="25"/>
  <c r="DI21" i="25"/>
  <c r="DB252" i="25"/>
  <c r="DB172" i="25"/>
  <c r="DJ74" i="25"/>
  <c r="DI74" i="25"/>
  <c r="DJ94" i="25"/>
  <c r="DI94" i="25"/>
  <c r="DB47" i="25"/>
  <c r="DJ117" i="25"/>
  <c r="DI117" i="25"/>
  <c r="DB199" i="25"/>
  <c r="DB104" i="25"/>
  <c r="DJ165" i="25"/>
  <c r="DI165" i="25"/>
  <c r="DJ50" i="25"/>
  <c r="DI50" i="25"/>
  <c r="DJ73" i="25"/>
  <c r="DI73" i="25"/>
  <c r="DJ71" i="25"/>
  <c r="DI71" i="25"/>
  <c r="DJ116" i="25"/>
  <c r="DI116" i="25"/>
  <c r="DJ229" i="25"/>
  <c r="DI229" i="25"/>
  <c r="DJ223" i="25"/>
  <c r="DI223" i="25"/>
  <c r="DJ115" i="25"/>
  <c r="DI115" i="25"/>
  <c r="DM139" i="25"/>
  <c r="DJ278" i="25"/>
  <c r="DI278" i="25"/>
  <c r="DJ171" i="25"/>
  <c r="DI171" i="25"/>
  <c r="DB289" i="25"/>
  <c r="DJ161" i="25"/>
  <c r="DI161" i="25"/>
  <c r="DB94" i="25"/>
  <c r="DJ252" i="25"/>
  <c r="DI252" i="25"/>
  <c r="DJ300" i="25"/>
  <c r="DI300" i="25"/>
  <c r="DB293" i="25"/>
  <c r="DJ93" i="25"/>
  <c r="DI93" i="25"/>
  <c r="DB20" i="25"/>
  <c r="DB129" i="25"/>
  <c r="DM145" i="25"/>
  <c r="DM96" i="25"/>
  <c r="DJ72" i="25"/>
  <c r="DI72" i="25"/>
  <c r="DM301" i="25"/>
  <c r="DW301" i="25" s="1"/>
  <c r="DJ30" i="25"/>
  <c r="DI30" i="25"/>
  <c r="DB79" i="25"/>
  <c r="DM253" i="25"/>
  <c r="DW253" i="25" s="1"/>
  <c r="DB233" i="25"/>
  <c r="DJ201" i="25"/>
  <c r="DI201" i="25"/>
  <c r="DB209" i="25"/>
  <c r="DJ307" i="25"/>
  <c r="DI307" i="25"/>
  <c r="DW6" i="25"/>
  <c r="DJ54" i="25"/>
  <c r="DI54" i="25"/>
  <c r="DB68" i="25"/>
  <c r="DM128" i="25"/>
  <c r="DJ170" i="25"/>
  <c r="DI170" i="25"/>
  <c r="DJ316" i="25"/>
  <c r="DI316" i="25"/>
  <c r="DB23" i="25"/>
  <c r="DB142" i="25"/>
  <c r="DB193" i="25"/>
  <c r="DB202" i="25"/>
  <c r="DM38" i="25"/>
  <c r="DB91" i="25"/>
  <c r="DM294" i="25"/>
  <c r="DW294" i="25" s="1"/>
  <c r="DB124" i="25"/>
  <c r="DM295" i="25"/>
  <c r="DW295" i="25" s="1"/>
  <c r="DM40" i="25"/>
  <c r="DJ138" i="25"/>
  <c r="DI138" i="25"/>
  <c r="DJ311" i="25"/>
  <c r="DI311" i="25"/>
  <c r="DM143" i="25"/>
  <c r="DJ217" i="25"/>
  <c r="DI217" i="25"/>
  <c r="DM27" i="25"/>
  <c r="DB18" i="25"/>
  <c r="DM64" i="25"/>
  <c r="DJ79" i="25"/>
  <c r="DI79" i="25"/>
  <c r="DM9" i="25"/>
  <c r="DB11" i="25"/>
  <c r="DM99" i="25"/>
  <c r="DM292" i="25"/>
  <c r="DW292" i="25" s="1"/>
  <c r="DM47" i="25"/>
  <c r="DM173" i="25"/>
  <c r="DB131" i="25"/>
  <c r="DB291" i="25"/>
  <c r="DM35" i="25"/>
  <c r="DM277" i="25"/>
  <c r="DW277" i="25" s="1"/>
  <c r="DM83" i="25"/>
  <c r="DB67" i="25"/>
  <c r="DJ45" i="25"/>
  <c r="DI45" i="25"/>
  <c r="DB229" i="25"/>
  <c r="DM105" i="25"/>
  <c r="DB35" i="25"/>
  <c r="DB206" i="25"/>
  <c r="DM210" i="25"/>
  <c r="DJ56" i="25"/>
  <c r="DI56" i="25"/>
  <c r="DB196" i="25"/>
  <c r="DM60" i="25"/>
  <c r="DM276" i="25"/>
  <c r="DW276" i="25" s="1"/>
  <c r="DJ155" i="25"/>
  <c r="DI155" i="25"/>
  <c r="DJ162" i="25"/>
  <c r="DI162" i="25"/>
  <c r="DM88" i="25"/>
  <c r="DJ291" i="25"/>
  <c r="DI291" i="25"/>
  <c r="DJ28" i="25"/>
  <c r="DI28" i="25"/>
  <c r="DJ142" i="25"/>
  <c r="DI142" i="25"/>
  <c r="DJ61" i="25"/>
  <c r="DI61" i="25"/>
  <c r="DJ151" i="25"/>
  <c r="DI151" i="25"/>
  <c r="DJ204" i="25"/>
  <c r="DI204" i="25"/>
  <c r="DJ139" i="25"/>
  <c r="DI139" i="25"/>
  <c r="DJ159" i="25"/>
  <c r="DI159" i="25"/>
  <c r="DM17" i="25"/>
  <c r="DJ52" i="25"/>
  <c r="DI52" i="25"/>
  <c r="DJ133" i="25"/>
  <c r="DI133" i="25"/>
  <c r="DJ55" i="25"/>
  <c r="DI55" i="25"/>
  <c r="DJ247" i="25"/>
  <c r="DI247" i="25"/>
  <c r="DJ282" i="25"/>
  <c r="DI282" i="25"/>
  <c r="DI145" i="25"/>
  <c r="DJ145" i="25"/>
  <c r="DJ301" i="25"/>
  <c r="DI301" i="25"/>
  <c r="DJ253" i="25"/>
  <c r="DI253" i="25"/>
  <c r="DJ36" i="25"/>
  <c r="DI36" i="25"/>
  <c r="DJ46" i="25"/>
  <c r="DI46" i="25"/>
  <c r="DJ153" i="25"/>
  <c r="DI153" i="25"/>
  <c r="DM225" i="25"/>
  <c r="DW225" i="25" s="1"/>
  <c r="DJ208" i="25"/>
  <c r="DI208" i="25"/>
  <c r="DJ38" i="25"/>
  <c r="DI38" i="25"/>
  <c r="DM262" i="25"/>
  <c r="DW262" i="25" s="1"/>
  <c r="DM100" i="25"/>
  <c r="DM70" i="25"/>
  <c r="DJ40" i="25"/>
  <c r="DI40" i="25"/>
  <c r="DJ87" i="25"/>
  <c r="DI87" i="25"/>
  <c r="DJ143" i="25"/>
  <c r="DI143" i="25"/>
  <c r="DJ27" i="25"/>
  <c r="DI27" i="25"/>
  <c r="DJ31" i="25"/>
  <c r="DI31" i="25"/>
  <c r="DM175" i="25"/>
  <c r="DI286" i="25"/>
  <c r="DJ286" i="25"/>
  <c r="DJ166" i="25"/>
  <c r="DI166" i="25"/>
  <c r="DM79" i="25"/>
  <c r="DJ9" i="25"/>
  <c r="DI9" i="25"/>
  <c r="DJ99" i="25"/>
  <c r="DI99" i="25"/>
  <c r="DJ144" i="25"/>
  <c r="DI144" i="25"/>
  <c r="DJ292" i="25"/>
  <c r="DI292" i="25"/>
  <c r="DJ47" i="25"/>
  <c r="DI47" i="25"/>
  <c r="DJ173" i="25"/>
  <c r="DI173" i="25"/>
  <c r="DM259" i="25"/>
  <c r="DW259" i="25" s="1"/>
  <c r="DJ35" i="25"/>
  <c r="DI35" i="25"/>
  <c r="DJ277" i="25"/>
  <c r="DI277" i="25"/>
  <c r="DJ83" i="25"/>
  <c r="DI83" i="25"/>
  <c r="DJ275" i="25"/>
  <c r="DI275" i="25"/>
  <c r="DJ105" i="25"/>
  <c r="DI105" i="25"/>
  <c r="DJ32" i="25"/>
  <c r="DI32" i="25"/>
  <c r="DJ239" i="25"/>
  <c r="DI239" i="25"/>
  <c r="DM127" i="25"/>
  <c r="DJ276" i="25"/>
  <c r="DI276" i="25"/>
  <c r="DB232" i="25"/>
  <c r="DB314" i="25"/>
  <c r="DJ146" i="25"/>
  <c r="DI146" i="25"/>
  <c r="DJ88" i="25"/>
  <c r="DI88" i="25"/>
  <c r="DJ274" i="25"/>
  <c r="DI274" i="25"/>
  <c r="DB159" i="25"/>
  <c r="DB25" i="25"/>
  <c r="DJ260" i="25"/>
  <c r="DI260" i="25"/>
  <c r="DB153" i="25"/>
  <c r="DB242" i="25"/>
  <c r="DB149" i="25"/>
  <c r="DJ264" i="25"/>
  <c r="DI264" i="25"/>
  <c r="DJ207" i="25"/>
  <c r="DI207" i="25"/>
  <c r="DB128" i="25"/>
  <c r="DJ198" i="25"/>
  <c r="DI198" i="25"/>
  <c r="DB58" i="25"/>
  <c r="DM242" i="25"/>
  <c r="DW242" i="25" s="1"/>
  <c r="DB183" i="25"/>
  <c r="DJ255" i="25"/>
  <c r="DI255" i="25"/>
  <c r="DJ196" i="25"/>
  <c r="DI196" i="25"/>
  <c r="DB146" i="25"/>
  <c r="DJ297" i="25"/>
  <c r="DI297" i="25"/>
  <c r="DB100" i="25"/>
  <c r="DJ17" i="25"/>
  <c r="DI17" i="25"/>
  <c r="DM48" i="25"/>
  <c r="DB272" i="25"/>
  <c r="DJ148" i="25"/>
  <c r="DI148" i="25"/>
  <c r="DJ188" i="25"/>
  <c r="DI188" i="25"/>
  <c r="DJ177" i="25"/>
  <c r="DI177" i="25"/>
  <c r="DB42" i="25"/>
  <c r="DJ235" i="25"/>
  <c r="DI235" i="25"/>
  <c r="DJ298" i="25"/>
  <c r="DI298" i="25"/>
  <c r="DB296" i="25"/>
  <c r="DJ85" i="25"/>
  <c r="DI85" i="25"/>
  <c r="DB8" i="25"/>
  <c r="DB43" i="25"/>
  <c r="DJ125" i="25"/>
  <c r="DI125" i="25"/>
  <c r="DB38" i="25"/>
  <c r="DB81" i="25"/>
  <c r="DB171" i="25"/>
  <c r="DJ150" i="25"/>
  <c r="DI150" i="25"/>
  <c r="DJ22" i="25"/>
  <c r="DI22" i="25"/>
  <c r="DM86" i="25"/>
  <c r="DJ149" i="25"/>
  <c r="DI149" i="25"/>
  <c r="DM12" i="25"/>
  <c r="DJ49" i="25"/>
  <c r="DI49" i="25"/>
  <c r="DB151" i="25"/>
  <c r="DB285" i="25"/>
  <c r="DJ310" i="25"/>
  <c r="DI310" i="25"/>
  <c r="DJ128" i="25"/>
  <c r="DI128" i="25"/>
  <c r="DB28" i="25"/>
  <c r="DM89" i="25"/>
  <c r="DM305" i="25"/>
  <c r="DW305" i="25" s="1"/>
  <c r="DJ279" i="25"/>
  <c r="DI279" i="25"/>
  <c r="DB141" i="25"/>
  <c r="DJ225" i="25"/>
  <c r="DI225" i="25"/>
  <c r="DJ123" i="25"/>
  <c r="DI123" i="25"/>
  <c r="DB37" i="25"/>
  <c r="DM208" i="25"/>
  <c r="DJ248" i="25"/>
  <c r="DI248" i="25"/>
  <c r="DB240" i="25"/>
  <c r="DM157" i="25"/>
  <c r="DM23" i="25"/>
  <c r="DJ262" i="25"/>
  <c r="DI262" i="25"/>
  <c r="DB36" i="25"/>
  <c r="DJ100" i="25"/>
  <c r="DI100" i="25"/>
  <c r="DJ70" i="25"/>
  <c r="DI70" i="25"/>
  <c r="DB118" i="25"/>
  <c r="DB113" i="25"/>
  <c r="DB116" i="25"/>
  <c r="DM87" i="25"/>
  <c r="DM156" i="25"/>
  <c r="DJ249" i="25"/>
  <c r="DI249" i="25"/>
  <c r="DJ199" i="25"/>
  <c r="DI199" i="25"/>
  <c r="DJ175" i="25"/>
  <c r="DI175" i="25"/>
  <c r="DJ289" i="25"/>
  <c r="DI289" i="25"/>
  <c r="DB54" i="25"/>
  <c r="DB249" i="25"/>
  <c r="DJ84" i="25"/>
  <c r="DI84" i="25"/>
  <c r="DB84" i="25"/>
  <c r="DJ187" i="25"/>
  <c r="DI187" i="25"/>
  <c r="DJ65" i="25"/>
  <c r="DI65" i="25"/>
  <c r="DJ41" i="25"/>
  <c r="DI41" i="25"/>
  <c r="DM267" i="25"/>
  <c r="DW267" i="25" s="1"/>
  <c r="DJ259" i="25"/>
  <c r="DI259" i="25"/>
  <c r="DM98" i="25"/>
  <c r="DB26" i="25"/>
  <c r="DM302" i="25"/>
  <c r="DW302" i="25" s="1"/>
  <c r="DJ67" i="25"/>
  <c r="DI67" i="25"/>
  <c r="DM275" i="25"/>
  <c r="DW275" i="25" s="1"/>
  <c r="DB167" i="25"/>
  <c r="DB16" i="25"/>
  <c r="DB62" i="25"/>
  <c r="DB312" i="25"/>
  <c r="DM239" i="25"/>
  <c r="DW239" i="25" s="1"/>
  <c r="DJ206" i="25"/>
  <c r="DI206" i="25"/>
  <c r="DB160" i="25"/>
  <c r="DB99" i="25"/>
  <c r="DJ57" i="25"/>
  <c r="DI57" i="25"/>
  <c r="DJ203" i="25"/>
  <c r="DI203" i="25"/>
  <c r="DJ122" i="25"/>
  <c r="DI122" i="25"/>
  <c r="DJ261" i="25"/>
  <c r="DI261" i="25"/>
  <c r="DJ315" i="25"/>
  <c r="DI315" i="25"/>
  <c r="DJ194" i="25"/>
  <c r="DI194" i="25"/>
  <c r="DM25" i="25"/>
  <c r="DJ69" i="25"/>
  <c r="DI69" i="25"/>
  <c r="DJ243" i="25"/>
  <c r="DI243" i="25"/>
  <c r="DJ230" i="25"/>
  <c r="DI230" i="25"/>
  <c r="DJ242" i="25"/>
  <c r="DI242" i="25"/>
  <c r="DM169" i="25"/>
  <c r="DJ192" i="25"/>
  <c r="DI192" i="25"/>
  <c r="DJ236" i="25"/>
  <c r="DI236" i="25"/>
  <c r="DM13" i="25"/>
  <c r="DJ48" i="25"/>
  <c r="DI48" i="25"/>
  <c r="DJ237" i="25"/>
  <c r="DI237" i="25"/>
  <c r="DJ63" i="25"/>
  <c r="DI63" i="25"/>
  <c r="DJ182" i="25"/>
  <c r="DI182" i="25"/>
  <c r="DM177" i="25"/>
  <c r="DJ163" i="25"/>
  <c r="DI163" i="25"/>
  <c r="DM235" i="25"/>
  <c r="DW235" i="25" s="1"/>
  <c r="DJ160" i="25"/>
  <c r="DI160" i="25"/>
  <c r="DM298" i="25"/>
  <c r="DW298" i="25" s="1"/>
  <c r="DJ51" i="25"/>
  <c r="DI51" i="25"/>
  <c r="DJ154" i="25"/>
  <c r="DI154" i="25"/>
  <c r="DJ240" i="25"/>
  <c r="DI240" i="25"/>
  <c r="DJ86" i="25"/>
  <c r="DI86" i="25"/>
  <c r="DJ130" i="25"/>
  <c r="DI130" i="25"/>
  <c r="DJ12" i="25"/>
  <c r="DI12" i="25"/>
  <c r="DM49" i="25"/>
  <c r="DM250" i="25"/>
  <c r="DW250" i="25" s="1"/>
  <c r="DJ89" i="25"/>
  <c r="DI89" i="25"/>
  <c r="DJ305" i="25"/>
  <c r="DI305" i="25"/>
  <c r="DJ256" i="25"/>
  <c r="DI256" i="25"/>
  <c r="DJ189" i="25"/>
  <c r="DI189" i="25"/>
  <c r="DJ178" i="25"/>
  <c r="DI178" i="25"/>
  <c r="DM90" i="25"/>
  <c r="DJ134" i="25"/>
  <c r="DI134" i="25"/>
  <c r="DJ157" i="25"/>
  <c r="DI157" i="25"/>
  <c r="DJ23" i="25"/>
  <c r="DI23" i="25"/>
  <c r="DM308" i="25"/>
  <c r="DW308" i="25" s="1"/>
  <c r="DM37" i="25"/>
  <c r="DJ111" i="25"/>
  <c r="DI111" i="25"/>
  <c r="DJ220" i="25"/>
  <c r="DI220" i="25"/>
  <c r="DJ156" i="25"/>
  <c r="DI156" i="25"/>
  <c r="DM199" i="25"/>
  <c r="DJ76" i="25"/>
  <c r="DI76" i="25"/>
  <c r="DM289" i="25"/>
  <c r="DW289" i="25" s="1"/>
  <c r="DM187" i="25"/>
  <c r="DM65" i="25"/>
  <c r="DM244" i="25"/>
  <c r="DW244" i="25" s="1"/>
  <c r="DM91" i="25"/>
  <c r="DJ267" i="25"/>
  <c r="DI267" i="25"/>
  <c r="DB286" i="25"/>
  <c r="DB311" i="25"/>
  <c r="DJ98" i="25"/>
  <c r="DI98" i="25"/>
  <c r="DJ302" i="25"/>
  <c r="DI302" i="25"/>
  <c r="DM191" i="25"/>
  <c r="DM147" i="25"/>
  <c r="DM92" i="25"/>
  <c r="DM14" i="25"/>
  <c r="DM203" i="25"/>
  <c r="DM122" i="25"/>
  <c r="DB89" i="25"/>
  <c r="DB55" i="25"/>
  <c r="DJ82" i="25"/>
  <c r="DI82" i="25"/>
  <c r="DM194" i="25"/>
  <c r="DB225" i="25"/>
  <c r="DB40" i="25"/>
  <c r="DJ20" i="25"/>
  <c r="DI20" i="25"/>
  <c r="DJ25" i="25"/>
  <c r="DI25" i="25"/>
  <c r="DB60" i="25"/>
  <c r="DB15" i="25"/>
  <c r="DJ309" i="25"/>
  <c r="DI309" i="25"/>
  <c r="DM313" i="25"/>
  <c r="DW313" i="25" s="1"/>
  <c r="DB29" i="25"/>
  <c r="DB298" i="25"/>
  <c r="DJ16" i="25"/>
  <c r="DI16" i="25"/>
  <c r="DM81" i="25"/>
  <c r="DB85" i="25"/>
  <c r="DM230" i="25"/>
  <c r="DW230" i="25" s="1"/>
  <c r="DB176" i="25"/>
  <c r="DJ195" i="25"/>
  <c r="DI195" i="25"/>
  <c r="DJ265" i="25"/>
  <c r="DI265" i="25"/>
  <c r="DJ169" i="25"/>
  <c r="DI169" i="25"/>
  <c r="DB253" i="25"/>
  <c r="DM272" i="25"/>
  <c r="DW272" i="25" s="1"/>
  <c r="DJ287" i="25"/>
  <c r="DI287" i="25"/>
  <c r="DJ140" i="25"/>
  <c r="DI140" i="25"/>
  <c r="DJ13" i="25"/>
  <c r="DI13" i="25"/>
  <c r="DB287" i="25"/>
  <c r="DM137" i="25"/>
  <c r="DM181" i="25"/>
  <c r="DJ184" i="25"/>
  <c r="DI184" i="25"/>
  <c r="DM227" i="25"/>
  <c r="DW227" i="25" s="1"/>
  <c r="DB121" i="25"/>
  <c r="DB21" i="25"/>
  <c r="DB45" i="25"/>
  <c r="DJ68" i="25"/>
  <c r="DI68" i="25"/>
  <c r="DB191" i="25"/>
  <c r="DM51" i="25"/>
  <c r="DB208" i="25"/>
  <c r="DJ258" i="25"/>
  <c r="DI258" i="25"/>
  <c r="DB130" i="25"/>
  <c r="DJ271" i="25"/>
  <c r="DI271" i="25"/>
  <c r="DB13" i="25"/>
  <c r="DB308" i="25"/>
  <c r="DM33" i="25"/>
  <c r="DB305" i="25"/>
  <c r="DJ250" i="25"/>
  <c r="DI250" i="25"/>
  <c r="DB266" i="25"/>
  <c r="DB34" i="25"/>
  <c r="DB250" i="25"/>
  <c r="DM263" i="25"/>
  <c r="DW263" i="25" s="1"/>
  <c r="DB309" i="25"/>
  <c r="DM119" i="25"/>
  <c r="DB257" i="25"/>
  <c r="DM121" i="25"/>
  <c r="DM256" i="25"/>
  <c r="DW256" i="25" s="1"/>
  <c r="DM189" i="25"/>
  <c r="DM178" i="25"/>
  <c r="DJ90" i="25"/>
  <c r="DI90" i="25"/>
  <c r="DB95" i="25"/>
  <c r="DM43" i="25"/>
  <c r="DB111" i="25"/>
  <c r="DM29" i="25"/>
  <c r="DJ95" i="25"/>
  <c r="DI95" i="25"/>
  <c r="DJ308" i="25"/>
  <c r="DI308" i="25"/>
  <c r="DJ37" i="25"/>
  <c r="DI37" i="25"/>
  <c r="DM111" i="25"/>
  <c r="DM284" i="25"/>
  <c r="DW284" i="25" s="1"/>
  <c r="DI110" i="25"/>
  <c r="DM34" i="25"/>
  <c r="DB217" i="25"/>
  <c r="DJ232" i="25"/>
  <c r="DI232" i="25"/>
  <c r="DJ58" i="25"/>
  <c r="DI58" i="25"/>
  <c r="DJ179" i="25"/>
  <c r="DI179" i="25"/>
  <c r="DM103" i="25"/>
  <c r="DJ244" i="25"/>
  <c r="DI244" i="25"/>
  <c r="DJ91" i="25"/>
  <c r="DI91" i="25"/>
  <c r="DB158" i="25"/>
  <c r="DJ120" i="25"/>
  <c r="DI120" i="25"/>
  <c r="DB163" i="25"/>
  <c r="DB299" i="25"/>
  <c r="DJ97" i="25"/>
  <c r="DI97" i="25"/>
  <c r="DM42" i="25"/>
  <c r="DB234" i="25"/>
  <c r="DJ191" i="25"/>
  <c r="DI191" i="25"/>
  <c r="DM59" i="25"/>
  <c r="DI147" i="25"/>
  <c r="DJ147" i="25"/>
  <c r="DB134" i="25"/>
  <c r="DJ92" i="25"/>
  <c r="DI92" i="25"/>
  <c r="DJ14" i="25"/>
  <c r="DI14" i="25"/>
  <c r="DB144" i="25"/>
  <c r="DB201" i="25"/>
  <c r="DJ241" i="25"/>
  <c r="DI241" i="25"/>
  <c r="DJ180" i="25"/>
  <c r="DI180" i="25"/>
  <c r="DJ313" i="25"/>
  <c r="DI313" i="25"/>
  <c r="DJ10" i="25"/>
  <c r="DI10" i="25"/>
  <c r="DJ75" i="25"/>
  <c r="DI75" i="25"/>
  <c r="DJ81" i="25"/>
  <c r="DI81" i="25"/>
  <c r="DJ272" i="25"/>
  <c r="DI272" i="25"/>
  <c r="DM287" i="25"/>
  <c r="DW287" i="25" s="1"/>
  <c r="DM245" i="25"/>
  <c r="DW245" i="25" s="1"/>
  <c r="DJ281" i="25"/>
  <c r="DI281" i="25"/>
  <c r="DM126" i="25"/>
  <c r="DJ137" i="25"/>
  <c r="DI137" i="25"/>
  <c r="DJ181" i="25"/>
  <c r="DI181" i="25"/>
  <c r="DJ227" i="25"/>
  <c r="DI227" i="25"/>
  <c r="DM24" i="25"/>
  <c r="DJ293" i="25"/>
  <c r="DI293" i="25"/>
  <c r="DJ26" i="25"/>
  <c r="DI26" i="25"/>
  <c r="DJ127" i="25"/>
  <c r="DI127" i="25"/>
  <c r="DJ193" i="25"/>
  <c r="DI193" i="25"/>
  <c r="DJ312" i="25"/>
  <c r="DI312" i="25"/>
  <c r="DJ33" i="25"/>
  <c r="DI33" i="25"/>
  <c r="DJ263" i="25"/>
  <c r="DI263" i="25"/>
  <c r="DJ119" i="25"/>
  <c r="DI119" i="25"/>
  <c r="DJ121" i="25"/>
  <c r="DI121" i="25"/>
  <c r="DJ11" i="25"/>
  <c r="DI11" i="25"/>
  <c r="DJ296" i="25"/>
  <c r="DI296" i="25"/>
  <c r="DJ224" i="25"/>
  <c r="DI224" i="25"/>
  <c r="DJ43" i="25"/>
  <c r="DI43" i="25"/>
  <c r="DJ29" i="25"/>
  <c r="DI29" i="25"/>
  <c r="DJ266" i="25"/>
  <c r="DI266" i="25"/>
  <c r="DM95" i="25"/>
  <c r="DJ254" i="25"/>
  <c r="DI254" i="25"/>
  <c r="DM200" i="25"/>
  <c r="DJ284" i="25"/>
  <c r="DI284" i="25"/>
  <c r="DJ34" i="25"/>
  <c r="DI34" i="25"/>
  <c r="DM283" i="25"/>
  <c r="DW283" i="25" s="1"/>
  <c r="DM232" i="25"/>
  <c r="DW232" i="25" s="1"/>
  <c r="DJ299" i="25"/>
  <c r="DI299" i="25"/>
  <c r="DM58" i="25"/>
  <c r="DM179" i="25"/>
  <c r="DJ103" i="25"/>
  <c r="DI103" i="25"/>
  <c r="DJ202" i="25"/>
  <c r="DI202" i="25"/>
  <c r="DJ257" i="25"/>
  <c r="DI257" i="25"/>
  <c r="DM97" i="25"/>
  <c r="DJ42" i="25"/>
  <c r="DI42" i="25"/>
  <c r="DM131" i="25"/>
  <c r="DJ59" i="25"/>
  <c r="DI59" i="25"/>
  <c r="DJ78" i="25"/>
  <c r="DI78" i="25"/>
  <c r="DJ190" i="25"/>
  <c r="DI190" i="25"/>
  <c r="DM174" i="25"/>
  <c r="DM269" i="25"/>
  <c r="DW269" i="25" s="1"/>
  <c r="DW7" i="25"/>
  <c r="DM241" i="25"/>
  <c r="DW241" i="25" s="1"/>
  <c r="DM279" i="25"/>
  <c r="DW279" i="25" s="1"/>
  <c r="DM180" i="25"/>
  <c r="DC251" i="24"/>
  <c r="DC196" i="24"/>
  <c r="DC191" i="24"/>
  <c r="DC297" i="24"/>
  <c r="DC237" i="24"/>
  <c r="DC220" i="24"/>
  <c r="DC313" i="24"/>
  <c r="DC282" i="24"/>
  <c r="DC286" i="24"/>
  <c r="DC290" i="24"/>
  <c r="DC244" i="24"/>
  <c r="DC306" i="24"/>
  <c r="DC224" i="24"/>
  <c r="DC233" i="24"/>
  <c r="DC126" i="24"/>
  <c r="DC147" i="24"/>
  <c r="DC137" i="24"/>
  <c r="DC193" i="24"/>
  <c r="DC247" i="24"/>
  <c r="DC118" i="24"/>
  <c r="DC312" i="24"/>
  <c r="DC225" i="24"/>
  <c r="DC218" i="24"/>
  <c r="DC270" i="24"/>
  <c r="DC175" i="24"/>
  <c r="DC295" i="24"/>
  <c r="DC207" i="24"/>
  <c r="DC311" i="24"/>
  <c r="DC167" i="24"/>
  <c r="DC179" i="24"/>
  <c r="DC180" i="24"/>
  <c r="DC125" i="24"/>
  <c r="DC303" i="24"/>
  <c r="DC231" i="24"/>
  <c r="DB210" i="24"/>
  <c r="DE210" i="24" s="1"/>
  <c r="DF210" i="24" s="1"/>
  <c r="DG210" i="24" s="1"/>
  <c r="DI210" i="24"/>
  <c r="DM210" i="24"/>
  <c r="DB181" i="24"/>
  <c r="DE181" i="24" s="1"/>
  <c r="DF181" i="24" s="1"/>
  <c r="DG181" i="24" s="1"/>
  <c r="DI181" i="24"/>
  <c r="DM181" i="24"/>
  <c r="DC204" i="24"/>
  <c r="DA91" i="24"/>
  <c r="DC91" i="24" s="1"/>
  <c r="DI91" i="24"/>
  <c r="DB91" i="24"/>
  <c r="DE91" i="24" s="1"/>
  <c r="DF91" i="24" s="1"/>
  <c r="DG91" i="24" s="1"/>
  <c r="DM91" i="24"/>
  <c r="DI27" i="24"/>
  <c r="DB27" i="24"/>
  <c r="DE27" i="24" s="1"/>
  <c r="DF27" i="24" s="1"/>
  <c r="DG27" i="24" s="1"/>
  <c r="DM27" i="24"/>
  <c r="DB271" i="24"/>
  <c r="DE271" i="24" s="1"/>
  <c r="DF271" i="24" s="1"/>
  <c r="DG271" i="24" s="1"/>
  <c r="DI271" i="24"/>
  <c r="DM271" i="24"/>
  <c r="DI197" i="24"/>
  <c r="DB197" i="24"/>
  <c r="DE197" i="24" s="1"/>
  <c r="DF197" i="24" s="1"/>
  <c r="DG197" i="24" s="1"/>
  <c r="DM197" i="24"/>
  <c r="DI79" i="24"/>
  <c r="DB79" i="24"/>
  <c r="DE79" i="24" s="1"/>
  <c r="DF79" i="24" s="1"/>
  <c r="DG79" i="24" s="1"/>
  <c r="DM79" i="24"/>
  <c r="DB80" i="24"/>
  <c r="DE80" i="24" s="1"/>
  <c r="DF80" i="24" s="1"/>
  <c r="DG80" i="24" s="1"/>
  <c r="DI80" i="24"/>
  <c r="DM80" i="24"/>
  <c r="DI254" i="24"/>
  <c r="DB254" i="24"/>
  <c r="DE254" i="24" s="1"/>
  <c r="DF254" i="24" s="1"/>
  <c r="DG254" i="24" s="1"/>
  <c r="DM254" i="24"/>
  <c r="DB56" i="24"/>
  <c r="DE56" i="24" s="1"/>
  <c r="DF56" i="24" s="1"/>
  <c r="DG56" i="24" s="1"/>
  <c r="DI56" i="24"/>
  <c r="DM56" i="24"/>
  <c r="DI112" i="24"/>
  <c r="DB112" i="24"/>
  <c r="DE112" i="24" s="1"/>
  <c r="DF112" i="24" s="1"/>
  <c r="DG112" i="24" s="1"/>
  <c r="DM112" i="24"/>
  <c r="DI137" i="24"/>
  <c r="DB137" i="24"/>
  <c r="DE137" i="24" s="1"/>
  <c r="DF137" i="24" s="1"/>
  <c r="DG137" i="24" s="1"/>
  <c r="DM137" i="24"/>
  <c r="DI100" i="24"/>
  <c r="DB100" i="24"/>
  <c r="DE100" i="24" s="1"/>
  <c r="DF100" i="24" s="1"/>
  <c r="DG100" i="24" s="1"/>
  <c r="DM100" i="24"/>
  <c r="DI312" i="24"/>
  <c r="DB312" i="24"/>
  <c r="DE312" i="24" s="1"/>
  <c r="DF312" i="24" s="1"/>
  <c r="DG312" i="24" s="1"/>
  <c r="DM312" i="24"/>
  <c r="DI222" i="24"/>
  <c r="DB222" i="24"/>
  <c r="DE222" i="24" s="1"/>
  <c r="DF222" i="24" s="1"/>
  <c r="DG222" i="24" s="1"/>
  <c r="DM222" i="24"/>
  <c r="DI207" i="24"/>
  <c r="DB207" i="24"/>
  <c r="DE207" i="24" s="1"/>
  <c r="DF207" i="24" s="1"/>
  <c r="DG207" i="24" s="1"/>
  <c r="DM207" i="24"/>
  <c r="DC131" i="24"/>
  <c r="DI173" i="24"/>
  <c r="DB173" i="24"/>
  <c r="DE173" i="24" s="1"/>
  <c r="DF173" i="24" s="1"/>
  <c r="DG173" i="24" s="1"/>
  <c r="DM173" i="24"/>
  <c r="DI60" i="24"/>
  <c r="DB60" i="24"/>
  <c r="DE60" i="24" s="1"/>
  <c r="DF60" i="24" s="1"/>
  <c r="DG60" i="24" s="1"/>
  <c r="DM60" i="24"/>
  <c r="DB290" i="24"/>
  <c r="DE290" i="24" s="1"/>
  <c r="DF290" i="24" s="1"/>
  <c r="DG290" i="24" s="1"/>
  <c r="DI290" i="24"/>
  <c r="DM290" i="24"/>
  <c r="DA222" i="24"/>
  <c r="DC222" i="24" s="1"/>
  <c r="DC242" i="24"/>
  <c r="DC132" i="24"/>
  <c r="DI123" i="24"/>
  <c r="DB123" i="24"/>
  <c r="DE123" i="24" s="1"/>
  <c r="DF123" i="24" s="1"/>
  <c r="DG123" i="24" s="1"/>
  <c r="DM123" i="24"/>
  <c r="DI72" i="24"/>
  <c r="DB72" i="24"/>
  <c r="DE72" i="24" s="1"/>
  <c r="DF72" i="24" s="1"/>
  <c r="DG72" i="24" s="1"/>
  <c r="DM72" i="24"/>
  <c r="DC283" i="24"/>
  <c r="DI309" i="24"/>
  <c r="DB309" i="24"/>
  <c r="DE309" i="24" s="1"/>
  <c r="DF309" i="24" s="1"/>
  <c r="DG309" i="24" s="1"/>
  <c r="DM309" i="24"/>
  <c r="DA89" i="24"/>
  <c r="DC89" i="24" s="1"/>
  <c r="DB89" i="24"/>
  <c r="DE89" i="24" s="1"/>
  <c r="DF89" i="24" s="1"/>
  <c r="DG89" i="24" s="1"/>
  <c r="DI89" i="24"/>
  <c r="DM89" i="24"/>
  <c r="DB205" i="24"/>
  <c r="DE205" i="24" s="1"/>
  <c r="DF205" i="24" s="1"/>
  <c r="DG205" i="24" s="1"/>
  <c r="DI205" i="24"/>
  <c r="DM205" i="24"/>
  <c r="DB289" i="24"/>
  <c r="DE289" i="24" s="1"/>
  <c r="DF289" i="24" s="1"/>
  <c r="DG289" i="24" s="1"/>
  <c r="DI289" i="24"/>
  <c r="DM289" i="24"/>
  <c r="DI234" i="24"/>
  <c r="DB234" i="24"/>
  <c r="DE234" i="24" s="1"/>
  <c r="DF234" i="24" s="1"/>
  <c r="DG234" i="24" s="1"/>
  <c r="DM234" i="24"/>
  <c r="DC267" i="24"/>
  <c r="DI29" i="24"/>
  <c r="DB29" i="24"/>
  <c r="DE29" i="24" s="1"/>
  <c r="DF29" i="24" s="1"/>
  <c r="DG29" i="24" s="1"/>
  <c r="DM29" i="24"/>
  <c r="DI224" i="24"/>
  <c r="DB224" i="24"/>
  <c r="DE224" i="24" s="1"/>
  <c r="DF224" i="24" s="1"/>
  <c r="DG224" i="24" s="1"/>
  <c r="DM224" i="24"/>
  <c r="DB20" i="24"/>
  <c r="DE20" i="24" s="1"/>
  <c r="DF20" i="24" s="1"/>
  <c r="DG20" i="24" s="1"/>
  <c r="DI20" i="24"/>
  <c r="DM20" i="24"/>
  <c r="DI73" i="24"/>
  <c r="DB73" i="24"/>
  <c r="DE73" i="24" s="1"/>
  <c r="DF73" i="24" s="1"/>
  <c r="DG73" i="24" s="1"/>
  <c r="DM73" i="24"/>
  <c r="DB267" i="24"/>
  <c r="DE267" i="24" s="1"/>
  <c r="DF267" i="24" s="1"/>
  <c r="DG267" i="24" s="1"/>
  <c r="DI267" i="24"/>
  <c r="DM267" i="24"/>
  <c r="DI158" i="24"/>
  <c r="DB158" i="24"/>
  <c r="DE158" i="24" s="1"/>
  <c r="DF158" i="24" s="1"/>
  <c r="DG158" i="24" s="1"/>
  <c r="DM158" i="24"/>
  <c r="DI94" i="24"/>
  <c r="DB94" i="24"/>
  <c r="DE94" i="24" s="1"/>
  <c r="DF94" i="24" s="1"/>
  <c r="DG94" i="24" s="1"/>
  <c r="DM94" i="24"/>
  <c r="DI135" i="24"/>
  <c r="DB135" i="24"/>
  <c r="DE135" i="24" s="1"/>
  <c r="DF135" i="24" s="1"/>
  <c r="DG135" i="24" s="1"/>
  <c r="DM135" i="24"/>
  <c r="DB235" i="24"/>
  <c r="DE235" i="24" s="1"/>
  <c r="DF235" i="24" s="1"/>
  <c r="DG235" i="24" s="1"/>
  <c r="DI235" i="24"/>
  <c r="DM235" i="24"/>
  <c r="DI256" i="24"/>
  <c r="DB256" i="24"/>
  <c r="DE256" i="24" s="1"/>
  <c r="DF256" i="24" s="1"/>
  <c r="DG256" i="24" s="1"/>
  <c r="DM256" i="24"/>
  <c r="DI241" i="24"/>
  <c r="DB241" i="24"/>
  <c r="DE241" i="24" s="1"/>
  <c r="DF241" i="24" s="1"/>
  <c r="DG241" i="24" s="1"/>
  <c r="DM241" i="24"/>
  <c r="DI82" i="24"/>
  <c r="DB82" i="24"/>
  <c r="DE82" i="24" s="1"/>
  <c r="DF82" i="24" s="1"/>
  <c r="DG82" i="24" s="1"/>
  <c r="DM82" i="24"/>
  <c r="DA201" i="24"/>
  <c r="DC201" i="24" s="1"/>
  <c r="DB201" i="24"/>
  <c r="DE201" i="24" s="1"/>
  <c r="DF201" i="24" s="1"/>
  <c r="DG201" i="24" s="1"/>
  <c r="DI201" i="24"/>
  <c r="DM201" i="24"/>
  <c r="DB251" i="24"/>
  <c r="DE251" i="24" s="1"/>
  <c r="DF251" i="24" s="1"/>
  <c r="DG251" i="24" s="1"/>
  <c r="DI251" i="24"/>
  <c r="DM251" i="24"/>
  <c r="DB84" i="24"/>
  <c r="DE84" i="24" s="1"/>
  <c r="DF84" i="24" s="1"/>
  <c r="DG84" i="24" s="1"/>
  <c r="DI84" i="24"/>
  <c r="DM84" i="24"/>
  <c r="DC151" i="24"/>
  <c r="DB61" i="24"/>
  <c r="DE61" i="24" s="1"/>
  <c r="DF61" i="24" s="1"/>
  <c r="DG61" i="24" s="1"/>
  <c r="DI61" i="24"/>
  <c r="DM61" i="24"/>
  <c r="DB46" i="24"/>
  <c r="DE46" i="24" s="1"/>
  <c r="DF46" i="24" s="1"/>
  <c r="DG46" i="24" s="1"/>
  <c r="DI46" i="24"/>
  <c r="DM46" i="24"/>
  <c r="DC155" i="24"/>
  <c r="DI273" i="24"/>
  <c r="DB273" i="24"/>
  <c r="DE273" i="24" s="1"/>
  <c r="DF273" i="24" s="1"/>
  <c r="DG273" i="24" s="1"/>
  <c r="DM273" i="24"/>
  <c r="DB126" i="24"/>
  <c r="DE126" i="24" s="1"/>
  <c r="DF126" i="24" s="1"/>
  <c r="DG126" i="24" s="1"/>
  <c r="DI126" i="24"/>
  <c r="DM126" i="24"/>
  <c r="DB129" i="24"/>
  <c r="DE129" i="24" s="1"/>
  <c r="DF129" i="24" s="1"/>
  <c r="DG129" i="24" s="1"/>
  <c r="DI129" i="24"/>
  <c r="DM129" i="24"/>
  <c r="DI99" i="24"/>
  <c r="DB99" i="24"/>
  <c r="DE99" i="24" s="1"/>
  <c r="DF99" i="24" s="1"/>
  <c r="DG99" i="24" s="1"/>
  <c r="DM99" i="24"/>
  <c r="DC199" i="24"/>
  <c r="DC169" i="24"/>
  <c r="DB10" i="24"/>
  <c r="DE10" i="24" s="1"/>
  <c r="DF10" i="24" s="1"/>
  <c r="DG10" i="24" s="1"/>
  <c r="DI10" i="24"/>
  <c r="DM10" i="24"/>
  <c r="DC291" i="24"/>
  <c r="DC128" i="24"/>
  <c r="DB93" i="24"/>
  <c r="DE93" i="24" s="1"/>
  <c r="DF93" i="24" s="1"/>
  <c r="DG93" i="24" s="1"/>
  <c r="DI93" i="24"/>
  <c r="DM93" i="24"/>
  <c r="DB43" i="24"/>
  <c r="DE43" i="24" s="1"/>
  <c r="DF43" i="24" s="1"/>
  <c r="DG43" i="24" s="1"/>
  <c r="DI43" i="24"/>
  <c r="DM43" i="24"/>
  <c r="DB313" i="24"/>
  <c r="DE313" i="24" s="1"/>
  <c r="DF313" i="24" s="1"/>
  <c r="DG313" i="24" s="1"/>
  <c r="DI313" i="24"/>
  <c r="DM313" i="24"/>
  <c r="DA158" i="24"/>
  <c r="DC158" i="24" s="1"/>
  <c r="DA94" i="24"/>
  <c r="DC94" i="24" s="1"/>
  <c r="DC252" i="24"/>
  <c r="DB186" i="24"/>
  <c r="DE186" i="24" s="1"/>
  <c r="DF186" i="24" s="1"/>
  <c r="DG186" i="24" s="1"/>
  <c r="DI186" i="24"/>
  <c r="DM186" i="24"/>
  <c r="DA112" i="24"/>
  <c r="DC112" i="24" s="1"/>
  <c r="DC164" i="24"/>
  <c r="DI162" i="24"/>
  <c r="DB162" i="24"/>
  <c r="DE162" i="24" s="1"/>
  <c r="DF162" i="24" s="1"/>
  <c r="DG162" i="24" s="1"/>
  <c r="DM162" i="24"/>
  <c r="DC206" i="24"/>
  <c r="DI15" i="24"/>
  <c r="DB15" i="24"/>
  <c r="DE15" i="24" s="1"/>
  <c r="DF15" i="24" s="1"/>
  <c r="DG15" i="24" s="1"/>
  <c r="DM15" i="24"/>
  <c r="DI98" i="24"/>
  <c r="DB98" i="24"/>
  <c r="DE98" i="24" s="1"/>
  <c r="DF98" i="24" s="1"/>
  <c r="DG98" i="24" s="1"/>
  <c r="DM98" i="24"/>
  <c r="DI40" i="24"/>
  <c r="DB40" i="24"/>
  <c r="DE40" i="24" s="1"/>
  <c r="DF40" i="24" s="1"/>
  <c r="DG40" i="24" s="1"/>
  <c r="DM40" i="24"/>
  <c r="DI66" i="24"/>
  <c r="DB66" i="24"/>
  <c r="DE66" i="24" s="1"/>
  <c r="DF66" i="24" s="1"/>
  <c r="DG66" i="24" s="1"/>
  <c r="DM66" i="24"/>
  <c r="DI264" i="24"/>
  <c r="DB264" i="24"/>
  <c r="DE264" i="24" s="1"/>
  <c r="DF264" i="24" s="1"/>
  <c r="DG264" i="24" s="1"/>
  <c r="DM264" i="24"/>
  <c r="DI291" i="24"/>
  <c r="DB291" i="24"/>
  <c r="DE291" i="24" s="1"/>
  <c r="DF291" i="24" s="1"/>
  <c r="DG291" i="24" s="1"/>
  <c r="DM291" i="24"/>
  <c r="DC281" i="24"/>
  <c r="DB136" i="24"/>
  <c r="DE136" i="24" s="1"/>
  <c r="DF136" i="24" s="1"/>
  <c r="DG136" i="24" s="1"/>
  <c r="DI136" i="24"/>
  <c r="DM136" i="24"/>
  <c r="DC209" i="24"/>
  <c r="DB226" i="24"/>
  <c r="DE226" i="24" s="1"/>
  <c r="DF226" i="24" s="1"/>
  <c r="DG226" i="24" s="1"/>
  <c r="DI226" i="24"/>
  <c r="DM226" i="24"/>
  <c r="DA171" i="24"/>
  <c r="DC171" i="24" s="1"/>
  <c r="DI171" i="24"/>
  <c r="DB171" i="24"/>
  <c r="DE171" i="24" s="1"/>
  <c r="DF171" i="24" s="1"/>
  <c r="DG171" i="24" s="1"/>
  <c r="DM171" i="24"/>
  <c r="DI41" i="24"/>
  <c r="DB41" i="24"/>
  <c r="DE41" i="24" s="1"/>
  <c r="DF41" i="24" s="1"/>
  <c r="DG41" i="24" s="1"/>
  <c r="DM41" i="24"/>
  <c r="DI146" i="24"/>
  <c r="DB146" i="24"/>
  <c r="DE146" i="24" s="1"/>
  <c r="DF146" i="24" s="1"/>
  <c r="DG146" i="24" s="1"/>
  <c r="DM146" i="24"/>
  <c r="DM255" i="24"/>
  <c r="DB255" i="24"/>
  <c r="DE255" i="24" s="1"/>
  <c r="DF255" i="24" s="1"/>
  <c r="DG255" i="24" s="1"/>
  <c r="DI255" i="24"/>
  <c r="DB259" i="24"/>
  <c r="DE259" i="24" s="1"/>
  <c r="DF259" i="24" s="1"/>
  <c r="DG259" i="24" s="1"/>
  <c r="DI259" i="24"/>
  <c r="DM259" i="24"/>
  <c r="DB133" i="24"/>
  <c r="DE133" i="24" s="1"/>
  <c r="DF133" i="24" s="1"/>
  <c r="DG133" i="24" s="1"/>
  <c r="DI133" i="24"/>
  <c r="DM133" i="24"/>
  <c r="DB30" i="24"/>
  <c r="DE30" i="24" s="1"/>
  <c r="DF30" i="24" s="1"/>
  <c r="DG30" i="24" s="1"/>
  <c r="DI30" i="24"/>
  <c r="DM30" i="24"/>
  <c r="DC268" i="24"/>
  <c r="DI53" i="24"/>
  <c r="DB53" i="24"/>
  <c r="DE53" i="24" s="1"/>
  <c r="DF53" i="24" s="1"/>
  <c r="DG53" i="24" s="1"/>
  <c r="DM53" i="24"/>
  <c r="DI121" i="24"/>
  <c r="DB121" i="24"/>
  <c r="DE121" i="24" s="1"/>
  <c r="DF121" i="24" s="1"/>
  <c r="DG121" i="24" s="1"/>
  <c r="DM121" i="24"/>
  <c r="DI90" i="24"/>
  <c r="DB90" i="24"/>
  <c r="DE90" i="24" s="1"/>
  <c r="DF90" i="24" s="1"/>
  <c r="DG90" i="24" s="1"/>
  <c r="DM90" i="24"/>
  <c r="DC129" i="24"/>
  <c r="DI308" i="24"/>
  <c r="DB308" i="24"/>
  <c r="DE308" i="24" s="1"/>
  <c r="DF308" i="24" s="1"/>
  <c r="DG308" i="24" s="1"/>
  <c r="DM308" i="24"/>
  <c r="DA256" i="24"/>
  <c r="DC256" i="24" s="1"/>
  <c r="DI295" i="24"/>
  <c r="DB295" i="24"/>
  <c r="DE295" i="24" s="1"/>
  <c r="DF295" i="24" s="1"/>
  <c r="DG295" i="24" s="1"/>
  <c r="DM295" i="24"/>
  <c r="DI97" i="24"/>
  <c r="DB97" i="24"/>
  <c r="DE97" i="24" s="1"/>
  <c r="DF97" i="24" s="1"/>
  <c r="DG97" i="24" s="1"/>
  <c r="DM97" i="24"/>
  <c r="DI31" i="24"/>
  <c r="DB31" i="24"/>
  <c r="DE31" i="24" s="1"/>
  <c r="DF31" i="24" s="1"/>
  <c r="DG31" i="24" s="1"/>
  <c r="DM31" i="24"/>
  <c r="DC178" i="24"/>
  <c r="DI8" i="24"/>
  <c r="DB8" i="24"/>
  <c r="DE8" i="24" s="1"/>
  <c r="DF8" i="24" s="1"/>
  <c r="DG8" i="24" s="1"/>
  <c r="DM8" i="24"/>
  <c r="DB279" i="24"/>
  <c r="DE279" i="24" s="1"/>
  <c r="DF279" i="24" s="1"/>
  <c r="DG279" i="24" s="1"/>
  <c r="DI279" i="24"/>
  <c r="DM279" i="24"/>
  <c r="DA79" i="24"/>
  <c r="DC79" i="24" s="1"/>
  <c r="DA184" i="24"/>
  <c r="DC184" i="24" s="1"/>
  <c r="DI184" i="24"/>
  <c r="DB184" i="24"/>
  <c r="DE184" i="24" s="1"/>
  <c r="DF184" i="24" s="1"/>
  <c r="DG184" i="24" s="1"/>
  <c r="DM184" i="24"/>
  <c r="DA261" i="24"/>
  <c r="DC261" i="24" s="1"/>
  <c r="DI261" i="24"/>
  <c r="DB261" i="24"/>
  <c r="DE261" i="24" s="1"/>
  <c r="DF261" i="24" s="1"/>
  <c r="DG261" i="24" s="1"/>
  <c r="DM261" i="24"/>
  <c r="DI265" i="24"/>
  <c r="DB265" i="24"/>
  <c r="DE265" i="24" s="1"/>
  <c r="DF265" i="24" s="1"/>
  <c r="DG265" i="24" s="1"/>
  <c r="DM265" i="24"/>
  <c r="DA27" i="24"/>
  <c r="DC27" i="24" s="1"/>
  <c r="DI69" i="24"/>
  <c r="DB69" i="24"/>
  <c r="DE69" i="24" s="1"/>
  <c r="DF69" i="24" s="1"/>
  <c r="DG69" i="24" s="1"/>
  <c r="DM69" i="24"/>
  <c r="DI44" i="24"/>
  <c r="DB44" i="24"/>
  <c r="DE44" i="24" s="1"/>
  <c r="DF44" i="24" s="1"/>
  <c r="DG44" i="24" s="1"/>
  <c r="DM44" i="24"/>
  <c r="DB272" i="24"/>
  <c r="DE272" i="24" s="1"/>
  <c r="DF272" i="24" s="1"/>
  <c r="DG272" i="24" s="1"/>
  <c r="DI272" i="24"/>
  <c r="DM272" i="24"/>
  <c r="DI220" i="24"/>
  <c r="DB220" i="24"/>
  <c r="DE220" i="24" s="1"/>
  <c r="DF220" i="24" s="1"/>
  <c r="DG220" i="24" s="1"/>
  <c r="DM220" i="24"/>
  <c r="DC262" i="24"/>
  <c r="DA271" i="24"/>
  <c r="DC271" i="24" s="1"/>
  <c r="DB160" i="24"/>
  <c r="DE160" i="24" s="1"/>
  <c r="DF160" i="24" s="1"/>
  <c r="DG160" i="24" s="1"/>
  <c r="DI160" i="24"/>
  <c r="DM160" i="24"/>
  <c r="DB284" i="24"/>
  <c r="DE284" i="24" s="1"/>
  <c r="DF284" i="24" s="1"/>
  <c r="DG284" i="24" s="1"/>
  <c r="DI284" i="24"/>
  <c r="DM284" i="24"/>
  <c r="DC120" i="24"/>
  <c r="DI281" i="24"/>
  <c r="DB281" i="24"/>
  <c r="DE281" i="24" s="1"/>
  <c r="DF281" i="24" s="1"/>
  <c r="DG281" i="24" s="1"/>
  <c r="DM281" i="24"/>
  <c r="DA70" i="24"/>
  <c r="DC70" i="24" s="1"/>
  <c r="DI70" i="24"/>
  <c r="DB70" i="24"/>
  <c r="DE70" i="24" s="1"/>
  <c r="DF70" i="24" s="1"/>
  <c r="DG70" i="24" s="1"/>
  <c r="DM70" i="24"/>
  <c r="DA83" i="24"/>
  <c r="DC83" i="24" s="1"/>
  <c r="DI83" i="24"/>
  <c r="DB83" i="24"/>
  <c r="DE83" i="24" s="1"/>
  <c r="DF83" i="24" s="1"/>
  <c r="DG83" i="24" s="1"/>
  <c r="DM83" i="24"/>
  <c r="DA284" i="24"/>
  <c r="DC284" i="24" s="1"/>
  <c r="DI307" i="24"/>
  <c r="DB307" i="24"/>
  <c r="DE307" i="24" s="1"/>
  <c r="DF307" i="24" s="1"/>
  <c r="DG307" i="24" s="1"/>
  <c r="DM307" i="24"/>
  <c r="DI297" i="24"/>
  <c r="DB297" i="24"/>
  <c r="DE297" i="24" s="1"/>
  <c r="DF297" i="24" s="1"/>
  <c r="DG297" i="24" s="1"/>
  <c r="DM297" i="24"/>
  <c r="DC302" i="24"/>
  <c r="DC253" i="24"/>
  <c r="DB283" i="24"/>
  <c r="DE283" i="24" s="1"/>
  <c r="DF283" i="24" s="1"/>
  <c r="DG283" i="24" s="1"/>
  <c r="DI283" i="24"/>
  <c r="DM283" i="24"/>
  <c r="DC238" i="24"/>
  <c r="DB172" i="24"/>
  <c r="DE172" i="24" s="1"/>
  <c r="DF172" i="24" s="1"/>
  <c r="DG172" i="24" s="1"/>
  <c r="DI172" i="24"/>
  <c r="DM172" i="24"/>
  <c r="DC289" i="24"/>
  <c r="DI47" i="24"/>
  <c r="DB47" i="24"/>
  <c r="DE47" i="24" s="1"/>
  <c r="DF47" i="24" s="1"/>
  <c r="DG47" i="24" s="1"/>
  <c r="DM47" i="24"/>
  <c r="DM242" i="24"/>
  <c r="DI242" i="24"/>
  <c r="DB242" i="24"/>
  <c r="DE242" i="24" s="1"/>
  <c r="DF242" i="24" s="1"/>
  <c r="DG242" i="24" s="1"/>
  <c r="DI286" i="24"/>
  <c r="DB286" i="24"/>
  <c r="DE286" i="24" s="1"/>
  <c r="DF286" i="24" s="1"/>
  <c r="DG286" i="24" s="1"/>
  <c r="DM286" i="24"/>
  <c r="DA18" i="24"/>
  <c r="DC18" i="24" s="1"/>
  <c r="DI18" i="24"/>
  <c r="DB18" i="24"/>
  <c r="DE18" i="24" s="1"/>
  <c r="DF18" i="24" s="1"/>
  <c r="DG18" i="24" s="1"/>
  <c r="DM18" i="24"/>
  <c r="DC113" i="24"/>
  <c r="DC296" i="24"/>
  <c r="DI6" i="24"/>
  <c r="DB6" i="24"/>
  <c r="DE6" i="24" s="1"/>
  <c r="DF6" i="24" s="1"/>
  <c r="DG6" i="24" s="1"/>
  <c r="DM6" i="24"/>
  <c r="DI153" i="24"/>
  <c r="DB153" i="24"/>
  <c r="DE153" i="24" s="1"/>
  <c r="DF153" i="24" s="1"/>
  <c r="DG153" i="24" s="1"/>
  <c r="DM153" i="24"/>
  <c r="DC277" i="24"/>
  <c r="DI36" i="24"/>
  <c r="DB36" i="24"/>
  <c r="DE36" i="24" s="1"/>
  <c r="DF36" i="24" s="1"/>
  <c r="DG36" i="24" s="1"/>
  <c r="DM36" i="24"/>
  <c r="DB192" i="24"/>
  <c r="DE192" i="24" s="1"/>
  <c r="DF192" i="24" s="1"/>
  <c r="DG192" i="24" s="1"/>
  <c r="DI192" i="24"/>
  <c r="DM192" i="24"/>
  <c r="DA226" i="24"/>
  <c r="DC226" i="24" s="1"/>
  <c r="DI96" i="24"/>
  <c r="DB96" i="24"/>
  <c r="DE96" i="24" s="1"/>
  <c r="DF96" i="24" s="1"/>
  <c r="DG96" i="24" s="1"/>
  <c r="DM96" i="24"/>
  <c r="DI145" i="24"/>
  <c r="DB145" i="24"/>
  <c r="DE145" i="24" s="1"/>
  <c r="DF145" i="24" s="1"/>
  <c r="DG145" i="24" s="1"/>
  <c r="DM145" i="24"/>
  <c r="DM128" i="24"/>
  <c r="DI128" i="24"/>
  <c r="DB128" i="24"/>
  <c r="DE128" i="24" s="1"/>
  <c r="DF128" i="24" s="1"/>
  <c r="DG128" i="24" s="1"/>
  <c r="DC160" i="24"/>
  <c r="DI304" i="24"/>
  <c r="DB304" i="24"/>
  <c r="DE304" i="24" s="1"/>
  <c r="DF304" i="24" s="1"/>
  <c r="DG304" i="24" s="1"/>
  <c r="DM304" i="24"/>
  <c r="DA245" i="24"/>
  <c r="DC245" i="24" s="1"/>
  <c r="DI245" i="24"/>
  <c r="DB245" i="24"/>
  <c r="DE245" i="24" s="1"/>
  <c r="DF245" i="24" s="1"/>
  <c r="DG245" i="24" s="1"/>
  <c r="DM245" i="24"/>
  <c r="DI315" i="24"/>
  <c r="DB315" i="24"/>
  <c r="DE315" i="24" s="1"/>
  <c r="DF315" i="24" s="1"/>
  <c r="DG315" i="24" s="1"/>
  <c r="DM315" i="24"/>
  <c r="DI249" i="24"/>
  <c r="DB249" i="24"/>
  <c r="DE249" i="24" s="1"/>
  <c r="DF249" i="24" s="1"/>
  <c r="DG249" i="24" s="1"/>
  <c r="DM249" i="24"/>
  <c r="DI63" i="24"/>
  <c r="DB63" i="24"/>
  <c r="DE63" i="24" s="1"/>
  <c r="DF63" i="24" s="1"/>
  <c r="DG63" i="24" s="1"/>
  <c r="DM63" i="24"/>
  <c r="DI174" i="24"/>
  <c r="DB174" i="24"/>
  <c r="DE174" i="24" s="1"/>
  <c r="DF174" i="24" s="1"/>
  <c r="DG174" i="24" s="1"/>
  <c r="DM174" i="24"/>
  <c r="DA315" i="24"/>
  <c r="DC315" i="24" s="1"/>
  <c r="DC316" i="24"/>
  <c r="DA65" i="24"/>
  <c r="DC65" i="24" s="1"/>
  <c r="DI65" i="24"/>
  <c r="DB65" i="24"/>
  <c r="DE65" i="24" s="1"/>
  <c r="DF65" i="24" s="1"/>
  <c r="DG65" i="24" s="1"/>
  <c r="DM65" i="24"/>
  <c r="DB175" i="24"/>
  <c r="DE175" i="24" s="1"/>
  <c r="DF175" i="24" s="1"/>
  <c r="DG175" i="24" s="1"/>
  <c r="DI175" i="24"/>
  <c r="DM175" i="24"/>
  <c r="DI188" i="24"/>
  <c r="DB188" i="24"/>
  <c r="DE188" i="24" s="1"/>
  <c r="DF188" i="24" s="1"/>
  <c r="DG188" i="24" s="1"/>
  <c r="DM188" i="24"/>
  <c r="DI101" i="24"/>
  <c r="DB101" i="24"/>
  <c r="DE101" i="24" s="1"/>
  <c r="DF101" i="24" s="1"/>
  <c r="DG101" i="24" s="1"/>
  <c r="DM101" i="24"/>
  <c r="DB166" i="24"/>
  <c r="DE166" i="24" s="1"/>
  <c r="DF166" i="24" s="1"/>
  <c r="DG166" i="24" s="1"/>
  <c r="DI166" i="24"/>
  <c r="DM166" i="24"/>
  <c r="DC140" i="24"/>
  <c r="DC142" i="24"/>
  <c r="DI316" i="24"/>
  <c r="DB316" i="24"/>
  <c r="DE316" i="24" s="1"/>
  <c r="DF316" i="24" s="1"/>
  <c r="DG316" i="24" s="1"/>
  <c r="DM316" i="24"/>
  <c r="DA97" i="24"/>
  <c r="DC97" i="24" s="1"/>
  <c r="DC154" i="24"/>
  <c r="DI231" i="24"/>
  <c r="DB231" i="24"/>
  <c r="DE231" i="24" s="1"/>
  <c r="DF231" i="24" s="1"/>
  <c r="DG231" i="24" s="1"/>
  <c r="DM231" i="24"/>
  <c r="DI105" i="24"/>
  <c r="DB105" i="24"/>
  <c r="DE105" i="24" s="1"/>
  <c r="DF105" i="24" s="1"/>
  <c r="DG105" i="24" s="1"/>
  <c r="DM105" i="24"/>
  <c r="DI292" i="24"/>
  <c r="DB292" i="24"/>
  <c r="DE292" i="24" s="1"/>
  <c r="DF292" i="24" s="1"/>
  <c r="DG292" i="24" s="1"/>
  <c r="DM292" i="24"/>
  <c r="DC152" i="24"/>
  <c r="DI87" i="24"/>
  <c r="DB87" i="24"/>
  <c r="DE87" i="24" s="1"/>
  <c r="DF87" i="24" s="1"/>
  <c r="DG87" i="24" s="1"/>
  <c r="DM87" i="24"/>
  <c r="DA99" i="24"/>
  <c r="DC99" i="24" s="1"/>
  <c r="DA28" i="24"/>
  <c r="DC28" i="24" s="1"/>
  <c r="DI28" i="24"/>
  <c r="DB28" i="24"/>
  <c r="DE28" i="24" s="1"/>
  <c r="DF28" i="24" s="1"/>
  <c r="DG28" i="24" s="1"/>
  <c r="DM28" i="24"/>
  <c r="DI32" i="24"/>
  <c r="DB32" i="24"/>
  <c r="DE32" i="24" s="1"/>
  <c r="DF32" i="24" s="1"/>
  <c r="DG32" i="24" s="1"/>
  <c r="DM32" i="24"/>
  <c r="DI16" i="24"/>
  <c r="DB16" i="24"/>
  <c r="DE16" i="24" s="1"/>
  <c r="DF16" i="24" s="1"/>
  <c r="DG16" i="24" s="1"/>
  <c r="DM16" i="24"/>
  <c r="DB275" i="24"/>
  <c r="DE275" i="24" s="1"/>
  <c r="DF275" i="24" s="1"/>
  <c r="DG275" i="24" s="1"/>
  <c r="DI275" i="24"/>
  <c r="DM275" i="24"/>
  <c r="DI152" i="24"/>
  <c r="DB152" i="24"/>
  <c r="DE152" i="24" s="1"/>
  <c r="DF152" i="24" s="1"/>
  <c r="DG152" i="24" s="1"/>
  <c r="DM152" i="24"/>
  <c r="DA122" i="24"/>
  <c r="DC122" i="24" s="1"/>
  <c r="DI122" i="24"/>
  <c r="DB122" i="24"/>
  <c r="DE122" i="24" s="1"/>
  <c r="DF122" i="24" s="1"/>
  <c r="DG122" i="24" s="1"/>
  <c r="DM122" i="24"/>
  <c r="DA188" i="24"/>
  <c r="DC188" i="24" s="1"/>
  <c r="DI269" i="24"/>
  <c r="DB269" i="24"/>
  <c r="DE269" i="24" s="1"/>
  <c r="DF269" i="24" s="1"/>
  <c r="DG269" i="24" s="1"/>
  <c r="DM269" i="24"/>
  <c r="DC185" i="24"/>
  <c r="DI103" i="24"/>
  <c r="DB103" i="24"/>
  <c r="DE103" i="24" s="1"/>
  <c r="DF103" i="24" s="1"/>
  <c r="DG103" i="24" s="1"/>
  <c r="DM103" i="24"/>
  <c r="DB263" i="24"/>
  <c r="DE263" i="24" s="1"/>
  <c r="DF263" i="24" s="1"/>
  <c r="DG263" i="24" s="1"/>
  <c r="DI263" i="24"/>
  <c r="DM263" i="24"/>
  <c r="DI262" i="24"/>
  <c r="DB262" i="24"/>
  <c r="DE262" i="24" s="1"/>
  <c r="DF262" i="24" s="1"/>
  <c r="DG262" i="24" s="1"/>
  <c r="DM262" i="24"/>
  <c r="DB258" i="24"/>
  <c r="DE258" i="24" s="1"/>
  <c r="DF258" i="24" s="1"/>
  <c r="DG258" i="24" s="1"/>
  <c r="DI258" i="24"/>
  <c r="DM258" i="24"/>
  <c r="DA98" i="24"/>
  <c r="DC98" i="24" s="1"/>
  <c r="DI119" i="24"/>
  <c r="DB119" i="24"/>
  <c r="DE119" i="24" s="1"/>
  <c r="DF119" i="24" s="1"/>
  <c r="DG119" i="24" s="1"/>
  <c r="DM119" i="24"/>
  <c r="DB300" i="24"/>
  <c r="DE300" i="24" s="1"/>
  <c r="DF300" i="24" s="1"/>
  <c r="DG300" i="24" s="1"/>
  <c r="DI300" i="24"/>
  <c r="DM300" i="24"/>
  <c r="DI217" i="24"/>
  <c r="DB217" i="24"/>
  <c r="DE217" i="24" s="1"/>
  <c r="DF217" i="24" s="1"/>
  <c r="DG217" i="24" s="1"/>
  <c r="DM217" i="24"/>
  <c r="DI157" i="24"/>
  <c r="DB157" i="24"/>
  <c r="DE157" i="24" s="1"/>
  <c r="DF157" i="24" s="1"/>
  <c r="DG157" i="24" s="1"/>
  <c r="DM157" i="24"/>
  <c r="DC203" i="24"/>
  <c r="DC264" i="24"/>
  <c r="DC307" i="24"/>
  <c r="DC285" i="24"/>
  <c r="DA258" i="24"/>
  <c r="DC258" i="24" s="1"/>
  <c r="DI238" i="24"/>
  <c r="DB238" i="24"/>
  <c r="DE238" i="24" s="1"/>
  <c r="DF238" i="24" s="1"/>
  <c r="DG238" i="24" s="1"/>
  <c r="DM238" i="24"/>
  <c r="DI179" i="24"/>
  <c r="DB179" i="24"/>
  <c r="DE179" i="24" s="1"/>
  <c r="DF179" i="24" s="1"/>
  <c r="DG179" i="24" s="1"/>
  <c r="DM179" i="24"/>
  <c r="DA189" i="24"/>
  <c r="DC189" i="24" s="1"/>
  <c r="DI189" i="24"/>
  <c r="DB189" i="24"/>
  <c r="DE189" i="24" s="1"/>
  <c r="DF189" i="24" s="1"/>
  <c r="DG189" i="24" s="1"/>
  <c r="DM189" i="24"/>
  <c r="DC148" i="24"/>
  <c r="DB116" i="24"/>
  <c r="DE116" i="24" s="1"/>
  <c r="DF116" i="24" s="1"/>
  <c r="DG116" i="24" s="1"/>
  <c r="DI116" i="24"/>
  <c r="DM116" i="24"/>
  <c r="DC153" i="24"/>
  <c r="DI13" i="24"/>
  <c r="DB13" i="24"/>
  <c r="DE13" i="24" s="1"/>
  <c r="DF13" i="24" s="1"/>
  <c r="DG13" i="24" s="1"/>
  <c r="DM13" i="24"/>
  <c r="DI228" i="24"/>
  <c r="DB228" i="24"/>
  <c r="DE228" i="24" s="1"/>
  <c r="DF228" i="24" s="1"/>
  <c r="DG228" i="24" s="1"/>
  <c r="DM228" i="24"/>
  <c r="DI204" i="24"/>
  <c r="DB204" i="24"/>
  <c r="DE204" i="24" s="1"/>
  <c r="DF204" i="24" s="1"/>
  <c r="DG204" i="24" s="1"/>
  <c r="DM204" i="24"/>
  <c r="DI301" i="24"/>
  <c r="DB301" i="24"/>
  <c r="DE301" i="24" s="1"/>
  <c r="DF301" i="24" s="1"/>
  <c r="DG301" i="24" s="1"/>
  <c r="DM301" i="24"/>
  <c r="DB183" i="24"/>
  <c r="DE183" i="24" s="1"/>
  <c r="DF183" i="24" s="1"/>
  <c r="DG183" i="24" s="1"/>
  <c r="DI183" i="24"/>
  <c r="DM183" i="24"/>
  <c r="DB88" i="24"/>
  <c r="DE88" i="24" s="1"/>
  <c r="DF88" i="24" s="1"/>
  <c r="DG88" i="24" s="1"/>
  <c r="DI88" i="24"/>
  <c r="DM88" i="24"/>
  <c r="DI182" i="24"/>
  <c r="DB182" i="24"/>
  <c r="DE182" i="24" s="1"/>
  <c r="DF182" i="24" s="1"/>
  <c r="DG182" i="24" s="1"/>
  <c r="DM182" i="24"/>
  <c r="DA276" i="24"/>
  <c r="DC276" i="24" s="1"/>
  <c r="DI276" i="24"/>
  <c r="DB276" i="24"/>
  <c r="DE276" i="24" s="1"/>
  <c r="DF276" i="24" s="1"/>
  <c r="DG276" i="24" s="1"/>
  <c r="DM276" i="24"/>
  <c r="DI95" i="24"/>
  <c r="DB95" i="24"/>
  <c r="DE95" i="24" s="1"/>
  <c r="DF95" i="24" s="1"/>
  <c r="DG95" i="24" s="1"/>
  <c r="DM95" i="24"/>
  <c r="DC301" i="24"/>
  <c r="DA202" i="24"/>
  <c r="DC202" i="24" s="1"/>
  <c r="DI202" i="24"/>
  <c r="DB202" i="24"/>
  <c r="DE202" i="24" s="1"/>
  <c r="DF202" i="24" s="1"/>
  <c r="DG202" i="24" s="1"/>
  <c r="DM202" i="24"/>
  <c r="DB170" i="24"/>
  <c r="DE170" i="24" s="1"/>
  <c r="DF170" i="24" s="1"/>
  <c r="DG170" i="24" s="1"/>
  <c r="DI170" i="24"/>
  <c r="DM170" i="24"/>
  <c r="DB164" i="24"/>
  <c r="DE164" i="24" s="1"/>
  <c r="DF164" i="24" s="1"/>
  <c r="DG164" i="24" s="1"/>
  <c r="DI164" i="24"/>
  <c r="DM164" i="24"/>
  <c r="DI127" i="24"/>
  <c r="DB127" i="24"/>
  <c r="DE127" i="24" s="1"/>
  <c r="DF127" i="24" s="1"/>
  <c r="DG127" i="24" s="1"/>
  <c r="DM127" i="24"/>
  <c r="DA95" i="24"/>
  <c r="DC95" i="24" s="1"/>
  <c r="DA249" i="24"/>
  <c r="DC249" i="24" s="1"/>
  <c r="DB22" i="24"/>
  <c r="DE22" i="24" s="1"/>
  <c r="DF22" i="24" s="1"/>
  <c r="DG22" i="24" s="1"/>
  <c r="DI22" i="24"/>
  <c r="DM22" i="24"/>
  <c r="DI19" i="24"/>
  <c r="DB19" i="24"/>
  <c r="DE19" i="24" s="1"/>
  <c r="DF19" i="24" s="1"/>
  <c r="DG19" i="24" s="1"/>
  <c r="DM19" i="24"/>
  <c r="DC278" i="24"/>
  <c r="DB180" i="24"/>
  <c r="DE180" i="24" s="1"/>
  <c r="DF180" i="24" s="1"/>
  <c r="DG180" i="24" s="1"/>
  <c r="DI180" i="24"/>
  <c r="DM180" i="24"/>
  <c r="DI147" i="24"/>
  <c r="DB147" i="24"/>
  <c r="DE147" i="24" s="1"/>
  <c r="DF147" i="24" s="1"/>
  <c r="DG147" i="24" s="1"/>
  <c r="DM147" i="24"/>
  <c r="DA241" i="24"/>
  <c r="DC241" i="24" s="1"/>
  <c r="DI185" i="24"/>
  <c r="DB185" i="24"/>
  <c r="DE185" i="24" s="1"/>
  <c r="DF185" i="24" s="1"/>
  <c r="DG185" i="24" s="1"/>
  <c r="DM185" i="24"/>
  <c r="DB138" i="24"/>
  <c r="DE138" i="24" s="1"/>
  <c r="DF138" i="24" s="1"/>
  <c r="DG138" i="24" s="1"/>
  <c r="DI138" i="24"/>
  <c r="DM138" i="24"/>
  <c r="DA46" i="24"/>
  <c r="DC46" i="24" s="1"/>
  <c r="DI111" i="24"/>
  <c r="DB111" i="24"/>
  <c r="DE111" i="24" s="1"/>
  <c r="DF111" i="24" s="1"/>
  <c r="DG111" i="24" s="1"/>
  <c r="DM111" i="24"/>
  <c r="DA299" i="24"/>
  <c r="DC299" i="24" s="1"/>
  <c r="DB299" i="24"/>
  <c r="DE299" i="24" s="1"/>
  <c r="DF299" i="24" s="1"/>
  <c r="DG299" i="24" s="1"/>
  <c r="DI299" i="24"/>
  <c r="DM299" i="24"/>
  <c r="DI77" i="24"/>
  <c r="DB77" i="24"/>
  <c r="DE77" i="24" s="1"/>
  <c r="DF77" i="24" s="1"/>
  <c r="DG77" i="24" s="1"/>
  <c r="DM77" i="24"/>
  <c r="DC130" i="24"/>
  <c r="DB141" i="24"/>
  <c r="DE141" i="24" s="1"/>
  <c r="DF141" i="24" s="1"/>
  <c r="DG141" i="24" s="1"/>
  <c r="DI141" i="24"/>
  <c r="DM141" i="24"/>
  <c r="DA254" i="24"/>
  <c r="DC254" i="24" s="1"/>
  <c r="DI237" i="24"/>
  <c r="DB237" i="24"/>
  <c r="DE237" i="24" s="1"/>
  <c r="DF237" i="24" s="1"/>
  <c r="DG237" i="24" s="1"/>
  <c r="DM237" i="24"/>
  <c r="DI74" i="24"/>
  <c r="DB74" i="24"/>
  <c r="DE74" i="24" s="1"/>
  <c r="DF74" i="24" s="1"/>
  <c r="DG74" i="24" s="1"/>
  <c r="DM74" i="24"/>
  <c r="DI257" i="24"/>
  <c r="DB257" i="24"/>
  <c r="DE257" i="24" s="1"/>
  <c r="DF257" i="24" s="1"/>
  <c r="DG257" i="24" s="1"/>
  <c r="DM257" i="24"/>
  <c r="DB78" i="24"/>
  <c r="DE78" i="24" s="1"/>
  <c r="DF78" i="24" s="1"/>
  <c r="DG78" i="24" s="1"/>
  <c r="DI78" i="24"/>
  <c r="DM78" i="24"/>
  <c r="DA163" i="24"/>
  <c r="DC163" i="24" s="1"/>
  <c r="DB163" i="24"/>
  <c r="DE163" i="24" s="1"/>
  <c r="DF163" i="24" s="1"/>
  <c r="DG163" i="24" s="1"/>
  <c r="DI163" i="24"/>
  <c r="DM163" i="24"/>
  <c r="DA194" i="24"/>
  <c r="DC194" i="24" s="1"/>
  <c r="DI194" i="24"/>
  <c r="DB194" i="24"/>
  <c r="DE194" i="24" s="1"/>
  <c r="DF194" i="24" s="1"/>
  <c r="DG194" i="24" s="1"/>
  <c r="DM194" i="24"/>
  <c r="DB277" i="24"/>
  <c r="DE277" i="24" s="1"/>
  <c r="DF277" i="24" s="1"/>
  <c r="DG277" i="24" s="1"/>
  <c r="DI277" i="24"/>
  <c r="DM277" i="24"/>
  <c r="DB208" i="24"/>
  <c r="DE208" i="24" s="1"/>
  <c r="DF208" i="24" s="1"/>
  <c r="DG208" i="24" s="1"/>
  <c r="DI208" i="24"/>
  <c r="DM208" i="24"/>
  <c r="DB314" i="24"/>
  <c r="DE314" i="24" s="1"/>
  <c r="DF314" i="24" s="1"/>
  <c r="DG314" i="24" s="1"/>
  <c r="DI314" i="24"/>
  <c r="DM314" i="24"/>
  <c r="DB177" i="24"/>
  <c r="DE177" i="24" s="1"/>
  <c r="DF177" i="24" s="1"/>
  <c r="DG177" i="24" s="1"/>
  <c r="DI177" i="24"/>
  <c r="DM177" i="24"/>
  <c r="DI21" i="24"/>
  <c r="DB21" i="24"/>
  <c r="DE21" i="24" s="1"/>
  <c r="DF21" i="24" s="1"/>
  <c r="DG21" i="24" s="1"/>
  <c r="DM21" i="24"/>
  <c r="DB306" i="24"/>
  <c r="DE306" i="24" s="1"/>
  <c r="DF306" i="24" s="1"/>
  <c r="DG306" i="24" s="1"/>
  <c r="DI306" i="24"/>
  <c r="DM306" i="24"/>
  <c r="DI64" i="24"/>
  <c r="DB64" i="24"/>
  <c r="DE64" i="24" s="1"/>
  <c r="DF64" i="24" s="1"/>
  <c r="DG64" i="24" s="1"/>
  <c r="DM64" i="24"/>
  <c r="DI296" i="24"/>
  <c r="DB296" i="24"/>
  <c r="DE296" i="24" s="1"/>
  <c r="DF296" i="24" s="1"/>
  <c r="DG296" i="24" s="1"/>
  <c r="DM296" i="24"/>
  <c r="DI200" i="24"/>
  <c r="DB200" i="24"/>
  <c r="DE200" i="24" s="1"/>
  <c r="DF200" i="24" s="1"/>
  <c r="DG200" i="24" s="1"/>
  <c r="DM200" i="24"/>
  <c r="DA66" i="24"/>
  <c r="DC66" i="24" s="1"/>
  <c r="DA72" i="24"/>
  <c r="DC72" i="24" s="1"/>
  <c r="DB206" i="24"/>
  <c r="DE206" i="24" s="1"/>
  <c r="DF206" i="24" s="1"/>
  <c r="DG206" i="24" s="1"/>
  <c r="DI206" i="24"/>
  <c r="DM206" i="24"/>
  <c r="DB9" i="24"/>
  <c r="DE9" i="24" s="1"/>
  <c r="DF9" i="24" s="1"/>
  <c r="DG9" i="24" s="1"/>
  <c r="DI9" i="24"/>
  <c r="DM9" i="24"/>
  <c r="DI26" i="24"/>
  <c r="DB26" i="24"/>
  <c r="DE26" i="24" s="1"/>
  <c r="DF26" i="24" s="1"/>
  <c r="DG26" i="24" s="1"/>
  <c r="DM26" i="24"/>
  <c r="DI198" i="24"/>
  <c r="DB198" i="24"/>
  <c r="DE198" i="24" s="1"/>
  <c r="DF198" i="24" s="1"/>
  <c r="DG198" i="24" s="1"/>
  <c r="DM198" i="24"/>
  <c r="DI149" i="24"/>
  <c r="DB149" i="24"/>
  <c r="DE149" i="24" s="1"/>
  <c r="DF149" i="24" s="1"/>
  <c r="DG149" i="24" s="1"/>
  <c r="DM149" i="24"/>
  <c r="DC275" i="24"/>
  <c r="DI274" i="24"/>
  <c r="DB274" i="24"/>
  <c r="DE274" i="24" s="1"/>
  <c r="DF274" i="24" s="1"/>
  <c r="DG274" i="24" s="1"/>
  <c r="DM274" i="24"/>
  <c r="DA168" i="24"/>
  <c r="DC168" i="24" s="1"/>
  <c r="DB168" i="24"/>
  <c r="DE168" i="24" s="1"/>
  <c r="DF168" i="24" s="1"/>
  <c r="DG168" i="24" s="1"/>
  <c r="DI168" i="24"/>
  <c r="DM168" i="24"/>
  <c r="DI260" i="24"/>
  <c r="DB260" i="24"/>
  <c r="DE260" i="24" s="1"/>
  <c r="DF260" i="24" s="1"/>
  <c r="DG260" i="24" s="1"/>
  <c r="DM260" i="24"/>
  <c r="DI159" i="24"/>
  <c r="DB159" i="24"/>
  <c r="DE159" i="24" s="1"/>
  <c r="DF159" i="24" s="1"/>
  <c r="DG159" i="24" s="1"/>
  <c r="DM159" i="24"/>
  <c r="DM199" i="24"/>
  <c r="DB199" i="24"/>
  <c r="DE199" i="24" s="1"/>
  <c r="DF199" i="24" s="1"/>
  <c r="DG199" i="24" s="1"/>
  <c r="DI199" i="24"/>
  <c r="DA159" i="24"/>
  <c r="DC159" i="24" s="1"/>
  <c r="DA181" i="24"/>
  <c r="DC181" i="24" s="1"/>
  <c r="DB54" i="24"/>
  <c r="DE54" i="24" s="1"/>
  <c r="DF54" i="24" s="1"/>
  <c r="DG54" i="24" s="1"/>
  <c r="DI54" i="24"/>
  <c r="DM54" i="24"/>
  <c r="DB155" i="24"/>
  <c r="DE155" i="24" s="1"/>
  <c r="DF155" i="24" s="1"/>
  <c r="DG155" i="24" s="1"/>
  <c r="DI155" i="24"/>
  <c r="DM155" i="24"/>
  <c r="DI143" i="24"/>
  <c r="DB143" i="24"/>
  <c r="DE143" i="24" s="1"/>
  <c r="DF143" i="24" s="1"/>
  <c r="DG143" i="24" s="1"/>
  <c r="DM143" i="24"/>
  <c r="DI278" i="24"/>
  <c r="DB278" i="24"/>
  <c r="DE278" i="24" s="1"/>
  <c r="DF278" i="24" s="1"/>
  <c r="DG278" i="24" s="1"/>
  <c r="DM278" i="24"/>
  <c r="DB156" i="24"/>
  <c r="DE156" i="24" s="1"/>
  <c r="DF156" i="24" s="1"/>
  <c r="DG156" i="24" s="1"/>
  <c r="DI156" i="24"/>
  <c r="DM156" i="24"/>
  <c r="DB266" i="24"/>
  <c r="DE266" i="24" s="1"/>
  <c r="DF266" i="24" s="1"/>
  <c r="DG266" i="24" s="1"/>
  <c r="DI266" i="24"/>
  <c r="DM266" i="24"/>
  <c r="DA174" i="24"/>
  <c r="DC174" i="24" s="1"/>
  <c r="DB223" i="24"/>
  <c r="DE223" i="24" s="1"/>
  <c r="DF223" i="24" s="1"/>
  <c r="DG223" i="24" s="1"/>
  <c r="DI223" i="24"/>
  <c r="DM223" i="24"/>
  <c r="DB12" i="24"/>
  <c r="DE12" i="24" s="1"/>
  <c r="DF12" i="24" s="1"/>
  <c r="DG12" i="24" s="1"/>
  <c r="DI12" i="24"/>
  <c r="DM12" i="24"/>
  <c r="DB51" i="24"/>
  <c r="DE51" i="24" s="1"/>
  <c r="DF51" i="24" s="1"/>
  <c r="DG51" i="24" s="1"/>
  <c r="DI51" i="24"/>
  <c r="DM51" i="24"/>
  <c r="DA182" i="24"/>
  <c r="DC182" i="24" s="1"/>
  <c r="DI191" i="24"/>
  <c r="DB191" i="24"/>
  <c r="DE191" i="24" s="1"/>
  <c r="DF191" i="24" s="1"/>
  <c r="DG191" i="24" s="1"/>
  <c r="DM191" i="24"/>
  <c r="DA138" i="24"/>
  <c r="DC138" i="24" s="1"/>
  <c r="DA223" i="24"/>
  <c r="DC223" i="24" s="1"/>
  <c r="DB92" i="24"/>
  <c r="DE92" i="24" s="1"/>
  <c r="DF92" i="24" s="1"/>
  <c r="DG92" i="24" s="1"/>
  <c r="DI92" i="24"/>
  <c r="DM92" i="24"/>
  <c r="DI117" i="24"/>
  <c r="DB117" i="24"/>
  <c r="DE117" i="24" s="1"/>
  <c r="DF117" i="24" s="1"/>
  <c r="DG117" i="24" s="1"/>
  <c r="DM117" i="24"/>
  <c r="DA63" i="24"/>
  <c r="DC63" i="24" s="1"/>
  <c r="DI270" i="24"/>
  <c r="DB270" i="24"/>
  <c r="DE270" i="24" s="1"/>
  <c r="DF270" i="24" s="1"/>
  <c r="DG270" i="24" s="1"/>
  <c r="DM270" i="24"/>
  <c r="DA76" i="24"/>
  <c r="DC76" i="24" s="1"/>
  <c r="DI76" i="24"/>
  <c r="DB76" i="24"/>
  <c r="DE76" i="24" s="1"/>
  <c r="DF76" i="24" s="1"/>
  <c r="DG76" i="24" s="1"/>
  <c r="DM76" i="24"/>
  <c r="DI134" i="24"/>
  <c r="DB134" i="24"/>
  <c r="DE134" i="24" s="1"/>
  <c r="DF134" i="24" s="1"/>
  <c r="DG134" i="24" s="1"/>
  <c r="DM134" i="24"/>
  <c r="DA88" i="24"/>
  <c r="DC88" i="24" s="1"/>
  <c r="DI130" i="24"/>
  <c r="DB130" i="24"/>
  <c r="DE130" i="24" s="1"/>
  <c r="DF130" i="24" s="1"/>
  <c r="DG130" i="24" s="1"/>
  <c r="DM130" i="24"/>
  <c r="DC195" i="24"/>
  <c r="DA170" i="24"/>
  <c r="DC170" i="24" s="1"/>
  <c r="DA143" i="24"/>
  <c r="DC143" i="24" s="1"/>
  <c r="DC293" i="24"/>
  <c r="DC246" i="24"/>
  <c r="DB218" i="24"/>
  <c r="DE218" i="24" s="1"/>
  <c r="DF218" i="24" s="1"/>
  <c r="DG218" i="24" s="1"/>
  <c r="DI218" i="24"/>
  <c r="DM218" i="24"/>
  <c r="DA101" i="24"/>
  <c r="DC101" i="24" s="1"/>
  <c r="DA197" i="24"/>
  <c r="DC197" i="24" s="1"/>
  <c r="DA54" i="24"/>
  <c r="DC54" i="24" s="1"/>
  <c r="DA265" i="24"/>
  <c r="DC265" i="24" s="1"/>
  <c r="DA279" i="24"/>
  <c r="DC279" i="24" s="1"/>
  <c r="DB225" i="24"/>
  <c r="DE225" i="24" s="1"/>
  <c r="DF225" i="24" s="1"/>
  <c r="DG225" i="24" s="1"/>
  <c r="DI225" i="24"/>
  <c r="DM225" i="24"/>
  <c r="DM59" i="24"/>
  <c r="DI59" i="24"/>
  <c r="DB59" i="24"/>
  <c r="DE59" i="24" s="1"/>
  <c r="DF59" i="24" s="1"/>
  <c r="DG59" i="24" s="1"/>
  <c r="DA141" i="24"/>
  <c r="DC141" i="24" s="1"/>
  <c r="DI268" i="24"/>
  <c r="DB268" i="24"/>
  <c r="DE268" i="24" s="1"/>
  <c r="DF268" i="24" s="1"/>
  <c r="DG268" i="24" s="1"/>
  <c r="DM268" i="24"/>
  <c r="DI102" i="24"/>
  <c r="DB102" i="24"/>
  <c r="DE102" i="24" s="1"/>
  <c r="DF102" i="24" s="1"/>
  <c r="DG102" i="24" s="1"/>
  <c r="DM102" i="24"/>
  <c r="DA50" i="24"/>
  <c r="DC50" i="24" s="1"/>
  <c r="DI50" i="24"/>
  <c r="DB50" i="24"/>
  <c r="DE50" i="24" s="1"/>
  <c r="DF50" i="24" s="1"/>
  <c r="DG50" i="24" s="1"/>
  <c r="DM50" i="24"/>
  <c r="DA235" i="24"/>
  <c r="DC235" i="24" s="1"/>
  <c r="DA84" i="24"/>
  <c r="DC84" i="24" s="1"/>
  <c r="DC133" i="24"/>
  <c r="DA250" i="24"/>
  <c r="DC250" i="24" s="1"/>
  <c r="DB250" i="24"/>
  <c r="DE250" i="24" s="1"/>
  <c r="DF250" i="24" s="1"/>
  <c r="DG250" i="24" s="1"/>
  <c r="DI250" i="24"/>
  <c r="DM250" i="24"/>
  <c r="DC187" i="24"/>
  <c r="DC236" i="24"/>
  <c r="DC139" i="24"/>
  <c r="DI219" i="24"/>
  <c r="DB219" i="24"/>
  <c r="DE219" i="24" s="1"/>
  <c r="DF219" i="24" s="1"/>
  <c r="DG219" i="24" s="1"/>
  <c r="DM219" i="24"/>
  <c r="DC162" i="24"/>
  <c r="DC146" i="24"/>
  <c r="DC221" i="24"/>
  <c r="DA15" i="24"/>
  <c r="DC15" i="24" s="1"/>
  <c r="DA219" i="24"/>
  <c r="DC219" i="24" s="1"/>
  <c r="DA14" i="24"/>
  <c r="DC14" i="24" s="1"/>
  <c r="DB14" i="24"/>
  <c r="DE14" i="24" s="1"/>
  <c r="DF14" i="24" s="1"/>
  <c r="DG14" i="24" s="1"/>
  <c r="DI14" i="24"/>
  <c r="DM14" i="24"/>
  <c r="DC287" i="24"/>
  <c r="DA115" i="24"/>
  <c r="DC115" i="24" s="1"/>
  <c r="DI115" i="24"/>
  <c r="DB115" i="24"/>
  <c r="DE115" i="24" s="1"/>
  <c r="DF115" i="24" s="1"/>
  <c r="DG115" i="24" s="1"/>
  <c r="DM115" i="24"/>
  <c r="DI187" i="24"/>
  <c r="DB187" i="24"/>
  <c r="DE187" i="24" s="1"/>
  <c r="DF187" i="24" s="1"/>
  <c r="DG187" i="24" s="1"/>
  <c r="DM187" i="24"/>
  <c r="DI221" i="24"/>
  <c r="DB221" i="24"/>
  <c r="DE221" i="24" s="1"/>
  <c r="DF221" i="24" s="1"/>
  <c r="DG221" i="24" s="1"/>
  <c r="DM221" i="24"/>
  <c r="DC161" i="24"/>
  <c r="DC234" i="24"/>
  <c r="DA123" i="24"/>
  <c r="DC123" i="24" s="1"/>
  <c r="DC255" i="24"/>
  <c r="DI148" i="24"/>
  <c r="DB148" i="24"/>
  <c r="DE148" i="24" s="1"/>
  <c r="DF148" i="24" s="1"/>
  <c r="DG148" i="24" s="1"/>
  <c r="DM148" i="24"/>
  <c r="DA205" i="24"/>
  <c r="DC205" i="24" s="1"/>
  <c r="DA208" i="24"/>
  <c r="DC208" i="24" s="1"/>
  <c r="DA314" i="24"/>
  <c r="DC314" i="24" s="1"/>
  <c r="DA40" i="24"/>
  <c r="DC40" i="24" s="1"/>
  <c r="DI120" i="24"/>
  <c r="DB120" i="24"/>
  <c r="DE120" i="24" s="1"/>
  <c r="DF120" i="24" s="1"/>
  <c r="DG120" i="24" s="1"/>
  <c r="DM120" i="24"/>
  <c r="DI132" i="24"/>
  <c r="DB132" i="24"/>
  <c r="DE132" i="24" s="1"/>
  <c r="DF132" i="24" s="1"/>
  <c r="DG132" i="24" s="1"/>
  <c r="DM132" i="24"/>
  <c r="DA52" i="24"/>
  <c r="DC52" i="24" s="1"/>
  <c r="DB52" i="24"/>
  <c r="DE52" i="24" s="1"/>
  <c r="DF52" i="24" s="1"/>
  <c r="DG52" i="24" s="1"/>
  <c r="DI52" i="24"/>
  <c r="DM52" i="24"/>
  <c r="DC257" i="24"/>
  <c r="DC243" i="24"/>
  <c r="DB62" i="24"/>
  <c r="DE62" i="24" s="1"/>
  <c r="DF62" i="24" s="1"/>
  <c r="DG62" i="24" s="1"/>
  <c r="DI62" i="24"/>
  <c r="DM62" i="24"/>
  <c r="DI151" i="24"/>
  <c r="DB151" i="24"/>
  <c r="DE151" i="24" s="1"/>
  <c r="DF151" i="24" s="1"/>
  <c r="DG151" i="24" s="1"/>
  <c r="DM151" i="24"/>
  <c r="DI49" i="24"/>
  <c r="DB49" i="24"/>
  <c r="DE49" i="24" s="1"/>
  <c r="DF49" i="24" s="1"/>
  <c r="DG49" i="24" s="1"/>
  <c r="DM49" i="24"/>
  <c r="DI131" i="24"/>
  <c r="DB131" i="24"/>
  <c r="DE131" i="24" s="1"/>
  <c r="DF131" i="24" s="1"/>
  <c r="DG131" i="24" s="1"/>
  <c r="DM131" i="24"/>
  <c r="DC269" i="24"/>
  <c r="DI230" i="24"/>
  <c r="DB230" i="24"/>
  <c r="DE230" i="24" s="1"/>
  <c r="DF230" i="24" s="1"/>
  <c r="DG230" i="24" s="1"/>
  <c r="DM230" i="24"/>
  <c r="DI293" i="24"/>
  <c r="DB293" i="24"/>
  <c r="DE293" i="24" s="1"/>
  <c r="DF293" i="24" s="1"/>
  <c r="DG293" i="24" s="1"/>
  <c r="DM293" i="24"/>
  <c r="DC124" i="24"/>
  <c r="DI114" i="24"/>
  <c r="DB114" i="24"/>
  <c r="DE114" i="24" s="1"/>
  <c r="DF114" i="24" s="1"/>
  <c r="DG114" i="24" s="1"/>
  <c r="DM114" i="24"/>
  <c r="DI239" i="24"/>
  <c r="DB239" i="24"/>
  <c r="DE239" i="24" s="1"/>
  <c r="DF239" i="24" s="1"/>
  <c r="DG239" i="24" s="1"/>
  <c r="DM239" i="24"/>
  <c r="DA227" i="24"/>
  <c r="DC227" i="24" s="1"/>
  <c r="DI227" i="24"/>
  <c r="DB227" i="24"/>
  <c r="DE227" i="24" s="1"/>
  <c r="DF227" i="24" s="1"/>
  <c r="DG227" i="24" s="1"/>
  <c r="DM227" i="24"/>
  <c r="DB144" i="24"/>
  <c r="DE144" i="24" s="1"/>
  <c r="DF144" i="24" s="1"/>
  <c r="DG144" i="24" s="1"/>
  <c r="DI144" i="24"/>
  <c r="DM144" i="24"/>
  <c r="DA304" i="24"/>
  <c r="DC304" i="24" s="1"/>
  <c r="DA96" i="24"/>
  <c r="DC96" i="24" s="1"/>
  <c r="DB178" i="24"/>
  <c r="DE178" i="24" s="1"/>
  <c r="DF178" i="24" s="1"/>
  <c r="DG178" i="24" s="1"/>
  <c r="DI178" i="24"/>
  <c r="DM178" i="24"/>
  <c r="DB195" i="24"/>
  <c r="DE195" i="24" s="1"/>
  <c r="DF195" i="24" s="1"/>
  <c r="DG195" i="24" s="1"/>
  <c r="DI195" i="24"/>
  <c r="DM195" i="24"/>
  <c r="DC280" i="24"/>
  <c r="DI38" i="24"/>
  <c r="DB38" i="24"/>
  <c r="DE38" i="24" s="1"/>
  <c r="DF38" i="24" s="1"/>
  <c r="DG38" i="24" s="1"/>
  <c r="DM38" i="24"/>
  <c r="DI23" i="24"/>
  <c r="DB23" i="24"/>
  <c r="DE23" i="24" s="1"/>
  <c r="DF23" i="24" s="1"/>
  <c r="DG23" i="24" s="1"/>
  <c r="DM23" i="24"/>
  <c r="DB310" i="24"/>
  <c r="DE310" i="24" s="1"/>
  <c r="DF310" i="24" s="1"/>
  <c r="DG310" i="24" s="1"/>
  <c r="DI310" i="24"/>
  <c r="DM310" i="24"/>
  <c r="DI85" i="24"/>
  <c r="DB85" i="24"/>
  <c r="DE85" i="24" s="1"/>
  <c r="DF85" i="24" s="1"/>
  <c r="DG85" i="24" s="1"/>
  <c r="DM85" i="24"/>
  <c r="DA134" i="24"/>
  <c r="DC134" i="24" s="1"/>
  <c r="DI243" i="24"/>
  <c r="DB243" i="24"/>
  <c r="DE243" i="24" s="1"/>
  <c r="DF243" i="24" s="1"/>
  <c r="DG243" i="24" s="1"/>
  <c r="DM243" i="24"/>
  <c r="DM39" i="24"/>
  <c r="DB39" i="24"/>
  <c r="DE39" i="24" s="1"/>
  <c r="DF39" i="24" s="1"/>
  <c r="DG39" i="24" s="1"/>
  <c r="DI39" i="24"/>
  <c r="DB124" i="24"/>
  <c r="DE124" i="24" s="1"/>
  <c r="DF124" i="24" s="1"/>
  <c r="DG124" i="24" s="1"/>
  <c r="DI124" i="24"/>
  <c r="DM124" i="24"/>
  <c r="DI37" i="24"/>
  <c r="DB37" i="24"/>
  <c r="DE37" i="24" s="1"/>
  <c r="DF37" i="24" s="1"/>
  <c r="DG37" i="24" s="1"/>
  <c r="DM37" i="24"/>
  <c r="DI17" i="24"/>
  <c r="DB17" i="24"/>
  <c r="DE17" i="24" s="1"/>
  <c r="DF17" i="24" s="1"/>
  <c r="DG17" i="24" s="1"/>
  <c r="DM17" i="24"/>
  <c r="DA310" i="24"/>
  <c r="DC310" i="24" s="1"/>
  <c r="DA144" i="24"/>
  <c r="DC144" i="24" s="1"/>
  <c r="DI303" i="24"/>
  <c r="DB303" i="24"/>
  <c r="DE303" i="24" s="1"/>
  <c r="DF303" i="24" s="1"/>
  <c r="DG303" i="24" s="1"/>
  <c r="DM303" i="24"/>
  <c r="DI25" i="24"/>
  <c r="DB25" i="24"/>
  <c r="DE25" i="24" s="1"/>
  <c r="DF25" i="24" s="1"/>
  <c r="DG25" i="24" s="1"/>
  <c r="DM25" i="24"/>
  <c r="DA248" i="24"/>
  <c r="DC248" i="24" s="1"/>
  <c r="DI248" i="24"/>
  <c r="DB248" i="24"/>
  <c r="DE248" i="24" s="1"/>
  <c r="DF248" i="24" s="1"/>
  <c r="DG248" i="24" s="1"/>
  <c r="DM248" i="24"/>
  <c r="DB67" i="24"/>
  <c r="DE67" i="24" s="1"/>
  <c r="DF67" i="24" s="1"/>
  <c r="DG67" i="24" s="1"/>
  <c r="DI67" i="24"/>
  <c r="DM67" i="24"/>
  <c r="DI104" i="24"/>
  <c r="DB104" i="24"/>
  <c r="DE104" i="24" s="1"/>
  <c r="DF104" i="24" s="1"/>
  <c r="DG104" i="24" s="1"/>
  <c r="DM104" i="24"/>
  <c r="DI58" i="24"/>
  <c r="DB58" i="24"/>
  <c r="DE58" i="24" s="1"/>
  <c r="DF58" i="24" s="1"/>
  <c r="DG58" i="24" s="1"/>
  <c r="DM58" i="24"/>
  <c r="DI285" i="24"/>
  <c r="DB285" i="24"/>
  <c r="DE285" i="24" s="1"/>
  <c r="DF285" i="24" s="1"/>
  <c r="DG285" i="24" s="1"/>
  <c r="DM285" i="24"/>
  <c r="DC200" i="24"/>
  <c r="DI244" i="24"/>
  <c r="DB244" i="24"/>
  <c r="DE244" i="24" s="1"/>
  <c r="DF244" i="24" s="1"/>
  <c r="DG244" i="24" s="1"/>
  <c r="DM244" i="24"/>
  <c r="DB86" i="24"/>
  <c r="DE86" i="24" s="1"/>
  <c r="DF86" i="24" s="1"/>
  <c r="DG86" i="24" s="1"/>
  <c r="DI86" i="24"/>
  <c r="DM86" i="24"/>
  <c r="DI139" i="24"/>
  <c r="DB139" i="24"/>
  <c r="DE139" i="24" s="1"/>
  <c r="DF139" i="24" s="1"/>
  <c r="DG139" i="24" s="1"/>
  <c r="DM139" i="24"/>
  <c r="DA156" i="24"/>
  <c r="DC156" i="24" s="1"/>
  <c r="DC192" i="24"/>
  <c r="DA263" i="24"/>
  <c r="DC263" i="24" s="1"/>
  <c r="DA17" i="24"/>
  <c r="DC17" i="24" s="1"/>
  <c r="DB282" i="24"/>
  <c r="DE282" i="24" s="1"/>
  <c r="DF282" i="24" s="1"/>
  <c r="DG282" i="24" s="1"/>
  <c r="DI282" i="24"/>
  <c r="DM282" i="24"/>
  <c r="DC300" i="24"/>
  <c r="DA64" i="24"/>
  <c r="DC64" i="24" s="1"/>
  <c r="DA136" i="24"/>
  <c r="DC136" i="24" s="1"/>
  <c r="DI45" i="24"/>
  <c r="DB45" i="24"/>
  <c r="DE45" i="24" s="1"/>
  <c r="DF45" i="24" s="1"/>
  <c r="DG45" i="24" s="1"/>
  <c r="DM45" i="24"/>
  <c r="DI240" i="24"/>
  <c r="DB240" i="24"/>
  <c r="DE240" i="24" s="1"/>
  <c r="DF240" i="24" s="1"/>
  <c r="DG240" i="24" s="1"/>
  <c r="DM240" i="24"/>
  <c r="DB298" i="24"/>
  <c r="DE298" i="24" s="1"/>
  <c r="DF298" i="24" s="1"/>
  <c r="DG298" i="24" s="1"/>
  <c r="DI298" i="24"/>
  <c r="DM298" i="24"/>
  <c r="DC259" i="24"/>
  <c r="DA41" i="24"/>
  <c r="DC41" i="24" s="1"/>
  <c r="DB233" i="24"/>
  <c r="DE233" i="24" s="1"/>
  <c r="DF233" i="24" s="1"/>
  <c r="DG233" i="24" s="1"/>
  <c r="DI233" i="24"/>
  <c r="DM233" i="24"/>
  <c r="DI311" i="24"/>
  <c r="DB311" i="24"/>
  <c r="DE311" i="24" s="1"/>
  <c r="DF311" i="24" s="1"/>
  <c r="DG311" i="24" s="1"/>
  <c r="DM311" i="24"/>
  <c r="DC172" i="24"/>
  <c r="DB236" i="24"/>
  <c r="DE236" i="24" s="1"/>
  <c r="DF236" i="24" s="1"/>
  <c r="DG236" i="24" s="1"/>
  <c r="DI236" i="24"/>
  <c r="DM236" i="24"/>
  <c r="DA11" i="24"/>
  <c r="DC11" i="24" s="1"/>
  <c r="DB11" i="24"/>
  <c r="DE11" i="24" s="1"/>
  <c r="DF11" i="24" s="1"/>
  <c r="DG11" i="24" s="1"/>
  <c r="DI11" i="24"/>
  <c r="DM11" i="24"/>
  <c r="DI176" i="24"/>
  <c r="DB176" i="24"/>
  <c r="DE176" i="24" s="1"/>
  <c r="DF176" i="24" s="1"/>
  <c r="DG176" i="24" s="1"/>
  <c r="DM176" i="24"/>
  <c r="DI169" i="24"/>
  <c r="DB169" i="24"/>
  <c r="DE169" i="24" s="1"/>
  <c r="DF169" i="24" s="1"/>
  <c r="DG169" i="24" s="1"/>
  <c r="DM169" i="24"/>
  <c r="DB48" i="24"/>
  <c r="DE48" i="24" s="1"/>
  <c r="DF48" i="24" s="1"/>
  <c r="DG48" i="24" s="1"/>
  <c r="DI48" i="24"/>
  <c r="DM48" i="24"/>
  <c r="DI7" i="24"/>
  <c r="DB7" i="24"/>
  <c r="DE7" i="24" s="1"/>
  <c r="DF7" i="24" s="1"/>
  <c r="DG7" i="24" s="1"/>
  <c r="DM7" i="24"/>
  <c r="DI34" i="24"/>
  <c r="DB34" i="24"/>
  <c r="DE34" i="24" s="1"/>
  <c r="DF34" i="24" s="1"/>
  <c r="DG34" i="24" s="1"/>
  <c r="DM34" i="24"/>
  <c r="DA210" i="24"/>
  <c r="DC210" i="24" s="1"/>
  <c r="DA228" i="24"/>
  <c r="DC228" i="24" s="1"/>
  <c r="DC176" i="24"/>
  <c r="DB35" i="24"/>
  <c r="DE35" i="24" s="1"/>
  <c r="DF35" i="24" s="1"/>
  <c r="DG35" i="24" s="1"/>
  <c r="DI35" i="24"/>
  <c r="DM35" i="24"/>
  <c r="DI288" i="24"/>
  <c r="DB288" i="24"/>
  <c r="DE288" i="24" s="1"/>
  <c r="DF288" i="24" s="1"/>
  <c r="DG288" i="24" s="1"/>
  <c r="DM288" i="24"/>
  <c r="DA274" i="24"/>
  <c r="DC274" i="24" s="1"/>
  <c r="DI57" i="24"/>
  <c r="DB57" i="24"/>
  <c r="DE57" i="24" s="1"/>
  <c r="DF57" i="24" s="1"/>
  <c r="DG57" i="24" s="1"/>
  <c r="DM57" i="24"/>
  <c r="DI42" i="24"/>
  <c r="DB42" i="24"/>
  <c r="DE42" i="24" s="1"/>
  <c r="DF42" i="24" s="1"/>
  <c r="DG42" i="24" s="1"/>
  <c r="DM42" i="24"/>
  <c r="DI140" i="24"/>
  <c r="DB140" i="24"/>
  <c r="DE140" i="24" s="1"/>
  <c r="DF140" i="24" s="1"/>
  <c r="DG140" i="24" s="1"/>
  <c r="DM140" i="24"/>
  <c r="DI196" i="24"/>
  <c r="DB196" i="24"/>
  <c r="DE196" i="24" s="1"/>
  <c r="DF196" i="24" s="1"/>
  <c r="DG196" i="24" s="1"/>
  <c r="DM196" i="24"/>
  <c r="DI252" i="24"/>
  <c r="DB252" i="24"/>
  <c r="DE252" i="24" s="1"/>
  <c r="DF252" i="24" s="1"/>
  <c r="DG252" i="24" s="1"/>
  <c r="DM252" i="24"/>
  <c r="DB33" i="24"/>
  <c r="DE33" i="24" s="1"/>
  <c r="DF33" i="24" s="1"/>
  <c r="DG33" i="24" s="1"/>
  <c r="DI33" i="24"/>
  <c r="DM33" i="24"/>
  <c r="DI154" i="24"/>
  <c r="DB154" i="24"/>
  <c r="DE154" i="24" s="1"/>
  <c r="DF154" i="24" s="1"/>
  <c r="DG154" i="24" s="1"/>
  <c r="DM154" i="24"/>
  <c r="DI71" i="24"/>
  <c r="DB71" i="24"/>
  <c r="DE71" i="24" s="1"/>
  <c r="DF71" i="24" s="1"/>
  <c r="DG71" i="24" s="1"/>
  <c r="DM71" i="24"/>
  <c r="DA239" i="24"/>
  <c r="DC239" i="24" s="1"/>
  <c r="DI24" i="24"/>
  <c r="DB24" i="24"/>
  <c r="DE24" i="24" s="1"/>
  <c r="DF24" i="24" s="1"/>
  <c r="DG24" i="24" s="1"/>
  <c r="DM24" i="24"/>
  <c r="DI55" i="24"/>
  <c r="DB55" i="24"/>
  <c r="DE55" i="24" s="1"/>
  <c r="DF55" i="24" s="1"/>
  <c r="DG55" i="24" s="1"/>
  <c r="DM55" i="24"/>
  <c r="DC166" i="24"/>
  <c r="DI246" i="24"/>
  <c r="DB246" i="24"/>
  <c r="DE246" i="24" s="1"/>
  <c r="DF246" i="24" s="1"/>
  <c r="DG246" i="24" s="1"/>
  <c r="DM246" i="24"/>
  <c r="DA229" i="24"/>
  <c r="DC229" i="24" s="1"/>
  <c r="DB229" i="24"/>
  <c r="DE229" i="24" s="1"/>
  <c r="DF229" i="24" s="1"/>
  <c r="DG229" i="24" s="1"/>
  <c r="DI229" i="24"/>
  <c r="DM229" i="24"/>
  <c r="DI165" i="24"/>
  <c r="DB165" i="24"/>
  <c r="DE165" i="24" s="1"/>
  <c r="DF165" i="24" s="1"/>
  <c r="DG165" i="24" s="1"/>
  <c r="DM165" i="24"/>
  <c r="DI280" i="24"/>
  <c r="DB280" i="24"/>
  <c r="DE280" i="24" s="1"/>
  <c r="DF280" i="24" s="1"/>
  <c r="DG280" i="24" s="1"/>
  <c r="DM280" i="24"/>
  <c r="DC127" i="24"/>
  <c r="DC260" i="24"/>
  <c r="DA145" i="24"/>
  <c r="DC145" i="24" s="1"/>
  <c r="DA117" i="24"/>
  <c r="DC117" i="24" s="1"/>
  <c r="DC273" i="24"/>
  <c r="DA90" i="24"/>
  <c r="DC90" i="24" s="1"/>
  <c r="DA305" i="24"/>
  <c r="DC305" i="24" s="1"/>
  <c r="DB305" i="24"/>
  <c r="DE305" i="24" s="1"/>
  <c r="DF305" i="24" s="1"/>
  <c r="DG305" i="24" s="1"/>
  <c r="DI305" i="24"/>
  <c r="DM305" i="24"/>
  <c r="DA55" i="24"/>
  <c r="DC55" i="24" s="1"/>
  <c r="DA266" i="24"/>
  <c r="DC266" i="24" s="1"/>
  <c r="DA114" i="24"/>
  <c r="DC114" i="24" s="1"/>
  <c r="DB142" i="24"/>
  <c r="DE142" i="24" s="1"/>
  <c r="DF142" i="24" s="1"/>
  <c r="DG142" i="24" s="1"/>
  <c r="DI142" i="24"/>
  <c r="DM142" i="24"/>
  <c r="DI125" i="24"/>
  <c r="DB125" i="24"/>
  <c r="DE125" i="24" s="1"/>
  <c r="DF125" i="24" s="1"/>
  <c r="DG125" i="24" s="1"/>
  <c r="DM125" i="24"/>
  <c r="DI68" i="24"/>
  <c r="DB68" i="24"/>
  <c r="DE68" i="24" s="1"/>
  <c r="DF68" i="24" s="1"/>
  <c r="DG68" i="24" s="1"/>
  <c r="DM68" i="24"/>
  <c r="DC135" i="24"/>
  <c r="DB247" i="24"/>
  <c r="DE247" i="24" s="1"/>
  <c r="DF247" i="24" s="1"/>
  <c r="DG247" i="24" s="1"/>
  <c r="DI247" i="24"/>
  <c r="DM247" i="24"/>
  <c r="DA105" i="24"/>
  <c r="DC105" i="24" s="1"/>
  <c r="DI287" i="24"/>
  <c r="DB287" i="24"/>
  <c r="DE287" i="24" s="1"/>
  <c r="DF287" i="24" s="1"/>
  <c r="DG287" i="24" s="1"/>
  <c r="DM287" i="24"/>
  <c r="DI113" i="24"/>
  <c r="DB113" i="24"/>
  <c r="DE113" i="24" s="1"/>
  <c r="DF113" i="24" s="1"/>
  <c r="DG113" i="24" s="1"/>
  <c r="DM113" i="24"/>
  <c r="DB294" i="24"/>
  <c r="DE294" i="24" s="1"/>
  <c r="DF294" i="24" s="1"/>
  <c r="DG294" i="24" s="1"/>
  <c r="DI294" i="24"/>
  <c r="DM294" i="24"/>
  <c r="DC190" i="24"/>
  <c r="DB193" i="24"/>
  <c r="DE193" i="24" s="1"/>
  <c r="DF193" i="24" s="1"/>
  <c r="DG193" i="24" s="1"/>
  <c r="DI193" i="24"/>
  <c r="DM193" i="24"/>
  <c r="DI209" i="24"/>
  <c r="DB209" i="24"/>
  <c r="DE209" i="24" s="1"/>
  <c r="DF209" i="24" s="1"/>
  <c r="DG209" i="24" s="1"/>
  <c r="DM209" i="24"/>
  <c r="DI203" i="24"/>
  <c r="DB203" i="24"/>
  <c r="DE203" i="24" s="1"/>
  <c r="DF203" i="24" s="1"/>
  <c r="DG203" i="24" s="1"/>
  <c r="DM203" i="24"/>
  <c r="DI75" i="24"/>
  <c r="DB75" i="24"/>
  <c r="DE75" i="24" s="1"/>
  <c r="DF75" i="24" s="1"/>
  <c r="DG75" i="24" s="1"/>
  <c r="DM75" i="24"/>
  <c r="DI190" i="24"/>
  <c r="DB190" i="24"/>
  <c r="DE190" i="24" s="1"/>
  <c r="DF190" i="24" s="1"/>
  <c r="DG190" i="24" s="1"/>
  <c r="DM190" i="24"/>
  <c r="DI150" i="24"/>
  <c r="DB150" i="24"/>
  <c r="DE150" i="24" s="1"/>
  <c r="DF150" i="24" s="1"/>
  <c r="DG150" i="24" s="1"/>
  <c r="DM150" i="24"/>
  <c r="DA177" i="24"/>
  <c r="DC177" i="24" s="1"/>
  <c r="DC294" i="24"/>
  <c r="DB167" i="24"/>
  <c r="DE167" i="24" s="1"/>
  <c r="DF167" i="24" s="1"/>
  <c r="DG167" i="24" s="1"/>
  <c r="DI167" i="24"/>
  <c r="DM167" i="24"/>
  <c r="DA81" i="24"/>
  <c r="DC81" i="24" s="1"/>
  <c r="DB81" i="24"/>
  <c r="DE81" i="24" s="1"/>
  <c r="DF81" i="24" s="1"/>
  <c r="DG81" i="24" s="1"/>
  <c r="DI81" i="24"/>
  <c r="DM81" i="24"/>
  <c r="DA150" i="24"/>
  <c r="DC150" i="24" s="1"/>
  <c r="DI253" i="24"/>
  <c r="DB253" i="24"/>
  <c r="DE253" i="24" s="1"/>
  <c r="DF253" i="24" s="1"/>
  <c r="DG253" i="24" s="1"/>
  <c r="DM253" i="24"/>
  <c r="DC111" i="24"/>
  <c r="DI118" i="24"/>
  <c r="DB118" i="24"/>
  <c r="DE118" i="24" s="1"/>
  <c r="DF118" i="24" s="1"/>
  <c r="DG118" i="24" s="1"/>
  <c r="DM118" i="24"/>
  <c r="DB161" i="24"/>
  <c r="DE161" i="24" s="1"/>
  <c r="DF161" i="24" s="1"/>
  <c r="DG161" i="24" s="1"/>
  <c r="DI161" i="24"/>
  <c r="DM161" i="24"/>
  <c r="DA232" i="24"/>
  <c r="DC232" i="24" s="1"/>
  <c r="DB232" i="24"/>
  <c r="DE232" i="24" s="1"/>
  <c r="DF232" i="24" s="1"/>
  <c r="DG232" i="24" s="1"/>
  <c r="DI232" i="24"/>
  <c r="DM232" i="24"/>
  <c r="DC240" i="24"/>
  <c r="DI302" i="24"/>
  <c r="DB302" i="24"/>
  <c r="DE302" i="24" s="1"/>
  <c r="DF302" i="24" s="1"/>
  <c r="DG302" i="24" s="1"/>
  <c r="DM302" i="24"/>
  <c r="E56" i="1"/>
  <c r="N53" i="29"/>
  <c r="N309" i="29"/>
  <c r="M226" i="29"/>
  <c r="N150" i="29"/>
  <c r="M67" i="29"/>
  <c r="M323" i="29"/>
  <c r="N239" i="29"/>
  <c r="M160" i="29"/>
  <c r="N185" i="29"/>
  <c r="M102" i="29"/>
  <c r="N26" i="29"/>
  <c r="N282" i="29"/>
  <c r="M199" i="29"/>
  <c r="N115" i="29"/>
  <c r="M36" i="29"/>
  <c r="M292" i="29"/>
  <c r="N212" i="29"/>
  <c r="N101" i="29"/>
  <c r="M18" i="29"/>
  <c r="M274" i="29"/>
  <c r="N198" i="29"/>
  <c r="M115" i="29"/>
  <c r="N31" i="29"/>
  <c r="N287" i="29"/>
  <c r="M208" i="29"/>
  <c r="N128" i="29"/>
  <c r="M285" i="29"/>
  <c r="M54" i="29"/>
  <c r="N130" i="29"/>
  <c r="M203" i="29"/>
  <c r="N267" i="29"/>
  <c r="M328" i="29"/>
  <c r="N332" i="29"/>
  <c r="M562" i="29"/>
  <c r="N486" i="29"/>
  <c r="M407" i="29"/>
  <c r="M233" i="29"/>
  <c r="N209" i="29"/>
  <c r="M342" i="29"/>
  <c r="M139" i="29"/>
  <c r="N263" i="29"/>
  <c r="N40" i="29"/>
  <c r="M378" i="29"/>
  <c r="M257" i="29"/>
  <c r="N384" i="29"/>
  <c r="M587" i="29"/>
  <c r="N543" i="29"/>
  <c r="M468" i="29"/>
  <c r="M74" i="29"/>
  <c r="N206" i="29"/>
  <c r="M335" i="29"/>
  <c r="M124" i="29"/>
  <c r="N200" i="29"/>
  <c r="M502" i="29"/>
  <c r="N462" i="29"/>
  <c r="M419" i="29"/>
  <c r="N383" i="29"/>
  <c r="M109" i="29"/>
  <c r="N169" i="29"/>
  <c r="N114" i="29"/>
  <c r="N71" i="29"/>
  <c r="M340" i="29"/>
  <c r="M446" i="29"/>
  <c r="N506" i="29"/>
  <c r="M559" i="29"/>
  <c r="N603" i="29"/>
  <c r="M592" i="29"/>
  <c r="M513" i="29"/>
  <c r="N105" i="29"/>
  <c r="N50" i="29"/>
  <c r="M343" i="29"/>
  <c r="M280" i="29"/>
  <c r="N109" i="29"/>
  <c r="N62" i="29"/>
  <c r="M347" i="29"/>
  <c r="M288" i="29"/>
  <c r="M410" i="29"/>
  <c r="N470" i="29"/>
  <c r="M523" i="29"/>
  <c r="N571" i="29"/>
  <c r="M568" i="29"/>
  <c r="M489" i="29"/>
  <c r="N437" i="29"/>
  <c r="M22" i="29"/>
  <c r="N306" i="29"/>
  <c r="N85" i="29"/>
  <c r="N341" i="29"/>
  <c r="M258" i="29"/>
  <c r="N182" i="29"/>
  <c r="M99" i="29"/>
  <c r="N15" i="29"/>
  <c r="N271" i="29"/>
  <c r="M192" i="29"/>
  <c r="N217" i="29"/>
  <c r="M134" i="29"/>
  <c r="N58" i="29"/>
  <c r="N314" i="29"/>
  <c r="M231" i="29"/>
  <c r="N147" i="29"/>
  <c r="M68" i="29"/>
  <c r="M324" i="29"/>
  <c r="N244" i="29"/>
  <c r="N133" i="29"/>
  <c r="M50" i="29"/>
  <c r="M306" i="29"/>
  <c r="N230" i="29"/>
  <c r="M147" i="29"/>
  <c r="N63" i="29"/>
  <c r="N319" i="29"/>
  <c r="M240" i="29"/>
  <c r="N160" i="29"/>
  <c r="N33" i="29"/>
  <c r="M106" i="29"/>
  <c r="N178" i="29"/>
  <c r="M251" i="29"/>
  <c r="N323" i="29"/>
  <c r="N36" i="29"/>
  <c r="M221" i="29"/>
  <c r="M594" i="29"/>
  <c r="N518" i="29"/>
  <c r="M439" i="29"/>
  <c r="N367" i="29"/>
  <c r="N269" i="29"/>
  <c r="N66" i="29"/>
  <c r="M191" i="29"/>
  <c r="N327" i="29"/>
  <c r="N88" i="29"/>
  <c r="M414" i="29"/>
  <c r="N374" i="29"/>
  <c r="M197" i="29"/>
  <c r="N392" i="29"/>
  <c r="N575" i="29"/>
  <c r="M500" i="29"/>
  <c r="M126" i="29"/>
  <c r="N266" i="29"/>
  <c r="N55" i="29"/>
  <c r="M184" i="29"/>
  <c r="N252" i="29"/>
  <c r="M538" i="29"/>
  <c r="N498" i="29"/>
  <c r="M455" i="29"/>
  <c r="N419" i="29"/>
  <c r="M352" i="29"/>
  <c r="N253" i="29"/>
  <c r="N202" i="29"/>
  <c r="N139" i="29"/>
  <c r="N68" i="29"/>
  <c r="M494" i="29"/>
  <c r="N554" i="29"/>
  <c r="M611" i="29"/>
  <c r="M77" i="29"/>
  <c r="M273" i="29"/>
  <c r="M545" i="29"/>
  <c r="N177" i="29"/>
  <c r="N138" i="29"/>
  <c r="N75" i="29"/>
  <c r="M348" i="29"/>
  <c r="N193" i="29"/>
  <c r="N142" i="29"/>
  <c r="N87" i="29"/>
  <c r="N16" i="29"/>
  <c r="M458" i="29"/>
  <c r="N514" i="29"/>
  <c r="M575" i="29"/>
  <c r="M49" i="29"/>
  <c r="M600" i="29"/>
  <c r="M521" i="29"/>
  <c r="N469" i="29"/>
  <c r="M90" i="29"/>
  <c r="N117" i="29"/>
  <c r="M34" i="29"/>
  <c r="M290" i="29"/>
  <c r="N214" i="29"/>
  <c r="M131" i="29"/>
  <c r="N47" i="29"/>
  <c r="N303" i="29"/>
  <c r="M224" i="29"/>
  <c r="N249" i="29"/>
  <c r="M166" i="29"/>
  <c r="N90" i="29"/>
  <c r="N346" i="29"/>
  <c r="M263" i="29"/>
  <c r="N179" i="29"/>
  <c r="M100" i="29"/>
  <c r="N20" i="29"/>
  <c r="N276" i="29"/>
  <c r="N165" i="29"/>
  <c r="M82" i="29"/>
  <c r="M338" i="29"/>
  <c r="N262" i="29"/>
  <c r="M179" i="29"/>
  <c r="N95" i="29"/>
  <c r="M16" i="29"/>
  <c r="M272" i="29"/>
  <c r="N192" i="29"/>
  <c r="N81" i="29"/>
  <c r="M154" i="29"/>
  <c r="N234" i="29"/>
  <c r="M303" i="29"/>
  <c r="M40" i="29"/>
  <c r="N76" i="29"/>
  <c r="M370" i="29"/>
  <c r="N388" i="29"/>
  <c r="N550" i="29"/>
  <c r="M471" i="29"/>
  <c r="N399" i="29"/>
  <c r="N329" i="29"/>
  <c r="N126" i="29"/>
  <c r="M255" i="29"/>
  <c r="M52" i="29"/>
  <c r="N136" i="29"/>
  <c r="M450" i="29"/>
  <c r="N410" i="29"/>
  <c r="M367" i="29"/>
  <c r="M201" i="29"/>
  <c r="N607" i="29"/>
  <c r="N61" i="29"/>
  <c r="M186" i="29"/>
  <c r="N322" i="29"/>
  <c r="N107" i="29"/>
  <c r="M248" i="29"/>
  <c r="N300" i="29"/>
  <c r="M574" i="29"/>
  <c r="N534" i="29"/>
  <c r="M491" i="29"/>
  <c r="N455" i="29"/>
  <c r="M384" i="29"/>
  <c r="N321" i="29"/>
  <c r="N274" i="29"/>
  <c r="N227" i="29"/>
  <c r="N132" i="29"/>
  <c r="M546" i="29"/>
  <c r="N602" i="29"/>
  <c r="M169" i="29"/>
  <c r="M360" i="29"/>
  <c r="M117" i="29"/>
  <c r="M577" i="29"/>
  <c r="N257" i="29"/>
  <c r="N210" i="29"/>
  <c r="N155" i="29"/>
  <c r="N72" i="29"/>
  <c r="N265" i="29"/>
  <c r="N222" i="29"/>
  <c r="N163" i="29"/>
  <c r="N80" i="29"/>
  <c r="M510" i="29"/>
  <c r="N566" i="29"/>
  <c r="M337" i="29"/>
  <c r="M173" i="29"/>
  <c r="N376" i="29"/>
  <c r="M553" i="29"/>
  <c r="N501" i="29"/>
  <c r="M174" i="29"/>
  <c r="N149" i="29"/>
  <c r="M66" i="29"/>
  <c r="M322" i="29"/>
  <c r="N246" i="29"/>
  <c r="M163" i="29"/>
  <c r="N79" i="29"/>
  <c r="N335" i="29"/>
  <c r="N25" i="29"/>
  <c r="N281" i="29"/>
  <c r="M198" i="29"/>
  <c r="N122" i="29"/>
  <c r="M39" i="29"/>
  <c r="M295" i="29"/>
  <c r="N211" i="29"/>
  <c r="M132" i="29"/>
  <c r="N52" i="29"/>
  <c r="N308" i="29"/>
  <c r="N197" i="29"/>
  <c r="M114" i="29"/>
  <c r="N38" i="29"/>
  <c r="N294" i="29"/>
  <c r="M211" i="29"/>
  <c r="N127" i="29"/>
  <c r="M48" i="29"/>
  <c r="M304" i="29"/>
  <c r="N224" i="29"/>
  <c r="N137" i="29"/>
  <c r="M206" i="29"/>
  <c r="N286" i="29"/>
  <c r="M351" i="29"/>
  <c r="M88" i="29"/>
  <c r="N120" i="29"/>
  <c r="M402" i="29"/>
  <c r="M161" i="29"/>
  <c r="N582" i="29"/>
  <c r="M503" i="29"/>
  <c r="N431" i="29"/>
  <c r="M46" i="29"/>
  <c r="N190" i="29"/>
  <c r="M315" i="29"/>
  <c r="M108" i="29"/>
  <c r="N184" i="29"/>
  <c r="M486" i="29"/>
  <c r="N446" i="29"/>
  <c r="M403" i="29"/>
  <c r="N371" i="29"/>
  <c r="N468" i="29"/>
  <c r="N113" i="29"/>
  <c r="M246" i="29"/>
  <c r="M43" i="29"/>
  <c r="N171" i="29"/>
  <c r="M296" i="29"/>
  <c r="N348" i="29"/>
  <c r="M610" i="29"/>
  <c r="N570" i="29"/>
  <c r="M527" i="29"/>
  <c r="N491" i="29"/>
  <c r="M416" i="29"/>
  <c r="M62" i="29"/>
  <c r="M15" i="29"/>
  <c r="N299" i="29"/>
  <c r="N196" i="29"/>
  <c r="M590" i="29"/>
  <c r="M101" i="29"/>
  <c r="N379" i="29"/>
  <c r="M400" i="29"/>
  <c r="M353" i="29"/>
  <c r="M609" i="29"/>
  <c r="N333" i="29"/>
  <c r="N290" i="29"/>
  <c r="N235" i="29"/>
  <c r="N140" i="29"/>
  <c r="N349" i="29"/>
  <c r="N298" i="29"/>
  <c r="N247" i="29"/>
  <c r="N144" i="29"/>
  <c r="M554" i="29"/>
  <c r="M145" i="29"/>
  <c r="M297" i="29"/>
  <c r="M368" i="29"/>
  <c r="M181" i="29"/>
  <c r="M585" i="29"/>
  <c r="N533" i="29"/>
  <c r="M250" i="29"/>
  <c r="N181" i="29"/>
  <c r="M98" i="29"/>
  <c r="N22" i="29"/>
  <c r="N278" i="29"/>
  <c r="M195" i="29"/>
  <c r="N111" i="29"/>
  <c r="M32" i="29"/>
  <c r="N57" i="29"/>
  <c r="N313" i="29"/>
  <c r="M230" i="29"/>
  <c r="N154" i="29"/>
  <c r="M71" i="29"/>
  <c r="M327" i="29"/>
  <c r="N243" i="29"/>
  <c r="M164" i="29"/>
  <c r="N84" i="29"/>
  <c r="N340" i="29"/>
  <c r="N229" i="29"/>
  <c r="M146" i="29"/>
  <c r="N70" i="29"/>
  <c r="N326" i="29"/>
  <c r="M243" i="29"/>
  <c r="N159" i="29"/>
  <c r="M80" i="29"/>
  <c r="M336" i="29"/>
  <c r="N256" i="29"/>
  <c r="N189" i="29"/>
  <c r="M254" i="29"/>
  <c r="N334" i="29"/>
  <c r="N67" i="29"/>
  <c r="M140" i="29"/>
  <c r="N164" i="29"/>
  <c r="M434" i="29"/>
  <c r="N358" i="29"/>
  <c r="M13" i="29"/>
  <c r="M535" i="29"/>
  <c r="N463" i="29"/>
  <c r="M110" i="29"/>
  <c r="N242" i="29"/>
  <c r="N35" i="29"/>
  <c r="M168" i="29"/>
  <c r="N232" i="29"/>
  <c r="M522" i="29"/>
  <c r="N482" i="29"/>
  <c r="M443" i="29"/>
  <c r="N407" i="29"/>
  <c r="M269" i="29"/>
  <c r="N173" i="29"/>
  <c r="M302" i="29"/>
  <c r="M107" i="29"/>
  <c r="N231" i="29"/>
  <c r="M344" i="29"/>
  <c r="M354" i="29"/>
  <c r="M65" i="29"/>
  <c r="N606" i="29"/>
  <c r="M563" i="29"/>
  <c r="N523" i="29"/>
  <c r="M448" i="29"/>
  <c r="M142" i="29"/>
  <c r="M91" i="29"/>
  <c r="M44" i="29"/>
  <c r="N264" i="29"/>
  <c r="M33" i="29"/>
  <c r="M363" i="29"/>
  <c r="N427" i="29"/>
  <c r="M444" i="29"/>
  <c r="M385" i="29"/>
  <c r="M217" i="29"/>
  <c r="M78" i="29"/>
  <c r="M27" i="29"/>
  <c r="N311" i="29"/>
  <c r="N208" i="29"/>
  <c r="M86" i="29"/>
  <c r="M31" i="29"/>
  <c r="N315" i="29"/>
  <c r="N216" i="29"/>
  <c r="M606" i="29"/>
  <c r="M165" i="29"/>
  <c r="N391" i="29"/>
  <c r="M412" i="29"/>
  <c r="M361" i="29"/>
  <c r="M25" i="29"/>
  <c r="N45" i="29"/>
  <c r="M330" i="29"/>
  <c r="N213" i="29"/>
  <c r="M130" i="29"/>
  <c r="N54" i="29"/>
  <c r="N310" i="29"/>
  <c r="M227" i="29"/>
  <c r="N143" i="29"/>
  <c r="M64" i="29"/>
  <c r="N89" i="29"/>
  <c r="N345" i="29"/>
  <c r="M262" i="29"/>
  <c r="N186" i="29"/>
  <c r="M103" i="29"/>
  <c r="N19" i="29"/>
  <c r="N275" i="29"/>
  <c r="M196" i="29"/>
  <c r="N116" i="29"/>
  <c r="M189" i="29"/>
  <c r="N261" i="29"/>
  <c r="M178" i="29"/>
  <c r="N102" i="29"/>
  <c r="M19" i="29"/>
  <c r="M275" i="29"/>
  <c r="N191" i="29"/>
  <c r="M112" i="29"/>
  <c r="N32" i="29"/>
  <c r="N288" i="29"/>
  <c r="N237" i="29"/>
  <c r="M310" i="29"/>
  <c r="M47" i="29"/>
  <c r="N119" i="29"/>
  <c r="M188" i="29"/>
  <c r="N204" i="29"/>
  <c r="M466" i="29"/>
  <c r="N390" i="29"/>
  <c r="M37" i="29"/>
  <c r="M567" i="29"/>
  <c r="N41" i="29"/>
  <c r="M170" i="29"/>
  <c r="N302" i="29"/>
  <c r="N91" i="29"/>
  <c r="M220" i="29"/>
  <c r="N280" i="29"/>
  <c r="M558" i="29"/>
  <c r="N522" i="29"/>
  <c r="M479" i="29"/>
  <c r="N443" i="29"/>
  <c r="M372" i="29"/>
  <c r="N233" i="29"/>
  <c r="N34" i="29"/>
  <c r="M159" i="29"/>
  <c r="N291" i="29"/>
  <c r="N56" i="29"/>
  <c r="M390" i="29"/>
  <c r="M349" i="29"/>
  <c r="N448" i="29"/>
  <c r="M603" i="29"/>
  <c r="N555" i="29"/>
  <c r="M480" i="29"/>
  <c r="M218" i="29"/>
  <c r="M175" i="29"/>
  <c r="M120" i="29"/>
  <c r="N324" i="29"/>
  <c r="N362" i="29"/>
  <c r="M415" i="29"/>
  <c r="N475" i="29"/>
  <c r="M488" i="29"/>
  <c r="M417" i="29"/>
  <c r="N365" i="29"/>
  <c r="M150" i="29"/>
  <c r="M111" i="29"/>
  <c r="M56" i="29"/>
  <c r="N268" i="29"/>
  <c r="M158" i="29"/>
  <c r="M119" i="29"/>
  <c r="M60" i="29"/>
  <c r="N272" i="29"/>
  <c r="M129" i="29"/>
  <c r="M379" i="29"/>
  <c r="N439" i="29"/>
  <c r="M456" i="29"/>
  <c r="M393" i="29"/>
  <c r="M281" i="29"/>
  <c r="N125" i="29"/>
  <c r="N74" i="29"/>
  <c r="N245" i="29"/>
  <c r="M162" i="29"/>
  <c r="N86" i="29"/>
  <c r="N342" i="29"/>
  <c r="M259" i="29"/>
  <c r="N175" i="29"/>
  <c r="M96" i="29"/>
  <c r="N121" i="29"/>
  <c r="M38" i="29"/>
  <c r="M294" i="29"/>
  <c r="N218" i="29"/>
  <c r="M135" i="29"/>
  <c r="N51" i="29"/>
  <c r="N307" i="29"/>
  <c r="M228" i="29"/>
  <c r="N148" i="29"/>
  <c r="N37" i="29"/>
  <c r="N293" i="29"/>
  <c r="M210" i="29"/>
  <c r="N134" i="29"/>
  <c r="M51" i="29"/>
  <c r="M307" i="29"/>
  <c r="N223" i="29"/>
  <c r="M144" i="29"/>
  <c r="N64" i="29"/>
  <c r="N320" i="29"/>
  <c r="N289" i="29"/>
  <c r="N30" i="29"/>
  <c r="M95" i="29"/>
  <c r="N167" i="29"/>
  <c r="M244" i="29"/>
  <c r="N248" i="29"/>
  <c r="M498" i="29"/>
  <c r="N422" i="29"/>
  <c r="M293" i="29"/>
  <c r="M599" i="29"/>
  <c r="N97" i="29"/>
  <c r="M222" i="29"/>
  <c r="M23" i="29"/>
  <c r="N151" i="29"/>
  <c r="M276" i="29"/>
  <c r="N328" i="29"/>
  <c r="M598" i="29"/>
  <c r="N558" i="29"/>
  <c r="M515" i="29"/>
  <c r="N479" i="29"/>
  <c r="M404" i="29"/>
  <c r="N297" i="29"/>
  <c r="N94" i="29"/>
  <c r="M219" i="29"/>
  <c r="N347" i="29"/>
  <c r="N104" i="29"/>
  <c r="M426" i="29"/>
  <c r="N386" i="29"/>
  <c r="M325" i="29"/>
  <c r="M41" i="29"/>
  <c r="N587" i="29"/>
  <c r="M512" i="29"/>
  <c r="M298" i="29"/>
  <c r="M247" i="29"/>
  <c r="M204" i="29"/>
  <c r="M346" i="29"/>
  <c r="N406" i="29"/>
  <c r="M463" i="29"/>
  <c r="N519" i="29"/>
  <c r="M528" i="29"/>
  <c r="M449" i="29"/>
  <c r="N397" i="29"/>
  <c r="M234" i="29"/>
  <c r="M183" i="29"/>
  <c r="M136" i="29"/>
  <c r="N336" i="29"/>
  <c r="M238" i="29"/>
  <c r="M187" i="29"/>
  <c r="M148" i="29"/>
  <c r="N344" i="29"/>
  <c r="N370" i="29"/>
  <c r="M427" i="29"/>
  <c r="N487" i="29"/>
  <c r="M496" i="29"/>
  <c r="M425" i="29"/>
  <c r="N373" i="29"/>
  <c r="N201" i="29"/>
  <c r="N158" i="29"/>
  <c r="N21" i="29"/>
  <c r="N277" i="29"/>
  <c r="M194" i="29"/>
  <c r="N118" i="29"/>
  <c r="M35" i="29"/>
  <c r="M291" i="29"/>
  <c r="N207" i="29"/>
  <c r="M128" i="29"/>
  <c r="N153" i="29"/>
  <c r="M70" i="29"/>
  <c r="M326" i="29"/>
  <c r="N250" i="29"/>
  <c r="M167" i="29"/>
  <c r="N83" i="29"/>
  <c r="N339" i="29"/>
  <c r="M260" i="29"/>
  <c r="N180" i="29"/>
  <c r="N69" i="29"/>
  <c r="N325" i="29"/>
  <c r="M242" i="29"/>
  <c r="N166" i="29"/>
  <c r="M83" i="29"/>
  <c r="M339" i="29"/>
  <c r="N255" i="29"/>
  <c r="M176" i="29"/>
  <c r="N96" i="29"/>
  <c r="M29" i="29"/>
  <c r="N337" i="29"/>
  <c r="N78" i="29"/>
  <c r="M151" i="29"/>
  <c r="N219" i="29"/>
  <c r="M284" i="29"/>
  <c r="N292" i="29"/>
  <c r="M530" i="29"/>
  <c r="N454" i="29"/>
  <c r="M375" i="29"/>
  <c r="N440" i="29"/>
  <c r="N157" i="29"/>
  <c r="M282" i="29"/>
  <c r="M79" i="29"/>
  <c r="N203" i="29"/>
  <c r="M320" i="29"/>
  <c r="M253" i="29"/>
  <c r="N436" i="29"/>
  <c r="N594" i="29"/>
  <c r="M551" i="29"/>
  <c r="N511" i="29"/>
  <c r="M436" i="29"/>
  <c r="M14" i="29"/>
  <c r="N146" i="29"/>
  <c r="M279" i="29"/>
  <c r="M72" i="29"/>
  <c r="N152" i="29"/>
  <c r="M462" i="29"/>
  <c r="N426" i="29"/>
  <c r="M383" i="29"/>
  <c r="M329" i="29"/>
  <c r="N360" i="29"/>
  <c r="N93" i="29"/>
  <c r="N46" i="29"/>
  <c r="M331" i="29"/>
  <c r="M268" i="29"/>
  <c r="M398" i="29"/>
  <c r="N458" i="29"/>
  <c r="M511" i="29"/>
  <c r="N563" i="29"/>
  <c r="M560" i="29"/>
  <c r="M481" i="29"/>
  <c r="N17" i="29"/>
  <c r="M314" i="29"/>
  <c r="M267" i="29"/>
  <c r="M212" i="29"/>
  <c r="N29" i="29"/>
  <c r="M318" i="29"/>
  <c r="M271" i="29"/>
  <c r="M216" i="29"/>
  <c r="M362" i="29"/>
  <c r="N418" i="29"/>
  <c r="M475" i="29"/>
  <c r="N531" i="29"/>
  <c r="M536" i="29"/>
  <c r="M457" i="29"/>
  <c r="N405" i="29"/>
  <c r="N273" i="29"/>
  <c r="N226" i="29"/>
  <c r="N251" i="29"/>
  <c r="N156" i="29"/>
  <c r="M566" i="29"/>
  <c r="M305" i="29"/>
  <c r="N351" i="29"/>
  <c r="M376" i="29"/>
  <c r="M213" i="29"/>
  <c r="M589" i="29"/>
  <c r="M42" i="29"/>
  <c r="N338" i="29"/>
  <c r="N283" i="29"/>
  <c r="N176" i="29"/>
  <c r="M582" i="29"/>
  <c r="N428" i="29"/>
  <c r="N363" i="29"/>
  <c r="M392" i="29"/>
  <c r="M309" i="29"/>
  <c r="M601" i="29"/>
  <c r="N350" i="29"/>
  <c r="M430" i="29"/>
  <c r="M543" i="29"/>
  <c r="M580" i="29"/>
  <c r="N429" i="29"/>
  <c r="N552" i="29"/>
  <c r="N361" i="29"/>
  <c r="N364" i="29"/>
  <c r="M59" i="29"/>
  <c r="M442" i="29"/>
  <c r="M555" i="29"/>
  <c r="M588" i="29"/>
  <c r="N433" i="29"/>
  <c r="N584" i="29"/>
  <c r="N241" i="29"/>
  <c r="M236" i="29"/>
  <c r="N510" i="29"/>
  <c r="N611" i="29"/>
  <c r="M517" i="29"/>
  <c r="N581" i="29"/>
  <c r="N354" i="29"/>
  <c r="M116" i="29"/>
  <c r="N285" i="29"/>
  <c r="M252" i="29"/>
  <c r="N530" i="29"/>
  <c r="N404" i="29"/>
  <c r="M529" i="29"/>
  <c r="N585" i="29"/>
  <c r="N27" i="29"/>
  <c r="N318" i="29"/>
  <c r="N77" i="29"/>
  <c r="M84" i="29"/>
  <c r="N438" i="29"/>
  <c r="N547" i="29"/>
  <c r="M469" i="29"/>
  <c r="N557" i="29"/>
  <c r="N270" i="29"/>
  <c r="N168" i="29"/>
  <c r="N546" i="29"/>
  <c r="N493" i="29"/>
  <c r="N59" i="29"/>
  <c r="M81" i="29"/>
  <c r="N403" i="29"/>
  <c r="M369" i="29"/>
  <c r="N497" i="29"/>
  <c r="N504" i="29"/>
  <c r="N417" i="29"/>
  <c r="N597" i="29"/>
  <c r="M55" i="29"/>
  <c r="N331" i="29"/>
  <c r="N220" i="29"/>
  <c r="N13" i="29"/>
  <c r="M229" i="29"/>
  <c r="N395" i="29"/>
  <c r="M420" i="29"/>
  <c r="M365" i="29"/>
  <c r="M57" i="29"/>
  <c r="M122" i="29"/>
  <c r="M75" i="29"/>
  <c r="M24" i="29"/>
  <c r="N240" i="29"/>
  <c r="N408" i="29"/>
  <c r="M355" i="29"/>
  <c r="N415" i="29"/>
  <c r="M432" i="29"/>
  <c r="M377" i="29"/>
  <c r="M153" i="29"/>
  <c r="M223" i="29"/>
  <c r="M526" i="29"/>
  <c r="M73" i="29"/>
  <c r="M21" i="29"/>
  <c r="N465" i="29"/>
  <c r="N496" i="29"/>
  <c r="N561" i="29"/>
  <c r="N369" i="29"/>
  <c r="M239" i="29"/>
  <c r="M542" i="29"/>
  <c r="M137" i="29"/>
  <c r="M85" i="29"/>
  <c r="N473" i="29"/>
  <c r="N528" i="29"/>
  <c r="M118" i="29"/>
  <c r="N60" i="29"/>
  <c r="N610" i="29"/>
  <c r="M364" i="29"/>
  <c r="M581" i="29"/>
  <c r="N613" i="29"/>
  <c r="M607" i="29"/>
  <c r="M602" i="29"/>
  <c r="M138" i="29"/>
  <c r="N100" i="29"/>
  <c r="N368" i="29"/>
  <c r="M380" i="29"/>
  <c r="M593" i="29"/>
  <c r="M177" i="29"/>
  <c r="M394" i="29"/>
  <c r="M312" i="29"/>
  <c r="N301" i="29"/>
  <c r="M264" i="29"/>
  <c r="N538" i="29"/>
  <c r="N424" i="29"/>
  <c r="M533" i="29"/>
  <c r="N589" i="29"/>
  <c r="M308" i="29"/>
  <c r="N562" i="29"/>
  <c r="N559" i="29"/>
  <c r="N488" i="29"/>
  <c r="N279" i="29"/>
  <c r="N382" i="29"/>
  <c r="N499" i="29"/>
  <c r="M433" i="29"/>
  <c r="N537" i="29"/>
  <c r="N604" i="29"/>
  <c r="N544" i="29"/>
  <c r="N572" i="29"/>
  <c r="M123" i="29"/>
  <c r="M76" i="29"/>
  <c r="N284" i="29"/>
  <c r="M193" i="29"/>
  <c r="M387" i="29"/>
  <c r="N447" i="29"/>
  <c r="M460" i="29"/>
  <c r="M397" i="29"/>
  <c r="M313" i="29"/>
  <c r="M202" i="29"/>
  <c r="M155" i="29"/>
  <c r="M104" i="29"/>
  <c r="N312" i="29"/>
  <c r="M321" i="29"/>
  <c r="M399" i="29"/>
  <c r="N467" i="29"/>
  <c r="M476" i="29"/>
  <c r="M409" i="29"/>
  <c r="N357" i="29"/>
  <c r="N103" i="29"/>
  <c r="N352" i="29"/>
  <c r="N411" i="29"/>
  <c r="M373" i="29"/>
  <c r="N505" i="29"/>
  <c r="N536" i="29"/>
  <c r="N556" i="29"/>
  <c r="N565" i="29"/>
  <c r="N123" i="29"/>
  <c r="N464" i="29"/>
  <c r="N423" i="29"/>
  <c r="M381" i="29"/>
  <c r="N509" i="29"/>
  <c r="N568" i="29"/>
  <c r="M334" i="29"/>
  <c r="N236" i="29"/>
  <c r="M371" i="29"/>
  <c r="M452" i="29"/>
  <c r="M249" i="29"/>
  <c r="N456" i="29"/>
  <c r="M484" i="29"/>
  <c r="M423" i="29"/>
  <c r="N14" i="29"/>
  <c r="N260" i="29"/>
  <c r="M391" i="29"/>
  <c r="M464" i="29"/>
  <c r="M345" i="29"/>
  <c r="N480" i="29"/>
  <c r="M411" i="29"/>
  <c r="N366" i="29"/>
  <c r="M182" i="29"/>
  <c r="N108" i="29"/>
  <c r="N400" i="29"/>
  <c r="M388" i="29"/>
  <c r="M597" i="29"/>
  <c r="M241" i="29"/>
  <c r="N450" i="29"/>
  <c r="N567" i="29"/>
  <c r="M413" i="29"/>
  <c r="N161" i="29"/>
  <c r="M156" i="29"/>
  <c r="N478" i="29"/>
  <c r="N583" i="29"/>
  <c r="M497" i="29"/>
  <c r="N569" i="29"/>
  <c r="M190" i="29"/>
  <c r="N39" i="29"/>
  <c r="M207" i="29"/>
  <c r="M152" i="29"/>
  <c r="M61" i="29"/>
  <c r="N378" i="29"/>
  <c r="M431" i="29"/>
  <c r="N495" i="29"/>
  <c r="M504" i="29"/>
  <c r="M429" i="29"/>
  <c r="N377" i="29"/>
  <c r="M278" i="29"/>
  <c r="M235" i="29"/>
  <c r="M180" i="29"/>
  <c r="M157" i="29"/>
  <c r="N398" i="29"/>
  <c r="M451" i="29"/>
  <c r="N507" i="29"/>
  <c r="M520" i="29"/>
  <c r="M441" i="29"/>
  <c r="N389" i="29"/>
  <c r="N295" i="29"/>
  <c r="N394" i="29"/>
  <c r="N503" i="29"/>
  <c r="M437" i="29"/>
  <c r="N541" i="29"/>
  <c r="M143" i="29"/>
  <c r="M214" i="29"/>
  <c r="N588" i="29"/>
  <c r="N343" i="29"/>
  <c r="N402" i="29"/>
  <c r="N515" i="29"/>
  <c r="M445" i="29"/>
  <c r="N545" i="29"/>
  <c r="N317" i="29"/>
  <c r="N194" i="29"/>
  <c r="M358" i="29"/>
  <c r="M467" i="29"/>
  <c r="M532" i="29"/>
  <c r="N401" i="29"/>
  <c r="N548" i="29"/>
  <c r="M605" i="29"/>
  <c r="M141" i="29"/>
  <c r="N238" i="29"/>
  <c r="M374" i="29"/>
  <c r="M487" i="29"/>
  <c r="M544" i="29"/>
  <c r="N409" i="29"/>
  <c r="N580" i="29"/>
  <c r="M45" i="29"/>
  <c r="M519" i="29"/>
  <c r="N42" i="29"/>
  <c r="N296" i="29"/>
  <c r="M395" i="29"/>
  <c r="M472" i="29"/>
  <c r="N353" i="29"/>
  <c r="N512" i="29"/>
  <c r="N375" i="29"/>
  <c r="M421" i="29"/>
  <c r="N593" i="29"/>
  <c r="M30" i="29"/>
  <c r="M332" i="29"/>
  <c r="N578" i="29"/>
  <c r="M237" i="29"/>
  <c r="M561" i="29"/>
  <c r="N601" i="29"/>
  <c r="M92" i="29"/>
  <c r="N316" i="29"/>
  <c r="M283" i="29"/>
  <c r="M232" i="29"/>
  <c r="M366" i="29"/>
  <c r="N430" i="29"/>
  <c r="M483" i="29"/>
  <c r="N535" i="29"/>
  <c r="M540" i="29"/>
  <c r="M461" i="29"/>
  <c r="N73" i="29"/>
  <c r="N18" i="29"/>
  <c r="M311" i="29"/>
  <c r="M256" i="29"/>
  <c r="M386" i="29"/>
  <c r="N442" i="29"/>
  <c r="M499" i="29"/>
  <c r="N551" i="29"/>
  <c r="M552" i="29"/>
  <c r="M473" i="29"/>
  <c r="N205" i="29"/>
  <c r="M172" i="29"/>
  <c r="N490" i="29"/>
  <c r="N591" i="29"/>
  <c r="M501" i="29"/>
  <c r="N573" i="29"/>
  <c r="N304" i="29"/>
  <c r="N259" i="29"/>
  <c r="N221" i="29"/>
  <c r="M200" i="29"/>
  <c r="N502" i="29"/>
  <c r="N599" i="29"/>
  <c r="M509" i="29"/>
  <c r="N577" i="29"/>
  <c r="M490" i="29"/>
  <c r="M63" i="29"/>
  <c r="M454" i="29"/>
  <c r="M571" i="29"/>
  <c r="M596" i="29"/>
  <c r="N441" i="29"/>
  <c r="N532" i="29"/>
  <c r="N453" i="29"/>
  <c r="M357" i="29"/>
  <c r="M87" i="29"/>
  <c r="M474" i="29"/>
  <c r="M583" i="29"/>
  <c r="M608" i="29"/>
  <c r="N445" i="29"/>
  <c r="N492" i="29"/>
  <c r="M477" i="29"/>
  <c r="M408" i="29"/>
  <c r="N254" i="29"/>
  <c r="M382" i="29"/>
  <c r="M495" i="29"/>
  <c r="M548" i="29"/>
  <c r="N413" i="29"/>
  <c r="N612" i="29"/>
  <c r="M341" i="29"/>
  <c r="N457" i="29"/>
  <c r="M506" i="29"/>
  <c r="M266" i="29"/>
  <c r="N172" i="29"/>
  <c r="M261" i="29"/>
  <c r="M424" i="29"/>
  <c r="M89" i="29"/>
  <c r="N396" i="29"/>
  <c r="M586" i="29"/>
  <c r="N466" i="29"/>
  <c r="N23" i="29"/>
  <c r="M300" i="29"/>
  <c r="M418" i="29"/>
  <c r="N474" i="29"/>
  <c r="M531" i="29"/>
  <c r="N579" i="29"/>
  <c r="M572" i="29"/>
  <c r="M493" i="29"/>
  <c r="N145" i="29"/>
  <c r="N106" i="29"/>
  <c r="N43" i="29"/>
  <c r="M316" i="29"/>
  <c r="M438" i="29"/>
  <c r="N494" i="29"/>
  <c r="M547" i="29"/>
  <c r="N595" i="29"/>
  <c r="M584" i="29"/>
  <c r="M505" i="29"/>
  <c r="M58" i="29"/>
  <c r="N28" i="29"/>
  <c r="N586" i="29"/>
  <c r="M301" i="29"/>
  <c r="M565" i="29"/>
  <c r="N605" i="29"/>
  <c r="M69" i="29"/>
  <c r="M406" i="29"/>
  <c r="M94" i="29"/>
  <c r="N44" i="29"/>
  <c r="N598" i="29"/>
  <c r="M356" i="29"/>
  <c r="M573" i="29"/>
  <c r="N609" i="29"/>
  <c r="M556" i="29"/>
  <c r="M287" i="29"/>
  <c r="M550" i="29"/>
  <c r="M265" i="29"/>
  <c r="M149" i="29"/>
  <c r="N477" i="29"/>
  <c r="N560" i="29"/>
  <c r="N356" i="29"/>
  <c r="N421" i="29"/>
  <c r="M299" i="29"/>
  <c r="M570" i="29"/>
  <c r="N355" i="29"/>
  <c r="M245" i="29"/>
  <c r="N481" i="29"/>
  <c r="N592" i="29"/>
  <c r="N489" i="29"/>
  <c r="M485" i="29"/>
  <c r="M127" i="29"/>
  <c r="M478" i="29"/>
  <c r="M591" i="29"/>
  <c r="M612" i="29"/>
  <c r="N449" i="29"/>
  <c r="N524" i="29"/>
  <c r="N525" i="29"/>
  <c r="N576" i="29"/>
  <c r="M17" i="29"/>
  <c r="N110" i="29"/>
  <c r="M93" i="29"/>
  <c r="M435" i="29"/>
  <c r="M508" i="29"/>
  <c r="N381" i="29"/>
  <c r="N608" i="29"/>
  <c r="M507" i="29"/>
  <c r="N387" i="29"/>
  <c r="N99" i="29"/>
  <c r="N24" i="29"/>
  <c r="M470" i="29"/>
  <c r="N526" i="29"/>
  <c r="M579" i="29"/>
  <c r="N380" i="29"/>
  <c r="M604" i="29"/>
  <c r="M525" i="29"/>
  <c r="N225" i="29"/>
  <c r="N174" i="29"/>
  <c r="N131" i="29"/>
  <c r="N48" i="29"/>
  <c r="M482" i="29"/>
  <c r="N542" i="29"/>
  <c r="M595" i="29"/>
  <c r="N444" i="29"/>
  <c r="G628" i="29"/>
  <c r="M537" i="29"/>
  <c r="M270" i="29"/>
  <c r="N188" i="29"/>
  <c r="M350" i="29"/>
  <c r="M428" i="29"/>
  <c r="M121" i="29"/>
  <c r="N412" i="29"/>
  <c r="N471" i="29"/>
  <c r="M133" i="29"/>
  <c r="M286" i="29"/>
  <c r="N228" i="29"/>
  <c r="M359" i="29"/>
  <c r="M440" i="29"/>
  <c r="M185" i="29"/>
  <c r="N432" i="29"/>
  <c r="M209" i="29"/>
  <c r="N135" i="29"/>
  <c r="M97" i="29"/>
  <c r="N435" i="29"/>
  <c r="M389" i="29"/>
  <c r="N513" i="29"/>
  <c r="N600" i="29"/>
  <c r="N540" i="29"/>
  <c r="N372" i="29"/>
  <c r="N187" i="29"/>
  <c r="M225" i="29"/>
  <c r="N451" i="29"/>
  <c r="M401" i="29"/>
  <c r="N517" i="29"/>
  <c r="N476" i="29"/>
  <c r="N596" i="29"/>
  <c r="N529" i="29"/>
  <c r="M319" i="29"/>
  <c r="M578" i="29"/>
  <c r="N359" i="29"/>
  <c r="M277" i="29"/>
  <c r="N485" i="29"/>
  <c r="N500" i="29"/>
  <c r="M26" i="29"/>
  <c r="N82" i="29"/>
  <c r="M492" i="29"/>
  <c r="N330" i="29"/>
  <c r="M422" i="29"/>
  <c r="M539" i="29"/>
  <c r="M576" i="29"/>
  <c r="N425" i="29"/>
  <c r="N520" i="29"/>
  <c r="M396" i="29"/>
  <c r="M564" i="29"/>
  <c r="N183" i="29"/>
  <c r="N92" i="29"/>
  <c r="M514" i="29"/>
  <c r="N574" i="29"/>
  <c r="N416" i="29"/>
  <c r="M205" i="29"/>
  <c r="N420" i="29"/>
  <c r="M557" i="29"/>
  <c r="N305" i="29"/>
  <c r="N258" i="29"/>
  <c r="N199" i="29"/>
  <c r="N112" i="29"/>
  <c r="M534" i="29"/>
  <c r="N590" i="29"/>
  <c r="M105" i="29"/>
  <c r="M333" i="29"/>
  <c r="M53" i="29"/>
  <c r="M569" i="29"/>
  <c r="N162" i="29"/>
  <c r="M125" i="29"/>
  <c r="M447" i="29"/>
  <c r="M516" i="29"/>
  <c r="N385" i="29"/>
  <c r="N484" i="29"/>
  <c r="M113" i="29"/>
  <c r="N483" i="29"/>
  <c r="N170" i="29"/>
  <c r="M317" i="29"/>
  <c r="M459" i="29"/>
  <c r="M524" i="29"/>
  <c r="N393" i="29"/>
  <c r="N516" i="29"/>
  <c r="N49" i="29"/>
  <c r="M20" i="29"/>
  <c r="N414" i="29"/>
  <c r="N527" i="29"/>
  <c r="M453" i="29"/>
  <c r="N549" i="29"/>
  <c r="N215" i="29"/>
  <c r="N98" i="29"/>
  <c r="N65" i="29"/>
  <c r="M28" i="29"/>
  <c r="N434" i="29"/>
  <c r="N539" i="29"/>
  <c r="M465" i="29"/>
  <c r="N553" i="29"/>
  <c r="N129" i="29"/>
  <c r="N141" i="29"/>
  <c r="N472" i="29"/>
  <c r="N195" i="29"/>
  <c r="M289" i="29"/>
  <c r="N459" i="29"/>
  <c r="M405" i="29"/>
  <c r="N521" i="29"/>
  <c r="N508" i="29"/>
  <c r="M171" i="29"/>
  <c r="N124" i="29"/>
  <c r="M549" i="29"/>
  <c r="M215" i="29"/>
  <c r="M518" i="29"/>
  <c r="N460" i="29"/>
  <c r="N452" i="29"/>
  <c r="N461" i="29"/>
  <c r="N564" i="29"/>
  <c r="M541" i="29"/>
  <c r="M613" i="29"/>
  <c r="DJ110" i="25" l="1"/>
  <c r="DQ110" i="25" s="1"/>
  <c r="CZ216" i="25"/>
  <c r="DB216" i="25" s="1"/>
  <c r="T623" i="29"/>
  <c r="O623" i="29"/>
  <c r="K623" i="29"/>
  <c r="L623" i="29"/>
  <c r="P623" i="29"/>
  <c r="U623" i="29"/>
  <c r="S623" i="29"/>
  <c r="V623" i="29"/>
  <c r="Q623" i="29"/>
  <c r="R623" i="29"/>
  <c r="DQ212" i="25"/>
  <c r="DN212" i="25"/>
  <c r="DX216" i="24"/>
  <c r="EE216" i="24" s="1"/>
  <c r="DH216" i="25"/>
  <c r="DJ216" i="25" s="1"/>
  <c r="EB269" i="25"/>
  <c r="EA269" i="25"/>
  <c r="EB245" i="25"/>
  <c r="EA245" i="25"/>
  <c r="EB289" i="25"/>
  <c r="EA289" i="25"/>
  <c r="EB280" i="25"/>
  <c r="EA280" i="25"/>
  <c r="EB285" i="25"/>
  <c r="EA285" i="25"/>
  <c r="EB257" i="25"/>
  <c r="EA257" i="25"/>
  <c r="EB243" i="25"/>
  <c r="EA243" i="25"/>
  <c r="EB293" i="25"/>
  <c r="EA293" i="25"/>
  <c r="EB286" i="25"/>
  <c r="EA286" i="25"/>
  <c r="EB281" i="25"/>
  <c r="EA281" i="25"/>
  <c r="EB274" i="25"/>
  <c r="EA274" i="25"/>
  <c r="EB222" i="25"/>
  <c r="EA222" i="25"/>
  <c r="EB237" i="25"/>
  <c r="EA237" i="25"/>
  <c r="EB287" i="25"/>
  <c r="EA287" i="25"/>
  <c r="EB227" i="25"/>
  <c r="EA227" i="25"/>
  <c r="EB225" i="25"/>
  <c r="EA225" i="25"/>
  <c r="EB251" i="25"/>
  <c r="EA251" i="25"/>
  <c r="EB236" i="25"/>
  <c r="EA236" i="25"/>
  <c r="EB307" i="25"/>
  <c r="EA307" i="25"/>
  <c r="EB316" i="25"/>
  <c r="EA316" i="25"/>
  <c r="EB221" i="25"/>
  <c r="EA221" i="25"/>
  <c r="EB229" i="25"/>
  <c r="EA229" i="25"/>
  <c r="EB263" i="25"/>
  <c r="EA263" i="25"/>
  <c r="EB239" i="25"/>
  <c r="EA239" i="25"/>
  <c r="EB302" i="25"/>
  <c r="EA302" i="25"/>
  <c r="EB292" i="25"/>
  <c r="EA292" i="25"/>
  <c r="EB252" i="25"/>
  <c r="EA252" i="25"/>
  <c r="EB226" i="25"/>
  <c r="EA226" i="25"/>
  <c r="EB310" i="25"/>
  <c r="EA310" i="25"/>
  <c r="EB220" i="25"/>
  <c r="EA220" i="25"/>
  <c r="EB249" i="25"/>
  <c r="EA249" i="25"/>
  <c r="EB248" i="25"/>
  <c r="EA248" i="25"/>
  <c r="EB260" i="25"/>
  <c r="EA260" i="25"/>
  <c r="EB219" i="25"/>
  <c r="EA219" i="25"/>
  <c r="EB295" i="25"/>
  <c r="EA295" i="25"/>
  <c r="EB253" i="25"/>
  <c r="EA253" i="25"/>
  <c r="EB217" i="25"/>
  <c r="EA217" i="25"/>
  <c r="EB296" i="25"/>
  <c r="EA296" i="25"/>
  <c r="EB299" i="25"/>
  <c r="EA299" i="25"/>
  <c r="EB265" i="25"/>
  <c r="EA265" i="25"/>
  <c r="EB271" i="25"/>
  <c r="EA271" i="25"/>
  <c r="EB278" i="25"/>
  <c r="EA278" i="25"/>
  <c r="EB234" i="25"/>
  <c r="EA234" i="25"/>
  <c r="EB309" i="25"/>
  <c r="EA309" i="25"/>
  <c r="EB246" i="25"/>
  <c r="EA246" i="25"/>
  <c r="EB288" i="25"/>
  <c r="EA288" i="25"/>
  <c r="EA216" i="25"/>
  <c r="EB216" i="25"/>
  <c r="EB308" i="25"/>
  <c r="EA308" i="25"/>
  <c r="EB298" i="25"/>
  <c r="EA298" i="25"/>
  <c r="EB242" i="25"/>
  <c r="EA242" i="25"/>
  <c r="EB262" i="25"/>
  <c r="EA262" i="25"/>
  <c r="EB277" i="25"/>
  <c r="EA277" i="25"/>
  <c r="EB254" i="25"/>
  <c r="EA254" i="25"/>
  <c r="EB290" i="25"/>
  <c r="EA290" i="25"/>
  <c r="EB291" i="25"/>
  <c r="EA291" i="25"/>
  <c r="EB247" i="25"/>
  <c r="EA247" i="25"/>
  <c r="EB258" i="25"/>
  <c r="EA258" i="25"/>
  <c r="EB264" i="25"/>
  <c r="EA264" i="25"/>
  <c r="EB261" i="25"/>
  <c r="EA261" i="25"/>
  <c r="EB303" i="25"/>
  <c r="EA303" i="25"/>
  <c r="EB270" i="25"/>
  <c r="EA270" i="25"/>
  <c r="EB240" i="25"/>
  <c r="EA240" i="25"/>
  <c r="EB279" i="25"/>
  <c r="EA279" i="25"/>
  <c r="EB284" i="25"/>
  <c r="EA284" i="25"/>
  <c r="EB256" i="25"/>
  <c r="EA256" i="25"/>
  <c r="EB244" i="25"/>
  <c r="EA244" i="25"/>
  <c r="EB305" i="25"/>
  <c r="EA305" i="25"/>
  <c r="EB259" i="25"/>
  <c r="EA259" i="25"/>
  <c r="EB294" i="25"/>
  <c r="EA294" i="25"/>
  <c r="EB233" i="25"/>
  <c r="EA233" i="25"/>
  <c r="EB266" i="25"/>
  <c r="EA266" i="25"/>
  <c r="EB231" i="25"/>
  <c r="EA231" i="25"/>
  <c r="EB268" i="25"/>
  <c r="EA268" i="25"/>
  <c r="EB223" i="25"/>
  <c r="EA223" i="25"/>
  <c r="EB273" i="25"/>
  <c r="EA273" i="25"/>
  <c r="EB224" i="25"/>
  <c r="EA224" i="25"/>
  <c r="EB241" i="25"/>
  <c r="EA241" i="25"/>
  <c r="EB232" i="25"/>
  <c r="EA232" i="25"/>
  <c r="EB272" i="25"/>
  <c r="EA272" i="25"/>
  <c r="EB313" i="25"/>
  <c r="EA313" i="25"/>
  <c r="EB250" i="25"/>
  <c r="EA250" i="25"/>
  <c r="EB276" i="25"/>
  <c r="EA276" i="25"/>
  <c r="EB311" i="25"/>
  <c r="EA311" i="25"/>
  <c r="EB300" i="25"/>
  <c r="EA300" i="25"/>
  <c r="EB218" i="25"/>
  <c r="EA218" i="25"/>
  <c r="EB315" i="25"/>
  <c r="EA315" i="25"/>
  <c r="EB282" i="25"/>
  <c r="EA282" i="25"/>
  <c r="EB238" i="25"/>
  <c r="EA238" i="25"/>
  <c r="EB297" i="25"/>
  <c r="EA297" i="25"/>
  <c r="EB283" i="25"/>
  <c r="EA283" i="25"/>
  <c r="EB230" i="25"/>
  <c r="EA230" i="25"/>
  <c r="EB235" i="25"/>
  <c r="EA235" i="25"/>
  <c r="EB275" i="25"/>
  <c r="EA275" i="25"/>
  <c r="EB267" i="25"/>
  <c r="EA267" i="25"/>
  <c r="EB301" i="25"/>
  <c r="EA301" i="25"/>
  <c r="EB314" i="25"/>
  <c r="EA314" i="25"/>
  <c r="EB306" i="25"/>
  <c r="EA306" i="25"/>
  <c r="EB228" i="25"/>
  <c r="EA228" i="25"/>
  <c r="EB304" i="25"/>
  <c r="EA304" i="25"/>
  <c r="EB312" i="25"/>
  <c r="EA312" i="25"/>
  <c r="EB255" i="25"/>
  <c r="EA255" i="25"/>
  <c r="EA112" i="25"/>
  <c r="DQ112" i="25"/>
  <c r="DN112" i="25"/>
  <c r="DN183" i="25"/>
  <c r="DN206" i="25"/>
  <c r="DN203" i="24"/>
  <c r="DX203" i="24" s="1"/>
  <c r="DN146" i="24"/>
  <c r="DX146" i="24" s="1"/>
  <c r="DN86" i="24"/>
  <c r="DX86" i="24" s="1"/>
  <c r="DN66" i="24"/>
  <c r="DX66" i="24" s="1"/>
  <c r="DN137" i="24"/>
  <c r="DX137" i="24" s="1"/>
  <c r="DN127" i="25"/>
  <c r="DN187" i="24"/>
  <c r="DX187" i="24" s="1"/>
  <c r="DN207" i="24"/>
  <c r="DX207" i="24" s="1"/>
  <c r="DW110" i="24"/>
  <c r="EN110" i="24"/>
  <c r="EM110" i="24"/>
  <c r="EP110" i="24" s="1"/>
  <c r="DU110" i="24"/>
  <c r="FA110" i="24"/>
  <c r="EL110" i="24"/>
  <c r="EY110" i="24"/>
  <c r="EB110" i="24"/>
  <c r="DN79" i="24"/>
  <c r="DZ79" i="24" s="1"/>
  <c r="DW5" i="24"/>
  <c r="EN5" i="24"/>
  <c r="EM5" i="24"/>
  <c r="EP5" i="24" s="1"/>
  <c r="DU5" i="24"/>
  <c r="FA5" i="24"/>
  <c r="EB5" i="24"/>
  <c r="EL5" i="24"/>
  <c r="EY5" i="24"/>
  <c r="DN234" i="24"/>
  <c r="DO216" i="24"/>
  <c r="DR216" i="24"/>
  <c r="EY216" i="24" s="1"/>
  <c r="DN182" i="25"/>
  <c r="DN69" i="25"/>
  <c r="DN93" i="24"/>
  <c r="DZ93" i="24" s="1"/>
  <c r="DN73" i="25"/>
  <c r="DN139" i="24"/>
  <c r="DX139" i="24" s="1"/>
  <c r="DN248" i="24"/>
  <c r="DN78" i="24"/>
  <c r="DZ78" i="24" s="1"/>
  <c r="DN57" i="25"/>
  <c r="DN196" i="25"/>
  <c r="DN198" i="25"/>
  <c r="DN262" i="25"/>
  <c r="DN94" i="24"/>
  <c r="DZ94" i="24" s="1"/>
  <c r="DN181" i="24"/>
  <c r="DX181" i="24" s="1"/>
  <c r="DN75" i="24"/>
  <c r="DZ75" i="24" s="1"/>
  <c r="DN168" i="24"/>
  <c r="DX168" i="24" s="1"/>
  <c r="DN165" i="24"/>
  <c r="DX165" i="24" s="1"/>
  <c r="DN131" i="24"/>
  <c r="DX131" i="24" s="1"/>
  <c r="DN113" i="24"/>
  <c r="DX113" i="24" s="1"/>
  <c r="DN237" i="24"/>
  <c r="DN116" i="24"/>
  <c r="DX116" i="24" s="1"/>
  <c r="DN291" i="24"/>
  <c r="DN273" i="24"/>
  <c r="DN312" i="24"/>
  <c r="DN254" i="24"/>
  <c r="DN27" i="24"/>
  <c r="DZ27" i="24" s="1"/>
  <c r="DN275" i="24"/>
  <c r="DN284" i="24"/>
  <c r="DN143" i="25"/>
  <c r="DN221" i="24"/>
  <c r="DN16" i="24"/>
  <c r="DZ16" i="24" s="1"/>
  <c r="DN255" i="24"/>
  <c r="DN264" i="24"/>
  <c r="DN162" i="24"/>
  <c r="DX162" i="24" s="1"/>
  <c r="DN310" i="24"/>
  <c r="DN163" i="24"/>
  <c r="DX163" i="24" s="1"/>
  <c r="DN299" i="24"/>
  <c r="DN139" i="25"/>
  <c r="DQ183" i="25"/>
  <c r="DT183" i="25" s="1"/>
  <c r="DN138" i="25"/>
  <c r="DN181" i="25"/>
  <c r="DN179" i="25"/>
  <c r="DN299" i="25"/>
  <c r="DQ73" i="25"/>
  <c r="DQ143" i="25"/>
  <c r="DT143" i="25" s="1"/>
  <c r="DQ138" i="25"/>
  <c r="DV138" i="25" s="1"/>
  <c r="DQ181" i="25"/>
  <c r="EJ181" i="25" s="1"/>
  <c r="DQ182" i="25"/>
  <c r="DV182" i="25" s="1"/>
  <c r="DN178" i="25"/>
  <c r="DN85" i="24"/>
  <c r="DX85" i="24" s="1"/>
  <c r="DN219" i="24"/>
  <c r="DN206" i="24"/>
  <c r="DX206" i="24" s="1"/>
  <c r="DN179" i="24"/>
  <c r="DX179" i="24" s="1"/>
  <c r="DN254" i="25"/>
  <c r="DQ254" i="25"/>
  <c r="DQ137" i="25"/>
  <c r="FA137" i="25" s="1"/>
  <c r="DN137" i="25"/>
  <c r="DW97" i="25"/>
  <c r="EB68" i="25"/>
  <c r="EA68" i="25"/>
  <c r="DN227" i="25"/>
  <c r="DQ227" i="25"/>
  <c r="EB195" i="25"/>
  <c r="EA195" i="25"/>
  <c r="DN115" i="24"/>
  <c r="DX115" i="24" s="1"/>
  <c r="DN95" i="24"/>
  <c r="DZ95" i="24" s="1"/>
  <c r="DN301" i="24"/>
  <c r="DN69" i="24"/>
  <c r="DX69" i="24" s="1"/>
  <c r="DN78" i="25"/>
  <c r="DQ78" i="25"/>
  <c r="DW200" i="25"/>
  <c r="DN196" i="24"/>
  <c r="DX196" i="24" s="1"/>
  <c r="DN169" i="24"/>
  <c r="DX169" i="24" s="1"/>
  <c r="DN243" i="24"/>
  <c r="DN151" i="24"/>
  <c r="DX151" i="24" s="1"/>
  <c r="DN278" i="24"/>
  <c r="DN149" i="24"/>
  <c r="DX149" i="24" s="1"/>
  <c r="DN208" i="24"/>
  <c r="DX208" i="24" s="1"/>
  <c r="DN103" i="25"/>
  <c r="DQ103" i="25"/>
  <c r="DT103" i="25" s="1"/>
  <c r="DN34" i="25"/>
  <c r="DQ34" i="25"/>
  <c r="DN266" i="25"/>
  <c r="DQ266" i="25"/>
  <c r="DN296" i="25"/>
  <c r="DQ296" i="25"/>
  <c r="DQ263" i="25"/>
  <c r="DN263" i="25"/>
  <c r="DQ81" i="25"/>
  <c r="DN81" i="25"/>
  <c r="DN184" i="24"/>
  <c r="DX184" i="24" s="1"/>
  <c r="DN97" i="24"/>
  <c r="DZ97" i="24" s="1"/>
  <c r="DQ241" i="25"/>
  <c r="DN241" i="25"/>
  <c r="DN176" i="24"/>
  <c r="DX176" i="24" s="1"/>
  <c r="DN130" i="24"/>
  <c r="DX130" i="24" s="1"/>
  <c r="DN76" i="24"/>
  <c r="DZ76" i="24" s="1"/>
  <c r="DN117" i="24"/>
  <c r="DX117" i="24" s="1"/>
  <c r="DN191" i="24"/>
  <c r="DX191" i="24" s="1"/>
  <c r="DN198" i="24"/>
  <c r="DX198" i="24" s="1"/>
  <c r="DN306" i="24"/>
  <c r="DN74" i="24"/>
  <c r="DX74" i="24" s="1"/>
  <c r="DN217" i="24"/>
  <c r="DN84" i="24"/>
  <c r="DX84" i="24" s="1"/>
  <c r="DN256" i="24"/>
  <c r="DN135" i="24"/>
  <c r="DX135" i="24" s="1"/>
  <c r="DN205" i="24"/>
  <c r="DX205" i="24" s="1"/>
  <c r="DW174" i="25"/>
  <c r="DW131" i="25"/>
  <c r="EB118" i="25"/>
  <c r="EA118" i="25"/>
  <c r="DN156" i="24"/>
  <c r="DX156" i="24" s="1"/>
  <c r="DN257" i="25"/>
  <c r="DQ257" i="25"/>
  <c r="EB102" i="25"/>
  <c r="EA102" i="25"/>
  <c r="DQ43" i="25"/>
  <c r="DN43" i="25"/>
  <c r="DQ121" i="25"/>
  <c r="FA121" i="25" s="1"/>
  <c r="DN121" i="25"/>
  <c r="DN312" i="25"/>
  <c r="DQ312" i="25"/>
  <c r="DN272" i="25"/>
  <c r="DQ272" i="25"/>
  <c r="DN91" i="24"/>
  <c r="DZ91" i="24" s="1"/>
  <c r="DW180" i="25"/>
  <c r="DW95" i="25"/>
  <c r="DQ224" i="25"/>
  <c r="DN224" i="25"/>
  <c r="DQ119" i="25"/>
  <c r="EJ119" i="25" s="1"/>
  <c r="DN119" i="25"/>
  <c r="DQ193" i="25"/>
  <c r="EJ193" i="25" s="1"/>
  <c r="DN193" i="25"/>
  <c r="DN75" i="25"/>
  <c r="DQ75" i="25"/>
  <c r="DQ299" i="25"/>
  <c r="DQ244" i="25"/>
  <c r="DN244" i="25"/>
  <c r="DW103" i="25"/>
  <c r="DW178" i="25"/>
  <c r="DW51" i="25"/>
  <c r="DN13" i="25"/>
  <c r="DQ13" i="25"/>
  <c r="EB10" i="25"/>
  <c r="EA10" i="25"/>
  <c r="DW91" i="25"/>
  <c r="DN237" i="25"/>
  <c r="DQ237" i="25"/>
  <c r="DN242" i="25"/>
  <c r="DQ242" i="25"/>
  <c r="EB16" i="25"/>
  <c r="EA16" i="25"/>
  <c r="DQ315" i="25"/>
  <c r="DN315" i="25"/>
  <c r="DQ187" i="25"/>
  <c r="EY187" i="25" s="1"/>
  <c r="DN187" i="25"/>
  <c r="EB31" i="25"/>
  <c r="EA31" i="25"/>
  <c r="DW89" i="25"/>
  <c r="DN85" i="25"/>
  <c r="DQ85" i="25"/>
  <c r="DQ148" i="25"/>
  <c r="DN148" i="25"/>
  <c r="DQ35" i="25"/>
  <c r="DN35" i="25"/>
  <c r="DQ144" i="25"/>
  <c r="DN144" i="25"/>
  <c r="DN286" i="25"/>
  <c r="DQ286" i="25"/>
  <c r="DN282" i="25"/>
  <c r="DQ282" i="25"/>
  <c r="DN159" i="25"/>
  <c r="DQ159" i="25"/>
  <c r="DQ151" i="25"/>
  <c r="DN151" i="25"/>
  <c r="EB146" i="25"/>
  <c r="EA146" i="25"/>
  <c r="DQ206" i="25"/>
  <c r="DT206" i="25" s="1"/>
  <c r="DW9" i="25"/>
  <c r="DW143" i="25"/>
  <c r="DQ316" i="25"/>
  <c r="DN316" i="25"/>
  <c r="EB46" i="25"/>
  <c r="EA46" i="25"/>
  <c r="DN72" i="25"/>
  <c r="DQ72" i="25"/>
  <c r="DN171" i="25"/>
  <c r="DQ171" i="25"/>
  <c r="EY171" i="25" s="1"/>
  <c r="DQ116" i="25"/>
  <c r="DN116" i="25"/>
  <c r="EB142" i="25"/>
  <c r="EA142" i="25"/>
  <c r="DQ69" i="25"/>
  <c r="DQ21" i="25"/>
  <c r="DN21" i="25"/>
  <c r="DW56" i="25"/>
  <c r="DW45" i="25"/>
  <c r="DN268" i="25"/>
  <c r="DQ268" i="25"/>
  <c r="DQ139" i="25"/>
  <c r="EJ139" i="25" s="1"/>
  <c r="DW185" i="25"/>
  <c r="DW171" i="25"/>
  <c r="DN113" i="25"/>
  <c r="DQ113" i="25"/>
  <c r="DQ174" i="25"/>
  <c r="FA174" i="25" s="1"/>
  <c r="DN174" i="25"/>
  <c r="DN280" i="25"/>
  <c r="DQ280" i="25"/>
  <c r="DQ168" i="25"/>
  <c r="FA168" i="25" s="1"/>
  <c r="DN168" i="25"/>
  <c r="EB135" i="25"/>
  <c r="EA135" i="25"/>
  <c r="DQ198" i="25"/>
  <c r="DT198" i="25" s="1"/>
  <c r="DQ24" i="25"/>
  <c r="DN24" i="25"/>
  <c r="DN126" i="25"/>
  <c r="DQ126" i="25"/>
  <c r="EJ126" i="25" s="1"/>
  <c r="EB124" i="25"/>
  <c r="EA124" i="25"/>
  <c r="DQ186" i="25"/>
  <c r="DN186" i="25"/>
  <c r="DN210" i="24"/>
  <c r="DX210" i="24" s="1"/>
  <c r="EB7" i="25"/>
  <c r="EA7" i="25"/>
  <c r="DN59" i="25"/>
  <c r="DQ59" i="25"/>
  <c r="DN202" i="25"/>
  <c r="DQ202" i="25"/>
  <c r="DT202" i="25" s="1"/>
  <c r="EB183" i="25"/>
  <c r="EA183" i="25"/>
  <c r="DW59" i="25"/>
  <c r="DN95" i="25"/>
  <c r="DQ95" i="25"/>
  <c r="DT95" i="25" s="1"/>
  <c r="DW189" i="25"/>
  <c r="DQ140" i="25"/>
  <c r="DN140" i="25"/>
  <c r="DN265" i="25"/>
  <c r="DQ265" i="25"/>
  <c r="DQ16" i="25"/>
  <c r="DN16" i="25"/>
  <c r="EB69" i="25"/>
  <c r="EA69" i="25"/>
  <c r="DN20" i="25"/>
  <c r="DQ20" i="25"/>
  <c r="DN302" i="25"/>
  <c r="DQ302" i="25"/>
  <c r="DQ220" i="25"/>
  <c r="DN220" i="25"/>
  <c r="DN157" i="25"/>
  <c r="DQ157" i="25"/>
  <c r="EJ157" i="25" s="1"/>
  <c r="DN189" i="25"/>
  <c r="DQ189" i="25"/>
  <c r="FA189" i="25" s="1"/>
  <c r="DQ86" i="25"/>
  <c r="DN86" i="25"/>
  <c r="DN163" i="25"/>
  <c r="DQ163" i="25"/>
  <c r="DN48" i="25"/>
  <c r="DQ48" i="25"/>
  <c r="DQ230" i="25"/>
  <c r="DN230" i="25"/>
  <c r="DN259" i="25"/>
  <c r="DQ259" i="25"/>
  <c r="DN175" i="25"/>
  <c r="DQ175" i="25"/>
  <c r="EJ175" i="25" s="1"/>
  <c r="DN123" i="25"/>
  <c r="DQ123" i="25"/>
  <c r="DQ49" i="25"/>
  <c r="DN49" i="25"/>
  <c r="DN150" i="25"/>
  <c r="DQ150" i="25"/>
  <c r="DQ105" i="25"/>
  <c r="DT105" i="25" s="1"/>
  <c r="DN105" i="25"/>
  <c r="DQ46" i="25"/>
  <c r="DN46" i="25"/>
  <c r="DN247" i="25"/>
  <c r="DQ247" i="25"/>
  <c r="EB71" i="25"/>
  <c r="EA71" i="25"/>
  <c r="DW88" i="25"/>
  <c r="EB62" i="25"/>
  <c r="EA62" i="25"/>
  <c r="DW35" i="25"/>
  <c r="EB166" i="25"/>
  <c r="EA166" i="25"/>
  <c r="EB153" i="25"/>
  <c r="EA153" i="25"/>
  <c r="DW96" i="25"/>
  <c r="EB197" i="25"/>
  <c r="EA197" i="25"/>
  <c r="EB133" i="25"/>
  <c r="EA133" i="25"/>
  <c r="EB159" i="25"/>
  <c r="EA159" i="25"/>
  <c r="DN62" i="25"/>
  <c r="DQ62" i="25"/>
  <c r="DW80" i="25"/>
  <c r="DQ314" i="25"/>
  <c r="DN314" i="25"/>
  <c r="DW168" i="25"/>
  <c r="DW170" i="25"/>
  <c r="EB54" i="25"/>
  <c r="EA54" i="25"/>
  <c r="DN152" i="25"/>
  <c r="DQ152" i="25"/>
  <c r="DN221" i="25"/>
  <c r="DQ221" i="25"/>
  <c r="DQ246" i="25"/>
  <c r="DN246" i="25"/>
  <c r="DW164" i="25"/>
  <c r="DN131" i="25"/>
  <c r="DQ131" i="25"/>
  <c r="DN285" i="25"/>
  <c r="DQ285" i="25"/>
  <c r="DW77" i="25"/>
  <c r="EB39" i="25"/>
  <c r="EA39" i="25"/>
  <c r="DQ10" i="25"/>
  <c r="DN10" i="25"/>
  <c r="EB8" i="25"/>
  <c r="EA8" i="25"/>
  <c r="EB167" i="25"/>
  <c r="EA167" i="25"/>
  <c r="DW29" i="25"/>
  <c r="DW122" i="25"/>
  <c r="DW65" i="25"/>
  <c r="EB84" i="25"/>
  <c r="EA84" i="25"/>
  <c r="DW49" i="25"/>
  <c r="DW177" i="25"/>
  <c r="DW13" i="25"/>
  <c r="DQ243" i="25"/>
  <c r="DN243" i="25"/>
  <c r="DN261" i="25"/>
  <c r="DQ261" i="25"/>
  <c r="DN199" i="25"/>
  <c r="DQ199" i="25"/>
  <c r="DT199" i="25" s="1"/>
  <c r="DW23" i="25"/>
  <c r="DW12" i="25"/>
  <c r="EB154" i="25"/>
  <c r="EA154" i="25"/>
  <c r="EB160" i="25"/>
  <c r="EA160" i="25"/>
  <c r="DW48" i="25"/>
  <c r="DN274" i="25"/>
  <c r="DQ274" i="25"/>
  <c r="EB206" i="25"/>
  <c r="EA206" i="25"/>
  <c r="EB67" i="25"/>
  <c r="EA67" i="25"/>
  <c r="DQ99" i="25"/>
  <c r="DT99" i="25" s="1"/>
  <c r="DN99" i="25"/>
  <c r="DW175" i="25"/>
  <c r="DN38" i="25"/>
  <c r="DQ38" i="25"/>
  <c r="DN61" i="25"/>
  <c r="DQ61" i="25"/>
  <c r="EB73" i="25"/>
  <c r="EA73" i="25"/>
  <c r="EB207" i="25"/>
  <c r="EA207" i="25"/>
  <c r="DN162" i="25"/>
  <c r="DQ162" i="25"/>
  <c r="EB130" i="25"/>
  <c r="EA130" i="25"/>
  <c r="DW105" i="25"/>
  <c r="DN79" i="25"/>
  <c r="DQ79" i="25"/>
  <c r="DQ311" i="25"/>
  <c r="DN311" i="25"/>
  <c r="DW38" i="25"/>
  <c r="DN170" i="25"/>
  <c r="DQ170" i="25"/>
  <c r="FA170" i="25" s="1"/>
  <c r="DN201" i="25"/>
  <c r="DQ201" i="25"/>
  <c r="DT201" i="25" s="1"/>
  <c r="DW145" i="25"/>
  <c r="EB55" i="25"/>
  <c r="EA55" i="25"/>
  <c r="DN278" i="25"/>
  <c r="DQ278" i="25"/>
  <c r="DW139" i="25"/>
  <c r="DQ71" i="25"/>
  <c r="DN71" i="25"/>
  <c r="DQ117" i="25"/>
  <c r="DN117" i="25"/>
  <c r="DN210" i="25"/>
  <c r="DQ210" i="25"/>
  <c r="DT210" i="25" s="1"/>
  <c r="DN234" i="25"/>
  <c r="DQ234" i="25"/>
  <c r="DN295" i="25"/>
  <c r="DQ295" i="25"/>
  <c r="EB53" i="25"/>
  <c r="EA53" i="25"/>
  <c r="EB30" i="25"/>
  <c r="EA30" i="25"/>
  <c r="DQ96" i="25"/>
  <c r="DT96" i="25" s="1"/>
  <c r="DN96" i="25"/>
  <c r="DN273" i="25"/>
  <c r="DQ273" i="25"/>
  <c r="EB161" i="25"/>
  <c r="EA161" i="25"/>
  <c r="DQ57" i="25"/>
  <c r="EB50" i="25"/>
  <c r="EA50" i="25"/>
  <c r="EB165" i="25"/>
  <c r="EA165" i="25"/>
  <c r="DN233" i="25"/>
  <c r="DQ233" i="25"/>
  <c r="DW190" i="25"/>
  <c r="DW158" i="25"/>
  <c r="DQ283" i="25"/>
  <c r="DN283" i="25"/>
  <c r="DN200" i="25"/>
  <c r="DQ200" i="25"/>
  <c r="DT200" i="25" s="1"/>
  <c r="DN39" i="25"/>
  <c r="DQ39" i="25"/>
  <c r="DQ209" i="25"/>
  <c r="DT209" i="25" s="1"/>
  <c r="DN209" i="25"/>
  <c r="DN245" i="25"/>
  <c r="DQ245" i="25"/>
  <c r="DQ303" i="25"/>
  <c r="DN303" i="25"/>
  <c r="EB176" i="25"/>
  <c r="EA176" i="25"/>
  <c r="DQ14" i="25"/>
  <c r="DN14" i="25"/>
  <c r="DQ191" i="25"/>
  <c r="EJ191" i="25" s="1"/>
  <c r="DN191" i="25"/>
  <c r="DN120" i="25"/>
  <c r="DQ120" i="25"/>
  <c r="DW111" i="25"/>
  <c r="DW121" i="25"/>
  <c r="DN271" i="25"/>
  <c r="DQ271" i="25"/>
  <c r="DN68" i="25"/>
  <c r="DQ68" i="25"/>
  <c r="DN184" i="25"/>
  <c r="DQ184" i="25"/>
  <c r="DQ287" i="25"/>
  <c r="DN287" i="25"/>
  <c r="DQ195" i="25"/>
  <c r="DT195" i="25" s="1"/>
  <c r="DN195" i="25"/>
  <c r="DN309" i="25"/>
  <c r="DQ309" i="25"/>
  <c r="DW203" i="25"/>
  <c r="DN98" i="25"/>
  <c r="DQ98" i="25"/>
  <c r="DT98" i="25" s="1"/>
  <c r="DW187" i="25"/>
  <c r="DQ111" i="25"/>
  <c r="DN111" i="25"/>
  <c r="DN256" i="25"/>
  <c r="DQ256" i="25"/>
  <c r="DQ51" i="25"/>
  <c r="DN51" i="25"/>
  <c r="EB196" i="25"/>
  <c r="EA196" i="25"/>
  <c r="DN67" i="25"/>
  <c r="DQ67" i="25"/>
  <c r="DQ84" i="25"/>
  <c r="DN84" i="25"/>
  <c r="DW157" i="25"/>
  <c r="DN225" i="25"/>
  <c r="DQ225" i="25"/>
  <c r="DQ128" i="25"/>
  <c r="EJ128" i="25" s="1"/>
  <c r="DN128" i="25"/>
  <c r="DN298" i="25"/>
  <c r="DQ298" i="25"/>
  <c r="DN276" i="25"/>
  <c r="DQ276" i="25"/>
  <c r="DQ275" i="25"/>
  <c r="DN275" i="25"/>
  <c r="DN173" i="25"/>
  <c r="DQ173" i="25"/>
  <c r="EJ173" i="25" s="1"/>
  <c r="DN87" i="25"/>
  <c r="DQ87" i="25"/>
  <c r="DQ36" i="25"/>
  <c r="DN36" i="25"/>
  <c r="DQ55" i="25"/>
  <c r="DN55" i="25"/>
  <c r="EB148" i="25"/>
  <c r="EA148" i="25"/>
  <c r="DN142" i="25"/>
  <c r="DQ142" i="25"/>
  <c r="DW60" i="25"/>
  <c r="DW64" i="25"/>
  <c r="DW128" i="25"/>
  <c r="DQ300" i="25"/>
  <c r="DN300" i="25"/>
  <c r="DQ252" i="25"/>
  <c r="DN252" i="25"/>
  <c r="DN304" i="25"/>
  <c r="DQ304" i="25"/>
  <c r="DW66" i="25"/>
  <c r="DQ18" i="25"/>
  <c r="DN18" i="25"/>
  <c r="EB115" i="25"/>
  <c r="EA115" i="25"/>
  <c r="DN19" i="25"/>
  <c r="DQ19" i="25"/>
  <c r="EB21" i="25"/>
  <c r="EA21" i="25"/>
  <c r="DW78" i="25"/>
  <c r="DN53" i="25"/>
  <c r="DQ53" i="25"/>
  <c r="DN66" i="25"/>
  <c r="DQ66" i="25"/>
  <c r="EB101" i="25"/>
  <c r="EA101" i="25"/>
  <c r="EB120" i="25"/>
  <c r="EA120" i="25"/>
  <c r="DW179" i="25"/>
  <c r="DQ178" i="25"/>
  <c r="DQ29" i="25"/>
  <c r="DN29" i="25"/>
  <c r="DN11" i="25"/>
  <c r="DQ11" i="25"/>
  <c r="DN33" i="25"/>
  <c r="DQ33" i="25"/>
  <c r="DQ26" i="25"/>
  <c r="DN26" i="25"/>
  <c r="DN293" i="25"/>
  <c r="DQ293" i="25"/>
  <c r="DW126" i="25"/>
  <c r="DQ313" i="25"/>
  <c r="DN313" i="25"/>
  <c r="DQ58" i="25"/>
  <c r="DN58" i="25"/>
  <c r="DW43" i="25"/>
  <c r="DQ250" i="25"/>
  <c r="DN250" i="25"/>
  <c r="DW181" i="25"/>
  <c r="DW194" i="25"/>
  <c r="DW14" i="25"/>
  <c r="DW37" i="25"/>
  <c r="DN134" i="25"/>
  <c r="DQ134" i="25"/>
  <c r="DN12" i="25"/>
  <c r="DQ12" i="25"/>
  <c r="DN240" i="25"/>
  <c r="DQ240" i="25"/>
  <c r="DN236" i="25"/>
  <c r="DQ236" i="25"/>
  <c r="DQ122" i="25"/>
  <c r="EY122" i="25" s="1"/>
  <c r="DN122" i="25"/>
  <c r="DN41" i="25"/>
  <c r="DQ41" i="25"/>
  <c r="DN249" i="25"/>
  <c r="DQ249" i="25"/>
  <c r="DN70" i="25"/>
  <c r="DQ70" i="25"/>
  <c r="EB134" i="25"/>
  <c r="EA134" i="25"/>
  <c r="DQ149" i="25"/>
  <c r="DN149" i="25"/>
  <c r="DN235" i="25"/>
  <c r="DQ235" i="25"/>
  <c r="EB163" i="25"/>
  <c r="EA163" i="25"/>
  <c r="EB63" i="25"/>
  <c r="EA63" i="25"/>
  <c r="DN17" i="25"/>
  <c r="DQ17" i="25"/>
  <c r="DQ255" i="25"/>
  <c r="DN255" i="25"/>
  <c r="EB61" i="25"/>
  <c r="EA61" i="25"/>
  <c r="DQ88" i="25"/>
  <c r="DN88" i="25"/>
  <c r="DW127" i="25"/>
  <c r="DN83" i="25"/>
  <c r="DQ83" i="25"/>
  <c r="EB41" i="25"/>
  <c r="EA41" i="25"/>
  <c r="DN9" i="25"/>
  <c r="DQ9" i="25"/>
  <c r="DN31" i="25"/>
  <c r="DQ31" i="25"/>
  <c r="EB123" i="25"/>
  <c r="EA123" i="25"/>
  <c r="DQ179" i="25"/>
  <c r="EY179" i="25" s="1"/>
  <c r="EB188" i="25"/>
  <c r="EA188" i="25"/>
  <c r="DQ204" i="25"/>
  <c r="DT204" i="25" s="1"/>
  <c r="DN204" i="25"/>
  <c r="EB117" i="25"/>
  <c r="EA117" i="25"/>
  <c r="DQ155" i="25"/>
  <c r="DN155" i="25"/>
  <c r="DQ196" i="25"/>
  <c r="DT196" i="25" s="1"/>
  <c r="DW173" i="25"/>
  <c r="DN30" i="25"/>
  <c r="DQ30" i="25"/>
  <c r="DQ115" i="25"/>
  <c r="DN115" i="25"/>
  <c r="DQ50" i="25"/>
  <c r="DN50" i="25"/>
  <c r="DN60" i="25"/>
  <c r="DQ60" i="25"/>
  <c r="DN251" i="25"/>
  <c r="DQ251" i="25"/>
  <c r="DN64" i="25"/>
  <c r="DQ64" i="25"/>
  <c r="DW138" i="25"/>
  <c r="DN294" i="25"/>
  <c r="DQ294" i="25"/>
  <c r="DQ6" i="25"/>
  <c r="DN6" i="25"/>
  <c r="DN197" i="25"/>
  <c r="DQ197" i="25"/>
  <c r="DT197" i="25" s="1"/>
  <c r="DQ124" i="25"/>
  <c r="DN124" i="25"/>
  <c r="DN205" i="25"/>
  <c r="DQ205" i="25"/>
  <c r="DT205" i="25" s="1"/>
  <c r="DN176" i="25"/>
  <c r="DQ176" i="25"/>
  <c r="DN7" i="25"/>
  <c r="DQ7" i="25"/>
  <c r="DW15" i="25"/>
  <c r="DW141" i="25"/>
  <c r="DN185" i="25"/>
  <c r="DQ185" i="25"/>
  <c r="DQ218" i="25"/>
  <c r="DN218" i="25"/>
  <c r="DN222" i="25"/>
  <c r="DQ222" i="25"/>
  <c r="DQ238" i="25"/>
  <c r="DN238" i="25"/>
  <c r="EB205" i="25"/>
  <c r="EA205" i="25"/>
  <c r="DN167" i="25"/>
  <c r="DQ167" i="25"/>
  <c r="DN190" i="25"/>
  <c r="DQ190" i="25"/>
  <c r="FA190" i="25" s="1"/>
  <c r="DQ42" i="25"/>
  <c r="DN42" i="25"/>
  <c r="DW58" i="25"/>
  <c r="DQ284" i="25"/>
  <c r="DN284" i="25"/>
  <c r="EB44" i="25"/>
  <c r="EA44" i="25"/>
  <c r="DW24" i="25"/>
  <c r="DN180" i="25"/>
  <c r="DQ92" i="25"/>
  <c r="DT92" i="25" s="1"/>
  <c r="DN92" i="25"/>
  <c r="DW42" i="25"/>
  <c r="EB76" i="25"/>
  <c r="EA76" i="25"/>
  <c r="DN37" i="25"/>
  <c r="DQ37" i="25"/>
  <c r="DW119" i="25"/>
  <c r="DW137" i="25"/>
  <c r="DW92" i="25"/>
  <c r="DQ76" i="25"/>
  <c r="DN76" i="25"/>
  <c r="EA110" i="25"/>
  <c r="EB110" i="25"/>
  <c r="DW90" i="25"/>
  <c r="DQ305" i="25"/>
  <c r="DN305" i="25"/>
  <c r="EB140" i="25"/>
  <c r="EA140" i="25"/>
  <c r="EB20" i="25"/>
  <c r="EA20" i="25"/>
  <c r="EB32" i="25"/>
  <c r="EA32" i="25"/>
  <c r="DW156" i="25"/>
  <c r="DQ310" i="25"/>
  <c r="DN310" i="25"/>
  <c r="DW86" i="25"/>
  <c r="DQ125" i="25"/>
  <c r="DN125" i="25"/>
  <c r="EB182" i="25"/>
  <c r="EA182" i="25"/>
  <c r="EB204" i="25"/>
  <c r="EA204" i="25"/>
  <c r="DQ207" i="25"/>
  <c r="DT207" i="25" s="1"/>
  <c r="DN207" i="25"/>
  <c r="DN260" i="25"/>
  <c r="DQ260" i="25"/>
  <c r="DN239" i="25"/>
  <c r="DQ239" i="25"/>
  <c r="DQ47" i="25"/>
  <c r="DN47" i="25"/>
  <c r="DW79" i="25"/>
  <c r="DN40" i="25"/>
  <c r="DQ40" i="25"/>
  <c r="DQ208" i="25"/>
  <c r="DT208" i="25" s="1"/>
  <c r="DN208" i="25"/>
  <c r="EB201" i="25"/>
  <c r="EA201" i="25"/>
  <c r="EB149" i="25"/>
  <c r="EA149" i="25"/>
  <c r="EB150" i="25"/>
  <c r="EA150" i="25"/>
  <c r="DQ133" i="25"/>
  <c r="DN133" i="25"/>
  <c r="DN52" i="25"/>
  <c r="DQ52" i="25"/>
  <c r="DQ28" i="25"/>
  <c r="DN28" i="25"/>
  <c r="DN45" i="25"/>
  <c r="DQ45" i="25"/>
  <c r="DW47" i="25"/>
  <c r="EB144" i="25"/>
  <c r="EA144" i="25"/>
  <c r="DW27" i="25"/>
  <c r="DW40" i="25"/>
  <c r="EB6" i="25"/>
  <c r="EA6" i="25"/>
  <c r="EB57" i="25"/>
  <c r="EA57" i="25"/>
  <c r="EB28" i="25"/>
  <c r="EA28" i="25"/>
  <c r="DQ94" i="25"/>
  <c r="DT94" i="25" s="1"/>
  <c r="DN94" i="25"/>
  <c r="EB162" i="25"/>
  <c r="EA162" i="25"/>
  <c r="DN15" i="25"/>
  <c r="DQ15" i="25"/>
  <c r="DN158" i="25"/>
  <c r="DQ158" i="25"/>
  <c r="EJ158" i="25" s="1"/>
  <c r="DQ141" i="25"/>
  <c r="DN141" i="25"/>
  <c r="DN270" i="25"/>
  <c r="DQ270" i="25"/>
  <c r="DW129" i="25"/>
  <c r="EB186" i="25"/>
  <c r="EA186" i="25"/>
  <c r="EB116" i="25"/>
  <c r="EA116" i="25"/>
  <c r="DN172" i="25"/>
  <c r="DQ172" i="25"/>
  <c r="DN288" i="25"/>
  <c r="DQ288" i="25"/>
  <c r="DQ102" i="25"/>
  <c r="DT102" i="25" s="1"/>
  <c r="DN102" i="25"/>
  <c r="EB75" i="25"/>
  <c r="EA75" i="25"/>
  <c r="DN118" i="25"/>
  <c r="DQ118" i="25"/>
  <c r="EB113" i="25"/>
  <c r="EA113" i="25"/>
  <c r="EB209" i="25"/>
  <c r="EA209" i="25"/>
  <c r="DQ281" i="25"/>
  <c r="DN281" i="25"/>
  <c r="EB104" i="25"/>
  <c r="EA104" i="25"/>
  <c r="DN91" i="25"/>
  <c r="DQ91" i="25"/>
  <c r="DT91" i="25" s="1"/>
  <c r="DQ232" i="25"/>
  <c r="DN232" i="25"/>
  <c r="DW33" i="25"/>
  <c r="DQ82" i="25"/>
  <c r="DN82" i="25"/>
  <c r="DW147" i="25"/>
  <c r="DW199" i="25"/>
  <c r="DQ154" i="25"/>
  <c r="DN154" i="25"/>
  <c r="DN160" i="25"/>
  <c r="DQ160" i="25"/>
  <c r="DQ63" i="25"/>
  <c r="DN63" i="25"/>
  <c r="EB184" i="25"/>
  <c r="EA184" i="25"/>
  <c r="DQ192" i="25"/>
  <c r="DN192" i="25"/>
  <c r="DW169" i="25"/>
  <c r="DW25" i="25"/>
  <c r="EB82" i="25"/>
  <c r="EA82" i="25"/>
  <c r="DQ203" i="25"/>
  <c r="DT203" i="25" s="1"/>
  <c r="DN203" i="25"/>
  <c r="DQ65" i="25"/>
  <c r="DN65" i="25"/>
  <c r="DW87" i="25"/>
  <c r="DN100" i="25"/>
  <c r="DQ100" i="25"/>
  <c r="DT100" i="25" s="1"/>
  <c r="DQ248" i="25"/>
  <c r="DN248" i="25"/>
  <c r="DW208" i="25"/>
  <c r="DQ279" i="25"/>
  <c r="DN279" i="25"/>
  <c r="DN177" i="25"/>
  <c r="DQ177" i="25"/>
  <c r="EJ177" i="25" s="1"/>
  <c r="DQ188" i="25"/>
  <c r="DN188" i="25"/>
  <c r="DQ146" i="25"/>
  <c r="DN146" i="25"/>
  <c r="DN277" i="25"/>
  <c r="DQ277" i="25"/>
  <c r="DN292" i="25"/>
  <c r="DQ292" i="25"/>
  <c r="DN27" i="25"/>
  <c r="DQ27" i="25"/>
  <c r="DW70" i="25"/>
  <c r="DN253" i="25"/>
  <c r="DQ253" i="25"/>
  <c r="EB22" i="25"/>
  <c r="EA22" i="25"/>
  <c r="DQ145" i="25"/>
  <c r="EJ145" i="25" s="1"/>
  <c r="DN145" i="25"/>
  <c r="EB125" i="25"/>
  <c r="EA125" i="25"/>
  <c r="DW17" i="25"/>
  <c r="DQ56" i="25"/>
  <c r="DN56" i="25"/>
  <c r="DW99" i="25"/>
  <c r="DN54" i="25"/>
  <c r="DQ54" i="25"/>
  <c r="DQ93" i="25"/>
  <c r="DT93" i="25" s="1"/>
  <c r="DN93" i="25"/>
  <c r="DQ161" i="25"/>
  <c r="DN161" i="25"/>
  <c r="EB52" i="25"/>
  <c r="EA52" i="25"/>
  <c r="DN223" i="25"/>
  <c r="DQ223" i="25"/>
  <c r="EB151" i="25"/>
  <c r="EA151" i="25"/>
  <c r="DN165" i="25"/>
  <c r="DQ165" i="25"/>
  <c r="EB114" i="25"/>
  <c r="EA114" i="25"/>
  <c r="DQ164" i="25"/>
  <c r="DN164" i="25"/>
  <c r="DQ306" i="25"/>
  <c r="DN306" i="25"/>
  <c r="DQ228" i="25"/>
  <c r="DN228" i="25"/>
  <c r="DW72" i="25"/>
  <c r="DQ290" i="25"/>
  <c r="DN290" i="25"/>
  <c r="DQ136" i="25"/>
  <c r="DN136" i="25"/>
  <c r="EB94" i="25"/>
  <c r="EA94" i="25"/>
  <c r="DQ262" i="25"/>
  <c r="DN269" i="25"/>
  <c r="DQ269" i="25"/>
  <c r="DW193" i="25"/>
  <c r="DQ129" i="25"/>
  <c r="DN129" i="25"/>
  <c r="DW136" i="25"/>
  <c r="DQ104" i="25"/>
  <c r="DT104" i="25" s="1"/>
  <c r="DN104" i="25"/>
  <c r="EB19" i="25"/>
  <c r="EA19" i="25"/>
  <c r="DQ147" i="25"/>
  <c r="EJ147" i="25" s="1"/>
  <c r="DN147" i="25"/>
  <c r="DN97" i="25"/>
  <c r="DQ97" i="25"/>
  <c r="DT97" i="25" s="1"/>
  <c r="EB202" i="25"/>
  <c r="EA202" i="25"/>
  <c r="DW34" i="25"/>
  <c r="DQ308" i="25"/>
  <c r="DN308" i="25"/>
  <c r="DN90" i="25"/>
  <c r="DQ90" i="25"/>
  <c r="DQ258" i="25"/>
  <c r="DN258" i="25"/>
  <c r="EB26" i="25"/>
  <c r="EA26" i="25"/>
  <c r="EB192" i="25"/>
  <c r="EA192" i="25"/>
  <c r="DQ169" i="25"/>
  <c r="DN169" i="25"/>
  <c r="DW81" i="25"/>
  <c r="DQ25" i="25"/>
  <c r="DN25" i="25"/>
  <c r="DW191" i="25"/>
  <c r="DN267" i="25"/>
  <c r="DQ267" i="25"/>
  <c r="DN156" i="25"/>
  <c r="DQ156" i="25"/>
  <c r="DN23" i="25"/>
  <c r="DQ23" i="25"/>
  <c r="DN89" i="25"/>
  <c r="DQ89" i="25"/>
  <c r="DN130" i="25"/>
  <c r="DQ130" i="25"/>
  <c r="EB198" i="25"/>
  <c r="EA198" i="25"/>
  <c r="DQ194" i="25"/>
  <c r="DT194" i="25" s="1"/>
  <c r="DN194" i="25"/>
  <c r="DW98" i="25"/>
  <c r="DN289" i="25"/>
  <c r="DQ289" i="25"/>
  <c r="DN22" i="25"/>
  <c r="DQ22" i="25"/>
  <c r="DQ297" i="25"/>
  <c r="DN297" i="25"/>
  <c r="DN264" i="25"/>
  <c r="DQ264" i="25"/>
  <c r="DQ32" i="25"/>
  <c r="DN32" i="25"/>
  <c r="DN166" i="25"/>
  <c r="DQ166" i="25"/>
  <c r="DW100" i="25"/>
  <c r="DQ153" i="25"/>
  <c r="DN153" i="25"/>
  <c r="DN301" i="25"/>
  <c r="DQ301" i="25"/>
  <c r="EB85" i="25"/>
  <c r="EA85" i="25"/>
  <c r="DN291" i="25"/>
  <c r="DQ291" i="25"/>
  <c r="DW210" i="25"/>
  <c r="DW83" i="25"/>
  <c r="DN217" i="25"/>
  <c r="DQ217" i="25"/>
  <c r="DQ307" i="25"/>
  <c r="DN307" i="25"/>
  <c r="EB36" i="25"/>
  <c r="EA36" i="25"/>
  <c r="DN229" i="25"/>
  <c r="DQ229" i="25"/>
  <c r="DQ74" i="25"/>
  <c r="DN74" i="25"/>
  <c r="EB172" i="25"/>
  <c r="EA172" i="25"/>
  <c r="EB155" i="25"/>
  <c r="EA155" i="25"/>
  <c r="DQ226" i="25"/>
  <c r="DN226" i="25"/>
  <c r="DN231" i="25"/>
  <c r="DQ231" i="25"/>
  <c r="DQ132" i="25"/>
  <c r="DN132" i="25"/>
  <c r="DQ127" i="25"/>
  <c r="FA127" i="25" s="1"/>
  <c r="DQ135" i="25"/>
  <c r="DN135" i="25"/>
  <c r="DW93" i="25"/>
  <c r="DQ77" i="25"/>
  <c r="DN77" i="25"/>
  <c r="DQ101" i="25"/>
  <c r="DT101" i="25" s="1"/>
  <c r="DN101" i="25"/>
  <c r="DW74" i="25"/>
  <c r="DQ114" i="25"/>
  <c r="DN114" i="25"/>
  <c r="DN80" i="25"/>
  <c r="DQ80" i="25"/>
  <c r="EB132" i="25"/>
  <c r="EA132" i="25"/>
  <c r="DQ44" i="25"/>
  <c r="DN44" i="25"/>
  <c r="EB11" i="25"/>
  <c r="EA11" i="25"/>
  <c r="EB152" i="25"/>
  <c r="EA152" i="25"/>
  <c r="DQ180" i="25"/>
  <c r="EB18" i="25"/>
  <c r="EA18" i="25"/>
  <c r="DN8" i="25"/>
  <c r="DQ8" i="25"/>
  <c r="DQ219" i="25"/>
  <c r="DN219" i="25"/>
  <c r="DN72" i="24"/>
  <c r="DX72" i="24" s="1"/>
  <c r="DN64" i="24"/>
  <c r="DZ64" i="24" s="1"/>
  <c r="DN57" i="24"/>
  <c r="DZ57" i="24" s="1"/>
  <c r="DN46" i="24"/>
  <c r="DX46" i="24" s="1"/>
  <c r="DN9" i="24"/>
  <c r="DZ9" i="24" s="1"/>
  <c r="DN45" i="24"/>
  <c r="DZ45" i="24" s="1"/>
  <c r="DN7" i="24"/>
  <c r="DZ7" i="24" s="1"/>
  <c r="DN59" i="24"/>
  <c r="DX59" i="24" s="1"/>
  <c r="DN20" i="24"/>
  <c r="DX20" i="24" s="1"/>
  <c r="DN140" i="24"/>
  <c r="DX140" i="24" s="1"/>
  <c r="DN233" i="24"/>
  <c r="DN19" i="24"/>
  <c r="DX19" i="24" s="1"/>
  <c r="DN58" i="24"/>
  <c r="DX58" i="24" s="1"/>
  <c r="DN303" i="24"/>
  <c r="DN49" i="24"/>
  <c r="DX49" i="24" s="1"/>
  <c r="DN143" i="24"/>
  <c r="DX143" i="24" s="1"/>
  <c r="DN245" i="24"/>
  <c r="DN297" i="24"/>
  <c r="DN12" i="24"/>
  <c r="DX12" i="24" s="1"/>
  <c r="DN295" i="24"/>
  <c r="DN125" i="24"/>
  <c r="DX125" i="24" s="1"/>
  <c r="DN313" i="24"/>
  <c r="DN28" i="24"/>
  <c r="DX28" i="24" s="1"/>
  <c r="DN166" i="24"/>
  <c r="DX166" i="24" s="1"/>
  <c r="DN315" i="24"/>
  <c r="DN36" i="24"/>
  <c r="DZ36" i="24" s="1"/>
  <c r="DN286" i="24"/>
  <c r="DN31" i="24"/>
  <c r="DZ31" i="24" s="1"/>
  <c r="DN246" i="24"/>
  <c r="DN34" i="24"/>
  <c r="DX34" i="24" s="1"/>
  <c r="DN11" i="24"/>
  <c r="DZ11" i="24" s="1"/>
  <c r="DN311" i="24"/>
  <c r="DN282" i="24"/>
  <c r="DN38" i="24"/>
  <c r="DX38" i="24" s="1"/>
  <c r="DN178" i="24"/>
  <c r="DX178" i="24" s="1"/>
  <c r="DN144" i="24"/>
  <c r="DX144" i="24" s="1"/>
  <c r="DN266" i="24"/>
  <c r="DN200" i="24"/>
  <c r="DX200" i="24" s="1"/>
  <c r="DN105" i="24"/>
  <c r="DZ105" i="24" s="1"/>
  <c r="DN316" i="24"/>
  <c r="DN101" i="24"/>
  <c r="DZ101" i="24" s="1"/>
  <c r="DN153" i="24"/>
  <c r="DX153" i="24" s="1"/>
  <c r="DN18" i="24"/>
  <c r="DZ18" i="24" s="1"/>
  <c r="DN265" i="24"/>
  <c r="DN182" i="24"/>
  <c r="DX182" i="24" s="1"/>
  <c r="DN263" i="24"/>
  <c r="DN32" i="24"/>
  <c r="DX32" i="24" s="1"/>
  <c r="DN87" i="24"/>
  <c r="DZ87" i="24" s="1"/>
  <c r="DN232" i="24"/>
  <c r="DN118" i="24"/>
  <c r="DX118" i="24" s="1"/>
  <c r="DN247" i="24"/>
  <c r="DN141" i="24"/>
  <c r="DX141" i="24" s="1"/>
  <c r="DN251" i="24"/>
  <c r="DN82" i="24"/>
  <c r="DX82" i="24" s="1"/>
  <c r="DN285" i="24"/>
  <c r="DN17" i="24"/>
  <c r="DZ17" i="24" s="1"/>
  <c r="DN120" i="24"/>
  <c r="DX120" i="24" s="1"/>
  <c r="DN148" i="24"/>
  <c r="DX148" i="24" s="1"/>
  <c r="DN102" i="24"/>
  <c r="DX102" i="24" s="1"/>
  <c r="DN274" i="24"/>
  <c r="DN238" i="24"/>
  <c r="DN188" i="24"/>
  <c r="DX188" i="24" s="1"/>
  <c r="DN304" i="24"/>
  <c r="DN6" i="24"/>
  <c r="DX6" i="24" s="1"/>
  <c r="DN220" i="24"/>
  <c r="DN261" i="24"/>
  <c r="DN90" i="24"/>
  <c r="DX90" i="24" s="1"/>
  <c r="DN259" i="24"/>
  <c r="DN15" i="24"/>
  <c r="DX15" i="24" s="1"/>
  <c r="DN222" i="24"/>
  <c r="DN56" i="24"/>
  <c r="DZ56" i="24" s="1"/>
  <c r="DN294" i="24"/>
  <c r="DN287" i="24"/>
  <c r="DN280" i="24"/>
  <c r="DN229" i="24"/>
  <c r="DN252" i="24"/>
  <c r="DN236" i="24"/>
  <c r="DN195" i="24"/>
  <c r="DX195" i="24" s="1"/>
  <c r="DN293" i="24"/>
  <c r="DN92" i="24"/>
  <c r="DZ92" i="24" s="1"/>
  <c r="DN21" i="24"/>
  <c r="DZ21" i="24" s="1"/>
  <c r="DN194" i="24"/>
  <c r="DX194" i="24" s="1"/>
  <c r="DN276" i="24"/>
  <c r="DN88" i="24"/>
  <c r="DZ88" i="24" s="1"/>
  <c r="DN204" i="24"/>
  <c r="DX204" i="24" s="1"/>
  <c r="DN189" i="24"/>
  <c r="DX189" i="24" s="1"/>
  <c r="DN119" i="24"/>
  <c r="DX119" i="24" s="1"/>
  <c r="DN262" i="24"/>
  <c r="DN292" i="24"/>
  <c r="DN96" i="24"/>
  <c r="DX96" i="24" s="1"/>
  <c r="DN241" i="24"/>
  <c r="DN73" i="24"/>
  <c r="DX73" i="24" s="1"/>
  <c r="DN225" i="24"/>
  <c r="DN51" i="24"/>
  <c r="DX51" i="24" s="1"/>
  <c r="DN180" i="24"/>
  <c r="DX180" i="24" s="1"/>
  <c r="DN22" i="24"/>
  <c r="DX22" i="24" s="1"/>
  <c r="DN308" i="24"/>
  <c r="DN121" i="24"/>
  <c r="DX121" i="24" s="1"/>
  <c r="DN235" i="24"/>
  <c r="DN289" i="24"/>
  <c r="DK165" i="24"/>
  <c r="DJ165" i="24"/>
  <c r="DK33" i="24"/>
  <c r="DJ33" i="24"/>
  <c r="DK34" i="24"/>
  <c r="DJ34" i="24"/>
  <c r="DK303" i="24"/>
  <c r="DJ303" i="24"/>
  <c r="DK226" i="24"/>
  <c r="DJ226" i="24"/>
  <c r="DK186" i="24"/>
  <c r="DJ186" i="24"/>
  <c r="DK135" i="24"/>
  <c r="DJ135" i="24"/>
  <c r="DN81" i="24"/>
  <c r="DN150" i="24"/>
  <c r="DN193" i="24"/>
  <c r="DK247" i="24"/>
  <c r="DJ247" i="24"/>
  <c r="DK125" i="24"/>
  <c r="DJ125" i="24"/>
  <c r="DK305" i="24"/>
  <c r="DJ305" i="24"/>
  <c r="DN71" i="24"/>
  <c r="DN33" i="24"/>
  <c r="DK57" i="24"/>
  <c r="DJ57" i="24"/>
  <c r="DN35" i="24"/>
  <c r="DK169" i="24"/>
  <c r="DJ169" i="24"/>
  <c r="DK298" i="24"/>
  <c r="DJ298" i="24"/>
  <c r="DK45" i="24"/>
  <c r="DJ45" i="24"/>
  <c r="DN104" i="24"/>
  <c r="DN37" i="24"/>
  <c r="DN239" i="24"/>
  <c r="DK293" i="24"/>
  <c r="DJ293" i="24"/>
  <c r="DK131" i="24"/>
  <c r="DJ131" i="24"/>
  <c r="DK62" i="24"/>
  <c r="DJ62" i="24"/>
  <c r="DN52" i="24"/>
  <c r="DK221" i="24"/>
  <c r="DJ221" i="24"/>
  <c r="DK102" i="24"/>
  <c r="DJ102" i="24"/>
  <c r="DK130" i="24"/>
  <c r="DJ130" i="24"/>
  <c r="DK76" i="24"/>
  <c r="DJ76" i="24"/>
  <c r="DK117" i="24"/>
  <c r="DJ117" i="24"/>
  <c r="DK191" i="24"/>
  <c r="DJ191" i="24"/>
  <c r="DK266" i="24"/>
  <c r="DJ266" i="24"/>
  <c r="DN54" i="24"/>
  <c r="DN159" i="24"/>
  <c r="DK200" i="24"/>
  <c r="DJ200" i="24"/>
  <c r="DK177" i="24"/>
  <c r="DJ177" i="24"/>
  <c r="DK194" i="24"/>
  <c r="DJ194" i="24"/>
  <c r="DK74" i="24"/>
  <c r="DJ74" i="24"/>
  <c r="DK138" i="24"/>
  <c r="DJ138" i="24"/>
  <c r="DN147" i="24"/>
  <c r="DN127" i="24"/>
  <c r="DK170" i="24"/>
  <c r="DJ170" i="24"/>
  <c r="DN183" i="24"/>
  <c r="DN228" i="24"/>
  <c r="DK217" i="24"/>
  <c r="DJ217" i="24"/>
  <c r="DN269" i="24"/>
  <c r="DN152" i="24"/>
  <c r="DK16" i="24"/>
  <c r="DJ16" i="24"/>
  <c r="DK175" i="24"/>
  <c r="DJ175" i="24"/>
  <c r="DN63" i="24"/>
  <c r="DN128" i="24"/>
  <c r="DK96" i="24"/>
  <c r="DJ96" i="24"/>
  <c r="DN242" i="24"/>
  <c r="DK172" i="24"/>
  <c r="DJ172" i="24"/>
  <c r="DN83" i="24"/>
  <c r="DN281" i="24"/>
  <c r="DK160" i="24"/>
  <c r="DJ160" i="24"/>
  <c r="DK272" i="24"/>
  <c r="DJ272" i="24"/>
  <c r="DN279" i="24"/>
  <c r="DK31" i="24"/>
  <c r="DJ31" i="24"/>
  <c r="DN30" i="24"/>
  <c r="DN41" i="24"/>
  <c r="DN226" i="24"/>
  <c r="DK291" i="24"/>
  <c r="DJ291" i="24"/>
  <c r="DN40" i="24"/>
  <c r="DN186" i="24"/>
  <c r="DN99" i="24"/>
  <c r="DK61" i="24"/>
  <c r="DJ61" i="24"/>
  <c r="DK251" i="24"/>
  <c r="DJ251" i="24"/>
  <c r="DK82" i="24"/>
  <c r="DJ82" i="24"/>
  <c r="DN267" i="24"/>
  <c r="DN224" i="24"/>
  <c r="DK234" i="24"/>
  <c r="DJ234" i="24"/>
  <c r="DK89" i="24"/>
  <c r="DJ89" i="24"/>
  <c r="DN60" i="24"/>
  <c r="DK137" i="24"/>
  <c r="DJ137" i="24"/>
  <c r="DK79" i="24"/>
  <c r="DJ79" i="24"/>
  <c r="DK81" i="24"/>
  <c r="DJ81" i="24"/>
  <c r="DK248" i="24"/>
  <c r="DJ248" i="24"/>
  <c r="DK85" i="24"/>
  <c r="DJ85" i="24"/>
  <c r="DK148" i="24"/>
  <c r="DJ148" i="24"/>
  <c r="DK219" i="24"/>
  <c r="DJ219" i="24"/>
  <c r="DK183" i="24"/>
  <c r="DJ183" i="24"/>
  <c r="DK166" i="24"/>
  <c r="DJ166" i="24"/>
  <c r="DK150" i="24"/>
  <c r="DJ150" i="24"/>
  <c r="DN142" i="24"/>
  <c r="DN305" i="24"/>
  <c r="DK229" i="24"/>
  <c r="DJ229" i="24"/>
  <c r="DN55" i="24"/>
  <c r="DK71" i="24"/>
  <c r="DJ71" i="24"/>
  <c r="DK233" i="24"/>
  <c r="DJ233" i="24"/>
  <c r="DN298" i="24"/>
  <c r="DK86" i="24"/>
  <c r="DJ86" i="24"/>
  <c r="DK104" i="24"/>
  <c r="DJ104" i="24"/>
  <c r="DJ37" i="24"/>
  <c r="DK37" i="24"/>
  <c r="DK310" i="24"/>
  <c r="DJ310" i="24"/>
  <c r="DK178" i="24"/>
  <c r="DJ178" i="24"/>
  <c r="DK144" i="24"/>
  <c r="DJ144" i="24"/>
  <c r="DK239" i="24"/>
  <c r="DJ239" i="24"/>
  <c r="DN62" i="24"/>
  <c r="DK12" i="24"/>
  <c r="DJ12" i="24"/>
  <c r="DK159" i="24"/>
  <c r="DJ159" i="24"/>
  <c r="DK306" i="24"/>
  <c r="DJ306" i="24"/>
  <c r="DN177" i="24"/>
  <c r="DK78" i="24"/>
  <c r="DJ78" i="24"/>
  <c r="DN138" i="24"/>
  <c r="DK147" i="24"/>
  <c r="DJ147" i="24"/>
  <c r="DN170" i="24"/>
  <c r="DK228" i="24"/>
  <c r="DJ228" i="24"/>
  <c r="DK116" i="24"/>
  <c r="DJ116" i="24"/>
  <c r="DK263" i="24"/>
  <c r="DJ263" i="24"/>
  <c r="DK269" i="24"/>
  <c r="DJ269" i="24"/>
  <c r="DK152" i="24"/>
  <c r="DJ152" i="24"/>
  <c r="DN175" i="24"/>
  <c r="DK63" i="24"/>
  <c r="DJ63" i="24"/>
  <c r="DK128" i="24"/>
  <c r="DJ128" i="24"/>
  <c r="DK242" i="24"/>
  <c r="DJ242" i="24"/>
  <c r="DN172" i="24"/>
  <c r="DK83" i="24"/>
  <c r="DJ83" i="24"/>
  <c r="DK281" i="24"/>
  <c r="DJ281" i="24"/>
  <c r="DN160" i="24"/>
  <c r="DN272" i="24"/>
  <c r="DK30" i="24"/>
  <c r="DJ30" i="24"/>
  <c r="DK255" i="24"/>
  <c r="DJ255" i="24"/>
  <c r="DK41" i="24"/>
  <c r="DJ41" i="24"/>
  <c r="DK40" i="24"/>
  <c r="DJ40" i="24"/>
  <c r="DK99" i="24"/>
  <c r="DJ99" i="24"/>
  <c r="DN61" i="24"/>
  <c r="DJ224" i="24"/>
  <c r="DK224" i="24"/>
  <c r="DN89" i="24"/>
  <c r="DK60" i="24"/>
  <c r="DJ60" i="24"/>
  <c r="DK232" i="24"/>
  <c r="DJ232" i="24"/>
  <c r="DK59" i="24"/>
  <c r="DJ59" i="24"/>
  <c r="DK262" i="24"/>
  <c r="DJ262" i="24"/>
  <c r="DK286" i="24"/>
  <c r="DJ286" i="24"/>
  <c r="DK90" i="24"/>
  <c r="DJ90" i="24"/>
  <c r="DK203" i="24"/>
  <c r="DJ203" i="24"/>
  <c r="DK142" i="24"/>
  <c r="DJ142" i="24"/>
  <c r="DK55" i="24"/>
  <c r="DJ55" i="24"/>
  <c r="DK140" i="24"/>
  <c r="DJ140" i="24"/>
  <c r="DK7" i="24"/>
  <c r="DJ7" i="24"/>
  <c r="DK236" i="24"/>
  <c r="DJ236" i="24"/>
  <c r="DK243" i="24"/>
  <c r="DJ243" i="24"/>
  <c r="DK38" i="24"/>
  <c r="DJ38" i="24"/>
  <c r="DK225" i="24"/>
  <c r="DJ225" i="24"/>
  <c r="DK92" i="24"/>
  <c r="DJ92" i="24"/>
  <c r="DK143" i="24"/>
  <c r="DJ143" i="24"/>
  <c r="DK198" i="24"/>
  <c r="DJ198" i="24"/>
  <c r="DK206" i="24"/>
  <c r="DJ206" i="24"/>
  <c r="DK19" i="24"/>
  <c r="DJ19" i="24"/>
  <c r="DK127" i="24"/>
  <c r="DJ127" i="24"/>
  <c r="DK182" i="24"/>
  <c r="DJ182" i="24"/>
  <c r="DK179" i="24"/>
  <c r="DJ179" i="24"/>
  <c r="DK300" i="24"/>
  <c r="DJ300" i="24"/>
  <c r="DK258" i="24"/>
  <c r="DJ258" i="24"/>
  <c r="DK105" i="24"/>
  <c r="DJ105" i="24"/>
  <c r="DK245" i="24"/>
  <c r="DJ245" i="24"/>
  <c r="DK297" i="24"/>
  <c r="DJ297" i="24"/>
  <c r="DK184" i="24"/>
  <c r="DJ184" i="24"/>
  <c r="DK308" i="24"/>
  <c r="DJ308" i="24"/>
  <c r="DK121" i="24"/>
  <c r="DJ121" i="24"/>
  <c r="DK43" i="24"/>
  <c r="DJ43" i="24"/>
  <c r="DK10" i="24"/>
  <c r="DJ10" i="24"/>
  <c r="DK273" i="24"/>
  <c r="DJ273" i="24"/>
  <c r="DK235" i="24"/>
  <c r="DJ235" i="24"/>
  <c r="DK94" i="24"/>
  <c r="DJ94" i="24"/>
  <c r="DK289" i="24"/>
  <c r="DJ289" i="24"/>
  <c r="DK72" i="24"/>
  <c r="DJ72" i="24"/>
  <c r="DK207" i="24"/>
  <c r="DJ207" i="24"/>
  <c r="DK312" i="24"/>
  <c r="DJ312" i="24"/>
  <c r="DK254" i="24"/>
  <c r="DJ254" i="24"/>
  <c r="DK27" i="24"/>
  <c r="DJ27" i="24"/>
  <c r="DK181" i="24"/>
  <c r="DJ181" i="24"/>
  <c r="DK118" i="24"/>
  <c r="DJ118" i="24"/>
  <c r="DK193" i="24"/>
  <c r="DJ193" i="24"/>
  <c r="DK139" i="24"/>
  <c r="DJ139" i="24"/>
  <c r="DK120" i="24"/>
  <c r="DJ120" i="24"/>
  <c r="DK54" i="24"/>
  <c r="DJ54" i="24"/>
  <c r="DK149" i="24"/>
  <c r="DJ149" i="24"/>
  <c r="DK9" i="24"/>
  <c r="DJ9" i="24"/>
  <c r="DK64" i="24"/>
  <c r="DJ64" i="24"/>
  <c r="DK292" i="24"/>
  <c r="DJ292" i="24"/>
  <c r="DK315" i="24"/>
  <c r="DJ315" i="24"/>
  <c r="DN302" i="24"/>
  <c r="DK161" i="24"/>
  <c r="DJ161" i="24"/>
  <c r="DN253" i="24"/>
  <c r="DK167" i="24"/>
  <c r="DJ167" i="24"/>
  <c r="DN190" i="24"/>
  <c r="DK294" i="24"/>
  <c r="DJ294" i="24"/>
  <c r="DK287" i="24"/>
  <c r="DJ287" i="24"/>
  <c r="DK280" i="24"/>
  <c r="DJ280" i="24"/>
  <c r="DN154" i="24"/>
  <c r="DK252" i="24"/>
  <c r="DJ252" i="24"/>
  <c r="DK176" i="24"/>
  <c r="DJ176" i="24"/>
  <c r="DK285" i="24"/>
  <c r="DJ285" i="24"/>
  <c r="DK67" i="24"/>
  <c r="DJ67" i="24"/>
  <c r="DN25" i="24"/>
  <c r="DK124" i="24"/>
  <c r="DJ124" i="24"/>
  <c r="DN114" i="24"/>
  <c r="DN230" i="24"/>
  <c r="DK49" i="24"/>
  <c r="DJ49" i="24"/>
  <c r="DN132" i="24"/>
  <c r="DK187" i="24"/>
  <c r="DJ187" i="24"/>
  <c r="DN50" i="24"/>
  <c r="DN268" i="24"/>
  <c r="DK218" i="24"/>
  <c r="DJ218" i="24"/>
  <c r="DN270" i="24"/>
  <c r="DK156" i="24"/>
  <c r="DJ156" i="24"/>
  <c r="DN260" i="24"/>
  <c r="DK274" i="24"/>
  <c r="DJ274" i="24"/>
  <c r="DN296" i="24"/>
  <c r="DK314" i="24"/>
  <c r="DJ314" i="24"/>
  <c r="DK237" i="24"/>
  <c r="DJ237" i="24"/>
  <c r="DN77" i="24"/>
  <c r="DN111" i="24"/>
  <c r="DN185" i="24"/>
  <c r="DN164" i="24"/>
  <c r="DN202" i="24"/>
  <c r="DK95" i="24"/>
  <c r="DJ95" i="24"/>
  <c r="DK301" i="24"/>
  <c r="DJ301" i="24"/>
  <c r="DN13" i="24"/>
  <c r="DN300" i="24"/>
  <c r="DN258" i="24"/>
  <c r="DK32" i="24"/>
  <c r="DJ32" i="24"/>
  <c r="DK87" i="24"/>
  <c r="DJ87" i="24"/>
  <c r="DK316" i="24"/>
  <c r="DJ316" i="24"/>
  <c r="DK101" i="24"/>
  <c r="DJ101" i="24"/>
  <c r="DN65" i="24"/>
  <c r="DN174" i="24"/>
  <c r="DN249" i="24"/>
  <c r="DK192" i="24"/>
  <c r="DJ192" i="24"/>
  <c r="DK153" i="24"/>
  <c r="DJ153" i="24"/>
  <c r="DK18" i="24"/>
  <c r="DJ18" i="24"/>
  <c r="DN44" i="24"/>
  <c r="DK265" i="24"/>
  <c r="DJ265" i="24"/>
  <c r="DN8" i="24"/>
  <c r="DK97" i="24"/>
  <c r="DJ97" i="24"/>
  <c r="DN171" i="24"/>
  <c r="DK136" i="24"/>
  <c r="DJ136" i="24"/>
  <c r="DK264" i="24"/>
  <c r="DJ264" i="24"/>
  <c r="DN98" i="24"/>
  <c r="DJ162" i="24"/>
  <c r="DK162" i="24"/>
  <c r="DN43" i="24"/>
  <c r="DN10" i="24"/>
  <c r="DK129" i="24"/>
  <c r="DJ129" i="24"/>
  <c r="DK201" i="24"/>
  <c r="DJ201" i="24"/>
  <c r="DK241" i="24"/>
  <c r="DJ241" i="24"/>
  <c r="DK73" i="24"/>
  <c r="DJ73" i="24"/>
  <c r="DN29" i="24"/>
  <c r="DN112" i="24"/>
  <c r="DN197" i="24"/>
  <c r="DK75" i="24"/>
  <c r="DJ75" i="24"/>
  <c r="DK52" i="24"/>
  <c r="DJ52" i="24"/>
  <c r="DK69" i="24"/>
  <c r="DJ69" i="24"/>
  <c r="DK302" i="24"/>
  <c r="DJ302" i="24"/>
  <c r="DN161" i="24"/>
  <c r="DK253" i="24"/>
  <c r="DJ253" i="24"/>
  <c r="DN167" i="24"/>
  <c r="DK190" i="24"/>
  <c r="DJ190" i="24"/>
  <c r="DN209" i="24"/>
  <c r="DN68" i="24"/>
  <c r="DN24" i="24"/>
  <c r="DK154" i="24"/>
  <c r="DJ154" i="24"/>
  <c r="DN42" i="24"/>
  <c r="DN288" i="24"/>
  <c r="DK48" i="24"/>
  <c r="DJ48" i="24"/>
  <c r="DN240" i="24"/>
  <c r="DN244" i="24"/>
  <c r="DN67" i="24"/>
  <c r="DK25" i="24"/>
  <c r="DJ25" i="24"/>
  <c r="DN124" i="24"/>
  <c r="DN23" i="24"/>
  <c r="DN227" i="24"/>
  <c r="DK114" i="24"/>
  <c r="DJ114" i="24"/>
  <c r="DK230" i="24"/>
  <c r="DJ230" i="24"/>
  <c r="DK132" i="24"/>
  <c r="DJ132" i="24"/>
  <c r="DK14" i="24"/>
  <c r="DJ14" i="24"/>
  <c r="DK250" i="24"/>
  <c r="DJ250" i="24"/>
  <c r="DK50" i="24"/>
  <c r="DJ50" i="24"/>
  <c r="DK268" i="24"/>
  <c r="DJ268" i="24"/>
  <c r="DN218" i="24"/>
  <c r="DN134" i="24"/>
  <c r="DK270" i="24"/>
  <c r="DJ270" i="24"/>
  <c r="DK51" i="24"/>
  <c r="DJ51" i="24"/>
  <c r="DK223" i="24"/>
  <c r="DJ223" i="24"/>
  <c r="DK155" i="24"/>
  <c r="DJ155" i="24"/>
  <c r="DK199" i="24"/>
  <c r="DJ199" i="24"/>
  <c r="DK260" i="24"/>
  <c r="DJ260" i="24"/>
  <c r="DN26" i="24"/>
  <c r="DK296" i="24"/>
  <c r="DJ296" i="24"/>
  <c r="DN314" i="24"/>
  <c r="DK277" i="24"/>
  <c r="DJ277" i="24"/>
  <c r="DN257" i="24"/>
  <c r="DK77" i="24"/>
  <c r="DJ77" i="24"/>
  <c r="DK111" i="24"/>
  <c r="DJ111" i="24"/>
  <c r="DK185" i="24"/>
  <c r="DJ185" i="24"/>
  <c r="DK180" i="24"/>
  <c r="DJ180" i="24"/>
  <c r="DK22" i="24"/>
  <c r="DJ22" i="24"/>
  <c r="DK164" i="24"/>
  <c r="DJ164" i="24"/>
  <c r="DK202" i="24"/>
  <c r="DJ202" i="24"/>
  <c r="DJ88" i="24"/>
  <c r="DK88" i="24"/>
  <c r="DK13" i="24"/>
  <c r="DJ13" i="24"/>
  <c r="DN157" i="24"/>
  <c r="DN103" i="24"/>
  <c r="DN122" i="24"/>
  <c r="DK275" i="24"/>
  <c r="DJ275" i="24"/>
  <c r="DN231" i="24"/>
  <c r="DK65" i="24"/>
  <c r="DJ65" i="24"/>
  <c r="DK174" i="24"/>
  <c r="DJ174" i="24"/>
  <c r="DK249" i="24"/>
  <c r="DJ249" i="24"/>
  <c r="DN145" i="24"/>
  <c r="DN192" i="24"/>
  <c r="DN47" i="24"/>
  <c r="DK283" i="24"/>
  <c r="DJ283" i="24"/>
  <c r="DN307" i="24"/>
  <c r="DN70" i="24"/>
  <c r="DK44" i="24"/>
  <c r="DJ44" i="24"/>
  <c r="DK8" i="24"/>
  <c r="DJ8" i="24"/>
  <c r="DN53" i="24"/>
  <c r="DK133" i="24"/>
  <c r="DJ133" i="24"/>
  <c r="DK171" i="24"/>
  <c r="DJ171" i="24"/>
  <c r="DN136" i="24"/>
  <c r="DK98" i="24"/>
  <c r="DJ98" i="24"/>
  <c r="DN129" i="24"/>
  <c r="DN201" i="24"/>
  <c r="DN158" i="24"/>
  <c r="DK29" i="24"/>
  <c r="DJ29" i="24"/>
  <c r="DN309" i="24"/>
  <c r="DN123" i="24"/>
  <c r="DK290" i="24"/>
  <c r="DJ290" i="24"/>
  <c r="DN173" i="24"/>
  <c r="DN100" i="24"/>
  <c r="DK112" i="24"/>
  <c r="DJ112" i="24"/>
  <c r="DK80" i="24"/>
  <c r="DJ80" i="24"/>
  <c r="DK197" i="24"/>
  <c r="DJ197" i="24"/>
  <c r="DK113" i="24"/>
  <c r="DJ113" i="24"/>
  <c r="DK35" i="24"/>
  <c r="DJ35" i="24"/>
  <c r="DK311" i="24"/>
  <c r="DJ311" i="24"/>
  <c r="DK278" i="24"/>
  <c r="DJ278" i="24"/>
  <c r="DK36" i="24"/>
  <c r="DJ36" i="24"/>
  <c r="DK256" i="24"/>
  <c r="DJ256" i="24"/>
  <c r="DK267" i="24"/>
  <c r="DJ267" i="24"/>
  <c r="DK209" i="24"/>
  <c r="DJ209" i="24"/>
  <c r="DK68" i="24"/>
  <c r="DJ68" i="24"/>
  <c r="DK24" i="24"/>
  <c r="DJ24" i="24"/>
  <c r="DK42" i="24"/>
  <c r="DJ42" i="24"/>
  <c r="DK288" i="24"/>
  <c r="DJ288" i="24"/>
  <c r="DN48" i="24"/>
  <c r="DK11" i="24"/>
  <c r="DJ11" i="24"/>
  <c r="DK240" i="24"/>
  <c r="DJ240" i="24"/>
  <c r="DK244" i="24"/>
  <c r="DJ244" i="24"/>
  <c r="DK17" i="24"/>
  <c r="DJ17" i="24"/>
  <c r="DK39" i="24"/>
  <c r="DJ39" i="24"/>
  <c r="DK23" i="24"/>
  <c r="DJ23" i="24"/>
  <c r="DK227" i="24"/>
  <c r="DJ227" i="24"/>
  <c r="DN14" i="24"/>
  <c r="DN250" i="24"/>
  <c r="DK134" i="24"/>
  <c r="DJ134" i="24"/>
  <c r="DN223" i="24"/>
  <c r="DN155" i="24"/>
  <c r="DN199" i="24"/>
  <c r="DK26" i="24"/>
  <c r="DJ26" i="24"/>
  <c r="DN277" i="24"/>
  <c r="DK163" i="24"/>
  <c r="DJ163" i="24"/>
  <c r="DK257" i="24"/>
  <c r="DJ257" i="24"/>
  <c r="DK238" i="24"/>
  <c r="DJ238" i="24"/>
  <c r="DK157" i="24"/>
  <c r="DJ157" i="24"/>
  <c r="DK103" i="24"/>
  <c r="DJ103" i="24"/>
  <c r="DK122" i="24"/>
  <c r="DJ122" i="24"/>
  <c r="DK231" i="24"/>
  <c r="DJ231" i="24"/>
  <c r="DK145" i="24"/>
  <c r="DJ145" i="24"/>
  <c r="DK47" i="24"/>
  <c r="DJ47" i="24"/>
  <c r="DN283" i="24"/>
  <c r="DJ307" i="24"/>
  <c r="DK307" i="24"/>
  <c r="DK70" i="24"/>
  <c r="DJ70" i="24"/>
  <c r="DK284" i="24"/>
  <c r="DJ284" i="24"/>
  <c r="DK53" i="24"/>
  <c r="DJ53" i="24"/>
  <c r="DN133" i="24"/>
  <c r="DK93" i="24"/>
  <c r="DJ93" i="24"/>
  <c r="DN126" i="24"/>
  <c r="DK46" i="24"/>
  <c r="DJ46" i="24"/>
  <c r="DK84" i="24"/>
  <c r="DJ84" i="24"/>
  <c r="DK158" i="24"/>
  <c r="DJ158" i="24"/>
  <c r="DK20" i="24"/>
  <c r="DJ20" i="24"/>
  <c r="DK205" i="24"/>
  <c r="DJ205" i="24"/>
  <c r="DK309" i="24"/>
  <c r="DJ309" i="24"/>
  <c r="DK123" i="24"/>
  <c r="DJ123" i="24"/>
  <c r="DN290" i="24"/>
  <c r="DK173" i="24"/>
  <c r="DJ173" i="24"/>
  <c r="DK100" i="24"/>
  <c r="DJ100" i="24"/>
  <c r="DN80" i="24"/>
  <c r="DN271" i="24"/>
  <c r="DK210" i="24"/>
  <c r="DJ210" i="24"/>
  <c r="DK196" i="24"/>
  <c r="DJ196" i="24"/>
  <c r="DK141" i="24"/>
  <c r="DJ141" i="24"/>
  <c r="DK279" i="24"/>
  <c r="DJ279" i="24"/>
  <c r="DK259" i="24"/>
  <c r="DJ259" i="24"/>
  <c r="DK15" i="24"/>
  <c r="DJ15" i="24"/>
  <c r="DK222" i="24"/>
  <c r="DJ222" i="24"/>
  <c r="DK246" i="24"/>
  <c r="DJ246" i="24"/>
  <c r="DK282" i="24"/>
  <c r="DJ282" i="24"/>
  <c r="DK58" i="24"/>
  <c r="DJ58" i="24"/>
  <c r="DN39" i="24"/>
  <c r="DK195" i="24"/>
  <c r="DJ195" i="24"/>
  <c r="DK151" i="24"/>
  <c r="DJ151" i="24"/>
  <c r="DK115" i="24"/>
  <c r="DJ115" i="24"/>
  <c r="DK168" i="24"/>
  <c r="DJ168" i="24"/>
  <c r="DK21" i="24"/>
  <c r="DJ21" i="24"/>
  <c r="DK208" i="24"/>
  <c r="DJ208" i="24"/>
  <c r="DK299" i="24"/>
  <c r="DJ299" i="24"/>
  <c r="DK276" i="24"/>
  <c r="DJ276" i="24"/>
  <c r="DJ204" i="24"/>
  <c r="DK204" i="24"/>
  <c r="DK189" i="24"/>
  <c r="DJ189" i="24"/>
  <c r="DK119" i="24"/>
  <c r="DJ119" i="24"/>
  <c r="DK28" i="24"/>
  <c r="DJ28" i="24"/>
  <c r="DK188" i="24"/>
  <c r="DJ188" i="24"/>
  <c r="DK304" i="24"/>
  <c r="DJ304" i="24"/>
  <c r="DK6" i="24"/>
  <c r="DJ6" i="24"/>
  <c r="DK220" i="24"/>
  <c r="DJ220" i="24"/>
  <c r="DK261" i="24"/>
  <c r="DJ261" i="24"/>
  <c r="DK295" i="24"/>
  <c r="DJ295" i="24"/>
  <c r="DK146" i="24"/>
  <c r="DJ146" i="24"/>
  <c r="DK66" i="24"/>
  <c r="DJ66" i="24"/>
  <c r="DK313" i="24"/>
  <c r="DJ313" i="24"/>
  <c r="DK126" i="24"/>
  <c r="DJ126" i="24"/>
  <c r="DK56" i="24"/>
  <c r="DJ56" i="24"/>
  <c r="DK271" i="24"/>
  <c r="DJ271" i="24"/>
  <c r="DK91" i="24"/>
  <c r="DJ91" i="24"/>
  <c r="O628" i="29"/>
  <c r="R628" i="29"/>
  <c r="L628" i="29"/>
  <c r="Q628" i="29"/>
  <c r="S628" i="29"/>
  <c r="K628" i="29"/>
  <c r="T628" i="29"/>
  <c r="P628" i="29"/>
  <c r="BQ106" i="19"/>
  <c r="DN110" i="25" l="1"/>
  <c r="DX79" i="24"/>
  <c r="EE79" i="24" s="1"/>
  <c r="AE623" i="29"/>
  <c r="AD623" i="29"/>
  <c r="EJ212" i="25"/>
  <c r="EY212" i="25"/>
  <c r="EL212" i="25"/>
  <c r="DV212" i="25"/>
  <c r="EK212" i="25"/>
  <c r="EN212" i="25" s="1"/>
  <c r="DT212" i="25"/>
  <c r="FA212" i="25"/>
  <c r="EY199" i="25"/>
  <c r="FA200" i="25"/>
  <c r="EY208" i="25"/>
  <c r="EJ210" i="25"/>
  <c r="DZ6" i="24"/>
  <c r="DI216" i="25"/>
  <c r="DN216" i="25" s="1"/>
  <c r="EB216" i="24"/>
  <c r="EL216" i="24"/>
  <c r="EM216" i="24"/>
  <c r="EP216" i="24" s="1"/>
  <c r="EN216" i="24"/>
  <c r="FA216" i="24"/>
  <c r="DX94" i="24"/>
  <c r="EE94" i="24" s="1"/>
  <c r="DX91" i="24"/>
  <c r="EE91" i="24" s="1"/>
  <c r="DX290" i="24"/>
  <c r="EE290" i="24" s="1"/>
  <c r="DX258" i="24"/>
  <c r="EE258" i="24" s="1"/>
  <c r="DX296" i="24"/>
  <c r="EE296" i="24" s="1"/>
  <c r="DX230" i="24"/>
  <c r="EE230" i="24" s="1"/>
  <c r="DX298" i="24"/>
  <c r="EE298" i="24" s="1"/>
  <c r="DX305" i="24"/>
  <c r="EE305" i="24" s="1"/>
  <c r="DX279" i="24"/>
  <c r="EE279" i="24" s="1"/>
  <c r="DX222" i="24"/>
  <c r="EE222" i="24" s="1"/>
  <c r="DX263" i="24"/>
  <c r="EE263" i="24" s="1"/>
  <c r="DX313" i="24"/>
  <c r="EE313" i="24" s="1"/>
  <c r="DX303" i="24"/>
  <c r="EE303" i="24" s="1"/>
  <c r="DX278" i="24"/>
  <c r="EE278" i="24" s="1"/>
  <c r="DX284" i="24"/>
  <c r="EE284" i="24" s="1"/>
  <c r="DX237" i="24"/>
  <c r="EE237" i="24" s="1"/>
  <c r="DX300" i="24"/>
  <c r="EE300" i="24" s="1"/>
  <c r="DX268" i="24"/>
  <c r="EE268" i="24" s="1"/>
  <c r="DX242" i="24"/>
  <c r="EE242" i="24" s="1"/>
  <c r="DX225" i="24"/>
  <c r="EE225" i="24" s="1"/>
  <c r="DX236" i="24"/>
  <c r="EE236" i="24" s="1"/>
  <c r="DX238" i="24"/>
  <c r="EE238" i="24" s="1"/>
  <c r="DX251" i="24"/>
  <c r="EE251" i="24" s="1"/>
  <c r="DX266" i="24"/>
  <c r="EE266" i="24" s="1"/>
  <c r="DX246" i="24"/>
  <c r="EE246" i="24" s="1"/>
  <c r="DX301" i="24"/>
  <c r="EE301" i="24" s="1"/>
  <c r="DX219" i="24"/>
  <c r="EE219" i="24" s="1"/>
  <c r="DX310" i="24"/>
  <c r="EE310" i="24" s="1"/>
  <c r="DX275" i="24"/>
  <c r="EE275" i="24" s="1"/>
  <c r="DX271" i="24"/>
  <c r="EE271" i="24" s="1"/>
  <c r="DX231" i="24"/>
  <c r="EE231" i="24" s="1"/>
  <c r="DX257" i="24"/>
  <c r="EE257" i="24" s="1"/>
  <c r="DX302" i="24"/>
  <c r="EE302" i="24" s="1"/>
  <c r="DX289" i="24"/>
  <c r="EE289" i="24" s="1"/>
  <c r="DX252" i="24"/>
  <c r="EE252" i="24" s="1"/>
  <c r="DX259" i="24"/>
  <c r="EE259" i="24" s="1"/>
  <c r="DX274" i="24"/>
  <c r="EE274" i="24" s="1"/>
  <c r="DX265" i="24"/>
  <c r="EE265" i="24" s="1"/>
  <c r="DX295" i="24"/>
  <c r="EE295" i="24" s="1"/>
  <c r="DX243" i="24"/>
  <c r="EE243" i="24" s="1"/>
  <c r="DX283" i="24"/>
  <c r="EE283" i="24" s="1"/>
  <c r="DX309" i="24"/>
  <c r="EE309" i="24" s="1"/>
  <c r="DX244" i="24"/>
  <c r="EE244" i="24" s="1"/>
  <c r="DX260" i="24"/>
  <c r="EE260" i="24" s="1"/>
  <c r="DX226" i="24"/>
  <c r="EE226" i="24" s="1"/>
  <c r="DX269" i="24"/>
  <c r="EE269" i="24" s="1"/>
  <c r="DX235" i="24"/>
  <c r="EE235" i="24" s="1"/>
  <c r="DX241" i="24"/>
  <c r="EE241" i="24" s="1"/>
  <c r="DX276" i="24"/>
  <c r="EE276" i="24" s="1"/>
  <c r="DX229" i="24"/>
  <c r="EE229" i="24" s="1"/>
  <c r="DX247" i="24"/>
  <c r="EE247" i="24" s="1"/>
  <c r="DX286" i="24"/>
  <c r="EE286" i="24" s="1"/>
  <c r="DX233" i="24"/>
  <c r="EE233" i="24" s="1"/>
  <c r="DX256" i="24"/>
  <c r="EE256" i="24" s="1"/>
  <c r="DX264" i="24"/>
  <c r="EE264" i="24" s="1"/>
  <c r="DX254" i="24"/>
  <c r="EE254" i="24" s="1"/>
  <c r="DX223" i="24"/>
  <c r="EE223" i="24" s="1"/>
  <c r="DX240" i="24"/>
  <c r="EE240" i="24" s="1"/>
  <c r="DX272" i="24"/>
  <c r="EE272" i="24" s="1"/>
  <c r="DX280" i="24"/>
  <c r="EE280" i="24" s="1"/>
  <c r="DX261" i="24"/>
  <c r="EE261" i="24" s="1"/>
  <c r="DX297" i="24"/>
  <c r="EE297" i="24" s="1"/>
  <c r="DX255" i="24"/>
  <c r="EE255" i="24" s="1"/>
  <c r="DX312" i="24"/>
  <c r="EE312" i="24" s="1"/>
  <c r="DX314" i="24"/>
  <c r="EE314" i="24" s="1"/>
  <c r="DX227" i="24"/>
  <c r="EE227" i="24" s="1"/>
  <c r="DX249" i="24"/>
  <c r="EE249" i="24" s="1"/>
  <c r="DX281" i="24"/>
  <c r="EE281" i="24" s="1"/>
  <c r="DX239" i="24"/>
  <c r="EE239" i="24" s="1"/>
  <c r="DX308" i="24"/>
  <c r="EE308" i="24" s="1"/>
  <c r="DX292" i="24"/>
  <c r="EE292" i="24" s="1"/>
  <c r="DX287" i="24"/>
  <c r="EE287" i="24" s="1"/>
  <c r="DX220" i="24"/>
  <c r="EE220" i="24" s="1"/>
  <c r="DX232" i="24"/>
  <c r="EE232" i="24" s="1"/>
  <c r="DX282" i="24"/>
  <c r="EE282" i="24" s="1"/>
  <c r="DX315" i="24"/>
  <c r="EE315" i="24" s="1"/>
  <c r="DX245" i="24"/>
  <c r="EE245" i="24" s="1"/>
  <c r="DX217" i="24"/>
  <c r="EE217" i="24" s="1"/>
  <c r="DX273" i="24"/>
  <c r="EE273" i="24" s="1"/>
  <c r="DX248" i="24"/>
  <c r="EE248" i="24" s="1"/>
  <c r="DX234" i="24"/>
  <c r="EE234" i="24" s="1"/>
  <c r="DX307" i="24"/>
  <c r="EE307" i="24" s="1"/>
  <c r="DX218" i="24"/>
  <c r="EE218" i="24" s="1"/>
  <c r="DX270" i="24"/>
  <c r="EE270" i="24" s="1"/>
  <c r="DX224" i="24"/>
  <c r="EE224" i="24" s="1"/>
  <c r="DX228" i="24"/>
  <c r="EE228" i="24" s="1"/>
  <c r="DX262" i="24"/>
  <c r="EE262" i="24" s="1"/>
  <c r="DX294" i="24"/>
  <c r="EE294" i="24" s="1"/>
  <c r="DX316" i="24"/>
  <c r="EE316" i="24" s="1"/>
  <c r="DX311" i="24"/>
  <c r="EE311" i="24" s="1"/>
  <c r="DX221" i="24"/>
  <c r="EE221" i="24" s="1"/>
  <c r="DX291" i="24"/>
  <c r="EE291" i="24" s="1"/>
  <c r="DX277" i="24"/>
  <c r="EE277" i="24" s="1"/>
  <c r="DX250" i="24"/>
  <c r="EE250" i="24" s="1"/>
  <c r="DX288" i="24"/>
  <c r="EE288" i="24" s="1"/>
  <c r="DX253" i="24"/>
  <c r="EE253" i="24" s="1"/>
  <c r="DX267" i="24"/>
  <c r="EE267" i="24" s="1"/>
  <c r="DX293" i="24"/>
  <c r="EE293" i="24" s="1"/>
  <c r="DX304" i="24"/>
  <c r="EE304" i="24" s="1"/>
  <c r="DX285" i="24"/>
  <c r="EE285" i="24" s="1"/>
  <c r="DX306" i="24"/>
  <c r="EE306" i="24" s="1"/>
  <c r="DX299" i="24"/>
  <c r="EE299" i="24" s="1"/>
  <c r="EJ229" i="25"/>
  <c r="EK229" i="25"/>
  <c r="EN229" i="25" s="1"/>
  <c r="EY229" i="25"/>
  <c r="FA229" i="25"/>
  <c r="EL229" i="25"/>
  <c r="EJ228" i="25"/>
  <c r="EY228" i="25"/>
  <c r="EK228" i="25"/>
  <c r="EN228" i="25" s="1"/>
  <c r="FA228" i="25"/>
  <c r="EL228" i="25"/>
  <c r="EJ270" i="25"/>
  <c r="FA270" i="25"/>
  <c r="EK270" i="25"/>
  <c r="EN270" i="25" s="1"/>
  <c r="EY270" i="25"/>
  <c r="EL270" i="25"/>
  <c r="EJ284" i="25"/>
  <c r="EY284" i="25"/>
  <c r="EK284" i="25"/>
  <c r="EN284" i="25" s="1"/>
  <c r="FA284" i="25"/>
  <c r="EL284" i="25"/>
  <c r="EJ294" i="25"/>
  <c r="FA294" i="25"/>
  <c r="EY294" i="25"/>
  <c r="EK294" i="25"/>
  <c r="EN294" i="25" s="1"/>
  <c r="EL294" i="25"/>
  <c r="EJ276" i="25"/>
  <c r="EY276" i="25"/>
  <c r="EK276" i="25"/>
  <c r="EN276" i="25" s="1"/>
  <c r="FA276" i="25"/>
  <c r="EL276" i="25"/>
  <c r="EY303" i="25"/>
  <c r="EJ303" i="25"/>
  <c r="FA303" i="25"/>
  <c r="EK303" i="25"/>
  <c r="EN303" i="25" s="1"/>
  <c r="EL303" i="25"/>
  <c r="EJ234" i="25"/>
  <c r="EY234" i="25"/>
  <c r="EK234" i="25"/>
  <c r="EN234" i="25" s="1"/>
  <c r="FA234" i="25"/>
  <c r="EL234" i="25"/>
  <c r="EY247" i="25"/>
  <c r="EJ247" i="25"/>
  <c r="FA247" i="25"/>
  <c r="EK247" i="25"/>
  <c r="EN247" i="25" s="1"/>
  <c r="EL247" i="25"/>
  <c r="EK242" i="25"/>
  <c r="EN242" i="25" s="1"/>
  <c r="EY242" i="25"/>
  <c r="FA242" i="25"/>
  <c r="EJ242" i="25"/>
  <c r="EL242" i="25"/>
  <c r="EJ296" i="25"/>
  <c r="EK296" i="25"/>
  <c r="EN296" i="25" s="1"/>
  <c r="EY296" i="25"/>
  <c r="FA296" i="25"/>
  <c r="EL296" i="25"/>
  <c r="EJ227" i="25"/>
  <c r="EK227" i="25"/>
  <c r="EN227" i="25" s="1"/>
  <c r="EY227" i="25"/>
  <c r="FA227" i="25"/>
  <c r="EL227" i="25"/>
  <c r="EJ219" i="25"/>
  <c r="EK219" i="25"/>
  <c r="EN219" i="25" s="1"/>
  <c r="EY219" i="25"/>
  <c r="FA219" i="25"/>
  <c r="EL219" i="25"/>
  <c r="EJ226" i="25"/>
  <c r="EK226" i="25"/>
  <c r="EN226" i="25" s="1"/>
  <c r="EY226" i="25"/>
  <c r="FA226" i="25"/>
  <c r="EL226" i="25"/>
  <c r="EJ258" i="25"/>
  <c r="EY258" i="25"/>
  <c r="FA258" i="25"/>
  <c r="EK258" i="25"/>
  <c r="EN258" i="25" s="1"/>
  <c r="EL258" i="25"/>
  <c r="EJ235" i="25"/>
  <c r="EK235" i="25"/>
  <c r="EN235" i="25" s="1"/>
  <c r="EY235" i="25"/>
  <c r="FA235" i="25"/>
  <c r="EL235" i="25"/>
  <c r="EY249" i="25"/>
  <c r="EJ249" i="25"/>
  <c r="FA249" i="25"/>
  <c r="EK249" i="25"/>
  <c r="EN249" i="25" s="1"/>
  <c r="EL249" i="25"/>
  <c r="EJ240" i="25"/>
  <c r="EK240" i="25"/>
  <c r="EN240" i="25" s="1"/>
  <c r="EY240" i="25"/>
  <c r="FA240" i="25"/>
  <c r="EL240" i="25"/>
  <c r="EJ313" i="25"/>
  <c r="EY313" i="25"/>
  <c r="EK313" i="25"/>
  <c r="EN313" i="25" s="1"/>
  <c r="FA313" i="25"/>
  <c r="EL313" i="25"/>
  <c r="EJ304" i="25"/>
  <c r="EK304" i="25"/>
  <c r="EN304" i="25" s="1"/>
  <c r="EY304" i="25"/>
  <c r="FA304" i="25"/>
  <c r="EL304" i="25"/>
  <c r="EY256" i="25"/>
  <c r="FA256" i="25"/>
  <c r="EJ256" i="25"/>
  <c r="EK256" i="25"/>
  <c r="EN256" i="25" s="1"/>
  <c r="EL256" i="25"/>
  <c r="EY309" i="25"/>
  <c r="EJ309" i="25"/>
  <c r="FA309" i="25"/>
  <c r="EK309" i="25"/>
  <c r="EN309" i="25" s="1"/>
  <c r="EL309" i="25"/>
  <c r="EJ245" i="25"/>
  <c r="EY245" i="25"/>
  <c r="EK245" i="25"/>
  <c r="EN245" i="25" s="1"/>
  <c r="FA245" i="25"/>
  <c r="EL245" i="25"/>
  <c r="EK278" i="25"/>
  <c r="EN278" i="25" s="1"/>
  <c r="FA278" i="25"/>
  <c r="EY278" i="25"/>
  <c r="EJ278" i="25"/>
  <c r="EL278" i="25"/>
  <c r="EJ243" i="25"/>
  <c r="EK243" i="25"/>
  <c r="EN243" i="25" s="1"/>
  <c r="EY243" i="25"/>
  <c r="FA243" i="25"/>
  <c r="EL243" i="25"/>
  <c r="EY246" i="25"/>
  <c r="EJ246" i="25"/>
  <c r="FA246" i="25"/>
  <c r="EK246" i="25"/>
  <c r="EN246" i="25" s="1"/>
  <c r="EL246" i="25"/>
  <c r="EK230" i="25"/>
  <c r="EN230" i="25" s="1"/>
  <c r="FA230" i="25"/>
  <c r="EJ230" i="25"/>
  <c r="EY230" i="25"/>
  <c r="EL230" i="25"/>
  <c r="EY316" i="25"/>
  <c r="EJ316" i="25"/>
  <c r="FA316" i="25"/>
  <c r="EK316" i="25"/>
  <c r="EN316" i="25" s="1"/>
  <c r="EL316" i="25"/>
  <c r="EJ241" i="25"/>
  <c r="EY241" i="25"/>
  <c r="EK241" i="25"/>
  <c r="EN241" i="25" s="1"/>
  <c r="FA241" i="25"/>
  <c r="EL241" i="25"/>
  <c r="EJ291" i="25"/>
  <c r="EY291" i="25"/>
  <c r="EK291" i="25"/>
  <c r="EN291" i="25" s="1"/>
  <c r="FA291" i="25"/>
  <c r="EL291" i="25"/>
  <c r="FA297" i="25"/>
  <c r="EJ297" i="25"/>
  <c r="EK297" i="25"/>
  <c r="EN297" i="25" s="1"/>
  <c r="EY297" i="25"/>
  <c r="EL297" i="25"/>
  <c r="EJ306" i="25"/>
  <c r="EY306" i="25"/>
  <c r="EK306" i="25"/>
  <c r="EN306" i="25" s="1"/>
  <c r="FA306" i="25"/>
  <c r="EL306" i="25"/>
  <c r="EK248" i="25"/>
  <c r="EN248" i="25" s="1"/>
  <c r="EY248" i="25"/>
  <c r="FA248" i="25"/>
  <c r="EJ248" i="25"/>
  <c r="EL248" i="25"/>
  <c r="EJ310" i="25"/>
  <c r="EK310" i="25"/>
  <c r="EN310" i="25" s="1"/>
  <c r="EY310" i="25"/>
  <c r="FA310" i="25"/>
  <c r="EL310" i="25"/>
  <c r="EY255" i="25"/>
  <c r="EJ255" i="25"/>
  <c r="FA255" i="25"/>
  <c r="EK255" i="25"/>
  <c r="EN255" i="25" s="1"/>
  <c r="EL255" i="25"/>
  <c r="EJ298" i="25"/>
  <c r="EY298" i="25"/>
  <c r="EK298" i="25"/>
  <c r="EN298" i="25" s="1"/>
  <c r="FA298" i="25"/>
  <c r="EL298" i="25"/>
  <c r="EK283" i="25"/>
  <c r="EN283" i="25" s="1"/>
  <c r="FA283" i="25"/>
  <c r="EY283" i="25"/>
  <c r="EJ283" i="25"/>
  <c r="EL283" i="25"/>
  <c r="EJ221" i="25"/>
  <c r="EK221" i="25"/>
  <c r="EN221" i="25" s="1"/>
  <c r="EY221" i="25"/>
  <c r="FA221" i="25"/>
  <c r="EL221" i="25"/>
  <c r="EJ237" i="25"/>
  <c r="EY237" i="25"/>
  <c r="EK237" i="25"/>
  <c r="EN237" i="25" s="1"/>
  <c r="FA237" i="25"/>
  <c r="EL237" i="25"/>
  <c r="EJ272" i="25"/>
  <c r="EK272" i="25"/>
  <c r="EN272" i="25" s="1"/>
  <c r="EY272" i="25"/>
  <c r="FA272" i="25"/>
  <c r="EL272" i="25"/>
  <c r="EJ266" i="25"/>
  <c r="EY266" i="25"/>
  <c r="EK266" i="25"/>
  <c r="EN266" i="25" s="1"/>
  <c r="FA266" i="25"/>
  <c r="EL266" i="25"/>
  <c r="EJ223" i="25"/>
  <c r="FA223" i="25"/>
  <c r="EK223" i="25"/>
  <c r="EN223" i="25" s="1"/>
  <c r="EY223" i="25"/>
  <c r="EL223" i="25"/>
  <c r="EJ305" i="25"/>
  <c r="EY305" i="25"/>
  <c r="EK305" i="25"/>
  <c r="EN305" i="25" s="1"/>
  <c r="FA305" i="25"/>
  <c r="EL305" i="25"/>
  <c r="EY238" i="25"/>
  <c r="EJ238" i="25"/>
  <c r="FA238" i="25"/>
  <c r="EK238" i="25"/>
  <c r="EN238" i="25" s="1"/>
  <c r="EL238" i="25"/>
  <c r="EJ293" i="25"/>
  <c r="EY293" i="25"/>
  <c r="EK293" i="25"/>
  <c r="EN293" i="25" s="1"/>
  <c r="FA293" i="25"/>
  <c r="EL293" i="25"/>
  <c r="EK271" i="25"/>
  <c r="EN271" i="25" s="1"/>
  <c r="EY271" i="25"/>
  <c r="EJ271" i="25"/>
  <c r="FA271" i="25"/>
  <c r="EL271" i="25"/>
  <c r="EK274" i="25"/>
  <c r="EN274" i="25" s="1"/>
  <c r="FA274" i="25"/>
  <c r="EJ274" i="25"/>
  <c r="EY274" i="25"/>
  <c r="EL274" i="25"/>
  <c r="EJ285" i="25"/>
  <c r="EY285" i="25"/>
  <c r="EK285" i="25"/>
  <c r="EN285" i="25" s="1"/>
  <c r="FA285" i="25"/>
  <c r="EL285" i="25"/>
  <c r="EJ314" i="25"/>
  <c r="EY314" i="25"/>
  <c r="EK314" i="25"/>
  <c r="EN314" i="25" s="1"/>
  <c r="FA314" i="25"/>
  <c r="EL314" i="25"/>
  <c r="EY282" i="25"/>
  <c r="EJ282" i="25"/>
  <c r="FA282" i="25"/>
  <c r="EK282" i="25"/>
  <c r="EN282" i="25" s="1"/>
  <c r="EL282" i="25"/>
  <c r="FA267" i="25"/>
  <c r="EJ267" i="25"/>
  <c r="EK267" i="25"/>
  <c r="EN267" i="25" s="1"/>
  <c r="EY267" i="25"/>
  <c r="EL267" i="25"/>
  <c r="EK292" i="25"/>
  <c r="EN292" i="25" s="1"/>
  <c r="FA292" i="25"/>
  <c r="EJ292" i="25"/>
  <c r="EY292" i="25"/>
  <c r="EL292" i="25"/>
  <c r="EK281" i="25"/>
  <c r="EN281" i="25" s="1"/>
  <c r="EY281" i="25"/>
  <c r="FA281" i="25"/>
  <c r="EJ281" i="25"/>
  <c r="EL281" i="25"/>
  <c r="EY239" i="25"/>
  <c r="EJ239" i="25"/>
  <c r="FA239" i="25"/>
  <c r="EK239" i="25"/>
  <c r="EN239" i="25" s="1"/>
  <c r="EL239" i="25"/>
  <c r="EJ222" i="25"/>
  <c r="EK222" i="25"/>
  <c r="EN222" i="25" s="1"/>
  <c r="EY222" i="25"/>
  <c r="FA222" i="25"/>
  <c r="EL222" i="25"/>
  <c r="EJ250" i="25"/>
  <c r="EY250" i="25"/>
  <c r="EK250" i="25"/>
  <c r="EN250" i="25" s="1"/>
  <c r="FA250" i="25"/>
  <c r="EL250" i="25"/>
  <c r="EJ252" i="25"/>
  <c r="EY252" i="25"/>
  <c r="EK252" i="25"/>
  <c r="EN252" i="25" s="1"/>
  <c r="FA252" i="25"/>
  <c r="EL252" i="25"/>
  <c r="EK311" i="25"/>
  <c r="EN311" i="25" s="1"/>
  <c r="FA311" i="25"/>
  <c r="EJ311" i="25"/>
  <c r="EY311" i="25"/>
  <c r="EL311" i="25"/>
  <c r="EJ312" i="25"/>
  <c r="EK312" i="25"/>
  <c r="EN312" i="25" s="1"/>
  <c r="EY312" i="25"/>
  <c r="FA312" i="25"/>
  <c r="EL312" i="25"/>
  <c r="EY257" i="25"/>
  <c r="EJ257" i="25"/>
  <c r="FA257" i="25"/>
  <c r="EK257" i="25"/>
  <c r="EN257" i="25" s="1"/>
  <c r="EL257" i="25"/>
  <c r="EJ307" i="25"/>
  <c r="EY307" i="25"/>
  <c r="EK307" i="25"/>
  <c r="EN307" i="25" s="1"/>
  <c r="FA307" i="25"/>
  <c r="EL307" i="25"/>
  <c r="FA289" i="25"/>
  <c r="EJ289" i="25"/>
  <c r="EK289" i="25"/>
  <c r="EN289" i="25" s="1"/>
  <c r="EY289" i="25"/>
  <c r="EL289" i="25"/>
  <c r="EY308" i="25"/>
  <c r="EJ308" i="25"/>
  <c r="FA308" i="25"/>
  <c r="EK308" i="25"/>
  <c r="EN308" i="25" s="1"/>
  <c r="EL308" i="25"/>
  <c r="EJ269" i="25"/>
  <c r="EY269" i="25"/>
  <c r="EK269" i="25"/>
  <c r="EN269" i="25" s="1"/>
  <c r="FA269" i="25"/>
  <c r="EL269" i="25"/>
  <c r="EJ290" i="25"/>
  <c r="EY290" i="25"/>
  <c r="EK290" i="25"/>
  <c r="EN290" i="25" s="1"/>
  <c r="FA290" i="25"/>
  <c r="EL290" i="25"/>
  <c r="EJ251" i="25"/>
  <c r="EK251" i="25"/>
  <c r="EN251" i="25" s="1"/>
  <c r="EY251" i="25"/>
  <c r="FA251" i="25"/>
  <c r="EL251" i="25"/>
  <c r="EK233" i="25"/>
  <c r="EN233" i="25" s="1"/>
  <c r="EY233" i="25"/>
  <c r="EJ233" i="25"/>
  <c r="FA233" i="25"/>
  <c r="EL233" i="25"/>
  <c r="EY220" i="25"/>
  <c r="EJ220" i="25"/>
  <c r="FA220" i="25"/>
  <c r="EK220" i="25"/>
  <c r="EN220" i="25" s="1"/>
  <c r="EL220" i="25"/>
  <c r="EK286" i="25"/>
  <c r="EN286" i="25" s="1"/>
  <c r="EY286" i="25"/>
  <c r="FA286" i="25"/>
  <c r="EJ286" i="25"/>
  <c r="EL286" i="25"/>
  <c r="EJ315" i="25"/>
  <c r="EY315" i="25"/>
  <c r="EK315" i="25"/>
  <c r="EN315" i="25" s="1"/>
  <c r="FA315" i="25"/>
  <c r="EL315" i="25"/>
  <c r="EK244" i="25"/>
  <c r="EN244" i="25" s="1"/>
  <c r="FA244" i="25"/>
  <c r="EJ244" i="25"/>
  <c r="EY244" i="25"/>
  <c r="EL244" i="25"/>
  <c r="EY231" i="25"/>
  <c r="EJ231" i="25"/>
  <c r="FA231" i="25"/>
  <c r="EK231" i="25"/>
  <c r="EN231" i="25" s="1"/>
  <c r="EL231" i="25"/>
  <c r="EJ217" i="25"/>
  <c r="EY217" i="25"/>
  <c r="EK217" i="25"/>
  <c r="EN217" i="25" s="1"/>
  <c r="FA217" i="25"/>
  <c r="EL217" i="25"/>
  <c r="EJ301" i="25"/>
  <c r="EY301" i="25"/>
  <c r="EK301" i="25"/>
  <c r="EN301" i="25" s="1"/>
  <c r="FA301" i="25"/>
  <c r="EL301" i="25"/>
  <c r="EJ277" i="25"/>
  <c r="EK277" i="25"/>
  <c r="EN277" i="25" s="1"/>
  <c r="EY277" i="25"/>
  <c r="FA277" i="25"/>
  <c r="EL277" i="25"/>
  <c r="EJ232" i="25"/>
  <c r="EK232" i="25"/>
  <c r="EN232" i="25" s="1"/>
  <c r="EY232" i="25"/>
  <c r="FA232" i="25"/>
  <c r="EL232" i="25"/>
  <c r="EY260" i="25"/>
  <c r="EJ260" i="25"/>
  <c r="FA260" i="25"/>
  <c r="EK260" i="25"/>
  <c r="EN260" i="25" s="1"/>
  <c r="EL260" i="25"/>
  <c r="EJ300" i="25"/>
  <c r="EY300" i="25"/>
  <c r="EK300" i="25"/>
  <c r="EN300" i="25" s="1"/>
  <c r="FA300" i="25"/>
  <c r="EL300" i="25"/>
  <c r="EJ225" i="25"/>
  <c r="EK225" i="25"/>
  <c r="EN225" i="25" s="1"/>
  <c r="EY225" i="25"/>
  <c r="FA225" i="25"/>
  <c r="EL225" i="25"/>
  <c r="EJ287" i="25"/>
  <c r="EY287" i="25"/>
  <c r="EK287" i="25"/>
  <c r="EN287" i="25" s="1"/>
  <c r="FA287" i="25"/>
  <c r="EL287" i="25"/>
  <c r="EK273" i="25"/>
  <c r="EN273" i="25" s="1"/>
  <c r="FA273" i="25"/>
  <c r="EY273" i="25"/>
  <c r="EJ273" i="25"/>
  <c r="EL273" i="25"/>
  <c r="EK295" i="25"/>
  <c r="EN295" i="25" s="1"/>
  <c r="EY295" i="25"/>
  <c r="FA295" i="25"/>
  <c r="EJ295" i="25"/>
  <c r="EL295" i="25"/>
  <c r="EK261" i="25"/>
  <c r="EN261" i="25" s="1"/>
  <c r="EY261" i="25"/>
  <c r="FA261" i="25"/>
  <c r="EJ261" i="25"/>
  <c r="EL261" i="25"/>
  <c r="EK259" i="25"/>
  <c r="EN259" i="25" s="1"/>
  <c r="EY259" i="25"/>
  <c r="FA259" i="25"/>
  <c r="EJ259" i="25"/>
  <c r="EL259" i="25"/>
  <c r="EK302" i="25"/>
  <c r="EN302" i="25" s="1"/>
  <c r="EY302" i="25"/>
  <c r="FA302" i="25"/>
  <c r="EJ302" i="25"/>
  <c r="EL302" i="25"/>
  <c r="EY265" i="25"/>
  <c r="EJ265" i="25"/>
  <c r="FA265" i="25"/>
  <c r="EK265" i="25"/>
  <c r="EN265" i="25" s="1"/>
  <c r="EL265" i="25"/>
  <c r="EJ280" i="25"/>
  <c r="FA280" i="25"/>
  <c r="EY280" i="25"/>
  <c r="EK280" i="25"/>
  <c r="EN280" i="25" s="1"/>
  <c r="EL280" i="25"/>
  <c r="EK299" i="25"/>
  <c r="EN299" i="25" s="1"/>
  <c r="EY299" i="25"/>
  <c r="FA299" i="25"/>
  <c r="EJ299" i="25"/>
  <c r="EL299" i="25"/>
  <c r="EJ224" i="25"/>
  <c r="EK224" i="25"/>
  <c r="EN224" i="25" s="1"/>
  <c r="EY224" i="25"/>
  <c r="FA224" i="25"/>
  <c r="EL224" i="25"/>
  <c r="EK264" i="25"/>
  <c r="EN264" i="25" s="1"/>
  <c r="EY264" i="25"/>
  <c r="FA264" i="25"/>
  <c r="EJ264" i="25"/>
  <c r="EL264" i="25"/>
  <c r="EJ262" i="25"/>
  <c r="EY262" i="25"/>
  <c r="EK262" i="25"/>
  <c r="EN262" i="25" s="1"/>
  <c r="FA262" i="25"/>
  <c r="EL262" i="25"/>
  <c r="FA253" i="25"/>
  <c r="EJ253" i="25"/>
  <c r="EK253" i="25"/>
  <c r="EN253" i="25" s="1"/>
  <c r="EY253" i="25"/>
  <c r="EL253" i="25"/>
  <c r="EJ279" i="25"/>
  <c r="EK279" i="25"/>
  <c r="EN279" i="25" s="1"/>
  <c r="EY279" i="25"/>
  <c r="FA279" i="25"/>
  <c r="EL279" i="25"/>
  <c r="EJ288" i="25"/>
  <c r="EK288" i="25"/>
  <c r="EN288" i="25" s="1"/>
  <c r="EY288" i="25"/>
  <c r="FA288" i="25"/>
  <c r="EL288" i="25"/>
  <c r="EJ218" i="25"/>
  <c r="EY218" i="25"/>
  <c r="EK218" i="25"/>
  <c r="EN218" i="25" s="1"/>
  <c r="FA218" i="25"/>
  <c r="EL218" i="25"/>
  <c r="EJ236" i="25"/>
  <c r="EY236" i="25"/>
  <c r="EK236" i="25"/>
  <c r="EN236" i="25" s="1"/>
  <c r="FA236" i="25"/>
  <c r="EL236" i="25"/>
  <c r="EJ275" i="25"/>
  <c r="EK275" i="25"/>
  <c r="EN275" i="25" s="1"/>
  <c r="EY275" i="25"/>
  <c r="FA275" i="25"/>
  <c r="EL275" i="25"/>
  <c r="EY268" i="25"/>
  <c r="EJ268" i="25"/>
  <c r="FA268" i="25"/>
  <c r="EK268" i="25"/>
  <c r="EN268" i="25" s="1"/>
  <c r="EL268" i="25"/>
  <c r="EY263" i="25"/>
  <c r="EJ263" i="25"/>
  <c r="FA263" i="25"/>
  <c r="EK263" i="25"/>
  <c r="EN263" i="25" s="1"/>
  <c r="EL263" i="25"/>
  <c r="EY254" i="25"/>
  <c r="EJ254" i="25"/>
  <c r="FA254" i="25"/>
  <c r="EK254" i="25"/>
  <c r="EN254" i="25" s="1"/>
  <c r="EL254" i="25"/>
  <c r="EL112" i="25"/>
  <c r="DT112" i="25"/>
  <c r="EY112" i="25"/>
  <c r="EJ112" i="25"/>
  <c r="DV112" i="25"/>
  <c r="FA112" i="25"/>
  <c r="EK112" i="25"/>
  <c r="EN112" i="25" s="1"/>
  <c r="FA15" i="25"/>
  <c r="EY65" i="25"/>
  <c r="FA91" i="25"/>
  <c r="EY40" i="25"/>
  <c r="EY60" i="25"/>
  <c r="EY70" i="25"/>
  <c r="EY58" i="25"/>
  <c r="EY33" i="25"/>
  <c r="EJ81" i="25"/>
  <c r="EJ25" i="25"/>
  <c r="EY93" i="25"/>
  <c r="FA27" i="25"/>
  <c r="EY51" i="25"/>
  <c r="FA49" i="25"/>
  <c r="EJ86" i="25"/>
  <c r="EJ13" i="25"/>
  <c r="FA98" i="25"/>
  <c r="EJ99" i="25"/>
  <c r="FA59" i="25"/>
  <c r="FA72" i="25"/>
  <c r="EJ34" i="25"/>
  <c r="EJ92" i="25"/>
  <c r="EJ83" i="25"/>
  <c r="EJ87" i="25"/>
  <c r="EY38" i="25"/>
  <c r="EJ48" i="25"/>
  <c r="EY24" i="25"/>
  <c r="EJ78" i="25"/>
  <c r="EJ47" i="25"/>
  <c r="EY42" i="25"/>
  <c r="EJ17" i="25"/>
  <c r="EJ12" i="25"/>
  <c r="EY66" i="25"/>
  <c r="FA43" i="25"/>
  <c r="EY89" i="25"/>
  <c r="FA37" i="25"/>
  <c r="FA29" i="25"/>
  <c r="FA14" i="25"/>
  <c r="FA35" i="25"/>
  <c r="EJ73" i="25"/>
  <c r="EJ88" i="25"/>
  <c r="EJ80" i="25"/>
  <c r="EJ74" i="25"/>
  <c r="EY79" i="25"/>
  <c r="DX76" i="24"/>
  <c r="EE76" i="24" s="1"/>
  <c r="DX16" i="24"/>
  <c r="EE16" i="24" s="1"/>
  <c r="DZ66" i="24"/>
  <c r="DX78" i="24"/>
  <c r="EE78" i="24" s="1"/>
  <c r="DX75" i="24"/>
  <c r="EE75" i="24" s="1"/>
  <c r="DZ84" i="24"/>
  <c r="DZ86" i="24"/>
  <c r="DZ59" i="24"/>
  <c r="DZ22" i="24"/>
  <c r="EL183" i="25"/>
  <c r="DX18" i="24"/>
  <c r="EE18" i="24" s="1"/>
  <c r="DZ85" i="24"/>
  <c r="DX92" i="24"/>
  <c r="EE92" i="24" s="1"/>
  <c r="DX87" i="24"/>
  <c r="EE87" i="24" s="1"/>
  <c r="DX17" i="24"/>
  <c r="EE17" i="24" s="1"/>
  <c r="DZ82" i="24"/>
  <c r="DZ34" i="24"/>
  <c r="DZ51" i="24"/>
  <c r="DX45" i="24"/>
  <c r="EE45" i="24" s="1"/>
  <c r="FA81" i="25"/>
  <c r="EY81" i="25"/>
  <c r="DZ46" i="24"/>
  <c r="EK143" i="25"/>
  <c r="EN143" i="25" s="1"/>
  <c r="EJ72" i="25"/>
  <c r="EJ100" i="25"/>
  <c r="EY103" i="25"/>
  <c r="EY105" i="25"/>
  <c r="DZ38" i="24"/>
  <c r="EK183" i="25"/>
  <c r="EN183" i="25" s="1"/>
  <c r="DZ20" i="24"/>
  <c r="DR74" i="24"/>
  <c r="DR169" i="24"/>
  <c r="DU169" i="24" s="1"/>
  <c r="DZ32" i="24"/>
  <c r="DV183" i="25"/>
  <c r="DX183" i="25" s="1"/>
  <c r="EC183" i="25" s="1"/>
  <c r="EJ14" i="25"/>
  <c r="DX88" i="24"/>
  <c r="EE88" i="24" s="1"/>
  <c r="EY181" i="25"/>
  <c r="EJ168" i="25"/>
  <c r="DZ73" i="24"/>
  <c r="DX21" i="24"/>
  <c r="EE21" i="24" s="1"/>
  <c r="DX101" i="24"/>
  <c r="EE101" i="24" s="1"/>
  <c r="DZ72" i="24"/>
  <c r="FA193" i="25"/>
  <c r="EJ79" i="25"/>
  <c r="DX97" i="24"/>
  <c r="EE97" i="24" s="1"/>
  <c r="DX93" i="24"/>
  <c r="EE93" i="24" s="1"/>
  <c r="DZ90" i="24"/>
  <c r="DX57" i="24"/>
  <c r="EE57" i="24" s="1"/>
  <c r="EJ98" i="25"/>
  <c r="DZ19" i="24"/>
  <c r="DX95" i="24"/>
  <c r="EE95" i="24" s="1"/>
  <c r="DZ12" i="24"/>
  <c r="DX27" i="24"/>
  <c r="EE27" i="24" s="1"/>
  <c r="FA208" i="25"/>
  <c r="EY72" i="25"/>
  <c r="FA119" i="25"/>
  <c r="FA24" i="25"/>
  <c r="EJ24" i="25"/>
  <c r="EJ70" i="25"/>
  <c r="DY5" i="24"/>
  <c r="EF5" i="24" s="1"/>
  <c r="EA5" i="24"/>
  <c r="DR96" i="24"/>
  <c r="DY110" i="24"/>
  <c r="EF110" i="24" s="1"/>
  <c r="EA110" i="24"/>
  <c r="DR190" i="24"/>
  <c r="EY190" i="24" s="1"/>
  <c r="DR39" i="24"/>
  <c r="DR242" i="24"/>
  <c r="DR243" i="24"/>
  <c r="DW216" i="24"/>
  <c r="DU216" i="24"/>
  <c r="DR92" i="24"/>
  <c r="DT182" i="25"/>
  <c r="EY128" i="25"/>
  <c r="EY49" i="25"/>
  <c r="EJ137" i="25"/>
  <c r="DZ28" i="24"/>
  <c r="DZ74" i="24"/>
  <c r="DX105" i="24"/>
  <c r="EE105" i="24" s="1"/>
  <c r="DX7" i="24"/>
  <c r="EE7" i="24" s="1"/>
  <c r="EY98" i="25"/>
  <c r="EY35" i="25"/>
  <c r="EJ43" i="25"/>
  <c r="DZ49" i="24"/>
  <c r="FA70" i="25"/>
  <c r="DT138" i="25"/>
  <c r="DX56" i="24"/>
  <c r="EE56" i="24" s="1"/>
  <c r="EY138" i="25"/>
  <c r="DX11" i="24"/>
  <c r="EE11" i="24" s="1"/>
  <c r="EY78" i="25"/>
  <c r="DZ69" i="24"/>
  <c r="EJ33" i="25"/>
  <c r="EY119" i="25"/>
  <c r="FA173" i="25"/>
  <c r="DX9" i="24"/>
  <c r="EE9" i="24" s="1"/>
  <c r="EY173" i="25"/>
  <c r="EJ187" i="25"/>
  <c r="DO128" i="24"/>
  <c r="DR78" i="24"/>
  <c r="EY210" i="25"/>
  <c r="EJ105" i="25"/>
  <c r="EJ93" i="25"/>
  <c r="EJ121" i="25"/>
  <c r="FA79" i="25"/>
  <c r="EY121" i="25"/>
  <c r="EY48" i="25"/>
  <c r="EK182" i="25"/>
  <c r="EN182" i="25" s="1"/>
  <c r="EY14" i="25"/>
  <c r="FA38" i="25"/>
  <c r="DZ102" i="24"/>
  <c r="EY175" i="25"/>
  <c r="FA175" i="25"/>
  <c r="DX36" i="24"/>
  <c r="EE36" i="24" s="1"/>
  <c r="DZ96" i="24"/>
  <c r="DX64" i="24"/>
  <c r="EE64" i="24" s="1"/>
  <c r="DR90" i="24"/>
  <c r="EY92" i="25"/>
  <c r="FA210" i="25"/>
  <c r="EY86" i="25"/>
  <c r="DV143" i="25"/>
  <c r="DY143" i="25" s="1"/>
  <c r="CH143" i="25" s="1"/>
  <c r="DT73" i="25"/>
  <c r="FA86" i="25"/>
  <c r="EY191" i="25"/>
  <c r="EL73" i="25"/>
  <c r="EJ143" i="25"/>
  <c r="EY83" i="25"/>
  <c r="FA191" i="25"/>
  <c r="EK73" i="25"/>
  <c r="EN73" i="25" s="1"/>
  <c r="EY143" i="25"/>
  <c r="EL143" i="25"/>
  <c r="FA83" i="25"/>
  <c r="DV73" i="25"/>
  <c r="DX73" i="25" s="1"/>
  <c r="EC73" i="25" s="1"/>
  <c r="FA187" i="25"/>
  <c r="FA143" i="25"/>
  <c r="FA42" i="25"/>
  <c r="FA138" i="25"/>
  <c r="FA78" i="25"/>
  <c r="EL138" i="25"/>
  <c r="FA128" i="25"/>
  <c r="EJ199" i="25"/>
  <c r="EJ138" i="25"/>
  <c r="EK138" i="25"/>
  <c r="EN138" i="25" s="1"/>
  <c r="FA199" i="25"/>
  <c r="EY139" i="25"/>
  <c r="FA139" i="25"/>
  <c r="EY193" i="25"/>
  <c r="EJ40" i="25"/>
  <c r="EJ38" i="25"/>
  <c r="EY183" i="25"/>
  <c r="EJ183" i="25"/>
  <c r="FA183" i="25"/>
  <c r="DX182" i="25"/>
  <c r="EC182" i="25" s="1"/>
  <c r="DY182" i="25"/>
  <c r="FA58" i="25"/>
  <c r="FA181" i="25"/>
  <c r="EY182" i="25"/>
  <c r="EY99" i="25"/>
  <c r="EY47" i="25"/>
  <c r="EJ58" i="25"/>
  <c r="FA103" i="25"/>
  <c r="EJ182" i="25"/>
  <c r="FA99" i="25"/>
  <c r="FA47" i="25"/>
  <c r="DT181" i="25"/>
  <c r="FA105" i="25"/>
  <c r="EJ103" i="25"/>
  <c r="FA182" i="25"/>
  <c r="EK181" i="25"/>
  <c r="EN181" i="25" s="1"/>
  <c r="EL182" i="25"/>
  <c r="EY127" i="25"/>
  <c r="EL181" i="25"/>
  <c r="EJ208" i="25"/>
  <c r="DV181" i="25"/>
  <c r="DY181" i="25" s="1"/>
  <c r="EY168" i="25"/>
  <c r="FA171" i="25"/>
  <c r="FA100" i="25"/>
  <c r="FA34" i="25"/>
  <c r="EY25" i="25"/>
  <c r="FA33" i="25"/>
  <c r="FA40" i="25"/>
  <c r="EJ190" i="25"/>
  <c r="FA48" i="25"/>
  <c r="EY12" i="25"/>
  <c r="EJ59" i="25"/>
  <c r="EY100" i="25"/>
  <c r="EY34" i="25"/>
  <c r="FA25" i="25"/>
  <c r="EY59" i="25"/>
  <c r="FA17" i="25"/>
  <c r="EY147" i="25"/>
  <c r="EY17" i="25"/>
  <c r="FA147" i="25"/>
  <c r="EJ27" i="25"/>
  <c r="EY27" i="25"/>
  <c r="EJ15" i="25"/>
  <c r="EY158" i="25"/>
  <c r="EY73" i="25"/>
  <c r="FA73" i="25"/>
  <c r="EY15" i="25"/>
  <c r="EJ127" i="25"/>
  <c r="FA158" i="25"/>
  <c r="DV180" i="25"/>
  <c r="DX180" i="25" s="1"/>
  <c r="EC180" i="25" s="1"/>
  <c r="EK180" i="25"/>
  <c r="EN180" i="25" s="1"/>
  <c r="EL180" i="25"/>
  <c r="DT180" i="25"/>
  <c r="EJ180" i="25"/>
  <c r="FA180" i="25"/>
  <c r="EY180" i="25"/>
  <c r="DV223" i="25"/>
  <c r="DT223" i="25"/>
  <c r="DV141" i="25"/>
  <c r="DX141" i="25" s="1"/>
  <c r="EC141" i="25" s="1"/>
  <c r="EK141" i="25"/>
  <c r="EN141" i="25" s="1"/>
  <c r="EL141" i="25"/>
  <c r="DT141" i="25"/>
  <c r="FA141" i="25"/>
  <c r="EY141" i="25"/>
  <c r="EJ141" i="25"/>
  <c r="DV258" i="25"/>
  <c r="DT258" i="25"/>
  <c r="DV129" i="25"/>
  <c r="DX129" i="25" s="1"/>
  <c r="EC129" i="25" s="1"/>
  <c r="EL129" i="25"/>
  <c r="EK129" i="25"/>
  <c r="EN129" i="25" s="1"/>
  <c r="DT129" i="25"/>
  <c r="FA129" i="25"/>
  <c r="EY129" i="25"/>
  <c r="EJ129" i="25"/>
  <c r="DV164" i="25"/>
  <c r="DX164" i="25" s="1"/>
  <c r="EC164" i="25" s="1"/>
  <c r="EL164" i="25"/>
  <c r="EK164" i="25"/>
  <c r="EN164" i="25" s="1"/>
  <c r="DT164" i="25"/>
  <c r="FA164" i="25"/>
  <c r="EY164" i="25"/>
  <c r="EJ164" i="25"/>
  <c r="DV101" i="25"/>
  <c r="EL101" i="25"/>
  <c r="EK101" i="25"/>
  <c r="EN101" i="25" s="1"/>
  <c r="EJ101" i="25"/>
  <c r="FA101" i="25"/>
  <c r="EY101" i="25"/>
  <c r="EB17" i="25"/>
  <c r="EA17" i="25"/>
  <c r="DV169" i="25"/>
  <c r="DX169" i="25" s="1"/>
  <c r="EC169" i="25" s="1"/>
  <c r="EK169" i="25"/>
  <c r="EN169" i="25" s="1"/>
  <c r="EL169" i="25"/>
  <c r="DT169" i="25"/>
  <c r="EJ169" i="25"/>
  <c r="DV301" i="25"/>
  <c r="DT301" i="25"/>
  <c r="EY169" i="25"/>
  <c r="DV63" i="25"/>
  <c r="EK63" i="25"/>
  <c r="EN63" i="25" s="1"/>
  <c r="EL63" i="25"/>
  <c r="DT63" i="25"/>
  <c r="EY63" i="25"/>
  <c r="EJ63" i="25"/>
  <c r="FA63" i="25"/>
  <c r="DV231" i="25"/>
  <c r="DT231" i="25"/>
  <c r="DV104" i="25"/>
  <c r="EK104" i="25"/>
  <c r="EN104" i="25" s="1"/>
  <c r="EL104" i="25"/>
  <c r="FA104" i="25"/>
  <c r="EJ104" i="25"/>
  <c r="EY104" i="25"/>
  <c r="EB193" i="25"/>
  <c r="EA193" i="25"/>
  <c r="DV136" i="25"/>
  <c r="DX136" i="25" s="1"/>
  <c r="EC136" i="25" s="1"/>
  <c r="EL136" i="25"/>
  <c r="EK136" i="25"/>
  <c r="EN136" i="25" s="1"/>
  <c r="DT136" i="25"/>
  <c r="EY136" i="25"/>
  <c r="EJ136" i="25"/>
  <c r="FA136" i="25"/>
  <c r="FA169" i="25"/>
  <c r="DV44" i="25"/>
  <c r="EL44" i="25"/>
  <c r="EK44" i="25"/>
  <c r="EN44" i="25" s="1"/>
  <c r="DT44" i="25"/>
  <c r="EY44" i="25"/>
  <c r="EJ44" i="25"/>
  <c r="FA44" i="25"/>
  <c r="DV23" i="25"/>
  <c r="DX23" i="25" s="1"/>
  <c r="EC23" i="25" s="1"/>
  <c r="EK23" i="25"/>
  <c r="EN23" i="25" s="1"/>
  <c r="EL23" i="25"/>
  <c r="DT23" i="25"/>
  <c r="EY23" i="25"/>
  <c r="EJ23" i="25"/>
  <c r="FA23" i="25"/>
  <c r="DV97" i="25"/>
  <c r="DX97" i="25" s="1"/>
  <c r="EC97" i="25" s="1"/>
  <c r="EL97" i="25"/>
  <c r="EK97" i="25"/>
  <c r="EN97" i="25" s="1"/>
  <c r="EJ97" i="25"/>
  <c r="FA97" i="25"/>
  <c r="EY97" i="25"/>
  <c r="DV203" i="25"/>
  <c r="DX203" i="25" s="1"/>
  <c r="EC203" i="25" s="1"/>
  <c r="EK203" i="25"/>
  <c r="EN203" i="25" s="1"/>
  <c r="EL203" i="25"/>
  <c r="EJ203" i="25"/>
  <c r="FA203" i="25"/>
  <c r="EY203" i="25"/>
  <c r="DV194" i="25"/>
  <c r="DX194" i="25" s="1"/>
  <c r="EC194" i="25" s="1"/>
  <c r="EK194" i="25"/>
  <c r="EN194" i="25" s="1"/>
  <c r="EL194" i="25"/>
  <c r="FA194" i="25"/>
  <c r="EY194" i="25"/>
  <c r="EJ194" i="25"/>
  <c r="DV93" i="25"/>
  <c r="DX93" i="25" s="1"/>
  <c r="EC93" i="25" s="1"/>
  <c r="EL93" i="25"/>
  <c r="EK93" i="25"/>
  <c r="EN93" i="25" s="1"/>
  <c r="FA93" i="25"/>
  <c r="DV219" i="25"/>
  <c r="DT219" i="25"/>
  <c r="DV77" i="25"/>
  <c r="DX77" i="25" s="1"/>
  <c r="EC77" i="25" s="1"/>
  <c r="EL77" i="25"/>
  <c r="EK77" i="25"/>
  <c r="EN77" i="25" s="1"/>
  <c r="DT77" i="25"/>
  <c r="EB93" i="25"/>
  <c r="EA93" i="25"/>
  <c r="DV307" i="25"/>
  <c r="DT307" i="25"/>
  <c r="EB210" i="25"/>
  <c r="EA210" i="25"/>
  <c r="EB100" i="25"/>
  <c r="EA100" i="25"/>
  <c r="DV297" i="25"/>
  <c r="DT297" i="25"/>
  <c r="DV90" i="25"/>
  <c r="DX90" i="25" s="1"/>
  <c r="EC90" i="25" s="1"/>
  <c r="EK90" i="25"/>
  <c r="EN90" i="25" s="1"/>
  <c r="EL90" i="25"/>
  <c r="DT90" i="25"/>
  <c r="DV269" i="25"/>
  <c r="DT269" i="25"/>
  <c r="EB72" i="25"/>
  <c r="EA72" i="25"/>
  <c r="DV56" i="25"/>
  <c r="DX56" i="25" s="1"/>
  <c r="EC56" i="25" s="1"/>
  <c r="EK56" i="25"/>
  <c r="EN56" i="25" s="1"/>
  <c r="EL56" i="25"/>
  <c r="DT56" i="25"/>
  <c r="DV253" i="25"/>
  <c r="DT253" i="25"/>
  <c r="EB70" i="25"/>
  <c r="EA70" i="25"/>
  <c r="DV146" i="25"/>
  <c r="EK146" i="25"/>
  <c r="EN146" i="25" s="1"/>
  <c r="EL146" i="25"/>
  <c r="DT146" i="25"/>
  <c r="EY146" i="25"/>
  <c r="EJ146" i="25"/>
  <c r="FA146" i="25"/>
  <c r="EB208" i="25"/>
  <c r="EA208" i="25"/>
  <c r="FA87" i="25"/>
  <c r="EB169" i="25"/>
  <c r="EA169" i="25"/>
  <c r="DV160" i="25"/>
  <c r="EK160" i="25"/>
  <c r="EN160" i="25" s="1"/>
  <c r="EL160" i="25"/>
  <c r="DT160" i="25"/>
  <c r="EJ160" i="25"/>
  <c r="FA160" i="25"/>
  <c r="EY160" i="25"/>
  <c r="DV102" i="25"/>
  <c r="EK102" i="25"/>
  <c r="EN102" i="25" s="1"/>
  <c r="EL102" i="25"/>
  <c r="EJ102" i="25"/>
  <c r="FA102" i="25"/>
  <c r="EY102" i="25"/>
  <c r="DV52" i="25"/>
  <c r="EK52" i="25"/>
  <c r="EN52" i="25" s="1"/>
  <c r="EL52" i="25"/>
  <c r="DT52" i="25"/>
  <c r="EY52" i="25"/>
  <c r="EJ52" i="25"/>
  <c r="FA52" i="25"/>
  <c r="DV40" i="25"/>
  <c r="DX40" i="25" s="1"/>
  <c r="EC40" i="25" s="1"/>
  <c r="EK40" i="25"/>
  <c r="EN40" i="25" s="1"/>
  <c r="EL40" i="25"/>
  <c r="DT40" i="25"/>
  <c r="EB79" i="25"/>
  <c r="EA79" i="25"/>
  <c r="DV207" i="25"/>
  <c r="EL207" i="25"/>
  <c r="EK207" i="25"/>
  <c r="EN207" i="25" s="1"/>
  <c r="EY207" i="25"/>
  <c r="EJ207" i="25"/>
  <c r="FA207" i="25"/>
  <c r="FA92" i="25"/>
  <c r="EB119" i="25"/>
  <c r="EA119" i="25"/>
  <c r="EB141" i="25"/>
  <c r="EA141" i="25"/>
  <c r="DV64" i="25"/>
  <c r="DX64" i="25" s="1"/>
  <c r="EC64" i="25" s="1"/>
  <c r="EK64" i="25"/>
  <c r="EN64" i="25" s="1"/>
  <c r="EL64" i="25"/>
  <c r="DT64" i="25"/>
  <c r="DV255" i="25"/>
  <c r="DT255" i="25"/>
  <c r="DV70" i="25"/>
  <c r="DX70" i="25" s="1"/>
  <c r="EC70" i="25" s="1"/>
  <c r="EL70" i="25"/>
  <c r="EK70" i="25"/>
  <c r="EN70" i="25" s="1"/>
  <c r="DT70" i="25"/>
  <c r="DV236" i="25"/>
  <c r="DT236" i="25"/>
  <c r="DV58" i="25"/>
  <c r="DX58" i="25" s="1"/>
  <c r="EC58" i="25" s="1"/>
  <c r="EK58" i="25"/>
  <c r="EN58" i="25" s="1"/>
  <c r="EL58" i="25"/>
  <c r="DT58" i="25"/>
  <c r="EJ178" i="25"/>
  <c r="DV178" i="25"/>
  <c r="DX178" i="25" s="1"/>
  <c r="EC178" i="25" s="1"/>
  <c r="EK178" i="25"/>
  <c r="EN178" i="25" s="1"/>
  <c r="EL178" i="25"/>
  <c r="DT178" i="25"/>
  <c r="FA53" i="25"/>
  <c r="DV53" i="25"/>
  <c r="EK53" i="25"/>
  <c r="EN53" i="25" s="1"/>
  <c r="EL53" i="25"/>
  <c r="DT53" i="25"/>
  <c r="EY53" i="25"/>
  <c r="EJ53" i="25"/>
  <c r="EB66" i="25"/>
  <c r="EA66" i="25"/>
  <c r="DV173" i="25"/>
  <c r="DX173" i="25" s="1"/>
  <c r="EC173" i="25" s="1"/>
  <c r="EK173" i="25"/>
  <c r="EN173" i="25" s="1"/>
  <c r="EL173" i="25"/>
  <c r="DT173" i="25"/>
  <c r="DV298" i="25"/>
  <c r="DT298" i="25"/>
  <c r="DV303" i="25"/>
  <c r="DT303" i="25"/>
  <c r="EB190" i="25"/>
  <c r="EA190" i="25"/>
  <c r="DV96" i="25"/>
  <c r="DX96" i="25" s="1"/>
  <c r="EC96" i="25" s="1"/>
  <c r="EL96" i="25"/>
  <c r="EK96" i="25"/>
  <c r="EN96" i="25" s="1"/>
  <c r="DV295" i="25"/>
  <c r="DT295" i="25"/>
  <c r="DV117" i="25"/>
  <c r="EK117" i="25"/>
  <c r="EN117" i="25" s="1"/>
  <c r="EL117" i="25"/>
  <c r="DT117" i="25"/>
  <c r="EY117" i="25"/>
  <c r="FA117" i="25"/>
  <c r="EJ117" i="25"/>
  <c r="EB139" i="25"/>
  <c r="EA139" i="25"/>
  <c r="DV170" i="25"/>
  <c r="DX170" i="25" s="1"/>
  <c r="EC170" i="25" s="1"/>
  <c r="EL170" i="25"/>
  <c r="EK170" i="25"/>
  <c r="EN170" i="25" s="1"/>
  <c r="DT170" i="25"/>
  <c r="EB38" i="25"/>
  <c r="EA38" i="25"/>
  <c r="DV162" i="25"/>
  <c r="EL162" i="25"/>
  <c r="EK162" i="25"/>
  <c r="EN162" i="25" s="1"/>
  <c r="DT162" i="25"/>
  <c r="EY162" i="25"/>
  <c r="EJ162" i="25"/>
  <c r="FA162" i="25"/>
  <c r="DV61" i="25"/>
  <c r="EL61" i="25"/>
  <c r="EK61" i="25"/>
  <c r="EN61" i="25" s="1"/>
  <c r="DT61" i="25"/>
  <c r="EJ61" i="25"/>
  <c r="FA61" i="25"/>
  <c r="EY61" i="25"/>
  <c r="EB12" i="25"/>
  <c r="EA12" i="25"/>
  <c r="DV199" i="25"/>
  <c r="DX199" i="25" s="1"/>
  <c r="EC199" i="25" s="1"/>
  <c r="EL199" i="25"/>
  <c r="EK199" i="25"/>
  <c r="EN199" i="25" s="1"/>
  <c r="EY170" i="25"/>
  <c r="EY80" i="25"/>
  <c r="FA88" i="25"/>
  <c r="DV95" i="25"/>
  <c r="DX95" i="25" s="1"/>
  <c r="EC95" i="25" s="1"/>
  <c r="EK95" i="25"/>
  <c r="EN95" i="25" s="1"/>
  <c r="EL95" i="25"/>
  <c r="DV202" i="25"/>
  <c r="EL202" i="25"/>
  <c r="EK202" i="25"/>
  <c r="EN202" i="25" s="1"/>
  <c r="EY202" i="25"/>
  <c r="EJ202" i="25"/>
  <c r="FA202" i="25"/>
  <c r="EB45" i="25"/>
  <c r="EA45" i="25"/>
  <c r="DV171" i="25"/>
  <c r="DX171" i="25" s="1"/>
  <c r="EC171" i="25" s="1"/>
  <c r="EL171" i="25"/>
  <c r="EK171" i="25"/>
  <c r="EN171" i="25" s="1"/>
  <c r="DT171" i="25"/>
  <c r="DV316" i="25"/>
  <c r="DT316" i="25"/>
  <c r="EB143" i="25"/>
  <c r="EA143" i="25"/>
  <c r="DV159" i="25"/>
  <c r="EK159" i="25"/>
  <c r="EN159" i="25" s="1"/>
  <c r="EL159" i="25"/>
  <c r="DT159" i="25"/>
  <c r="EJ159" i="25"/>
  <c r="FA159" i="25"/>
  <c r="EY159" i="25"/>
  <c r="DV144" i="25"/>
  <c r="EL144" i="25"/>
  <c r="EK144" i="25"/>
  <c r="EN144" i="25" s="1"/>
  <c r="DT144" i="25"/>
  <c r="EY144" i="25"/>
  <c r="EJ144" i="25"/>
  <c r="FA144" i="25"/>
  <c r="DV242" i="25"/>
  <c r="DT242" i="25"/>
  <c r="EY91" i="25"/>
  <c r="DV81" i="25"/>
  <c r="DX81" i="25" s="1"/>
  <c r="EC81" i="25" s="1"/>
  <c r="EL81" i="25"/>
  <c r="EK81" i="25"/>
  <c r="EN81" i="25" s="1"/>
  <c r="DT81" i="25"/>
  <c r="DV34" i="25"/>
  <c r="DX34" i="25" s="1"/>
  <c r="EC34" i="25" s="1"/>
  <c r="EK34" i="25"/>
  <c r="EN34" i="25" s="1"/>
  <c r="EL34" i="25"/>
  <c r="DT34" i="25"/>
  <c r="EJ200" i="25"/>
  <c r="EY137" i="25"/>
  <c r="DV137" i="25"/>
  <c r="DX137" i="25" s="1"/>
  <c r="EC137" i="25" s="1"/>
  <c r="EK137" i="25"/>
  <c r="EN137" i="25" s="1"/>
  <c r="EL137" i="25"/>
  <c r="DT137" i="25"/>
  <c r="DV8" i="25"/>
  <c r="EK8" i="25"/>
  <c r="EN8" i="25" s="1"/>
  <c r="EL8" i="25"/>
  <c r="DT8" i="25"/>
  <c r="FA8" i="25"/>
  <c r="EY8" i="25"/>
  <c r="EJ8" i="25"/>
  <c r="DV226" i="25"/>
  <c r="DT226" i="25"/>
  <c r="DV74" i="25"/>
  <c r="DX74" i="25" s="1"/>
  <c r="EC74" i="25" s="1"/>
  <c r="EL74" i="25"/>
  <c r="EK74" i="25"/>
  <c r="EN74" i="25" s="1"/>
  <c r="DT74" i="25"/>
  <c r="DV217" i="25"/>
  <c r="DT217" i="25"/>
  <c r="EB83" i="25"/>
  <c r="EA83" i="25"/>
  <c r="DV291" i="25"/>
  <c r="DT291" i="25"/>
  <c r="DV153" i="25"/>
  <c r="EL153" i="25"/>
  <c r="EK153" i="25"/>
  <c r="EN153" i="25" s="1"/>
  <c r="DT153" i="25"/>
  <c r="EJ153" i="25"/>
  <c r="FA153" i="25"/>
  <c r="EY153" i="25"/>
  <c r="DV166" i="25"/>
  <c r="EL166" i="25"/>
  <c r="EK166" i="25"/>
  <c r="EN166" i="25" s="1"/>
  <c r="DT166" i="25"/>
  <c r="EJ166" i="25"/>
  <c r="EY166" i="25"/>
  <c r="FA166" i="25"/>
  <c r="DV22" i="25"/>
  <c r="EL22" i="25"/>
  <c r="EK22" i="25"/>
  <c r="EN22" i="25" s="1"/>
  <c r="DT22" i="25"/>
  <c r="EJ22" i="25"/>
  <c r="FA22" i="25"/>
  <c r="EY22" i="25"/>
  <c r="DV156" i="25"/>
  <c r="DX156" i="25" s="1"/>
  <c r="EC156" i="25" s="1"/>
  <c r="EK156" i="25"/>
  <c r="EN156" i="25" s="1"/>
  <c r="EL156" i="25"/>
  <c r="DT156" i="25"/>
  <c r="DV147" i="25"/>
  <c r="DX147" i="25" s="1"/>
  <c r="EC147" i="25" s="1"/>
  <c r="EL147" i="25"/>
  <c r="EK147" i="25"/>
  <c r="EN147" i="25" s="1"/>
  <c r="DT147" i="25"/>
  <c r="DV290" i="25"/>
  <c r="DT290" i="25"/>
  <c r="DV27" i="25"/>
  <c r="DX27" i="25" s="1"/>
  <c r="EC27" i="25" s="1"/>
  <c r="EL27" i="25"/>
  <c r="EK27" i="25"/>
  <c r="EN27" i="25" s="1"/>
  <c r="DT27" i="25"/>
  <c r="DV279" i="25"/>
  <c r="DT279" i="25"/>
  <c r="EY87" i="25"/>
  <c r="EB25" i="25"/>
  <c r="EA25" i="25"/>
  <c r="EB147" i="25"/>
  <c r="EA147" i="25"/>
  <c r="DV158" i="25"/>
  <c r="DX158" i="25" s="1"/>
  <c r="EC158" i="25" s="1"/>
  <c r="EL158" i="25"/>
  <c r="EK158" i="25"/>
  <c r="EN158" i="25" s="1"/>
  <c r="DT158" i="25"/>
  <c r="DV94" i="25"/>
  <c r="EK94" i="25"/>
  <c r="EN94" i="25" s="1"/>
  <c r="EL94" i="25"/>
  <c r="EJ94" i="25"/>
  <c r="EY94" i="25"/>
  <c r="FA94" i="25"/>
  <c r="EB27" i="25"/>
  <c r="EA27" i="25"/>
  <c r="EB137" i="25"/>
  <c r="EA137" i="25"/>
  <c r="DV37" i="25"/>
  <c r="DX37" i="25" s="1"/>
  <c r="EC37" i="25" s="1"/>
  <c r="EL37" i="25"/>
  <c r="EK37" i="25"/>
  <c r="EN37" i="25" s="1"/>
  <c r="DT37" i="25"/>
  <c r="DV218" i="25"/>
  <c r="DT218" i="25"/>
  <c r="DV115" i="25"/>
  <c r="EL115" i="25"/>
  <c r="EK115" i="25"/>
  <c r="EN115" i="25" s="1"/>
  <c r="DT115" i="25"/>
  <c r="EY115" i="25"/>
  <c r="FA115" i="25"/>
  <c r="EJ115" i="25"/>
  <c r="DV83" i="25"/>
  <c r="DX83" i="25" s="1"/>
  <c r="EC83" i="25" s="1"/>
  <c r="EK83" i="25"/>
  <c r="EN83" i="25" s="1"/>
  <c r="EL83" i="25"/>
  <c r="DT83" i="25"/>
  <c r="EB127" i="25"/>
  <c r="EA127" i="25"/>
  <c r="DV17" i="25"/>
  <c r="DX17" i="25" s="1"/>
  <c r="EC17" i="25" s="1"/>
  <c r="EL17" i="25"/>
  <c r="EK17" i="25"/>
  <c r="EN17" i="25" s="1"/>
  <c r="DT17" i="25"/>
  <c r="DV235" i="25"/>
  <c r="DT235" i="25"/>
  <c r="DV26" i="25"/>
  <c r="EL26" i="25"/>
  <c r="EK26" i="25"/>
  <c r="EN26" i="25" s="1"/>
  <c r="DT26" i="25"/>
  <c r="EJ26" i="25"/>
  <c r="EY26" i="25"/>
  <c r="FA26" i="25"/>
  <c r="DV18" i="25"/>
  <c r="EK18" i="25"/>
  <c r="EN18" i="25" s="1"/>
  <c r="EL18" i="25"/>
  <c r="DT18" i="25"/>
  <c r="EY18" i="25"/>
  <c r="EJ18" i="25"/>
  <c r="FA18" i="25"/>
  <c r="EJ60" i="25"/>
  <c r="FA157" i="25"/>
  <c r="DV111" i="25"/>
  <c r="DX111" i="25" s="1"/>
  <c r="EC111" i="25" s="1"/>
  <c r="EK111" i="25"/>
  <c r="EN111" i="25" s="1"/>
  <c r="EL111" i="25"/>
  <c r="DT111" i="25"/>
  <c r="EB187" i="25"/>
  <c r="EA187" i="25"/>
  <c r="DV287" i="25"/>
  <c r="DT287" i="25"/>
  <c r="DV191" i="25"/>
  <c r="DX191" i="25" s="1"/>
  <c r="EC191" i="25" s="1"/>
  <c r="EL191" i="25"/>
  <c r="EK191" i="25"/>
  <c r="EN191" i="25" s="1"/>
  <c r="DT191" i="25"/>
  <c r="DV245" i="25"/>
  <c r="DT245" i="25"/>
  <c r="EB158" i="25"/>
  <c r="EA158" i="25"/>
  <c r="DV233" i="25"/>
  <c r="DT233" i="25"/>
  <c r="DV57" i="25"/>
  <c r="EL57" i="25"/>
  <c r="EK57" i="25"/>
  <c r="EN57" i="25" s="1"/>
  <c r="DT57" i="25"/>
  <c r="EJ57" i="25"/>
  <c r="EY57" i="25"/>
  <c r="FA57" i="25"/>
  <c r="FA177" i="25"/>
  <c r="FA122" i="25"/>
  <c r="EJ29" i="25"/>
  <c r="DT131" i="25"/>
  <c r="DV131" i="25"/>
  <c r="DX131" i="25" s="1"/>
  <c r="EC131" i="25" s="1"/>
  <c r="EL131" i="25"/>
  <c r="EK131" i="25"/>
  <c r="EN131" i="25" s="1"/>
  <c r="EJ170" i="25"/>
  <c r="EB168" i="25"/>
  <c r="EA168" i="25"/>
  <c r="EY96" i="25"/>
  <c r="EB35" i="25"/>
  <c r="EA35" i="25"/>
  <c r="EY88" i="25"/>
  <c r="DV49" i="25"/>
  <c r="DX49" i="25" s="1"/>
  <c r="EC49" i="25" s="1"/>
  <c r="EK49" i="25"/>
  <c r="EN49" i="25" s="1"/>
  <c r="EL49" i="25"/>
  <c r="DT49" i="25"/>
  <c r="DV220" i="25"/>
  <c r="DT220" i="25"/>
  <c r="DV24" i="25"/>
  <c r="DX24" i="25" s="1"/>
  <c r="EC24" i="25" s="1"/>
  <c r="EK24" i="25"/>
  <c r="EN24" i="25" s="1"/>
  <c r="EL24" i="25"/>
  <c r="DT24" i="25"/>
  <c r="DV168" i="25"/>
  <c r="DX168" i="25" s="1"/>
  <c r="EC168" i="25" s="1"/>
  <c r="EK168" i="25"/>
  <c r="EN168" i="25" s="1"/>
  <c r="EL168" i="25"/>
  <c r="DT168" i="25"/>
  <c r="DV21" i="25"/>
  <c r="EK21" i="25"/>
  <c r="EN21" i="25" s="1"/>
  <c r="EL21" i="25"/>
  <c r="DT21" i="25"/>
  <c r="FA21" i="25"/>
  <c r="EY21" i="25"/>
  <c r="EJ21" i="25"/>
  <c r="FA206" i="25"/>
  <c r="DV206" i="25"/>
  <c r="EK206" i="25"/>
  <c r="EN206" i="25" s="1"/>
  <c r="EL206" i="25"/>
  <c r="EY206" i="25"/>
  <c r="EJ206" i="25"/>
  <c r="DV312" i="25"/>
  <c r="DT312" i="25"/>
  <c r="EJ174" i="25"/>
  <c r="EB200" i="25"/>
  <c r="EA200" i="25"/>
  <c r="DV254" i="25"/>
  <c r="DT254" i="25"/>
  <c r="DV80" i="25"/>
  <c r="DX80" i="25" s="1"/>
  <c r="EC80" i="25" s="1"/>
  <c r="EK80" i="25"/>
  <c r="EN80" i="25" s="1"/>
  <c r="EL80" i="25"/>
  <c r="DT80" i="25"/>
  <c r="EY74" i="25"/>
  <c r="DV135" i="25"/>
  <c r="EL135" i="25"/>
  <c r="EK135" i="25"/>
  <c r="EN135" i="25" s="1"/>
  <c r="DT135" i="25"/>
  <c r="FA135" i="25"/>
  <c r="EJ135" i="25"/>
  <c r="EY135" i="25"/>
  <c r="DV229" i="25"/>
  <c r="DT229" i="25"/>
  <c r="EB34" i="25"/>
  <c r="EA34" i="25"/>
  <c r="DV262" i="25"/>
  <c r="DT262" i="25"/>
  <c r="DV228" i="25"/>
  <c r="DT228" i="25"/>
  <c r="DV165" i="25"/>
  <c r="EK165" i="25"/>
  <c r="EN165" i="25" s="1"/>
  <c r="EL165" i="25"/>
  <c r="DT165" i="25"/>
  <c r="EJ165" i="25"/>
  <c r="EY165" i="25"/>
  <c r="FA165" i="25"/>
  <c r="DV188" i="25"/>
  <c r="EK188" i="25"/>
  <c r="EN188" i="25" s="1"/>
  <c r="EL188" i="25"/>
  <c r="DT188" i="25"/>
  <c r="EY188" i="25"/>
  <c r="EJ188" i="25"/>
  <c r="FA188" i="25"/>
  <c r="DV248" i="25"/>
  <c r="DT248" i="25"/>
  <c r="DV192" i="25"/>
  <c r="EL192" i="25"/>
  <c r="EK192" i="25"/>
  <c r="EN192" i="25" s="1"/>
  <c r="DT192" i="25"/>
  <c r="EJ192" i="25"/>
  <c r="FA192" i="25"/>
  <c r="EY192" i="25"/>
  <c r="EB199" i="25"/>
  <c r="EA199" i="25"/>
  <c r="EB33" i="25"/>
  <c r="EA33" i="25"/>
  <c r="DV118" i="25"/>
  <c r="EL118" i="25"/>
  <c r="EK118" i="25"/>
  <c r="EN118" i="25" s="1"/>
  <c r="DT118" i="25"/>
  <c r="EJ118" i="25"/>
  <c r="EY118" i="25"/>
  <c r="FA118" i="25"/>
  <c r="EB40" i="25"/>
  <c r="EA40" i="25"/>
  <c r="DV47" i="25"/>
  <c r="DX47" i="25" s="1"/>
  <c r="EC47" i="25" s="1"/>
  <c r="EK47" i="25"/>
  <c r="EN47" i="25" s="1"/>
  <c r="EL47" i="25"/>
  <c r="DT47" i="25"/>
  <c r="FA156" i="25"/>
  <c r="FA90" i="25"/>
  <c r="EB92" i="25"/>
  <c r="EA92" i="25"/>
  <c r="EJ42" i="25"/>
  <c r="EB58" i="25"/>
  <c r="EA58" i="25"/>
  <c r="DV185" i="25"/>
  <c r="DX185" i="25" s="1"/>
  <c r="EC185" i="25" s="1"/>
  <c r="EL185" i="25"/>
  <c r="EK185" i="25"/>
  <c r="EN185" i="25" s="1"/>
  <c r="DT185" i="25"/>
  <c r="EB15" i="25"/>
  <c r="EA15" i="25"/>
  <c r="DV124" i="25"/>
  <c r="EL124" i="25"/>
  <c r="EK124" i="25"/>
  <c r="EN124" i="25" s="1"/>
  <c r="DT124" i="25"/>
  <c r="FA124" i="25"/>
  <c r="EY124" i="25"/>
  <c r="EJ124" i="25"/>
  <c r="DV251" i="25"/>
  <c r="DT251" i="25"/>
  <c r="DV30" i="25"/>
  <c r="EK30" i="25"/>
  <c r="EN30" i="25" s="1"/>
  <c r="EL30" i="25"/>
  <c r="DT30" i="25"/>
  <c r="FA30" i="25"/>
  <c r="EY30" i="25"/>
  <c r="EJ30" i="25"/>
  <c r="EB173" i="25"/>
  <c r="EA173" i="25"/>
  <c r="DV204" i="25"/>
  <c r="EL204" i="25"/>
  <c r="EK204" i="25"/>
  <c r="EN204" i="25" s="1"/>
  <c r="EY204" i="25"/>
  <c r="FA204" i="25"/>
  <c r="EJ204" i="25"/>
  <c r="DV31" i="25"/>
  <c r="EL31" i="25"/>
  <c r="EK31" i="25"/>
  <c r="EN31" i="25" s="1"/>
  <c r="DT31" i="25"/>
  <c r="EY31" i="25"/>
  <c r="FA31" i="25"/>
  <c r="EJ31" i="25"/>
  <c r="DV249" i="25"/>
  <c r="DT249" i="25"/>
  <c r="DV313" i="25"/>
  <c r="DT313" i="25"/>
  <c r="EY126" i="25"/>
  <c r="DV33" i="25"/>
  <c r="DX33" i="25" s="1"/>
  <c r="EC33" i="25" s="1"/>
  <c r="EL33" i="25"/>
  <c r="EK33" i="25"/>
  <c r="EN33" i="25" s="1"/>
  <c r="DT33" i="25"/>
  <c r="EB78" i="25"/>
  <c r="EA78" i="25"/>
  <c r="DV304" i="25"/>
  <c r="DT304" i="25"/>
  <c r="EJ64" i="25"/>
  <c r="EY157" i="25"/>
  <c r="DV98" i="25"/>
  <c r="DX98" i="25" s="1"/>
  <c r="EC98" i="25" s="1"/>
  <c r="EK98" i="25"/>
  <c r="EN98" i="25" s="1"/>
  <c r="EL98" i="25"/>
  <c r="EB203" i="25"/>
  <c r="EA203" i="25"/>
  <c r="DV184" i="25"/>
  <c r="EL184" i="25"/>
  <c r="EK184" i="25"/>
  <c r="EN184" i="25" s="1"/>
  <c r="DT184" i="25"/>
  <c r="FA184" i="25"/>
  <c r="EJ184" i="25"/>
  <c r="EY184" i="25"/>
  <c r="EJ111" i="25"/>
  <c r="DV283" i="25"/>
  <c r="DT283" i="25"/>
  <c r="DV234" i="25"/>
  <c r="DT234" i="25"/>
  <c r="DV71" i="25"/>
  <c r="EL71" i="25"/>
  <c r="EK71" i="25"/>
  <c r="EN71" i="25" s="1"/>
  <c r="DT71" i="25"/>
  <c r="EJ71" i="25"/>
  <c r="EY71" i="25"/>
  <c r="FA71" i="25"/>
  <c r="DV278" i="25"/>
  <c r="DT278" i="25"/>
  <c r="EY145" i="25"/>
  <c r="DV311" i="25"/>
  <c r="DT311" i="25"/>
  <c r="DV38" i="25"/>
  <c r="DX38" i="25" s="1"/>
  <c r="EC38" i="25" s="1"/>
  <c r="EL38" i="25"/>
  <c r="EK38" i="25"/>
  <c r="EN38" i="25" s="1"/>
  <c r="DT38" i="25"/>
  <c r="EB175" i="25"/>
  <c r="EA175" i="25"/>
  <c r="EY13" i="25"/>
  <c r="EJ49" i="25"/>
  <c r="EJ65" i="25"/>
  <c r="EJ122" i="25"/>
  <c r="EB164" i="25"/>
  <c r="EA164" i="25"/>
  <c r="EB170" i="25"/>
  <c r="EA170" i="25"/>
  <c r="EB80" i="25"/>
  <c r="EA80" i="25"/>
  <c r="EJ96" i="25"/>
  <c r="DV46" i="25"/>
  <c r="EL46" i="25"/>
  <c r="EK46" i="25"/>
  <c r="EN46" i="25" s="1"/>
  <c r="DT46" i="25"/>
  <c r="FA46" i="25"/>
  <c r="EY46" i="25"/>
  <c r="EJ46" i="25"/>
  <c r="DV123" i="25"/>
  <c r="EK123" i="25"/>
  <c r="EN123" i="25" s="1"/>
  <c r="EL123" i="25"/>
  <c r="DT123" i="25"/>
  <c r="EY123" i="25"/>
  <c r="EJ123" i="25"/>
  <c r="FA123" i="25"/>
  <c r="DV230" i="25"/>
  <c r="DT230" i="25"/>
  <c r="DV86" i="25"/>
  <c r="DX86" i="25" s="1"/>
  <c r="EC86" i="25" s="1"/>
  <c r="EK86" i="25"/>
  <c r="EN86" i="25" s="1"/>
  <c r="EL86" i="25"/>
  <c r="DT86" i="25"/>
  <c r="EB59" i="25"/>
  <c r="EA59" i="25"/>
  <c r="DV59" i="25"/>
  <c r="DX59" i="25" s="1"/>
  <c r="EC59" i="25" s="1"/>
  <c r="EL59" i="25"/>
  <c r="EK59" i="25"/>
  <c r="EN59" i="25" s="1"/>
  <c r="DT59" i="25"/>
  <c r="DV186" i="25"/>
  <c r="EK186" i="25"/>
  <c r="EN186" i="25" s="1"/>
  <c r="EL186" i="25"/>
  <c r="DT186" i="25"/>
  <c r="EY186" i="25"/>
  <c r="EJ186" i="25"/>
  <c r="FA186" i="25"/>
  <c r="DV198" i="25"/>
  <c r="EK198" i="25"/>
  <c r="EN198" i="25" s="1"/>
  <c r="EL198" i="25"/>
  <c r="FA198" i="25"/>
  <c r="EJ198" i="25"/>
  <c r="EY198" i="25"/>
  <c r="DV280" i="25"/>
  <c r="DT280" i="25"/>
  <c r="FA185" i="25"/>
  <c r="EJ69" i="25"/>
  <c r="DV69" i="25"/>
  <c r="EL69" i="25"/>
  <c r="EK69" i="25"/>
  <c r="EN69" i="25" s="1"/>
  <c r="DT69" i="25"/>
  <c r="FA69" i="25"/>
  <c r="EY69" i="25"/>
  <c r="DV72" i="25"/>
  <c r="DX72" i="25" s="1"/>
  <c r="EC72" i="25" s="1"/>
  <c r="EK72" i="25"/>
  <c r="EN72" i="25" s="1"/>
  <c r="EL72" i="25"/>
  <c r="DT72" i="25"/>
  <c r="DV282" i="25"/>
  <c r="DT282" i="25"/>
  <c r="EJ35" i="25"/>
  <c r="DV35" i="25"/>
  <c r="DX35" i="25" s="1"/>
  <c r="EC35" i="25" s="1"/>
  <c r="EK35" i="25"/>
  <c r="EN35" i="25" s="1"/>
  <c r="EL35" i="25"/>
  <c r="DT35" i="25"/>
  <c r="FA89" i="25"/>
  <c r="DV187" i="25"/>
  <c r="DX187" i="25" s="1"/>
  <c r="EC187" i="25" s="1"/>
  <c r="EK187" i="25"/>
  <c r="EN187" i="25" s="1"/>
  <c r="EL187" i="25"/>
  <c r="DT187" i="25"/>
  <c r="DV237" i="25"/>
  <c r="DT237" i="25"/>
  <c r="EB91" i="25"/>
  <c r="EA91" i="25"/>
  <c r="EY178" i="25"/>
  <c r="DV193" i="25"/>
  <c r="DX193" i="25" s="1"/>
  <c r="EC193" i="25" s="1"/>
  <c r="EL193" i="25"/>
  <c r="EK193" i="25"/>
  <c r="EN193" i="25" s="1"/>
  <c r="DT193" i="25"/>
  <c r="EY95" i="25"/>
  <c r="DV257" i="25"/>
  <c r="DT257" i="25"/>
  <c r="EJ131" i="25"/>
  <c r="EY174" i="25"/>
  <c r="DV103" i="25"/>
  <c r="DX103" i="25" s="1"/>
  <c r="EC103" i="25" s="1"/>
  <c r="EL103" i="25"/>
  <c r="EK103" i="25"/>
  <c r="EN103" i="25" s="1"/>
  <c r="DV78" i="25"/>
  <c r="DX78" i="25" s="1"/>
  <c r="EC78" i="25" s="1"/>
  <c r="EL78" i="25"/>
  <c r="EK78" i="25"/>
  <c r="EN78" i="25" s="1"/>
  <c r="DT78" i="25"/>
  <c r="FA74" i="25"/>
  <c r="DV127" i="25"/>
  <c r="DX127" i="25" s="1"/>
  <c r="EC127" i="25" s="1"/>
  <c r="EL127" i="25"/>
  <c r="EK127" i="25"/>
  <c r="EN127" i="25" s="1"/>
  <c r="DT127" i="25"/>
  <c r="FA130" i="25"/>
  <c r="DV130" i="25"/>
  <c r="EL130" i="25"/>
  <c r="EK130" i="25"/>
  <c r="EN130" i="25" s="1"/>
  <c r="DT130" i="25"/>
  <c r="EY130" i="25"/>
  <c r="EJ130" i="25"/>
  <c r="DV267" i="25"/>
  <c r="DT267" i="25"/>
  <c r="EB191" i="25"/>
  <c r="EA191" i="25"/>
  <c r="DV308" i="25"/>
  <c r="DT308" i="25"/>
  <c r="DV292" i="25"/>
  <c r="DT292" i="25"/>
  <c r="DV177" i="25"/>
  <c r="DX177" i="25" s="1"/>
  <c r="EC177" i="25" s="1"/>
  <c r="EK177" i="25"/>
  <c r="EN177" i="25" s="1"/>
  <c r="EL177" i="25"/>
  <c r="DT177" i="25"/>
  <c r="DV100" i="25"/>
  <c r="DX100" i="25" s="1"/>
  <c r="EC100" i="25" s="1"/>
  <c r="EK100" i="25"/>
  <c r="EN100" i="25" s="1"/>
  <c r="EL100" i="25"/>
  <c r="EB87" i="25"/>
  <c r="EA87" i="25"/>
  <c r="DV154" i="25"/>
  <c r="EL154" i="25"/>
  <c r="EK154" i="25"/>
  <c r="EN154" i="25" s="1"/>
  <c r="DT154" i="25"/>
  <c r="EY154" i="25"/>
  <c r="EJ154" i="25"/>
  <c r="FA154" i="25"/>
  <c r="DV82" i="25"/>
  <c r="EL82" i="25"/>
  <c r="EK82" i="25"/>
  <c r="EN82" i="25" s="1"/>
  <c r="DT82" i="25"/>
  <c r="FA82" i="25"/>
  <c r="EY82" i="25"/>
  <c r="EJ82" i="25"/>
  <c r="DV281" i="25"/>
  <c r="DT281" i="25"/>
  <c r="DV288" i="25"/>
  <c r="DT288" i="25"/>
  <c r="EB129" i="25"/>
  <c r="EA129" i="25"/>
  <c r="DV15" i="25"/>
  <c r="DX15" i="25" s="1"/>
  <c r="EC15" i="25" s="1"/>
  <c r="EK15" i="25"/>
  <c r="EN15" i="25" s="1"/>
  <c r="EL15" i="25"/>
  <c r="DT15" i="25"/>
  <c r="EB47" i="25"/>
  <c r="EA47" i="25"/>
  <c r="DV133" i="25"/>
  <c r="EK133" i="25"/>
  <c r="EN133" i="25" s="1"/>
  <c r="EL133" i="25"/>
  <c r="DT133" i="25"/>
  <c r="EJ133" i="25"/>
  <c r="EY133" i="25"/>
  <c r="FA133" i="25"/>
  <c r="DV239" i="25"/>
  <c r="DT239" i="25"/>
  <c r="EJ156" i="25"/>
  <c r="EJ90" i="25"/>
  <c r="DV76" i="25"/>
  <c r="EK76" i="25"/>
  <c r="EN76" i="25" s="1"/>
  <c r="EL76" i="25"/>
  <c r="DT76" i="25"/>
  <c r="FA76" i="25"/>
  <c r="EJ76" i="25"/>
  <c r="EY76" i="25"/>
  <c r="DV284" i="25"/>
  <c r="DT284" i="25"/>
  <c r="DV7" i="25"/>
  <c r="EK7" i="25"/>
  <c r="EN7" i="25" s="1"/>
  <c r="EL7" i="25"/>
  <c r="DT7" i="25"/>
  <c r="EJ7" i="25"/>
  <c r="EY7" i="25"/>
  <c r="FA7" i="25"/>
  <c r="DV197" i="25"/>
  <c r="EL197" i="25"/>
  <c r="EK197" i="25"/>
  <c r="EN197" i="25" s="1"/>
  <c r="FA197" i="25"/>
  <c r="EY197" i="25"/>
  <c r="EJ197" i="25"/>
  <c r="DV196" i="25"/>
  <c r="EL196" i="25"/>
  <c r="EK196" i="25"/>
  <c r="EN196" i="25" s="1"/>
  <c r="EY196" i="25"/>
  <c r="FA196" i="25"/>
  <c r="EJ196" i="25"/>
  <c r="DV88" i="25"/>
  <c r="DX88" i="25" s="1"/>
  <c r="EC88" i="25" s="1"/>
  <c r="EK88" i="25"/>
  <c r="EN88" i="25" s="1"/>
  <c r="EL88" i="25"/>
  <c r="DT88" i="25"/>
  <c r="DV240" i="25"/>
  <c r="DT240" i="25"/>
  <c r="EY43" i="25"/>
  <c r="FA126" i="25"/>
  <c r="DX138" i="25"/>
  <c r="EC138" i="25" s="1"/>
  <c r="FA64" i="25"/>
  <c r="EB60" i="25"/>
  <c r="EA60" i="25"/>
  <c r="DV55" i="25"/>
  <c r="EL55" i="25"/>
  <c r="EK55" i="25"/>
  <c r="EN55" i="25" s="1"/>
  <c r="DT55" i="25"/>
  <c r="EY55" i="25"/>
  <c r="EJ55" i="25"/>
  <c r="FA55" i="25"/>
  <c r="DV275" i="25"/>
  <c r="DT275" i="25"/>
  <c r="DV128" i="25"/>
  <c r="DX128" i="25" s="1"/>
  <c r="EC128" i="25" s="1"/>
  <c r="EL128" i="25"/>
  <c r="EK128" i="25"/>
  <c r="EN128" i="25" s="1"/>
  <c r="DT128" i="25"/>
  <c r="DV309" i="25"/>
  <c r="DT309" i="25"/>
  <c r="FA111" i="25"/>
  <c r="DV14" i="25"/>
  <c r="DX14" i="25" s="1"/>
  <c r="EC14" i="25" s="1"/>
  <c r="EK14" i="25"/>
  <c r="EN14" i="25" s="1"/>
  <c r="EL14" i="25"/>
  <c r="DT14" i="25"/>
  <c r="DV79" i="25"/>
  <c r="DX79" i="25" s="1"/>
  <c r="EC79" i="25" s="1"/>
  <c r="EK79" i="25"/>
  <c r="EN79" i="25" s="1"/>
  <c r="EL79" i="25"/>
  <c r="DT79" i="25"/>
  <c r="EB105" i="25"/>
  <c r="EA105" i="25"/>
  <c r="DV274" i="25"/>
  <c r="DT274" i="25"/>
  <c r="EB48" i="25"/>
  <c r="EA48" i="25"/>
  <c r="DV261" i="25"/>
  <c r="DT261" i="25"/>
  <c r="FA13" i="25"/>
  <c r="EY177" i="25"/>
  <c r="EB49" i="25"/>
  <c r="EA49" i="25"/>
  <c r="FA65" i="25"/>
  <c r="EB29" i="25"/>
  <c r="EA29" i="25"/>
  <c r="FA77" i="25"/>
  <c r="DV314" i="25"/>
  <c r="DT314" i="25"/>
  <c r="DV62" i="25"/>
  <c r="EK62" i="25"/>
  <c r="EN62" i="25" s="1"/>
  <c r="EL62" i="25"/>
  <c r="DT62" i="25"/>
  <c r="FA62" i="25"/>
  <c r="EY62" i="25"/>
  <c r="EJ62" i="25"/>
  <c r="FA96" i="25"/>
  <c r="EB88" i="25"/>
  <c r="EA88" i="25"/>
  <c r="DV48" i="25"/>
  <c r="DX48" i="25" s="1"/>
  <c r="EC48" i="25" s="1"/>
  <c r="EK48" i="25"/>
  <c r="EN48" i="25" s="1"/>
  <c r="EL48" i="25"/>
  <c r="DT48" i="25"/>
  <c r="DV302" i="25"/>
  <c r="DT302" i="25"/>
  <c r="DV16" i="25"/>
  <c r="EL16" i="25"/>
  <c r="EK16" i="25"/>
  <c r="EN16" i="25" s="1"/>
  <c r="DT16" i="25"/>
  <c r="FA16" i="25"/>
  <c r="EY16" i="25"/>
  <c r="EJ16" i="25"/>
  <c r="DV110" i="25"/>
  <c r="EL110" i="25"/>
  <c r="EK110" i="25"/>
  <c r="EN110" i="25" s="1"/>
  <c r="DT110" i="25"/>
  <c r="FA110" i="25"/>
  <c r="EY110" i="25"/>
  <c r="EJ110" i="25"/>
  <c r="EJ171" i="25"/>
  <c r="EJ185" i="25"/>
  <c r="EJ89" i="25"/>
  <c r="EJ51" i="25"/>
  <c r="FA178" i="25"/>
  <c r="EB103" i="25"/>
  <c r="EA103" i="25"/>
  <c r="FA95" i="25"/>
  <c r="EY131" i="25"/>
  <c r="DV241" i="25"/>
  <c r="DT241" i="25"/>
  <c r="DV263" i="25"/>
  <c r="DT263" i="25"/>
  <c r="DV227" i="25"/>
  <c r="DT227" i="25"/>
  <c r="EB74" i="25"/>
  <c r="EA74" i="25"/>
  <c r="DV32" i="25"/>
  <c r="EL32" i="25"/>
  <c r="EK32" i="25"/>
  <c r="EN32" i="25" s="1"/>
  <c r="DT32" i="25"/>
  <c r="EY32" i="25"/>
  <c r="FA32" i="25"/>
  <c r="EJ32" i="25"/>
  <c r="DV289" i="25"/>
  <c r="DT289" i="25"/>
  <c r="EB98" i="25"/>
  <c r="EA98" i="25"/>
  <c r="EB81" i="25"/>
  <c r="EA81" i="25"/>
  <c r="DV306" i="25"/>
  <c r="DT306" i="25"/>
  <c r="DV54" i="25"/>
  <c r="EK54" i="25"/>
  <c r="EN54" i="25" s="1"/>
  <c r="EL54" i="25"/>
  <c r="DT54" i="25"/>
  <c r="EY54" i="25"/>
  <c r="EJ54" i="25"/>
  <c r="FA54" i="25"/>
  <c r="DV145" i="25"/>
  <c r="DX145" i="25" s="1"/>
  <c r="EC145" i="25" s="1"/>
  <c r="EL145" i="25"/>
  <c r="EK145" i="25"/>
  <c r="EN145" i="25" s="1"/>
  <c r="DT145" i="25"/>
  <c r="DV232" i="25"/>
  <c r="DT232" i="25"/>
  <c r="DV270" i="25"/>
  <c r="DT270" i="25"/>
  <c r="DV45" i="25"/>
  <c r="DX45" i="25" s="1"/>
  <c r="EC45" i="25" s="1"/>
  <c r="EL45" i="25"/>
  <c r="EK45" i="25"/>
  <c r="EN45" i="25" s="1"/>
  <c r="DT45" i="25"/>
  <c r="EB86" i="25"/>
  <c r="EA86" i="25"/>
  <c r="EY156" i="25"/>
  <c r="EY90" i="25"/>
  <c r="EB42" i="25"/>
  <c r="EA42" i="25"/>
  <c r="DV42" i="25"/>
  <c r="DX42" i="25" s="1"/>
  <c r="EC42" i="25" s="1"/>
  <c r="EL42" i="25"/>
  <c r="EK42" i="25"/>
  <c r="EN42" i="25" s="1"/>
  <c r="DT42" i="25"/>
  <c r="DV60" i="25"/>
  <c r="DX60" i="25" s="1"/>
  <c r="EC60" i="25" s="1"/>
  <c r="EK60" i="25"/>
  <c r="EN60" i="25" s="1"/>
  <c r="EL60" i="25"/>
  <c r="DT60" i="25"/>
  <c r="DV9" i="25"/>
  <c r="DX9" i="25" s="1"/>
  <c r="EC9" i="25" s="1"/>
  <c r="EK9" i="25"/>
  <c r="EN9" i="25" s="1"/>
  <c r="EL9" i="25"/>
  <c r="DT9" i="25"/>
  <c r="DV149" i="25"/>
  <c r="EL149" i="25"/>
  <c r="EK149" i="25"/>
  <c r="EN149" i="25" s="1"/>
  <c r="DT149" i="25"/>
  <c r="FA149" i="25"/>
  <c r="EY149" i="25"/>
  <c r="EJ149" i="25"/>
  <c r="DV41" i="25"/>
  <c r="EL41" i="25"/>
  <c r="EK41" i="25"/>
  <c r="EN41" i="25" s="1"/>
  <c r="DT41" i="25"/>
  <c r="FA41" i="25"/>
  <c r="EJ41" i="25"/>
  <c r="EY41" i="25"/>
  <c r="EJ37" i="25"/>
  <c r="DV11" i="25"/>
  <c r="EK11" i="25"/>
  <c r="EN11" i="25" s="1"/>
  <c r="EL11" i="25"/>
  <c r="DT11" i="25"/>
  <c r="EY11" i="25"/>
  <c r="FA11" i="25"/>
  <c r="EJ11" i="25"/>
  <c r="EJ179" i="25"/>
  <c r="EY64" i="25"/>
  <c r="FA60" i="25"/>
  <c r="DV276" i="25"/>
  <c r="DT276" i="25"/>
  <c r="DV225" i="25"/>
  <c r="DT225" i="25"/>
  <c r="EB157" i="25"/>
  <c r="EA157" i="25"/>
  <c r="DV68" i="25"/>
  <c r="EK68" i="25"/>
  <c r="EN68" i="25" s="1"/>
  <c r="EL68" i="25"/>
  <c r="DT68" i="25"/>
  <c r="EJ68" i="25"/>
  <c r="FA68" i="25"/>
  <c r="EY68" i="25"/>
  <c r="EY111" i="25"/>
  <c r="DV209" i="25"/>
  <c r="EK209" i="25"/>
  <c r="EN209" i="25" s="1"/>
  <c r="EL209" i="25"/>
  <c r="EJ209" i="25"/>
  <c r="EY209" i="25"/>
  <c r="FA209" i="25"/>
  <c r="DV210" i="25"/>
  <c r="DX210" i="25" s="1"/>
  <c r="EC210" i="25" s="1"/>
  <c r="EK210" i="25"/>
  <c r="EN210" i="25" s="1"/>
  <c r="EL210" i="25"/>
  <c r="FA145" i="25"/>
  <c r="DV99" i="25"/>
  <c r="DX99" i="25" s="1"/>
  <c r="EC99" i="25" s="1"/>
  <c r="EL99" i="25"/>
  <c r="EK99" i="25"/>
  <c r="EN99" i="25" s="1"/>
  <c r="EB13" i="25"/>
  <c r="EA13" i="25"/>
  <c r="EB177" i="25"/>
  <c r="EA177" i="25"/>
  <c r="EB122" i="25"/>
  <c r="EA122" i="25"/>
  <c r="DV10" i="25"/>
  <c r="EK10" i="25"/>
  <c r="EN10" i="25" s="1"/>
  <c r="EL10" i="25"/>
  <c r="DT10" i="25"/>
  <c r="FA10" i="25"/>
  <c r="EY10" i="25"/>
  <c r="EJ10" i="25"/>
  <c r="EJ77" i="25"/>
  <c r="DV246" i="25"/>
  <c r="DT246" i="25"/>
  <c r="EB96" i="25"/>
  <c r="EA96" i="25"/>
  <c r="DV175" i="25"/>
  <c r="DX175" i="25" s="1"/>
  <c r="EC175" i="25" s="1"/>
  <c r="EK175" i="25"/>
  <c r="EN175" i="25" s="1"/>
  <c r="EL175" i="25"/>
  <c r="DT175" i="25"/>
  <c r="DV189" i="25"/>
  <c r="DX189" i="25" s="1"/>
  <c r="EC189" i="25" s="1"/>
  <c r="EK189" i="25"/>
  <c r="EN189" i="25" s="1"/>
  <c r="EL189" i="25"/>
  <c r="DT189" i="25"/>
  <c r="DV265" i="25"/>
  <c r="DT265" i="25"/>
  <c r="EY189" i="25"/>
  <c r="EY185" i="25"/>
  <c r="FA56" i="25"/>
  <c r="FA9" i="25"/>
  <c r="DV148" i="25"/>
  <c r="EL148" i="25"/>
  <c r="EK148" i="25"/>
  <c r="EN148" i="25" s="1"/>
  <c r="DT148" i="25"/>
  <c r="FA148" i="25"/>
  <c r="EY148" i="25"/>
  <c r="EJ148" i="25"/>
  <c r="DV315" i="25"/>
  <c r="DT315" i="25"/>
  <c r="EB178" i="25"/>
  <c r="EA178" i="25"/>
  <c r="DV119" i="25"/>
  <c r="DX119" i="25" s="1"/>
  <c r="EC119" i="25" s="1"/>
  <c r="EL119" i="25"/>
  <c r="EK119" i="25"/>
  <c r="EN119" i="25" s="1"/>
  <c r="DT119" i="25"/>
  <c r="EJ95" i="25"/>
  <c r="DV121" i="25"/>
  <c r="DX121" i="25" s="1"/>
  <c r="EC121" i="25" s="1"/>
  <c r="EL121" i="25"/>
  <c r="EK121" i="25"/>
  <c r="EN121" i="25" s="1"/>
  <c r="DT121" i="25"/>
  <c r="FA131" i="25"/>
  <c r="EB174" i="25"/>
  <c r="EA174" i="25"/>
  <c r="DV296" i="25"/>
  <c r="DT296" i="25"/>
  <c r="DV114" i="25"/>
  <c r="EK114" i="25"/>
  <c r="EN114" i="25" s="1"/>
  <c r="EL114" i="25"/>
  <c r="DT114" i="25"/>
  <c r="FA114" i="25"/>
  <c r="EY114" i="25"/>
  <c r="EJ114" i="25"/>
  <c r="EY132" i="25"/>
  <c r="DV132" i="25"/>
  <c r="EL132" i="25"/>
  <c r="EK132" i="25"/>
  <c r="EN132" i="25" s="1"/>
  <c r="DT132" i="25"/>
  <c r="EJ132" i="25"/>
  <c r="FA132" i="25"/>
  <c r="DV264" i="25"/>
  <c r="DT264" i="25"/>
  <c r="DV89" i="25"/>
  <c r="DX89" i="25" s="1"/>
  <c r="EC89" i="25" s="1"/>
  <c r="EL89" i="25"/>
  <c r="EK89" i="25"/>
  <c r="EN89" i="25" s="1"/>
  <c r="DT89" i="25"/>
  <c r="DV25" i="25"/>
  <c r="DX25" i="25" s="1"/>
  <c r="EC25" i="25" s="1"/>
  <c r="EK25" i="25"/>
  <c r="EN25" i="25" s="1"/>
  <c r="EL25" i="25"/>
  <c r="DT25" i="25"/>
  <c r="EB136" i="25"/>
  <c r="EA136" i="25"/>
  <c r="DV161" i="25"/>
  <c r="EK161" i="25"/>
  <c r="EN161" i="25" s="1"/>
  <c r="EL161" i="25"/>
  <c r="DT161" i="25"/>
  <c r="EJ161" i="25"/>
  <c r="FA161" i="25"/>
  <c r="EY161" i="25"/>
  <c r="EB99" i="25"/>
  <c r="EA99" i="25"/>
  <c r="DV277" i="25"/>
  <c r="DT277" i="25"/>
  <c r="DV65" i="25"/>
  <c r="DX65" i="25" s="1"/>
  <c r="EC65" i="25" s="1"/>
  <c r="EK65" i="25"/>
  <c r="EN65" i="25" s="1"/>
  <c r="EL65" i="25"/>
  <c r="DT65" i="25"/>
  <c r="DV91" i="25"/>
  <c r="DX91" i="25" s="1"/>
  <c r="EC91" i="25" s="1"/>
  <c r="EK91" i="25"/>
  <c r="EN91" i="25" s="1"/>
  <c r="EL91" i="25"/>
  <c r="DV172" i="25"/>
  <c r="EL172" i="25"/>
  <c r="EK172" i="25"/>
  <c r="EN172" i="25" s="1"/>
  <c r="DT172" i="25"/>
  <c r="EJ172" i="25"/>
  <c r="FA172" i="25"/>
  <c r="EY172" i="25"/>
  <c r="DV260" i="25"/>
  <c r="DT260" i="25"/>
  <c r="DV125" i="25"/>
  <c r="EL125" i="25"/>
  <c r="EK125" i="25"/>
  <c r="EN125" i="25" s="1"/>
  <c r="DT125" i="25"/>
  <c r="FA125" i="25"/>
  <c r="EY125" i="25"/>
  <c r="EJ125" i="25"/>
  <c r="EB156" i="25"/>
  <c r="EA156" i="25"/>
  <c r="EB90" i="25"/>
  <c r="EA90" i="25"/>
  <c r="DV190" i="25"/>
  <c r="DX190" i="25" s="1"/>
  <c r="EC190" i="25" s="1"/>
  <c r="EL190" i="25"/>
  <c r="EK190" i="25"/>
  <c r="EN190" i="25" s="1"/>
  <c r="DT190" i="25"/>
  <c r="DV238" i="25"/>
  <c r="DT238" i="25"/>
  <c r="DV176" i="25"/>
  <c r="EK176" i="25"/>
  <c r="EN176" i="25" s="1"/>
  <c r="EL176" i="25"/>
  <c r="DT176" i="25"/>
  <c r="EY176" i="25"/>
  <c r="EJ176" i="25"/>
  <c r="FA176" i="25"/>
  <c r="DV155" i="25"/>
  <c r="EK155" i="25"/>
  <c r="EN155" i="25" s="1"/>
  <c r="EL155" i="25"/>
  <c r="DT155" i="25"/>
  <c r="FA155" i="25"/>
  <c r="EY155" i="25"/>
  <c r="EJ155" i="25"/>
  <c r="DV12" i="25"/>
  <c r="DX12" i="25" s="1"/>
  <c r="EC12" i="25" s="1"/>
  <c r="EL12" i="25"/>
  <c r="EK12" i="25"/>
  <c r="EN12" i="25" s="1"/>
  <c r="DT12" i="25"/>
  <c r="EY37" i="25"/>
  <c r="EB194" i="25"/>
  <c r="EA194" i="25"/>
  <c r="EB181" i="25"/>
  <c r="EA181" i="25"/>
  <c r="EB126" i="25"/>
  <c r="EA126" i="25"/>
  <c r="DV252" i="25"/>
  <c r="DT252" i="25"/>
  <c r="EB64" i="25"/>
  <c r="EA64" i="25"/>
  <c r="FA142" i="25"/>
  <c r="DV142" i="25"/>
  <c r="EK142" i="25"/>
  <c r="EN142" i="25" s="1"/>
  <c r="EL142" i="25"/>
  <c r="DT142" i="25"/>
  <c r="EJ142" i="25"/>
  <c r="EY142" i="25"/>
  <c r="DV36" i="25"/>
  <c r="EK36" i="25"/>
  <c r="EN36" i="25" s="1"/>
  <c r="EL36" i="25"/>
  <c r="DT36" i="25"/>
  <c r="EY36" i="25"/>
  <c r="EJ36" i="25"/>
  <c r="FA36" i="25"/>
  <c r="DV51" i="25"/>
  <c r="DX51" i="25" s="1"/>
  <c r="EC51" i="25" s="1"/>
  <c r="EL51" i="25"/>
  <c r="EK51" i="25"/>
  <c r="EN51" i="25" s="1"/>
  <c r="DT51" i="25"/>
  <c r="EB111" i="25"/>
  <c r="EA111" i="25"/>
  <c r="DV39" i="25"/>
  <c r="EK39" i="25"/>
  <c r="EN39" i="25" s="1"/>
  <c r="EL39" i="25"/>
  <c r="DT39" i="25"/>
  <c r="FA39" i="25"/>
  <c r="EY39" i="25"/>
  <c r="EJ39" i="25"/>
  <c r="EY190" i="25"/>
  <c r="DV273" i="25"/>
  <c r="DT273" i="25"/>
  <c r="EB145" i="25"/>
  <c r="EA145" i="25"/>
  <c r="FA12" i="25"/>
  <c r="EB65" i="25"/>
  <c r="EA65" i="25"/>
  <c r="EY77" i="25"/>
  <c r="DV221" i="25"/>
  <c r="DT221" i="25"/>
  <c r="DV105" i="25"/>
  <c r="DX105" i="25" s="1"/>
  <c r="EC105" i="25" s="1"/>
  <c r="EK105" i="25"/>
  <c r="EN105" i="25" s="1"/>
  <c r="EL105" i="25"/>
  <c r="DV163" i="25"/>
  <c r="EL163" i="25"/>
  <c r="EK163" i="25"/>
  <c r="EN163" i="25" s="1"/>
  <c r="DT163" i="25"/>
  <c r="FA163" i="25"/>
  <c r="EY163" i="25"/>
  <c r="EJ163" i="25"/>
  <c r="DV20" i="25"/>
  <c r="EL20" i="25"/>
  <c r="EK20" i="25"/>
  <c r="EN20" i="25" s="1"/>
  <c r="DT20" i="25"/>
  <c r="EY20" i="25"/>
  <c r="EJ20" i="25"/>
  <c r="FA20" i="25"/>
  <c r="EJ189" i="25"/>
  <c r="DV174" i="25"/>
  <c r="DX174" i="25" s="1"/>
  <c r="EC174" i="25" s="1"/>
  <c r="EL174" i="25"/>
  <c r="EK174" i="25"/>
  <c r="EN174" i="25" s="1"/>
  <c r="DT174" i="25"/>
  <c r="EB185" i="25"/>
  <c r="EA185" i="25"/>
  <c r="EJ45" i="25"/>
  <c r="EJ56" i="25"/>
  <c r="EJ9" i="25"/>
  <c r="DV286" i="25"/>
  <c r="DT286" i="25"/>
  <c r="DV85" i="25"/>
  <c r="EK85" i="25"/>
  <c r="EN85" i="25" s="1"/>
  <c r="EL85" i="25"/>
  <c r="DT85" i="25"/>
  <c r="EJ85" i="25"/>
  <c r="FA85" i="25"/>
  <c r="EY85" i="25"/>
  <c r="EB89" i="25"/>
  <c r="EA89" i="25"/>
  <c r="FA51" i="25"/>
  <c r="DV244" i="25"/>
  <c r="DT244" i="25"/>
  <c r="EB95" i="25"/>
  <c r="EA95" i="25"/>
  <c r="EB180" i="25"/>
  <c r="EA180" i="25"/>
  <c r="EB131" i="25"/>
  <c r="EA131" i="25"/>
  <c r="DV310" i="25"/>
  <c r="DT310" i="25"/>
  <c r="DV305" i="25"/>
  <c r="DT305" i="25"/>
  <c r="DV92" i="25"/>
  <c r="DX92" i="25" s="1"/>
  <c r="EC92" i="25" s="1"/>
  <c r="EK92" i="25"/>
  <c r="EN92" i="25" s="1"/>
  <c r="EL92" i="25"/>
  <c r="EB24" i="25"/>
  <c r="EA24" i="25"/>
  <c r="DV222" i="25"/>
  <c r="DT222" i="25"/>
  <c r="DV6" i="25"/>
  <c r="EK6" i="25"/>
  <c r="EN6" i="25" s="1"/>
  <c r="EL6" i="25"/>
  <c r="DT6" i="25"/>
  <c r="EY6" i="25"/>
  <c r="EJ6" i="25"/>
  <c r="FA6" i="25"/>
  <c r="DV179" i="25"/>
  <c r="DX179" i="25" s="1"/>
  <c r="EC179" i="25" s="1"/>
  <c r="EK179" i="25"/>
  <c r="EN179" i="25" s="1"/>
  <c r="EL179" i="25"/>
  <c r="DT179" i="25"/>
  <c r="EB14" i="25"/>
  <c r="EA14" i="25"/>
  <c r="EB43" i="25"/>
  <c r="EA43" i="25"/>
  <c r="DV293" i="25"/>
  <c r="DT293" i="25"/>
  <c r="FA179" i="25"/>
  <c r="DV66" i="25"/>
  <c r="DX66" i="25" s="1"/>
  <c r="EC66" i="25" s="1"/>
  <c r="EL66" i="25"/>
  <c r="EK66" i="25"/>
  <c r="EN66" i="25" s="1"/>
  <c r="DT66" i="25"/>
  <c r="DV19" i="25"/>
  <c r="EK19" i="25"/>
  <c r="EN19" i="25" s="1"/>
  <c r="EL19" i="25"/>
  <c r="DT19" i="25"/>
  <c r="EJ19" i="25"/>
  <c r="FA19" i="25"/>
  <c r="EY19" i="25"/>
  <c r="FA66" i="25"/>
  <c r="EB128" i="25"/>
  <c r="EA128" i="25"/>
  <c r="DV87" i="25"/>
  <c r="DX87" i="25" s="1"/>
  <c r="EC87" i="25" s="1"/>
  <c r="EL87" i="25"/>
  <c r="EK87" i="25"/>
  <c r="EN87" i="25" s="1"/>
  <c r="DT87" i="25"/>
  <c r="DV84" i="25"/>
  <c r="EK84" i="25"/>
  <c r="EN84" i="25" s="1"/>
  <c r="EL84" i="25"/>
  <c r="DT84" i="25"/>
  <c r="FA84" i="25"/>
  <c r="EJ84" i="25"/>
  <c r="EY84" i="25"/>
  <c r="DV256" i="25"/>
  <c r="DT256" i="25"/>
  <c r="DV271" i="25"/>
  <c r="DT271" i="25"/>
  <c r="EB121" i="25"/>
  <c r="EA121" i="25"/>
  <c r="DV120" i="25"/>
  <c r="EL120" i="25"/>
  <c r="EK120" i="25"/>
  <c r="EN120" i="25" s="1"/>
  <c r="DT120" i="25"/>
  <c r="EY120" i="25"/>
  <c r="FA120" i="25"/>
  <c r="EJ120" i="25"/>
  <c r="DV201" i="25"/>
  <c r="EL201" i="25"/>
  <c r="EK201" i="25"/>
  <c r="EN201" i="25" s="1"/>
  <c r="EY201" i="25"/>
  <c r="EJ201" i="25"/>
  <c r="FA201" i="25"/>
  <c r="DV243" i="25"/>
  <c r="DT243" i="25"/>
  <c r="EB77" i="25"/>
  <c r="EA77" i="25"/>
  <c r="DV150" i="25"/>
  <c r="EK150" i="25"/>
  <c r="EN150" i="25" s="1"/>
  <c r="EL150" i="25"/>
  <c r="DT150" i="25"/>
  <c r="FA150" i="25"/>
  <c r="EY150" i="25"/>
  <c r="EJ150" i="25"/>
  <c r="DV259" i="25"/>
  <c r="DT259" i="25"/>
  <c r="DV157" i="25"/>
  <c r="DX157" i="25" s="1"/>
  <c r="EC157" i="25" s="1"/>
  <c r="EK157" i="25"/>
  <c r="EN157" i="25" s="1"/>
  <c r="EL157" i="25"/>
  <c r="DT157" i="25"/>
  <c r="DV126" i="25"/>
  <c r="DX126" i="25" s="1"/>
  <c r="EC126" i="25" s="1"/>
  <c r="EK126" i="25"/>
  <c r="EN126" i="25" s="1"/>
  <c r="EL126" i="25"/>
  <c r="DT126" i="25"/>
  <c r="EJ113" i="25"/>
  <c r="DV113" i="25"/>
  <c r="EK113" i="25"/>
  <c r="EN113" i="25" s="1"/>
  <c r="EL113" i="25"/>
  <c r="DT113" i="25"/>
  <c r="FA113" i="25"/>
  <c r="EY113" i="25"/>
  <c r="EB171" i="25"/>
  <c r="EA171" i="25"/>
  <c r="DV139" i="25"/>
  <c r="DX139" i="25" s="1"/>
  <c r="EC139" i="25" s="1"/>
  <c r="EL139" i="25"/>
  <c r="EK139" i="25"/>
  <c r="EN139" i="25" s="1"/>
  <c r="DT139" i="25"/>
  <c r="FA45" i="25"/>
  <c r="EY56" i="25"/>
  <c r="EY9" i="25"/>
  <c r="DV13" i="25"/>
  <c r="DX13" i="25" s="1"/>
  <c r="EC13" i="25" s="1"/>
  <c r="EK13" i="25"/>
  <c r="EN13" i="25" s="1"/>
  <c r="EL13" i="25"/>
  <c r="DT13" i="25"/>
  <c r="EB51" i="25"/>
  <c r="EA51" i="25"/>
  <c r="DV299" i="25"/>
  <c r="DT299" i="25"/>
  <c r="DV224" i="25"/>
  <c r="DT224" i="25"/>
  <c r="DV43" i="25"/>
  <c r="DX43" i="25" s="1"/>
  <c r="EC43" i="25" s="1"/>
  <c r="EK43" i="25"/>
  <c r="EN43" i="25" s="1"/>
  <c r="EL43" i="25"/>
  <c r="DT43" i="25"/>
  <c r="DV266" i="25"/>
  <c r="DT266" i="25"/>
  <c r="EB97" i="25"/>
  <c r="EA97" i="25"/>
  <c r="DV28" i="25"/>
  <c r="EL28" i="25"/>
  <c r="EK28" i="25"/>
  <c r="EN28" i="25" s="1"/>
  <c r="DT28" i="25"/>
  <c r="EY28" i="25"/>
  <c r="EJ28" i="25"/>
  <c r="FA28" i="25"/>
  <c r="DV208" i="25"/>
  <c r="DX208" i="25" s="1"/>
  <c r="EC208" i="25" s="1"/>
  <c r="EL208" i="25"/>
  <c r="EK208" i="25"/>
  <c r="EN208" i="25" s="1"/>
  <c r="DV167" i="25"/>
  <c r="EK167" i="25"/>
  <c r="EN167" i="25" s="1"/>
  <c r="EL167" i="25"/>
  <c r="DT167" i="25"/>
  <c r="FA167" i="25"/>
  <c r="EY167" i="25"/>
  <c r="EJ167" i="25"/>
  <c r="DV205" i="25"/>
  <c r="EL205" i="25"/>
  <c r="EK205" i="25"/>
  <c r="EN205" i="25" s="1"/>
  <c r="EJ205" i="25"/>
  <c r="FA205" i="25"/>
  <c r="EY205" i="25"/>
  <c r="DV294" i="25"/>
  <c r="DT294" i="25"/>
  <c r="DY138" i="25"/>
  <c r="EB138" i="25"/>
  <c r="EA138" i="25"/>
  <c r="DV50" i="25"/>
  <c r="EL50" i="25"/>
  <c r="EK50" i="25"/>
  <c r="EN50" i="25" s="1"/>
  <c r="DT50" i="25"/>
  <c r="EJ50" i="25"/>
  <c r="FA50" i="25"/>
  <c r="EY50" i="25"/>
  <c r="DV122" i="25"/>
  <c r="DX122" i="25" s="1"/>
  <c r="EC122" i="25" s="1"/>
  <c r="EL122" i="25"/>
  <c r="EK122" i="25"/>
  <c r="EN122" i="25" s="1"/>
  <c r="DT122" i="25"/>
  <c r="DV134" i="25"/>
  <c r="EL134" i="25"/>
  <c r="EK134" i="25"/>
  <c r="EN134" i="25" s="1"/>
  <c r="DT134" i="25"/>
  <c r="FA134" i="25"/>
  <c r="EY134" i="25"/>
  <c r="EJ134" i="25"/>
  <c r="EB37" i="25"/>
  <c r="EA37" i="25"/>
  <c r="DV250" i="25"/>
  <c r="DT250" i="25"/>
  <c r="EY29" i="25"/>
  <c r="DV29" i="25"/>
  <c r="DX29" i="25" s="1"/>
  <c r="EC29" i="25" s="1"/>
  <c r="EK29" i="25"/>
  <c r="EN29" i="25" s="1"/>
  <c r="EL29" i="25"/>
  <c r="DT29" i="25"/>
  <c r="EB179" i="25"/>
  <c r="EA179" i="25"/>
  <c r="EJ66" i="25"/>
  <c r="DV300" i="25"/>
  <c r="DT300" i="25"/>
  <c r="DV67" i="25"/>
  <c r="EK67" i="25"/>
  <c r="EN67" i="25" s="1"/>
  <c r="EL67" i="25"/>
  <c r="DT67" i="25"/>
  <c r="FA67" i="25"/>
  <c r="EY67" i="25"/>
  <c r="EJ67" i="25"/>
  <c r="DV195" i="25"/>
  <c r="EK195" i="25"/>
  <c r="EN195" i="25" s="1"/>
  <c r="EL195" i="25"/>
  <c r="EY195" i="25"/>
  <c r="FA195" i="25"/>
  <c r="EJ195" i="25"/>
  <c r="DV200" i="25"/>
  <c r="DX200" i="25" s="1"/>
  <c r="EC200" i="25" s="1"/>
  <c r="EK200" i="25"/>
  <c r="EN200" i="25" s="1"/>
  <c r="EL200" i="25"/>
  <c r="EB23" i="25"/>
  <c r="EA23" i="25"/>
  <c r="DV285" i="25"/>
  <c r="DT285" i="25"/>
  <c r="DV152" i="25"/>
  <c r="EL152" i="25"/>
  <c r="EK152" i="25"/>
  <c r="EN152" i="25" s="1"/>
  <c r="DT152" i="25"/>
  <c r="EJ152" i="25"/>
  <c r="FA152" i="25"/>
  <c r="EY152" i="25"/>
  <c r="FA80" i="25"/>
  <c r="DV247" i="25"/>
  <c r="DT247" i="25"/>
  <c r="DV140" i="25"/>
  <c r="EK140" i="25"/>
  <c r="EN140" i="25" s="1"/>
  <c r="EL140" i="25"/>
  <c r="DT140" i="25"/>
  <c r="EJ140" i="25"/>
  <c r="EY140" i="25"/>
  <c r="FA140" i="25"/>
  <c r="EB189" i="25"/>
  <c r="EA189" i="25"/>
  <c r="DV268" i="25"/>
  <c r="DT268" i="25"/>
  <c r="EY45" i="25"/>
  <c r="EB56" i="25"/>
  <c r="EA56" i="25"/>
  <c r="DV116" i="25"/>
  <c r="EL116" i="25"/>
  <c r="EK116" i="25"/>
  <c r="EN116" i="25" s="1"/>
  <c r="DT116" i="25"/>
  <c r="EY116" i="25"/>
  <c r="EJ116" i="25"/>
  <c r="FA116" i="25"/>
  <c r="EB9" i="25"/>
  <c r="EA9" i="25"/>
  <c r="DV151" i="25"/>
  <c r="EL151" i="25"/>
  <c r="EK151" i="25"/>
  <c r="EN151" i="25" s="1"/>
  <c r="DT151" i="25"/>
  <c r="EJ151" i="25"/>
  <c r="FA151" i="25"/>
  <c r="EY151" i="25"/>
  <c r="EJ91" i="25"/>
  <c r="DV75" i="25"/>
  <c r="EK75" i="25"/>
  <c r="EN75" i="25" s="1"/>
  <c r="EL75" i="25"/>
  <c r="DT75" i="25"/>
  <c r="EJ75" i="25"/>
  <c r="EY75" i="25"/>
  <c r="FA75" i="25"/>
  <c r="DV272" i="25"/>
  <c r="DT272" i="25"/>
  <c r="EY200" i="25"/>
  <c r="DZ15" i="24"/>
  <c r="DZ58" i="24"/>
  <c r="DX31" i="24"/>
  <c r="EE31" i="24" s="1"/>
  <c r="DR285" i="24"/>
  <c r="EB285" i="24" s="1"/>
  <c r="DO169" i="24"/>
  <c r="DO88" i="24"/>
  <c r="DO295" i="24"/>
  <c r="DR295" i="24"/>
  <c r="DO204" i="24"/>
  <c r="DR204" i="24"/>
  <c r="DU204" i="24" s="1"/>
  <c r="DO115" i="24"/>
  <c r="DR115" i="24"/>
  <c r="DU115" i="24" s="1"/>
  <c r="DO141" i="24"/>
  <c r="DR141" i="24"/>
  <c r="DU141" i="24" s="1"/>
  <c r="DR100" i="24"/>
  <c r="DO100" i="24"/>
  <c r="DO145" i="24"/>
  <c r="DR145" i="24"/>
  <c r="DU145" i="24" s="1"/>
  <c r="EE188" i="24"/>
  <c r="DO257" i="24"/>
  <c r="DR257" i="24"/>
  <c r="DO39" i="24"/>
  <c r="DR288" i="24"/>
  <c r="FA288" i="24" s="1"/>
  <c r="DO288" i="24"/>
  <c r="DR44" i="24"/>
  <c r="DO44" i="24"/>
  <c r="DO275" i="24"/>
  <c r="DR275" i="24"/>
  <c r="DR56" i="24"/>
  <c r="DO56" i="24"/>
  <c r="EE205" i="24"/>
  <c r="DO126" i="24"/>
  <c r="DR126" i="24"/>
  <c r="DU126" i="24" s="1"/>
  <c r="DO28" i="24"/>
  <c r="DR28" i="24"/>
  <c r="EE163" i="24"/>
  <c r="DZ39" i="24"/>
  <c r="DX39" i="24"/>
  <c r="EE130" i="24"/>
  <c r="EE131" i="24"/>
  <c r="DR70" i="24"/>
  <c r="DO70" i="24"/>
  <c r="EE119" i="24"/>
  <c r="EE189" i="24"/>
  <c r="DO244" i="24"/>
  <c r="DR244" i="24"/>
  <c r="DO35" i="24"/>
  <c r="DR35" i="24"/>
  <c r="DR112" i="24"/>
  <c r="DU112" i="24" s="1"/>
  <c r="DO112" i="24"/>
  <c r="DO313" i="24"/>
  <c r="DR313" i="24"/>
  <c r="EE69" i="24"/>
  <c r="DR6" i="24"/>
  <c r="DO6" i="24"/>
  <c r="DO173" i="24"/>
  <c r="DR173" i="24"/>
  <c r="DU173" i="24" s="1"/>
  <c r="DX126" i="24"/>
  <c r="DO231" i="24"/>
  <c r="DR231" i="24"/>
  <c r="EE210" i="24"/>
  <c r="DO66" i="24"/>
  <c r="DR66" i="24"/>
  <c r="DR304" i="24"/>
  <c r="EB304" i="24" s="1"/>
  <c r="DO304" i="24"/>
  <c r="DR276" i="24"/>
  <c r="DO276" i="24"/>
  <c r="EE141" i="24"/>
  <c r="DR208" i="24"/>
  <c r="DU208" i="24" s="1"/>
  <c r="DO208" i="24"/>
  <c r="DR168" i="24"/>
  <c r="DU168" i="24" s="1"/>
  <c r="DO168" i="24"/>
  <c r="EE148" i="24"/>
  <c r="DO20" i="24"/>
  <c r="DR20" i="24"/>
  <c r="EE146" i="24"/>
  <c r="EE74" i="24"/>
  <c r="DR220" i="24"/>
  <c r="DO220" i="24"/>
  <c r="EE59" i="24"/>
  <c r="DR259" i="24"/>
  <c r="FA259" i="24" s="1"/>
  <c r="DO259" i="24"/>
  <c r="DX133" i="24"/>
  <c r="EE115" i="24"/>
  <c r="DR227" i="24"/>
  <c r="DO227" i="24"/>
  <c r="DO24" i="24"/>
  <c r="DR24" i="24"/>
  <c r="DO267" i="24"/>
  <c r="DR267" i="24"/>
  <c r="FA267" i="24" s="1"/>
  <c r="EE82" i="24"/>
  <c r="DX129" i="24"/>
  <c r="DX53" i="24"/>
  <c r="DZ53" i="24"/>
  <c r="DR283" i="24"/>
  <c r="EY283" i="24" s="1"/>
  <c r="DO283" i="24"/>
  <c r="DO91" i="24"/>
  <c r="DR91" i="24"/>
  <c r="DR146" i="24"/>
  <c r="DU146" i="24" s="1"/>
  <c r="DO146" i="24"/>
  <c r="EE166" i="24"/>
  <c r="DO119" i="24"/>
  <c r="DR119" i="24"/>
  <c r="DU119" i="24" s="1"/>
  <c r="DR299" i="24"/>
  <c r="EY299" i="24" s="1"/>
  <c r="DO299" i="24"/>
  <c r="DR21" i="24"/>
  <c r="DO21" i="24"/>
  <c r="EE196" i="24"/>
  <c r="DO210" i="24"/>
  <c r="DR210" i="24"/>
  <c r="DU210" i="24" s="1"/>
  <c r="EE66" i="24"/>
  <c r="DO238" i="24"/>
  <c r="DR238" i="24"/>
  <c r="FA238" i="24" s="1"/>
  <c r="EE204" i="24"/>
  <c r="DX199" i="24"/>
  <c r="DO11" i="24"/>
  <c r="DR11" i="24"/>
  <c r="DO197" i="24"/>
  <c r="DR197" i="24"/>
  <c r="DU197" i="24" s="1"/>
  <c r="DO290" i="24"/>
  <c r="DR290" i="24"/>
  <c r="DR151" i="24"/>
  <c r="DU151" i="24" s="1"/>
  <c r="DO151" i="24"/>
  <c r="EE194" i="24"/>
  <c r="DZ80" i="24"/>
  <c r="DX80" i="24"/>
  <c r="EE6" i="24"/>
  <c r="DO103" i="24"/>
  <c r="DR103" i="24"/>
  <c r="DX155" i="24"/>
  <c r="DO271" i="24"/>
  <c r="DR271" i="24"/>
  <c r="EE84" i="24"/>
  <c r="DO188" i="24"/>
  <c r="DR188" i="24"/>
  <c r="DU188" i="24" s="1"/>
  <c r="DR189" i="24"/>
  <c r="DU189" i="24" s="1"/>
  <c r="DO189" i="24"/>
  <c r="DO282" i="24"/>
  <c r="DR282" i="24"/>
  <c r="EE34" i="24"/>
  <c r="DR309" i="24"/>
  <c r="FA309" i="24" s="1"/>
  <c r="DO309" i="24"/>
  <c r="DR84" i="24"/>
  <c r="DO84" i="24"/>
  <c r="DO284" i="24"/>
  <c r="DR284" i="24"/>
  <c r="DR134" i="24"/>
  <c r="DU134" i="24" s="1"/>
  <c r="DO134" i="24"/>
  <c r="DO68" i="24"/>
  <c r="DR68" i="24"/>
  <c r="EE20" i="24"/>
  <c r="EE135" i="24"/>
  <c r="EE15" i="24"/>
  <c r="EE90" i="24"/>
  <c r="EE149" i="24"/>
  <c r="EE120" i="24"/>
  <c r="DO222" i="24"/>
  <c r="DR222" i="24"/>
  <c r="DR279" i="24"/>
  <c r="DO279" i="24"/>
  <c r="DO123" i="24"/>
  <c r="DR123" i="24"/>
  <c r="DU123" i="24" s="1"/>
  <c r="DO158" i="24"/>
  <c r="DR158" i="24"/>
  <c r="DU158" i="24" s="1"/>
  <c r="DR93" i="24"/>
  <c r="DO93" i="24"/>
  <c r="DO307" i="24"/>
  <c r="DR307" i="24"/>
  <c r="DR122" i="24"/>
  <c r="DU122" i="24" s="1"/>
  <c r="DO122" i="24"/>
  <c r="EE22" i="24"/>
  <c r="EE180" i="24"/>
  <c r="DR26" i="24"/>
  <c r="DO26" i="24"/>
  <c r="DZ14" i="24"/>
  <c r="DX14" i="24"/>
  <c r="EE151" i="24"/>
  <c r="DO17" i="24"/>
  <c r="DR17" i="24"/>
  <c r="EE58" i="24"/>
  <c r="DR256" i="24"/>
  <c r="DO256" i="24"/>
  <c r="DO113" i="24"/>
  <c r="DR113" i="24"/>
  <c r="DU113" i="24" s="1"/>
  <c r="DX173" i="24"/>
  <c r="DX201" i="24"/>
  <c r="DO133" i="24"/>
  <c r="DR133" i="24"/>
  <c r="DU133" i="24" s="1"/>
  <c r="DR174" i="24"/>
  <c r="DU174" i="24" s="1"/>
  <c r="DO174" i="24"/>
  <c r="DX157" i="24"/>
  <c r="DR164" i="24"/>
  <c r="DU164" i="24" s="1"/>
  <c r="DO164" i="24"/>
  <c r="DO111" i="24"/>
  <c r="DR111" i="24"/>
  <c r="DU111" i="24" s="1"/>
  <c r="DO296" i="24"/>
  <c r="DR296" i="24"/>
  <c r="DO14" i="24"/>
  <c r="DR14" i="24"/>
  <c r="DZ23" i="24"/>
  <c r="DX23" i="24"/>
  <c r="DR48" i="24"/>
  <c r="DO48" i="24"/>
  <c r="DX209" i="24"/>
  <c r="DO302" i="24"/>
  <c r="DR302" i="24"/>
  <c r="EL302" i="24" s="1"/>
  <c r="EE137" i="24"/>
  <c r="DR73" i="24"/>
  <c r="DO73" i="24"/>
  <c r="DR129" i="24"/>
  <c r="DU129" i="24" s="1"/>
  <c r="DO129" i="24"/>
  <c r="DZ44" i="24"/>
  <c r="DX44" i="24"/>
  <c r="DX174" i="24"/>
  <c r="DR301" i="24"/>
  <c r="FA301" i="24" s="1"/>
  <c r="DO301" i="24"/>
  <c r="DX114" i="24"/>
  <c r="DO285" i="24"/>
  <c r="DR167" i="24"/>
  <c r="DU167" i="24" s="1"/>
  <c r="DO167" i="24"/>
  <c r="DR235" i="24"/>
  <c r="DO235" i="24"/>
  <c r="DR43" i="24"/>
  <c r="DO43" i="24"/>
  <c r="EE153" i="24"/>
  <c r="EE32" i="24"/>
  <c r="DO127" i="24"/>
  <c r="DR142" i="24"/>
  <c r="DU142" i="24" s="1"/>
  <c r="DO142" i="24"/>
  <c r="DO90" i="24"/>
  <c r="DO59" i="24"/>
  <c r="DR59" i="24"/>
  <c r="DO224" i="24"/>
  <c r="DR224" i="24"/>
  <c r="EE184" i="24"/>
  <c r="DO263" i="24"/>
  <c r="DR263" i="24"/>
  <c r="EE179" i="24"/>
  <c r="DO147" i="24"/>
  <c r="DR147" i="24"/>
  <c r="DU147" i="24" s="1"/>
  <c r="DR159" i="24"/>
  <c r="DU159" i="24" s="1"/>
  <c r="DO159" i="24"/>
  <c r="DR178" i="24"/>
  <c r="DU178" i="24" s="1"/>
  <c r="DO178" i="24"/>
  <c r="EE38" i="24"/>
  <c r="DR71" i="24"/>
  <c r="DO71" i="24"/>
  <c r="DO150" i="24"/>
  <c r="DR150" i="24"/>
  <c r="DU150" i="24" s="1"/>
  <c r="DR183" i="24"/>
  <c r="DU183" i="24" s="1"/>
  <c r="DO183" i="24"/>
  <c r="DR85" i="24"/>
  <c r="DO85" i="24"/>
  <c r="DR234" i="24"/>
  <c r="EL234" i="24" s="1"/>
  <c r="DO234" i="24"/>
  <c r="DO61" i="24"/>
  <c r="DR61" i="24"/>
  <c r="DZ30" i="24"/>
  <c r="DX30" i="24"/>
  <c r="DZ63" i="24"/>
  <c r="DX63" i="24"/>
  <c r="DR217" i="24"/>
  <c r="FA217" i="24" s="1"/>
  <c r="DO217" i="24"/>
  <c r="DO138" i="24"/>
  <c r="DR138" i="24"/>
  <c r="DU138" i="24" s="1"/>
  <c r="DR200" i="24"/>
  <c r="DU200" i="24" s="1"/>
  <c r="DO200" i="24"/>
  <c r="DR117" i="24"/>
  <c r="DU117" i="24" s="1"/>
  <c r="DO117" i="24"/>
  <c r="DO221" i="24"/>
  <c r="DR221" i="24"/>
  <c r="EL221" i="24" s="1"/>
  <c r="DR293" i="24"/>
  <c r="EL293" i="24" s="1"/>
  <c r="DO293" i="24"/>
  <c r="DZ81" i="24"/>
  <c r="DX81" i="24"/>
  <c r="DO33" i="24"/>
  <c r="DR33" i="24"/>
  <c r="DZ26" i="24"/>
  <c r="DX26" i="24"/>
  <c r="DO223" i="24"/>
  <c r="DR223" i="24"/>
  <c r="DX124" i="24"/>
  <c r="DO75" i="24"/>
  <c r="DR75" i="24"/>
  <c r="EE181" i="24"/>
  <c r="DZ10" i="24"/>
  <c r="DX10" i="24"/>
  <c r="DO136" i="24"/>
  <c r="DR136" i="24"/>
  <c r="DU136" i="24" s="1"/>
  <c r="DX65" i="24"/>
  <c r="DZ65" i="24"/>
  <c r="DO32" i="24"/>
  <c r="DR32" i="24"/>
  <c r="DR237" i="24"/>
  <c r="DO237" i="24"/>
  <c r="DO156" i="24"/>
  <c r="DR156" i="24"/>
  <c r="DU156" i="24" s="1"/>
  <c r="DX50" i="24"/>
  <c r="DZ50" i="24"/>
  <c r="DO280" i="24"/>
  <c r="DR280" i="24"/>
  <c r="DR9" i="24"/>
  <c r="DO9" i="24"/>
  <c r="DO139" i="24"/>
  <c r="DR139" i="24"/>
  <c r="DU139" i="24" s="1"/>
  <c r="EE169" i="24"/>
  <c r="DR27" i="24"/>
  <c r="DO27" i="24"/>
  <c r="DO72" i="24"/>
  <c r="DR72" i="24"/>
  <c r="DR179" i="24"/>
  <c r="DU179" i="24" s="1"/>
  <c r="DO179" i="24"/>
  <c r="EE116" i="24"/>
  <c r="DO206" i="24"/>
  <c r="DR206" i="24"/>
  <c r="DU206" i="24" s="1"/>
  <c r="DO40" i="24"/>
  <c r="DR40" i="24"/>
  <c r="DX172" i="24"/>
  <c r="DO63" i="24"/>
  <c r="DR63" i="24"/>
  <c r="DX138" i="24"/>
  <c r="DR12" i="24"/>
  <c r="DO12" i="24"/>
  <c r="DR104" i="24"/>
  <c r="DO104" i="24"/>
  <c r="DX55" i="24"/>
  <c r="DZ55" i="24"/>
  <c r="DR79" i="24"/>
  <c r="DO79" i="24"/>
  <c r="DZ99" i="24"/>
  <c r="DX99" i="24"/>
  <c r="DX83" i="24"/>
  <c r="DZ83" i="24"/>
  <c r="DX159" i="24"/>
  <c r="DR305" i="24"/>
  <c r="DO305" i="24"/>
  <c r="EE168" i="24"/>
  <c r="EE102" i="24"/>
  <c r="DX47" i="24"/>
  <c r="DZ47" i="24"/>
  <c r="DO65" i="24"/>
  <c r="DR65" i="24"/>
  <c r="DR13" i="24"/>
  <c r="DO13" i="24"/>
  <c r="DR22" i="24"/>
  <c r="DO22" i="24"/>
  <c r="DO77" i="24"/>
  <c r="DR77" i="24"/>
  <c r="DR268" i="24"/>
  <c r="DO268" i="24"/>
  <c r="DR132" i="24"/>
  <c r="DU132" i="24" s="1"/>
  <c r="DO132" i="24"/>
  <c r="DX42" i="24"/>
  <c r="DZ42" i="24"/>
  <c r="DR69" i="24"/>
  <c r="DO69" i="24"/>
  <c r="DX197" i="24"/>
  <c r="DZ43" i="24"/>
  <c r="DX43" i="24"/>
  <c r="DX171" i="24"/>
  <c r="DO18" i="24"/>
  <c r="DR18" i="24"/>
  <c r="DR95" i="24"/>
  <c r="DO95" i="24"/>
  <c r="DR184" i="24"/>
  <c r="DU184" i="24" s="1"/>
  <c r="DO184" i="24"/>
  <c r="DR245" i="24"/>
  <c r="DO245" i="24"/>
  <c r="DR19" i="24"/>
  <c r="DO19" i="24"/>
  <c r="DO92" i="24"/>
  <c r="DO236" i="24"/>
  <c r="DR236" i="24"/>
  <c r="EE176" i="24"/>
  <c r="DR55" i="24"/>
  <c r="DO55" i="24"/>
  <c r="DR286" i="24"/>
  <c r="DO286" i="24"/>
  <c r="DX160" i="24"/>
  <c r="DX175" i="24"/>
  <c r="DR116" i="24"/>
  <c r="DU116" i="24" s="1"/>
  <c r="DO116" i="24"/>
  <c r="DX62" i="24"/>
  <c r="DZ62" i="24"/>
  <c r="DR128" i="24"/>
  <c r="DU128" i="24" s="1"/>
  <c r="DR248" i="24"/>
  <c r="FA248" i="24" s="1"/>
  <c r="DO248" i="24"/>
  <c r="DX186" i="24"/>
  <c r="DO31" i="24"/>
  <c r="DR31" i="24"/>
  <c r="DR175" i="24"/>
  <c r="DU175" i="24" s="1"/>
  <c r="DO175" i="24"/>
  <c r="DX183" i="24"/>
  <c r="DO74" i="24"/>
  <c r="DZ54" i="24"/>
  <c r="DX54" i="24"/>
  <c r="DR76" i="24"/>
  <c r="DO76" i="24"/>
  <c r="DZ52" i="24"/>
  <c r="DX52" i="24"/>
  <c r="DX37" i="24"/>
  <c r="DZ37" i="24"/>
  <c r="DX35" i="24"/>
  <c r="DZ35" i="24"/>
  <c r="DO135" i="24"/>
  <c r="DR135" i="24"/>
  <c r="DU135" i="24" s="1"/>
  <c r="DR165" i="24"/>
  <c r="DU165" i="24" s="1"/>
  <c r="DO165" i="24"/>
  <c r="DO157" i="24"/>
  <c r="DR157" i="24"/>
  <c r="DU157" i="24" s="1"/>
  <c r="DR42" i="24"/>
  <c r="DO42" i="24"/>
  <c r="DR209" i="24"/>
  <c r="DU209" i="24" s="1"/>
  <c r="DO209" i="24"/>
  <c r="DR36" i="24"/>
  <c r="DO36" i="24"/>
  <c r="DX123" i="24"/>
  <c r="DO98" i="24"/>
  <c r="DR98" i="24"/>
  <c r="DR8" i="24"/>
  <c r="DO8" i="24"/>
  <c r="DX192" i="24"/>
  <c r="DR260" i="24"/>
  <c r="EL260" i="24" s="1"/>
  <c r="DO260" i="24"/>
  <c r="DO51" i="24"/>
  <c r="DR51" i="24"/>
  <c r="DO25" i="24"/>
  <c r="DR25" i="24"/>
  <c r="DX167" i="24"/>
  <c r="EE96" i="24"/>
  <c r="DX112" i="24"/>
  <c r="DR162" i="24"/>
  <c r="DU162" i="24" s="1"/>
  <c r="DO162" i="24"/>
  <c r="DR101" i="24"/>
  <c r="DO101" i="24"/>
  <c r="DX202" i="24"/>
  <c r="DO314" i="24"/>
  <c r="DR314" i="24"/>
  <c r="FA314" i="24" s="1"/>
  <c r="DR187" i="24"/>
  <c r="DU187" i="24" s="1"/>
  <c r="DO187" i="24"/>
  <c r="DR124" i="24"/>
  <c r="DU124" i="24" s="1"/>
  <c r="DO124" i="24"/>
  <c r="DO287" i="24"/>
  <c r="DR287" i="24"/>
  <c r="FA287" i="24" s="1"/>
  <c r="DO161" i="24"/>
  <c r="DR161" i="24"/>
  <c r="DU161" i="24" s="1"/>
  <c r="DR315" i="24"/>
  <c r="FA315" i="24" s="1"/>
  <c r="DO315" i="24"/>
  <c r="DR149" i="24"/>
  <c r="DU149" i="24" s="1"/>
  <c r="DO149" i="24"/>
  <c r="DO193" i="24"/>
  <c r="DR193" i="24"/>
  <c r="DU193" i="24" s="1"/>
  <c r="DO254" i="24"/>
  <c r="DR254" i="24"/>
  <c r="DR289" i="24"/>
  <c r="EY289" i="24" s="1"/>
  <c r="DO289" i="24"/>
  <c r="DR198" i="24"/>
  <c r="DU198" i="24" s="1"/>
  <c r="DO198" i="24"/>
  <c r="DO243" i="24"/>
  <c r="EE207" i="24"/>
  <c r="DZ61" i="24"/>
  <c r="DX61" i="24"/>
  <c r="DO41" i="24"/>
  <c r="DR41" i="24"/>
  <c r="DO242" i="24"/>
  <c r="DO78" i="24"/>
  <c r="DO310" i="24"/>
  <c r="DR310" i="24"/>
  <c r="FA310" i="24" s="1"/>
  <c r="DR86" i="24"/>
  <c r="DO86" i="24"/>
  <c r="DO229" i="24"/>
  <c r="DR229" i="24"/>
  <c r="FA229" i="24" s="1"/>
  <c r="DO137" i="24"/>
  <c r="DR137" i="24"/>
  <c r="DU137" i="24" s="1"/>
  <c r="DX40" i="24"/>
  <c r="DZ40" i="24"/>
  <c r="DO172" i="24"/>
  <c r="DR172" i="24"/>
  <c r="DU172" i="24" s="1"/>
  <c r="DX104" i="24"/>
  <c r="DZ104" i="24"/>
  <c r="DR125" i="24"/>
  <c r="DU125" i="24" s="1"/>
  <c r="DO125" i="24"/>
  <c r="EE46" i="24"/>
  <c r="DR261" i="24"/>
  <c r="FA261" i="24" s="1"/>
  <c r="DO261" i="24"/>
  <c r="DO195" i="24"/>
  <c r="DR195" i="24"/>
  <c r="DU195" i="24" s="1"/>
  <c r="EE85" i="24"/>
  <c r="DR58" i="24"/>
  <c r="DO58" i="24"/>
  <c r="EE139" i="24"/>
  <c r="DO246" i="24"/>
  <c r="DR246" i="24"/>
  <c r="FA246" i="24" s="1"/>
  <c r="EE165" i="24"/>
  <c r="EE113" i="24"/>
  <c r="EE118" i="24"/>
  <c r="DR15" i="24"/>
  <c r="DO15" i="24"/>
  <c r="DR196" i="24"/>
  <c r="DU196" i="24" s="1"/>
  <c r="DO196" i="24"/>
  <c r="EE125" i="24"/>
  <c r="DR205" i="24"/>
  <c r="DU205" i="24" s="1"/>
  <c r="DO205" i="24"/>
  <c r="DO46" i="24"/>
  <c r="DR46" i="24"/>
  <c r="DO53" i="24"/>
  <c r="DR53" i="24"/>
  <c r="DO47" i="24"/>
  <c r="DR47" i="24"/>
  <c r="EE28" i="24"/>
  <c r="DO163" i="24"/>
  <c r="DR163" i="24"/>
  <c r="DU163" i="24" s="1"/>
  <c r="EE51" i="24"/>
  <c r="DR23" i="24"/>
  <c r="DO23" i="24"/>
  <c r="DO240" i="24"/>
  <c r="DR240" i="24"/>
  <c r="FA240" i="24" s="1"/>
  <c r="DO311" i="24"/>
  <c r="DR311" i="24"/>
  <c r="EB311" i="24" s="1"/>
  <c r="DO80" i="24"/>
  <c r="DR80" i="24"/>
  <c r="DX136" i="24"/>
  <c r="DX145" i="24"/>
  <c r="DO180" i="24"/>
  <c r="DR180" i="24"/>
  <c r="DU180" i="24" s="1"/>
  <c r="DO50" i="24"/>
  <c r="DR50" i="24"/>
  <c r="DO230" i="24"/>
  <c r="DR230" i="24"/>
  <c r="FA230" i="24" s="1"/>
  <c r="DZ67" i="24"/>
  <c r="DX67" i="24"/>
  <c r="EE200" i="24"/>
  <c r="EE117" i="24"/>
  <c r="DR241" i="24"/>
  <c r="DO241" i="24"/>
  <c r="DO97" i="24"/>
  <c r="DR97" i="24"/>
  <c r="DO153" i="24"/>
  <c r="DR153" i="24"/>
  <c r="DU153" i="24" s="1"/>
  <c r="DX164" i="24"/>
  <c r="EE206" i="24"/>
  <c r="DX132" i="24"/>
  <c r="DZ25" i="24"/>
  <c r="DX25" i="24"/>
  <c r="DR176" i="24"/>
  <c r="DU176" i="24" s="1"/>
  <c r="DO176" i="24"/>
  <c r="EE73" i="24"/>
  <c r="DO273" i="24"/>
  <c r="DR273" i="24"/>
  <c r="EL273" i="24" s="1"/>
  <c r="DO225" i="24"/>
  <c r="DR225" i="24"/>
  <c r="EE187" i="24"/>
  <c r="DR7" i="24"/>
  <c r="DO7" i="24"/>
  <c r="DO262" i="24"/>
  <c r="DR262" i="24"/>
  <c r="EL262" i="24" s="1"/>
  <c r="EE208" i="24"/>
  <c r="DR281" i="24"/>
  <c r="DO281" i="24"/>
  <c r="DR152" i="24"/>
  <c r="DU152" i="24" s="1"/>
  <c r="DO152" i="24"/>
  <c r="DO228" i="24"/>
  <c r="DR228" i="24"/>
  <c r="EL228" i="24" s="1"/>
  <c r="EE182" i="24"/>
  <c r="DX177" i="24"/>
  <c r="DR239" i="24"/>
  <c r="DO239" i="24"/>
  <c r="DR219" i="24"/>
  <c r="DO219" i="24"/>
  <c r="DZ60" i="24"/>
  <c r="DX60" i="24"/>
  <c r="DR82" i="24"/>
  <c r="DO82" i="24"/>
  <c r="DR16" i="24"/>
  <c r="DO16" i="24"/>
  <c r="DR170" i="24"/>
  <c r="DU170" i="24" s="1"/>
  <c r="DO170" i="24"/>
  <c r="DR194" i="24"/>
  <c r="DU194" i="24" s="1"/>
  <c r="DO194" i="24"/>
  <c r="DO266" i="24"/>
  <c r="DR266" i="24"/>
  <c r="DO130" i="24"/>
  <c r="DR130" i="24"/>
  <c r="DU130" i="24" s="1"/>
  <c r="DR62" i="24"/>
  <c r="DO62" i="24"/>
  <c r="DO57" i="24"/>
  <c r="DR57" i="24"/>
  <c r="DR186" i="24"/>
  <c r="DU186" i="24" s="1"/>
  <c r="DO186" i="24"/>
  <c r="DR303" i="24"/>
  <c r="FA303" i="24" s="1"/>
  <c r="DO303" i="24"/>
  <c r="DR277" i="24"/>
  <c r="FA277" i="24" s="1"/>
  <c r="DO277" i="24"/>
  <c r="DO199" i="24"/>
  <c r="DR199" i="24"/>
  <c r="DU199" i="24" s="1"/>
  <c r="DO270" i="24"/>
  <c r="DR270" i="24"/>
  <c r="EL270" i="24" s="1"/>
  <c r="DO154" i="24"/>
  <c r="DR154" i="24"/>
  <c r="DU154" i="24" s="1"/>
  <c r="DO253" i="24"/>
  <c r="DR253" i="24"/>
  <c r="EB253" i="24" s="1"/>
  <c r="DZ98" i="24"/>
  <c r="DX98" i="24"/>
  <c r="DZ8" i="24"/>
  <c r="DX8" i="24"/>
  <c r="DR316" i="24"/>
  <c r="EY316" i="24" s="1"/>
  <c r="DO316" i="24"/>
  <c r="DX185" i="24"/>
  <c r="DR218" i="24"/>
  <c r="EL218" i="24" s="1"/>
  <c r="DO218" i="24"/>
  <c r="DR294" i="24"/>
  <c r="DO294" i="24"/>
  <c r="DR292" i="24"/>
  <c r="DO292" i="24"/>
  <c r="DR54" i="24"/>
  <c r="DO54" i="24"/>
  <c r="EE191" i="24"/>
  <c r="DO118" i="24"/>
  <c r="DR118" i="24"/>
  <c r="DU118" i="24" s="1"/>
  <c r="DR312" i="24"/>
  <c r="FA312" i="24" s="1"/>
  <c r="DO312" i="24"/>
  <c r="DR121" i="24"/>
  <c r="DU121" i="24" s="1"/>
  <c r="DO121" i="24"/>
  <c r="DO258" i="24"/>
  <c r="DR258" i="24"/>
  <c r="DO182" i="24"/>
  <c r="DR182" i="24"/>
  <c r="DU182" i="24" s="1"/>
  <c r="EE49" i="24"/>
  <c r="EE144" i="24"/>
  <c r="EE178" i="24"/>
  <c r="DO232" i="24"/>
  <c r="DR232" i="24"/>
  <c r="DR60" i="24"/>
  <c r="DO60" i="24"/>
  <c r="DR255" i="24"/>
  <c r="DO255" i="24"/>
  <c r="EE121" i="24"/>
  <c r="DX170" i="24"/>
  <c r="EE19" i="24"/>
  <c r="EE140" i="24"/>
  <c r="DX142" i="24"/>
  <c r="DO291" i="24"/>
  <c r="DR291" i="24"/>
  <c r="EB291" i="24" s="1"/>
  <c r="DO272" i="24"/>
  <c r="DR272" i="24"/>
  <c r="DX152" i="24"/>
  <c r="DX127" i="24"/>
  <c r="DR45" i="24"/>
  <c r="DO45" i="24"/>
  <c r="DX33" i="24"/>
  <c r="DZ33" i="24"/>
  <c r="DO247" i="24"/>
  <c r="DR247" i="24"/>
  <c r="DO29" i="24"/>
  <c r="DR29" i="24"/>
  <c r="DR171" i="24"/>
  <c r="DU171" i="24" s="1"/>
  <c r="DO171" i="24"/>
  <c r="DX70" i="24"/>
  <c r="DZ70" i="24"/>
  <c r="DR249" i="24"/>
  <c r="DO249" i="24"/>
  <c r="DX122" i="24"/>
  <c r="DR202" i="24"/>
  <c r="DU202" i="24" s="1"/>
  <c r="DO202" i="24"/>
  <c r="DR185" i="24"/>
  <c r="DU185" i="24" s="1"/>
  <c r="DO185" i="24"/>
  <c r="DX134" i="24"/>
  <c r="DO250" i="24"/>
  <c r="DR250" i="24"/>
  <c r="EL250" i="24" s="1"/>
  <c r="DR114" i="24"/>
  <c r="DU114" i="24" s="1"/>
  <c r="DO114" i="24"/>
  <c r="DZ24" i="24"/>
  <c r="DX24" i="24"/>
  <c r="DX161" i="24"/>
  <c r="DR52" i="24"/>
  <c r="DO52" i="24"/>
  <c r="EE195" i="24"/>
  <c r="DZ29" i="24"/>
  <c r="DX29" i="24"/>
  <c r="DO201" i="24"/>
  <c r="DR201" i="24"/>
  <c r="DU201" i="24" s="1"/>
  <c r="DO192" i="24"/>
  <c r="DR192" i="24"/>
  <c r="DU192" i="24" s="1"/>
  <c r="DZ13" i="24"/>
  <c r="DX13" i="24"/>
  <c r="DX111" i="24"/>
  <c r="DR274" i="24"/>
  <c r="DO274" i="24"/>
  <c r="DO49" i="24"/>
  <c r="DR49" i="24"/>
  <c r="DR67" i="24"/>
  <c r="DO67" i="24"/>
  <c r="DO252" i="24"/>
  <c r="DR252" i="24"/>
  <c r="DO190" i="24"/>
  <c r="DX190" i="24"/>
  <c r="DR94" i="24"/>
  <c r="DO94" i="24"/>
  <c r="DR10" i="24"/>
  <c r="DO10" i="24"/>
  <c r="EE162" i="24"/>
  <c r="DO297" i="24"/>
  <c r="DR297" i="24"/>
  <c r="EE86" i="24"/>
  <c r="DO140" i="24"/>
  <c r="DR140" i="24"/>
  <c r="DU140" i="24" s="1"/>
  <c r="DO203" i="24"/>
  <c r="DR203" i="24"/>
  <c r="DU203" i="24" s="1"/>
  <c r="EE72" i="24"/>
  <c r="DR83" i="24"/>
  <c r="DO83" i="24"/>
  <c r="DO269" i="24"/>
  <c r="DR269" i="24"/>
  <c r="DO306" i="24"/>
  <c r="DR306" i="24"/>
  <c r="EY306" i="24" s="1"/>
  <c r="EE198" i="24"/>
  <c r="DR144" i="24"/>
  <c r="DU144" i="24" s="1"/>
  <c r="DO144" i="24"/>
  <c r="DR37" i="24"/>
  <c r="DO37" i="24"/>
  <c r="DR233" i="24"/>
  <c r="FA233" i="24" s="1"/>
  <c r="DO233" i="24"/>
  <c r="EE203" i="24"/>
  <c r="DR166" i="24"/>
  <c r="DU166" i="24" s="1"/>
  <c r="DO166" i="24"/>
  <c r="DO148" i="24"/>
  <c r="DR148" i="24"/>
  <c r="DU148" i="24" s="1"/>
  <c r="DR81" i="24"/>
  <c r="DO81" i="24"/>
  <c r="DR89" i="24"/>
  <c r="DO89" i="24"/>
  <c r="DR251" i="24"/>
  <c r="DO251" i="24"/>
  <c r="DO96" i="24"/>
  <c r="DX147" i="24"/>
  <c r="DO177" i="24"/>
  <c r="DR177" i="24"/>
  <c r="DU177" i="24" s="1"/>
  <c r="DO191" i="24"/>
  <c r="DR191" i="24"/>
  <c r="DU191" i="24" s="1"/>
  <c r="DO102" i="24"/>
  <c r="DR102" i="24"/>
  <c r="DO131" i="24"/>
  <c r="DR131" i="24"/>
  <c r="DU131" i="24" s="1"/>
  <c r="DZ71" i="24"/>
  <c r="DX71" i="24"/>
  <c r="DX193" i="24"/>
  <c r="DR226" i="24"/>
  <c r="DO226" i="24"/>
  <c r="DO34" i="24"/>
  <c r="DR34" i="24"/>
  <c r="DZ48" i="24"/>
  <c r="DX48" i="24"/>
  <c r="DR278" i="24"/>
  <c r="EL278" i="24" s="1"/>
  <c r="DO278" i="24"/>
  <c r="DZ100" i="24"/>
  <c r="DX100" i="24"/>
  <c r="DX158" i="24"/>
  <c r="DX103" i="24"/>
  <c r="DZ103" i="24"/>
  <c r="DO155" i="24"/>
  <c r="DR155" i="24"/>
  <c r="DU155" i="24" s="1"/>
  <c r="DZ68" i="24"/>
  <c r="DX68" i="24"/>
  <c r="DR264" i="24"/>
  <c r="DO264" i="24"/>
  <c r="DR265" i="24"/>
  <c r="DO265" i="24"/>
  <c r="DO87" i="24"/>
  <c r="DR87" i="24"/>
  <c r="DX77" i="24"/>
  <c r="DZ77" i="24"/>
  <c r="DX154" i="24"/>
  <c r="DR64" i="24"/>
  <c r="DO64" i="24"/>
  <c r="DR120" i="24"/>
  <c r="DU120" i="24" s="1"/>
  <c r="DO120" i="24"/>
  <c r="DO181" i="24"/>
  <c r="DR181" i="24"/>
  <c r="DU181" i="24" s="1"/>
  <c r="DR207" i="24"/>
  <c r="DU207" i="24" s="1"/>
  <c r="DO207" i="24"/>
  <c r="DR308" i="24"/>
  <c r="FA308" i="24" s="1"/>
  <c r="DO308" i="24"/>
  <c r="DR105" i="24"/>
  <c r="DO105" i="24"/>
  <c r="DO300" i="24"/>
  <c r="DR300" i="24"/>
  <c r="FA300" i="24" s="1"/>
  <c r="DR143" i="24"/>
  <c r="DU143" i="24" s="1"/>
  <c r="DO143" i="24"/>
  <c r="EE156" i="24"/>
  <c r="EE12" i="24"/>
  <c r="DO38" i="24"/>
  <c r="DR38" i="24"/>
  <c r="DZ89" i="24"/>
  <c r="DX89" i="24"/>
  <c r="DO99" i="24"/>
  <c r="DR99" i="24"/>
  <c r="DR30" i="24"/>
  <c r="DO30" i="24"/>
  <c r="EE143" i="24"/>
  <c r="DZ41" i="24"/>
  <c r="DX41" i="24"/>
  <c r="DR160" i="24"/>
  <c r="DU160" i="24" s="1"/>
  <c r="DO160" i="24"/>
  <c r="DX128" i="24"/>
  <c r="DR298" i="24"/>
  <c r="DO298" i="24"/>
  <c r="DR127" i="24"/>
  <c r="DU127" i="24" s="1"/>
  <c r="DX150" i="24"/>
  <c r="DR88" i="24"/>
  <c r="DQ216" i="25" l="1"/>
  <c r="DV216" i="25" s="1"/>
  <c r="DX216" i="25" s="1"/>
  <c r="EC216" i="25" s="1"/>
  <c r="DX143" i="25"/>
  <c r="EC143" i="25" s="1"/>
  <c r="DX212" i="25"/>
  <c r="EC212" i="25" s="1"/>
  <c r="DY212" i="25"/>
  <c r="EM190" i="24"/>
  <c r="EP190" i="24" s="1"/>
  <c r="DU190" i="24"/>
  <c r="EM255" i="24"/>
  <c r="EP255" i="24" s="1"/>
  <c r="EN255" i="24"/>
  <c r="EY255" i="24"/>
  <c r="FA255" i="24"/>
  <c r="EL255" i="24"/>
  <c r="EB255" i="24"/>
  <c r="EM297" i="24"/>
  <c r="EP297" i="24" s="1"/>
  <c r="EN297" i="24"/>
  <c r="EY297" i="24"/>
  <c r="EL297" i="24"/>
  <c r="EB297" i="24"/>
  <c r="EM239" i="24"/>
  <c r="EP239" i="24" s="1"/>
  <c r="EN239" i="24"/>
  <c r="EL239" i="24"/>
  <c r="EY239" i="24"/>
  <c r="EB239" i="24"/>
  <c r="FA239" i="24"/>
  <c r="EM281" i="24"/>
  <c r="EP281" i="24" s="1"/>
  <c r="EN281" i="24"/>
  <c r="FA281" i="24"/>
  <c r="EY281" i="24"/>
  <c r="EB281" i="24"/>
  <c r="EM286" i="24"/>
  <c r="EP286" i="24" s="1"/>
  <c r="EN286" i="24"/>
  <c r="EL286" i="24"/>
  <c r="EY286" i="24"/>
  <c r="EB286" i="24"/>
  <c r="EM296" i="24"/>
  <c r="EP296" i="24" s="1"/>
  <c r="EN296" i="24"/>
  <c r="EL296" i="24"/>
  <c r="EY296" i="24"/>
  <c r="FA296" i="24"/>
  <c r="EB296" i="24"/>
  <c r="EM256" i="24"/>
  <c r="EP256" i="24" s="1"/>
  <c r="EN256" i="24"/>
  <c r="FA256" i="24"/>
  <c r="EL256" i="24"/>
  <c r="EB256" i="24"/>
  <c r="EM222" i="24"/>
  <c r="EP222" i="24" s="1"/>
  <c r="EN222" i="24"/>
  <c r="EL222" i="24"/>
  <c r="EY222" i="24"/>
  <c r="FA222" i="24"/>
  <c r="EM276" i="24"/>
  <c r="EP276" i="24" s="1"/>
  <c r="EN276" i="24"/>
  <c r="EL276" i="24"/>
  <c r="EB276" i="24"/>
  <c r="EY276" i="24"/>
  <c r="EB299" i="24"/>
  <c r="FA306" i="24"/>
  <c r="EY304" i="24"/>
  <c r="EB267" i="24"/>
  <c r="EB250" i="24"/>
  <c r="EB316" i="24"/>
  <c r="FA262" i="24"/>
  <c r="EB248" i="24"/>
  <c r="EB315" i="24"/>
  <c r="FA297" i="24"/>
  <c r="EY256" i="24"/>
  <c r="EB222" i="24"/>
  <c r="EM291" i="24"/>
  <c r="EP291" i="24" s="1"/>
  <c r="EN291" i="24"/>
  <c r="EM294" i="24"/>
  <c r="EP294" i="24" s="1"/>
  <c r="EN294" i="24"/>
  <c r="EL294" i="24"/>
  <c r="EM274" i="24"/>
  <c r="EP274" i="24" s="1"/>
  <c r="EN274" i="24"/>
  <c r="EY274" i="24"/>
  <c r="EL274" i="24"/>
  <c r="EB274" i="24"/>
  <c r="EM258" i="24"/>
  <c r="EP258" i="24" s="1"/>
  <c r="EN258" i="24"/>
  <c r="EY258" i="24"/>
  <c r="EL258" i="24"/>
  <c r="EB258" i="24"/>
  <c r="EM218" i="24"/>
  <c r="EP218" i="24" s="1"/>
  <c r="EN218" i="24"/>
  <c r="EY218" i="24"/>
  <c r="EM253" i="24"/>
  <c r="EP253" i="24" s="1"/>
  <c r="EN253" i="24"/>
  <c r="EM273" i="24"/>
  <c r="EP273" i="24" s="1"/>
  <c r="EN273" i="24"/>
  <c r="FA273" i="24"/>
  <c r="EM223" i="24"/>
  <c r="EP223" i="24" s="1"/>
  <c r="EN223" i="24"/>
  <c r="EY223" i="24"/>
  <c r="FA223" i="24"/>
  <c r="EL223" i="24"/>
  <c r="EB223" i="24"/>
  <c r="EM224" i="24"/>
  <c r="EP224" i="24" s="1"/>
  <c r="EN224" i="24"/>
  <c r="EY224" i="24"/>
  <c r="EM309" i="24"/>
  <c r="EP309" i="24" s="1"/>
  <c r="EN309" i="24"/>
  <c r="EY309" i="24"/>
  <c r="EL309" i="24"/>
  <c r="EB309" i="24"/>
  <c r="EM227" i="24"/>
  <c r="EP227" i="24" s="1"/>
  <c r="EN227" i="24"/>
  <c r="EY227" i="24"/>
  <c r="FA227" i="24"/>
  <c r="EL227" i="24"/>
  <c r="EB227" i="24"/>
  <c r="EM220" i="24"/>
  <c r="EP220" i="24" s="1"/>
  <c r="EN220" i="24"/>
  <c r="EY220" i="24"/>
  <c r="EL220" i="24"/>
  <c r="EL299" i="24"/>
  <c r="EB306" i="24"/>
  <c r="FA285" i="24"/>
  <c r="EL267" i="24"/>
  <c r="EY253" i="24"/>
  <c r="EB288" i="24"/>
  <c r="EY250" i="24"/>
  <c r="EB277" i="24"/>
  <c r="EL291" i="24"/>
  <c r="EL316" i="24"/>
  <c r="EB294" i="24"/>
  <c r="EB270" i="24"/>
  <c r="FA218" i="24"/>
  <c r="EB220" i="24"/>
  <c r="EM225" i="24"/>
  <c r="EP225" i="24" s="1"/>
  <c r="EN225" i="24"/>
  <c r="EL225" i="24"/>
  <c r="EY225" i="24"/>
  <c r="EB225" i="24"/>
  <c r="FA225" i="24"/>
  <c r="EM298" i="24"/>
  <c r="EP298" i="24" s="1"/>
  <c r="EN298" i="24"/>
  <c r="EY298" i="24"/>
  <c r="EL298" i="24"/>
  <c r="EB298" i="24"/>
  <c r="EM308" i="24"/>
  <c r="EP308" i="24" s="1"/>
  <c r="EN308" i="24"/>
  <c r="EY308" i="24"/>
  <c r="EL308" i="24"/>
  <c r="EB308" i="24"/>
  <c r="EM226" i="24"/>
  <c r="EP226" i="24" s="1"/>
  <c r="EN226" i="24"/>
  <c r="EY226" i="24"/>
  <c r="EL226" i="24"/>
  <c r="EB226" i="24"/>
  <c r="EM252" i="24"/>
  <c r="EP252" i="24" s="1"/>
  <c r="EN252" i="24"/>
  <c r="EL252" i="24"/>
  <c r="EY252" i="24"/>
  <c r="EB252" i="24"/>
  <c r="EM232" i="24"/>
  <c r="EP232" i="24" s="1"/>
  <c r="EN232" i="24"/>
  <c r="EY232" i="24"/>
  <c r="EL232" i="24"/>
  <c r="EM262" i="24"/>
  <c r="EP262" i="24" s="1"/>
  <c r="EN262" i="24"/>
  <c r="EY262" i="24"/>
  <c r="EM241" i="24"/>
  <c r="EP241" i="24" s="1"/>
  <c r="EN241" i="24"/>
  <c r="EY241" i="24"/>
  <c r="EL241" i="24"/>
  <c r="EB241" i="24"/>
  <c r="EM311" i="24"/>
  <c r="EP311" i="24" s="1"/>
  <c r="EN311" i="24"/>
  <c r="EM229" i="24"/>
  <c r="EP229" i="24" s="1"/>
  <c r="EN229" i="24"/>
  <c r="EY229" i="24"/>
  <c r="EL229" i="24"/>
  <c r="EB229" i="24"/>
  <c r="EM245" i="24"/>
  <c r="EP245" i="24" s="1"/>
  <c r="EN245" i="24"/>
  <c r="EY245" i="24"/>
  <c r="FA245" i="24"/>
  <c r="EM293" i="24"/>
  <c r="EP293" i="24" s="1"/>
  <c r="EN293" i="24"/>
  <c r="EM271" i="24"/>
  <c r="EP271" i="24" s="1"/>
  <c r="EN271" i="24"/>
  <c r="EY271" i="24"/>
  <c r="FA271" i="24"/>
  <c r="EL271" i="24"/>
  <c r="EB271" i="24"/>
  <c r="EM304" i="24"/>
  <c r="EP304" i="24" s="1"/>
  <c r="EN304" i="24"/>
  <c r="EM295" i="24"/>
  <c r="EP295" i="24" s="1"/>
  <c r="EN295" i="24"/>
  <c r="EY295" i="24"/>
  <c r="EL295" i="24"/>
  <c r="EB295" i="24"/>
  <c r="FA299" i="24"/>
  <c r="FA293" i="24"/>
  <c r="EL253" i="24"/>
  <c r="FA316" i="24"/>
  <c r="FA270" i="24"/>
  <c r="EL248" i="24"/>
  <c r="EB217" i="24"/>
  <c r="FA220" i="24"/>
  <c r="FA276" i="24"/>
  <c r="FA226" i="24"/>
  <c r="FA274" i="24"/>
  <c r="EM277" i="24"/>
  <c r="EP277" i="24" s="1"/>
  <c r="EN277" i="24"/>
  <c r="EM289" i="24"/>
  <c r="EP289" i="24" s="1"/>
  <c r="EN289" i="24"/>
  <c r="EL289" i="24"/>
  <c r="FA289" i="24"/>
  <c r="EB289" i="24"/>
  <c r="EM315" i="24"/>
  <c r="EP315" i="24" s="1"/>
  <c r="EN315" i="24"/>
  <c r="EY315" i="24"/>
  <c r="EL315" i="24"/>
  <c r="EM305" i="24"/>
  <c r="EP305" i="24" s="1"/>
  <c r="EN305" i="24"/>
  <c r="EY305" i="24"/>
  <c r="EL305" i="24"/>
  <c r="EB305" i="24"/>
  <c r="EM237" i="24"/>
  <c r="EP237" i="24" s="1"/>
  <c r="EN237" i="24"/>
  <c r="EY237" i="24"/>
  <c r="EL237" i="24"/>
  <c r="EB237" i="24"/>
  <c r="EM221" i="24"/>
  <c r="EP221" i="24" s="1"/>
  <c r="EN221" i="24"/>
  <c r="EM282" i="24"/>
  <c r="EP282" i="24" s="1"/>
  <c r="EN282" i="24"/>
  <c r="EB282" i="24"/>
  <c r="EY282" i="24"/>
  <c r="FA282" i="24"/>
  <c r="EM288" i="24"/>
  <c r="EP288" i="24" s="1"/>
  <c r="EN288" i="24"/>
  <c r="EY285" i="24"/>
  <c r="EY293" i="24"/>
  <c r="EY288" i="24"/>
  <c r="FA291" i="24"/>
  <c r="FA221" i="24"/>
  <c r="EL311" i="24"/>
  <c r="EB224" i="24"/>
  <c r="EB234" i="24"/>
  <c r="EL282" i="24"/>
  <c r="EM278" i="24"/>
  <c r="EP278" i="24" s="1"/>
  <c r="EN278" i="24"/>
  <c r="EY278" i="24"/>
  <c r="FA278" i="24"/>
  <c r="EB278" i="24"/>
  <c r="EM228" i="24"/>
  <c r="EP228" i="24" s="1"/>
  <c r="EN228" i="24"/>
  <c r="EY228" i="24"/>
  <c r="EM265" i="24"/>
  <c r="EP265" i="24" s="1"/>
  <c r="EN265" i="24"/>
  <c r="EY265" i="24"/>
  <c r="FA265" i="24"/>
  <c r="EL265" i="24"/>
  <c r="EB265" i="24"/>
  <c r="EM306" i="24"/>
  <c r="EP306" i="24" s="1"/>
  <c r="EN306" i="24"/>
  <c r="EM250" i="24"/>
  <c r="EP250" i="24" s="1"/>
  <c r="EN250" i="24"/>
  <c r="EM316" i="24"/>
  <c r="EP316" i="24" s="1"/>
  <c r="EN316" i="24"/>
  <c r="EM219" i="24"/>
  <c r="EP219" i="24" s="1"/>
  <c r="EN219" i="24"/>
  <c r="EL219" i="24"/>
  <c r="EY219" i="24"/>
  <c r="EB219" i="24"/>
  <c r="FA219" i="24"/>
  <c r="EM240" i="24"/>
  <c r="EP240" i="24" s="1"/>
  <c r="EN240" i="24"/>
  <c r="EY240" i="24"/>
  <c r="EL240" i="24"/>
  <c r="EB240" i="24"/>
  <c r="EM246" i="24"/>
  <c r="EP246" i="24" s="1"/>
  <c r="EN246" i="24"/>
  <c r="EY246" i="24"/>
  <c r="EL246" i="24"/>
  <c r="EB246" i="24"/>
  <c r="EM254" i="24"/>
  <c r="EP254" i="24" s="1"/>
  <c r="EN254" i="24"/>
  <c r="EY254" i="24"/>
  <c r="EL254" i="24"/>
  <c r="EB254" i="24"/>
  <c r="EM236" i="24"/>
  <c r="EP236" i="24" s="1"/>
  <c r="EN236" i="24"/>
  <c r="EL236" i="24"/>
  <c r="EY236" i="24"/>
  <c r="EB236" i="24"/>
  <c r="FA236" i="24"/>
  <c r="EM280" i="24"/>
  <c r="EP280" i="24" s="1"/>
  <c r="EN280" i="24"/>
  <c r="EY280" i="24"/>
  <c r="EL280" i="24"/>
  <c r="EB280" i="24"/>
  <c r="EM217" i="24"/>
  <c r="EP217" i="24" s="1"/>
  <c r="EN217" i="24"/>
  <c r="EY217" i="24"/>
  <c r="EL217" i="24"/>
  <c r="EM284" i="24"/>
  <c r="EP284" i="24" s="1"/>
  <c r="EN284" i="24"/>
  <c r="EY284" i="24"/>
  <c r="EL284" i="24"/>
  <c r="EB284" i="24"/>
  <c r="EM267" i="24"/>
  <c r="EP267" i="24" s="1"/>
  <c r="EN267" i="24"/>
  <c r="EM244" i="24"/>
  <c r="EP244" i="24" s="1"/>
  <c r="EN244" i="24"/>
  <c r="EY244" i="24"/>
  <c r="EL244" i="24"/>
  <c r="EB244" i="24"/>
  <c r="EM243" i="24"/>
  <c r="EP243" i="24" s="1"/>
  <c r="EN243" i="24"/>
  <c r="EY243" i="24"/>
  <c r="FA243" i="24"/>
  <c r="EL243" i="24"/>
  <c r="EB243" i="24"/>
  <c r="EL304" i="24"/>
  <c r="FA253" i="24"/>
  <c r="FA250" i="24"/>
  <c r="EY277" i="24"/>
  <c r="FA311" i="24"/>
  <c r="FA294" i="24"/>
  <c r="EL224" i="24"/>
  <c r="EL281" i="24"/>
  <c r="FA280" i="24"/>
  <c r="FA254" i="24"/>
  <c r="FA286" i="24"/>
  <c r="FA241" i="24"/>
  <c r="FA237" i="24"/>
  <c r="FA305" i="24"/>
  <c r="FA258" i="24"/>
  <c r="EM251" i="24"/>
  <c r="EP251" i="24" s="1"/>
  <c r="EN251" i="24"/>
  <c r="EY251" i="24"/>
  <c r="EL251" i="24"/>
  <c r="EB251" i="24"/>
  <c r="EM300" i="24"/>
  <c r="EP300" i="24" s="1"/>
  <c r="EN300" i="24"/>
  <c r="EY300" i="24"/>
  <c r="EL300" i="24"/>
  <c r="EB300" i="24"/>
  <c r="EM247" i="24"/>
  <c r="EP247" i="24" s="1"/>
  <c r="EN247" i="24"/>
  <c r="EY247" i="24"/>
  <c r="EL247" i="24"/>
  <c r="EB247" i="24"/>
  <c r="EM272" i="24"/>
  <c r="EP272" i="24" s="1"/>
  <c r="EN272" i="24"/>
  <c r="EY272" i="24"/>
  <c r="EL272" i="24"/>
  <c r="EB272" i="24"/>
  <c r="EM292" i="24"/>
  <c r="EP292" i="24" s="1"/>
  <c r="EN292" i="24"/>
  <c r="FA292" i="24"/>
  <c r="EL292" i="24"/>
  <c r="EY292" i="24"/>
  <c r="EM303" i="24"/>
  <c r="EP303" i="24" s="1"/>
  <c r="EN303" i="24"/>
  <c r="EY303" i="24"/>
  <c r="EL303" i="24"/>
  <c r="EB303" i="24"/>
  <c r="EM261" i="24"/>
  <c r="EP261" i="24" s="1"/>
  <c r="EN261" i="24"/>
  <c r="EL261" i="24"/>
  <c r="EY261" i="24"/>
  <c r="EB261" i="24"/>
  <c r="EM314" i="24"/>
  <c r="EP314" i="24" s="1"/>
  <c r="EN314" i="24"/>
  <c r="EY314" i="24"/>
  <c r="EL314" i="24"/>
  <c r="EB314" i="24"/>
  <c r="EM260" i="24"/>
  <c r="EP260" i="24" s="1"/>
  <c r="EN260" i="24"/>
  <c r="EY260" i="24"/>
  <c r="FA260" i="24"/>
  <c r="EB260" i="24"/>
  <c r="EM268" i="24"/>
  <c r="EP268" i="24" s="1"/>
  <c r="EN268" i="24"/>
  <c r="EL268" i="24"/>
  <c r="FA268" i="24"/>
  <c r="EY268" i="24"/>
  <c r="EB268" i="24"/>
  <c r="EM234" i="24"/>
  <c r="EP234" i="24" s="1"/>
  <c r="EN234" i="24"/>
  <c r="EY234" i="24"/>
  <c r="EM301" i="24"/>
  <c r="EP301" i="24" s="1"/>
  <c r="EN301" i="24"/>
  <c r="EY301" i="24"/>
  <c r="EL301" i="24"/>
  <c r="EB301" i="24"/>
  <c r="EM307" i="24"/>
  <c r="EP307" i="24" s="1"/>
  <c r="EN307" i="24"/>
  <c r="EY307" i="24"/>
  <c r="EM290" i="24"/>
  <c r="EP290" i="24" s="1"/>
  <c r="EN290" i="24"/>
  <c r="EY290" i="24"/>
  <c r="EL290" i="24"/>
  <c r="EB290" i="24"/>
  <c r="EM238" i="24"/>
  <c r="EP238" i="24" s="1"/>
  <c r="EN238" i="24"/>
  <c r="EY238" i="24"/>
  <c r="EL238" i="24"/>
  <c r="EB238" i="24"/>
  <c r="EM257" i="24"/>
  <c r="EP257" i="24" s="1"/>
  <c r="EN257" i="24"/>
  <c r="EY257" i="24"/>
  <c r="FA257" i="24"/>
  <c r="EL257" i="24"/>
  <c r="EB257" i="24"/>
  <c r="EM242" i="24"/>
  <c r="EP242" i="24" s="1"/>
  <c r="EN242" i="24"/>
  <c r="FA242" i="24"/>
  <c r="EL242" i="24"/>
  <c r="EB242" i="24"/>
  <c r="EY242" i="24"/>
  <c r="EL306" i="24"/>
  <c r="FA304" i="24"/>
  <c r="EY267" i="24"/>
  <c r="EL277" i="24"/>
  <c r="EY291" i="24"/>
  <c r="EY221" i="24"/>
  <c r="FA224" i="24"/>
  <c r="EB307" i="24"/>
  <c r="FA234" i="24"/>
  <c r="EB245" i="24"/>
  <c r="EM264" i="24"/>
  <c r="EP264" i="24" s="1"/>
  <c r="EN264" i="24"/>
  <c r="EY264" i="24"/>
  <c r="EL264" i="24"/>
  <c r="EB264" i="24"/>
  <c r="EM233" i="24"/>
  <c r="EP233" i="24" s="1"/>
  <c r="EN233" i="24"/>
  <c r="EY233" i="24"/>
  <c r="EL233" i="24"/>
  <c r="EB233" i="24"/>
  <c r="EM269" i="24"/>
  <c r="EP269" i="24" s="1"/>
  <c r="EN269" i="24"/>
  <c r="EY269" i="24"/>
  <c r="FA269" i="24"/>
  <c r="EL269" i="24"/>
  <c r="EB269" i="24"/>
  <c r="EM249" i="24"/>
  <c r="EP249" i="24" s="1"/>
  <c r="EN249" i="24"/>
  <c r="EL249" i="24"/>
  <c r="EY249" i="24"/>
  <c r="EB249" i="24"/>
  <c r="EM312" i="24"/>
  <c r="EP312" i="24" s="1"/>
  <c r="EN312" i="24"/>
  <c r="EY312" i="24"/>
  <c r="EL312" i="24"/>
  <c r="EB312" i="24"/>
  <c r="EM270" i="24"/>
  <c r="EP270" i="24" s="1"/>
  <c r="EN270" i="24"/>
  <c r="EY270" i="24"/>
  <c r="EM266" i="24"/>
  <c r="EP266" i="24" s="1"/>
  <c r="EN266" i="24"/>
  <c r="EY266" i="24"/>
  <c r="EL266" i="24"/>
  <c r="FA266" i="24"/>
  <c r="EB266" i="24"/>
  <c r="EM310" i="24"/>
  <c r="EP310" i="24" s="1"/>
  <c r="EN310" i="24"/>
  <c r="EY310" i="24"/>
  <c r="EL310" i="24"/>
  <c r="EB310" i="24"/>
  <c r="EM287" i="24"/>
  <c r="EP287" i="24" s="1"/>
  <c r="EN287" i="24"/>
  <c r="EY287" i="24"/>
  <c r="EL287" i="24"/>
  <c r="EB287" i="24"/>
  <c r="EM263" i="24"/>
  <c r="EP263" i="24" s="1"/>
  <c r="EN263" i="24"/>
  <c r="EY263" i="24"/>
  <c r="FA263" i="24"/>
  <c r="EL263" i="24"/>
  <c r="EB263" i="24"/>
  <c r="EM235" i="24"/>
  <c r="EP235" i="24" s="1"/>
  <c r="EN235" i="24"/>
  <c r="EY235" i="24"/>
  <c r="EL235" i="24"/>
  <c r="EB235" i="24"/>
  <c r="EM302" i="24"/>
  <c r="EP302" i="24" s="1"/>
  <c r="EN302" i="24"/>
  <c r="EY302" i="24"/>
  <c r="FA302" i="24"/>
  <c r="EB302" i="24"/>
  <c r="EM299" i="24"/>
  <c r="EP299" i="24" s="1"/>
  <c r="EN299" i="24"/>
  <c r="EM259" i="24"/>
  <c r="EP259" i="24" s="1"/>
  <c r="EN259" i="24"/>
  <c r="EL259" i="24"/>
  <c r="EY259" i="24"/>
  <c r="EB259" i="24"/>
  <c r="EM231" i="24"/>
  <c r="EP231" i="24" s="1"/>
  <c r="EN231" i="24"/>
  <c r="FA231" i="24"/>
  <c r="EL231" i="24"/>
  <c r="EB231" i="24"/>
  <c r="EM313" i="24"/>
  <c r="EP313" i="24" s="1"/>
  <c r="EN313" i="24"/>
  <c r="EL313" i="24"/>
  <c r="EY313" i="24"/>
  <c r="FA313" i="24"/>
  <c r="EB313" i="24"/>
  <c r="EM275" i="24"/>
  <c r="EP275" i="24" s="1"/>
  <c r="EN275" i="24"/>
  <c r="EL275" i="24"/>
  <c r="EY275" i="24"/>
  <c r="EB275" i="24"/>
  <c r="FA275" i="24"/>
  <c r="EM285" i="24"/>
  <c r="EP285" i="24" s="1"/>
  <c r="EN285" i="24"/>
  <c r="EB262" i="24"/>
  <c r="FA228" i="24"/>
  <c r="EL307" i="24"/>
  <c r="EY273" i="24"/>
  <c r="EL245" i="24"/>
  <c r="EB232" i="24"/>
  <c r="EB292" i="24"/>
  <c r="FA249" i="24"/>
  <c r="FA272" i="24"/>
  <c r="FA264" i="24"/>
  <c r="FA247" i="24"/>
  <c r="FA235" i="24"/>
  <c r="FA244" i="24"/>
  <c r="FA295" i="24"/>
  <c r="FA252" i="24"/>
  <c r="EY231" i="24"/>
  <c r="FA251" i="24"/>
  <c r="FA284" i="24"/>
  <c r="FA298" i="24"/>
  <c r="FA290" i="24"/>
  <c r="EM230" i="24"/>
  <c r="EP230" i="24" s="1"/>
  <c r="EN230" i="24"/>
  <c r="EY230" i="24"/>
  <c r="EL230" i="24"/>
  <c r="EB230" i="24"/>
  <c r="EM248" i="24"/>
  <c r="EP248" i="24" s="1"/>
  <c r="EN248" i="24"/>
  <c r="EY248" i="24"/>
  <c r="EM279" i="24"/>
  <c r="EP279" i="24" s="1"/>
  <c r="EN279" i="24"/>
  <c r="EY279" i="24"/>
  <c r="FA279" i="24"/>
  <c r="EB279" i="24"/>
  <c r="EL279" i="24"/>
  <c r="EM283" i="24"/>
  <c r="EP283" i="24" s="1"/>
  <c r="EN283" i="24"/>
  <c r="EL283" i="24"/>
  <c r="EB283" i="24"/>
  <c r="FA283" i="24"/>
  <c r="EL285" i="24"/>
  <c r="EB293" i="24"/>
  <c r="EL288" i="24"/>
  <c r="EB221" i="24"/>
  <c r="EY311" i="24"/>
  <c r="EY294" i="24"/>
  <c r="EB228" i="24"/>
  <c r="EB218" i="24"/>
  <c r="FA307" i="24"/>
  <c r="EB273" i="24"/>
  <c r="FA232" i="24"/>
  <c r="EY216" i="25"/>
  <c r="DX112" i="25"/>
  <c r="EC112" i="25" s="1"/>
  <c r="DY112" i="25"/>
  <c r="CG182" i="25"/>
  <c r="CH182" i="25"/>
  <c r="CG138" i="25"/>
  <c r="CH138" i="25"/>
  <c r="CG143" i="25"/>
  <c r="CH181" i="25"/>
  <c r="CG181" i="25"/>
  <c r="EY89" i="24"/>
  <c r="FA67" i="24"/>
  <c r="EB52" i="24"/>
  <c r="FA47" i="24"/>
  <c r="EL161" i="24"/>
  <c r="EL42" i="24"/>
  <c r="EB65" i="24"/>
  <c r="FA43" i="24"/>
  <c r="EL122" i="24"/>
  <c r="EB100" i="24"/>
  <c r="DW243" i="24"/>
  <c r="DY243" i="24" s="1"/>
  <c r="EF243" i="24" s="1"/>
  <c r="EB152" i="24"/>
  <c r="EB33" i="24"/>
  <c r="FA71" i="24"/>
  <c r="FA14" i="24"/>
  <c r="EY164" i="24"/>
  <c r="EB103" i="24"/>
  <c r="EL90" i="24"/>
  <c r="DW242" i="24"/>
  <c r="DY242" i="24" s="1"/>
  <c r="EF242" i="24" s="1"/>
  <c r="FA160" i="24"/>
  <c r="EB127" i="24"/>
  <c r="FA201" i="24"/>
  <c r="EB186" i="24"/>
  <c r="EB53" i="24"/>
  <c r="EY193" i="24"/>
  <c r="EY157" i="24"/>
  <c r="EB77" i="24"/>
  <c r="EL63" i="24"/>
  <c r="EB78" i="24"/>
  <c r="FA39" i="24"/>
  <c r="EL37" i="24"/>
  <c r="FA199" i="24"/>
  <c r="EB23" i="24"/>
  <c r="EB142" i="24"/>
  <c r="EY24" i="24"/>
  <c r="DW285" i="24"/>
  <c r="DY285" i="24" s="1"/>
  <c r="EF285" i="24" s="1"/>
  <c r="EL190" i="24"/>
  <c r="EY30" i="24"/>
  <c r="FA155" i="24"/>
  <c r="EL83" i="24"/>
  <c r="FA185" i="24"/>
  <c r="EY60" i="24"/>
  <c r="EL25" i="24"/>
  <c r="EL128" i="24"/>
  <c r="FA136" i="24"/>
  <c r="FA167" i="24"/>
  <c r="EB174" i="24"/>
  <c r="EY26" i="24"/>
  <c r="EB68" i="24"/>
  <c r="EY197" i="24"/>
  <c r="CG110" i="24"/>
  <c r="FL110" i="24"/>
  <c r="EM169" i="24"/>
  <c r="EP169" i="24" s="1"/>
  <c r="FA171" i="24"/>
  <c r="EL50" i="24"/>
  <c r="FA124" i="24"/>
  <c r="EY175" i="24"/>
  <c r="FA138" i="24"/>
  <c r="EY183" i="24"/>
  <c r="EL133" i="24"/>
  <c r="EY158" i="24"/>
  <c r="EL145" i="24"/>
  <c r="DU92" i="24"/>
  <c r="FA74" i="24"/>
  <c r="FA202" i="24"/>
  <c r="EY29" i="24"/>
  <c r="EB54" i="24"/>
  <c r="EL154" i="24"/>
  <c r="FA62" i="24"/>
  <c r="EL170" i="24"/>
  <c r="EY41" i="24"/>
  <c r="EB8" i="24"/>
  <c r="EL55" i="24"/>
  <c r="EB104" i="24"/>
  <c r="EY40" i="24"/>
  <c r="FA61" i="24"/>
  <c r="EL150" i="24"/>
  <c r="FA159" i="24"/>
  <c r="EL129" i="24"/>
  <c r="EY48" i="24"/>
  <c r="EY111" i="24"/>
  <c r="EL173" i="24"/>
  <c r="EL112" i="24"/>
  <c r="FA70" i="24"/>
  <c r="EY126" i="24"/>
  <c r="FA44" i="24"/>
  <c r="DU96" i="24"/>
  <c r="EY177" i="24"/>
  <c r="FA10" i="24"/>
  <c r="EL172" i="24"/>
  <c r="EL98" i="24"/>
  <c r="FA132" i="24"/>
  <c r="EB13" i="24"/>
  <c r="EY147" i="24"/>
  <c r="EL123" i="24"/>
  <c r="EL134" i="24"/>
  <c r="EL35" i="24"/>
  <c r="CG5" i="24"/>
  <c r="K5" i="24" s="1"/>
  <c r="FL5" i="24"/>
  <c r="EL209" i="24"/>
  <c r="EM92" i="24"/>
  <c r="EP92" i="24" s="1"/>
  <c r="EB74" i="24"/>
  <c r="EN92" i="24"/>
  <c r="DW92" i="24"/>
  <c r="DY92" i="24" s="1"/>
  <c r="EF92" i="24" s="1"/>
  <c r="EL92" i="24"/>
  <c r="DU74" i="24"/>
  <c r="EB92" i="24"/>
  <c r="EM74" i="24"/>
  <c r="EP74" i="24" s="1"/>
  <c r="FA92" i="24"/>
  <c r="EL74" i="24"/>
  <c r="DW74" i="24"/>
  <c r="DY74" i="24" s="1"/>
  <c r="EF74" i="24" s="1"/>
  <c r="EY92" i="24"/>
  <c r="EY74" i="24"/>
  <c r="EN74" i="24"/>
  <c r="FA169" i="24"/>
  <c r="DW169" i="24"/>
  <c r="DY169" i="24" s="1"/>
  <c r="EF169" i="24" s="1"/>
  <c r="EN169" i="24"/>
  <c r="EB169" i="24"/>
  <c r="EL169" i="24"/>
  <c r="EY169" i="24"/>
  <c r="EB190" i="24"/>
  <c r="EN190" i="24"/>
  <c r="FA190" i="24"/>
  <c r="DW190" i="24"/>
  <c r="EA190" i="24" s="1"/>
  <c r="FL190" i="24" s="1"/>
  <c r="DX181" i="25"/>
  <c r="EC181" i="25" s="1"/>
  <c r="DU243" i="24"/>
  <c r="EL24" i="24"/>
  <c r="FA150" i="24"/>
  <c r="DY64" i="25"/>
  <c r="FL64" i="25" s="1"/>
  <c r="DY96" i="25"/>
  <c r="FL96" i="25" s="1"/>
  <c r="FA100" i="24"/>
  <c r="FA90" i="24"/>
  <c r="EL39" i="24"/>
  <c r="EL78" i="24"/>
  <c r="DY183" i="25"/>
  <c r="DY97" i="25"/>
  <c r="FL97" i="25" s="1"/>
  <c r="EM96" i="24"/>
  <c r="EP96" i="24" s="1"/>
  <c r="EB193" i="24"/>
  <c r="DW96" i="24"/>
  <c r="DY96" i="24" s="1"/>
  <c r="EF96" i="24" s="1"/>
  <c r="EB96" i="24"/>
  <c r="FA68" i="24"/>
  <c r="DU90" i="24"/>
  <c r="EL40" i="24"/>
  <c r="EM90" i="24"/>
  <c r="EP90" i="24" s="1"/>
  <c r="DU242" i="24"/>
  <c r="EN90" i="24"/>
  <c r="FA104" i="24"/>
  <c r="DW90" i="24"/>
  <c r="DY90" i="24" s="1"/>
  <c r="EF90" i="24" s="1"/>
  <c r="EB90" i="24"/>
  <c r="DY185" i="25"/>
  <c r="CG185" i="25" s="1"/>
  <c r="DY131" i="25"/>
  <c r="CG131" i="25" s="1"/>
  <c r="EY90" i="24"/>
  <c r="EB123" i="24"/>
  <c r="EY123" i="24"/>
  <c r="FA78" i="24"/>
  <c r="DU39" i="24"/>
  <c r="EY39" i="24"/>
  <c r="DU78" i="24"/>
  <c r="EB70" i="24"/>
  <c r="EY145" i="24"/>
  <c r="EM39" i="24"/>
  <c r="EP39" i="24" s="1"/>
  <c r="EB39" i="24"/>
  <c r="EN39" i="24"/>
  <c r="EN78" i="24"/>
  <c r="EL70" i="24"/>
  <c r="EB145" i="24"/>
  <c r="EY112" i="24"/>
  <c r="DW39" i="24"/>
  <c r="DY39" i="24" s="1"/>
  <c r="EF39" i="24" s="1"/>
  <c r="EM78" i="24"/>
  <c r="EP78" i="24" s="1"/>
  <c r="FA145" i="24"/>
  <c r="DW78" i="24"/>
  <c r="DY78" i="24" s="1"/>
  <c r="EF78" i="24" s="1"/>
  <c r="EY78" i="24"/>
  <c r="EY70" i="24"/>
  <c r="FA112" i="24"/>
  <c r="EL142" i="24"/>
  <c r="EL43" i="24"/>
  <c r="FA134" i="24"/>
  <c r="FA122" i="24"/>
  <c r="EB134" i="24"/>
  <c r="EB122" i="24"/>
  <c r="DY103" i="25"/>
  <c r="CH103" i="25" s="1"/>
  <c r="EY122" i="24"/>
  <c r="EY142" i="24"/>
  <c r="DY74" i="25"/>
  <c r="FL74" i="25" s="1"/>
  <c r="EL13" i="24"/>
  <c r="EB24" i="24"/>
  <c r="EB128" i="24"/>
  <c r="EL48" i="24"/>
  <c r="EB147" i="24"/>
  <c r="FA111" i="24"/>
  <c r="EN96" i="24"/>
  <c r="EL147" i="24"/>
  <c r="FA128" i="24"/>
  <c r="EY68" i="24"/>
  <c r="EB48" i="24"/>
  <c r="EL111" i="24"/>
  <c r="EY161" i="24"/>
  <c r="DY58" i="25"/>
  <c r="CH58" i="25" s="1"/>
  <c r="EL68" i="24"/>
  <c r="EB111" i="24"/>
  <c r="EY96" i="24"/>
  <c r="DY37" i="25"/>
  <c r="CH37" i="25" s="1"/>
  <c r="EY128" i="24"/>
  <c r="FA147" i="24"/>
  <c r="EY167" i="24"/>
  <c r="FA96" i="24"/>
  <c r="EL96" i="24"/>
  <c r="DY95" i="25"/>
  <c r="FL95" i="25" s="1"/>
  <c r="EL100" i="24"/>
  <c r="EY100" i="24"/>
  <c r="FA40" i="24"/>
  <c r="FA123" i="24"/>
  <c r="EC110" i="24"/>
  <c r="ED110" i="24" s="1"/>
  <c r="EH110" i="24"/>
  <c r="EI110" i="24"/>
  <c r="EX110" i="24" s="1"/>
  <c r="EL104" i="24"/>
  <c r="FA158" i="24"/>
  <c r="EH5" i="24"/>
  <c r="EC5" i="24"/>
  <c r="ED5" i="24" s="1"/>
  <c r="EI5" i="24"/>
  <c r="EX5" i="24" s="1"/>
  <c r="EB158" i="24"/>
  <c r="EG182" i="25"/>
  <c r="EX182" i="25" s="1"/>
  <c r="DY216" i="24"/>
  <c r="EF216" i="24" s="1"/>
  <c r="EA216" i="24"/>
  <c r="DY145" i="25"/>
  <c r="CH145" i="25" s="1"/>
  <c r="FA193" i="24"/>
  <c r="EY159" i="24"/>
  <c r="FA173" i="24"/>
  <c r="DY89" i="25"/>
  <c r="CH89" i="25" s="1"/>
  <c r="DY199" i="25"/>
  <c r="EF199" i="25" s="1"/>
  <c r="EW199" i="25" s="1"/>
  <c r="DY56" i="25"/>
  <c r="CH56" i="25" s="1"/>
  <c r="DY90" i="25"/>
  <c r="FL90" i="25" s="1"/>
  <c r="DY136" i="25"/>
  <c r="CH136" i="25" s="1"/>
  <c r="EL103" i="24"/>
  <c r="EB164" i="24"/>
  <c r="EL26" i="24"/>
  <c r="DY77" i="25"/>
  <c r="CH77" i="25" s="1"/>
  <c r="EY103" i="24"/>
  <c r="FA164" i="24"/>
  <c r="FA77" i="24"/>
  <c r="DY158" i="25"/>
  <c r="CG158" i="25" s="1"/>
  <c r="EY77" i="24"/>
  <c r="FA26" i="24"/>
  <c r="EL77" i="24"/>
  <c r="FA103" i="24"/>
  <c r="EY98" i="24"/>
  <c r="EB26" i="24"/>
  <c r="EY150" i="24"/>
  <c r="EY104" i="24"/>
  <c r="EB40" i="24"/>
  <c r="EB61" i="24"/>
  <c r="EL159" i="24"/>
  <c r="EB150" i="24"/>
  <c r="EY61" i="24"/>
  <c r="FA152" i="24"/>
  <c r="EY152" i="24"/>
  <c r="DU285" i="24"/>
  <c r="EL41" i="24"/>
  <c r="EY8" i="24"/>
  <c r="FA41" i="24"/>
  <c r="EB197" i="24"/>
  <c r="DY156" i="25"/>
  <c r="CG156" i="25" s="1"/>
  <c r="DY194" i="25"/>
  <c r="CG194" i="25" s="1"/>
  <c r="DY73" i="25"/>
  <c r="CH73" i="25" s="1"/>
  <c r="DY99" i="25"/>
  <c r="FL99" i="25" s="1"/>
  <c r="EY25" i="24"/>
  <c r="FA170" i="24"/>
  <c r="DY137" i="25"/>
  <c r="EF137" i="25" s="1"/>
  <c r="EW137" i="25" s="1"/>
  <c r="EB161" i="24"/>
  <c r="FA161" i="24"/>
  <c r="EY170" i="24"/>
  <c r="FA154" i="24"/>
  <c r="EL136" i="24"/>
  <c r="EL152" i="24"/>
  <c r="EB170" i="24"/>
  <c r="EY136" i="24"/>
  <c r="EB136" i="24"/>
  <c r="EY132" i="24"/>
  <c r="EB132" i="24"/>
  <c r="EL167" i="24"/>
  <c r="EB25" i="24"/>
  <c r="DY164" i="25"/>
  <c r="EG164" i="25" s="1"/>
  <c r="EX164" i="25" s="1"/>
  <c r="DY173" i="25"/>
  <c r="EG173" i="25" s="1"/>
  <c r="EX173" i="25" s="1"/>
  <c r="EE182" i="25"/>
  <c r="EI182" i="25" s="1"/>
  <c r="DY128" i="25"/>
  <c r="EG128" i="25" s="1"/>
  <c r="EX128" i="25" s="1"/>
  <c r="EF182" i="25"/>
  <c r="EW182" i="25" s="1"/>
  <c r="DY81" i="25"/>
  <c r="CH81" i="25" s="1"/>
  <c r="DY93" i="25"/>
  <c r="FL93" i="25" s="1"/>
  <c r="DY83" i="25"/>
  <c r="FL83" i="25" s="1"/>
  <c r="DY47" i="25"/>
  <c r="CH47" i="25" s="1"/>
  <c r="DY141" i="25"/>
  <c r="CH141" i="25" s="1"/>
  <c r="DY169" i="25"/>
  <c r="CH169" i="25" s="1"/>
  <c r="DY180" i="25"/>
  <c r="CH180" i="25" s="1"/>
  <c r="DY9" i="25"/>
  <c r="FL9" i="25" s="1"/>
  <c r="DY178" i="25"/>
  <c r="CH178" i="25" s="1"/>
  <c r="DY42" i="25"/>
  <c r="FL42" i="25" s="1"/>
  <c r="DY129" i="25"/>
  <c r="CH129" i="25" s="1"/>
  <c r="DY34" i="25"/>
  <c r="FL34" i="25" s="1"/>
  <c r="DY23" i="25"/>
  <c r="FL23" i="25" s="1"/>
  <c r="DY171" i="25"/>
  <c r="EG171" i="25" s="1"/>
  <c r="EX171" i="25" s="1"/>
  <c r="DY111" i="25"/>
  <c r="CH111" i="25" s="1"/>
  <c r="DY49" i="25"/>
  <c r="FL49" i="25" s="1"/>
  <c r="DY17" i="25"/>
  <c r="FL17" i="25" s="1"/>
  <c r="DY33" i="25"/>
  <c r="CG33" i="25" s="1"/>
  <c r="DY25" i="25"/>
  <c r="CH25" i="25" s="1"/>
  <c r="DY87" i="25"/>
  <c r="FL87" i="25" s="1"/>
  <c r="EY134" i="24"/>
  <c r="EL132" i="24"/>
  <c r="EB167" i="24"/>
  <c r="EY43" i="24"/>
  <c r="EB159" i="24"/>
  <c r="EB126" i="24"/>
  <c r="DX300" i="25"/>
  <c r="EC300" i="25" s="1"/>
  <c r="DY300" i="25"/>
  <c r="DX50" i="25"/>
  <c r="EC50" i="25" s="1"/>
  <c r="DY50" i="25"/>
  <c r="FL50" i="25" s="1"/>
  <c r="DX271" i="25"/>
  <c r="EC271" i="25" s="1"/>
  <c r="DY271" i="25"/>
  <c r="DX19" i="25"/>
  <c r="EC19" i="25" s="1"/>
  <c r="DY19" i="25"/>
  <c r="FL19" i="25" s="1"/>
  <c r="DX6" i="25"/>
  <c r="EC6" i="25" s="1"/>
  <c r="DY6" i="25"/>
  <c r="FL6" i="25" s="1"/>
  <c r="DX20" i="25"/>
  <c r="EC20" i="25" s="1"/>
  <c r="DY20" i="25"/>
  <c r="FL20" i="25" s="1"/>
  <c r="DY65" i="25"/>
  <c r="FL65" i="25" s="1"/>
  <c r="DX125" i="25"/>
  <c r="EC125" i="25" s="1"/>
  <c r="DY125" i="25"/>
  <c r="CH125" i="25" s="1"/>
  <c r="DX132" i="25"/>
  <c r="EC132" i="25" s="1"/>
  <c r="DY132" i="25"/>
  <c r="CH132" i="25" s="1"/>
  <c r="DX114" i="25"/>
  <c r="EC114" i="25" s="1"/>
  <c r="DY114" i="25"/>
  <c r="CG114" i="25" s="1"/>
  <c r="DY13" i="25"/>
  <c r="FL13" i="25" s="1"/>
  <c r="DX209" i="25"/>
  <c r="EC209" i="25" s="1"/>
  <c r="DY209" i="25"/>
  <c r="CH209" i="25" s="1"/>
  <c r="DX68" i="25"/>
  <c r="EC68" i="25" s="1"/>
  <c r="DY68" i="25"/>
  <c r="FL68" i="25" s="1"/>
  <c r="DY98" i="25"/>
  <c r="FL98" i="25" s="1"/>
  <c r="DX133" i="25"/>
  <c r="EC133" i="25" s="1"/>
  <c r="DY133" i="25"/>
  <c r="CH133" i="25" s="1"/>
  <c r="DX267" i="25"/>
  <c r="EC267" i="25" s="1"/>
  <c r="DY267" i="25"/>
  <c r="DX257" i="25"/>
  <c r="EC257" i="25" s="1"/>
  <c r="DY257" i="25"/>
  <c r="DY91" i="25"/>
  <c r="FL91" i="25" s="1"/>
  <c r="DX230" i="25"/>
  <c r="EC230" i="25" s="1"/>
  <c r="DY230" i="25"/>
  <c r="DX278" i="25"/>
  <c r="EC278" i="25" s="1"/>
  <c r="DY278" i="25"/>
  <c r="DY78" i="25"/>
  <c r="FL78" i="25" s="1"/>
  <c r="DX313" i="25"/>
  <c r="EC313" i="25" s="1"/>
  <c r="DY313" i="25"/>
  <c r="DX204" i="25"/>
  <c r="EC204" i="25" s="1"/>
  <c r="DY204" i="25"/>
  <c r="CH204" i="25" s="1"/>
  <c r="DY92" i="25"/>
  <c r="FL92" i="25" s="1"/>
  <c r="DX220" i="25"/>
  <c r="EC220" i="25" s="1"/>
  <c r="DY220" i="25"/>
  <c r="DY35" i="25"/>
  <c r="FL35" i="25" s="1"/>
  <c r="DX287" i="25"/>
  <c r="EC287" i="25" s="1"/>
  <c r="DY287" i="25"/>
  <c r="DX18" i="25"/>
  <c r="EC18" i="25" s="1"/>
  <c r="DY18" i="25"/>
  <c r="FL18" i="25" s="1"/>
  <c r="DY127" i="25"/>
  <c r="CG127" i="25" s="1"/>
  <c r="DX22" i="25"/>
  <c r="EC22" i="25" s="1"/>
  <c r="DY22" i="25"/>
  <c r="FL22" i="25" s="1"/>
  <c r="DX291" i="25"/>
  <c r="EC291" i="25" s="1"/>
  <c r="DY291" i="25"/>
  <c r="DX162" i="25"/>
  <c r="EC162" i="25" s="1"/>
  <c r="DY162" i="25"/>
  <c r="CH162" i="25" s="1"/>
  <c r="DX44" i="25"/>
  <c r="EC44" i="25" s="1"/>
  <c r="DY44" i="25"/>
  <c r="FL44" i="25" s="1"/>
  <c r="DX223" i="25"/>
  <c r="EC223" i="25" s="1"/>
  <c r="DY223" i="25"/>
  <c r="FA142" i="24"/>
  <c r="FA8" i="24"/>
  <c r="EB112" i="24"/>
  <c r="EB43" i="24"/>
  <c r="EY174" i="24"/>
  <c r="FA126" i="24"/>
  <c r="DX224" i="25"/>
  <c r="EC224" i="25" s="1"/>
  <c r="DY224" i="25"/>
  <c r="DX243" i="25"/>
  <c r="EC243" i="25" s="1"/>
  <c r="DY243" i="25"/>
  <c r="DX84" i="25"/>
  <c r="EC84" i="25" s="1"/>
  <c r="DY84" i="25"/>
  <c r="FL84" i="25" s="1"/>
  <c r="DY43" i="25"/>
  <c r="FL43" i="25" s="1"/>
  <c r="DX244" i="25"/>
  <c r="EC244" i="25" s="1"/>
  <c r="DY244" i="25"/>
  <c r="DX252" i="25"/>
  <c r="EC252" i="25" s="1"/>
  <c r="DY252" i="25"/>
  <c r="DX172" i="25"/>
  <c r="EC172" i="25" s="1"/>
  <c r="DY172" i="25"/>
  <c r="CH172" i="25" s="1"/>
  <c r="DY122" i="25"/>
  <c r="CG122" i="25" s="1"/>
  <c r="DX11" i="25"/>
  <c r="EC11" i="25" s="1"/>
  <c r="DY11" i="25"/>
  <c r="FL11" i="25" s="1"/>
  <c r="DX149" i="25"/>
  <c r="EC149" i="25" s="1"/>
  <c r="DY149" i="25"/>
  <c r="CH149" i="25" s="1"/>
  <c r="DX54" i="25"/>
  <c r="EC54" i="25" s="1"/>
  <c r="DY54" i="25"/>
  <c r="FL54" i="25" s="1"/>
  <c r="DX263" i="25"/>
  <c r="EC263" i="25" s="1"/>
  <c r="DY263" i="25"/>
  <c r="DY29" i="25"/>
  <c r="FL29" i="25" s="1"/>
  <c r="DY105" i="25"/>
  <c r="FL105" i="25" s="1"/>
  <c r="DX239" i="25"/>
  <c r="EC239" i="25" s="1"/>
  <c r="DY239" i="25"/>
  <c r="DX292" i="25"/>
  <c r="EC292" i="25" s="1"/>
  <c r="DY292" i="25"/>
  <c r="DX69" i="25"/>
  <c r="EC69" i="25" s="1"/>
  <c r="DY69" i="25"/>
  <c r="FL69" i="25" s="1"/>
  <c r="DY59" i="25"/>
  <c r="FL59" i="25" s="1"/>
  <c r="DY80" i="25"/>
  <c r="FL80" i="25" s="1"/>
  <c r="DX234" i="25"/>
  <c r="EC234" i="25" s="1"/>
  <c r="DY234" i="25"/>
  <c r="DX31" i="25"/>
  <c r="EC31" i="25" s="1"/>
  <c r="DY31" i="25"/>
  <c r="FL31" i="25" s="1"/>
  <c r="DX254" i="25"/>
  <c r="EC254" i="25" s="1"/>
  <c r="DY254" i="25"/>
  <c r="DX235" i="25"/>
  <c r="EC235" i="25" s="1"/>
  <c r="DY235" i="25"/>
  <c r="DX290" i="25"/>
  <c r="EC290" i="25" s="1"/>
  <c r="DY290" i="25"/>
  <c r="DX159" i="25"/>
  <c r="EC159" i="25" s="1"/>
  <c r="DY159" i="25"/>
  <c r="CH159" i="25" s="1"/>
  <c r="DY12" i="25"/>
  <c r="FL12" i="25" s="1"/>
  <c r="DX61" i="25"/>
  <c r="EC61" i="25" s="1"/>
  <c r="DY61" i="25"/>
  <c r="FL61" i="25" s="1"/>
  <c r="DX117" i="25"/>
  <c r="EC117" i="25" s="1"/>
  <c r="DY117" i="25"/>
  <c r="CH117" i="25" s="1"/>
  <c r="DY190" i="25"/>
  <c r="CH190" i="25" s="1"/>
  <c r="DY79" i="25"/>
  <c r="FL79" i="25" s="1"/>
  <c r="DY208" i="25"/>
  <c r="CH208" i="25" s="1"/>
  <c r="DX146" i="25"/>
  <c r="EC146" i="25" s="1"/>
  <c r="DY146" i="25"/>
  <c r="CH146" i="25" s="1"/>
  <c r="EL174" i="24"/>
  <c r="EL126" i="24"/>
  <c r="DX75" i="25"/>
  <c r="EC75" i="25" s="1"/>
  <c r="DY75" i="25"/>
  <c r="FL75" i="25" s="1"/>
  <c r="DX151" i="25"/>
  <c r="EC151" i="25" s="1"/>
  <c r="DY151" i="25"/>
  <c r="CH151" i="25" s="1"/>
  <c r="DX268" i="25"/>
  <c r="EC268" i="25" s="1"/>
  <c r="DY268" i="25"/>
  <c r="DX113" i="25"/>
  <c r="EC113" i="25" s="1"/>
  <c r="DY113" i="25"/>
  <c r="CH113" i="25" s="1"/>
  <c r="DX256" i="25"/>
  <c r="EC256" i="25" s="1"/>
  <c r="DY256" i="25"/>
  <c r="DX222" i="25"/>
  <c r="EC222" i="25" s="1"/>
  <c r="DY222" i="25"/>
  <c r="DX260" i="25"/>
  <c r="EC260" i="25" s="1"/>
  <c r="DY260" i="25"/>
  <c r="DX264" i="25"/>
  <c r="EC264" i="25" s="1"/>
  <c r="DY264" i="25"/>
  <c r="DX296" i="25"/>
  <c r="EC296" i="25" s="1"/>
  <c r="DY296" i="25"/>
  <c r="DX265" i="25"/>
  <c r="EC265" i="25" s="1"/>
  <c r="DY265" i="25"/>
  <c r="DY157" i="25"/>
  <c r="CH157" i="25" s="1"/>
  <c r="DX41" i="25"/>
  <c r="EC41" i="25" s="1"/>
  <c r="DY41" i="25"/>
  <c r="FL41" i="25" s="1"/>
  <c r="DX32" i="25"/>
  <c r="EC32" i="25" s="1"/>
  <c r="DY32" i="25"/>
  <c r="FL32" i="25" s="1"/>
  <c r="DX261" i="25"/>
  <c r="EC261" i="25" s="1"/>
  <c r="DY261" i="25"/>
  <c r="DX55" i="25"/>
  <c r="EC55" i="25" s="1"/>
  <c r="DY55" i="25"/>
  <c r="FL55" i="25" s="1"/>
  <c r="DX249" i="25"/>
  <c r="EC249" i="25" s="1"/>
  <c r="DY249" i="25"/>
  <c r="DX30" i="25"/>
  <c r="EC30" i="25" s="1"/>
  <c r="DY30" i="25"/>
  <c r="FL30" i="25" s="1"/>
  <c r="DX192" i="25"/>
  <c r="EC192" i="25" s="1"/>
  <c r="DY192" i="25"/>
  <c r="CG192" i="25" s="1"/>
  <c r="DX165" i="25"/>
  <c r="EC165" i="25" s="1"/>
  <c r="DY165" i="25"/>
  <c r="CH165" i="25" s="1"/>
  <c r="DX135" i="25"/>
  <c r="EC135" i="25" s="1"/>
  <c r="DY135" i="25"/>
  <c r="CH135" i="25" s="1"/>
  <c r="DX245" i="25"/>
  <c r="EC245" i="25" s="1"/>
  <c r="DY245" i="25"/>
  <c r="DY187" i="25"/>
  <c r="CG187" i="25" s="1"/>
  <c r="DX8" i="25"/>
  <c r="EC8" i="25" s="1"/>
  <c r="DY8" i="25"/>
  <c r="FL8" i="25" s="1"/>
  <c r="DX144" i="25"/>
  <c r="EC144" i="25" s="1"/>
  <c r="DY144" i="25"/>
  <c r="CH144" i="25" s="1"/>
  <c r="DY38" i="25"/>
  <c r="FL38" i="25" s="1"/>
  <c r="DY139" i="25"/>
  <c r="CH139" i="25" s="1"/>
  <c r="DY210" i="25"/>
  <c r="CH210" i="25" s="1"/>
  <c r="DY193" i="25"/>
  <c r="CH193" i="25" s="1"/>
  <c r="DX104" i="25"/>
  <c r="EC104" i="25" s="1"/>
  <c r="DY104" i="25"/>
  <c r="FL104" i="25" s="1"/>
  <c r="FA174" i="24"/>
  <c r="DX272" i="25"/>
  <c r="EC272" i="25" s="1"/>
  <c r="DY272" i="25"/>
  <c r="DX250" i="25"/>
  <c r="EC250" i="25" s="1"/>
  <c r="DY250" i="25"/>
  <c r="EE138" i="25"/>
  <c r="EG138" i="25"/>
  <c r="EX138" i="25" s="1"/>
  <c r="EF138" i="25"/>
  <c r="EW138" i="25" s="1"/>
  <c r="DX167" i="25"/>
  <c r="EC167" i="25" s="1"/>
  <c r="DY167" i="25"/>
  <c r="CH167" i="25" s="1"/>
  <c r="DX266" i="25"/>
  <c r="EC266" i="25" s="1"/>
  <c r="DY266" i="25"/>
  <c r="DX299" i="25"/>
  <c r="EC299" i="25" s="1"/>
  <c r="DY299" i="25"/>
  <c r="DX120" i="25"/>
  <c r="EC120" i="25" s="1"/>
  <c r="DY120" i="25"/>
  <c r="CH120" i="25" s="1"/>
  <c r="DX305" i="25"/>
  <c r="EC305" i="25" s="1"/>
  <c r="DY305" i="25"/>
  <c r="DX142" i="25"/>
  <c r="EC142" i="25" s="1"/>
  <c r="DY142" i="25"/>
  <c r="CH142" i="25" s="1"/>
  <c r="DY126" i="25"/>
  <c r="CH126" i="25" s="1"/>
  <c r="DX277" i="25"/>
  <c r="EC277" i="25" s="1"/>
  <c r="DY277" i="25"/>
  <c r="DX148" i="25"/>
  <c r="EC148" i="25" s="1"/>
  <c r="DY148" i="25"/>
  <c r="CG148" i="25" s="1"/>
  <c r="DX270" i="25"/>
  <c r="EC270" i="25" s="1"/>
  <c r="DY270" i="25"/>
  <c r="DX306" i="25"/>
  <c r="EC306" i="25" s="1"/>
  <c r="DY306" i="25"/>
  <c r="DX289" i="25"/>
  <c r="EC289" i="25" s="1"/>
  <c r="DY289" i="25"/>
  <c r="DX241" i="25"/>
  <c r="EC241" i="25" s="1"/>
  <c r="DY241" i="25"/>
  <c r="DX16" i="25"/>
  <c r="EC16" i="25" s="1"/>
  <c r="DY16" i="25"/>
  <c r="FL16" i="25" s="1"/>
  <c r="DY88" i="25"/>
  <c r="FL88" i="25" s="1"/>
  <c r="DX275" i="25"/>
  <c r="EC275" i="25" s="1"/>
  <c r="DY275" i="25"/>
  <c r="DX240" i="25"/>
  <c r="EC240" i="25" s="1"/>
  <c r="DY240" i="25"/>
  <c r="DX308" i="25"/>
  <c r="EC308" i="25" s="1"/>
  <c r="DY308" i="25"/>
  <c r="DX237" i="25"/>
  <c r="EC237" i="25" s="1"/>
  <c r="DY237" i="25"/>
  <c r="DX186" i="25"/>
  <c r="EC186" i="25" s="1"/>
  <c r="DY186" i="25"/>
  <c r="CH186" i="25" s="1"/>
  <c r="DX283" i="25"/>
  <c r="EC283" i="25" s="1"/>
  <c r="DY283" i="25"/>
  <c r="DX184" i="25"/>
  <c r="EC184" i="25" s="1"/>
  <c r="DY184" i="25"/>
  <c r="CG184" i="25" s="1"/>
  <c r="DX124" i="25"/>
  <c r="EC124" i="25" s="1"/>
  <c r="DY124" i="25"/>
  <c r="CH124" i="25" s="1"/>
  <c r="DX188" i="25"/>
  <c r="EC188" i="25" s="1"/>
  <c r="DY188" i="25"/>
  <c r="CH188" i="25" s="1"/>
  <c r="DX229" i="25"/>
  <c r="EC229" i="25" s="1"/>
  <c r="DY229" i="25"/>
  <c r="DY200" i="25"/>
  <c r="CG200" i="25" s="1"/>
  <c r="DY168" i="25"/>
  <c r="CH168" i="25" s="1"/>
  <c r="DX57" i="25"/>
  <c r="EC57" i="25" s="1"/>
  <c r="DY57" i="25"/>
  <c r="FL57" i="25" s="1"/>
  <c r="DX115" i="25"/>
  <c r="EC115" i="25" s="1"/>
  <c r="DY115" i="25"/>
  <c r="CG115" i="25" s="1"/>
  <c r="DX279" i="25"/>
  <c r="EC279" i="25" s="1"/>
  <c r="DY279" i="25"/>
  <c r="DX226" i="25"/>
  <c r="EC226" i="25" s="1"/>
  <c r="DY226" i="25"/>
  <c r="DX242" i="25"/>
  <c r="EC242" i="25" s="1"/>
  <c r="DY242" i="25"/>
  <c r="EG143" i="25"/>
  <c r="EX143" i="25" s="1"/>
  <c r="EE143" i="25"/>
  <c r="EF143" i="25"/>
  <c r="EW143" i="25" s="1"/>
  <c r="DX295" i="25"/>
  <c r="EC295" i="25" s="1"/>
  <c r="DY295" i="25"/>
  <c r="DX53" i="25"/>
  <c r="EC53" i="25" s="1"/>
  <c r="DY53" i="25"/>
  <c r="FL53" i="25" s="1"/>
  <c r="DX160" i="25"/>
  <c r="EC160" i="25" s="1"/>
  <c r="DY160" i="25"/>
  <c r="CH160" i="25" s="1"/>
  <c r="DY70" i="25"/>
  <c r="FL70" i="25" s="1"/>
  <c r="EB41" i="24"/>
  <c r="EL193" i="24"/>
  <c r="EL183" i="24"/>
  <c r="EY173" i="24"/>
  <c r="DX116" i="25"/>
  <c r="EC116" i="25" s="1"/>
  <c r="DY116" i="25"/>
  <c r="CH116" i="25" s="1"/>
  <c r="DY189" i="25"/>
  <c r="CH189" i="25" s="1"/>
  <c r="DX140" i="25"/>
  <c r="EC140" i="25" s="1"/>
  <c r="DY140" i="25"/>
  <c r="CH140" i="25" s="1"/>
  <c r="DX67" i="25"/>
  <c r="EC67" i="25" s="1"/>
  <c r="DY67" i="25"/>
  <c r="FL67" i="25" s="1"/>
  <c r="DY179" i="25"/>
  <c r="CH179" i="25" s="1"/>
  <c r="DX205" i="25"/>
  <c r="EC205" i="25" s="1"/>
  <c r="DY205" i="25"/>
  <c r="CG205" i="25" s="1"/>
  <c r="DX150" i="25"/>
  <c r="EC150" i="25" s="1"/>
  <c r="DY150" i="25"/>
  <c r="CH150" i="25" s="1"/>
  <c r="DX201" i="25"/>
  <c r="EC201" i="25" s="1"/>
  <c r="DY201" i="25"/>
  <c r="CH201" i="25" s="1"/>
  <c r="DY14" i="25"/>
  <c r="FL14" i="25" s="1"/>
  <c r="DY24" i="25"/>
  <c r="FL24" i="25" s="1"/>
  <c r="DX85" i="25"/>
  <c r="EC85" i="25" s="1"/>
  <c r="DY85" i="25"/>
  <c r="FL85" i="25" s="1"/>
  <c r="DY174" i="25"/>
  <c r="CG174" i="25" s="1"/>
  <c r="DX315" i="25"/>
  <c r="EC315" i="25" s="1"/>
  <c r="DY315" i="25"/>
  <c r="DY177" i="25"/>
  <c r="CH177" i="25" s="1"/>
  <c r="DY86" i="25"/>
  <c r="FL86" i="25" s="1"/>
  <c r="DX110" i="25"/>
  <c r="EC110" i="25" s="1"/>
  <c r="DY110" i="25"/>
  <c r="CH110" i="25" s="1"/>
  <c r="DX62" i="25"/>
  <c r="EC62" i="25" s="1"/>
  <c r="DY62" i="25"/>
  <c r="FL62" i="25" s="1"/>
  <c r="DY48" i="25"/>
  <c r="FL48" i="25" s="1"/>
  <c r="DY60" i="25"/>
  <c r="FL60" i="25" s="1"/>
  <c r="DX7" i="25"/>
  <c r="EC7" i="25" s="1"/>
  <c r="DY7" i="25"/>
  <c r="FL7" i="25" s="1"/>
  <c r="DX288" i="25"/>
  <c r="EC288" i="25" s="1"/>
  <c r="DY288" i="25"/>
  <c r="DX154" i="25"/>
  <c r="EC154" i="25" s="1"/>
  <c r="DY154" i="25"/>
  <c r="CH154" i="25" s="1"/>
  <c r="DX198" i="25"/>
  <c r="EC198" i="25" s="1"/>
  <c r="DY198" i="25"/>
  <c r="CG198" i="25" s="1"/>
  <c r="DY170" i="25"/>
  <c r="CG170" i="25" s="1"/>
  <c r="DX251" i="25"/>
  <c r="EC251" i="25" s="1"/>
  <c r="DY251" i="25"/>
  <c r="DX248" i="25"/>
  <c r="EC248" i="25" s="1"/>
  <c r="DY248" i="25"/>
  <c r="DX228" i="25"/>
  <c r="EC228" i="25" s="1"/>
  <c r="DY228" i="25"/>
  <c r="DY147" i="25"/>
  <c r="CG147" i="25" s="1"/>
  <c r="DY45" i="25"/>
  <c r="FL45" i="25" s="1"/>
  <c r="DX202" i="25"/>
  <c r="EC202" i="25" s="1"/>
  <c r="DY202" i="25"/>
  <c r="CH202" i="25" s="1"/>
  <c r="DX303" i="25"/>
  <c r="EC303" i="25" s="1"/>
  <c r="DY303" i="25"/>
  <c r="DY66" i="25"/>
  <c r="FL66" i="25" s="1"/>
  <c r="DX102" i="25"/>
  <c r="EC102" i="25" s="1"/>
  <c r="DY102" i="25"/>
  <c r="FL102" i="25" s="1"/>
  <c r="DY72" i="25"/>
  <c r="FL72" i="25" s="1"/>
  <c r="DX231" i="25"/>
  <c r="EC231" i="25" s="1"/>
  <c r="DY231" i="25"/>
  <c r="DX63" i="25"/>
  <c r="EC63" i="25" s="1"/>
  <c r="DY63" i="25"/>
  <c r="FL63" i="25" s="1"/>
  <c r="FA98" i="24"/>
  <c r="DX247" i="25"/>
  <c r="EC247" i="25" s="1"/>
  <c r="DY247" i="25"/>
  <c r="DX152" i="25"/>
  <c r="EC152" i="25" s="1"/>
  <c r="DY152" i="25"/>
  <c r="CH152" i="25" s="1"/>
  <c r="DX195" i="25"/>
  <c r="EC195" i="25" s="1"/>
  <c r="DY195" i="25"/>
  <c r="CH195" i="25" s="1"/>
  <c r="DX134" i="25"/>
  <c r="EC134" i="25" s="1"/>
  <c r="DY134" i="25"/>
  <c r="CH134" i="25" s="1"/>
  <c r="DX294" i="25"/>
  <c r="EC294" i="25" s="1"/>
  <c r="DY294" i="25"/>
  <c r="DY51" i="25"/>
  <c r="FL51" i="25" s="1"/>
  <c r="DX259" i="25"/>
  <c r="EC259" i="25" s="1"/>
  <c r="DY259" i="25"/>
  <c r="DY121" i="25"/>
  <c r="CH121" i="25" s="1"/>
  <c r="DX310" i="25"/>
  <c r="EC310" i="25" s="1"/>
  <c r="DY310" i="25"/>
  <c r="DX221" i="25"/>
  <c r="EC221" i="25" s="1"/>
  <c r="DY221" i="25"/>
  <c r="DX36" i="25"/>
  <c r="EC36" i="25" s="1"/>
  <c r="DY36" i="25"/>
  <c r="FL36" i="25" s="1"/>
  <c r="DX176" i="25"/>
  <c r="EC176" i="25" s="1"/>
  <c r="DY176" i="25"/>
  <c r="CH176" i="25" s="1"/>
  <c r="DX161" i="25"/>
  <c r="EC161" i="25" s="1"/>
  <c r="DY161" i="25"/>
  <c r="CH161" i="25" s="1"/>
  <c r="DX225" i="25"/>
  <c r="EC225" i="25" s="1"/>
  <c r="DY225" i="25"/>
  <c r="DX232" i="25"/>
  <c r="EC232" i="25" s="1"/>
  <c r="DY232" i="25"/>
  <c r="DX302" i="25"/>
  <c r="EC302" i="25" s="1"/>
  <c r="DY302" i="25"/>
  <c r="DX309" i="25"/>
  <c r="EC309" i="25" s="1"/>
  <c r="DY309" i="25"/>
  <c r="DX197" i="25"/>
  <c r="EC197" i="25" s="1"/>
  <c r="DY197" i="25"/>
  <c r="CH197" i="25" s="1"/>
  <c r="DX76" i="25"/>
  <c r="EC76" i="25" s="1"/>
  <c r="DY76" i="25"/>
  <c r="FL76" i="25" s="1"/>
  <c r="DX82" i="25"/>
  <c r="EC82" i="25" s="1"/>
  <c r="DY82" i="25"/>
  <c r="FL82" i="25" s="1"/>
  <c r="DY191" i="25"/>
  <c r="CH191" i="25" s="1"/>
  <c r="DX280" i="25"/>
  <c r="EC280" i="25" s="1"/>
  <c r="DY280" i="25"/>
  <c r="DX311" i="25"/>
  <c r="EC311" i="25" s="1"/>
  <c r="DY311" i="25"/>
  <c r="DY203" i="25"/>
  <c r="CH203" i="25" s="1"/>
  <c r="DY15" i="25"/>
  <c r="FL15" i="25" s="1"/>
  <c r="DY40" i="25"/>
  <c r="FL40" i="25" s="1"/>
  <c r="DX118" i="25"/>
  <c r="EC118" i="25" s="1"/>
  <c r="DY118" i="25"/>
  <c r="CG118" i="25" s="1"/>
  <c r="DX233" i="25"/>
  <c r="EC233" i="25" s="1"/>
  <c r="DY233" i="25"/>
  <c r="DX218" i="25"/>
  <c r="EC218" i="25" s="1"/>
  <c r="DY218" i="25"/>
  <c r="DX217" i="25"/>
  <c r="EC217" i="25" s="1"/>
  <c r="DY217" i="25"/>
  <c r="DX255" i="25"/>
  <c r="EC255" i="25" s="1"/>
  <c r="DY255" i="25"/>
  <c r="DX52" i="25"/>
  <c r="EC52" i="25" s="1"/>
  <c r="DY52" i="25"/>
  <c r="FL52" i="25" s="1"/>
  <c r="DX297" i="25"/>
  <c r="EC297" i="25" s="1"/>
  <c r="DY297" i="25"/>
  <c r="DX307" i="25"/>
  <c r="EC307" i="25" s="1"/>
  <c r="DY307" i="25"/>
  <c r="DX28" i="25"/>
  <c r="EC28" i="25" s="1"/>
  <c r="DY28" i="25"/>
  <c r="FL28" i="25" s="1"/>
  <c r="DX286" i="25"/>
  <c r="EC286" i="25" s="1"/>
  <c r="DY286" i="25"/>
  <c r="DX155" i="25"/>
  <c r="EC155" i="25" s="1"/>
  <c r="DY155" i="25"/>
  <c r="CG155" i="25" s="1"/>
  <c r="DX314" i="25"/>
  <c r="EC314" i="25" s="1"/>
  <c r="DY314" i="25"/>
  <c r="DX196" i="25"/>
  <c r="EC196" i="25" s="1"/>
  <c r="DY196" i="25"/>
  <c r="CH196" i="25" s="1"/>
  <c r="DX284" i="25"/>
  <c r="EC284" i="25" s="1"/>
  <c r="DY284" i="25"/>
  <c r="DX281" i="25"/>
  <c r="EC281" i="25" s="1"/>
  <c r="DY281" i="25"/>
  <c r="DX130" i="25"/>
  <c r="EC130" i="25" s="1"/>
  <c r="DY130" i="25"/>
  <c r="CG130" i="25" s="1"/>
  <c r="DX46" i="25"/>
  <c r="EC46" i="25" s="1"/>
  <c r="DY46" i="25"/>
  <c r="FL46" i="25" s="1"/>
  <c r="DY175" i="25"/>
  <c r="CH175" i="25" s="1"/>
  <c r="DX304" i="25"/>
  <c r="EC304" i="25" s="1"/>
  <c r="DY304" i="25"/>
  <c r="DX262" i="25"/>
  <c r="EC262" i="25" s="1"/>
  <c r="DY262" i="25"/>
  <c r="DX206" i="25"/>
  <c r="EC206" i="25" s="1"/>
  <c r="DY206" i="25"/>
  <c r="CH206" i="25" s="1"/>
  <c r="DX21" i="25"/>
  <c r="EC21" i="25" s="1"/>
  <c r="DY21" i="25"/>
  <c r="FL21" i="25" s="1"/>
  <c r="DY27" i="25"/>
  <c r="FL27" i="25" s="1"/>
  <c r="DX94" i="25"/>
  <c r="EC94" i="25" s="1"/>
  <c r="DY94" i="25"/>
  <c r="FL94" i="25" s="1"/>
  <c r="DX153" i="25"/>
  <c r="EC153" i="25" s="1"/>
  <c r="DY153" i="25"/>
  <c r="CH153" i="25" s="1"/>
  <c r="DX316" i="25"/>
  <c r="EC316" i="25" s="1"/>
  <c r="DY316" i="25"/>
  <c r="DX298" i="25"/>
  <c r="EC298" i="25" s="1"/>
  <c r="DY298" i="25"/>
  <c r="DY119" i="25"/>
  <c r="CG119" i="25" s="1"/>
  <c r="DX253" i="25"/>
  <c r="EC253" i="25" s="1"/>
  <c r="DY253" i="25"/>
  <c r="DX219" i="25"/>
  <c r="EC219" i="25" s="1"/>
  <c r="DY219" i="25"/>
  <c r="DX101" i="25"/>
  <c r="EC101" i="25" s="1"/>
  <c r="DY101" i="25"/>
  <c r="FL101" i="25" s="1"/>
  <c r="DX258" i="25"/>
  <c r="EC258" i="25" s="1"/>
  <c r="DY258" i="25"/>
  <c r="DX285" i="25"/>
  <c r="EC285" i="25" s="1"/>
  <c r="DY285" i="25"/>
  <c r="DX293" i="25"/>
  <c r="EC293" i="25" s="1"/>
  <c r="DY293" i="25"/>
  <c r="DX163" i="25"/>
  <c r="EC163" i="25" s="1"/>
  <c r="DY163" i="25"/>
  <c r="CH163" i="25" s="1"/>
  <c r="DX273" i="25"/>
  <c r="EC273" i="25" s="1"/>
  <c r="DY273" i="25"/>
  <c r="DX39" i="25"/>
  <c r="EC39" i="25" s="1"/>
  <c r="DY39" i="25"/>
  <c r="FL39" i="25" s="1"/>
  <c r="EF181" i="25"/>
  <c r="EW181" i="25" s="1"/>
  <c r="EG181" i="25"/>
  <c r="EX181" i="25" s="1"/>
  <c r="EE181" i="25"/>
  <c r="DX238" i="25"/>
  <c r="EC238" i="25" s="1"/>
  <c r="DY238" i="25"/>
  <c r="DX246" i="25"/>
  <c r="EC246" i="25" s="1"/>
  <c r="DY246" i="25"/>
  <c r="DX10" i="25"/>
  <c r="EC10" i="25" s="1"/>
  <c r="DY10" i="25"/>
  <c r="FL10" i="25" s="1"/>
  <c r="DX276" i="25"/>
  <c r="EC276" i="25" s="1"/>
  <c r="DY276" i="25"/>
  <c r="DX227" i="25"/>
  <c r="EC227" i="25" s="1"/>
  <c r="DY227" i="25"/>
  <c r="DX274" i="25"/>
  <c r="EC274" i="25" s="1"/>
  <c r="DY274" i="25"/>
  <c r="DX282" i="25"/>
  <c r="EC282" i="25" s="1"/>
  <c r="DY282" i="25"/>
  <c r="DX123" i="25"/>
  <c r="EC123" i="25" s="1"/>
  <c r="DY123" i="25"/>
  <c r="CH123" i="25" s="1"/>
  <c r="DX71" i="25"/>
  <c r="EC71" i="25" s="1"/>
  <c r="DY71" i="25"/>
  <c r="FL71" i="25" s="1"/>
  <c r="DX312" i="25"/>
  <c r="EC312" i="25" s="1"/>
  <c r="DY312" i="25"/>
  <c r="DX26" i="25"/>
  <c r="EC26" i="25" s="1"/>
  <c r="DY26" i="25"/>
  <c r="FL26" i="25" s="1"/>
  <c r="DX166" i="25"/>
  <c r="EC166" i="25" s="1"/>
  <c r="DY166" i="25"/>
  <c r="CH166" i="25" s="1"/>
  <c r="DX236" i="25"/>
  <c r="EC236" i="25" s="1"/>
  <c r="DY236" i="25"/>
  <c r="DX207" i="25"/>
  <c r="EC207" i="25" s="1"/>
  <c r="DY207" i="25"/>
  <c r="CH207" i="25" s="1"/>
  <c r="DX269" i="25"/>
  <c r="EC269" i="25" s="1"/>
  <c r="DY269" i="25"/>
  <c r="DY100" i="25"/>
  <c r="FL100" i="25" s="1"/>
  <c r="DX301" i="25"/>
  <c r="EC301" i="25" s="1"/>
  <c r="DY301" i="25"/>
  <c r="EY33" i="24"/>
  <c r="EB71" i="24"/>
  <c r="FA33" i="24"/>
  <c r="EY71" i="24"/>
  <c r="EL71" i="24"/>
  <c r="FA13" i="24"/>
  <c r="EL33" i="24"/>
  <c r="EB35" i="24"/>
  <c r="FA35" i="24"/>
  <c r="EL44" i="24"/>
  <c r="EY35" i="24"/>
  <c r="EY44" i="24"/>
  <c r="EB44" i="24"/>
  <c r="EL62" i="24"/>
  <c r="EL171" i="24"/>
  <c r="EB55" i="24"/>
  <c r="EB62" i="24"/>
  <c r="EY55" i="24"/>
  <c r="EY14" i="24"/>
  <c r="EB133" i="24"/>
  <c r="EY124" i="24"/>
  <c r="FA133" i="24"/>
  <c r="EB60" i="24"/>
  <c r="EB172" i="24"/>
  <c r="EY65" i="24"/>
  <c r="EL60" i="24"/>
  <c r="FA54" i="24"/>
  <c r="EB42" i="24"/>
  <c r="EL65" i="24"/>
  <c r="FA129" i="24"/>
  <c r="EY127" i="24"/>
  <c r="FA60" i="24"/>
  <c r="EY67" i="24"/>
  <c r="EL54" i="24"/>
  <c r="FA65" i="24"/>
  <c r="EB129" i="24"/>
  <c r="EL67" i="24"/>
  <c r="EB88" i="24"/>
  <c r="EN88" i="24"/>
  <c r="DW88" i="24"/>
  <c r="EM88" i="24"/>
  <c r="EP88" i="24" s="1"/>
  <c r="DU88" i="24"/>
  <c r="EL88" i="24"/>
  <c r="FA88" i="24"/>
  <c r="EY88" i="24"/>
  <c r="EL89" i="24"/>
  <c r="DW38" i="24"/>
  <c r="EN38" i="24"/>
  <c r="EM38" i="24"/>
  <c r="EP38" i="24" s="1"/>
  <c r="DU38" i="24"/>
  <c r="EY38" i="24"/>
  <c r="EL38" i="24"/>
  <c r="EB38" i="24"/>
  <c r="FA38" i="24"/>
  <c r="DW308" i="24"/>
  <c r="DU308" i="24"/>
  <c r="DW278" i="24"/>
  <c r="DU278" i="24"/>
  <c r="EN81" i="24"/>
  <c r="DW81" i="24"/>
  <c r="DY81" i="24" s="1"/>
  <c r="EF81" i="24" s="1"/>
  <c r="EM81" i="24"/>
  <c r="EP81" i="24" s="1"/>
  <c r="DU81" i="24"/>
  <c r="DW233" i="24"/>
  <c r="DU233" i="24"/>
  <c r="DW192" i="24"/>
  <c r="DY192" i="24" s="1"/>
  <c r="EF192" i="24" s="1"/>
  <c r="EN192" i="24"/>
  <c r="EM192" i="24"/>
  <c r="EP192" i="24" s="1"/>
  <c r="FA29" i="24"/>
  <c r="FA52" i="24"/>
  <c r="EN52" i="24"/>
  <c r="DW52" i="24"/>
  <c r="DY52" i="24" s="1"/>
  <c r="EF52" i="24" s="1"/>
  <c r="EM52" i="24"/>
  <c r="EP52" i="24" s="1"/>
  <c r="DU52" i="24"/>
  <c r="EE161" i="24"/>
  <c r="EE70" i="24"/>
  <c r="EE33" i="24"/>
  <c r="DW255" i="24"/>
  <c r="DU255" i="24"/>
  <c r="EL121" i="24"/>
  <c r="DW121" i="24"/>
  <c r="EN121" i="24"/>
  <c r="EM121" i="24"/>
  <c r="EP121" i="24" s="1"/>
  <c r="EY121" i="24"/>
  <c r="EB121" i="24"/>
  <c r="FA121" i="24"/>
  <c r="EL185" i="24"/>
  <c r="DW277" i="24"/>
  <c r="DU277" i="24"/>
  <c r="DW194" i="24"/>
  <c r="EN194" i="24"/>
  <c r="EM194" i="24"/>
  <c r="EP194" i="24" s="1"/>
  <c r="EB194" i="24"/>
  <c r="FA194" i="24"/>
  <c r="EL194" i="24"/>
  <c r="EY194" i="24"/>
  <c r="DW82" i="24"/>
  <c r="EN82" i="24"/>
  <c r="EM82" i="24"/>
  <c r="EP82" i="24" s="1"/>
  <c r="DU82" i="24"/>
  <c r="EB82" i="24"/>
  <c r="FA82" i="24"/>
  <c r="EL82" i="24"/>
  <c r="EY82" i="24"/>
  <c r="DW241" i="24"/>
  <c r="DU241" i="24"/>
  <c r="EE202" i="24"/>
  <c r="EL162" i="24"/>
  <c r="DW162" i="24"/>
  <c r="EN162" i="24"/>
  <c r="EM162" i="24"/>
  <c r="EP162" i="24" s="1"/>
  <c r="EY162" i="24"/>
  <c r="FA162" i="24"/>
  <c r="EB162" i="24"/>
  <c r="EE112" i="24"/>
  <c r="EL192" i="24"/>
  <c r="DW76" i="24"/>
  <c r="EN76" i="24"/>
  <c r="EM76" i="24"/>
  <c r="EP76" i="24" s="1"/>
  <c r="DU76" i="24"/>
  <c r="FA76" i="24"/>
  <c r="EY76" i="24"/>
  <c r="EL76" i="24"/>
  <c r="EB76" i="24"/>
  <c r="EE54" i="24"/>
  <c r="EB183" i="24"/>
  <c r="EL175" i="24"/>
  <c r="DW286" i="24"/>
  <c r="DU286" i="24"/>
  <c r="DW18" i="24"/>
  <c r="EN18" i="24"/>
  <c r="EM18" i="24"/>
  <c r="EP18" i="24" s="1"/>
  <c r="DU18" i="24"/>
  <c r="EL18" i="24"/>
  <c r="EB18" i="24"/>
  <c r="EY18" i="24"/>
  <c r="FA18" i="24"/>
  <c r="EL197" i="24"/>
  <c r="EY42" i="24"/>
  <c r="DW132" i="24"/>
  <c r="DY132" i="24" s="1"/>
  <c r="EF132" i="24" s="1"/>
  <c r="EN132" i="24"/>
  <c r="EM132" i="24"/>
  <c r="EP132" i="24" s="1"/>
  <c r="EB47" i="24"/>
  <c r="EE159" i="24"/>
  <c r="FA83" i="24"/>
  <c r="EN104" i="24"/>
  <c r="DW104" i="24"/>
  <c r="DY104" i="24" s="1"/>
  <c r="EF104" i="24" s="1"/>
  <c r="EM104" i="24"/>
  <c r="EP104" i="24" s="1"/>
  <c r="DU104" i="24"/>
  <c r="EB138" i="24"/>
  <c r="EN40" i="24"/>
  <c r="DW40" i="24"/>
  <c r="DY40" i="24" s="1"/>
  <c r="EF40" i="24" s="1"/>
  <c r="EM40" i="24"/>
  <c r="EP40" i="24" s="1"/>
  <c r="DU40" i="24"/>
  <c r="DW9" i="24"/>
  <c r="EN9" i="24"/>
  <c r="EM9" i="24"/>
  <c r="EP9" i="24" s="1"/>
  <c r="DU9" i="24"/>
  <c r="FA9" i="24"/>
  <c r="EB9" i="24"/>
  <c r="EY9" i="24"/>
  <c r="EL9" i="24"/>
  <c r="EE50" i="24"/>
  <c r="EE65" i="24"/>
  <c r="EL10" i="24"/>
  <c r="EL124" i="24"/>
  <c r="EY81" i="24"/>
  <c r="DW217" i="24"/>
  <c r="DU217" i="24"/>
  <c r="DW71" i="24"/>
  <c r="DY71" i="24" s="1"/>
  <c r="EF71" i="24" s="1"/>
  <c r="EN71" i="24"/>
  <c r="EM71" i="24"/>
  <c r="EP71" i="24" s="1"/>
  <c r="DU71" i="24"/>
  <c r="DW159" i="24"/>
  <c r="DY159" i="24" s="1"/>
  <c r="EF159" i="24" s="1"/>
  <c r="EN159" i="24"/>
  <c r="EM159" i="24"/>
  <c r="EP159" i="24" s="1"/>
  <c r="EE114" i="24"/>
  <c r="DW302" i="24"/>
  <c r="DU302" i="24"/>
  <c r="EL23" i="24"/>
  <c r="DW296" i="24"/>
  <c r="DU296" i="24"/>
  <c r="EN133" i="24"/>
  <c r="DW133" i="24"/>
  <c r="DY133" i="24" s="1"/>
  <c r="EF133" i="24" s="1"/>
  <c r="EM133" i="24"/>
  <c r="EP133" i="24" s="1"/>
  <c r="EL14" i="24"/>
  <c r="EB155" i="24"/>
  <c r="EE80" i="24"/>
  <c r="EB199" i="24"/>
  <c r="EE53" i="24"/>
  <c r="EE129" i="24"/>
  <c r="DW313" i="24"/>
  <c r="DU313" i="24"/>
  <c r="DW126" i="24"/>
  <c r="DY126" i="24" s="1"/>
  <c r="EF126" i="24" s="1"/>
  <c r="EN126" i="24"/>
  <c r="EM126" i="24"/>
  <c r="EP126" i="24" s="1"/>
  <c r="DW115" i="24"/>
  <c r="EN115" i="24"/>
  <c r="EM115" i="24"/>
  <c r="EP115" i="24" s="1"/>
  <c r="EY115" i="24"/>
  <c r="EL115" i="24"/>
  <c r="FA115" i="24"/>
  <c r="EB115" i="24"/>
  <c r="EE150" i="24"/>
  <c r="DW160" i="24"/>
  <c r="DY160" i="24" s="1"/>
  <c r="EF160" i="24" s="1"/>
  <c r="EN160" i="24"/>
  <c r="EM160" i="24"/>
  <c r="EP160" i="24" s="1"/>
  <c r="EE41" i="24"/>
  <c r="EN30" i="24"/>
  <c r="DW30" i="24"/>
  <c r="DY30" i="24" s="1"/>
  <c r="EF30" i="24" s="1"/>
  <c r="EM30" i="24"/>
  <c r="EP30" i="24" s="1"/>
  <c r="DU30" i="24"/>
  <c r="EB89" i="24"/>
  <c r="DW300" i="24"/>
  <c r="DU300" i="24"/>
  <c r="DW64" i="24"/>
  <c r="EN64" i="24"/>
  <c r="EM64" i="24"/>
  <c r="EP64" i="24" s="1"/>
  <c r="DU64" i="24"/>
  <c r="EB64" i="24"/>
  <c r="EL64" i="24"/>
  <c r="FA64" i="24"/>
  <c r="EY64" i="24"/>
  <c r="EE154" i="24"/>
  <c r="EE68" i="24"/>
  <c r="EE158" i="24"/>
  <c r="EN191" i="24"/>
  <c r="DW191" i="24"/>
  <c r="EM191" i="24"/>
  <c r="EP191" i="24" s="1"/>
  <c r="FA191" i="24"/>
  <c r="EL191" i="24"/>
  <c r="EB191" i="24"/>
  <c r="EY191" i="24"/>
  <c r="DW148" i="24"/>
  <c r="EN148" i="24"/>
  <c r="EM148" i="24"/>
  <c r="EP148" i="24" s="1"/>
  <c r="EL148" i="24"/>
  <c r="EY148" i="24"/>
  <c r="FA148" i="24"/>
  <c r="EB148" i="24"/>
  <c r="DW269" i="24"/>
  <c r="DU269" i="24"/>
  <c r="EN203" i="24"/>
  <c r="DW203" i="24"/>
  <c r="EM203" i="24"/>
  <c r="EP203" i="24" s="1"/>
  <c r="EY203" i="24"/>
  <c r="FA203" i="24"/>
  <c r="EB203" i="24"/>
  <c r="EL203" i="24"/>
  <c r="DW94" i="24"/>
  <c r="EN94" i="24"/>
  <c r="EM94" i="24"/>
  <c r="EP94" i="24" s="1"/>
  <c r="DU94" i="24"/>
  <c r="EY94" i="24"/>
  <c r="EB94" i="24"/>
  <c r="EL94" i="24"/>
  <c r="FA94" i="24"/>
  <c r="EB29" i="24"/>
  <c r="DW291" i="24"/>
  <c r="DU291" i="24"/>
  <c r="EL8" i="24"/>
  <c r="DW239" i="24"/>
  <c r="DU239" i="24"/>
  <c r="EE177" i="24"/>
  <c r="DW7" i="24"/>
  <c r="EN7" i="24"/>
  <c r="EM7" i="24"/>
  <c r="EP7" i="24" s="1"/>
  <c r="DU7" i="24"/>
  <c r="EL7" i="24"/>
  <c r="FA7" i="24"/>
  <c r="EY7" i="24"/>
  <c r="EB7" i="24"/>
  <c r="EE164" i="24"/>
  <c r="EY50" i="24"/>
  <c r="DW50" i="24"/>
  <c r="DY50" i="24" s="1"/>
  <c r="EF50" i="24" s="1"/>
  <c r="EN50" i="24"/>
  <c r="EM50" i="24"/>
  <c r="EP50" i="24" s="1"/>
  <c r="DU50" i="24"/>
  <c r="DW240" i="24"/>
  <c r="DU240" i="24"/>
  <c r="DW46" i="24"/>
  <c r="EN46" i="24"/>
  <c r="EM46" i="24"/>
  <c r="EP46" i="24" s="1"/>
  <c r="DU46" i="24"/>
  <c r="EY46" i="24"/>
  <c r="EB46" i="24"/>
  <c r="FA46" i="24"/>
  <c r="EL46" i="24"/>
  <c r="DW196" i="24"/>
  <c r="EN196" i="24"/>
  <c r="EM196" i="24"/>
  <c r="EP196" i="24" s="1"/>
  <c r="FA196" i="24"/>
  <c r="EL196" i="24"/>
  <c r="EY196" i="24"/>
  <c r="EB196" i="24"/>
  <c r="EN125" i="24"/>
  <c r="DW125" i="24"/>
  <c r="EM125" i="24"/>
  <c r="EP125" i="24" s="1"/>
  <c r="EB125" i="24"/>
  <c r="EL125" i="24"/>
  <c r="EY125" i="24"/>
  <c r="FA125" i="24"/>
  <c r="EN172" i="24"/>
  <c r="DW172" i="24"/>
  <c r="DY172" i="24" s="1"/>
  <c r="EF172" i="24" s="1"/>
  <c r="EM172" i="24"/>
  <c r="EP172" i="24" s="1"/>
  <c r="DW229" i="24"/>
  <c r="DU229" i="24"/>
  <c r="DW198" i="24"/>
  <c r="EN198" i="24"/>
  <c r="EM198" i="24"/>
  <c r="EP198" i="24" s="1"/>
  <c r="FA198" i="24"/>
  <c r="EL198" i="24"/>
  <c r="EY198" i="24"/>
  <c r="EB198" i="24"/>
  <c r="EL149" i="24"/>
  <c r="EN149" i="24"/>
  <c r="DW149" i="24"/>
  <c r="EM149" i="24"/>
  <c r="EP149" i="24" s="1"/>
  <c r="EB149" i="24"/>
  <c r="FA149" i="24"/>
  <c r="EY149" i="24"/>
  <c r="EB192" i="24"/>
  <c r="EN165" i="24"/>
  <c r="DW165" i="24"/>
  <c r="EM165" i="24"/>
  <c r="EP165" i="24" s="1"/>
  <c r="FA165" i="24"/>
  <c r="EB165" i="24"/>
  <c r="EY165" i="24"/>
  <c r="EL165" i="24"/>
  <c r="DW116" i="24"/>
  <c r="EN116" i="24"/>
  <c r="EM116" i="24"/>
  <c r="EP116" i="24" s="1"/>
  <c r="EL116" i="24"/>
  <c r="FA116" i="24"/>
  <c r="EB116" i="24"/>
  <c r="EY116" i="24"/>
  <c r="FA175" i="24"/>
  <c r="EL160" i="24"/>
  <c r="DW184" i="24"/>
  <c r="EN184" i="24"/>
  <c r="EM184" i="24"/>
  <c r="EP184" i="24" s="1"/>
  <c r="FA184" i="24"/>
  <c r="EY184" i="24"/>
  <c r="EL184" i="24"/>
  <c r="EB184" i="24"/>
  <c r="EE171" i="24"/>
  <c r="FA42" i="24"/>
  <c r="EY13" i="24"/>
  <c r="DW13" i="24"/>
  <c r="DY13" i="24" s="1"/>
  <c r="EF13" i="24" s="1"/>
  <c r="EN13" i="24"/>
  <c r="EM13" i="24"/>
  <c r="EP13" i="24" s="1"/>
  <c r="DU13" i="24"/>
  <c r="EY47" i="24"/>
  <c r="EB83" i="24"/>
  <c r="EY172" i="24"/>
  <c r="DW156" i="24"/>
  <c r="EN156" i="24"/>
  <c r="EM156" i="24"/>
  <c r="EP156" i="24" s="1"/>
  <c r="EB156" i="24"/>
  <c r="FA156" i="24"/>
  <c r="EY156" i="24"/>
  <c r="EL156" i="24"/>
  <c r="EY10" i="24"/>
  <c r="DW33" i="24"/>
  <c r="DY33" i="24" s="1"/>
  <c r="EF33" i="24" s="1"/>
  <c r="EN33" i="24"/>
  <c r="EM33" i="24"/>
  <c r="EP33" i="24" s="1"/>
  <c r="DU33" i="24"/>
  <c r="FA81" i="24"/>
  <c r="EL30" i="24"/>
  <c r="DW147" i="24"/>
  <c r="DY147" i="24" s="1"/>
  <c r="EF147" i="24" s="1"/>
  <c r="EN147" i="24"/>
  <c r="EM147" i="24"/>
  <c r="EP147" i="24" s="1"/>
  <c r="DW142" i="24"/>
  <c r="DY142" i="24" s="1"/>
  <c r="EF142" i="24" s="1"/>
  <c r="EN142" i="24"/>
  <c r="EM142" i="24"/>
  <c r="EP142" i="24" s="1"/>
  <c r="DW235" i="24"/>
  <c r="DU235" i="24"/>
  <c r="EE209" i="24"/>
  <c r="FA157" i="24"/>
  <c r="EE201" i="24"/>
  <c r="EE173" i="24"/>
  <c r="EY17" i="24"/>
  <c r="EN17" i="24"/>
  <c r="DW17" i="24"/>
  <c r="EM17" i="24"/>
  <c r="EP17" i="24" s="1"/>
  <c r="DU17" i="24"/>
  <c r="FA17" i="24"/>
  <c r="EB17" i="24"/>
  <c r="EL17" i="24"/>
  <c r="EB14" i="24"/>
  <c r="DW93" i="24"/>
  <c r="EN93" i="24"/>
  <c r="EM93" i="24"/>
  <c r="EP93" i="24" s="1"/>
  <c r="DU93" i="24"/>
  <c r="EL93" i="24"/>
  <c r="FA93" i="24"/>
  <c r="EB93" i="24"/>
  <c r="EY93" i="24"/>
  <c r="DW279" i="24"/>
  <c r="DU279" i="24"/>
  <c r="DW309" i="24"/>
  <c r="DU309" i="24"/>
  <c r="DW271" i="24"/>
  <c r="DU271" i="24"/>
  <c r="DW11" i="24"/>
  <c r="EN11" i="24"/>
  <c r="EM11" i="24"/>
  <c r="EP11" i="24" s="1"/>
  <c r="DU11" i="24"/>
  <c r="EL11" i="24"/>
  <c r="EB11" i="24"/>
  <c r="FA11" i="24"/>
  <c r="EY11" i="24"/>
  <c r="EL199" i="24"/>
  <c r="EN20" i="24"/>
  <c r="DW20" i="24"/>
  <c r="EM20" i="24"/>
  <c r="EP20" i="24" s="1"/>
  <c r="DU20" i="24"/>
  <c r="EB20" i="24"/>
  <c r="FA20" i="24"/>
  <c r="EL20" i="24"/>
  <c r="EY20" i="24"/>
  <c r="DW276" i="24"/>
  <c r="DU276" i="24"/>
  <c r="DW288" i="24"/>
  <c r="DU288" i="24"/>
  <c r="FA127" i="24"/>
  <c r="DW127" i="24"/>
  <c r="DY127" i="24" s="1"/>
  <c r="EF127" i="24" s="1"/>
  <c r="EN127" i="24"/>
  <c r="EM127" i="24"/>
  <c r="EP127" i="24" s="1"/>
  <c r="DW99" i="24"/>
  <c r="DY99" i="24" s="1"/>
  <c r="EF99" i="24" s="1"/>
  <c r="EN99" i="24"/>
  <c r="EM99" i="24"/>
  <c r="EP99" i="24" s="1"/>
  <c r="DU99" i="24"/>
  <c r="EE100" i="24"/>
  <c r="EN37" i="24"/>
  <c r="DW37" i="24"/>
  <c r="DY37" i="24" s="1"/>
  <c r="EF37" i="24" s="1"/>
  <c r="EM37" i="24"/>
  <c r="EP37" i="24" s="1"/>
  <c r="DU37" i="24"/>
  <c r="DW297" i="24"/>
  <c r="DU297" i="24"/>
  <c r="EE190" i="24"/>
  <c r="DW67" i="24"/>
  <c r="DY67" i="24" s="1"/>
  <c r="EF67" i="24" s="1"/>
  <c r="EN67" i="24"/>
  <c r="EM67" i="24"/>
  <c r="EP67" i="24" s="1"/>
  <c r="DU67" i="24"/>
  <c r="DW201" i="24"/>
  <c r="DY201" i="24" s="1"/>
  <c r="EF201" i="24" s="1"/>
  <c r="EN201" i="24"/>
  <c r="EM201" i="24"/>
  <c r="EP201" i="24" s="1"/>
  <c r="DW171" i="24"/>
  <c r="DY171" i="24" s="1"/>
  <c r="EF171" i="24" s="1"/>
  <c r="EN171" i="24"/>
  <c r="EM171" i="24"/>
  <c r="EP171" i="24" s="1"/>
  <c r="DW45" i="24"/>
  <c r="EN45" i="24"/>
  <c r="EM45" i="24"/>
  <c r="EP45" i="24" s="1"/>
  <c r="DU45" i="24"/>
  <c r="EL45" i="24"/>
  <c r="EB45" i="24"/>
  <c r="FA45" i="24"/>
  <c r="EY45" i="24"/>
  <c r="EL127" i="24"/>
  <c r="DW60" i="24"/>
  <c r="DY60" i="24" s="1"/>
  <c r="EF60" i="24" s="1"/>
  <c r="EN60" i="24"/>
  <c r="EM60" i="24"/>
  <c r="EP60" i="24" s="1"/>
  <c r="DU60" i="24"/>
  <c r="DW54" i="24"/>
  <c r="DY54" i="24" s="1"/>
  <c r="EF54" i="24" s="1"/>
  <c r="EN54" i="24"/>
  <c r="EM54" i="24"/>
  <c r="EP54" i="24" s="1"/>
  <c r="DU54" i="24"/>
  <c r="DW218" i="24"/>
  <c r="DU218" i="24"/>
  <c r="EE185" i="24"/>
  <c r="EB98" i="24"/>
  <c r="EY62" i="24"/>
  <c r="EN62" i="24"/>
  <c r="DW62" i="24"/>
  <c r="DY62" i="24" s="1"/>
  <c r="EF62" i="24" s="1"/>
  <c r="EM62" i="24"/>
  <c r="EP62" i="24" s="1"/>
  <c r="DU62" i="24"/>
  <c r="DW170" i="24"/>
  <c r="DY170" i="24" s="1"/>
  <c r="EF170" i="24" s="1"/>
  <c r="EN170" i="24"/>
  <c r="EM170" i="24"/>
  <c r="EP170" i="24" s="1"/>
  <c r="DW281" i="24"/>
  <c r="DU281" i="24"/>
  <c r="DW273" i="24"/>
  <c r="DU273" i="24"/>
  <c r="EE132" i="24"/>
  <c r="DW153" i="24"/>
  <c r="EN153" i="24"/>
  <c r="EM153" i="24"/>
  <c r="EP153" i="24" s="1"/>
  <c r="FA153" i="24"/>
  <c r="EY153" i="24"/>
  <c r="EB153" i="24"/>
  <c r="EL153" i="24"/>
  <c r="EB67" i="24"/>
  <c r="EN80" i="24"/>
  <c r="DW80" i="24"/>
  <c r="DY80" i="24" s="1"/>
  <c r="EF80" i="24" s="1"/>
  <c r="EM80" i="24"/>
  <c r="EP80" i="24" s="1"/>
  <c r="DU80" i="24"/>
  <c r="DW246" i="24"/>
  <c r="DU246" i="24"/>
  <c r="DW195" i="24"/>
  <c r="EN195" i="24"/>
  <c r="EM195" i="24"/>
  <c r="EP195" i="24" s="1"/>
  <c r="EB195" i="24"/>
  <c r="EL195" i="24"/>
  <c r="EY195" i="24"/>
  <c r="FA195" i="24"/>
  <c r="DW261" i="24"/>
  <c r="DU261" i="24"/>
  <c r="DW41" i="24"/>
  <c r="DY41" i="24" s="1"/>
  <c r="EF41" i="24" s="1"/>
  <c r="EN41" i="24"/>
  <c r="EM41" i="24"/>
  <c r="EP41" i="24" s="1"/>
  <c r="DU41" i="24"/>
  <c r="EE61" i="24"/>
  <c r="EB124" i="24"/>
  <c r="DW124" i="24"/>
  <c r="DY124" i="24" s="1"/>
  <c r="EF124" i="24" s="1"/>
  <c r="EN124" i="24"/>
  <c r="EM124" i="24"/>
  <c r="EP124" i="24" s="1"/>
  <c r="EE167" i="24"/>
  <c r="DW51" i="24"/>
  <c r="EN51" i="24"/>
  <c r="EM51" i="24"/>
  <c r="EP51" i="24" s="1"/>
  <c r="DU51" i="24"/>
  <c r="EL51" i="24"/>
  <c r="EY51" i="24"/>
  <c r="FA51" i="24"/>
  <c r="EB51" i="24"/>
  <c r="EE192" i="24"/>
  <c r="DW135" i="24"/>
  <c r="EN135" i="24"/>
  <c r="EM135" i="24"/>
  <c r="EP135" i="24" s="1"/>
  <c r="EL135" i="24"/>
  <c r="EB135" i="24"/>
  <c r="FA135" i="24"/>
  <c r="EY135" i="24"/>
  <c r="EB37" i="24"/>
  <c r="EL52" i="24"/>
  <c r="EE183" i="24"/>
  <c r="EB160" i="24"/>
  <c r="DW55" i="24"/>
  <c r="DY55" i="24" s="1"/>
  <c r="EF55" i="24" s="1"/>
  <c r="EN55" i="24"/>
  <c r="EM55" i="24"/>
  <c r="EP55" i="24" s="1"/>
  <c r="DU55" i="24"/>
  <c r="EE197" i="24"/>
  <c r="DW268" i="24"/>
  <c r="DU268" i="24"/>
  <c r="DW65" i="24"/>
  <c r="DY65" i="24" s="1"/>
  <c r="EF65" i="24" s="1"/>
  <c r="EN65" i="24"/>
  <c r="EM65" i="24"/>
  <c r="EP65" i="24" s="1"/>
  <c r="DU65" i="24"/>
  <c r="EY83" i="24"/>
  <c r="EL99" i="24"/>
  <c r="FA55" i="24"/>
  <c r="DW12" i="24"/>
  <c r="EN12" i="24"/>
  <c r="EM12" i="24"/>
  <c r="EP12" i="24" s="1"/>
  <c r="DU12" i="24"/>
  <c r="EL12" i="24"/>
  <c r="EB12" i="24"/>
  <c r="EY12" i="24"/>
  <c r="FA12" i="24"/>
  <c r="EE138" i="24"/>
  <c r="FA172" i="24"/>
  <c r="DW27" i="24"/>
  <c r="EN27" i="24"/>
  <c r="EM27" i="24"/>
  <c r="EP27" i="24" s="1"/>
  <c r="DU27" i="24"/>
  <c r="FA27" i="24"/>
  <c r="EL27" i="24"/>
  <c r="EB27" i="24"/>
  <c r="EY27" i="24"/>
  <c r="EN136" i="24"/>
  <c r="DW136" i="24"/>
  <c r="DY136" i="24" s="1"/>
  <c r="EF136" i="24" s="1"/>
  <c r="EM136" i="24"/>
  <c r="EP136" i="24" s="1"/>
  <c r="EE124" i="24"/>
  <c r="EE81" i="24"/>
  <c r="DW117" i="24"/>
  <c r="EN117" i="24"/>
  <c r="EM117" i="24"/>
  <c r="EP117" i="24" s="1"/>
  <c r="EL117" i="24"/>
  <c r="FA117" i="24"/>
  <c r="EY117" i="24"/>
  <c r="EB117" i="24"/>
  <c r="EE30" i="24"/>
  <c r="EN85" i="24"/>
  <c r="DW85" i="24"/>
  <c r="EM85" i="24"/>
  <c r="EP85" i="24" s="1"/>
  <c r="DU85" i="24"/>
  <c r="EL85" i="24"/>
  <c r="EB85" i="24"/>
  <c r="EY85" i="24"/>
  <c r="FA85" i="24"/>
  <c r="DW129" i="24"/>
  <c r="DY129" i="24" s="1"/>
  <c r="EF129" i="24" s="1"/>
  <c r="EN129" i="24"/>
  <c r="EM129" i="24"/>
  <c r="EP129" i="24" s="1"/>
  <c r="EE23" i="24"/>
  <c r="DW111" i="24"/>
  <c r="DY111" i="24" s="1"/>
  <c r="EF111" i="24" s="1"/>
  <c r="EN111" i="24"/>
  <c r="EM111" i="24"/>
  <c r="EP111" i="24" s="1"/>
  <c r="EB157" i="24"/>
  <c r="EN113" i="24"/>
  <c r="DW113" i="24"/>
  <c r="EM113" i="24"/>
  <c r="EP113" i="24" s="1"/>
  <c r="EY113" i="24"/>
  <c r="EB113" i="24"/>
  <c r="EL113" i="24"/>
  <c r="FA113" i="24"/>
  <c r="EL158" i="24"/>
  <c r="DW158" i="24"/>
  <c r="DY158" i="24" s="1"/>
  <c r="EF158" i="24" s="1"/>
  <c r="EN158" i="24"/>
  <c r="EM158" i="24"/>
  <c r="EP158" i="24" s="1"/>
  <c r="DW222" i="24"/>
  <c r="DU222" i="24"/>
  <c r="DW134" i="24"/>
  <c r="DY134" i="24" s="1"/>
  <c r="EF134" i="24" s="1"/>
  <c r="EN134" i="24"/>
  <c r="EM134" i="24"/>
  <c r="EP134" i="24" s="1"/>
  <c r="DW189" i="24"/>
  <c r="EN189" i="24"/>
  <c r="EM189" i="24"/>
  <c r="EP189" i="24" s="1"/>
  <c r="EB189" i="24"/>
  <c r="EL189" i="24"/>
  <c r="FA189" i="24"/>
  <c r="EY189" i="24"/>
  <c r="EE155" i="24"/>
  <c r="DW227" i="24"/>
  <c r="DU227" i="24"/>
  <c r="EY133" i="24"/>
  <c r="DW220" i="24"/>
  <c r="DU220" i="24"/>
  <c r="DW44" i="24"/>
  <c r="DY44" i="24" s="1"/>
  <c r="EF44" i="24" s="1"/>
  <c r="EN44" i="24"/>
  <c r="EM44" i="24"/>
  <c r="EP44" i="24" s="1"/>
  <c r="DU44" i="24"/>
  <c r="DW204" i="24"/>
  <c r="EN204" i="24"/>
  <c r="EM204" i="24"/>
  <c r="EP204" i="24" s="1"/>
  <c r="FA204" i="24"/>
  <c r="EL204" i="24"/>
  <c r="EB204" i="24"/>
  <c r="EY204" i="24"/>
  <c r="EE89" i="24"/>
  <c r="DW207" i="24"/>
  <c r="EN207" i="24"/>
  <c r="EM207" i="24"/>
  <c r="EP207" i="24" s="1"/>
  <c r="FA207" i="24"/>
  <c r="EB207" i="24"/>
  <c r="EL207" i="24"/>
  <c r="EY207" i="24"/>
  <c r="EN155" i="24"/>
  <c r="DW155" i="24"/>
  <c r="DY155" i="24" s="1"/>
  <c r="EF155" i="24" s="1"/>
  <c r="EM155" i="24"/>
  <c r="EP155" i="24" s="1"/>
  <c r="DW226" i="24"/>
  <c r="DU226" i="24"/>
  <c r="EE193" i="24"/>
  <c r="EE71" i="24"/>
  <c r="EN177" i="24"/>
  <c r="DW177" i="24"/>
  <c r="DY177" i="24" s="1"/>
  <c r="EF177" i="24" s="1"/>
  <c r="EM177" i="24"/>
  <c r="EP177" i="24" s="1"/>
  <c r="EL140" i="24"/>
  <c r="DW140" i="24"/>
  <c r="EN140" i="24"/>
  <c r="EM140" i="24"/>
  <c r="EP140" i="24" s="1"/>
  <c r="EB140" i="24"/>
  <c r="FA140" i="24"/>
  <c r="EY140" i="24"/>
  <c r="EB49" i="24"/>
  <c r="DW49" i="24"/>
  <c r="EN49" i="24"/>
  <c r="EM49" i="24"/>
  <c r="EP49" i="24" s="1"/>
  <c r="DU49" i="24"/>
  <c r="EY49" i="24"/>
  <c r="FA49" i="24"/>
  <c r="EL49" i="24"/>
  <c r="EE29" i="24"/>
  <c r="DW185" i="24"/>
  <c r="DY185" i="24" s="1"/>
  <c r="EF185" i="24" s="1"/>
  <c r="EN185" i="24"/>
  <c r="EM185" i="24"/>
  <c r="EP185" i="24" s="1"/>
  <c r="EN29" i="24"/>
  <c r="DW29" i="24"/>
  <c r="DY29" i="24" s="1"/>
  <c r="EF29" i="24" s="1"/>
  <c r="EM29" i="24"/>
  <c r="EP29" i="24" s="1"/>
  <c r="DU29" i="24"/>
  <c r="EE170" i="24"/>
  <c r="EN182" i="24"/>
  <c r="DW182" i="24"/>
  <c r="EM182" i="24"/>
  <c r="EP182" i="24" s="1"/>
  <c r="EL182" i="24"/>
  <c r="EB182" i="24"/>
  <c r="EY182" i="24"/>
  <c r="FA182" i="24"/>
  <c r="DW270" i="24"/>
  <c r="DU270" i="24"/>
  <c r="DW303" i="24"/>
  <c r="DU303" i="24"/>
  <c r="DW130" i="24"/>
  <c r="EN130" i="24"/>
  <c r="EM130" i="24"/>
  <c r="EP130" i="24" s="1"/>
  <c r="EB130" i="24"/>
  <c r="EY130" i="24"/>
  <c r="FA130" i="24"/>
  <c r="EL130" i="24"/>
  <c r="DW219" i="24"/>
  <c r="DU219" i="24"/>
  <c r="FA15" i="24"/>
  <c r="DW15" i="24"/>
  <c r="EN15" i="24"/>
  <c r="EM15" i="24"/>
  <c r="EP15" i="24" s="1"/>
  <c r="DU15" i="24"/>
  <c r="EL15" i="24"/>
  <c r="EB15" i="24"/>
  <c r="EY15" i="24"/>
  <c r="EE104" i="24"/>
  <c r="DW289" i="24"/>
  <c r="DU289" i="24"/>
  <c r="DW315" i="24"/>
  <c r="DU315" i="24"/>
  <c r="EY36" i="24"/>
  <c r="DW36" i="24"/>
  <c r="EN36" i="24"/>
  <c r="EM36" i="24"/>
  <c r="EP36" i="24" s="1"/>
  <c r="DU36" i="24"/>
  <c r="EB36" i="24"/>
  <c r="FA36" i="24"/>
  <c r="EL36" i="24"/>
  <c r="EY186" i="24"/>
  <c r="EE175" i="24"/>
  <c r="EE160" i="24"/>
  <c r="DW19" i="24"/>
  <c r="EN19" i="24"/>
  <c r="EM19" i="24"/>
  <c r="EP19" i="24" s="1"/>
  <c r="DU19" i="24"/>
  <c r="EL19" i="24"/>
  <c r="EB19" i="24"/>
  <c r="FA19" i="24"/>
  <c r="EY19" i="24"/>
  <c r="EY99" i="24"/>
  <c r="DW79" i="24"/>
  <c r="EN79" i="24"/>
  <c r="EM79" i="24"/>
  <c r="EP79" i="24" s="1"/>
  <c r="DU79" i="24"/>
  <c r="EY79" i="24"/>
  <c r="EB79" i="24"/>
  <c r="EL79" i="24"/>
  <c r="FA79" i="24"/>
  <c r="DW280" i="24"/>
  <c r="DU280" i="24"/>
  <c r="EE10" i="24"/>
  <c r="DW224" i="24"/>
  <c r="DU224" i="24"/>
  <c r="FA48" i="24"/>
  <c r="DW48" i="24"/>
  <c r="DY48" i="24" s="1"/>
  <c r="EF48" i="24" s="1"/>
  <c r="EN48" i="24"/>
  <c r="EM48" i="24"/>
  <c r="EP48" i="24" s="1"/>
  <c r="DU48" i="24"/>
  <c r="EL157" i="24"/>
  <c r="DW188" i="24"/>
  <c r="EN188" i="24"/>
  <c r="EM188" i="24"/>
  <c r="EP188" i="24" s="1"/>
  <c r="EY188" i="24"/>
  <c r="FA188" i="24"/>
  <c r="EL188" i="24"/>
  <c r="EB188" i="24"/>
  <c r="EL155" i="24"/>
  <c r="DW21" i="24"/>
  <c r="EN21" i="24"/>
  <c r="EM21" i="24"/>
  <c r="EP21" i="24" s="1"/>
  <c r="DU21" i="24"/>
  <c r="EY21" i="24"/>
  <c r="EB21" i="24"/>
  <c r="EL21" i="24"/>
  <c r="FA21" i="24"/>
  <c r="EN146" i="24"/>
  <c r="DW146" i="24"/>
  <c r="EM146" i="24"/>
  <c r="EP146" i="24" s="1"/>
  <c r="EB146" i="24"/>
  <c r="EL146" i="24"/>
  <c r="FA146" i="24"/>
  <c r="EY146" i="24"/>
  <c r="EL53" i="24"/>
  <c r="DW168" i="24"/>
  <c r="EN168" i="24"/>
  <c r="EM168" i="24"/>
  <c r="EP168" i="24" s="1"/>
  <c r="EY168" i="24"/>
  <c r="EL168" i="24"/>
  <c r="FA168" i="24"/>
  <c r="EB168" i="24"/>
  <c r="DW304" i="24"/>
  <c r="DU304" i="24"/>
  <c r="DW231" i="24"/>
  <c r="DU231" i="24"/>
  <c r="DW112" i="24"/>
  <c r="DY112" i="24" s="1"/>
  <c r="EF112" i="24" s="1"/>
  <c r="EN112" i="24"/>
  <c r="EM112" i="24"/>
  <c r="EP112" i="24" s="1"/>
  <c r="DW257" i="24"/>
  <c r="DU257" i="24"/>
  <c r="DW298" i="24"/>
  <c r="DU298" i="24"/>
  <c r="DW181" i="24"/>
  <c r="EN181" i="24"/>
  <c r="EM181" i="24"/>
  <c r="EP181" i="24" s="1"/>
  <c r="EB181" i="24"/>
  <c r="FA181" i="24"/>
  <c r="EY181" i="24"/>
  <c r="EL181" i="24"/>
  <c r="DW265" i="24"/>
  <c r="DU265" i="24"/>
  <c r="EE147" i="24"/>
  <c r="DW251" i="24"/>
  <c r="DU251" i="24"/>
  <c r="DW166" i="24"/>
  <c r="EN166" i="24"/>
  <c r="EM166" i="24"/>
  <c r="EP166" i="24" s="1"/>
  <c r="EB166" i="24"/>
  <c r="EL166" i="24"/>
  <c r="EY166" i="24"/>
  <c r="FA166" i="24"/>
  <c r="DW144" i="24"/>
  <c r="EN144" i="24"/>
  <c r="EM144" i="24"/>
  <c r="EP144" i="24" s="1"/>
  <c r="FA144" i="24"/>
  <c r="EB144" i="24"/>
  <c r="EL144" i="24"/>
  <c r="EY144" i="24"/>
  <c r="DW83" i="24"/>
  <c r="DY83" i="24" s="1"/>
  <c r="EF83" i="24" s="1"/>
  <c r="EN83" i="24"/>
  <c r="EM83" i="24"/>
  <c r="EP83" i="24" s="1"/>
  <c r="DU83" i="24"/>
  <c r="EE13" i="24"/>
  <c r="EN114" i="24"/>
  <c r="DW114" i="24"/>
  <c r="DY114" i="24" s="1"/>
  <c r="EF114" i="24" s="1"/>
  <c r="EM114" i="24"/>
  <c r="EP114" i="24" s="1"/>
  <c r="DW312" i="24"/>
  <c r="DU312" i="24"/>
  <c r="DW292" i="24"/>
  <c r="DU292" i="24"/>
  <c r="DW316" i="24"/>
  <c r="DU316" i="24"/>
  <c r="EE8" i="24"/>
  <c r="DW253" i="24"/>
  <c r="DU253" i="24"/>
  <c r="EN16" i="24"/>
  <c r="DW16" i="24"/>
  <c r="EM16" i="24"/>
  <c r="EP16" i="24" s="1"/>
  <c r="DU16" i="24"/>
  <c r="EL16" i="24"/>
  <c r="EY16" i="24"/>
  <c r="EB16" i="24"/>
  <c r="FA16" i="24"/>
  <c r="DW228" i="24"/>
  <c r="DU228" i="24"/>
  <c r="DW225" i="24"/>
  <c r="DU225" i="24"/>
  <c r="EE25" i="24"/>
  <c r="EN97" i="24"/>
  <c r="DW97" i="24"/>
  <c r="EM97" i="24"/>
  <c r="EP97" i="24" s="1"/>
  <c r="DU97" i="24"/>
  <c r="FA97" i="24"/>
  <c r="EY97" i="24"/>
  <c r="EB97" i="24"/>
  <c r="EL97" i="24"/>
  <c r="DW180" i="24"/>
  <c r="EN180" i="24"/>
  <c r="EM180" i="24"/>
  <c r="EP180" i="24" s="1"/>
  <c r="FA180" i="24"/>
  <c r="EY180" i="24"/>
  <c r="EB180" i="24"/>
  <c r="EL180" i="24"/>
  <c r="DW311" i="24"/>
  <c r="DU311" i="24"/>
  <c r="FA23" i="24"/>
  <c r="DW23" i="24"/>
  <c r="DY23" i="24" s="1"/>
  <c r="EF23" i="24" s="1"/>
  <c r="EN23" i="24"/>
  <c r="EM23" i="24"/>
  <c r="EP23" i="24" s="1"/>
  <c r="DU23" i="24"/>
  <c r="DW205" i="24"/>
  <c r="EN205" i="24"/>
  <c r="EM205" i="24"/>
  <c r="EP205" i="24" s="1"/>
  <c r="EL205" i="24"/>
  <c r="EB205" i="24"/>
  <c r="FA205" i="24"/>
  <c r="EY205" i="24"/>
  <c r="DW86" i="24"/>
  <c r="EN86" i="24"/>
  <c r="EM86" i="24"/>
  <c r="EP86" i="24" s="1"/>
  <c r="DU86" i="24"/>
  <c r="FA86" i="24"/>
  <c r="EL86" i="24"/>
  <c r="EB86" i="24"/>
  <c r="EY86" i="24"/>
  <c r="DW254" i="24"/>
  <c r="DU254" i="24"/>
  <c r="DW161" i="24"/>
  <c r="DY161" i="24" s="1"/>
  <c r="EF161" i="24" s="1"/>
  <c r="EN161" i="24"/>
  <c r="EM161" i="24"/>
  <c r="EP161" i="24" s="1"/>
  <c r="DW187" i="24"/>
  <c r="EN187" i="24"/>
  <c r="EM187" i="24"/>
  <c r="EP187" i="24" s="1"/>
  <c r="EY187" i="24"/>
  <c r="EL187" i="24"/>
  <c r="FA187" i="24"/>
  <c r="EB187" i="24"/>
  <c r="DW101" i="24"/>
  <c r="EN101" i="24"/>
  <c r="EM101" i="24"/>
  <c r="EP101" i="24" s="1"/>
  <c r="DU101" i="24"/>
  <c r="EB101" i="24"/>
  <c r="EL101" i="24"/>
  <c r="FA101" i="24"/>
  <c r="EY101" i="24"/>
  <c r="DW8" i="24"/>
  <c r="DY8" i="24" s="1"/>
  <c r="EF8" i="24" s="1"/>
  <c r="EN8" i="24"/>
  <c r="EM8" i="24"/>
  <c r="EP8" i="24" s="1"/>
  <c r="DU8" i="24"/>
  <c r="EY37" i="24"/>
  <c r="EE52" i="24"/>
  <c r="EN175" i="24"/>
  <c r="DW175" i="24"/>
  <c r="DY175" i="24" s="1"/>
  <c r="EF175" i="24" s="1"/>
  <c r="EM175" i="24"/>
  <c r="EP175" i="24" s="1"/>
  <c r="DW248" i="24"/>
  <c r="DU248" i="24"/>
  <c r="EE62" i="24"/>
  <c r="DW95" i="24"/>
  <c r="EN95" i="24"/>
  <c r="EM95" i="24"/>
  <c r="EP95" i="24" s="1"/>
  <c r="DU95" i="24"/>
  <c r="EY95" i="24"/>
  <c r="EB95" i="24"/>
  <c r="EL95" i="24"/>
  <c r="FA95" i="24"/>
  <c r="DW69" i="24"/>
  <c r="EN69" i="24"/>
  <c r="EM69" i="24"/>
  <c r="EP69" i="24" s="1"/>
  <c r="DU69" i="24"/>
  <c r="EL69" i="24"/>
  <c r="FA69" i="24"/>
  <c r="EB69" i="24"/>
  <c r="EY69" i="24"/>
  <c r="EN77" i="24"/>
  <c r="DW77" i="24"/>
  <c r="DY77" i="24" s="1"/>
  <c r="EF77" i="24" s="1"/>
  <c r="EM77" i="24"/>
  <c r="EP77" i="24" s="1"/>
  <c r="DU77" i="24"/>
  <c r="EE47" i="24"/>
  <c r="FA99" i="24"/>
  <c r="FA63" i="24"/>
  <c r="DW63" i="24"/>
  <c r="DY63" i="24" s="1"/>
  <c r="EF63" i="24" s="1"/>
  <c r="EN63" i="24"/>
  <c r="EM63" i="24"/>
  <c r="EP63" i="24" s="1"/>
  <c r="DU63" i="24"/>
  <c r="EB50" i="24"/>
  <c r="DW237" i="24"/>
  <c r="DU237" i="24"/>
  <c r="DW200" i="24"/>
  <c r="EN200" i="24"/>
  <c r="EM200" i="24"/>
  <c r="EP200" i="24" s="1"/>
  <c r="EY200" i="24"/>
  <c r="EB200" i="24"/>
  <c r="FA200" i="24"/>
  <c r="EL200" i="24"/>
  <c r="EB63" i="24"/>
  <c r="EL61" i="24"/>
  <c r="DW61" i="24"/>
  <c r="DY61" i="24" s="1"/>
  <c r="EF61" i="24" s="1"/>
  <c r="EN61" i="24"/>
  <c r="EM61" i="24"/>
  <c r="EP61" i="24" s="1"/>
  <c r="DU61" i="24"/>
  <c r="EN183" i="24"/>
  <c r="DW183" i="24"/>
  <c r="DY183" i="24" s="1"/>
  <c r="EF183" i="24" s="1"/>
  <c r="EM183" i="24"/>
  <c r="EP183" i="24" s="1"/>
  <c r="EB114" i="24"/>
  <c r="DW73" i="24"/>
  <c r="EN73" i="24"/>
  <c r="EM73" i="24"/>
  <c r="EP73" i="24" s="1"/>
  <c r="DU73" i="24"/>
  <c r="EY73" i="24"/>
  <c r="EL73" i="24"/>
  <c r="FA73" i="24"/>
  <c r="EB73" i="24"/>
  <c r="DW14" i="24"/>
  <c r="DY14" i="24" s="1"/>
  <c r="EF14" i="24" s="1"/>
  <c r="EN14" i="24"/>
  <c r="EM14" i="24"/>
  <c r="EP14" i="24" s="1"/>
  <c r="DU14" i="24"/>
  <c r="EE14" i="24"/>
  <c r="DW123" i="24"/>
  <c r="DY123" i="24" s="1"/>
  <c r="EF123" i="24" s="1"/>
  <c r="EN123" i="24"/>
  <c r="EM123" i="24"/>
  <c r="EP123" i="24" s="1"/>
  <c r="DW284" i="24"/>
  <c r="DU284" i="24"/>
  <c r="DW103" i="24"/>
  <c r="DY103" i="24" s="1"/>
  <c r="EF103" i="24" s="1"/>
  <c r="EN103" i="24"/>
  <c r="EM103" i="24"/>
  <c r="EP103" i="24" s="1"/>
  <c r="DU103" i="24"/>
  <c r="FA80" i="24"/>
  <c r="DW290" i="24"/>
  <c r="DU290" i="24"/>
  <c r="EN210" i="24"/>
  <c r="DW210" i="24"/>
  <c r="EM210" i="24"/>
  <c r="EP210" i="24" s="1"/>
  <c r="EY210" i="24"/>
  <c r="EB210" i="24"/>
  <c r="EL210" i="24"/>
  <c r="FA210" i="24"/>
  <c r="DW91" i="24"/>
  <c r="EN91" i="24"/>
  <c r="EM91" i="24"/>
  <c r="EP91" i="24" s="1"/>
  <c r="DU91" i="24"/>
  <c r="FA91" i="24"/>
  <c r="EB91" i="24"/>
  <c r="EL91" i="24"/>
  <c r="EY91" i="24"/>
  <c r="EY53" i="24"/>
  <c r="DW267" i="24"/>
  <c r="DU267" i="24"/>
  <c r="DW259" i="24"/>
  <c r="DU259" i="24"/>
  <c r="DW66" i="24"/>
  <c r="EN66" i="24"/>
  <c r="EM66" i="24"/>
  <c r="EP66" i="24" s="1"/>
  <c r="DU66" i="24"/>
  <c r="EY66" i="24"/>
  <c r="EL66" i="24"/>
  <c r="EB66" i="24"/>
  <c r="FA66" i="24"/>
  <c r="EE126" i="24"/>
  <c r="DW6" i="24"/>
  <c r="EN6" i="24"/>
  <c r="EM6" i="24"/>
  <c r="EP6" i="24" s="1"/>
  <c r="DU6" i="24"/>
  <c r="EY6" i="24"/>
  <c r="EB6" i="24"/>
  <c r="EL6" i="24"/>
  <c r="FA6" i="24"/>
  <c r="DW35" i="24"/>
  <c r="DY35" i="24" s="1"/>
  <c r="EF35" i="24" s="1"/>
  <c r="EN35" i="24"/>
  <c r="EM35" i="24"/>
  <c r="EP35" i="24" s="1"/>
  <c r="DU35" i="24"/>
  <c r="DW131" i="24"/>
  <c r="EN131" i="24"/>
  <c r="EM131" i="24"/>
  <c r="EP131" i="24" s="1"/>
  <c r="EL131" i="24"/>
  <c r="EY131" i="24"/>
  <c r="EB131" i="24"/>
  <c r="FA131" i="24"/>
  <c r="DW250" i="24"/>
  <c r="DU250" i="24"/>
  <c r="DW202" i="24"/>
  <c r="DY202" i="24" s="1"/>
  <c r="EF202" i="24" s="1"/>
  <c r="EN202" i="24"/>
  <c r="EM202" i="24"/>
  <c r="EP202" i="24" s="1"/>
  <c r="EE122" i="24"/>
  <c r="EE127" i="24"/>
  <c r="EE152" i="24"/>
  <c r="DW232" i="24"/>
  <c r="DU232" i="24"/>
  <c r="DW258" i="24"/>
  <c r="DU258" i="24"/>
  <c r="DW118" i="24"/>
  <c r="EN118" i="24"/>
  <c r="EM118" i="24"/>
  <c r="EP118" i="24" s="1"/>
  <c r="FA118" i="24"/>
  <c r="EL118" i="24"/>
  <c r="EY118" i="24"/>
  <c r="EB118" i="24"/>
  <c r="EN199" i="24"/>
  <c r="DW199" i="24"/>
  <c r="DY199" i="24" s="1"/>
  <c r="EF199" i="24" s="1"/>
  <c r="EM199" i="24"/>
  <c r="EP199" i="24" s="1"/>
  <c r="EN186" i="24"/>
  <c r="DW186" i="24"/>
  <c r="DY186" i="24" s="1"/>
  <c r="EF186" i="24" s="1"/>
  <c r="EM186" i="24"/>
  <c r="EP186" i="24" s="1"/>
  <c r="DW266" i="24"/>
  <c r="DU266" i="24"/>
  <c r="FA177" i="24"/>
  <c r="DW176" i="24"/>
  <c r="EN176" i="24"/>
  <c r="EM176" i="24"/>
  <c r="EP176" i="24" s="1"/>
  <c r="EL176" i="24"/>
  <c r="EB176" i="24"/>
  <c r="FA176" i="24"/>
  <c r="EY176" i="24"/>
  <c r="EE67" i="24"/>
  <c r="DW47" i="24"/>
  <c r="DY47" i="24" s="1"/>
  <c r="EF47" i="24" s="1"/>
  <c r="EN47" i="24"/>
  <c r="EM47" i="24"/>
  <c r="EP47" i="24" s="1"/>
  <c r="DU47" i="24"/>
  <c r="EE40" i="24"/>
  <c r="DW310" i="24"/>
  <c r="DU310" i="24"/>
  <c r="EY202" i="24"/>
  <c r="DW260" i="24"/>
  <c r="DU260" i="24"/>
  <c r="DW98" i="24"/>
  <c r="DY98" i="24" s="1"/>
  <c r="EF98" i="24" s="1"/>
  <c r="EN98" i="24"/>
  <c r="EM98" i="24"/>
  <c r="EP98" i="24" s="1"/>
  <c r="DU98" i="24"/>
  <c r="DW209" i="24"/>
  <c r="DY209" i="24" s="1"/>
  <c r="EF209" i="24" s="1"/>
  <c r="EN209" i="24"/>
  <c r="EM209" i="24"/>
  <c r="EP209" i="24" s="1"/>
  <c r="EE35" i="24"/>
  <c r="EE37" i="24"/>
  <c r="FA186" i="24"/>
  <c r="EN128" i="24"/>
  <c r="DW128" i="24"/>
  <c r="DY128" i="24" s="1"/>
  <c r="EF128" i="24" s="1"/>
  <c r="EM128" i="24"/>
  <c r="EP128" i="24" s="1"/>
  <c r="DW236" i="24"/>
  <c r="DU236" i="24"/>
  <c r="EE42" i="24"/>
  <c r="DW305" i="24"/>
  <c r="DU305" i="24"/>
  <c r="EE83" i="24"/>
  <c r="EB99" i="24"/>
  <c r="EE172" i="24"/>
  <c r="DW179" i="24"/>
  <c r="EN179" i="24"/>
  <c r="EM179" i="24"/>
  <c r="EP179" i="24" s="1"/>
  <c r="EY179" i="24"/>
  <c r="EB179" i="24"/>
  <c r="FA179" i="24"/>
  <c r="EL179" i="24"/>
  <c r="DW139" i="24"/>
  <c r="EN139" i="24"/>
  <c r="EM139" i="24"/>
  <c r="EP139" i="24" s="1"/>
  <c r="EY139" i="24"/>
  <c r="EL139" i="24"/>
  <c r="EB139" i="24"/>
  <c r="FA139" i="24"/>
  <c r="DW223" i="24"/>
  <c r="DU223" i="24"/>
  <c r="DW138" i="24"/>
  <c r="DY138" i="24" s="1"/>
  <c r="EF138" i="24" s="1"/>
  <c r="EN138" i="24"/>
  <c r="EM138" i="24"/>
  <c r="EP138" i="24" s="1"/>
  <c r="EN150" i="24"/>
  <c r="DW150" i="24"/>
  <c r="DY150" i="24" s="1"/>
  <c r="EF150" i="24" s="1"/>
  <c r="EM150" i="24"/>
  <c r="EP150" i="24" s="1"/>
  <c r="DW178" i="24"/>
  <c r="EN178" i="24"/>
  <c r="EM178" i="24"/>
  <c r="EP178" i="24" s="1"/>
  <c r="EL178" i="24"/>
  <c r="EB178" i="24"/>
  <c r="FA178" i="24"/>
  <c r="EY178" i="24"/>
  <c r="DW263" i="24"/>
  <c r="DU263" i="24"/>
  <c r="EN59" i="24"/>
  <c r="DW59" i="24"/>
  <c r="EM59" i="24"/>
  <c r="EP59" i="24" s="1"/>
  <c r="DU59" i="24"/>
  <c r="EL59" i="24"/>
  <c r="EB59" i="24"/>
  <c r="FA59" i="24"/>
  <c r="EY59" i="24"/>
  <c r="FA114" i="24"/>
  <c r="DW301" i="24"/>
  <c r="DU301" i="24"/>
  <c r="EY209" i="24"/>
  <c r="DW164" i="24"/>
  <c r="DY164" i="24" s="1"/>
  <c r="EF164" i="24" s="1"/>
  <c r="EN164" i="24"/>
  <c r="EM164" i="24"/>
  <c r="EP164" i="24" s="1"/>
  <c r="EE157" i="24"/>
  <c r="EB201" i="24"/>
  <c r="DW256" i="24"/>
  <c r="DU256" i="24"/>
  <c r="DW122" i="24"/>
  <c r="DY122" i="24" s="1"/>
  <c r="EF122" i="24" s="1"/>
  <c r="EN122" i="24"/>
  <c r="EM122" i="24"/>
  <c r="EP122" i="24" s="1"/>
  <c r="EL80" i="24"/>
  <c r="DW151" i="24"/>
  <c r="EN151" i="24"/>
  <c r="EM151" i="24"/>
  <c r="EP151" i="24" s="1"/>
  <c r="FA151" i="24"/>
  <c r="EY151" i="24"/>
  <c r="EL151" i="24"/>
  <c r="EB151" i="24"/>
  <c r="DW238" i="24"/>
  <c r="DU238" i="24"/>
  <c r="DW299" i="24"/>
  <c r="DU299" i="24"/>
  <c r="FA53" i="24"/>
  <c r="DW208" i="24"/>
  <c r="EN208" i="24"/>
  <c r="EM208" i="24"/>
  <c r="EP208" i="24" s="1"/>
  <c r="EL208" i="24"/>
  <c r="EY208" i="24"/>
  <c r="FA208" i="24"/>
  <c r="EB208" i="24"/>
  <c r="DW56" i="24"/>
  <c r="EN56" i="24"/>
  <c r="EM56" i="24"/>
  <c r="EP56" i="24" s="1"/>
  <c r="DU56" i="24"/>
  <c r="FA56" i="24"/>
  <c r="EB56" i="24"/>
  <c r="EL56" i="24"/>
  <c r="EY56" i="24"/>
  <c r="EN100" i="24"/>
  <c r="DW100" i="24"/>
  <c r="DY100" i="24" s="1"/>
  <c r="EF100" i="24" s="1"/>
  <c r="EM100" i="24"/>
  <c r="EP100" i="24" s="1"/>
  <c r="DU100" i="24"/>
  <c r="DW295" i="24"/>
  <c r="DU295" i="24"/>
  <c r="EY105" i="24"/>
  <c r="DW105" i="24"/>
  <c r="EN105" i="24"/>
  <c r="EM105" i="24"/>
  <c r="EP105" i="24" s="1"/>
  <c r="DU105" i="24"/>
  <c r="EL105" i="24"/>
  <c r="EB105" i="24"/>
  <c r="FA105" i="24"/>
  <c r="EE77" i="24"/>
  <c r="DW264" i="24"/>
  <c r="DU264" i="24"/>
  <c r="EE48" i="24"/>
  <c r="DW34" i="24"/>
  <c r="EN34" i="24"/>
  <c r="EM34" i="24"/>
  <c r="EP34" i="24" s="1"/>
  <c r="DU34" i="24"/>
  <c r="FA34" i="24"/>
  <c r="EL34" i="24"/>
  <c r="EY34" i="24"/>
  <c r="EB34" i="24"/>
  <c r="EN89" i="24"/>
  <c r="DW89" i="24"/>
  <c r="DY89" i="24" s="1"/>
  <c r="EF89" i="24" s="1"/>
  <c r="EM89" i="24"/>
  <c r="EP89" i="24" s="1"/>
  <c r="DU89" i="24"/>
  <c r="DW274" i="24"/>
  <c r="DU274" i="24"/>
  <c r="EE111" i="24"/>
  <c r="EE24" i="24"/>
  <c r="EE134" i="24"/>
  <c r="DW247" i="24"/>
  <c r="DU247" i="24"/>
  <c r="EE142" i="24"/>
  <c r="DW294" i="24"/>
  <c r="DU294" i="24"/>
  <c r="EY185" i="24"/>
  <c r="EE98" i="24"/>
  <c r="EY154" i="24"/>
  <c r="DW154" i="24"/>
  <c r="DY154" i="24" s="1"/>
  <c r="EF154" i="24" s="1"/>
  <c r="EN154" i="24"/>
  <c r="EM154" i="24"/>
  <c r="EP154" i="24" s="1"/>
  <c r="EN57" i="24"/>
  <c r="DW57" i="24"/>
  <c r="EM57" i="24"/>
  <c r="EP57" i="24" s="1"/>
  <c r="DU57" i="24"/>
  <c r="EL57" i="24"/>
  <c r="EY57" i="24"/>
  <c r="EB57" i="24"/>
  <c r="FA57" i="24"/>
  <c r="EL177" i="24"/>
  <c r="DW262" i="24"/>
  <c r="DU262" i="24"/>
  <c r="EE145" i="24"/>
  <c r="DW193" i="24"/>
  <c r="DY193" i="24" s="1"/>
  <c r="EF193" i="24" s="1"/>
  <c r="EN193" i="24"/>
  <c r="EM193" i="24"/>
  <c r="EP193" i="24" s="1"/>
  <c r="DW287" i="24"/>
  <c r="DU287" i="24"/>
  <c r="EL202" i="24"/>
  <c r="FA192" i="24"/>
  <c r="EE123" i="24"/>
  <c r="DW157" i="24"/>
  <c r="DY157" i="24" s="1"/>
  <c r="EF157" i="24" s="1"/>
  <c r="EN157" i="24"/>
  <c r="EM157" i="24"/>
  <c r="EP157" i="24" s="1"/>
  <c r="FA37" i="24"/>
  <c r="EY52" i="24"/>
  <c r="DW31" i="24"/>
  <c r="EN31" i="24"/>
  <c r="EM31" i="24"/>
  <c r="EP31" i="24" s="1"/>
  <c r="DU31" i="24"/>
  <c r="FA31" i="24"/>
  <c r="EY31" i="24"/>
  <c r="EB31" i="24"/>
  <c r="EL31" i="24"/>
  <c r="EL186" i="24"/>
  <c r="EB171" i="24"/>
  <c r="EE99" i="24"/>
  <c r="EE55" i="24"/>
  <c r="EY138" i="24"/>
  <c r="DW206" i="24"/>
  <c r="EN206" i="24"/>
  <c r="EM206" i="24"/>
  <c r="EP206" i="24" s="1"/>
  <c r="EB206" i="24"/>
  <c r="FA206" i="24"/>
  <c r="EY206" i="24"/>
  <c r="EL206" i="24"/>
  <c r="FA50" i="24"/>
  <c r="DW32" i="24"/>
  <c r="EN32" i="24"/>
  <c r="EM32" i="24"/>
  <c r="EP32" i="24" s="1"/>
  <c r="DU32" i="24"/>
  <c r="EY32" i="24"/>
  <c r="EL32" i="24"/>
  <c r="FA32" i="24"/>
  <c r="EB32" i="24"/>
  <c r="EE26" i="24"/>
  <c r="EB81" i="24"/>
  <c r="DW293" i="24"/>
  <c r="DU293" i="24"/>
  <c r="EY63" i="24"/>
  <c r="EB30" i="24"/>
  <c r="EL114" i="24"/>
  <c r="EE174" i="24"/>
  <c r="EE44" i="24"/>
  <c r="FA209" i="24"/>
  <c r="EL201" i="24"/>
  <c r="DW307" i="24"/>
  <c r="DU307" i="24"/>
  <c r="DW68" i="24"/>
  <c r="DY68" i="24" s="1"/>
  <c r="EF68" i="24" s="1"/>
  <c r="EN68" i="24"/>
  <c r="EM68" i="24"/>
  <c r="EP68" i="24" s="1"/>
  <c r="DU68" i="24"/>
  <c r="DW282" i="24"/>
  <c r="DU282" i="24"/>
  <c r="EY80" i="24"/>
  <c r="DW197" i="24"/>
  <c r="DY197" i="24" s="1"/>
  <c r="EF197" i="24" s="1"/>
  <c r="EN197" i="24"/>
  <c r="EM197" i="24"/>
  <c r="EP197" i="24" s="1"/>
  <c r="EY199" i="24"/>
  <c r="EL119" i="24"/>
  <c r="EN119" i="24"/>
  <c r="DW119" i="24"/>
  <c r="EM119" i="24"/>
  <c r="EP119" i="24" s="1"/>
  <c r="FA119" i="24"/>
  <c r="EY119" i="24"/>
  <c r="EB119" i="24"/>
  <c r="FA24" i="24"/>
  <c r="DW24" i="24"/>
  <c r="DY24" i="24" s="1"/>
  <c r="EF24" i="24" s="1"/>
  <c r="EN24" i="24"/>
  <c r="EM24" i="24"/>
  <c r="EP24" i="24" s="1"/>
  <c r="DU24" i="24"/>
  <c r="EE133" i="24"/>
  <c r="DW173" i="24"/>
  <c r="DY173" i="24" s="1"/>
  <c r="EF173" i="24" s="1"/>
  <c r="EN173" i="24"/>
  <c r="EM173" i="24"/>
  <c r="EP173" i="24" s="1"/>
  <c r="DW70" i="24"/>
  <c r="DY70" i="24" s="1"/>
  <c r="EF70" i="24" s="1"/>
  <c r="EN70" i="24"/>
  <c r="EM70" i="24"/>
  <c r="EP70" i="24" s="1"/>
  <c r="DU70" i="24"/>
  <c r="DW28" i="24"/>
  <c r="EN28" i="24"/>
  <c r="EM28" i="24"/>
  <c r="EP28" i="24" s="1"/>
  <c r="DU28" i="24"/>
  <c r="EY28" i="24"/>
  <c r="FA28" i="24"/>
  <c r="EB28" i="24"/>
  <c r="EL28" i="24"/>
  <c r="DW141" i="24"/>
  <c r="EN141" i="24"/>
  <c r="EM141" i="24"/>
  <c r="EP141" i="24" s="1"/>
  <c r="EL141" i="24"/>
  <c r="EY141" i="24"/>
  <c r="FA141" i="24"/>
  <c r="EB141" i="24"/>
  <c r="EE128" i="24"/>
  <c r="FA89" i="24"/>
  <c r="EB143" i="24"/>
  <c r="DW143" i="24"/>
  <c r="EN143" i="24"/>
  <c r="EM143" i="24"/>
  <c r="EP143" i="24" s="1"/>
  <c r="EL143" i="24"/>
  <c r="EY143" i="24"/>
  <c r="FA143" i="24"/>
  <c r="EY120" i="24"/>
  <c r="DW120" i="24"/>
  <c r="EN120" i="24"/>
  <c r="EM120" i="24"/>
  <c r="EP120" i="24" s="1"/>
  <c r="FA120" i="24"/>
  <c r="EL120" i="24"/>
  <c r="EB120" i="24"/>
  <c r="EB154" i="24"/>
  <c r="DW87" i="24"/>
  <c r="EN87" i="24"/>
  <c r="EM87" i="24"/>
  <c r="EP87" i="24" s="1"/>
  <c r="DU87" i="24"/>
  <c r="FA87" i="24"/>
  <c r="EY87" i="24"/>
  <c r="EL87" i="24"/>
  <c r="EB87" i="24"/>
  <c r="EE103" i="24"/>
  <c r="DW102" i="24"/>
  <c r="EN102" i="24"/>
  <c r="EM102" i="24"/>
  <c r="EP102" i="24" s="1"/>
  <c r="DU102" i="24"/>
  <c r="FA102" i="24"/>
  <c r="EY102" i="24"/>
  <c r="EL102" i="24"/>
  <c r="EB102" i="24"/>
  <c r="DW306" i="24"/>
  <c r="DU306" i="24"/>
  <c r="DW10" i="24"/>
  <c r="DY10" i="24" s="1"/>
  <c r="EF10" i="24" s="1"/>
  <c r="EN10" i="24"/>
  <c r="EM10" i="24"/>
  <c r="EP10" i="24" s="1"/>
  <c r="DU10" i="24"/>
  <c r="DW252" i="24"/>
  <c r="DU252" i="24"/>
  <c r="EL29" i="24"/>
  <c r="DW249" i="24"/>
  <c r="DU249" i="24"/>
  <c r="DW272" i="24"/>
  <c r="DU272" i="24"/>
  <c r="EB185" i="24"/>
  <c r="EE60" i="24"/>
  <c r="EB177" i="24"/>
  <c r="DW152" i="24"/>
  <c r="DY152" i="24" s="1"/>
  <c r="EF152" i="24" s="1"/>
  <c r="EN152" i="24"/>
  <c r="EM152" i="24"/>
  <c r="EP152" i="24" s="1"/>
  <c r="EL164" i="24"/>
  <c r="DW230" i="24"/>
  <c r="DU230" i="24"/>
  <c r="EE136" i="24"/>
  <c r="DW163" i="24"/>
  <c r="EN163" i="24"/>
  <c r="EM163" i="24"/>
  <c r="EP163" i="24" s="1"/>
  <c r="FA163" i="24"/>
  <c r="EB163" i="24"/>
  <c r="EL163" i="24"/>
  <c r="EY163" i="24"/>
  <c r="DW53" i="24"/>
  <c r="DY53" i="24" s="1"/>
  <c r="EF53" i="24" s="1"/>
  <c r="EN53" i="24"/>
  <c r="EM53" i="24"/>
  <c r="EP53" i="24" s="1"/>
  <c r="DU53" i="24"/>
  <c r="EB58" i="24"/>
  <c r="DW58" i="24"/>
  <c r="EN58" i="24"/>
  <c r="EM58" i="24"/>
  <c r="EP58" i="24" s="1"/>
  <c r="DU58" i="24"/>
  <c r="FA58" i="24"/>
  <c r="EL58" i="24"/>
  <c r="EY58" i="24"/>
  <c r="DW137" i="24"/>
  <c r="EN137" i="24"/>
  <c r="EM137" i="24"/>
  <c r="EP137" i="24" s="1"/>
  <c r="EY137" i="24"/>
  <c r="EB137" i="24"/>
  <c r="EL137" i="24"/>
  <c r="FA137" i="24"/>
  <c r="DW314" i="24"/>
  <c r="DU314" i="24"/>
  <c r="EB202" i="24"/>
  <c r="FA25" i="24"/>
  <c r="EN25" i="24"/>
  <c r="DW25" i="24"/>
  <c r="DY25" i="24" s="1"/>
  <c r="EF25" i="24" s="1"/>
  <c r="EM25" i="24"/>
  <c r="EP25" i="24" s="1"/>
  <c r="DU25" i="24"/>
  <c r="EY192" i="24"/>
  <c r="EN42" i="24"/>
  <c r="DW42" i="24"/>
  <c r="DY42" i="24" s="1"/>
  <c r="EF42" i="24" s="1"/>
  <c r="EM42" i="24"/>
  <c r="EP42" i="24" s="1"/>
  <c r="DU42" i="24"/>
  <c r="EY54" i="24"/>
  <c r="FA183" i="24"/>
  <c r="EE186" i="24"/>
  <c r="EB175" i="24"/>
  <c r="EY160" i="24"/>
  <c r="DW245" i="24"/>
  <c r="DU245" i="24"/>
  <c r="EY171" i="24"/>
  <c r="EE43" i="24"/>
  <c r="FA197" i="24"/>
  <c r="DW22" i="24"/>
  <c r="EN22" i="24"/>
  <c r="EM22" i="24"/>
  <c r="EP22" i="24" s="1"/>
  <c r="DU22" i="24"/>
  <c r="FA22" i="24"/>
  <c r="EB22" i="24"/>
  <c r="EL22" i="24"/>
  <c r="EY22" i="24"/>
  <c r="EL47" i="24"/>
  <c r="EL138" i="24"/>
  <c r="EN72" i="24"/>
  <c r="DW72" i="24"/>
  <c r="EM72" i="24"/>
  <c r="EP72" i="24" s="1"/>
  <c r="DU72" i="24"/>
  <c r="EY72" i="24"/>
  <c r="EL72" i="24"/>
  <c r="FA72" i="24"/>
  <c r="EB72" i="24"/>
  <c r="EB10" i="24"/>
  <c r="EL75" i="24"/>
  <c r="DW75" i="24"/>
  <c r="EN75" i="24"/>
  <c r="EM75" i="24"/>
  <c r="EP75" i="24" s="1"/>
  <c r="DU75" i="24"/>
  <c r="FA75" i="24"/>
  <c r="EB75" i="24"/>
  <c r="EY75" i="24"/>
  <c r="EL81" i="24"/>
  <c r="DW221" i="24"/>
  <c r="DU221" i="24"/>
  <c r="EE63" i="24"/>
  <c r="FA30" i="24"/>
  <c r="DW234" i="24"/>
  <c r="DU234" i="24"/>
  <c r="DW43" i="24"/>
  <c r="DY43" i="24" s="1"/>
  <c r="EF43" i="24" s="1"/>
  <c r="EN43" i="24"/>
  <c r="EM43" i="24"/>
  <c r="EP43" i="24" s="1"/>
  <c r="DU43" i="24"/>
  <c r="DW167" i="24"/>
  <c r="DY167" i="24" s="1"/>
  <c r="EF167" i="24" s="1"/>
  <c r="EN167" i="24"/>
  <c r="EM167" i="24"/>
  <c r="EP167" i="24" s="1"/>
  <c r="EY114" i="24"/>
  <c r="EB209" i="24"/>
  <c r="EY23" i="24"/>
  <c r="DW174" i="24"/>
  <c r="DY174" i="24" s="1"/>
  <c r="EF174" i="24" s="1"/>
  <c r="EN174" i="24"/>
  <c r="EM174" i="24"/>
  <c r="EP174" i="24" s="1"/>
  <c r="EY201" i="24"/>
  <c r="EB173" i="24"/>
  <c r="DW26" i="24"/>
  <c r="DY26" i="24" s="1"/>
  <c r="EF26" i="24" s="1"/>
  <c r="EN26" i="24"/>
  <c r="EM26" i="24"/>
  <c r="EP26" i="24" s="1"/>
  <c r="DU26" i="24"/>
  <c r="DW84" i="24"/>
  <c r="EN84" i="24"/>
  <c r="EM84" i="24"/>
  <c r="EP84" i="24" s="1"/>
  <c r="DU84" i="24"/>
  <c r="EB84" i="24"/>
  <c r="EY84" i="24"/>
  <c r="FA84" i="24"/>
  <c r="EL84" i="24"/>
  <c r="EY155" i="24"/>
  <c r="EB80" i="24"/>
  <c r="EE199" i="24"/>
  <c r="DW283" i="24"/>
  <c r="DU283" i="24"/>
  <c r="EY129" i="24"/>
  <c r="DW244" i="24"/>
  <c r="DU244" i="24"/>
  <c r="EE39" i="24"/>
  <c r="DW275" i="24"/>
  <c r="DU275" i="24"/>
  <c r="DW145" i="24"/>
  <c r="DY145" i="24" s="1"/>
  <c r="EF145" i="24" s="1"/>
  <c r="EN145" i="24"/>
  <c r="EM145" i="24"/>
  <c r="EP145" i="24" s="1"/>
  <c r="BV106" i="19"/>
  <c r="CB106" i="19" s="1"/>
  <c r="BW106" i="19"/>
  <c r="CC106" i="19" s="1"/>
  <c r="EL216" i="25" l="1"/>
  <c r="EK216" i="25"/>
  <c r="EN216" i="25" s="1"/>
  <c r="FA216" i="25"/>
  <c r="DY216" i="25"/>
  <c r="EG216" i="25" s="1"/>
  <c r="EX216" i="25" s="1"/>
  <c r="DT216" i="25"/>
  <c r="EJ216" i="25"/>
  <c r="CG212" i="25"/>
  <c r="EE212" i="25"/>
  <c r="EG212" i="25"/>
  <c r="EX212" i="25" s="1"/>
  <c r="EF212" i="25"/>
  <c r="EW212" i="25" s="1"/>
  <c r="CH212" i="25"/>
  <c r="DY190" i="24"/>
  <c r="EF190" i="24" s="1"/>
  <c r="EA243" i="24"/>
  <c r="FL243" i="24" s="1"/>
  <c r="EA96" i="24"/>
  <c r="CG96" i="24" s="1"/>
  <c r="EA242" i="24"/>
  <c r="EH242" i="24" s="1"/>
  <c r="EA285" i="24"/>
  <c r="EC285" i="24" s="1"/>
  <c r="ED285" i="24" s="1"/>
  <c r="FL216" i="24"/>
  <c r="EI216" i="24"/>
  <c r="EX216" i="24" s="1"/>
  <c r="EC216" i="24"/>
  <c r="ED216" i="24" s="1"/>
  <c r="EH216" i="24"/>
  <c r="I5" i="24"/>
  <c r="M5" i="24" s="1"/>
  <c r="U5" i="24" s="1"/>
  <c r="CH285" i="25"/>
  <c r="EF285" i="25"/>
  <c r="EW285" i="25" s="1"/>
  <c r="EG285" i="25"/>
  <c r="EX285" i="25" s="1"/>
  <c r="EE285" i="25"/>
  <c r="CH253" i="25"/>
  <c r="EE253" i="25"/>
  <c r="EF253" i="25"/>
  <c r="EW253" i="25" s="1"/>
  <c r="EG253" i="25"/>
  <c r="EX253" i="25" s="1"/>
  <c r="CG262" i="25"/>
  <c r="EF262" i="25"/>
  <c r="EW262" i="25" s="1"/>
  <c r="EG262" i="25"/>
  <c r="EX262" i="25" s="1"/>
  <c r="EE262" i="25"/>
  <c r="CH303" i="25"/>
  <c r="EF303" i="25"/>
  <c r="EW303" i="25" s="1"/>
  <c r="EG303" i="25"/>
  <c r="EX303" i="25" s="1"/>
  <c r="EE303" i="25"/>
  <c r="CH248" i="25"/>
  <c r="EE248" i="25"/>
  <c r="EF248" i="25"/>
  <c r="EW248" i="25" s="1"/>
  <c r="EG248" i="25"/>
  <c r="EX248" i="25" s="1"/>
  <c r="CG242" i="25"/>
  <c r="EE242" i="25"/>
  <c r="EF242" i="25"/>
  <c r="EW242" i="25" s="1"/>
  <c r="EG242" i="25"/>
  <c r="EX242" i="25" s="1"/>
  <c r="CH237" i="25"/>
  <c r="EF237" i="25"/>
  <c r="EW237" i="25" s="1"/>
  <c r="EG237" i="25"/>
  <c r="EX237" i="25" s="1"/>
  <c r="EE237" i="25"/>
  <c r="CG266" i="25"/>
  <c r="EE266" i="25"/>
  <c r="EF266" i="25"/>
  <c r="EW266" i="25" s="1"/>
  <c r="EG266" i="25"/>
  <c r="EX266" i="25" s="1"/>
  <c r="CH264" i="25"/>
  <c r="EE264" i="25"/>
  <c r="EF264" i="25"/>
  <c r="EW264" i="25" s="1"/>
  <c r="EG264" i="25"/>
  <c r="EX264" i="25" s="1"/>
  <c r="CH235" i="25"/>
  <c r="EF235" i="25"/>
  <c r="EW235" i="25" s="1"/>
  <c r="EG235" i="25"/>
  <c r="EX235" i="25" s="1"/>
  <c r="EE235" i="25"/>
  <c r="CG230" i="25"/>
  <c r="EE230" i="25"/>
  <c r="EF230" i="25"/>
  <c r="EW230" i="25" s="1"/>
  <c r="EG230" i="25"/>
  <c r="EX230" i="25" s="1"/>
  <c r="CH300" i="25"/>
  <c r="EE300" i="25"/>
  <c r="EF300" i="25"/>
  <c r="EW300" i="25" s="1"/>
  <c r="EG300" i="25"/>
  <c r="EX300" i="25" s="1"/>
  <c r="CH312" i="25"/>
  <c r="EG312" i="25"/>
  <c r="EX312" i="25" s="1"/>
  <c r="EE312" i="25"/>
  <c r="EF312" i="25"/>
  <c r="EW312" i="25" s="1"/>
  <c r="CG274" i="25"/>
  <c r="EE274" i="25"/>
  <c r="EG274" i="25"/>
  <c r="EX274" i="25" s="1"/>
  <c r="EF274" i="25"/>
  <c r="EW274" i="25" s="1"/>
  <c r="CG246" i="25"/>
  <c r="EE246" i="25"/>
  <c r="EF246" i="25"/>
  <c r="EW246" i="25" s="1"/>
  <c r="EG246" i="25"/>
  <c r="EX246" i="25" s="1"/>
  <c r="CH281" i="25"/>
  <c r="EE281" i="25"/>
  <c r="EG281" i="25"/>
  <c r="EX281" i="25" s="1"/>
  <c r="EF281" i="25"/>
  <c r="EW281" i="25" s="1"/>
  <c r="CH307" i="25"/>
  <c r="EE307" i="25"/>
  <c r="EF307" i="25"/>
  <c r="EW307" i="25" s="1"/>
  <c r="EG307" i="25"/>
  <c r="EX307" i="25" s="1"/>
  <c r="CH217" i="25"/>
  <c r="EE217" i="25"/>
  <c r="EF217" i="25"/>
  <c r="EW217" i="25" s="1"/>
  <c r="EG217" i="25"/>
  <c r="EX217" i="25" s="1"/>
  <c r="CG302" i="25"/>
  <c r="EE302" i="25"/>
  <c r="EF302" i="25"/>
  <c r="EW302" i="25" s="1"/>
  <c r="EG302" i="25"/>
  <c r="EX302" i="25" s="1"/>
  <c r="CH288" i="25"/>
  <c r="EF288" i="25"/>
  <c r="EW288" i="25" s="1"/>
  <c r="EG288" i="25"/>
  <c r="EX288" i="25" s="1"/>
  <c r="EE288" i="25"/>
  <c r="CG270" i="25"/>
  <c r="EE270" i="25"/>
  <c r="EF270" i="25"/>
  <c r="EW270" i="25" s="1"/>
  <c r="EG270" i="25"/>
  <c r="EX270" i="25" s="1"/>
  <c r="CH272" i="25"/>
  <c r="EF272" i="25"/>
  <c r="EW272" i="25" s="1"/>
  <c r="EG272" i="25"/>
  <c r="EX272" i="25" s="1"/>
  <c r="EE272" i="25"/>
  <c r="CH249" i="25"/>
  <c r="EE249" i="25"/>
  <c r="EF249" i="25"/>
  <c r="EW249" i="25" s="1"/>
  <c r="EG249" i="25"/>
  <c r="EX249" i="25" s="1"/>
  <c r="CG273" i="25"/>
  <c r="EE273" i="25"/>
  <c r="EF273" i="25"/>
  <c r="EW273" i="25" s="1"/>
  <c r="EG273" i="25"/>
  <c r="EX273" i="25" s="1"/>
  <c r="CG258" i="25"/>
  <c r="EE258" i="25"/>
  <c r="EF258" i="25"/>
  <c r="EW258" i="25" s="1"/>
  <c r="EG258" i="25"/>
  <c r="EX258" i="25" s="1"/>
  <c r="CH304" i="25"/>
  <c r="EE304" i="25"/>
  <c r="EF304" i="25"/>
  <c r="EW304" i="25" s="1"/>
  <c r="EG304" i="25"/>
  <c r="EX304" i="25" s="1"/>
  <c r="CH259" i="25"/>
  <c r="EE259" i="25"/>
  <c r="EF259" i="25"/>
  <c r="EW259" i="25" s="1"/>
  <c r="EG259" i="25"/>
  <c r="EX259" i="25" s="1"/>
  <c r="CH231" i="25"/>
  <c r="EG231" i="25"/>
  <c r="EX231" i="25" s="1"/>
  <c r="EE231" i="25"/>
  <c r="EF231" i="25"/>
  <c r="EW231" i="25" s="1"/>
  <c r="CH251" i="25"/>
  <c r="EE251" i="25"/>
  <c r="EF251" i="25"/>
  <c r="EW251" i="25" s="1"/>
  <c r="EG251" i="25"/>
  <c r="EX251" i="25" s="1"/>
  <c r="CG226" i="25"/>
  <c r="EE226" i="25"/>
  <c r="EF226" i="25"/>
  <c r="EW226" i="25" s="1"/>
  <c r="EG226" i="25"/>
  <c r="EX226" i="25" s="1"/>
  <c r="CH308" i="25"/>
  <c r="EE308" i="25"/>
  <c r="EF308" i="25"/>
  <c r="EW308" i="25" s="1"/>
  <c r="EG308" i="25"/>
  <c r="EX308" i="25" s="1"/>
  <c r="CH305" i="25"/>
  <c r="EE305" i="25"/>
  <c r="EF305" i="25"/>
  <c r="EW305" i="25" s="1"/>
  <c r="EG305" i="25"/>
  <c r="EX305" i="25" s="1"/>
  <c r="CH260" i="25"/>
  <c r="EF260" i="25"/>
  <c r="EW260" i="25" s="1"/>
  <c r="EG260" i="25"/>
  <c r="EX260" i="25" s="1"/>
  <c r="EE260" i="25"/>
  <c r="CG268" i="25"/>
  <c r="EG268" i="25"/>
  <c r="EX268" i="25" s="1"/>
  <c r="EE268" i="25"/>
  <c r="EF268" i="25"/>
  <c r="EW268" i="25" s="1"/>
  <c r="CG254" i="25"/>
  <c r="EG254" i="25"/>
  <c r="EX254" i="25" s="1"/>
  <c r="EE254" i="25"/>
  <c r="EF254" i="25"/>
  <c r="EW254" i="25" s="1"/>
  <c r="CH263" i="25"/>
  <c r="EE263" i="25"/>
  <c r="EF263" i="25"/>
  <c r="EW263" i="25" s="1"/>
  <c r="EG263" i="25"/>
  <c r="EX263" i="25" s="1"/>
  <c r="CH236" i="25"/>
  <c r="EE236" i="25"/>
  <c r="EF236" i="25"/>
  <c r="EW236" i="25" s="1"/>
  <c r="EG236" i="25"/>
  <c r="EX236" i="25" s="1"/>
  <c r="CH227" i="25"/>
  <c r="EE227" i="25"/>
  <c r="EF227" i="25"/>
  <c r="EW227" i="25" s="1"/>
  <c r="EG227" i="25"/>
  <c r="EX227" i="25" s="1"/>
  <c r="CG238" i="25"/>
  <c r="EE238" i="25"/>
  <c r="EF238" i="25"/>
  <c r="EW238" i="25" s="1"/>
  <c r="EG238" i="25"/>
  <c r="EX238" i="25" s="1"/>
  <c r="CG298" i="25"/>
  <c r="EG298" i="25"/>
  <c r="EX298" i="25" s="1"/>
  <c r="EE298" i="25"/>
  <c r="EF298" i="25"/>
  <c r="EW298" i="25" s="1"/>
  <c r="CH284" i="25"/>
  <c r="EE284" i="25"/>
  <c r="EG284" i="25"/>
  <c r="EX284" i="25" s="1"/>
  <c r="EF284" i="25"/>
  <c r="EW284" i="25" s="1"/>
  <c r="CH286" i="25"/>
  <c r="EE286" i="25"/>
  <c r="EF286" i="25"/>
  <c r="EW286" i="25" s="1"/>
  <c r="EG286" i="25"/>
  <c r="EX286" i="25" s="1"/>
  <c r="CH297" i="25"/>
  <c r="EE297" i="25"/>
  <c r="EF297" i="25"/>
  <c r="EW297" i="25" s="1"/>
  <c r="EG297" i="25"/>
  <c r="EX297" i="25" s="1"/>
  <c r="CG218" i="25"/>
  <c r="EE218" i="25"/>
  <c r="EF218" i="25"/>
  <c r="EW218" i="25" s="1"/>
  <c r="EG218" i="25"/>
  <c r="EX218" i="25" s="1"/>
  <c r="CH232" i="25"/>
  <c r="EF232" i="25"/>
  <c r="EW232" i="25" s="1"/>
  <c r="EG232" i="25"/>
  <c r="EX232" i="25" s="1"/>
  <c r="EE232" i="25"/>
  <c r="CH295" i="25"/>
  <c r="EE295" i="25"/>
  <c r="EG295" i="25"/>
  <c r="EX295" i="25" s="1"/>
  <c r="EF295" i="25"/>
  <c r="EW295" i="25" s="1"/>
  <c r="CH241" i="25"/>
  <c r="EE241" i="25"/>
  <c r="EF241" i="25"/>
  <c r="EW241" i="25" s="1"/>
  <c r="EG241" i="25"/>
  <c r="EX241" i="25" s="1"/>
  <c r="CH287" i="25"/>
  <c r="EF287" i="25"/>
  <c r="EW287" i="25" s="1"/>
  <c r="EG287" i="25"/>
  <c r="EX287" i="25" s="1"/>
  <c r="EE287" i="25"/>
  <c r="CG313" i="25"/>
  <c r="EE313" i="25"/>
  <c r="EF313" i="25"/>
  <c r="EW313" i="25" s="1"/>
  <c r="EG313" i="25"/>
  <c r="EX313" i="25" s="1"/>
  <c r="CH257" i="25"/>
  <c r="EF257" i="25"/>
  <c r="EW257" i="25" s="1"/>
  <c r="EG257" i="25"/>
  <c r="EX257" i="25" s="1"/>
  <c r="EE257" i="25"/>
  <c r="CH301" i="25"/>
  <c r="EE301" i="25"/>
  <c r="EF301" i="25"/>
  <c r="EW301" i="25" s="1"/>
  <c r="EG301" i="25"/>
  <c r="EX301" i="25" s="1"/>
  <c r="CH311" i="25"/>
  <c r="EE311" i="25"/>
  <c r="EF311" i="25"/>
  <c r="EW311" i="25" s="1"/>
  <c r="EG311" i="25"/>
  <c r="EX311" i="25" s="1"/>
  <c r="CH279" i="25"/>
  <c r="EE279" i="25"/>
  <c r="EG279" i="25"/>
  <c r="EX279" i="25" s="1"/>
  <c r="EF279" i="25"/>
  <c r="EW279" i="25" s="1"/>
  <c r="CG229" i="25"/>
  <c r="EE229" i="25"/>
  <c r="EF229" i="25"/>
  <c r="EW229" i="25" s="1"/>
  <c r="EG229" i="25"/>
  <c r="EX229" i="25" s="1"/>
  <c r="CH283" i="25"/>
  <c r="EE283" i="25"/>
  <c r="EF283" i="25"/>
  <c r="EW283" i="25" s="1"/>
  <c r="EG283" i="25"/>
  <c r="EX283" i="25" s="1"/>
  <c r="CG240" i="25"/>
  <c r="EE240" i="25"/>
  <c r="EF240" i="25"/>
  <c r="EW240" i="25" s="1"/>
  <c r="EG240" i="25"/>
  <c r="EX240" i="25" s="1"/>
  <c r="CH265" i="25"/>
  <c r="EF265" i="25"/>
  <c r="EW265" i="25" s="1"/>
  <c r="EG265" i="25"/>
  <c r="EX265" i="25" s="1"/>
  <c r="EE265" i="25"/>
  <c r="CG222" i="25"/>
  <c r="EE222" i="25"/>
  <c r="EF222" i="25"/>
  <c r="EW222" i="25" s="1"/>
  <c r="EG222" i="25"/>
  <c r="EX222" i="25" s="1"/>
  <c r="CH292" i="25"/>
  <c r="EE292" i="25"/>
  <c r="EF292" i="25"/>
  <c r="EW292" i="25" s="1"/>
  <c r="EG292" i="25"/>
  <c r="EX292" i="25" s="1"/>
  <c r="CH243" i="25"/>
  <c r="EF243" i="25"/>
  <c r="EW243" i="25" s="1"/>
  <c r="EG243" i="25"/>
  <c r="EX243" i="25" s="1"/>
  <c r="EE243" i="25"/>
  <c r="CH291" i="25"/>
  <c r="EE291" i="25"/>
  <c r="EF291" i="25"/>
  <c r="EW291" i="25" s="1"/>
  <c r="EG291" i="25"/>
  <c r="EX291" i="25" s="1"/>
  <c r="CH271" i="25"/>
  <c r="EE271" i="25"/>
  <c r="EG271" i="25"/>
  <c r="EX271" i="25" s="1"/>
  <c r="EF271" i="25"/>
  <c r="EW271" i="25" s="1"/>
  <c r="CH276" i="25"/>
  <c r="EE276" i="25"/>
  <c r="EF276" i="25"/>
  <c r="EW276" i="25" s="1"/>
  <c r="EG276" i="25"/>
  <c r="EX276" i="25" s="1"/>
  <c r="CH316" i="25"/>
  <c r="EE316" i="25"/>
  <c r="EF316" i="25"/>
  <c r="EW316" i="25" s="1"/>
  <c r="EG316" i="25"/>
  <c r="EX316" i="25" s="1"/>
  <c r="CH233" i="25"/>
  <c r="EE233" i="25"/>
  <c r="EF233" i="25"/>
  <c r="EW233" i="25" s="1"/>
  <c r="EG233" i="25"/>
  <c r="EX233" i="25" s="1"/>
  <c r="CG225" i="25"/>
  <c r="EE225" i="25"/>
  <c r="EF225" i="25"/>
  <c r="EW225" i="25" s="1"/>
  <c r="EG225" i="25"/>
  <c r="EX225" i="25" s="1"/>
  <c r="CH221" i="25"/>
  <c r="EG221" i="25"/>
  <c r="EX221" i="25" s="1"/>
  <c r="EE221" i="25"/>
  <c r="EF221" i="25"/>
  <c r="EW221" i="25" s="1"/>
  <c r="CG294" i="25"/>
  <c r="EE294" i="25"/>
  <c r="EF294" i="25"/>
  <c r="EW294" i="25" s="1"/>
  <c r="EG294" i="25"/>
  <c r="EX294" i="25" s="1"/>
  <c r="CH247" i="25"/>
  <c r="EE247" i="25"/>
  <c r="EF247" i="25"/>
  <c r="EW247" i="25" s="1"/>
  <c r="EG247" i="25"/>
  <c r="EX247" i="25" s="1"/>
  <c r="CH315" i="25"/>
  <c r="EE315" i="25"/>
  <c r="EF315" i="25"/>
  <c r="EW315" i="25" s="1"/>
  <c r="EG315" i="25"/>
  <c r="EX315" i="25" s="1"/>
  <c r="CH289" i="25"/>
  <c r="EE289" i="25"/>
  <c r="EF289" i="25"/>
  <c r="EW289" i="25" s="1"/>
  <c r="EG289" i="25"/>
  <c r="EX289" i="25" s="1"/>
  <c r="CH277" i="25"/>
  <c r="EF277" i="25"/>
  <c r="EW277" i="25" s="1"/>
  <c r="EG277" i="25"/>
  <c r="EX277" i="25" s="1"/>
  <c r="EE277" i="25"/>
  <c r="CH261" i="25"/>
  <c r="EE261" i="25"/>
  <c r="EF261" i="25"/>
  <c r="EW261" i="25" s="1"/>
  <c r="EG261" i="25"/>
  <c r="EX261" i="25" s="1"/>
  <c r="CG252" i="25"/>
  <c r="EE252" i="25"/>
  <c r="EF252" i="25"/>
  <c r="EW252" i="25" s="1"/>
  <c r="EG252" i="25"/>
  <c r="EX252" i="25" s="1"/>
  <c r="CG267" i="25"/>
  <c r="EE267" i="25"/>
  <c r="EF267" i="25"/>
  <c r="EW267" i="25" s="1"/>
  <c r="EG267" i="25"/>
  <c r="EX267" i="25" s="1"/>
  <c r="CH293" i="25"/>
  <c r="EG293" i="25"/>
  <c r="EX293" i="25" s="1"/>
  <c r="EE293" i="25"/>
  <c r="EF293" i="25"/>
  <c r="EW293" i="25" s="1"/>
  <c r="CH219" i="25"/>
  <c r="EE219" i="25"/>
  <c r="EF219" i="25"/>
  <c r="EW219" i="25" s="1"/>
  <c r="EG219" i="25"/>
  <c r="EX219" i="25" s="1"/>
  <c r="CH280" i="25"/>
  <c r="EE280" i="25"/>
  <c r="EF280" i="25"/>
  <c r="EW280" i="25" s="1"/>
  <c r="EG280" i="25"/>
  <c r="EX280" i="25" s="1"/>
  <c r="CH228" i="25"/>
  <c r="EE228" i="25"/>
  <c r="EF228" i="25"/>
  <c r="EW228" i="25" s="1"/>
  <c r="EG228" i="25"/>
  <c r="EX228" i="25" s="1"/>
  <c r="CG275" i="25"/>
  <c r="EG275" i="25"/>
  <c r="EX275" i="25" s="1"/>
  <c r="EE275" i="25"/>
  <c r="EF275" i="25"/>
  <c r="EW275" i="25" s="1"/>
  <c r="CH299" i="25"/>
  <c r="EE299" i="25"/>
  <c r="EF299" i="25"/>
  <c r="EW299" i="25" s="1"/>
  <c r="EG299" i="25"/>
  <c r="EX299" i="25" s="1"/>
  <c r="CH296" i="25"/>
  <c r="EF296" i="25"/>
  <c r="EW296" i="25" s="1"/>
  <c r="EG296" i="25"/>
  <c r="EX296" i="25" s="1"/>
  <c r="EE296" i="25"/>
  <c r="CH256" i="25"/>
  <c r="EE256" i="25"/>
  <c r="EF256" i="25"/>
  <c r="EW256" i="25" s="1"/>
  <c r="EG256" i="25"/>
  <c r="EX256" i="25" s="1"/>
  <c r="CG290" i="25"/>
  <c r="EG290" i="25"/>
  <c r="EX290" i="25" s="1"/>
  <c r="EE290" i="25"/>
  <c r="EF290" i="25"/>
  <c r="EW290" i="25" s="1"/>
  <c r="CG234" i="25"/>
  <c r="EE234" i="25"/>
  <c r="EF234" i="25"/>
  <c r="EW234" i="25" s="1"/>
  <c r="EG234" i="25"/>
  <c r="EX234" i="25" s="1"/>
  <c r="CH239" i="25"/>
  <c r="EE239" i="25"/>
  <c r="EF239" i="25"/>
  <c r="EW239" i="25" s="1"/>
  <c r="EG239" i="25"/>
  <c r="EX239" i="25" s="1"/>
  <c r="CH224" i="25"/>
  <c r="EG224" i="25"/>
  <c r="EX224" i="25" s="1"/>
  <c r="EE224" i="25"/>
  <c r="EF224" i="25"/>
  <c r="EW224" i="25" s="1"/>
  <c r="CH223" i="25"/>
  <c r="EE223" i="25"/>
  <c r="EF223" i="25"/>
  <c r="EW223" i="25" s="1"/>
  <c r="EG223" i="25"/>
  <c r="EX223" i="25" s="1"/>
  <c r="CH220" i="25"/>
  <c r="EE220" i="25"/>
  <c r="EF220" i="25"/>
  <c r="EW220" i="25" s="1"/>
  <c r="EG220" i="25"/>
  <c r="EX220" i="25" s="1"/>
  <c r="CG278" i="25"/>
  <c r="EE278" i="25"/>
  <c r="EF278" i="25"/>
  <c r="EW278" i="25" s="1"/>
  <c r="EG278" i="25"/>
  <c r="EX278" i="25" s="1"/>
  <c r="CH269" i="25"/>
  <c r="EE269" i="25"/>
  <c r="EF269" i="25"/>
  <c r="EW269" i="25" s="1"/>
  <c r="EG269" i="25"/>
  <c r="EX269" i="25" s="1"/>
  <c r="CH282" i="25"/>
  <c r="EE282" i="25"/>
  <c r="EF282" i="25"/>
  <c r="EW282" i="25" s="1"/>
  <c r="EG282" i="25"/>
  <c r="EX282" i="25" s="1"/>
  <c r="CG314" i="25"/>
  <c r="EE314" i="25"/>
  <c r="EF314" i="25"/>
  <c r="EW314" i="25" s="1"/>
  <c r="EG314" i="25"/>
  <c r="EX314" i="25" s="1"/>
  <c r="CH255" i="25"/>
  <c r="EE255" i="25"/>
  <c r="EF255" i="25"/>
  <c r="EW255" i="25" s="1"/>
  <c r="EG255" i="25"/>
  <c r="EX255" i="25" s="1"/>
  <c r="CH309" i="25"/>
  <c r="EF309" i="25"/>
  <c r="EW309" i="25" s="1"/>
  <c r="EG309" i="25"/>
  <c r="EX309" i="25" s="1"/>
  <c r="EE309" i="25"/>
  <c r="CG310" i="25"/>
  <c r="EE310" i="25"/>
  <c r="EF310" i="25"/>
  <c r="EW310" i="25" s="1"/>
  <c r="EG310" i="25"/>
  <c r="EX310" i="25" s="1"/>
  <c r="CG306" i="25"/>
  <c r="EF306" i="25"/>
  <c r="EW306" i="25" s="1"/>
  <c r="EG306" i="25"/>
  <c r="EX306" i="25" s="1"/>
  <c r="EE306" i="25"/>
  <c r="CG250" i="25"/>
  <c r="EE250" i="25"/>
  <c r="EF250" i="25"/>
  <c r="EW250" i="25" s="1"/>
  <c r="EG250" i="25"/>
  <c r="EX250" i="25" s="1"/>
  <c r="CH245" i="25"/>
  <c r="EG245" i="25"/>
  <c r="EX245" i="25" s="1"/>
  <c r="EE245" i="25"/>
  <c r="EF245" i="25"/>
  <c r="EW245" i="25" s="1"/>
  <c r="CH244" i="25"/>
  <c r="EE244" i="25"/>
  <c r="EF244" i="25"/>
  <c r="EW244" i="25" s="1"/>
  <c r="EG244" i="25"/>
  <c r="EX244" i="25" s="1"/>
  <c r="EG112" i="25"/>
  <c r="EX112" i="25" s="1"/>
  <c r="EE112" i="25"/>
  <c r="CG112" i="25"/>
  <c r="CH112" i="25"/>
  <c r="EF112" i="25"/>
  <c r="EW112" i="25" s="1"/>
  <c r="CH65" i="25"/>
  <c r="CG136" i="25"/>
  <c r="CH115" i="25"/>
  <c r="CG190" i="25"/>
  <c r="CH82" i="25"/>
  <c r="CH51" i="25"/>
  <c r="CH170" i="25"/>
  <c r="CH194" i="25"/>
  <c r="CH192" i="25"/>
  <c r="CH55" i="25"/>
  <c r="CH198" i="25"/>
  <c r="CH185" i="25"/>
  <c r="CH205" i="25"/>
  <c r="CH70" i="25"/>
  <c r="CH200" i="25"/>
  <c r="CG110" i="25"/>
  <c r="CG207" i="25"/>
  <c r="CG169" i="25"/>
  <c r="CH131" i="25"/>
  <c r="CH174" i="25"/>
  <c r="CH147" i="25"/>
  <c r="CH158" i="25"/>
  <c r="CH114" i="25"/>
  <c r="CH171" i="25"/>
  <c r="CH187" i="25"/>
  <c r="CH79" i="25"/>
  <c r="CH122" i="25"/>
  <c r="CH64" i="25"/>
  <c r="CH155" i="25"/>
  <c r="CH148" i="25"/>
  <c r="CG159" i="25"/>
  <c r="CH156" i="25"/>
  <c r="CH119" i="25"/>
  <c r="CG160" i="25"/>
  <c r="CH24" i="25"/>
  <c r="CG204" i="25"/>
  <c r="CG179" i="25"/>
  <c r="CH83" i="25"/>
  <c r="CG203" i="25"/>
  <c r="CH130" i="25"/>
  <c r="CG172" i="25"/>
  <c r="CH6" i="25"/>
  <c r="CG145" i="25"/>
  <c r="CG133" i="25"/>
  <c r="CG120" i="25"/>
  <c r="CH19" i="25"/>
  <c r="CH184" i="25"/>
  <c r="CH48" i="25"/>
  <c r="CG121" i="25"/>
  <c r="CG208" i="25"/>
  <c r="CH99" i="25"/>
  <c r="CH53" i="25"/>
  <c r="CG168" i="25"/>
  <c r="CH15" i="25"/>
  <c r="CG132" i="25"/>
  <c r="CH29" i="25"/>
  <c r="CH35" i="25"/>
  <c r="CG152" i="25"/>
  <c r="CG161" i="25"/>
  <c r="CH96" i="25"/>
  <c r="CG124" i="25"/>
  <c r="CH21" i="25"/>
  <c r="CH32" i="25"/>
  <c r="CH54" i="25"/>
  <c r="CH87" i="25"/>
  <c r="CH18" i="25"/>
  <c r="CH28" i="25"/>
  <c r="CH63" i="25"/>
  <c r="CH26" i="25"/>
  <c r="CH38" i="25"/>
  <c r="CH41" i="25"/>
  <c r="CH36" i="25"/>
  <c r="CH44" i="25"/>
  <c r="CG173" i="25"/>
  <c r="CG196" i="25"/>
  <c r="CG116" i="25"/>
  <c r="CH14" i="25"/>
  <c r="CH17" i="25"/>
  <c r="CH76" i="25"/>
  <c r="CH84" i="25"/>
  <c r="CG202" i="25"/>
  <c r="CH127" i="25"/>
  <c r="CG206" i="25"/>
  <c r="CH69" i="25"/>
  <c r="CH42" i="25"/>
  <c r="CG134" i="25"/>
  <c r="CH43" i="25"/>
  <c r="CG153" i="25"/>
  <c r="CH62" i="25"/>
  <c r="CH12" i="25"/>
  <c r="CG201" i="25"/>
  <c r="CG139" i="25"/>
  <c r="CH61" i="25"/>
  <c r="CH49" i="25"/>
  <c r="CG210" i="25"/>
  <c r="CG167" i="25"/>
  <c r="CH23" i="25"/>
  <c r="CG111" i="25"/>
  <c r="CG123" i="25"/>
  <c r="CH11" i="25"/>
  <c r="CG176" i="25"/>
  <c r="CG195" i="25"/>
  <c r="CH104" i="25"/>
  <c r="CH90" i="25"/>
  <c r="CH173" i="25"/>
  <c r="CH118" i="25"/>
  <c r="CH67" i="25"/>
  <c r="CH57" i="25"/>
  <c r="CG197" i="25"/>
  <c r="CG157" i="25"/>
  <c r="CG151" i="25"/>
  <c r="CH30" i="25"/>
  <c r="CG186" i="25"/>
  <c r="CG166" i="25"/>
  <c r="CG154" i="25"/>
  <c r="CH9" i="25"/>
  <c r="CH16" i="25"/>
  <c r="CG142" i="25"/>
  <c r="CH95" i="25"/>
  <c r="CG135" i="25"/>
  <c r="CG162" i="25"/>
  <c r="CH68" i="25"/>
  <c r="CG141" i="25"/>
  <c r="CG117" i="25"/>
  <c r="CH60" i="25"/>
  <c r="CH39" i="25"/>
  <c r="CG140" i="25"/>
  <c r="CH100" i="25"/>
  <c r="CH80" i="25"/>
  <c r="CG144" i="25"/>
  <c r="CH92" i="25"/>
  <c r="CG188" i="25"/>
  <c r="CG113" i="25"/>
  <c r="CH101" i="25"/>
  <c r="CG165" i="25"/>
  <c r="CH10" i="25"/>
  <c r="CG126" i="25"/>
  <c r="CH93" i="25"/>
  <c r="CG137" i="25"/>
  <c r="CG125" i="25"/>
  <c r="CG191" i="25"/>
  <c r="CG193" i="25"/>
  <c r="CG209" i="25"/>
  <c r="CH85" i="25"/>
  <c r="CH94" i="25"/>
  <c r="CG146" i="25"/>
  <c r="CH46" i="25"/>
  <c r="CG149" i="25"/>
  <c r="CG150" i="25"/>
  <c r="CG129" i="25"/>
  <c r="CG175" i="25"/>
  <c r="CH13" i="25"/>
  <c r="CH75" i="25"/>
  <c r="CH72" i="25"/>
  <c r="EA78" i="24"/>
  <c r="FL78" i="24" s="1"/>
  <c r="CH183" i="25"/>
  <c r="CG183" i="25"/>
  <c r="CH102" i="25"/>
  <c r="CH27" i="25"/>
  <c r="CG128" i="25"/>
  <c r="CH20" i="25"/>
  <c r="CH105" i="25"/>
  <c r="CG189" i="25"/>
  <c r="CG163" i="25"/>
  <c r="CH78" i="25"/>
  <c r="CH137" i="25"/>
  <c r="CH59" i="25"/>
  <c r="CH22" i="25"/>
  <c r="CG180" i="25"/>
  <c r="CG199" i="25"/>
  <c r="CH66" i="25"/>
  <c r="CG177" i="25"/>
  <c r="CG164" i="25"/>
  <c r="CH34" i="25"/>
  <c r="CH86" i="25"/>
  <c r="CG178" i="25"/>
  <c r="CH98" i="25"/>
  <c r="CH50" i="25"/>
  <c r="CH7" i="25"/>
  <c r="CH8" i="25"/>
  <c r="CH74" i="25"/>
  <c r="CH128" i="25"/>
  <c r="CG171" i="25"/>
  <c r="CH97" i="25"/>
  <c r="CH71" i="25"/>
  <c r="CH199" i="25"/>
  <c r="CH33" i="25"/>
  <c r="CH88" i="25"/>
  <c r="CH45" i="25"/>
  <c r="CH164" i="25"/>
  <c r="CH40" i="25"/>
  <c r="CH52" i="25"/>
  <c r="CH91" i="25"/>
  <c r="CH31" i="25"/>
  <c r="CG103" i="25"/>
  <c r="CG86" i="25"/>
  <c r="I110" i="24"/>
  <c r="M110" i="24" s="1"/>
  <c r="CG6" i="25"/>
  <c r="CG39" i="25"/>
  <c r="CG49" i="25"/>
  <c r="CG78" i="25"/>
  <c r="CG24" i="25"/>
  <c r="CG63" i="25"/>
  <c r="CG42" i="25"/>
  <c r="CG38" i="25"/>
  <c r="CG14" i="25"/>
  <c r="CG41" i="25"/>
  <c r="CG10" i="25"/>
  <c r="CG96" i="25"/>
  <c r="EF58" i="25"/>
  <c r="EW58" i="25" s="1"/>
  <c r="FL58" i="25"/>
  <c r="CG101" i="25"/>
  <c r="CG61" i="25"/>
  <c r="CG66" i="25"/>
  <c r="CG44" i="25"/>
  <c r="CG98" i="25"/>
  <c r="CG84" i="25"/>
  <c r="CG45" i="25"/>
  <c r="EF81" i="25"/>
  <c r="EW81" i="25" s="1"/>
  <c r="FL81" i="25"/>
  <c r="EG56" i="25"/>
  <c r="EX56" i="25" s="1"/>
  <c r="FL56" i="25"/>
  <c r="CG17" i="25"/>
  <c r="EF77" i="25"/>
  <c r="EW77" i="25" s="1"/>
  <c r="FL77" i="25"/>
  <c r="EE89" i="25"/>
  <c r="EV89" i="25" s="1"/>
  <c r="FL89" i="25"/>
  <c r="EE103" i="25"/>
  <c r="EV103" i="25" s="1"/>
  <c r="FL103" i="25"/>
  <c r="CG102" i="25"/>
  <c r="CG9" i="25"/>
  <c r="CG105" i="25"/>
  <c r="CG65" i="25"/>
  <c r="CG87" i="25"/>
  <c r="CG95" i="25"/>
  <c r="CG23" i="25"/>
  <c r="CG88" i="25"/>
  <c r="CG55" i="25"/>
  <c r="CG90" i="25"/>
  <c r="CG15" i="25"/>
  <c r="CG82" i="25"/>
  <c r="CG57" i="25"/>
  <c r="CG73" i="25"/>
  <c r="CG8" i="25"/>
  <c r="CG104" i="25"/>
  <c r="CG31" i="25"/>
  <c r="CG21" i="25"/>
  <c r="CG99" i="25"/>
  <c r="CG36" i="25"/>
  <c r="CG59" i="25"/>
  <c r="CG11" i="25"/>
  <c r="CG53" i="25"/>
  <c r="CG29" i="25"/>
  <c r="CG35" i="25"/>
  <c r="CG13" i="25"/>
  <c r="CG51" i="25"/>
  <c r="CG70" i="25"/>
  <c r="CG81" i="25"/>
  <c r="CG25" i="25"/>
  <c r="CG62" i="25"/>
  <c r="CG22" i="25"/>
  <c r="CG97" i="25"/>
  <c r="CG30" i="25"/>
  <c r="CG26" i="25"/>
  <c r="CG79" i="25"/>
  <c r="CG56" i="25"/>
  <c r="CG80" i="25"/>
  <c r="CG50" i="25"/>
  <c r="CG72" i="25"/>
  <c r="CG74" i="25"/>
  <c r="EG47" i="25"/>
  <c r="EX47" i="25" s="1"/>
  <c r="FL47" i="25"/>
  <c r="EG37" i="25"/>
  <c r="EX37" i="25" s="1"/>
  <c r="FL37" i="25"/>
  <c r="CG69" i="25"/>
  <c r="CG19" i="25"/>
  <c r="CG12" i="25"/>
  <c r="CG37" i="25"/>
  <c r="CG68" i="25"/>
  <c r="CG28" i="25"/>
  <c r="CG34" i="25"/>
  <c r="CG60" i="25"/>
  <c r="CG93" i="25"/>
  <c r="CG100" i="25"/>
  <c r="CG76" i="25"/>
  <c r="CG77" i="25"/>
  <c r="EF25" i="25"/>
  <c r="EW25" i="25" s="1"/>
  <c r="FL25" i="25"/>
  <c r="CG32" i="25"/>
  <c r="CG16" i="25"/>
  <c r="CG94" i="25"/>
  <c r="CG58" i="25"/>
  <c r="CG18" i="25"/>
  <c r="CG71" i="25"/>
  <c r="CG48" i="25"/>
  <c r="CG40" i="25"/>
  <c r="CG46" i="25"/>
  <c r="CG89" i="25"/>
  <c r="CG47" i="25"/>
  <c r="CG64" i="25"/>
  <c r="CG7" i="25"/>
  <c r="CG54" i="25"/>
  <c r="EF33" i="25"/>
  <c r="EW33" i="25" s="1"/>
  <c r="FL33" i="25"/>
  <c r="EF73" i="25"/>
  <c r="EW73" i="25" s="1"/>
  <c r="FL73" i="25"/>
  <c r="CG27" i="25"/>
  <c r="CG20" i="25"/>
  <c r="CG43" i="25"/>
  <c r="CG92" i="25"/>
  <c r="CG85" i="25"/>
  <c r="CG67" i="25"/>
  <c r="CG83" i="25"/>
  <c r="CG52" i="25"/>
  <c r="CG91" i="25"/>
  <c r="CG75" i="25"/>
  <c r="EF47" i="25"/>
  <c r="EW47" i="25" s="1"/>
  <c r="EA92" i="24"/>
  <c r="FL92" i="24" s="1"/>
  <c r="EA74" i="24"/>
  <c r="FL74" i="24" s="1"/>
  <c r="EA60" i="24"/>
  <c r="EC60" i="24" s="1"/>
  <c r="ED60" i="24" s="1"/>
  <c r="EE64" i="25"/>
  <c r="EV64" i="25" s="1"/>
  <c r="EA39" i="24"/>
  <c r="CG190" i="24"/>
  <c r="EA169" i="24"/>
  <c r="EA44" i="24"/>
  <c r="EE164" i="25"/>
  <c r="EI164" i="25" s="1"/>
  <c r="EG103" i="25"/>
  <c r="EX103" i="25" s="1"/>
  <c r="EF103" i="25"/>
  <c r="EW103" i="25" s="1"/>
  <c r="EF64" i="25"/>
  <c r="EW64" i="25" s="1"/>
  <c r="EG64" i="25"/>
  <c r="EX64" i="25" s="1"/>
  <c r="EF96" i="25"/>
  <c r="EW96" i="25" s="1"/>
  <c r="EG96" i="25"/>
  <c r="EX96" i="25" s="1"/>
  <c r="EG89" i="25"/>
  <c r="EX89" i="25" s="1"/>
  <c r="EE96" i="25"/>
  <c r="EV96" i="25" s="1"/>
  <c r="EF89" i="25"/>
  <c r="EW89" i="25" s="1"/>
  <c r="EF128" i="25"/>
  <c r="EW128" i="25" s="1"/>
  <c r="EE128" i="25"/>
  <c r="EV128" i="25" s="1"/>
  <c r="EE77" i="25"/>
  <c r="EV77" i="25" s="1"/>
  <c r="EA127" i="24"/>
  <c r="FL127" i="24" s="1"/>
  <c r="EG183" i="25"/>
  <c r="EX183" i="25" s="1"/>
  <c r="EE183" i="25"/>
  <c r="EV183" i="25" s="1"/>
  <c r="EF183" i="25"/>
  <c r="EW183" i="25" s="1"/>
  <c r="EF95" i="25"/>
  <c r="EW95" i="25" s="1"/>
  <c r="EE185" i="25"/>
  <c r="EI185" i="25" s="1"/>
  <c r="EF185" i="25"/>
  <c r="EW185" i="25" s="1"/>
  <c r="EG97" i="25"/>
  <c r="EX97" i="25" s="1"/>
  <c r="EG158" i="25"/>
  <c r="EX158" i="25" s="1"/>
  <c r="EG145" i="25"/>
  <c r="EX145" i="25" s="1"/>
  <c r="EF158" i="25"/>
  <c r="EW158" i="25" s="1"/>
  <c r="EE145" i="25"/>
  <c r="EI145" i="25" s="1"/>
  <c r="EE158" i="25"/>
  <c r="EV158" i="25" s="1"/>
  <c r="EF145" i="25"/>
  <c r="EW145" i="25" s="1"/>
  <c r="EE136" i="25"/>
  <c r="EI136" i="25" s="1"/>
  <c r="EF99" i="25"/>
  <c r="EW99" i="25" s="1"/>
  <c r="EG136" i="25"/>
  <c r="EX136" i="25" s="1"/>
  <c r="EG99" i="25"/>
  <c r="EX99" i="25" s="1"/>
  <c r="EF136" i="25"/>
  <c r="EW136" i="25" s="1"/>
  <c r="EE99" i="25"/>
  <c r="EV99" i="25" s="1"/>
  <c r="EE97" i="25"/>
  <c r="EV97" i="25" s="1"/>
  <c r="EF97" i="25"/>
  <c r="EW97" i="25" s="1"/>
  <c r="EG95" i="25"/>
  <c r="EX95" i="25" s="1"/>
  <c r="EE131" i="25"/>
  <c r="EV131" i="25" s="1"/>
  <c r="EF74" i="25"/>
  <c r="EW74" i="25" s="1"/>
  <c r="EF83" i="25"/>
  <c r="EW83" i="25" s="1"/>
  <c r="EF93" i="25"/>
  <c r="EW93" i="25" s="1"/>
  <c r="EA126" i="24"/>
  <c r="EE95" i="25"/>
  <c r="EV95" i="25" s="1"/>
  <c r="EG185" i="25"/>
  <c r="EX185" i="25" s="1"/>
  <c r="EE17" i="25"/>
  <c r="EI17" i="25" s="1"/>
  <c r="EO17" i="25" s="1"/>
  <c r="EF17" i="25"/>
  <c r="EW17" i="25" s="1"/>
  <c r="EG17" i="25"/>
  <c r="EX17" i="25" s="1"/>
  <c r="EG74" i="25"/>
  <c r="EX74" i="25" s="1"/>
  <c r="EF131" i="25"/>
  <c r="EW131" i="25" s="1"/>
  <c r="EE74" i="25"/>
  <c r="EV74" i="25" s="1"/>
  <c r="EG131" i="25"/>
  <c r="EX131" i="25" s="1"/>
  <c r="EA37" i="24"/>
  <c r="EA52" i="24"/>
  <c r="EA172" i="24"/>
  <c r="FL172" i="24" s="1"/>
  <c r="EG33" i="25"/>
  <c r="EX33" i="25" s="1"/>
  <c r="EF90" i="25"/>
  <c r="EW90" i="25" s="1"/>
  <c r="EE33" i="25"/>
  <c r="EV33" i="25" s="1"/>
  <c r="EG90" i="25"/>
  <c r="EX90" i="25" s="1"/>
  <c r="EE90" i="25"/>
  <c r="EI90" i="25" s="1"/>
  <c r="EO90" i="25" s="1"/>
  <c r="CG216" i="24"/>
  <c r="EG93" i="25"/>
  <c r="EX93" i="25" s="1"/>
  <c r="EE93" i="25"/>
  <c r="EV93" i="25" s="1"/>
  <c r="EA90" i="24"/>
  <c r="EG73" i="25"/>
  <c r="EX73" i="25" s="1"/>
  <c r="EE73" i="25"/>
  <c r="EV73" i="25" s="1"/>
  <c r="EG58" i="25"/>
  <c r="EX58" i="25" s="1"/>
  <c r="EE58" i="25"/>
  <c r="EV58" i="25" s="1"/>
  <c r="CH275" i="25"/>
  <c r="CG287" i="25"/>
  <c r="CH313" i="25"/>
  <c r="CH267" i="25"/>
  <c r="CG231" i="25"/>
  <c r="CG236" i="25"/>
  <c r="CH229" i="25"/>
  <c r="CH240" i="25"/>
  <c r="CH225" i="25"/>
  <c r="CH252" i="25"/>
  <c r="CG286" i="25"/>
  <c r="CH268" i="25"/>
  <c r="CG282" i="25"/>
  <c r="CH273" i="25"/>
  <c r="CG316" i="25"/>
  <c r="CH254" i="25"/>
  <c r="CH274" i="25"/>
  <c r="CG277" i="25"/>
  <c r="CH266" i="25"/>
  <c r="CG279" i="25"/>
  <c r="CG260" i="25"/>
  <c r="CG299" i="25"/>
  <c r="CG251" i="25"/>
  <c r="CG244" i="25"/>
  <c r="CG300" i="25"/>
  <c r="CG220" i="25"/>
  <c r="CG249" i="25"/>
  <c r="CG237" i="25"/>
  <c r="CH270" i="25"/>
  <c r="CG296" i="25"/>
  <c r="CG276" i="25"/>
  <c r="CG297" i="25"/>
  <c r="CG311" i="25"/>
  <c r="CH314" i="25"/>
  <c r="CG293" i="25"/>
  <c r="CG255" i="25"/>
  <c r="CG241" i="25"/>
  <c r="CG221" i="25"/>
  <c r="CH298" i="25"/>
  <c r="CG281" i="25"/>
  <c r="CG217" i="25"/>
  <c r="CG239" i="25"/>
  <c r="CH250" i="25"/>
  <c r="CG308" i="25"/>
  <c r="CG263" i="25"/>
  <c r="CH242" i="25"/>
  <c r="CG256" i="25"/>
  <c r="CG285" i="25"/>
  <c r="CH290" i="25"/>
  <c r="CH278" i="25"/>
  <c r="CG284" i="25"/>
  <c r="CG264" i="25"/>
  <c r="CH310" i="25"/>
  <c r="CG272" i="25"/>
  <c r="CG269" i="25"/>
  <c r="CG291" i="25"/>
  <c r="CH306" i="25"/>
  <c r="CG235" i="25"/>
  <c r="CH302" i="25"/>
  <c r="CG243" i="25"/>
  <c r="CG303" i="25"/>
  <c r="CH230" i="25"/>
  <c r="CH294" i="25"/>
  <c r="CG305" i="25"/>
  <c r="CG219" i="25"/>
  <c r="CG280" i="25"/>
  <c r="CG259" i="25"/>
  <c r="CH226" i="25"/>
  <c r="CH238" i="25"/>
  <c r="CG301" i="25"/>
  <c r="CH218" i="25"/>
  <c r="CG312" i="25"/>
  <c r="CG292" i="25"/>
  <c r="CG309" i="25"/>
  <c r="CG253" i="25"/>
  <c r="CG228" i="25"/>
  <c r="CG247" i="25"/>
  <c r="CG304" i="25"/>
  <c r="CG289" i="25"/>
  <c r="CG295" i="25"/>
  <c r="CG288" i="25"/>
  <c r="CH258" i="25"/>
  <c r="CG257" i="25"/>
  <c r="CG265" i="25"/>
  <c r="CH222" i="25"/>
  <c r="CG307" i="25"/>
  <c r="CG233" i="25"/>
  <c r="CG283" i="25"/>
  <c r="CH246" i="25"/>
  <c r="CG232" i="25"/>
  <c r="CH262" i="25"/>
  <c r="CH234" i="25"/>
  <c r="CG227" i="25"/>
  <c r="CG315" i="25"/>
  <c r="CG224" i="25"/>
  <c r="CG223" i="25"/>
  <c r="CG245" i="25"/>
  <c r="CG248" i="25"/>
  <c r="CG261" i="25"/>
  <c r="CG271" i="25"/>
  <c r="EA63" i="24"/>
  <c r="EA133" i="24"/>
  <c r="EF56" i="25"/>
  <c r="EW56" i="25" s="1"/>
  <c r="EE56" i="25"/>
  <c r="EI56" i="25" s="1"/>
  <c r="EO56" i="25" s="1"/>
  <c r="EE37" i="25"/>
  <c r="EV37" i="25" s="1"/>
  <c r="EF37" i="25"/>
  <c r="EW37" i="25" s="1"/>
  <c r="EF171" i="25"/>
  <c r="EW171" i="25" s="1"/>
  <c r="EV182" i="25"/>
  <c r="FB182" i="25" s="1"/>
  <c r="EG77" i="25"/>
  <c r="EX77" i="25" s="1"/>
  <c r="EF164" i="25"/>
  <c r="EW164" i="25" s="1"/>
  <c r="EG199" i="25"/>
  <c r="EX199" i="25" s="1"/>
  <c r="EE199" i="25"/>
  <c r="EV199" i="25" s="1"/>
  <c r="EE25" i="25"/>
  <c r="EV25" i="25" s="1"/>
  <c r="EK110" i="24"/>
  <c r="EW110" i="24"/>
  <c r="FB110" i="24" s="1"/>
  <c r="EK5" i="24"/>
  <c r="EQ5" i="24" s="1"/>
  <c r="EW5" i="24"/>
  <c r="EZ5" i="24" s="1"/>
  <c r="FB5" i="24" s="1"/>
  <c r="EF194" i="25"/>
  <c r="EW194" i="25" s="1"/>
  <c r="EG23" i="25"/>
  <c r="EX23" i="25" s="1"/>
  <c r="EG87" i="25"/>
  <c r="EX87" i="25" s="1"/>
  <c r="EE34" i="25"/>
  <c r="EV34" i="25" s="1"/>
  <c r="EE47" i="25"/>
  <c r="EV47" i="25" s="1"/>
  <c r="EE42" i="25"/>
  <c r="EI42" i="25" s="1"/>
  <c r="EO42" i="25" s="1"/>
  <c r="EE83" i="25"/>
  <c r="EV83" i="25" s="1"/>
  <c r="EE129" i="25"/>
  <c r="EV129" i="25" s="1"/>
  <c r="EA71" i="24"/>
  <c r="EE156" i="25"/>
  <c r="EI156" i="25" s="1"/>
  <c r="EG156" i="25"/>
  <c r="EX156" i="25" s="1"/>
  <c r="EA55" i="24"/>
  <c r="EG178" i="25"/>
  <c r="EX178" i="25" s="1"/>
  <c r="EA186" i="24"/>
  <c r="EG83" i="25"/>
  <c r="EX83" i="25" s="1"/>
  <c r="EG137" i="25"/>
  <c r="EX137" i="25" s="1"/>
  <c r="EE137" i="25"/>
  <c r="EV137" i="25" s="1"/>
  <c r="EA142" i="24"/>
  <c r="EE141" i="25"/>
  <c r="EV141" i="25" s="1"/>
  <c r="EE81" i="25"/>
  <c r="EV81" i="25" s="1"/>
  <c r="EF156" i="25"/>
  <c r="EW156" i="25" s="1"/>
  <c r="EG81" i="25"/>
  <c r="EX81" i="25" s="1"/>
  <c r="EG194" i="25"/>
  <c r="EX194" i="25" s="1"/>
  <c r="EG141" i="25"/>
  <c r="EX141" i="25" s="1"/>
  <c r="EA199" i="24"/>
  <c r="EA136" i="24"/>
  <c r="EF141" i="25"/>
  <c r="EW141" i="25" s="1"/>
  <c r="EE194" i="25"/>
  <c r="EI194" i="25" s="1"/>
  <c r="EG42" i="25"/>
  <c r="EX42" i="25" s="1"/>
  <c r="EE173" i="25"/>
  <c r="EV173" i="25" s="1"/>
  <c r="EF173" i="25"/>
  <c r="EW173" i="25" s="1"/>
  <c r="EF42" i="25"/>
  <c r="EW42" i="25" s="1"/>
  <c r="EE171" i="25"/>
  <c r="EI171" i="25" s="1"/>
  <c r="EF178" i="25"/>
  <c r="EW178" i="25" s="1"/>
  <c r="EA111" i="24"/>
  <c r="EA48" i="24"/>
  <c r="EA67" i="24"/>
  <c r="EA160" i="24"/>
  <c r="EA30" i="24"/>
  <c r="EA104" i="24"/>
  <c r="EA170" i="24"/>
  <c r="EF111" i="25"/>
  <c r="EW111" i="25" s="1"/>
  <c r="EA83" i="24"/>
  <c r="FL83" i="24" s="1"/>
  <c r="EA14" i="24"/>
  <c r="FL14" i="24" s="1"/>
  <c r="EA147" i="24"/>
  <c r="EA132" i="24"/>
  <c r="EA192" i="24"/>
  <c r="EE178" i="25"/>
  <c r="EV178" i="25" s="1"/>
  <c r="EA124" i="24"/>
  <c r="EF169" i="25"/>
  <c r="EW169" i="25" s="1"/>
  <c r="EG180" i="25"/>
  <c r="EX180" i="25" s="1"/>
  <c r="EG169" i="25"/>
  <c r="EX169" i="25" s="1"/>
  <c r="EE180" i="25"/>
  <c r="EV180" i="25" s="1"/>
  <c r="EE169" i="25"/>
  <c r="EI169" i="25" s="1"/>
  <c r="EF180" i="25"/>
  <c r="EW180" i="25" s="1"/>
  <c r="EG129" i="25"/>
  <c r="EX129" i="25" s="1"/>
  <c r="EF9" i="25"/>
  <c r="EW9" i="25" s="1"/>
  <c r="EG9" i="25"/>
  <c r="EX9" i="25" s="1"/>
  <c r="EF34" i="25"/>
  <c r="EW34" i="25" s="1"/>
  <c r="EG111" i="25"/>
  <c r="EX111" i="25" s="1"/>
  <c r="EG25" i="25"/>
  <c r="EX25" i="25" s="1"/>
  <c r="EF129" i="25"/>
  <c r="EW129" i="25" s="1"/>
  <c r="EE111" i="25"/>
  <c r="EV111" i="25" s="1"/>
  <c r="EF87" i="25"/>
  <c r="EW87" i="25" s="1"/>
  <c r="EE23" i="25"/>
  <c r="EV23" i="25" s="1"/>
  <c r="EF23" i="25"/>
  <c r="EW23" i="25" s="1"/>
  <c r="EF49" i="25"/>
  <c r="EW49" i="25" s="1"/>
  <c r="EE9" i="25"/>
  <c r="EV9" i="25" s="1"/>
  <c r="EG49" i="25"/>
  <c r="EX49" i="25" s="1"/>
  <c r="EE49" i="25"/>
  <c r="EV49" i="25" s="1"/>
  <c r="EG34" i="25"/>
  <c r="EX34" i="25" s="1"/>
  <c r="EE87" i="25"/>
  <c r="EV87" i="25" s="1"/>
  <c r="EG94" i="25"/>
  <c r="EX94" i="25" s="1"/>
  <c r="EF94" i="25"/>
  <c r="EW94" i="25" s="1"/>
  <c r="EE94" i="25"/>
  <c r="EG196" i="25"/>
  <c r="EX196" i="25" s="1"/>
  <c r="EF196" i="25"/>
  <c r="EW196" i="25" s="1"/>
  <c r="EE196" i="25"/>
  <c r="EG118" i="25"/>
  <c r="EX118" i="25" s="1"/>
  <c r="EF118" i="25"/>
  <c r="EW118" i="25" s="1"/>
  <c r="EE118" i="25"/>
  <c r="EE147" i="25"/>
  <c r="EF147" i="25"/>
  <c r="EW147" i="25" s="1"/>
  <c r="EG147" i="25"/>
  <c r="EX147" i="25" s="1"/>
  <c r="EE154" i="25"/>
  <c r="EG154" i="25"/>
  <c r="EX154" i="25" s="1"/>
  <c r="EF154" i="25"/>
  <c r="EW154" i="25" s="1"/>
  <c r="EE62" i="25"/>
  <c r="EG62" i="25"/>
  <c r="EX62" i="25" s="1"/>
  <c r="EF62" i="25"/>
  <c r="EW62" i="25" s="1"/>
  <c r="EF86" i="25"/>
  <c r="EW86" i="25" s="1"/>
  <c r="EE86" i="25"/>
  <c r="EG86" i="25"/>
  <c r="EX86" i="25" s="1"/>
  <c r="EG174" i="25"/>
  <c r="EX174" i="25" s="1"/>
  <c r="EF174" i="25"/>
  <c r="EW174" i="25" s="1"/>
  <c r="EE174" i="25"/>
  <c r="EG160" i="25"/>
  <c r="EX160" i="25" s="1"/>
  <c r="EF160" i="25"/>
  <c r="EW160" i="25" s="1"/>
  <c r="EE160" i="25"/>
  <c r="EE115" i="25"/>
  <c r="EG115" i="25"/>
  <c r="EX115" i="25" s="1"/>
  <c r="EF115" i="25"/>
  <c r="EW115" i="25" s="1"/>
  <c r="EG144" i="25"/>
  <c r="EX144" i="25" s="1"/>
  <c r="EF144" i="25"/>
  <c r="EW144" i="25" s="1"/>
  <c r="EE144" i="25"/>
  <c r="EG187" i="25"/>
  <c r="EX187" i="25" s="1"/>
  <c r="EF187" i="25"/>
  <c r="EW187" i="25" s="1"/>
  <c r="EE187" i="25"/>
  <c r="EE146" i="25"/>
  <c r="EF146" i="25"/>
  <c r="EW146" i="25" s="1"/>
  <c r="EG146" i="25"/>
  <c r="EX146" i="25" s="1"/>
  <c r="EF59" i="25"/>
  <c r="EW59" i="25" s="1"/>
  <c r="EE59" i="25"/>
  <c r="EG59" i="25"/>
  <c r="EX59" i="25" s="1"/>
  <c r="EG18" i="25"/>
  <c r="EX18" i="25" s="1"/>
  <c r="EE18" i="25"/>
  <c r="EF18" i="25"/>
  <c r="EW18" i="25" s="1"/>
  <c r="EE209" i="25"/>
  <c r="EG209" i="25"/>
  <c r="EX209" i="25" s="1"/>
  <c r="EF209" i="25"/>
  <c r="EW209" i="25" s="1"/>
  <c r="EF125" i="25"/>
  <c r="EW125" i="25" s="1"/>
  <c r="EE125" i="25"/>
  <c r="EG125" i="25"/>
  <c r="EX125" i="25" s="1"/>
  <c r="EF207" i="25"/>
  <c r="EW207" i="25" s="1"/>
  <c r="EE207" i="25"/>
  <c r="EG207" i="25"/>
  <c r="EX207" i="25" s="1"/>
  <c r="EG119" i="25"/>
  <c r="EX119" i="25" s="1"/>
  <c r="EF119" i="25"/>
  <c r="EW119" i="25" s="1"/>
  <c r="EE119" i="25"/>
  <c r="EF161" i="25"/>
  <c r="EW161" i="25" s="1"/>
  <c r="EE161" i="25"/>
  <c r="EG161" i="25"/>
  <c r="EX161" i="25" s="1"/>
  <c r="EE66" i="25"/>
  <c r="EG66" i="25"/>
  <c r="EX66" i="25" s="1"/>
  <c r="EF66" i="25"/>
  <c r="EW66" i="25" s="1"/>
  <c r="EE177" i="25"/>
  <c r="EG177" i="25"/>
  <c r="EX177" i="25" s="1"/>
  <c r="EF177" i="25"/>
  <c r="EW177" i="25" s="1"/>
  <c r="EF140" i="25"/>
  <c r="EW140" i="25" s="1"/>
  <c r="EE140" i="25"/>
  <c r="EG140" i="25"/>
  <c r="EX140" i="25" s="1"/>
  <c r="EG188" i="25"/>
  <c r="EX188" i="25" s="1"/>
  <c r="EF188" i="25"/>
  <c r="EW188" i="25" s="1"/>
  <c r="EE188" i="25"/>
  <c r="EV138" i="25"/>
  <c r="FB138" i="25" s="1"/>
  <c r="EI138" i="25"/>
  <c r="EE12" i="25"/>
  <c r="EF12" i="25"/>
  <c r="EW12" i="25" s="1"/>
  <c r="EG12" i="25"/>
  <c r="EX12" i="25" s="1"/>
  <c r="EG69" i="25"/>
  <c r="EX69" i="25" s="1"/>
  <c r="EE69" i="25"/>
  <c r="EF69" i="25"/>
  <c r="EW69" i="25" s="1"/>
  <c r="EE149" i="25"/>
  <c r="EF149" i="25"/>
  <c r="EW149" i="25" s="1"/>
  <c r="EG149" i="25"/>
  <c r="EX149" i="25" s="1"/>
  <c r="EE162" i="25"/>
  <c r="EG162" i="25"/>
  <c r="EX162" i="25" s="1"/>
  <c r="EF162" i="25"/>
  <c r="EW162" i="25" s="1"/>
  <c r="EE78" i="25"/>
  <c r="EG78" i="25"/>
  <c r="EX78" i="25" s="1"/>
  <c r="EF78" i="25"/>
  <c r="EW78" i="25" s="1"/>
  <c r="EG6" i="25"/>
  <c r="EX6" i="25" s="1"/>
  <c r="EF6" i="25"/>
  <c r="EW6" i="25" s="1"/>
  <c r="EE6" i="25"/>
  <c r="EG123" i="25"/>
  <c r="EX123" i="25" s="1"/>
  <c r="EF123" i="25"/>
  <c r="EW123" i="25" s="1"/>
  <c r="EE123" i="25"/>
  <c r="EV181" i="25"/>
  <c r="FB181" i="25" s="1"/>
  <c r="EI181" i="25"/>
  <c r="EG163" i="25"/>
  <c r="EX163" i="25" s="1"/>
  <c r="EF163" i="25"/>
  <c r="EW163" i="25" s="1"/>
  <c r="EE163" i="25"/>
  <c r="EG27" i="25"/>
  <c r="EX27" i="25" s="1"/>
  <c r="EF27" i="25"/>
  <c r="EW27" i="25" s="1"/>
  <c r="EE27" i="25"/>
  <c r="EF40" i="25"/>
  <c r="EW40" i="25" s="1"/>
  <c r="EE40" i="25"/>
  <c r="EG40" i="25"/>
  <c r="EX40" i="25" s="1"/>
  <c r="EF191" i="25"/>
  <c r="EW191" i="25" s="1"/>
  <c r="EG191" i="25"/>
  <c r="EX191" i="25" s="1"/>
  <c r="EE191" i="25"/>
  <c r="EG51" i="25"/>
  <c r="EX51" i="25" s="1"/>
  <c r="EE51" i="25"/>
  <c r="EF51" i="25"/>
  <c r="EW51" i="25" s="1"/>
  <c r="EF63" i="25"/>
  <c r="EW63" i="25" s="1"/>
  <c r="EE63" i="25"/>
  <c r="EG63" i="25"/>
  <c r="EX63" i="25" s="1"/>
  <c r="EE110" i="25"/>
  <c r="EG110" i="25"/>
  <c r="EX110" i="25" s="1"/>
  <c r="EF110" i="25"/>
  <c r="EW110" i="25" s="1"/>
  <c r="EE150" i="25"/>
  <c r="EG150" i="25"/>
  <c r="EX150" i="25" s="1"/>
  <c r="EF150" i="25"/>
  <c r="EW150" i="25" s="1"/>
  <c r="EE186" i="25"/>
  <c r="EG186" i="25"/>
  <c r="EX186" i="25" s="1"/>
  <c r="EF186" i="25"/>
  <c r="EW186" i="25" s="1"/>
  <c r="EF120" i="25"/>
  <c r="EW120" i="25" s="1"/>
  <c r="EE120" i="25"/>
  <c r="EG120" i="25"/>
  <c r="EX120" i="25" s="1"/>
  <c r="EE104" i="25"/>
  <c r="EG104" i="25"/>
  <c r="EX104" i="25" s="1"/>
  <c r="EF104" i="25"/>
  <c r="EW104" i="25" s="1"/>
  <c r="EF8" i="25"/>
  <c r="EW8" i="25" s="1"/>
  <c r="EG8" i="25"/>
  <c r="EX8" i="25" s="1"/>
  <c r="EE8" i="25"/>
  <c r="EE55" i="25"/>
  <c r="EG55" i="25"/>
  <c r="EX55" i="25" s="1"/>
  <c r="EF55" i="25"/>
  <c r="EW55" i="25" s="1"/>
  <c r="EE41" i="25"/>
  <c r="EG41" i="25"/>
  <c r="EX41" i="25" s="1"/>
  <c r="EF41" i="25"/>
  <c r="EW41" i="25" s="1"/>
  <c r="EG151" i="25"/>
  <c r="EX151" i="25" s="1"/>
  <c r="EF151" i="25"/>
  <c r="EW151" i="25" s="1"/>
  <c r="EE151" i="25"/>
  <c r="EG208" i="25"/>
  <c r="EX208" i="25" s="1"/>
  <c r="EF208" i="25"/>
  <c r="EW208" i="25" s="1"/>
  <c r="EE208" i="25"/>
  <c r="EE159" i="25"/>
  <c r="EG159" i="25"/>
  <c r="EX159" i="25" s="1"/>
  <c r="EF159" i="25"/>
  <c r="EW159" i="25" s="1"/>
  <c r="EF43" i="25"/>
  <c r="EW43" i="25" s="1"/>
  <c r="EE43" i="25"/>
  <c r="EG43" i="25"/>
  <c r="EX43" i="25" s="1"/>
  <c r="EE13" i="25"/>
  <c r="EG13" i="25"/>
  <c r="EX13" i="25" s="1"/>
  <c r="EF13" i="25"/>
  <c r="EW13" i="25" s="1"/>
  <c r="EF26" i="25"/>
  <c r="EW26" i="25" s="1"/>
  <c r="EE26" i="25"/>
  <c r="EG26" i="25"/>
  <c r="EX26" i="25" s="1"/>
  <c r="EE21" i="25"/>
  <c r="EG21" i="25"/>
  <c r="EX21" i="25" s="1"/>
  <c r="EF21" i="25"/>
  <c r="EW21" i="25" s="1"/>
  <c r="EE175" i="25"/>
  <c r="EG175" i="25"/>
  <c r="EX175" i="25" s="1"/>
  <c r="EF175" i="25"/>
  <c r="EW175" i="25" s="1"/>
  <c r="EE82" i="25"/>
  <c r="EG82" i="25"/>
  <c r="EX82" i="25" s="1"/>
  <c r="EF82" i="25"/>
  <c r="EW82" i="25" s="1"/>
  <c r="EF176" i="25"/>
  <c r="EW176" i="25" s="1"/>
  <c r="EE176" i="25"/>
  <c r="EG176" i="25"/>
  <c r="EX176" i="25" s="1"/>
  <c r="EF121" i="25"/>
  <c r="EW121" i="25" s="1"/>
  <c r="EE121" i="25"/>
  <c r="EG121" i="25"/>
  <c r="EX121" i="25" s="1"/>
  <c r="EE195" i="25"/>
  <c r="EG195" i="25"/>
  <c r="EX195" i="25" s="1"/>
  <c r="EF195" i="25"/>
  <c r="EW195" i="25" s="1"/>
  <c r="EF24" i="25"/>
  <c r="EW24" i="25" s="1"/>
  <c r="EE24" i="25"/>
  <c r="EG24" i="25"/>
  <c r="EX24" i="25" s="1"/>
  <c r="EG189" i="25"/>
  <c r="EX189" i="25" s="1"/>
  <c r="EF189" i="25"/>
  <c r="EW189" i="25" s="1"/>
  <c r="EE189" i="25"/>
  <c r="EV143" i="25"/>
  <c r="FB143" i="25" s="1"/>
  <c r="EI143" i="25"/>
  <c r="EF57" i="25"/>
  <c r="EW57" i="25" s="1"/>
  <c r="EG57" i="25"/>
  <c r="EX57" i="25" s="1"/>
  <c r="EE57" i="25"/>
  <c r="EE124" i="25"/>
  <c r="EG124" i="25"/>
  <c r="EX124" i="25" s="1"/>
  <c r="EF124" i="25"/>
  <c r="EW124" i="25" s="1"/>
  <c r="EF126" i="25"/>
  <c r="EW126" i="25" s="1"/>
  <c r="EG126" i="25"/>
  <c r="EX126" i="25" s="1"/>
  <c r="EE126" i="25"/>
  <c r="EG135" i="25"/>
  <c r="EX135" i="25" s="1"/>
  <c r="EF135" i="25"/>
  <c r="EW135" i="25" s="1"/>
  <c r="EE135" i="25"/>
  <c r="EF79" i="25"/>
  <c r="EW79" i="25" s="1"/>
  <c r="EG79" i="25"/>
  <c r="EX79" i="25" s="1"/>
  <c r="EE79" i="25"/>
  <c r="EE31" i="25"/>
  <c r="EG31" i="25"/>
  <c r="EX31" i="25" s="1"/>
  <c r="EF31" i="25"/>
  <c r="EW31" i="25" s="1"/>
  <c r="EE105" i="25"/>
  <c r="EG105" i="25"/>
  <c r="EX105" i="25" s="1"/>
  <c r="EF105" i="25"/>
  <c r="EW105" i="25" s="1"/>
  <c r="EF11" i="25"/>
  <c r="EW11" i="25" s="1"/>
  <c r="EE11" i="25"/>
  <c r="EG11" i="25"/>
  <c r="EX11" i="25" s="1"/>
  <c r="EG84" i="25"/>
  <c r="EX84" i="25" s="1"/>
  <c r="EF84" i="25"/>
  <c r="EW84" i="25" s="1"/>
  <c r="EE84" i="25"/>
  <c r="EG133" i="25"/>
  <c r="EX133" i="25" s="1"/>
  <c r="EF133" i="25"/>
  <c r="EW133" i="25" s="1"/>
  <c r="EE133" i="25"/>
  <c r="EG19" i="25"/>
  <c r="EX19" i="25" s="1"/>
  <c r="EF19" i="25"/>
  <c r="EW19" i="25" s="1"/>
  <c r="EE19" i="25"/>
  <c r="EE50" i="25"/>
  <c r="EG50" i="25"/>
  <c r="EX50" i="25" s="1"/>
  <c r="EF50" i="25"/>
  <c r="EW50" i="25" s="1"/>
  <c r="EF71" i="25"/>
  <c r="EW71" i="25" s="1"/>
  <c r="EE71" i="25"/>
  <c r="EG71" i="25"/>
  <c r="EX71" i="25" s="1"/>
  <c r="EF10" i="25"/>
  <c r="EW10" i="25" s="1"/>
  <c r="EE10" i="25"/>
  <c r="EG10" i="25"/>
  <c r="EX10" i="25" s="1"/>
  <c r="EF46" i="25"/>
  <c r="EW46" i="25" s="1"/>
  <c r="EE46" i="25"/>
  <c r="EG46" i="25"/>
  <c r="EX46" i="25" s="1"/>
  <c r="EF155" i="25"/>
  <c r="EW155" i="25" s="1"/>
  <c r="EE155" i="25"/>
  <c r="EG155" i="25"/>
  <c r="EX155" i="25" s="1"/>
  <c r="EG28" i="25"/>
  <c r="EX28" i="25" s="1"/>
  <c r="EF28" i="25"/>
  <c r="EW28" i="25" s="1"/>
  <c r="EE28" i="25"/>
  <c r="EG15" i="25"/>
  <c r="EX15" i="25" s="1"/>
  <c r="EF15" i="25"/>
  <c r="EW15" i="25" s="1"/>
  <c r="EE15" i="25"/>
  <c r="EE202" i="25"/>
  <c r="EG202" i="25"/>
  <c r="EX202" i="25" s="1"/>
  <c r="EF202" i="25"/>
  <c r="EW202" i="25" s="1"/>
  <c r="EF7" i="25"/>
  <c r="EW7" i="25" s="1"/>
  <c r="EE7" i="25"/>
  <c r="EG7" i="25"/>
  <c r="EX7" i="25" s="1"/>
  <c r="EE14" i="25"/>
  <c r="EG14" i="25"/>
  <c r="EX14" i="25" s="1"/>
  <c r="EF14" i="25"/>
  <c r="EW14" i="25" s="1"/>
  <c r="EE205" i="25"/>
  <c r="EG205" i="25"/>
  <c r="EX205" i="25" s="1"/>
  <c r="EF205" i="25"/>
  <c r="EW205" i="25" s="1"/>
  <c r="EE116" i="25"/>
  <c r="EG116" i="25"/>
  <c r="EX116" i="25" s="1"/>
  <c r="EF116" i="25"/>
  <c r="EW116" i="25" s="1"/>
  <c r="EE88" i="25"/>
  <c r="EG88" i="25"/>
  <c r="EX88" i="25" s="1"/>
  <c r="EF88" i="25"/>
  <c r="EW88" i="25" s="1"/>
  <c r="EG142" i="25"/>
  <c r="EX142" i="25" s="1"/>
  <c r="EF142" i="25"/>
  <c r="EW142" i="25" s="1"/>
  <c r="EE142" i="25"/>
  <c r="EE193" i="25"/>
  <c r="EG193" i="25"/>
  <c r="EX193" i="25" s="1"/>
  <c r="EF193" i="25"/>
  <c r="EW193" i="25" s="1"/>
  <c r="EG75" i="25"/>
  <c r="EX75" i="25" s="1"/>
  <c r="EE75" i="25"/>
  <c r="EF75" i="25"/>
  <c r="EW75" i="25" s="1"/>
  <c r="EF190" i="25"/>
  <c r="EW190" i="25" s="1"/>
  <c r="EG190" i="25"/>
  <c r="EX190" i="25" s="1"/>
  <c r="EE190" i="25"/>
  <c r="EF29" i="25"/>
  <c r="EW29" i="25" s="1"/>
  <c r="EE29" i="25"/>
  <c r="EG29" i="25"/>
  <c r="EX29" i="25" s="1"/>
  <c r="EF35" i="25"/>
  <c r="EW35" i="25" s="1"/>
  <c r="EE35" i="25"/>
  <c r="EG35" i="25"/>
  <c r="EX35" i="25" s="1"/>
  <c r="EF92" i="25"/>
  <c r="EW92" i="25" s="1"/>
  <c r="EE92" i="25"/>
  <c r="EG92" i="25"/>
  <c r="EX92" i="25" s="1"/>
  <c r="EF114" i="25"/>
  <c r="EW114" i="25" s="1"/>
  <c r="EE114" i="25"/>
  <c r="EG114" i="25"/>
  <c r="EX114" i="25" s="1"/>
  <c r="EG166" i="25"/>
  <c r="EX166" i="25" s="1"/>
  <c r="EF166" i="25"/>
  <c r="EW166" i="25" s="1"/>
  <c r="EE166" i="25"/>
  <c r="EF206" i="25"/>
  <c r="EW206" i="25" s="1"/>
  <c r="EG206" i="25"/>
  <c r="EX206" i="25" s="1"/>
  <c r="EE206" i="25"/>
  <c r="EF203" i="25"/>
  <c r="EW203" i="25" s="1"/>
  <c r="EE203" i="25"/>
  <c r="EG203" i="25"/>
  <c r="EX203" i="25" s="1"/>
  <c r="EF76" i="25"/>
  <c r="EW76" i="25" s="1"/>
  <c r="EE76" i="25"/>
  <c r="EG76" i="25"/>
  <c r="EX76" i="25" s="1"/>
  <c r="EF36" i="25"/>
  <c r="EW36" i="25" s="1"/>
  <c r="EE36" i="25"/>
  <c r="EG36" i="25"/>
  <c r="EX36" i="25" s="1"/>
  <c r="EG134" i="25"/>
  <c r="EX134" i="25" s="1"/>
  <c r="EE134" i="25"/>
  <c r="EF134" i="25"/>
  <c r="EW134" i="25" s="1"/>
  <c r="EG152" i="25"/>
  <c r="EX152" i="25" s="1"/>
  <c r="EF152" i="25"/>
  <c r="EW152" i="25" s="1"/>
  <c r="EE152" i="25"/>
  <c r="EP182" i="25"/>
  <c r="EE170" i="25"/>
  <c r="EG170" i="25"/>
  <c r="EX170" i="25" s="1"/>
  <c r="EF170" i="25"/>
  <c r="EW170" i="25" s="1"/>
  <c r="EG85" i="25"/>
  <c r="EX85" i="25" s="1"/>
  <c r="EE85" i="25"/>
  <c r="EF85" i="25"/>
  <c r="EW85" i="25" s="1"/>
  <c r="EE168" i="25"/>
  <c r="EG168" i="25"/>
  <c r="EX168" i="25" s="1"/>
  <c r="EF168" i="25"/>
  <c r="EW168" i="25" s="1"/>
  <c r="EE184" i="25"/>
  <c r="EF184" i="25"/>
  <c r="EW184" i="25" s="1"/>
  <c r="EG184" i="25"/>
  <c r="EX184" i="25" s="1"/>
  <c r="EE16" i="25"/>
  <c r="EF16" i="25"/>
  <c r="EW16" i="25" s="1"/>
  <c r="EG16" i="25"/>
  <c r="EX16" i="25" s="1"/>
  <c r="EE167" i="25"/>
  <c r="EG167" i="25"/>
  <c r="EX167" i="25" s="1"/>
  <c r="EF167" i="25"/>
  <c r="EW167" i="25" s="1"/>
  <c r="EG210" i="25"/>
  <c r="EX210" i="25" s="1"/>
  <c r="EF210" i="25"/>
  <c r="EW210" i="25" s="1"/>
  <c r="EE210" i="25"/>
  <c r="EG165" i="25"/>
  <c r="EX165" i="25" s="1"/>
  <c r="EF165" i="25"/>
  <c r="EW165" i="25" s="1"/>
  <c r="EE165" i="25"/>
  <c r="EF30" i="25"/>
  <c r="EW30" i="25" s="1"/>
  <c r="EE30" i="25"/>
  <c r="EG30" i="25"/>
  <c r="EX30" i="25" s="1"/>
  <c r="EG157" i="25"/>
  <c r="EX157" i="25" s="1"/>
  <c r="EF157" i="25"/>
  <c r="EW157" i="25" s="1"/>
  <c r="EE157" i="25"/>
  <c r="EG117" i="25"/>
  <c r="EX117" i="25" s="1"/>
  <c r="EF117" i="25"/>
  <c r="EW117" i="25" s="1"/>
  <c r="EE117" i="25"/>
  <c r="EG122" i="25"/>
  <c r="EX122" i="25" s="1"/>
  <c r="EE122" i="25"/>
  <c r="EF122" i="25"/>
  <c r="EW122" i="25" s="1"/>
  <c r="EF22" i="25"/>
  <c r="EW22" i="25" s="1"/>
  <c r="EE22" i="25"/>
  <c r="EG22" i="25"/>
  <c r="EX22" i="25" s="1"/>
  <c r="EF204" i="25"/>
  <c r="EW204" i="25" s="1"/>
  <c r="EE204" i="25"/>
  <c r="EG204" i="25"/>
  <c r="EX204" i="25" s="1"/>
  <c r="EF98" i="25"/>
  <c r="EW98" i="25" s="1"/>
  <c r="EG98" i="25"/>
  <c r="EX98" i="25" s="1"/>
  <c r="EE98" i="25"/>
  <c r="EF100" i="25"/>
  <c r="EW100" i="25" s="1"/>
  <c r="EE100" i="25"/>
  <c r="EG100" i="25"/>
  <c r="EX100" i="25" s="1"/>
  <c r="EG39" i="25"/>
  <c r="EX39" i="25" s="1"/>
  <c r="EE39" i="25"/>
  <c r="EF39" i="25"/>
  <c r="EW39" i="25" s="1"/>
  <c r="EF153" i="25"/>
  <c r="EW153" i="25" s="1"/>
  <c r="EE153" i="25"/>
  <c r="EG153" i="25"/>
  <c r="EX153" i="25" s="1"/>
  <c r="EE130" i="25"/>
  <c r="EG130" i="25"/>
  <c r="EX130" i="25" s="1"/>
  <c r="EF130" i="25"/>
  <c r="EW130" i="25" s="1"/>
  <c r="EF52" i="25"/>
  <c r="EW52" i="25" s="1"/>
  <c r="EE52" i="25"/>
  <c r="EG52" i="25"/>
  <c r="EX52" i="25" s="1"/>
  <c r="EE72" i="25"/>
  <c r="EF72" i="25"/>
  <c r="EW72" i="25" s="1"/>
  <c r="EG72" i="25"/>
  <c r="EX72" i="25" s="1"/>
  <c r="EF45" i="25"/>
  <c r="EW45" i="25" s="1"/>
  <c r="EE45" i="25"/>
  <c r="EG45" i="25"/>
  <c r="EX45" i="25" s="1"/>
  <c r="EE198" i="25"/>
  <c r="EF198" i="25"/>
  <c r="EW198" i="25" s="1"/>
  <c r="EG198" i="25"/>
  <c r="EX198" i="25" s="1"/>
  <c r="EE60" i="25"/>
  <c r="EG60" i="25"/>
  <c r="EX60" i="25" s="1"/>
  <c r="EF60" i="25"/>
  <c r="EW60" i="25" s="1"/>
  <c r="EF201" i="25"/>
  <c r="EW201" i="25" s="1"/>
  <c r="EE201" i="25"/>
  <c r="EG201" i="25"/>
  <c r="EX201" i="25" s="1"/>
  <c r="EG179" i="25"/>
  <c r="EX179" i="25" s="1"/>
  <c r="EE179" i="25"/>
  <c r="EF179" i="25"/>
  <c r="EW179" i="25" s="1"/>
  <c r="EG53" i="25"/>
  <c r="EX53" i="25" s="1"/>
  <c r="EF53" i="25"/>
  <c r="EW53" i="25" s="1"/>
  <c r="EE53" i="25"/>
  <c r="EF200" i="25"/>
  <c r="EW200" i="25" s="1"/>
  <c r="EE200" i="25"/>
  <c r="EG200" i="25"/>
  <c r="EX200" i="25" s="1"/>
  <c r="EF139" i="25"/>
  <c r="EW139" i="25" s="1"/>
  <c r="EE139" i="25"/>
  <c r="EG139" i="25"/>
  <c r="EX139" i="25" s="1"/>
  <c r="EG113" i="25"/>
  <c r="EX113" i="25" s="1"/>
  <c r="EF113" i="25"/>
  <c r="EW113" i="25" s="1"/>
  <c r="EE113" i="25"/>
  <c r="EE172" i="25"/>
  <c r="EG172" i="25"/>
  <c r="EX172" i="25" s="1"/>
  <c r="EF172" i="25"/>
  <c r="EW172" i="25" s="1"/>
  <c r="EF91" i="25"/>
  <c r="EW91" i="25" s="1"/>
  <c r="EE91" i="25"/>
  <c r="EG91" i="25"/>
  <c r="EX91" i="25" s="1"/>
  <c r="EE68" i="25"/>
  <c r="EF68" i="25"/>
  <c r="EW68" i="25" s="1"/>
  <c r="EG68" i="25"/>
  <c r="EX68" i="25" s="1"/>
  <c r="EG132" i="25"/>
  <c r="EX132" i="25" s="1"/>
  <c r="EE132" i="25"/>
  <c r="EF132" i="25"/>
  <c r="EW132" i="25" s="1"/>
  <c r="EF65" i="25"/>
  <c r="EW65" i="25" s="1"/>
  <c r="EE65" i="25"/>
  <c r="EG65" i="25"/>
  <c r="EX65" i="25" s="1"/>
  <c r="EE101" i="25"/>
  <c r="EG101" i="25"/>
  <c r="EX101" i="25" s="1"/>
  <c r="EF101" i="25"/>
  <c r="EW101" i="25" s="1"/>
  <c r="EG197" i="25"/>
  <c r="EX197" i="25" s="1"/>
  <c r="EE197" i="25"/>
  <c r="EF197" i="25"/>
  <c r="EW197" i="25" s="1"/>
  <c r="EG102" i="25"/>
  <c r="EX102" i="25" s="1"/>
  <c r="EE102" i="25"/>
  <c r="EF102" i="25"/>
  <c r="EW102" i="25" s="1"/>
  <c r="EE48" i="25"/>
  <c r="EG48" i="25"/>
  <c r="EX48" i="25" s="1"/>
  <c r="EF48" i="25"/>
  <c r="EW48" i="25" s="1"/>
  <c r="EF67" i="25"/>
  <c r="EW67" i="25" s="1"/>
  <c r="EE67" i="25"/>
  <c r="EG67" i="25"/>
  <c r="EX67" i="25" s="1"/>
  <c r="EG70" i="25"/>
  <c r="EX70" i="25" s="1"/>
  <c r="EE70" i="25"/>
  <c r="EF70" i="25"/>
  <c r="EW70" i="25" s="1"/>
  <c r="EF148" i="25"/>
  <c r="EW148" i="25" s="1"/>
  <c r="EG148" i="25"/>
  <c r="EX148" i="25" s="1"/>
  <c r="EE148" i="25"/>
  <c r="EF38" i="25"/>
  <c r="EW38" i="25" s="1"/>
  <c r="EE38" i="25"/>
  <c r="EG38" i="25"/>
  <c r="EX38" i="25" s="1"/>
  <c r="EF192" i="25"/>
  <c r="EW192" i="25" s="1"/>
  <c r="EE192" i="25"/>
  <c r="EG192" i="25"/>
  <c r="EX192" i="25" s="1"/>
  <c r="EF32" i="25"/>
  <c r="EW32" i="25" s="1"/>
  <c r="EE32" i="25"/>
  <c r="EG32" i="25"/>
  <c r="EX32" i="25" s="1"/>
  <c r="EF61" i="25"/>
  <c r="EW61" i="25" s="1"/>
  <c r="EG61" i="25"/>
  <c r="EX61" i="25" s="1"/>
  <c r="EE61" i="25"/>
  <c r="EF80" i="25"/>
  <c r="EW80" i="25" s="1"/>
  <c r="EE80" i="25"/>
  <c r="EG80" i="25"/>
  <c r="EX80" i="25" s="1"/>
  <c r="EE54" i="25"/>
  <c r="EG54" i="25"/>
  <c r="EX54" i="25" s="1"/>
  <c r="EF54" i="25"/>
  <c r="EW54" i="25" s="1"/>
  <c r="EF44" i="25"/>
  <c r="EW44" i="25" s="1"/>
  <c r="EE44" i="25"/>
  <c r="EG44" i="25"/>
  <c r="EX44" i="25" s="1"/>
  <c r="EG127" i="25"/>
  <c r="EX127" i="25" s="1"/>
  <c r="EF127" i="25"/>
  <c r="EW127" i="25" s="1"/>
  <c r="EE127" i="25"/>
  <c r="EG20" i="25"/>
  <c r="EX20" i="25" s="1"/>
  <c r="EF20" i="25"/>
  <c r="EW20" i="25" s="1"/>
  <c r="EE20" i="25"/>
  <c r="EA40" i="24"/>
  <c r="EA152" i="24"/>
  <c r="EA13" i="24"/>
  <c r="EA99" i="24"/>
  <c r="EA29" i="24"/>
  <c r="EA62" i="24"/>
  <c r="EA10" i="24"/>
  <c r="EA77" i="24"/>
  <c r="EA43" i="24"/>
  <c r="EA134" i="24"/>
  <c r="FL134" i="24" s="1"/>
  <c r="EA23" i="24"/>
  <c r="EA81" i="24"/>
  <c r="FL81" i="24" s="1"/>
  <c r="EA201" i="24"/>
  <c r="EA159" i="24"/>
  <c r="DY6" i="24"/>
  <c r="EF6" i="24" s="1"/>
  <c r="EA6" i="24"/>
  <c r="DY245" i="24"/>
  <c r="EF245" i="24" s="1"/>
  <c r="EA245" i="24"/>
  <c r="EA128" i="24"/>
  <c r="DY141" i="24"/>
  <c r="EF141" i="24" s="1"/>
  <c r="EA141" i="24"/>
  <c r="DY28" i="24"/>
  <c r="EF28" i="24" s="1"/>
  <c r="EA28" i="24"/>
  <c r="DY282" i="24"/>
  <c r="EF282" i="24" s="1"/>
  <c r="EA282" i="24"/>
  <c r="EA174" i="24"/>
  <c r="EA26" i="24"/>
  <c r="DY32" i="24"/>
  <c r="EF32" i="24" s="1"/>
  <c r="EA32" i="24"/>
  <c r="DY31" i="24"/>
  <c r="EF31" i="24" s="1"/>
  <c r="EA31" i="24"/>
  <c r="EA123" i="24"/>
  <c r="DY299" i="24"/>
  <c r="EF299" i="24" s="1"/>
  <c r="EA299" i="24"/>
  <c r="DY290" i="24"/>
  <c r="EF290" i="24" s="1"/>
  <c r="EA290" i="24"/>
  <c r="DY69" i="24"/>
  <c r="EF69" i="24" s="1"/>
  <c r="EA69" i="24"/>
  <c r="DY95" i="24"/>
  <c r="EF95" i="24" s="1"/>
  <c r="EA95" i="24"/>
  <c r="DY225" i="24"/>
  <c r="EF225" i="24" s="1"/>
  <c r="EA225" i="24"/>
  <c r="DY316" i="24"/>
  <c r="EF316" i="24" s="1"/>
  <c r="EA316" i="24"/>
  <c r="DY251" i="24"/>
  <c r="EF251" i="24" s="1"/>
  <c r="EA251" i="24"/>
  <c r="DY257" i="24"/>
  <c r="EF257" i="24" s="1"/>
  <c r="EA257" i="24"/>
  <c r="DY304" i="24"/>
  <c r="EF304" i="24" s="1"/>
  <c r="EA304" i="24"/>
  <c r="DY168" i="24"/>
  <c r="EF168" i="24" s="1"/>
  <c r="EA168" i="24"/>
  <c r="DY146" i="24"/>
  <c r="EF146" i="24" s="1"/>
  <c r="EA146" i="24"/>
  <c r="DY19" i="24"/>
  <c r="EF19" i="24" s="1"/>
  <c r="EA19" i="24"/>
  <c r="DY182" i="24"/>
  <c r="EF182" i="24" s="1"/>
  <c r="EA182" i="24"/>
  <c r="DY226" i="24"/>
  <c r="EF226" i="24" s="1"/>
  <c r="EA226" i="24"/>
  <c r="DY227" i="24"/>
  <c r="EF227" i="24" s="1"/>
  <c r="EA227" i="24"/>
  <c r="DY85" i="24"/>
  <c r="EF85" i="24" s="1"/>
  <c r="EA85" i="24"/>
  <c r="DY51" i="24"/>
  <c r="EF51" i="24" s="1"/>
  <c r="EA51" i="24"/>
  <c r="DY261" i="24"/>
  <c r="EF261" i="24" s="1"/>
  <c r="EA261" i="24"/>
  <c r="DY195" i="24"/>
  <c r="EF195" i="24" s="1"/>
  <c r="EA195" i="24"/>
  <c r="DY20" i="24"/>
  <c r="EF20" i="24" s="1"/>
  <c r="EA20" i="24"/>
  <c r="DY279" i="24"/>
  <c r="EF279" i="24" s="1"/>
  <c r="EA279" i="24"/>
  <c r="DY93" i="24"/>
  <c r="EF93" i="24" s="1"/>
  <c r="EA93" i="24"/>
  <c r="EA209" i="24"/>
  <c r="EA177" i="24"/>
  <c r="DY269" i="24"/>
  <c r="EF269" i="24" s="1"/>
  <c r="EA269" i="24"/>
  <c r="DY148" i="24"/>
  <c r="EF148" i="24" s="1"/>
  <c r="EA148" i="24"/>
  <c r="EA41" i="24"/>
  <c r="EA53" i="24"/>
  <c r="EA114" i="24"/>
  <c r="EA202" i="24"/>
  <c r="EA161" i="24"/>
  <c r="DY137" i="24"/>
  <c r="EF137" i="24" s="1"/>
  <c r="EA137" i="24"/>
  <c r="DY234" i="24"/>
  <c r="EF234" i="24" s="1"/>
  <c r="EA234" i="24"/>
  <c r="DY249" i="24"/>
  <c r="EF249" i="24" s="1"/>
  <c r="EA249" i="24"/>
  <c r="DY206" i="24"/>
  <c r="EF206" i="24" s="1"/>
  <c r="EA206" i="24"/>
  <c r="DY295" i="24"/>
  <c r="EF295" i="24" s="1"/>
  <c r="EA295" i="24"/>
  <c r="DY256" i="24"/>
  <c r="EF256" i="24" s="1"/>
  <c r="EA256" i="24"/>
  <c r="DY223" i="24"/>
  <c r="EF223" i="24" s="1"/>
  <c r="EA223" i="24"/>
  <c r="DY139" i="24"/>
  <c r="EF139" i="24" s="1"/>
  <c r="EA139" i="24"/>
  <c r="DY179" i="24"/>
  <c r="EF179" i="24" s="1"/>
  <c r="EA179" i="24"/>
  <c r="DY260" i="24"/>
  <c r="EF260" i="24" s="1"/>
  <c r="EA260" i="24"/>
  <c r="DY258" i="24"/>
  <c r="EF258" i="24" s="1"/>
  <c r="EA258" i="24"/>
  <c r="EA122" i="24"/>
  <c r="DY73" i="24"/>
  <c r="EF73" i="24" s="1"/>
  <c r="EA73" i="24"/>
  <c r="DY16" i="24"/>
  <c r="EF16" i="24" s="1"/>
  <c r="EA16" i="24"/>
  <c r="DY21" i="24"/>
  <c r="EF21" i="24" s="1"/>
  <c r="EA21" i="24"/>
  <c r="DY289" i="24"/>
  <c r="EF289" i="24" s="1"/>
  <c r="EA289" i="24"/>
  <c r="DY270" i="24"/>
  <c r="EF270" i="24" s="1"/>
  <c r="EA270" i="24"/>
  <c r="DY222" i="24"/>
  <c r="EF222" i="24" s="1"/>
  <c r="EA222" i="24"/>
  <c r="EA197" i="24"/>
  <c r="EA185" i="24"/>
  <c r="DY276" i="24"/>
  <c r="EF276" i="24" s="1"/>
  <c r="EA276" i="24"/>
  <c r="DY156" i="24"/>
  <c r="EF156" i="24" s="1"/>
  <c r="EA156" i="24"/>
  <c r="DY229" i="24"/>
  <c r="EF229" i="24" s="1"/>
  <c r="EA229" i="24"/>
  <c r="DY300" i="24"/>
  <c r="EF300" i="24" s="1"/>
  <c r="EA300" i="24"/>
  <c r="EA50" i="24"/>
  <c r="DY9" i="24"/>
  <c r="EF9" i="24" s="1"/>
  <c r="EA9" i="24"/>
  <c r="DY84" i="24"/>
  <c r="EF84" i="24" s="1"/>
  <c r="EA84" i="24"/>
  <c r="DY22" i="24"/>
  <c r="EF22" i="24" s="1"/>
  <c r="EA22" i="24"/>
  <c r="DY58" i="24"/>
  <c r="EF58" i="24" s="1"/>
  <c r="EA58" i="24"/>
  <c r="DY306" i="24"/>
  <c r="EF306" i="24" s="1"/>
  <c r="EA306" i="24"/>
  <c r="DY102" i="24"/>
  <c r="EF102" i="24" s="1"/>
  <c r="EA102" i="24"/>
  <c r="DY307" i="24"/>
  <c r="EF307" i="24" s="1"/>
  <c r="EA307" i="24"/>
  <c r="EA145" i="24"/>
  <c r="DY238" i="24"/>
  <c r="EF238" i="24" s="1"/>
  <c r="EA238" i="24"/>
  <c r="DY151" i="24"/>
  <c r="EF151" i="24" s="1"/>
  <c r="EA151" i="24"/>
  <c r="DY305" i="24"/>
  <c r="EF305" i="24" s="1"/>
  <c r="EA305" i="24"/>
  <c r="DY228" i="24"/>
  <c r="EF228" i="24" s="1"/>
  <c r="EA228" i="24"/>
  <c r="DY292" i="24"/>
  <c r="EF292" i="24" s="1"/>
  <c r="EA292" i="24"/>
  <c r="DY188" i="24"/>
  <c r="EF188" i="24" s="1"/>
  <c r="EA188" i="24"/>
  <c r="DY15" i="24"/>
  <c r="EF15" i="24" s="1"/>
  <c r="EA15" i="24"/>
  <c r="EA167" i="24"/>
  <c r="EA61" i="24"/>
  <c r="DY246" i="24"/>
  <c r="EF246" i="24" s="1"/>
  <c r="EA246" i="24"/>
  <c r="EH190" i="24"/>
  <c r="EC190" i="24"/>
  <c r="ED190" i="24" s="1"/>
  <c r="EI190" i="24"/>
  <c r="EX190" i="24" s="1"/>
  <c r="EA100" i="24"/>
  <c r="DY11" i="24"/>
  <c r="EF11" i="24" s="1"/>
  <c r="EA11" i="24"/>
  <c r="DY235" i="24"/>
  <c r="EF235" i="24" s="1"/>
  <c r="EA235" i="24"/>
  <c r="DY239" i="24"/>
  <c r="EF239" i="24" s="1"/>
  <c r="EA239" i="24"/>
  <c r="EA158" i="24"/>
  <c r="DY217" i="24"/>
  <c r="EF217" i="24" s="1"/>
  <c r="EA217" i="24"/>
  <c r="EA54" i="24"/>
  <c r="DY76" i="24"/>
  <c r="EF76" i="24" s="1"/>
  <c r="EA76" i="24"/>
  <c r="DY255" i="24"/>
  <c r="EF255" i="24" s="1"/>
  <c r="EA255" i="24"/>
  <c r="DY278" i="24"/>
  <c r="EF278" i="24" s="1"/>
  <c r="EA278" i="24"/>
  <c r="DY247" i="24"/>
  <c r="EF247" i="24" s="1"/>
  <c r="EA247" i="24"/>
  <c r="DY232" i="24"/>
  <c r="EF232" i="24" s="1"/>
  <c r="EA232" i="24"/>
  <c r="DY259" i="24"/>
  <c r="EF259" i="24" s="1"/>
  <c r="EA259" i="24"/>
  <c r="DY97" i="24"/>
  <c r="EF97" i="24" s="1"/>
  <c r="EA97" i="24"/>
  <c r="DY224" i="24"/>
  <c r="EF224" i="24" s="1"/>
  <c r="EA224" i="24"/>
  <c r="EA155" i="24"/>
  <c r="DY189" i="24"/>
  <c r="EF189" i="24" s="1"/>
  <c r="EA189" i="24"/>
  <c r="DY117" i="24"/>
  <c r="EF117" i="24" s="1"/>
  <c r="EA117" i="24"/>
  <c r="DY27" i="24"/>
  <c r="EF27" i="24" s="1"/>
  <c r="EA27" i="24"/>
  <c r="DY273" i="24"/>
  <c r="EF273" i="24" s="1"/>
  <c r="EA273" i="24"/>
  <c r="DY218" i="24"/>
  <c r="EF218" i="24" s="1"/>
  <c r="EA218" i="24"/>
  <c r="EA173" i="24"/>
  <c r="EA80" i="24"/>
  <c r="DY296" i="24"/>
  <c r="EF296" i="24" s="1"/>
  <c r="EA296" i="24"/>
  <c r="DY241" i="24"/>
  <c r="EF241" i="24" s="1"/>
  <c r="EA241" i="24"/>
  <c r="DY82" i="24"/>
  <c r="EF82" i="24" s="1"/>
  <c r="EA82" i="24"/>
  <c r="DY194" i="24"/>
  <c r="EF194" i="24" s="1"/>
  <c r="EA194" i="24"/>
  <c r="DY88" i="24"/>
  <c r="EF88" i="24" s="1"/>
  <c r="EA88" i="24"/>
  <c r="DY264" i="24"/>
  <c r="EF264" i="24" s="1"/>
  <c r="EA264" i="24"/>
  <c r="DY301" i="24"/>
  <c r="EF301" i="24" s="1"/>
  <c r="EA301" i="24"/>
  <c r="DY252" i="24"/>
  <c r="EF252" i="24" s="1"/>
  <c r="EA252" i="24"/>
  <c r="EA103" i="24"/>
  <c r="DY87" i="24"/>
  <c r="EF87" i="24" s="1"/>
  <c r="EA87" i="24"/>
  <c r="DY120" i="24"/>
  <c r="EF120" i="24" s="1"/>
  <c r="EA120" i="24"/>
  <c r="DY143" i="24"/>
  <c r="EF143" i="24" s="1"/>
  <c r="EA143" i="24"/>
  <c r="DY287" i="24"/>
  <c r="EF287" i="24" s="1"/>
  <c r="EA287" i="24"/>
  <c r="DY262" i="24"/>
  <c r="EF262" i="24" s="1"/>
  <c r="EA262" i="24"/>
  <c r="DY57" i="24"/>
  <c r="EF57" i="24" s="1"/>
  <c r="EA57" i="24"/>
  <c r="EA98" i="24"/>
  <c r="DY105" i="24"/>
  <c r="EF105" i="24" s="1"/>
  <c r="EA105" i="24"/>
  <c r="EA157" i="24"/>
  <c r="EA42" i="24"/>
  <c r="DY310" i="24"/>
  <c r="EF310" i="24" s="1"/>
  <c r="EA310" i="24"/>
  <c r="DY176" i="24"/>
  <c r="EF176" i="24" s="1"/>
  <c r="EA176" i="24"/>
  <c r="DY200" i="24"/>
  <c r="EF200" i="24" s="1"/>
  <c r="EA200" i="24"/>
  <c r="EA47" i="24"/>
  <c r="DY248" i="24"/>
  <c r="EF248" i="24" s="1"/>
  <c r="EA248" i="24"/>
  <c r="DY311" i="24"/>
  <c r="EF311" i="24" s="1"/>
  <c r="EA311" i="24"/>
  <c r="DY180" i="24"/>
  <c r="EF180" i="24" s="1"/>
  <c r="EA180" i="24"/>
  <c r="DY253" i="24"/>
  <c r="EF253" i="24" s="1"/>
  <c r="EA253" i="24"/>
  <c r="DY312" i="24"/>
  <c r="EF312" i="24" s="1"/>
  <c r="EA312" i="24"/>
  <c r="DY265" i="24"/>
  <c r="EF265" i="24" s="1"/>
  <c r="EA265" i="24"/>
  <c r="DY181" i="24"/>
  <c r="EF181" i="24" s="1"/>
  <c r="EA181" i="24"/>
  <c r="EA175" i="24"/>
  <c r="DY36" i="24"/>
  <c r="EF36" i="24" s="1"/>
  <c r="EA36" i="24"/>
  <c r="DY207" i="24"/>
  <c r="EF207" i="24" s="1"/>
  <c r="EA207" i="24"/>
  <c r="EA183" i="24"/>
  <c r="DY45" i="24"/>
  <c r="EF45" i="24" s="1"/>
  <c r="EA45" i="24"/>
  <c r="DY297" i="24"/>
  <c r="EF297" i="24" s="1"/>
  <c r="EA297" i="24"/>
  <c r="DY271" i="24"/>
  <c r="EF271" i="24" s="1"/>
  <c r="EA271" i="24"/>
  <c r="EA171" i="24"/>
  <c r="DY184" i="24"/>
  <c r="EF184" i="24" s="1"/>
  <c r="EA184" i="24"/>
  <c r="DY125" i="24"/>
  <c r="EF125" i="24" s="1"/>
  <c r="EA125" i="24"/>
  <c r="EA68" i="24"/>
  <c r="DY313" i="24"/>
  <c r="EF313" i="24" s="1"/>
  <c r="EA313" i="24"/>
  <c r="DY18" i="24"/>
  <c r="EF18" i="24" s="1"/>
  <c r="EA18" i="24"/>
  <c r="EA33" i="24"/>
  <c r="DY233" i="24"/>
  <c r="EF233" i="24" s="1"/>
  <c r="EA233" i="24"/>
  <c r="DY308" i="24"/>
  <c r="EF308" i="24" s="1"/>
  <c r="EA308" i="24"/>
  <c r="DY38" i="24"/>
  <c r="EF38" i="24" s="1"/>
  <c r="EA38" i="24"/>
  <c r="DY293" i="24"/>
  <c r="EF293" i="24" s="1"/>
  <c r="EA293" i="24"/>
  <c r="DY56" i="24"/>
  <c r="EF56" i="24" s="1"/>
  <c r="EA56" i="24"/>
  <c r="DY208" i="24"/>
  <c r="EF208" i="24" s="1"/>
  <c r="EA208" i="24"/>
  <c r="DY66" i="24"/>
  <c r="EF66" i="24" s="1"/>
  <c r="EA66" i="24"/>
  <c r="DY267" i="24"/>
  <c r="EF267" i="24" s="1"/>
  <c r="EA267" i="24"/>
  <c r="DY210" i="24"/>
  <c r="EF210" i="24" s="1"/>
  <c r="EA210" i="24"/>
  <c r="DY254" i="24"/>
  <c r="EF254" i="24" s="1"/>
  <c r="EA254" i="24"/>
  <c r="DY86" i="24"/>
  <c r="EF86" i="24" s="1"/>
  <c r="EA86" i="24"/>
  <c r="DY205" i="24"/>
  <c r="EF205" i="24" s="1"/>
  <c r="EA205" i="24"/>
  <c r="DY219" i="24"/>
  <c r="EF219" i="24" s="1"/>
  <c r="EA219" i="24"/>
  <c r="DY130" i="24"/>
  <c r="EF130" i="24" s="1"/>
  <c r="EA130" i="24"/>
  <c r="DY49" i="24"/>
  <c r="EF49" i="24" s="1"/>
  <c r="EA49" i="24"/>
  <c r="DY140" i="24"/>
  <c r="EF140" i="24" s="1"/>
  <c r="EA140" i="24"/>
  <c r="DY220" i="24"/>
  <c r="EF220" i="24" s="1"/>
  <c r="EA220" i="24"/>
  <c r="DY113" i="24"/>
  <c r="EF113" i="24" s="1"/>
  <c r="EA113" i="24"/>
  <c r="DY281" i="24"/>
  <c r="EF281" i="24" s="1"/>
  <c r="EA281" i="24"/>
  <c r="DY288" i="24"/>
  <c r="EF288" i="24" s="1"/>
  <c r="EA288" i="24"/>
  <c r="DY165" i="24"/>
  <c r="EF165" i="24" s="1"/>
  <c r="EA165" i="24"/>
  <c r="DY149" i="24"/>
  <c r="EF149" i="24" s="1"/>
  <c r="EA149" i="24"/>
  <c r="DY196" i="24"/>
  <c r="EF196" i="24" s="1"/>
  <c r="EA196" i="24"/>
  <c r="DY46" i="24"/>
  <c r="EF46" i="24" s="1"/>
  <c r="EA46" i="24"/>
  <c r="DY291" i="24"/>
  <c r="EF291" i="24" s="1"/>
  <c r="EA291" i="24"/>
  <c r="DY203" i="24"/>
  <c r="EF203" i="24" s="1"/>
  <c r="EA203" i="24"/>
  <c r="DY162" i="24"/>
  <c r="EF162" i="24" s="1"/>
  <c r="EA162" i="24"/>
  <c r="DY277" i="24"/>
  <c r="EF277" i="24" s="1"/>
  <c r="EA277" i="24"/>
  <c r="DY121" i="24"/>
  <c r="EF121" i="24" s="1"/>
  <c r="EA121" i="24"/>
  <c r="DY244" i="24"/>
  <c r="EF244" i="24" s="1"/>
  <c r="EA244" i="24"/>
  <c r="DY230" i="24"/>
  <c r="EF230" i="24" s="1"/>
  <c r="EA230" i="24"/>
  <c r="DY59" i="24"/>
  <c r="EF59" i="24" s="1"/>
  <c r="EA59" i="24"/>
  <c r="DY283" i="24"/>
  <c r="EF283" i="24" s="1"/>
  <c r="EA283" i="24"/>
  <c r="DY221" i="24"/>
  <c r="EF221" i="24" s="1"/>
  <c r="EA221" i="24"/>
  <c r="DY75" i="24"/>
  <c r="EF75" i="24" s="1"/>
  <c r="EA75" i="24"/>
  <c r="DY119" i="24"/>
  <c r="EF119" i="24" s="1"/>
  <c r="EA119" i="24"/>
  <c r="DY263" i="24"/>
  <c r="EF263" i="24" s="1"/>
  <c r="EA263" i="24"/>
  <c r="DY178" i="24"/>
  <c r="EF178" i="24" s="1"/>
  <c r="EA178" i="24"/>
  <c r="DY236" i="24"/>
  <c r="EF236" i="24" s="1"/>
  <c r="EA236" i="24"/>
  <c r="DY91" i="24"/>
  <c r="EF91" i="24" s="1"/>
  <c r="EA91" i="24"/>
  <c r="EA25" i="24"/>
  <c r="EA8" i="24"/>
  <c r="DY144" i="24"/>
  <c r="EF144" i="24" s="1"/>
  <c r="EA144" i="24"/>
  <c r="DY166" i="24"/>
  <c r="EF166" i="24" s="1"/>
  <c r="EA166" i="24"/>
  <c r="DY298" i="24"/>
  <c r="EF298" i="24" s="1"/>
  <c r="EA298" i="24"/>
  <c r="DY231" i="24"/>
  <c r="EF231" i="24" s="1"/>
  <c r="EA231" i="24"/>
  <c r="EA193" i="24"/>
  <c r="EA89" i="24"/>
  <c r="DY204" i="24"/>
  <c r="EF204" i="24" s="1"/>
  <c r="EA204" i="24"/>
  <c r="EA138" i="24"/>
  <c r="DY12" i="24"/>
  <c r="EF12" i="24" s="1"/>
  <c r="EA12" i="24"/>
  <c r="DY135" i="24"/>
  <c r="EF135" i="24" s="1"/>
  <c r="EA135" i="24"/>
  <c r="DY309" i="24"/>
  <c r="EF309" i="24" s="1"/>
  <c r="EA309" i="24"/>
  <c r="DY116" i="24"/>
  <c r="EF116" i="24" s="1"/>
  <c r="EA116" i="24"/>
  <c r="EA164" i="24"/>
  <c r="DY7" i="24"/>
  <c r="EF7" i="24" s="1"/>
  <c r="EA7" i="24"/>
  <c r="DY94" i="24"/>
  <c r="EF94" i="24" s="1"/>
  <c r="EA94" i="24"/>
  <c r="EA150" i="24"/>
  <c r="DY115" i="24"/>
  <c r="EF115" i="24" s="1"/>
  <c r="EA115" i="24"/>
  <c r="EA129" i="24"/>
  <c r="DY302" i="24"/>
  <c r="EF302" i="24" s="1"/>
  <c r="EA302" i="24"/>
  <c r="DY286" i="24"/>
  <c r="EF286" i="24" s="1"/>
  <c r="EA286" i="24"/>
  <c r="EA112" i="24"/>
  <c r="EA70" i="24"/>
  <c r="DY314" i="24"/>
  <c r="EF314" i="24" s="1"/>
  <c r="EA314" i="24"/>
  <c r="DY274" i="24"/>
  <c r="EF274" i="24" s="1"/>
  <c r="EA274" i="24"/>
  <c r="DY275" i="24"/>
  <c r="EF275" i="24" s="1"/>
  <c r="EA275" i="24"/>
  <c r="DY72" i="24"/>
  <c r="EF72" i="24" s="1"/>
  <c r="EA72" i="24"/>
  <c r="DY163" i="24"/>
  <c r="EF163" i="24" s="1"/>
  <c r="EA163" i="24"/>
  <c r="DY272" i="24"/>
  <c r="EF272" i="24" s="1"/>
  <c r="EA272" i="24"/>
  <c r="DY294" i="24"/>
  <c r="EF294" i="24" s="1"/>
  <c r="EA294" i="24"/>
  <c r="EA24" i="24"/>
  <c r="DY34" i="24"/>
  <c r="EF34" i="24" s="1"/>
  <c r="EA34" i="24"/>
  <c r="EA35" i="24"/>
  <c r="DY266" i="24"/>
  <c r="EF266" i="24" s="1"/>
  <c r="EA266" i="24"/>
  <c r="DY118" i="24"/>
  <c r="EF118" i="24" s="1"/>
  <c r="EA118" i="24"/>
  <c r="DY250" i="24"/>
  <c r="EF250" i="24" s="1"/>
  <c r="EA250" i="24"/>
  <c r="DY131" i="24"/>
  <c r="EF131" i="24" s="1"/>
  <c r="EA131" i="24"/>
  <c r="DY284" i="24"/>
  <c r="EF284" i="24" s="1"/>
  <c r="EA284" i="24"/>
  <c r="DY237" i="24"/>
  <c r="EF237" i="24" s="1"/>
  <c r="EA237" i="24"/>
  <c r="DY101" i="24"/>
  <c r="EF101" i="24" s="1"/>
  <c r="EA101" i="24"/>
  <c r="DY187" i="24"/>
  <c r="EF187" i="24" s="1"/>
  <c r="EA187" i="24"/>
  <c r="DY280" i="24"/>
  <c r="EF280" i="24" s="1"/>
  <c r="EA280" i="24"/>
  <c r="DY79" i="24"/>
  <c r="EF79" i="24" s="1"/>
  <c r="EA79" i="24"/>
  <c r="DY315" i="24"/>
  <c r="EF315" i="24" s="1"/>
  <c r="EA315" i="24"/>
  <c r="DY303" i="24"/>
  <c r="EF303" i="24" s="1"/>
  <c r="EA303" i="24"/>
  <c r="DY268" i="24"/>
  <c r="EF268" i="24" s="1"/>
  <c r="EA268" i="24"/>
  <c r="DY153" i="24"/>
  <c r="EF153" i="24" s="1"/>
  <c r="EA153" i="24"/>
  <c r="DY17" i="24"/>
  <c r="EF17" i="24" s="1"/>
  <c r="EA17" i="24"/>
  <c r="DY198" i="24"/>
  <c r="EF198" i="24" s="1"/>
  <c r="EA198" i="24"/>
  <c r="DY240" i="24"/>
  <c r="EF240" i="24" s="1"/>
  <c r="EA240" i="24"/>
  <c r="DY191" i="24"/>
  <c r="EF191" i="24" s="1"/>
  <c r="EA191" i="24"/>
  <c r="EA154" i="24"/>
  <c r="DY64" i="24"/>
  <c r="EF64" i="24" s="1"/>
  <c r="EA64" i="24"/>
  <c r="EA65" i="24"/>
  <c r="F64" i="19"/>
  <c r="F65" i="19"/>
  <c r="EE216" i="25" l="1"/>
  <c r="EV216" i="25" s="1"/>
  <c r="EF216" i="25"/>
  <c r="EW216" i="25" s="1"/>
  <c r="CG216" i="25"/>
  <c r="CH216" i="25"/>
  <c r="CG242" i="24"/>
  <c r="CG243" i="24"/>
  <c r="EV212" i="25"/>
  <c r="FB212" i="25" s="1"/>
  <c r="EI212" i="25"/>
  <c r="EC96" i="24"/>
  <c r="ED96" i="24" s="1"/>
  <c r="EH96" i="24"/>
  <c r="EW96" i="24" s="1"/>
  <c r="EI96" i="24"/>
  <c r="EX96" i="24" s="1"/>
  <c r="FL96" i="24"/>
  <c r="CG285" i="24"/>
  <c r="EI243" i="24"/>
  <c r="EX243" i="24" s="1"/>
  <c r="EC243" i="24"/>
  <c r="ED243" i="24" s="1"/>
  <c r="EH243" i="24"/>
  <c r="EK243" i="24" s="1"/>
  <c r="EC78" i="24"/>
  <c r="ED78" i="24" s="1"/>
  <c r="EH78" i="24"/>
  <c r="EW78" i="24" s="1"/>
  <c r="EI78" i="24"/>
  <c r="EX78" i="24" s="1"/>
  <c r="EH60" i="24"/>
  <c r="EW60" i="24" s="1"/>
  <c r="EV136" i="25"/>
  <c r="FC136" i="25" s="1"/>
  <c r="FE136" i="25" s="1"/>
  <c r="FF136" i="25" s="1"/>
  <c r="EH285" i="24"/>
  <c r="EK285" i="24" s="1"/>
  <c r="EI60" i="24"/>
  <c r="EX60" i="24" s="1"/>
  <c r="EC242" i="24"/>
  <c r="ED242" i="24" s="1"/>
  <c r="EI242" i="24"/>
  <c r="EX242" i="24" s="1"/>
  <c r="FL242" i="24"/>
  <c r="FL285" i="24"/>
  <c r="EI285" i="24"/>
  <c r="EX285" i="24" s="1"/>
  <c r="EW216" i="24"/>
  <c r="FB216" i="24" s="1"/>
  <c r="EK216" i="24"/>
  <c r="EI89" i="25"/>
  <c r="EO89" i="25" s="1"/>
  <c r="EP89" i="25" s="1"/>
  <c r="S110" i="24"/>
  <c r="T110" i="24" s="1"/>
  <c r="J110" i="24" s="1"/>
  <c r="K110" i="24"/>
  <c r="EC92" i="24"/>
  <c r="ED92" i="24" s="1"/>
  <c r="CG92" i="24"/>
  <c r="EH92" i="24"/>
  <c r="EW92" i="24" s="1"/>
  <c r="FL237" i="24"/>
  <c r="EH237" i="24"/>
  <c r="EI237" i="24"/>
  <c r="EX237" i="24" s="1"/>
  <c r="EC237" i="24"/>
  <c r="ED237" i="24" s="1"/>
  <c r="FL275" i="24"/>
  <c r="EI275" i="24"/>
  <c r="EX275" i="24" s="1"/>
  <c r="EC275" i="24"/>
  <c r="ED275" i="24" s="1"/>
  <c r="EH275" i="24"/>
  <c r="FL221" i="24"/>
  <c r="EH221" i="24"/>
  <c r="EI221" i="24"/>
  <c r="EX221" i="24" s="1"/>
  <c r="EC221" i="24"/>
  <c r="ED221" i="24" s="1"/>
  <c r="FL244" i="24"/>
  <c r="EH244" i="24"/>
  <c r="EI244" i="24"/>
  <c r="EX244" i="24" s="1"/>
  <c r="EC244" i="24"/>
  <c r="ED244" i="24" s="1"/>
  <c r="FL254" i="24"/>
  <c r="EH254" i="24"/>
  <c r="EI254" i="24"/>
  <c r="EX254" i="24" s="1"/>
  <c r="EC254" i="24"/>
  <c r="ED254" i="24" s="1"/>
  <c r="FL265" i="24"/>
  <c r="EH265" i="24"/>
  <c r="EC265" i="24"/>
  <c r="ED265" i="24" s="1"/>
  <c r="EI265" i="24"/>
  <c r="EX265" i="24" s="1"/>
  <c r="FL311" i="24"/>
  <c r="EI311" i="24"/>
  <c r="EX311" i="24" s="1"/>
  <c r="EH311" i="24"/>
  <c r="EC311" i="24"/>
  <c r="ED311" i="24" s="1"/>
  <c r="FL224" i="24"/>
  <c r="EI224" i="24"/>
  <c r="EX224" i="24" s="1"/>
  <c r="EH224" i="24"/>
  <c r="EC224" i="24"/>
  <c r="ED224" i="24" s="1"/>
  <c r="FL247" i="24"/>
  <c r="EH247" i="24"/>
  <c r="EI247" i="24"/>
  <c r="EX247" i="24" s="1"/>
  <c r="EC247" i="24"/>
  <c r="ED247" i="24" s="1"/>
  <c r="FL228" i="24"/>
  <c r="EH228" i="24"/>
  <c r="EC228" i="24"/>
  <c r="ED228" i="24" s="1"/>
  <c r="EI228" i="24"/>
  <c r="EX228" i="24" s="1"/>
  <c r="FL300" i="24"/>
  <c r="EI300" i="24"/>
  <c r="EX300" i="24" s="1"/>
  <c r="EC300" i="24"/>
  <c r="ED300" i="24" s="1"/>
  <c r="EH300" i="24"/>
  <c r="FL261" i="24"/>
  <c r="EH261" i="24"/>
  <c r="EI261" i="24"/>
  <c r="EX261" i="24" s="1"/>
  <c r="EC261" i="24"/>
  <c r="ED261" i="24" s="1"/>
  <c r="FL226" i="24"/>
  <c r="EH226" i="24"/>
  <c r="EI226" i="24"/>
  <c r="EX226" i="24" s="1"/>
  <c r="EC226" i="24"/>
  <c r="ED226" i="24" s="1"/>
  <c r="FL316" i="24"/>
  <c r="EC316" i="24"/>
  <c r="ED316" i="24" s="1"/>
  <c r="EH316" i="24"/>
  <c r="EI316" i="24"/>
  <c r="EX316" i="24" s="1"/>
  <c r="FL290" i="24"/>
  <c r="EH290" i="24"/>
  <c r="EI290" i="24"/>
  <c r="EX290" i="24" s="1"/>
  <c r="EC290" i="24"/>
  <c r="ED290" i="24" s="1"/>
  <c r="FL294" i="24"/>
  <c r="EH294" i="24"/>
  <c r="EI294" i="24"/>
  <c r="EX294" i="24" s="1"/>
  <c r="EC294" i="24"/>
  <c r="ED294" i="24" s="1"/>
  <c r="FL217" i="24"/>
  <c r="EH217" i="24"/>
  <c r="EI217" i="24"/>
  <c r="EX217" i="24" s="1"/>
  <c r="EC217" i="24"/>
  <c r="ED217" i="24" s="1"/>
  <c r="FL307" i="24"/>
  <c r="EI307" i="24"/>
  <c r="EX307" i="24" s="1"/>
  <c r="EC307" i="24"/>
  <c r="ED307" i="24" s="1"/>
  <c r="EH307" i="24"/>
  <c r="FL260" i="24"/>
  <c r="EH260" i="24"/>
  <c r="EI260" i="24"/>
  <c r="EX260" i="24" s="1"/>
  <c r="EC260" i="24"/>
  <c r="ED260" i="24" s="1"/>
  <c r="FL256" i="24"/>
  <c r="EI256" i="24"/>
  <c r="EX256" i="24" s="1"/>
  <c r="EC256" i="24"/>
  <c r="ED256" i="24" s="1"/>
  <c r="EH256" i="24"/>
  <c r="FL234" i="24"/>
  <c r="EI234" i="24"/>
  <c r="EX234" i="24" s="1"/>
  <c r="EH234" i="24"/>
  <c r="EC234" i="24"/>
  <c r="ED234" i="24" s="1"/>
  <c r="FL250" i="24"/>
  <c r="EC250" i="24"/>
  <c r="ED250" i="24" s="1"/>
  <c r="EH250" i="24"/>
  <c r="EI250" i="24"/>
  <c r="EX250" i="24" s="1"/>
  <c r="FL286" i="24"/>
  <c r="EH286" i="24"/>
  <c r="EC286" i="24"/>
  <c r="ED286" i="24" s="1"/>
  <c r="EI286" i="24"/>
  <c r="EX286" i="24" s="1"/>
  <c r="FL310" i="24"/>
  <c r="EH310" i="24"/>
  <c r="EI310" i="24"/>
  <c r="EX310" i="24" s="1"/>
  <c r="EC310" i="24"/>
  <c r="ED310" i="24" s="1"/>
  <c r="FL240" i="24"/>
  <c r="EH240" i="24"/>
  <c r="EI240" i="24"/>
  <c r="EX240" i="24" s="1"/>
  <c r="EC240" i="24"/>
  <c r="ED240" i="24" s="1"/>
  <c r="FL268" i="24"/>
  <c r="EH268" i="24"/>
  <c r="EC268" i="24"/>
  <c r="ED268" i="24" s="1"/>
  <c r="EI268" i="24"/>
  <c r="EX268" i="24" s="1"/>
  <c r="FL280" i="24"/>
  <c r="EI280" i="24"/>
  <c r="EX280" i="24" s="1"/>
  <c r="EH280" i="24"/>
  <c r="EC280" i="24"/>
  <c r="ED280" i="24" s="1"/>
  <c r="FL284" i="24"/>
  <c r="EH284" i="24"/>
  <c r="EI284" i="24"/>
  <c r="EX284" i="24" s="1"/>
  <c r="EC284" i="24"/>
  <c r="ED284" i="24" s="1"/>
  <c r="FL266" i="24"/>
  <c r="EC266" i="24"/>
  <c r="ED266" i="24" s="1"/>
  <c r="EI266" i="24"/>
  <c r="EX266" i="24" s="1"/>
  <c r="EH266" i="24"/>
  <c r="FL272" i="24"/>
  <c r="EI272" i="24"/>
  <c r="EX272" i="24" s="1"/>
  <c r="EC272" i="24"/>
  <c r="ED272" i="24" s="1"/>
  <c r="EH272" i="24"/>
  <c r="FL274" i="24"/>
  <c r="EH274" i="24"/>
  <c r="EI274" i="24"/>
  <c r="EX274" i="24" s="1"/>
  <c r="EC274" i="24"/>
  <c r="ED274" i="24" s="1"/>
  <c r="FL302" i="24"/>
  <c r="EI302" i="24"/>
  <c r="EX302" i="24" s="1"/>
  <c r="EH302" i="24"/>
  <c r="EC302" i="24"/>
  <c r="ED302" i="24" s="1"/>
  <c r="FL231" i="24"/>
  <c r="EI231" i="24"/>
  <c r="EX231" i="24" s="1"/>
  <c r="EH231" i="24"/>
  <c r="EC231" i="24"/>
  <c r="ED231" i="24" s="1"/>
  <c r="FL263" i="24"/>
  <c r="EH263" i="24"/>
  <c r="EC263" i="24"/>
  <c r="ED263" i="24" s="1"/>
  <c r="EI263" i="24"/>
  <c r="EX263" i="24" s="1"/>
  <c r="FL283" i="24"/>
  <c r="EC283" i="24"/>
  <c r="ED283" i="24" s="1"/>
  <c r="EH283" i="24"/>
  <c r="EI283" i="24"/>
  <c r="EX283" i="24" s="1"/>
  <c r="FL291" i="24"/>
  <c r="EC291" i="24"/>
  <c r="ED291" i="24" s="1"/>
  <c r="EH291" i="24"/>
  <c r="EI291" i="24"/>
  <c r="EX291" i="24" s="1"/>
  <c r="FL220" i="24"/>
  <c r="EH220" i="24"/>
  <c r="EI220" i="24"/>
  <c r="EX220" i="24" s="1"/>
  <c r="EC220" i="24"/>
  <c r="ED220" i="24" s="1"/>
  <c r="FL219" i="24"/>
  <c r="EH219" i="24"/>
  <c r="EC219" i="24"/>
  <c r="ED219" i="24" s="1"/>
  <c r="EI219" i="24"/>
  <c r="EX219" i="24" s="1"/>
  <c r="FL313" i="24"/>
  <c r="EH313" i="24"/>
  <c r="EI313" i="24"/>
  <c r="EX313" i="24" s="1"/>
  <c r="EC313" i="24"/>
  <c r="ED313" i="24" s="1"/>
  <c r="FL271" i="24"/>
  <c r="EH271" i="24"/>
  <c r="EC271" i="24"/>
  <c r="ED271" i="24" s="1"/>
  <c r="EI271" i="24"/>
  <c r="EX271" i="24" s="1"/>
  <c r="FL312" i="24"/>
  <c r="EH312" i="24"/>
  <c r="EI312" i="24"/>
  <c r="EX312" i="24" s="1"/>
  <c r="EC312" i="24"/>
  <c r="ED312" i="24" s="1"/>
  <c r="FL248" i="24"/>
  <c r="EH248" i="24"/>
  <c r="EI248" i="24"/>
  <c r="EX248" i="24" s="1"/>
  <c r="EC248" i="24"/>
  <c r="ED248" i="24" s="1"/>
  <c r="FL262" i="24"/>
  <c r="EI262" i="24"/>
  <c r="EX262" i="24" s="1"/>
  <c r="EC262" i="24"/>
  <c r="ED262" i="24" s="1"/>
  <c r="EH262" i="24"/>
  <c r="FL301" i="24"/>
  <c r="EH301" i="24"/>
  <c r="EI301" i="24"/>
  <c r="EX301" i="24" s="1"/>
  <c r="EC301" i="24"/>
  <c r="ED301" i="24" s="1"/>
  <c r="FL218" i="24"/>
  <c r="EI218" i="24"/>
  <c r="EX218" i="24" s="1"/>
  <c r="EC218" i="24"/>
  <c r="ED218" i="24" s="1"/>
  <c r="EH218" i="24"/>
  <c r="FL278" i="24"/>
  <c r="EH278" i="24"/>
  <c r="EI278" i="24"/>
  <c r="EX278" i="24" s="1"/>
  <c r="EC278" i="24"/>
  <c r="ED278" i="24" s="1"/>
  <c r="FL305" i="24"/>
  <c r="EH305" i="24"/>
  <c r="EI305" i="24"/>
  <c r="EX305" i="24" s="1"/>
  <c r="EC305" i="24"/>
  <c r="ED305" i="24" s="1"/>
  <c r="FL229" i="24"/>
  <c r="EH229" i="24"/>
  <c r="EI229" i="24"/>
  <c r="EX229" i="24" s="1"/>
  <c r="EC229" i="24"/>
  <c r="ED229" i="24" s="1"/>
  <c r="FL222" i="24"/>
  <c r="EH222" i="24"/>
  <c r="EI222" i="24"/>
  <c r="EX222" i="24" s="1"/>
  <c r="EC222" i="24"/>
  <c r="ED222" i="24" s="1"/>
  <c r="FL279" i="24"/>
  <c r="EH279" i="24"/>
  <c r="EC279" i="24"/>
  <c r="ED279" i="24" s="1"/>
  <c r="EI279" i="24"/>
  <c r="EX279" i="24" s="1"/>
  <c r="FL304" i="24"/>
  <c r="EC304" i="24"/>
  <c r="ED304" i="24" s="1"/>
  <c r="EH304" i="24"/>
  <c r="EI304" i="24"/>
  <c r="EX304" i="24" s="1"/>
  <c r="FL225" i="24"/>
  <c r="EH225" i="24"/>
  <c r="EC225" i="24"/>
  <c r="ED225" i="24" s="1"/>
  <c r="EI225" i="24"/>
  <c r="EX225" i="24" s="1"/>
  <c r="FL299" i="24"/>
  <c r="EC299" i="24"/>
  <c r="ED299" i="24" s="1"/>
  <c r="EH299" i="24"/>
  <c r="EI299" i="24"/>
  <c r="EX299" i="24" s="1"/>
  <c r="FL245" i="24"/>
  <c r="EH245" i="24"/>
  <c r="EI245" i="24"/>
  <c r="EX245" i="24" s="1"/>
  <c r="EC245" i="24"/>
  <c r="ED245" i="24" s="1"/>
  <c r="FL308" i="24"/>
  <c r="EH308" i="24"/>
  <c r="EI308" i="24"/>
  <c r="EX308" i="24" s="1"/>
  <c r="EC308" i="24"/>
  <c r="ED308" i="24" s="1"/>
  <c r="FL303" i="24"/>
  <c r="EH303" i="24"/>
  <c r="EI303" i="24"/>
  <c r="EX303" i="24" s="1"/>
  <c r="EC303" i="24"/>
  <c r="ED303" i="24" s="1"/>
  <c r="FL267" i="24"/>
  <c r="EC267" i="24"/>
  <c r="ED267" i="24" s="1"/>
  <c r="EH267" i="24"/>
  <c r="EI267" i="24"/>
  <c r="EX267" i="24" s="1"/>
  <c r="FL297" i="24"/>
  <c r="EH297" i="24"/>
  <c r="EI297" i="24"/>
  <c r="EX297" i="24" s="1"/>
  <c r="EC297" i="24"/>
  <c r="ED297" i="24" s="1"/>
  <c r="FL253" i="24"/>
  <c r="EC253" i="24"/>
  <c r="ED253" i="24" s="1"/>
  <c r="EH253" i="24"/>
  <c r="EI253" i="24"/>
  <c r="EX253" i="24" s="1"/>
  <c r="FL287" i="24"/>
  <c r="EH287" i="24"/>
  <c r="EI287" i="24"/>
  <c r="EX287" i="24" s="1"/>
  <c r="EC287" i="24"/>
  <c r="ED287" i="24" s="1"/>
  <c r="FL264" i="24"/>
  <c r="EI264" i="24"/>
  <c r="EX264" i="24" s="1"/>
  <c r="EH264" i="24"/>
  <c r="EC264" i="24"/>
  <c r="ED264" i="24" s="1"/>
  <c r="FL241" i="24"/>
  <c r="EH241" i="24"/>
  <c r="EI241" i="24"/>
  <c r="EX241" i="24" s="1"/>
  <c r="EC241" i="24"/>
  <c r="ED241" i="24" s="1"/>
  <c r="FL273" i="24"/>
  <c r="EH273" i="24"/>
  <c r="EI273" i="24"/>
  <c r="EX273" i="24" s="1"/>
  <c r="EC273" i="24"/>
  <c r="ED273" i="24" s="1"/>
  <c r="FL259" i="24"/>
  <c r="EI259" i="24"/>
  <c r="EX259" i="24" s="1"/>
  <c r="EC259" i="24"/>
  <c r="ED259" i="24" s="1"/>
  <c r="EH259" i="24"/>
  <c r="FL255" i="24"/>
  <c r="EH255" i="24"/>
  <c r="EC255" i="24"/>
  <c r="ED255" i="24" s="1"/>
  <c r="EI255" i="24"/>
  <c r="EX255" i="24" s="1"/>
  <c r="FL239" i="24"/>
  <c r="EI239" i="24"/>
  <c r="EX239" i="24" s="1"/>
  <c r="EC239" i="24"/>
  <c r="ED239" i="24" s="1"/>
  <c r="EH239" i="24"/>
  <c r="FL270" i="24"/>
  <c r="EI270" i="24"/>
  <c r="EX270" i="24" s="1"/>
  <c r="EH270" i="24"/>
  <c r="EC270" i="24"/>
  <c r="ED270" i="24" s="1"/>
  <c r="FL269" i="24"/>
  <c r="EH269" i="24"/>
  <c r="EC269" i="24"/>
  <c r="ED269" i="24" s="1"/>
  <c r="EI269" i="24"/>
  <c r="EX269" i="24" s="1"/>
  <c r="FL257" i="24"/>
  <c r="EH257" i="24"/>
  <c r="EC257" i="24"/>
  <c r="ED257" i="24" s="1"/>
  <c r="EI257" i="24"/>
  <c r="EX257" i="24" s="1"/>
  <c r="FL295" i="24"/>
  <c r="EH295" i="24"/>
  <c r="EI295" i="24"/>
  <c r="EX295" i="24" s="1"/>
  <c r="EC295" i="24"/>
  <c r="ED295" i="24" s="1"/>
  <c r="FL282" i="24"/>
  <c r="EC282" i="24"/>
  <c r="ED282" i="24" s="1"/>
  <c r="EH282" i="24"/>
  <c r="EI282" i="24"/>
  <c r="EX282" i="24" s="1"/>
  <c r="FL314" i="24"/>
  <c r="EH314" i="24"/>
  <c r="EI314" i="24"/>
  <c r="EX314" i="24" s="1"/>
  <c r="EC314" i="24"/>
  <c r="ED314" i="24" s="1"/>
  <c r="FL298" i="24"/>
  <c r="EI298" i="24"/>
  <c r="EX298" i="24" s="1"/>
  <c r="EH298" i="24"/>
  <c r="EC298" i="24"/>
  <c r="ED298" i="24" s="1"/>
  <c r="FL277" i="24"/>
  <c r="EI277" i="24"/>
  <c r="EX277" i="24" s="1"/>
  <c r="EH277" i="24"/>
  <c r="EC277" i="24"/>
  <c r="ED277" i="24" s="1"/>
  <c r="FL288" i="24"/>
  <c r="EH288" i="24"/>
  <c r="EI288" i="24"/>
  <c r="EX288" i="24" s="1"/>
  <c r="EC288" i="24"/>
  <c r="ED288" i="24" s="1"/>
  <c r="FL293" i="24"/>
  <c r="EH293" i="24"/>
  <c r="EI293" i="24"/>
  <c r="EX293" i="24" s="1"/>
  <c r="EC293" i="24"/>
  <c r="ED293" i="24" s="1"/>
  <c r="FL233" i="24"/>
  <c r="EH233" i="24"/>
  <c r="EI233" i="24"/>
  <c r="EX233" i="24" s="1"/>
  <c r="EC233" i="24"/>
  <c r="ED233" i="24" s="1"/>
  <c r="FL252" i="24"/>
  <c r="EH252" i="24"/>
  <c r="EC252" i="24"/>
  <c r="ED252" i="24" s="1"/>
  <c r="EI252" i="24"/>
  <c r="EX252" i="24" s="1"/>
  <c r="FL306" i="24"/>
  <c r="EC306" i="24"/>
  <c r="ED306" i="24" s="1"/>
  <c r="EH306" i="24"/>
  <c r="EI306" i="24"/>
  <c r="EX306" i="24" s="1"/>
  <c r="FL315" i="24"/>
  <c r="EH315" i="24"/>
  <c r="EI315" i="24"/>
  <c r="EX315" i="24" s="1"/>
  <c r="EC315" i="24"/>
  <c r="ED315" i="24" s="1"/>
  <c r="FL281" i="24"/>
  <c r="EH281" i="24"/>
  <c r="EI281" i="24"/>
  <c r="EX281" i="24" s="1"/>
  <c r="EC281" i="24"/>
  <c r="ED281" i="24" s="1"/>
  <c r="FL296" i="24"/>
  <c r="EI296" i="24"/>
  <c r="EX296" i="24" s="1"/>
  <c r="EC296" i="24"/>
  <c r="ED296" i="24" s="1"/>
  <c r="EH296" i="24"/>
  <c r="FL232" i="24"/>
  <c r="EH232" i="24"/>
  <c r="EI232" i="24"/>
  <c r="EX232" i="24" s="1"/>
  <c r="EC232" i="24"/>
  <c r="ED232" i="24" s="1"/>
  <c r="FL235" i="24"/>
  <c r="EH235" i="24"/>
  <c r="EI235" i="24"/>
  <c r="EX235" i="24" s="1"/>
  <c r="EC235" i="24"/>
  <c r="ED235" i="24" s="1"/>
  <c r="FL246" i="24"/>
  <c r="EH246" i="24"/>
  <c r="EI246" i="24"/>
  <c r="EX246" i="24" s="1"/>
  <c r="EC246" i="24"/>
  <c r="ED246" i="24" s="1"/>
  <c r="FL292" i="24"/>
  <c r="EH292" i="24"/>
  <c r="EI292" i="24"/>
  <c r="EX292" i="24" s="1"/>
  <c r="EC292" i="24"/>
  <c r="ED292" i="24" s="1"/>
  <c r="FL238" i="24"/>
  <c r="EH238" i="24"/>
  <c r="EI238" i="24"/>
  <c r="EX238" i="24" s="1"/>
  <c r="EC238" i="24"/>
  <c r="ED238" i="24" s="1"/>
  <c r="FL276" i="24"/>
  <c r="EH276" i="24"/>
  <c r="EI276" i="24"/>
  <c r="EX276" i="24" s="1"/>
  <c r="EC276" i="24"/>
  <c r="ED276" i="24" s="1"/>
  <c r="FL289" i="24"/>
  <c r="EH289" i="24"/>
  <c r="EI289" i="24"/>
  <c r="EX289" i="24" s="1"/>
  <c r="EC289" i="24"/>
  <c r="ED289" i="24" s="1"/>
  <c r="FL227" i="24"/>
  <c r="EH227" i="24"/>
  <c r="EC227" i="24"/>
  <c r="ED227" i="24" s="1"/>
  <c r="EI227" i="24"/>
  <c r="EX227" i="24" s="1"/>
  <c r="FL251" i="24"/>
  <c r="EH251" i="24"/>
  <c r="EI251" i="24"/>
  <c r="EX251" i="24" s="1"/>
  <c r="EC251" i="24"/>
  <c r="ED251" i="24" s="1"/>
  <c r="FL236" i="24"/>
  <c r="EI236" i="24"/>
  <c r="EX236" i="24" s="1"/>
  <c r="EC236" i="24"/>
  <c r="ED236" i="24" s="1"/>
  <c r="EH236" i="24"/>
  <c r="FL230" i="24"/>
  <c r="EH230" i="24"/>
  <c r="EI230" i="24"/>
  <c r="EX230" i="24" s="1"/>
  <c r="EC230" i="24"/>
  <c r="ED230" i="24" s="1"/>
  <c r="FL309" i="24"/>
  <c r="EH309" i="24"/>
  <c r="EI309" i="24"/>
  <c r="EX309" i="24" s="1"/>
  <c r="EC309" i="24"/>
  <c r="ED309" i="24" s="1"/>
  <c r="FL258" i="24"/>
  <c r="EH258" i="24"/>
  <c r="EI258" i="24"/>
  <c r="EX258" i="24" s="1"/>
  <c r="EC258" i="24"/>
  <c r="ED258" i="24" s="1"/>
  <c r="FL223" i="24"/>
  <c r="EH223" i="24"/>
  <c r="EC223" i="24"/>
  <c r="ED223" i="24" s="1"/>
  <c r="EI223" i="24"/>
  <c r="EX223" i="24" s="1"/>
  <c r="FL249" i="24"/>
  <c r="EH249" i="24"/>
  <c r="EI249" i="24"/>
  <c r="EX249" i="24" s="1"/>
  <c r="EC249" i="24"/>
  <c r="ED249" i="24" s="1"/>
  <c r="EK242" i="24"/>
  <c r="EW242" i="24"/>
  <c r="EV299" i="25"/>
  <c r="FB299" i="25" s="1"/>
  <c r="EI299" i="25"/>
  <c r="EV252" i="25"/>
  <c r="FB252" i="25" s="1"/>
  <c r="EI252" i="25"/>
  <c r="EI308" i="25"/>
  <c r="EV308" i="25"/>
  <c r="FB308" i="25" s="1"/>
  <c r="EI281" i="25"/>
  <c r="EV281" i="25"/>
  <c r="FB281" i="25" s="1"/>
  <c r="EI274" i="25"/>
  <c r="EV274" i="25"/>
  <c r="FB274" i="25" s="1"/>
  <c r="EI300" i="25"/>
  <c r="EV300" i="25"/>
  <c r="FB300" i="25" s="1"/>
  <c r="EV303" i="25"/>
  <c r="FB303" i="25" s="1"/>
  <c r="EI303" i="25"/>
  <c r="EI296" i="25"/>
  <c r="EV296" i="25"/>
  <c r="FB296" i="25" s="1"/>
  <c r="EV228" i="25"/>
  <c r="FB228" i="25" s="1"/>
  <c r="EI228" i="25"/>
  <c r="EI219" i="25"/>
  <c r="EV219" i="25"/>
  <c r="FB219" i="25" s="1"/>
  <c r="EI315" i="25"/>
  <c r="EV315" i="25"/>
  <c r="FB315" i="25" s="1"/>
  <c r="EI291" i="25"/>
  <c r="EV291" i="25"/>
  <c r="FB291" i="25" s="1"/>
  <c r="EI292" i="25"/>
  <c r="EV292" i="25"/>
  <c r="FB292" i="25" s="1"/>
  <c r="EI283" i="25"/>
  <c r="EV283" i="25"/>
  <c r="FB283" i="25" s="1"/>
  <c r="EI279" i="25"/>
  <c r="EV279" i="25"/>
  <c r="FB279" i="25" s="1"/>
  <c r="EV298" i="25"/>
  <c r="FB298" i="25" s="1"/>
  <c r="EI298" i="25"/>
  <c r="EI251" i="25"/>
  <c r="EV251" i="25"/>
  <c r="FB251" i="25" s="1"/>
  <c r="EI259" i="25"/>
  <c r="EV259" i="25"/>
  <c r="FB259" i="25" s="1"/>
  <c r="EV266" i="25"/>
  <c r="FB266" i="25" s="1"/>
  <c r="EI266" i="25"/>
  <c r="EI242" i="25"/>
  <c r="EV242" i="25"/>
  <c r="FB242" i="25" s="1"/>
  <c r="EV290" i="25"/>
  <c r="FB290" i="25" s="1"/>
  <c r="EI290" i="25"/>
  <c r="EI301" i="25"/>
  <c r="EV301" i="25"/>
  <c r="FB301" i="25" s="1"/>
  <c r="EV295" i="25"/>
  <c r="FB295" i="25" s="1"/>
  <c r="EI295" i="25"/>
  <c r="EI218" i="25"/>
  <c r="EV218" i="25"/>
  <c r="FB218" i="25" s="1"/>
  <c r="EI286" i="25"/>
  <c r="EV286" i="25"/>
  <c r="FB286" i="25" s="1"/>
  <c r="EI227" i="25"/>
  <c r="EV227" i="25"/>
  <c r="FB227" i="25" s="1"/>
  <c r="EI258" i="25"/>
  <c r="EV258" i="25"/>
  <c r="FB258" i="25" s="1"/>
  <c r="EI253" i="25"/>
  <c r="EV253" i="25"/>
  <c r="FB253" i="25" s="1"/>
  <c r="EV282" i="25"/>
  <c r="FB282" i="25" s="1"/>
  <c r="EI282" i="25"/>
  <c r="EI278" i="25"/>
  <c r="EV278" i="25"/>
  <c r="FB278" i="25" s="1"/>
  <c r="EV223" i="25"/>
  <c r="FB223" i="25" s="1"/>
  <c r="EI223" i="25"/>
  <c r="EV239" i="25"/>
  <c r="FB239" i="25" s="1"/>
  <c r="EI239" i="25"/>
  <c r="EI275" i="25"/>
  <c r="EV275" i="25"/>
  <c r="FB275" i="25" s="1"/>
  <c r="EI294" i="25"/>
  <c r="EV294" i="25"/>
  <c r="FB294" i="25" s="1"/>
  <c r="EI225" i="25"/>
  <c r="EV225" i="25"/>
  <c r="FB225" i="25" s="1"/>
  <c r="EV316" i="25"/>
  <c r="FB316" i="25" s="1"/>
  <c r="EI316" i="25"/>
  <c r="EI243" i="25"/>
  <c r="EV243" i="25"/>
  <c r="FB243" i="25" s="1"/>
  <c r="EV268" i="25"/>
  <c r="FB268" i="25" s="1"/>
  <c r="EI268" i="25"/>
  <c r="EV249" i="25"/>
  <c r="FB249" i="25" s="1"/>
  <c r="EI249" i="25"/>
  <c r="EV270" i="25"/>
  <c r="FB270" i="25" s="1"/>
  <c r="EI270" i="25"/>
  <c r="EI302" i="25"/>
  <c r="EV302" i="25"/>
  <c r="FB302" i="25" s="1"/>
  <c r="EI307" i="25"/>
  <c r="EV307" i="25"/>
  <c r="FB307" i="25" s="1"/>
  <c r="EI312" i="25"/>
  <c r="EV312" i="25"/>
  <c r="FB312" i="25" s="1"/>
  <c r="EI237" i="25"/>
  <c r="EV237" i="25"/>
  <c r="FB237" i="25" s="1"/>
  <c r="EV244" i="25"/>
  <c r="FB244" i="25" s="1"/>
  <c r="EI244" i="25"/>
  <c r="EI250" i="25"/>
  <c r="EV250" i="25"/>
  <c r="FB250" i="25" s="1"/>
  <c r="EI293" i="25"/>
  <c r="EV293" i="25"/>
  <c r="FB293" i="25" s="1"/>
  <c r="EV267" i="25"/>
  <c r="FB267" i="25" s="1"/>
  <c r="EI267" i="25"/>
  <c r="EI261" i="25"/>
  <c r="EV261" i="25"/>
  <c r="FB261" i="25" s="1"/>
  <c r="EV313" i="25"/>
  <c r="FB313" i="25" s="1"/>
  <c r="EI313" i="25"/>
  <c r="EI232" i="25"/>
  <c r="EV232" i="25"/>
  <c r="FB232" i="25" s="1"/>
  <c r="EV263" i="25"/>
  <c r="FB263" i="25" s="1"/>
  <c r="EI263" i="25"/>
  <c r="EV305" i="25"/>
  <c r="FB305" i="25" s="1"/>
  <c r="EI305" i="25"/>
  <c r="EI231" i="25"/>
  <c r="EV231" i="25"/>
  <c r="FB231" i="25" s="1"/>
  <c r="EV246" i="25"/>
  <c r="FB246" i="25" s="1"/>
  <c r="EI246" i="25"/>
  <c r="EV230" i="25"/>
  <c r="FB230" i="25" s="1"/>
  <c r="EI230" i="25"/>
  <c r="EI262" i="25"/>
  <c r="EV262" i="25"/>
  <c r="FB262" i="25" s="1"/>
  <c r="EI285" i="25"/>
  <c r="EV285" i="25"/>
  <c r="FB285" i="25" s="1"/>
  <c r="EI310" i="25"/>
  <c r="EV310" i="25"/>
  <c r="FB310" i="25" s="1"/>
  <c r="EI280" i="25"/>
  <c r="EV280" i="25"/>
  <c r="FB280" i="25" s="1"/>
  <c r="EI289" i="25"/>
  <c r="EV289" i="25"/>
  <c r="FB289" i="25" s="1"/>
  <c r="EV271" i="25"/>
  <c r="FB271" i="25" s="1"/>
  <c r="EI271" i="25"/>
  <c r="EI222" i="25"/>
  <c r="EV222" i="25"/>
  <c r="FB222" i="25" s="1"/>
  <c r="EI240" i="25"/>
  <c r="EV240" i="25"/>
  <c r="FB240" i="25" s="1"/>
  <c r="EI229" i="25"/>
  <c r="EV229" i="25"/>
  <c r="FB229" i="25" s="1"/>
  <c r="EI241" i="25"/>
  <c r="EV241" i="25"/>
  <c r="FB241" i="25" s="1"/>
  <c r="EI226" i="25"/>
  <c r="EV226" i="25"/>
  <c r="FB226" i="25" s="1"/>
  <c r="EI304" i="25"/>
  <c r="EV304" i="25"/>
  <c r="FB304" i="25" s="1"/>
  <c r="EI272" i="25"/>
  <c r="EV272" i="25"/>
  <c r="FB272" i="25" s="1"/>
  <c r="EI288" i="25"/>
  <c r="EV288" i="25"/>
  <c r="FB288" i="25" s="1"/>
  <c r="EV264" i="25"/>
  <c r="FB264" i="25" s="1"/>
  <c r="EI264" i="25"/>
  <c r="EV306" i="25"/>
  <c r="FB306" i="25" s="1"/>
  <c r="EI306" i="25"/>
  <c r="EI255" i="25"/>
  <c r="EV255" i="25"/>
  <c r="FB255" i="25" s="1"/>
  <c r="EV314" i="25"/>
  <c r="FB314" i="25" s="1"/>
  <c r="EI314" i="25"/>
  <c r="EI224" i="25"/>
  <c r="EV224" i="25"/>
  <c r="FB224" i="25" s="1"/>
  <c r="EV221" i="25"/>
  <c r="FB221" i="25" s="1"/>
  <c r="EI221" i="25"/>
  <c r="EV311" i="25"/>
  <c r="FB311" i="25" s="1"/>
  <c r="EI311" i="25"/>
  <c r="EV257" i="25"/>
  <c r="FB257" i="25" s="1"/>
  <c r="EI257" i="25"/>
  <c r="EV287" i="25"/>
  <c r="FB287" i="25" s="1"/>
  <c r="EI287" i="25"/>
  <c r="EI297" i="25"/>
  <c r="EV297" i="25"/>
  <c r="FB297" i="25" s="1"/>
  <c r="EV284" i="25"/>
  <c r="FB284" i="25" s="1"/>
  <c r="EI284" i="25"/>
  <c r="EV238" i="25"/>
  <c r="FB238" i="25" s="1"/>
  <c r="EI238" i="25"/>
  <c r="EV236" i="25"/>
  <c r="FB236" i="25" s="1"/>
  <c r="EI236" i="25"/>
  <c r="EV260" i="25"/>
  <c r="FB260" i="25" s="1"/>
  <c r="EI260" i="25"/>
  <c r="EV273" i="25"/>
  <c r="FB273" i="25" s="1"/>
  <c r="EI273" i="25"/>
  <c r="EI248" i="25"/>
  <c r="EV248" i="25"/>
  <c r="FB248" i="25" s="1"/>
  <c r="EV245" i="25"/>
  <c r="FB245" i="25" s="1"/>
  <c r="EI245" i="25"/>
  <c r="EI309" i="25"/>
  <c r="EV309" i="25"/>
  <c r="FB309" i="25" s="1"/>
  <c r="EV269" i="25"/>
  <c r="FB269" i="25" s="1"/>
  <c r="EI269" i="25"/>
  <c r="EV220" i="25"/>
  <c r="FB220" i="25" s="1"/>
  <c r="EI220" i="25"/>
  <c r="EV234" i="25"/>
  <c r="FB234" i="25" s="1"/>
  <c r="EI234" i="25"/>
  <c r="EV256" i="25"/>
  <c r="FB256" i="25" s="1"/>
  <c r="EI256" i="25"/>
  <c r="EV277" i="25"/>
  <c r="FB277" i="25" s="1"/>
  <c r="EI277" i="25"/>
  <c r="EI247" i="25"/>
  <c r="EV247" i="25"/>
  <c r="FB247" i="25" s="1"/>
  <c r="EV233" i="25"/>
  <c r="FB233" i="25" s="1"/>
  <c r="EI233" i="25"/>
  <c r="EV276" i="25"/>
  <c r="FB276" i="25" s="1"/>
  <c r="EI276" i="25"/>
  <c r="EV265" i="25"/>
  <c r="FB265" i="25" s="1"/>
  <c r="EI265" i="25"/>
  <c r="EV254" i="25"/>
  <c r="FB254" i="25" s="1"/>
  <c r="EI254" i="25"/>
  <c r="EI217" i="25"/>
  <c r="EV217" i="25"/>
  <c r="FB217" i="25" s="1"/>
  <c r="EI235" i="25"/>
  <c r="EV235" i="25"/>
  <c r="FB235" i="25" s="1"/>
  <c r="CG78" i="24"/>
  <c r="EC74" i="24"/>
  <c r="ED74" i="24" s="1"/>
  <c r="EI112" i="25"/>
  <c r="EV112" i="25"/>
  <c r="FB112" i="25" s="1"/>
  <c r="EI103" i="25"/>
  <c r="EO103" i="25" s="1"/>
  <c r="EP103" i="25" s="1"/>
  <c r="EH74" i="24"/>
  <c r="EW74" i="24" s="1"/>
  <c r="BK110" i="24"/>
  <c r="EI74" i="24"/>
  <c r="EX74" i="24" s="1"/>
  <c r="EI64" i="25"/>
  <c r="EO64" i="25" s="1"/>
  <c r="EP64" i="25" s="1"/>
  <c r="CG89" i="24"/>
  <c r="FL89" i="24"/>
  <c r="CG149" i="24"/>
  <c r="FL149" i="24"/>
  <c r="CG120" i="24"/>
  <c r="FL120" i="24"/>
  <c r="CG93" i="24"/>
  <c r="FL93" i="24"/>
  <c r="CG135" i="24"/>
  <c r="FL135" i="24"/>
  <c r="CG193" i="24"/>
  <c r="FL193" i="24"/>
  <c r="CG38" i="24"/>
  <c r="FL38" i="24"/>
  <c r="CG171" i="24"/>
  <c r="FL171" i="24"/>
  <c r="CG207" i="24"/>
  <c r="FL207" i="24"/>
  <c r="CG173" i="24"/>
  <c r="FL173" i="24"/>
  <c r="CG27" i="24"/>
  <c r="FL27" i="24"/>
  <c r="CG167" i="24"/>
  <c r="FL167" i="24"/>
  <c r="CG22" i="24"/>
  <c r="FL22" i="24"/>
  <c r="CG197" i="24"/>
  <c r="FL197" i="24"/>
  <c r="CG41" i="24"/>
  <c r="FL41" i="24"/>
  <c r="CG26" i="24"/>
  <c r="FL26" i="24"/>
  <c r="CG128" i="24"/>
  <c r="FL128" i="24"/>
  <c r="EC23" i="24"/>
  <c r="ED23" i="24" s="1"/>
  <c r="FL23" i="24"/>
  <c r="CG13" i="24"/>
  <c r="FL13" i="24"/>
  <c r="CG132" i="24"/>
  <c r="FL132" i="24"/>
  <c r="CG160" i="24"/>
  <c r="FL160" i="24"/>
  <c r="CG186" i="24"/>
  <c r="FL186" i="24"/>
  <c r="CG52" i="24"/>
  <c r="FL52" i="24"/>
  <c r="CG144" i="24"/>
  <c r="FL144" i="24"/>
  <c r="CG208" i="24"/>
  <c r="FL208" i="24"/>
  <c r="CG145" i="24"/>
  <c r="FL145" i="24"/>
  <c r="CG53" i="24"/>
  <c r="FL53" i="24"/>
  <c r="CG168" i="24"/>
  <c r="FL168" i="24"/>
  <c r="CG87" i="24"/>
  <c r="FL87" i="24"/>
  <c r="CG100" i="24"/>
  <c r="FL100" i="24"/>
  <c r="CG15" i="24"/>
  <c r="FL15" i="24"/>
  <c r="CG16" i="24"/>
  <c r="FL16" i="24"/>
  <c r="CG148" i="24"/>
  <c r="FL148" i="24"/>
  <c r="CG51" i="24"/>
  <c r="FL51" i="24"/>
  <c r="CG182" i="24"/>
  <c r="FL182" i="24"/>
  <c r="CG174" i="24"/>
  <c r="FL174" i="24"/>
  <c r="CG152" i="24"/>
  <c r="FL152" i="24"/>
  <c r="CG147" i="24"/>
  <c r="FL147" i="24"/>
  <c r="EH67" i="24"/>
  <c r="EW67" i="24" s="1"/>
  <c r="FL67" i="24"/>
  <c r="EZ47" i="25"/>
  <c r="FB47" i="25" s="1"/>
  <c r="CG37" i="24"/>
  <c r="FL37" i="24"/>
  <c r="CG60" i="24"/>
  <c r="FL60" i="24"/>
  <c r="CG191" i="24"/>
  <c r="FL191" i="24"/>
  <c r="CG118" i="24"/>
  <c r="FL118" i="24"/>
  <c r="CG18" i="24"/>
  <c r="FL18" i="24"/>
  <c r="CG61" i="24"/>
  <c r="FL61" i="24"/>
  <c r="CG21" i="24"/>
  <c r="FL21" i="24"/>
  <c r="CG7" i="24"/>
  <c r="FL7" i="24"/>
  <c r="CG36" i="24"/>
  <c r="FL36" i="24"/>
  <c r="CG42" i="24"/>
  <c r="FL42" i="24"/>
  <c r="CG117" i="24"/>
  <c r="FL117" i="24"/>
  <c r="CG158" i="24"/>
  <c r="FL158" i="24"/>
  <c r="CG102" i="24"/>
  <c r="FL102" i="24"/>
  <c r="CG84" i="24"/>
  <c r="FL84" i="24"/>
  <c r="CG179" i="24"/>
  <c r="FL179" i="24"/>
  <c r="CG137" i="24"/>
  <c r="FL137" i="24"/>
  <c r="EI43" i="24"/>
  <c r="EX43" i="24" s="1"/>
  <c r="FL43" i="24"/>
  <c r="EC40" i="24"/>
  <c r="ED40" i="24" s="1"/>
  <c r="FL40" i="24"/>
  <c r="CG124" i="24"/>
  <c r="FL124" i="24"/>
  <c r="CG48" i="24"/>
  <c r="FL48" i="24"/>
  <c r="CG55" i="24"/>
  <c r="FL55" i="24"/>
  <c r="CG94" i="24"/>
  <c r="FL94" i="24"/>
  <c r="CG178" i="24"/>
  <c r="FL178" i="24"/>
  <c r="CG194" i="24"/>
  <c r="FL194" i="24"/>
  <c r="CG121" i="24"/>
  <c r="FL121" i="24"/>
  <c r="CG165" i="24"/>
  <c r="FL165" i="24"/>
  <c r="CG82" i="24"/>
  <c r="FL82" i="24"/>
  <c r="CG164" i="24"/>
  <c r="FL164" i="24"/>
  <c r="CG46" i="24"/>
  <c r="FL46" i="24"/>
  <c r="CG140" i="24"/>
  <c r="FL140" i="24"/>
  <c r="CG205" i="24"/>
  <c r="FL205" i="24"/>
  <c r="CG47" i="24"/>
  <c r="FL47" i="24"/>
  <c r="CG157" i="24"/>
  <c r="FL157" i="24"/>
  <c r="CG103" i="24"/>
  <c r="FL103" i="24"/>
  <c r="CG188" i="24"/>
  <c r="FL188" i="24"/>
  <c r="CG151" i="24"/>
  <c r="FL151" i="24"/>
  <c r="CG156" i="24"/>
  <c r="FL156" i="24"/>
  <c r="CG73" i="24"/>
  <c r="FL73" i="24"/>
  <c r="CG20" i="24"/>
  <c r="FL20" i="24"/>
  <c r="CG85" i="24"/>
  <c r="FL85" i="24"/>
  <c r="CG19" i="24"/>
  <c r="FL19" i="24"/>
  <c r="CG95" i="24"/>
  <c r="FL95" i="24"/>
  <c r="CG123" i="24"/>
  <c r="FL123" i="24"/>
  <c r="CG6" i="24"/>
  <c r="FL6" i="24"/>
  <c r="EH77" i="24"/>
  <c r="EW77" i="24" s="1"/>
  <c r="FL77" i="24"/>
  <c r="CG111" i="24"/>
  <c r="FL111" i="24"/>
  <c r="CG133" i="24"/>
  <c r="FL133" i="24"/>
  <c r="CG44" i="24"/>
  <c r="FL44" i="24"/>
  <c r="CG79" i="24"/>
  <c r="FL79" i="24"/>
  <c r="CG203" i="24"/>
  <c r="FL203" i="24"/>
  <c r="CG130" i="24"/>
  <c r="FL130" i="24"/>
  <c r="CG183" i="24"/>
  <c r="FL183" i="24"/>
  <c r="CG57" i="24"/>
  <c r="FL57" i="24"/>
  <c r="CG80" i="24"/>
  <c r="FL80" i="24"/>
  <c r="CG54" i="24"/>
  <c r="FL54" i="24"/>
  <c r="CG97" i="24"/>
  <c r="FL97" i="24"/>
  <c r="CG65" i="24"/>
  <c r="FL65" i="24"/>
  <c r="CG198" i="24"/>
  <c r="FL198" i="24"/>
  <c r="CG187" i="24"/>
  <c r="FL187" i="24"/>
  <c r="CG131" i="24"/>
  <c r="FL131" i="24"/>
  <c r="CG163" i="24"/>
  <c r="FL163" i="24"/>
  <c r="CG129" i="24"/>
  <c r="FL129" i="24"/>
  <c r="CG68" i="24"/>
  <c r="FL68" i="24"/>
  <c r="CG64" i="24"/>
  <c r="FL64" i="24"/>
  <c r="CG34" i="24"/>
  <c r="FL34" i="24"/>
  <c r="CG115" i="24"/>
  <c r="FL115" i="24"/>
  <c r="CG116" i="24"/>
  <c r="FL116" i="24"/>
  <c r="CG138" i="24"/>
  <c r="FL138" i="24"/>
  <c r="CG125" i="24"/>
  <c r="FL125" i="24"/>
  <c r="CG175" i="24"/>
  <c r="FL175" i="24"/>
  <c r="CG200" i="24"/>
  <c r="FL200" i="24"/>
  <c r="CG105" i="24"/>
  <c r="FL105" i="24"/>
  <c r="CG189" i="24"/>
  <c r="FL189" i="24"/>
  <c r="CG9" i="24"/>
  <c r="FL9" i="24"/>
  <c r="CG139" i="24"/>
  <c r="FL139" i="24"/>
  <c r="CG206" i="24"/>
  <c r="FL206" i="24"/>
  <c r="CG161" i="24"/>
  <c r="FL161" i="24"/>
  <c r="CG31" i="24"/>
  <c r="FL31" i="24"/>
  <c r="CG28" i="24"/>
  <c r="FL28" i="24"/>
  <c r="CG10" i="24"/>
  <c r="FL10" i="24"/>
  <c r="EI136" i="24"/>
  <c r="EX136" i="24" s="1"/>
  <c r="FL136" i="24"/>
  <c r="EH142" i="24"/>
  <c r="EW142" i="24" s="1"/>
  <c r="FL142" i="24"/>
  <c r="CG63" i="24"/>
  <c r="FL63" i="24"/>
  <c r="CG90" i="24"/>
  <c r="FL90" i="24"/>
  <c r="CG39" i="24"/>
  <c r="FL39" i="24"/>
  <c r="CG8" i="24"/>
  <c r="FL8" i="24"/>
  <c r="CG210" i="24"/>
  <c r="FL210" i="24"/>
  <c r="CG56" i="24"/>
  <c r="FL56" i="24"/>
  <c r="CG12" i="24"/>
  <c r="FL12" i="24"/>
  <c r="CG25" i="24"/>
  <c r="FL25" i="24"/>
  <c r="CG35" i="24"/>
  <c r="FL35" i="24"/>
  <c r="CG91" i="24"/>
  <c r="FL91" i="24"/>
  <c r="CG119" i="24"/>
  <c r="FL119" i="24"/>
  <c r="CG59" i="24"/>
  <c r="FL59" i="24"/>
  <c r="CG17" i="24"/>
  <c r="FL17" i="24"/>
  <c r="CG101" i="24"/>
  <c r="FL101" i="24"/>
  <c r="CG72" i="24"/>
  <c r="FL72" i="24"/>
  <c r="CG70" i="24"/>
  <c r="FL70" i="24"/>
  <c r="CG204" i="24"/>
  <c r="FL204" i="24"/>
  <c r="CG166" i="24"/>
  <c r="FL166" i="24"/>
  <c r="CG75" i="24"/>
  <c r="FL75" i="24"/>
  <c r="CG162" i="24"/>
  <c r="FL162" i="24"/>
  <c r="CG196" i="24"/>
  <c r="FL196" i="24"/>
  <c r="CG49" i="24"/>
  <c r="FL49" i="24"/>
  <c r="CG86" i="24"/>
  <c r="FL86" i="24"/>
  <c r="CG66" i="24"/>
  <c r="FL66" i="24"/>
  <c r="CG45" i="24"/>
  <c r="FL45" i="24"/>
  <c r="CG181" i="24"/>
  <c r="FL181" i="24"/>
  <c r="CG180" i="24"/>
  <c r="FL180" i="24"/>
  <c r="CG143" i="24"/>
  <c r="FL143" i="24"/>
  <c r="CG88" i="24"/>
  <c r="FL88" i="24"/>
  <c r="CG76" i="24"/>
  <c r="FL76" i="24"/>
  <c r="CG122" i="24"/>
  <c r="FL122" i="24"/>
  <c r="CG202" i="24"/>
  <c r="FL202" i="24"/>
  <c r="CG177" i="24"/>
  <c r="FL177" i="24"/>
  <c r="CG195" i="24"/>
  <c r="FL195" i="24"/>
  <c r="CG146" i="24"/>
  <c r="FL146" i="24"/>
  <c r="CG69" i="24"/>
  <c r="FL69" i="24"/>
  <c r="EH159" i="24"/>
  <c r="EW159" i="24" s="1"/>
  <c r="FL159" i="24"/>
  <c r="EC62" i="24"/>
  <c r="ED62" i="24" s="1"/>
  <c r="FL62" i="24"/>
  <c r="CG170" i="24"/>
  <c r="FL170" i="24"/>
  <c r="CG199" i="24"/>
  <c r="FL199" i="24"/>
  <c r="CG71" i="24"/>
  <c r="FL71" i="24"/>
  <c r="CG126" i="24"/>
  <c r="FL126" i="24"/>
  <c r="EC169" i="24"/>
  <c r="ED169" i="24" s="1"/>
  <c r="FL169" i="24"/>
  <c r="CG153" i="24"/>
  <c r="FL153" i="24"/>
  <c r="CG113" i="24"/>
  <c r="FL113" i="24"/>
  <c r="CG11" i="24"/>
  <c r="FL11" i="24"/>
  <c r="CG185" i="24"/>
  <c r="FL185" i="24"/>
  <c r="CG99" i="24"/>
  <c r="FL99" i="24"/>
  <c r="CG30" i="24"/>
  <c r="FL30" i="24"/>
  <c r="CG154" i="24"/>
  <c r="FL154" i="24"/>
  <c r="CG24" i="24"/>
  <c r="FL24" i="24"/>
  <c r="CG112" i="24"/>
  <c r="FL112" i="24"/>
  <c r="CG150" i="24"/>
  <c r="FL150" i="24"/>
  <c r="CG33" i="24"/>
  <c r="FL33" i="24"/>
  <c r="CG184" i="24"/>
  <c r="FL184" i="24"/>
  <c r="CG176" i="24"/>
  <c r="FL176" i="24"/>
  <c r="CG98" i="24"/>
  <c r="FL98" i="24"/>
  <c r="CG155" i="24"/>
  <c r="FL155" i="24"/>
  <c r="CG58" i="24"/>
  <c r="FL58" i="24"/>
  <c r="CG50" i="24"/>
  <c r="FL50" i="24"/>
  <c r="CG114" i="24"/>
  <c r="FL114" i="24"/>
  <c r="CG209" i="24"/>
  <c r="FL209" i="24"/>
  <c r="CG32" i="24"/>
  <c r="FL32" i="24"/>
  <c r="CG141" i="24"/>
  <c r="FL141" i="24"/>
  <c r="CG201" i="24"/>
  <c r="FL201" i="24"/>
  <c r="EI29" i="24"/>
  <c r="EX29" i="24" s="1"/>
  <c r="FL29" i="24"/>
  <c r="CG192" i="24"/>
  <c r="FL192" i="24"/>
  <c r="CG104" i="24"/>
  <c r="FL104" i="24"/>
  <c r="EI39" i="24"/>
  <c r="EX39" i="24" s="1"/>
  <c r="EH39" i="24"/>
  <c r="EW39" i="24" s="1"/>
  <c r="EC39" i="24"/>
  <c r="ED39" i="24" s="1"/>
  <c r="EI92" i="24"/>
  <c r="EX92" i="24" s="1"/>
  <c r="CG74" i="24"/>
  <c r="EH132" i="24"/>
  <c r="EK132" i="24" s="1"/>
  <c r="EH44" i="24"/>
  <c r="EW44" i="24" s="1"/>
  <c r="EC44" i="24"/>
  <c r="ED44" i="24" s="1"/>
  <c r="EI44" i="24"/>
  <c r="EX44" i="24" s="1"/>
  <c r="EV17" i="25"/>
  <c r="EZ17" i="25" s="1"/>
  <c r="FB17" i="25" s="1"/>
  <c r="EI33" i="25"/>
  <c r="EO33" i="25" s="1"/>
  <c r="EP33" i="25" s="1"/>
  <c r="EI169" i="24"/>
  <c r="EX169" i="24" s="1"/>
  <c r="EH169" i="24"/>
  <c r="CG169" i="24"/>
  <c r="EI132" i="24"/>
  <c r="EX132" i="24" s="1"/>
  <c r="EH160" i="24"/>
  <c r="EK160" i="24" s="1"/>
  <c r="EI160" i="24"/>
  <c r="EX160" i="24" s="1"/>
  <c r="EI127" i="24"/>
  <c r="EX127" i="24" s="1"/>
  <c r="EC160" i="24"/>
  <c r="ED160" i="24" s="1"/>
  <c r="EC132" i="24"/>
  <c r="ED132" i="24" s="1"/>
  <c r="EV164" i="25"/>
  <c r="FB164" i="25" s="1"/>
  <c r="EC52" i="24"/>
  <c r="ED52" i="24" s="1"/>
  <c r="EI52" i="24"/>
  <c r="EX52" i="24" s="1"/>
  <c r="EH52" i="24"/>
  <c r="EW52" i="24" s="1"/>
  <c r="EI133" i="24"/>
  <c r="EX133" i="24" s="1"/>
  <c r="EC133" i="24"/>
  <c r="ED133" i="24" s="1"/>
  <c r="EH133" i="24"/>
  <c r="EW133" i="24" s="1"/>
  <c r="EC104" i="24"/>
  <c r="ED104" i="24" s="1"/>
  <c r="EC37" i="24"/>
  <c r="ED37" i="24" s="1"/>
  <c r="EZ103" i="25"/>
  <c r="FB103" i="25" s="1"/>
  <c r="EC127" i="24"/>
  <c r="ED127" i="24" s="1"/>
  <c r="EI58" i="25"/>
  <c r="EO58" i="25" s="1"/>
  <c r="EP58" i="25" s="1"/>
  <c r="EH152" i="24"/>
  <c r="EK152" i="24" s="1"/>
  <c r="EZ64" i="25"/>
  <c r="FB64" i="25" s="1"/>
  <c r="EI77" i="25"/>
  <c r="EO77" i="25" s="1"/>
  <c r="EP77" i="25" s="1"/>
  <c r="EH127" i="24"/>
  <c r="EK127" i="24" s="1"/>
  <c r="CG127" i="24"/>
  <c r="EI55" i="24"/>
  <c r="EX55" i="24" s="1"/>
  <c r="EH83" i="24"/>
  <c r="EK83" i="24" s="1"/>
  <c r="EQ83" i="24" s="1"/>
  <c r="EZ89" i="25"/>
  <c r="FB89" i="25" s="1"/>
  <c r="EH48" i="24"/>
  <c r="EK48" i="24" s="1"/>
  <c r="EQ48" i="24" s="1"/>
  <c r="EZ96" i="25"/>
  <c r="FB96" i="25" s="1"/>
  <c r="EH37" i="24"/>
  <c r="EK37" i="24" s="1"/>
  <c r="EQ37" i="24" s="1"/>
  <c r="EI37" i="24"/>
  <c r="EX37" i="24" s="1"/>
  <c r="EV90" i="25"/>
  <c r="EZ90" i="25" s="1"/>
  <c r="FB90" i="25" s="1"/>
  <c r="EI172" i="24"/>
  <c r="EX172" i="24" s="1"/>
  <c r="EI96" i="25"/>
  <c r="EO96" i="25" s="1"/>
  <c r="EI183" i="25"/>
  <c r="EP183" i="25" s="1"/>
  <c r="EH29" i="24"/>
  <c r="EK29" i="24" s="1"/>
  <c r="EQ29" i="24" s="1"/>
  <c r="EI201" i="24"/>
  <c r="EX201" i="24" s="1"/>
  <c r="EI128" i="25"/>
  <c r="EP128" i="25" s="1"/>
  <c r="EV145" i="25"/>
  <c r="FB145" i="25" s="1"/>
  <c r="EH126" i="24"/>
  <c r="EK126" i="24" s="1"/>
  <c r="FB183" i="25"/>
  <c r="EI99" i="25"/>
  <c r="EO99" i="25" s="1"/>
  <c r="EP99" i="25" s="1"/>
  <c r="EI126" i="24"/>
  <c r="EX126" i="24" s="1"/>
  <c r="EC126" i="24"/>
  <c r="ED126" i="24" s="1"/>
  <c r="FB128" i="25"/>
  <c r="EH63" i="24"/>
  <c r="EW63" i="24" s="1"/>
  <c r="EV185" i="25"/>
  <c r="FB185" i="25" s="1"/>
  <c r="EC111" i="24"/>
  <c r="ED111" i="24" s="1"/>
  <c r="EC63" i="24"/>
  <c r="ED63" i="24" s="1"/>
  <c r="EH30" i="24"/>
  <c r="EK30" i="24" s="1"/>
  <c r="EQ30" i="24" s="1"/>
  <c r="EI63" i="24"/>
  <c r="EX63" i="24" s="1"/>
  <c r="EI30" i="24"/>
  <c r="EX30" i="24" s="1"/>
  <c r="EC30" i="24"/>
  <c r="ED30" i="24" s="1"/>
  <c r="EI83" i="24"/>
  <c r="EX83" i="24" s="1"/>
  <c r="EH111" i="24"/>
  <c r="EW111" i="24" s="1"/>
  <c r="EI111" i="24"/>
  <c r="EX111" i="24" s="1"/>
  <c r="EI47" i="25"/>
  <c r="EO47" i="25" s="1"/>
  <c r="EI37" i="25"/>
  <c r="EO37" i="25" s="1"/>
  <c r="EP37" i="25" s="1"/>
  <c r="EZ33" i="25"/>
  <c r="FB33" i="25" s="1"/>
  <c r="EZ95" i="25"/>
  <c r="FB95" i="25" s="1"/>
  <c r="EZ97" i="25"/>
  <c r="FB97" i="25" s="1"/>
  <c r="FB158" i="25"/>
  <c r="EI81" i="24"/>
  <c r="EX81" i="24" s="1"/>
  <c r="EH71" i="24"/>
  <c r="EK71" i="24" s="1"/>
  <c r="EQ71" i="24" s="1"/>
  <c r="EI95" i="25"/>
  <c r="EO95" i="25" s="1"/>
  <c r="EI74" i="25"/>
  <c r="EO74" i="25" s="1"/>
  <c r="EP74" i="25" s="1"/>
  <c r="EI97" i="25"/>
  <c r="EO97" i="25" s="1"/>
  <c r="EP97" i="25" s="1"/>
  <c r="EI158" i="25"/>
  <c r="FC158" i="25" s="1"/>
  <c r="FE158" i="25" s="1"/>
  <c r="FF158" i="25" s="1"/>
  <c r="EI93" i="25"/>
  <c r="EO93" i="25" s="1"/>
  <c r="EP93" i="25" s="1"/>
  <c r="FB131" i="25"/>
  <c r="EI131" i="25"/>
  <c r="EP131" i="25" s="1"/>
  <c r="EZ99" i="25"/>
  <c r="FB99" i="25" s="1"/>
  <c r="FC182" i="25"/>
  <c r="FE182" i="25" s="1"/>
  <c r="FF182" i="25" s="1"/>
  <c r="EC172" i="24"/>
  <c r="ED172" i="24" s="1"/>
  <c r="CG172" i="24"/>
  <c r="EZ58" i="25"/>
  <c r="FB58" i="25" s="1"/>
  <c r="EH172" i="24"/>
  <c r="EW172" i="24" s="1"/>
  <c r="EI71" i="24"/>
  <c r="EX71" i="24" s="1"/>
  <c r="EZ74" i="25"/>
  <c r="FB74" i="25" s="1"/>
  <c r="EC71" i="24"/>
  <c r="ED71" i="24" s="1"/>
  <c r="EZ93" i="25"/>
  <c r="FB93" i="25" s="1"/>
  <c r="EI173" i="25"/>
  <c r="EP173" i="25" s="1"/>
  <c r="EI137" i="25"/>
  <c r="FC137" i="25" s="1"/>
  <c r="FE137" i="25" s="1"/>
  <c r="FF137" i="25" s="1"/>
  <c r="EV42" i="25"/>
  <c r="EZ42" i="25" s="1"/>
  <c r="FB42" i="25" s="1"/>
  <c r="EI192" i="24"/>
  <c r="EX192" i="24" s="1"/>
  <c r="CG275" i="24"/>
  <c r="CG265" i="24"/>
  <c r="I216" i="24"/>
  <c r="EC192" i="24"/>
  <c r="ED192" i="24" s="1"/>
  <c r="CG240" i="24"/>
  <c r="CG14" i="24"/>
  <c r="CG29" i="24"/>
  <c r="CG252" i="24"/>
  <c r="EI104" i="24"/>
  <c r="EX104" i="24" s="1"/>
  <c r="EH192" i="24"/>
  <c r="EW192" i="24" s="1"/>
  <c r="EV56" i="25"/>
  <c r="EZ56" i="25" s="1"/>
  <c r="FB56" i="25" s="1"/>
  <c r="CG277" i="24"/>
  <c r="CG239" i="24"/>
  <c r="CG293" i="24"/>
  <c r="CG278" i="24"/>
  <c r="CG249" i="24"/>
  <c r="EH104" i="24"/>
  <c r="EK104" i="24" s="1"/>
  <c r="EQ104" i="24" s="1"/>
  <c r="CG297" i="24"/>
  <c r="EZ73" i="25"/>
  <c r="FB73" i="25" s="1"/>
  <c r="EH90" i="24"/>
  <c r="EC90" i="24"/>
  <c r="ED90" i="24" s="1"/>
  <c r="EI90" i="24"/>
  <c r="EX90" i="24" s="1"/>
  <c r="CG251" i="24"/>
  <c r="CG290" i="24"/>
  <c r="CG232" i="24"/>
  <c r="CG222" i="24"/>
  <c r="CG272" i="24"/>
  <c r="CG40" i="24"/>
  <c r="CG62" i="24"/>
  <c r="CG254" i="24"/>
  <c r="CG260" i="24"/>
  <c r="CG219" i="24"/>
  <c r="CG269" i="24"/>
  <c r="CG231" i="24"/>
  <c r="CG223" i="24"/>
  <c r="CG314" i="24"/>
  <c r="CG83" i="24"/>
  <c r="CG264" i="24"/>
  <c r="CG292" i="24"/>
  <c r="CG263" i="24"/>
  <c r="CG281" i="24"/>
  <c r="CG77" i="24"/>
  <c r="CG273" i="24"/>
  <c r="CG271" i="24"/>
  <c r="CG230" i="24"/>
  <c r="CG258" i="24"/>
  <c r="CG234" i="24"/>
  <c r="CG298" i="24"/>
  <c r="CG283" i="24"/>
  <c r="CG142" i="24"/>
  <c r="CG227" i="24"/>
  <c r="CG228" i="24"/>
  <c r="CG287" i="24"/>
  <c r="CG279" i="24"/>
  <c r="CG303" i="24"/>
  <c r="CG315" i="24"/>
  <c r="CG246" i="24"/>
  <c r="CG244" i="24"/>
  <c r="CG304" i="24"/>
  <c r="CG256" i="24"/>
  <c r="CG81" i="24"/>
  <c r="CG253" i="24"/>
  <c r="CG312" i="24"/>
  <c r="CG274" i="24"/>
  <c r="CG309" i="24"/>
  <c r="CG276" i="24"/>
  <c r="CG313" i="24"/>
  <c r="CG316" i="24"/>
  <c r="CG302" i="24"/>
  <c r="EI142" i="24"/>
  <c r="EX142" i="24" s="1"/>
  <c r="EC136" i="24"/>
  <c r="ED136" i="24" s="1"/>
  <c r="CG301" i="24"/>
  <c r="CG307" i="24"/>
  <c r="CG218" i="24"/>
  <c r="CG257" i="24"/>
  <c r="CG295" i="24"/>
  <c r="CG268" i="24"/>
  <c r="CG294" i="24"/>
  <c r="CG220" i="24"/>
  <c r="CG308" i="24"/>
  <c r="CG289" i="24"/>
  <c r="CG267" i="24"/>
  <c r="CG224" i="24"/>
  <c r="CG262" i="24"/>
  <c r="CG235" i="24"/>
  <c r="CG259" i="24"/>
  <c r="CG221" i="24"/>
  <c r="EH40" i="24"/>
  <c r="EW40" i="24" s="1"/>
  <c r="EC142" i="24"/>
  <c r="ED142" i="24" s="1"/>
  <c r="EV156" i="25"/>
  <c r="FB156" i="25" s="1"/>
  <c r="CG229" i="24"/>
  <c r="CG136" i="24"/>
  <c r="CG238" i="24"/>
  <c r="CG241" i="24"/>
  <c r="CG261" i="24"/>
  <c r="CG236" i="24"/>
  <c r="CG255" i="24"/>
  <c r="CG226" i="24"/>
  <c r="CG282" i="24"/>
  <c r="CG233" i="24"/>
  <c r="CG280" i="24"/>
  <c r="CG310" i="24"/>
  <c r="CG306" i="24"/>
  <c r="CG300" i="24"/>
  <c r="CG225" i="24"/>
  <c r="CG250" i="24"/>
  <c r="CG43" i="24"/>
  <c r="EH136" i="24"/>
  <c r="EK136" i="24" s="1"/>
  <c r="EI73" i="25"/>
  <c r="EO73" i="25" s="1"/>
  <c r="EP73" i="25" s="1"/>
  <c r="CG134" i="24"/>
  <c r="CG247" i="24"/>
  <c r="CG296" i="24"/>
  <c r="CG311" i="24"/>
  <c r="CG286" i="24"/>
  <c r="CG217" i="24"/>
  <c r="CG237" i="24"/>
  <c r="CG270" i="24"/>
  <c r="CG305" i="24"/>
  <c r="CG291" i="24"/>
  <c r="CG23" i="24"/>
  <c r="CG288" i="24"/>
  <c r="CG248" i="24"/>
  <c r="CG284" i="24"/>
  <c r="CG299" i="24"/>
  <c r="CG159" i="24"/>
  <c r="CG266" i="24"/>
  <c r="CG245" i="24"/>
  <c r="CG67" i="24"/>
  <c r="EZ77" i="25"/>
  <c r="FB77" i="25" s="1"/>
  <c r="EI25" i="25"/>
  <c r="EO25" i="25" s="1"/>
  <c r="EP25" i="25" s="1"/>
  <c r="EZ37" i="25"/>
  <c r="FB37" i="25" s="1"/>
  <c r="EI40" i="24"/>
  <c r="EX40" i="24" s="1"/>
  <c r="EI48" i="24"/>
  <c r="EX48" i="24" s="1"/>
  <c r="EC83" i="24"/>
  <c r="ED83" i="24" s="1"/>
  <c r="EI129" i="25"/>
  <c r="EP129" i="25" s="1"/>
  <c r="EI186" i="24"/>
  <c r="EX186" i="24" s="1"/>
  <c r="EC48" i="24"/>
  <c r="ED48" i="24" s="1"/>
  <c r="EI34" i="25"/>
  <c r="EO34" i="25" s="1"/>
  <c r="EP34" i="25" s="1"/>
  <c r="EC43" i="24"/>
  <c r="ED43" i="24" s="1"/>
  <c r="EH186" i="24"/>
  <c r="EK186" i="24" s="1"/>
  <c r="EH43" i="24"/>
  <c r="EW43" i="24" s="1"/>
  <c r="EC186" i="24"/>
  <c r="ED186" i="24" s="1"/>
  <c r="EI9" i="25"/>
  <c r="EO9" i="25" s="1"/>
  <c r="EP9" i="25" s="1"/>
  <c r="EH170" i="24"/>
  <c r="EW170" i="24" s="1"/>
  <c r="EH99" i="24"/>
  <c r="EW99" i="24" s="1"/>
  <c r="EH55" i="24"/>
  <c r="EW55" i="24" s="1"/>
  <c r="EI170" i="24"/>
  <c r="EX170" i="24" s="1"/>
  <c r="EC55" i="24"/>
  <c r="ED55" i="24" s="1"/>
  <c r="EC170" i="24"/>
  <c r="ED170" i="24" s="1"/>
  <c r="EZ83" i="25"/>
  <c r="FB83" i="25" s="1"/>
  <c r="EH23" i="24"/>
  <c r="EW23" i="24" s="1"/>
  <c r="EH124" i="24"/>
  <c r="EK124" i="24" s="1"/>
  <c r="EI14" i="24"/>
  <c r="EX14" i="24" s="1"/>
  <c r="EC67" i="24"/>
  <c r="ED67" i="24" s="1"/>
  <c r="EI83" i="25"/>
  <c r="EO83" i="25" s="1"/>
  <c r="EP83" i="25" s="1"/>
  <c r="EC99" i="24"/>
  <c r="ED99" i="24" s="1"/>
  <c r="EH14" i="24"/>
  <c r="EW14" i="24" s="1"/>
  <c r="EI67" i="24"/>
  <c r="EX67" i="24" s="1"/>
  <c r="EC124" i="24"/>
  <c r="ED124" i="24" s="1"/>
  <c r="EI99" i="24"/>
  <c r="EX99" i="24" s="1"/>
  <c r="EI23" i="24"/>
  <c r="EX23" i="24" s="1"/>
  <c r="EC14" i="24"/>
  <c r="ED14" i="24" s="1"/>
  <c r="EI124" i="24"/>
  <c r="EX124" i="24" s="1"/>
  <c r="EI81" i="25"/>
  <c r="EO81" i="25" s="1"/>
  <c r="EP81" i="25" s="1"/>
  <c r="EV169" i="25"/>
  <c r="FC169" i="25" s="1"/>
  <c r="FE169" i="25" s="1"/>
  <c r="FF169" i="25" s="1"/>
  <c r="EI199" i="25"/>
  <c r="FC199" i="25" s="1"/>
  <c r="FE199" i="25" s="1"/>
  <c r="FF199" i="25" s="1"/>
  <c r="EI178" i="25"/>
  <c r="EP178" i="25" s="1"/>
  <c r="FB199" i="25"/>
  <c r="EV194" i="25"/>
  <c r="FB194" i="25" s="1"/>
  <c r="EI141" i="25"/>
  <c r="FC141" i="25" s="1"/>
  <c r="FE141" i="25" s="1"/>
  <c r="FF141" i="25" s="1"/>
  <c r="EV171" i="25"/>
  <c r="FB171" i="25" s="1"/>
  <c r="ER5" i="24"/>
  <c r="FC5" i="24"/>
  <c r="FE5" i="24" s="1"/>
  <c r="FF5" i="24" s="1"/>
  <c r="U110" i="24"/>
  <c r="N110" i="24"/>
  <c r="ER110" i="24"/>
  <c r="FC110" i="24"/>
  <c r="FE110" i="24" s="1"/>
  <c r="FF110" i="24" s="1"/>
  <c r="FB178" i="25"/>
  <c r="FB141" i="25"/>
  <c r="FB137" i="25"/>
  <c r="EC159" i="24"/>
  <c r="ED159" i="24" s="1"/>
  <c r="EI159" i="24"/>
  <c r="EX159" i="24" s="1"/>
  <c r="EI152" i="24"/>
  <c r="EX152" i="24" s="1"/>
  <c r="EC81" i="24"/>
  <c r="ED81" i="24" s="1"/>
  <c r="EC29" i="24"/>
  <c r="ED29" i="24" s="1"/>
  <c r="EC152" i="24"/>
  <c r="ED152" i="24" s="1"/>
  <c r="EZ81" i="25"/>
  <c r="FB81" i="25" s="1"/>
  <c r="EC199" i="24"/>
  <c r="ED199" i="24" s="1"/>
  <c r="EH199" i="24"/>
  <c r="EK199" i="24" s="1"/>
  <c r="EH147" i="24"/>
  <c r="EK147" i="24" s="1"/>
  <c r="EH81" i="24"/>
  <c r="EW81" i="24" s="1"/>
  <c r="EI147" i="24"/>
  <c r="EX147" i="24" s="1"/>
  <c r="EI199" i="24"/>
  <c r="EX199" i="24" s="1"/>
  <c r="EC147" i="24"/>
  <c r="ED147" i="24" s="1"/>
  <c r="FB173" i="25"/>
  <c r="FB129" i="25"/>
  <c r="EC201" i="24"/>
  <c r="ED201" i="24" s="1"/>
  <c r="FB180" i="25"/>
  <c r="EH134" i="24"/>
  <c r="EK134" i="24" s="1"/>
  <c r="EI49" i="25"/>
  <c r="EO49" i="25" s="1"/>
  <c r="EP49" i="25" s="1"/>
  <c r="EI180" i="25"/>
  <c r="FC180" i="25" s="1"/>
  <c r="FE180" i="25" s="1"/>
  <c r="FF180" i="25" s="1"/>
  <c r="EI87" i="25"/>
  <c r="EO87" i="25" s="1"/>
  <c r="EP87" i="25" s="1"/>
  <c r="EI77" i="24"/>
  <c r="EX77" i="24" s="1"/>
  <c r="EZ9" i="25"/>
  <c r="FB9" i="25" s="1"/>
  <c r="EC77" i="24"/>
  <c r="ED77" i="24" s="1"/>
  <c r="EH13" i="24"/>
  <c r="EK13" i="24" s="1"/>
  <c r="EQ13" i="24" s="1"/>
  <c r="EC13" i="24"/>
  <c r="ED13" i="24" s="1"/>
  <c r="EI13" i="24"/>
  <c r="EX13" i="24" s="1"/>
  <c r="EZ49" i="25"/>
  <c r="FB49" i="25" s="1"/>
  <c r="EZ23" i="25"/>
  <c r="FB23" i="25" s="1"/>
  <c r="EZ25" i="25"/>
  <c r="FB25" i="25" s="1"/>
  <c r="FB111" i="25"/>
  <c r="EI23" i="25"/>
  <c r="EO23" i="25" s="1"/>
  <c r="EP23" i="25" s="1"/>
  <c r="EI111" i="25"/>
  <c r="EP111" i="25" s="1"/>
  <c r="EZ87" i="25"/>
  <c r="FB87" i="25" s="1"/>
  <c r="EZ34" i="25"/>
  <c r="FB34" i="25" s="1"/>
  <c r="EH201" i="24"/>
  <c r="EK201" i="24" s="1"/>
  <c r="EH62" i="24"/>
  <c r="EW62" i="24" s="1"/>
  <c r="EP185" i="25"/>
  <c r="EV70" i="25"/>
  <c r="EZ70" i="25" s="1"/>
  <c r="FB70" i="25" s="1"/>
  <c r="EI70" i="25"/>
  <c r="EO70" i="25" s="1"/>
  <c r="EV48" i="25"/>
  <c r="EZ48" i="25" s="1"/>
  <c r="FB48" i="25" s="1"/>
  <c r="EI48" i="25"/>
  <c r="EO48" i="25" s="1"/>
  <c r="EV200" i="25"/>
  <c r="FB200" i="25" s="1"/>
  <c r="EI200" i="25"/>
  <c r="EV53" i="25"/>
  <c r="EZ53" i="25" s="1"/>
  <c r="FB53" i="25" s="1"/>
  <c r="EI53" i="25"/>
  <c r="EO53" i="25" s="1"/>
  <c r="EV204" i="25"/>
  <c r="FB204" i="25" s="1"/>
  <c r="EI204" i="25"/>
  <c r="EV22" i="25"/>
  <c r="EZ22" i="25" s="1"/>
  <c r="FB22" i="25" s="1"/>
  <c r="EI22" i="25"/>
  <c r="EO22" i="25" s="1"/>
  <c r="EV157" i="25"/>
  <c r="FB157" i="25" s="1"/>
  <c r="EI157" i="25"/>
  <c r="EV165" i="25"/>
  <c r="FB165" i="25" s="1"/>
  <c r="EI165" i="25"/>
  <c r="EV190" i="25"/>
  <c r="FB190" i="25" s="1"/>
  <c r="EI190" i="25"/>
  <c r="EV142" i="25"/>
  <c r="FB142" i="25" s="1"/>
  <c r="EI142" i="25"/>
  <c r="EV116" i="25"/>
  <c r="FB116" i="25" s="1"/>
  <c r="EI116" i="25"/>
  <c r="EV14" i="25"/>
  <c r="EZ14" i="25" s="1"/>
  <c r="FB14" i="25" s="1"/>
  <c r="EI14" i="25"/>
  <c r="EO14" i="25" s="1"/>
  <c r="EV28" i="25"/>
  <c r="EZ28" i="25" s="1"/>
  <c r="FB28" i="25" s="1"/>
  <c r="EI28" i="25"/>
  <c r="EO28" i="25" s="1"/>
  <c r="EV79" i="25"/>
  <c r="EZ79" i="25" s="1"/>
  <c r="FB79" i="25" s="1"/>
  <c r="EI79" i="25"/>
  <c r="EO79" i="25" s="1"/>
  <c r="EP156" i="25"/>
  <c r="EV159" i="25"/>
  <c r="FB159" i="25" s="1"/>
  <c r="EI159" i="25"/>
  <c r="EV149" i="25"/>
  <c r="FB149" i="25" s="1"/>
  <c r="EI149" i="25"/>
  <c r="EV12" i="25"/>
  <c r="EZ12" i="25" s="1"/>
  <c r="FB12" i="25" s="1"/>
  <c r="EI12" i="25"/>
  <c r="EO12" i="25" s="1"/>
  <c r="EV146" i="25"/>
  <c r="FB146" i="25" s="1"/>
  <c r="EI146" i="25"/>
  <c r="EI62" i="24"/>
  <c r="EX62" i="24" s="1"/>
  <c r="EV65" i="25"/>
  <c r="EZ65" i="25" s="1"/>
  <c r="FB65" i="25" s="1"/>
  <c r="EI65" i="25"/>
  <c r="EO65" i="25" s="1"/>
  <c r="EV139" i="25"/>
  <c r="FB139" i="25" s="1"/>
  <c r="EI139" i="25"/>
  <c r="EV201" i="25"/>
  <c r="FB201" i="25" s="1"/>
  <c r="EI201" i="25"/>
  <c r="EV153" i="25"/>
  <c r="FB153" i="25" s="1"/>
  <c r="EI153" i="25"/>
  <c r="EV122" i="25"/>
  <c r="FB122" i="25" s="1"/>
  <c r="EI122" i="25"/>
  <c r="EV206" i="25"/>
  <c r="FB206" i="25" s="1"/>
  <c r="EI206" i="25"/>
  <c r="EV114" i="25"/>
  <c r="FB114" i="25" s="1"/>
  <c r="EI114" i="25"/>
  <c r="EV92" i="25"/>
  <c r="EZ92" i="25" s="1"/>
  <c r="FB92" i="25" s="1"/>
  <c r="EI92" i="25"/>
  <c r="EO92" i="25" s="1"/>
  <c r="EV29" i="25"/>
  <c r="EZ29" i="25" s="1"/>
  <c r="FB29" i="25" s="1"/>
  <c r="EI29" i="25"/>
  <c r="EO29" i="25" s="1"/>
  <c r="EV7" i="25"/>
  <c r="EZ7" i="25" s="1"/>
  <c r="FB7" i="25" s="1"/>
  <c r="EI7" i="25"/>
  <c r="EO7" i="25" s="1"/>
  <c r="EV15" i="25"/>
  <c r="EZ15" i="25" s="1"/>
  <c r="FB15" i="25" s="1"/>
  <c r="EI15" i="25"/>
  <c r="EO15" i="25" s="1"/>
  <c r="EP169" i="25"/>
  <c r="EV133" i="25"/>
  <c r="FB133" i="25" s="1"/>
  <c r="EI133" i="25"/>
  <c r="EV11" i="25"/>
  <c r="EZ11" i="25" s="1"/>
  <c r="FB11" i="25" s="1"/>
  <c r="EI11" i="25"/>
  <c r="EO11" i="25" s="1"/>
  <c r="EV186" i="25"/>
  <c r="FB186" i="25" s="1"/>
  <c r="EI186" i="25"/>
  <c r="EP145" i="25"/>
  <c r="FC181" i="25"/>
  <c r="FE181" i="25" s="1"/>
  <c r="FF181" i="25" s="1"/>
  <c r="EP181" i="25"/>
  <c r="EV123" i="25"/>
  <c r="FB123" i="25" s="1"/>
  <c r="EI123" i="25"/>
  <c r="EV162" i="25"/>
  <c r="FB162" i="25" s="1"/>
  <c r="EI162" i="25"/>
  <c r="EV209" i="25"/>
  <c r="FB209" i="25" s="1"/>
  <c r="EI209" i="25"/>
  <c r="EV144" i="25"/>
  <c r="FB144" i="25" s="1"/>
  <c r="EI144" i="25"/>
  <c r="EV115" i="25"/>
  <c r="FB115" i="25" s="1"/>
  <c r="EI115" i="25"/>
  <c r="EV86" i="25"/>
  <c r="EZ86" i="25" s="1"/>
  <c r="FB86" i="25" s="1"/>
  <c r="EI86" i="25"/>
  <c r="EO86" i="25" s="1"/>
  <c r="EV118" i="25"/>
  <c r="FB118" i="25" s="1"/>
  <c r="EI118" i="25"/>
  <c r="EV20" i="25"/>
  <c r="EZ20" i="25" s="1"/>
  <c r="FB20" i="25" s="1"/>
  <c r="EI20" i="25"/>
  <c r="EO20" i="25" s="1"/>
  <c r="EV80" i="25"/>
  <c r="EZ80" i="25" s="1"/>
  <c r="FB80" i="25" s="1"/>
  <c r="EI80" i="25"/>
  <c r="EO80" i="25" s="1"/>
  <c r="EV32" i="25"/>
  <c r="EZ32" i="25" s="1"/>
  <c r="FB32" i="25" s="1"/>
  <c r="EI32" i="25"/>
  <c r="EO32" i="25" s="1"/>
  <c r="EV192" i="25"/>
  <c r="FB192" i="25" s="1"/>
  <c r="EI192" i="25"/>
  <c r="EV148" i="25"/>
  <c r="FB148" i="25" s="1"/>
  <c r="EI148" i="25"/>
  <c r="EV68" i="25"/>
  <c r="EZ68" i="25" s="1"/>
  <c r="FB68" i="25" s="1"/>
  <c r="EI68" i="25"/>
  <c r="EO68" i="25" s="1"/>
  <c r="EV113" i="25"/>
  <c r="FB113" i="25" s="1"/>
  <c r="EI113" i="25"/>
  <c r="EV45" i="25"/>
  <c r="EZ45" i="25" s="1"/>
  <c r="FB45" i="25" s="1"/>
  <c r="EI45" i="25"/>
  <c r="EO45" i="25" s="1"/>
  <c r="EP164" i="25"/>
  <c r="EV170" i="25"/>
  <c r="FB170" i="25" s="1"/>
  <c r="EI170" i="25"/>
  <c r="EV71" i="25"/>
  <c r="EZ71" i="25" s="1"/>
  <c r="FB71" i="25" s="1"/>
  <c r="EI71" i="25"/>
  <c r="EO71" i="25" s="1"/>
  <c r="EV50" i="25"/>
  <c r="EZ50" i="25" s="1"/>
  <c r="FB50" i="25" s="1"/>
  <c r="EI50" i="25"/>
  <c r="EO50" i="25" s="1"/>
  <c r="EV121" i="25"/>
  <c r="FB121" i="25" s="1"/>
  <c r="EI121" i="25"/>
  <c r="EV26" i="25"/>
  <c r="EZ26" i="25" s="1"/>
  <c r="FB26" i="25" s="1"/>
  <c r="EI26" i="25"/>
  <c r="EO26" i="25" s="1"/>
  <c r="EV208" i="25"/>
  <c r="FB208" i="25" s="1"/>
  <c r="EI208" i="25"/>
  <c r="EV41" i="25"/>
  <c r="EZ41" i="25" s="1"/>
  <c r="FB41" i="25" s="1"/>
  <c r="EI41" i="25"/>
  <c r="EO41" i="25" s="1"/>
  <c r="EV150" i="25"/>
  <c r="FB150" i="25" s="1"/>
  <c r="EI150" i="25"/>
  <c r="EV6" i="25"/>
  <c r="EZ6" i="25" s="1"/>
  <c r="FB6" i="25" s="1"/>
  <c r="EI6" i="25"/>
  <c r="EO6" i="25" s="1"/>
  <c r="EV188" i="25"/>
  <c r="FB188" i="25" s="1"/>
  <c r="EI188" i="25"/>
  <c r="EV177" i="25"/>
  <c r="FB177" i="25" s="1"/>
  <c r="EI177" i="25"/>
  <c r="EP90" i="25"/>
  <c r="EV154" i="25"/>
  <c r="FB154" i="25" s="1"/>
  <c r="EI154" i="25"/>
  <c r="EV44" i="25"/>
  <c r="EZ44" i="25" s="1"/>
  <c r="FB44" i="25" s="1"/>
  <c r="EI44" i="25"/>
  <c r="EO44" i="25" s="1"/>
  <c r="EV38" i="25"/>
  <c r="EZ38" i="25" s="1"/>
  <c r="FB38" i="25" s="1"/>
  <c r="EI38" i="25"/>
  <c r="EO38" i="25" s="1"/>
  <c r="EV172" i="25"/>
  <c r="FB172" i="25" s="1"/>
  <c r="EI172" i="25"/>
  <c r="EV60" i="25"/>
  <c r="EZ60" i="25" s="1"/>
  <c r="FB60" i="25" s="1"/>
  <c r="EI60" i="25"/>
  <c r="EO60" i="25" s="1"/>
  <c r="EV100" i="25"/>
  <c r="EZ100" i="25" s="1"/>
  <c r="FB100" i="25" s="1"/>
  <c r="EI100" i="25"/>
  <c r="EO100" i="25" s="1"/>
  <c r="EV98" i="25"/>
  <c r="EZ98" i="25" s="1"/>
  <c r="FB98" i="25" s="1"/>
  <c r="EI98" i="25"/>
  <c r="EO98" i="25" s="1"/>
  <c r="EV184" i="25"/>
  <c r="FB184" i="25" s="1"/>
  <c r="EI184" i="25"/>
  <c r="EV134" i="25"/>
  <c r="FB134" i="25" s="1"/>
  <c r="EI134" i="25"/>
  <c r="EV76" i="25"/>
  <c r="EZ76" i="25" s="1"/>
  <c r="FB76" i="25" s="1"/>
  <c r="EI76" i="25"/>
  <c r="EO76" i="25" s="1"/>
  <c r="EP136" i="25"/>
  <c r="EV126" i="25"/>
  <c r="FB126" i="25" s="1"/>
  <c r="EI126" i="25"/>
  <c r="FC143" i="25"/>
  <c r="FE143" i="25" s="1"/>
  <c r="FF143" i="25" s="1"/>
  <c r="EP143" i="25"/>
  <c r="EV24" i="25"/>
  <c r="EZ24" i="25" s="1"/>
  <c r="FB24" i="25" s="1"/>
  <c r="EI24" i="25"/>
  <c r="EO24" i="25" s="1"/>
  <c r="EV195" i="25"/>
  <c r="FB195" i="25" s="1"/>
  <c r="EI195" i="25"/>
  <c r="EV175" i="25"/>
  <c r="FB175" i="25" s="1"/>
  <c r="EI175" i="25"/>
  <c r="EV43" i="25"/>
  <c r="EZ43" i="25" s="1"/>
  <c r="FB43" i="25" s="1"/>
  <c r="EI43" i="25"/>
  <c r="EO43" i="25" s="1"/>
  <c r="EV104" i="25"/>
  <c r="EZ104" i="25" s="1"/>
  <c r="FB104" i="25" s="1"/>
  <c r="EI104" i="25"/>
  <c r="EO104" i="25" s="1"/>
  <c r="EV120" i="25"/>
  <c r="FB120" i="25" s="1"/>
  <c r="EI120" i="25"/>
  <c r="EV119" i="25"/>
  <c r="FB119" i="25" s="1"/>
  <c r="EI119" i="25"/>
  <c r="EP194" i="25"/>
  <c r="EV59" i="25"/>
  <c r="EZ59" i="25" s="1"/>
  <c r="FB59" i="25" s="1"/>
  <c r="EI59" i="25"/>
  <c r="EO59" i="25" s="1"/>
  <c r="EV160" i="25"/>
  <c r="FB160" i="25" s="1"/>
  <c r="EI160" i="25"/>
  <c r="EV102" i="25"/>
  <c r="EZ102" i="25" s="1"/>
  <c r="FB102" i="25" s="1"/>
  <c r="EI102" i="25"/>
  <c r="EO102" i="25" s="1"/>
  <c r="EP171" i="25"/>
  <c r="EV52" i="25"/>
  <c r="EZ52" i="25" s="1"/>
  <c r="FB52" i="25" s="1"/>
  <c r="EI52" i="25"/>
  <c r="EO52" i="25" s="1"/>
  <c r="EV117" i="25"/>
  <c r="FB117" i="25" s="1"/>
  <c r="EI117" i="25"/>
  <c r="EV210" i="25"/>
  <c r="FB210" i="25" s="1"/>
  <c r="EI210" i="25"/>
  <c r="EV193" i="25"/>
  <c r="FB193" i="25" s="1"/>
  <c r="EI193" i="25"/>
  <c r="EV205" i="25"/>
  <c r="FB205" i="25" s="1"/>
  <c r="EI205" i="25"/>
  <c r="EV19" i="25"/>
  <c r="EZ19" i="25" s="1"/>
  <c r="FB19" i="25" s="1"/>
  <c r="EI19" i="25"/>
  <c r="EO19" i="25" s="1"/>
  <c r="EV13" i="25"/>
  <c r="EZ13" i="25" s="1"/>
  <c r="FB13" i="25" s="1"/>
  <c r="EI13" i="25"/>
  <c r="EO13" i="25" s="1"/>
  <c r="EV40" i="25"/>
  <c r="EZ40" i="25" s="1"/>
  <c r="FB40" i="25" s="1"/>
  <c r="EI40" i="25"/>
  <c r="EO40" i="25" s="1"/>
  <c r="EP56" i="25"/>
  <c r="EV78" i="25"/>
  <c r="EZ78" i="25" s="1"/>
  <c r="FB78" i="25" s="1"/>
  <c r="EI78" i="25"/>
  <c r="EO78" i="25" s="1"/>
  <c r="EP138" i="25"/>
  <c r="FC138" i="25"/>
  <c r="FE138" i="25" s="1"/>
  <c r="FF138" i="25" s="1"/>
  <c r="EV140" i="25"/>
  <c r="FB140" i="25" s="1"/>
  <c r="EI140" i="25"/>
  <c r="EV66" i="25"/>
  <c r="EZ66" i="25" s="1"/>
  <c r="FB66" i="25" s="1"/>
  <c r="EI66" i="25"/>
  <c r="EO66" i="25" s="1"/>
  <c r="EV125" i="25"/>
  <c r="FB125" i="25" s="1"/>
  <c r="EI125" i="25"/>
  <c r="EV18" i="25"/>
  <c r="EZ18" i="25" s="1"/>
  <c r="FB18" i="25" s="1"/>
  <c r="EI18" i="25"/>
  <c r="EO18" i="25" s="1"/>
  <c r="EV174" i="25"/>
  <c r="FB174" i="25" s="1"/>
  <c r="EI174" i="25"/>
  <c r="EV54" i="25"/>
  <c r="EZ54" i="25" s="1"/>
  <c r="FB54" i="25" s="1"/>
  <c r="EI54" i="25"/>
  <c r="EO54" i="25" s="1"/>
  <c r="EV61" i="25"/>
  <c r="EZ61" i="25" s="1"/>
  <c r="FB61" i="25" s="1"/>
  <c r="EI61" i="25"/>
  <c r="EO61" i="25" s="1"/>
  <c r="EV197" i="25"/>
  <c r="FB197" i="25" s="1"/>
  <c r="EI197" i="25"/>
  <c r="EV132" i="25"/>
  <c r="FB132" i="25" s="1"/>
  <c r="EI132" i="25"/>
  <c r="EV91" i="25"/>
  <c r="EZ91" i="25" s="1"/>
  <c r="FB91" i="25" s="1"/>
  <c r="EI91" i="25"/>
  <c r="EO91" i="25" s="1"/>
  <c r="EV179" i="25"/>
  <c r="FB179" i="25" s="1"/>
  <c r="EI179" i="25"/>
  <c r="EV39" i="25"/>
  <c r="EZ39" i="25" s="1"/>
  <c r="FB39" i="25" s="1"/>
  <c r="EI39" i="25"/>
  <c r="EO39" i="25" s="1"/>
  <c r="EV30" i="25"/>
  <c r="EZ30" i="25" s="1"/>
  <c r="FB30" i="25" s="1"/>
  <c r="EI30" i="25"/>
  <c r="EO30" i="25" s="1"/>
  <c r="EV35" i="25"/>
  <c r="EZ35" i="25" s="1"/>
  <c r="FB35" i="25" s="1"/>
  <c r="EI35" i="25"/>
  <c r="EO35" i="25" s="1"/>
  <c r="EV75" i="25"/>
  <c r="EZ75" i="25" s="1"/>
  <c r="FB75" i="25" s="1"/>
  <c r="EI75" i="25"/>
  <c r="EO75" i="25" s="1"/>
  <c r="EV124" i="25"/>
  <c r="FB124" i="25" s="1"/>
  <c r="EI124" i="25"/>
  <c r="EV82" i="25"/>
  <c r="EZ82" i="25" s="1"/>
  <c r="FB82" i="25" s="1"/>
  <c r="EI82" i="25"/>
  <c r="EO82" i="25" s="1"/>
  <c r="EV8" i="25"/>
  <c r="EZ8" i="25" s="1"/>
  <c r="FB8" i="25" s="1"/>
  <c r="EI8" i="25"/>
  <c r="EO8" i="25" s="1"/>
  <c r="EV110" i="25"/>
  <c r="FB110" i="25" s="1"/>
  <c r="EI110" i="25"/>
  <c r="EV63" i="25"/>
  <c r="EZ63" i="25" s="1"/>
  <c r="FB63" i="25" s="1"/>
  <c r="EI63" i="25"/>
  <c r="EO63" i="25" s="1"/>
  <c r="EV163" i="25"/>
  <c r="FB163" i="25" s="1"/>
  <c r="EI163" i="25"/>
  <c r="EV161" i="25"/>
  <c r="FB161" i="25" s="1"/>
  <c r="EI161" i="25"/>
  <c r="EV187" i="25"/>
  <c r="FB187" i="25" s="1"/>
  <c r="EI187" i="25"/>
  <c r="EV94" i="25"/>
  <c r="EZ94" i="25" s="1"/>
  <c r="FB94" i="25" s="1"/>
  <c r="EI94" i="25"/>
  <c r="EO94" i="25" s="1"/>
  <c r="EV127" i="25"/>
  <c r="FB127" i="25" s="1"/>
  <c r="EI127" i="25"/>
  <c r="EV67" i="25"/>
  <c r="EZ67" i="25" s="1"/>
  <c r="FB67" i="25" s="1"/>
  <c r="EI67" i="25"/>
  <c r="EO67" i="25" s="1"/>
  <c r="EV130" i="25"/>
  <c r="FB130" i="25" s="1"/>
  <c r="EI130" i="25"/>
  <c r="EV167" i="25"/>
  <c r="FB167" i="25" s="1"/>
  <c r="EI167" i="25"/>
  <c r="EV85" i="25"/>
  <c r="EZ85" i="25" s="1"/>
  <c r="FB85" i="25" s="1"/>
  <c r="EI85" i="25"/>
  <c r="EO85" i="25" s="1"/>
  <c r="EV152" i="25"/>
  <c r="FB152" i="25" s="1"/>
  <c r="EI152" i="25"/>
  <c r="EV88" i="25"/>
  <c r="EZ88" i="25" s="1"/>
  <c r="FB88" i="25" s="1"/>
  <c r="EI88" i="25"/>
  <c r="EO88" i="25" s="1"/>
  <c r="EV202" i="25"/>
  <c r="FB202" i="25" s="1"/>
  <c r="EI202" i="25"/>
  <c r="EV155" i="25"/>
  <c r="FB155" i="25" s="1"/>
  <c r="EI155" i="25"/>
  <c r="EV46" i="25"/>
  <c r="EZ46" i="25" s="1"/>
  <c r="FB46" i="25" s="1"/>
  <c r="EI46" i="25"/>
  <c r="EO46" i="25" s="1"/>
  <c r="EV10" i="25"/>
  <c r="EZ10" i="25" s="1"/>
  <c r="FB10" i="25" s="1"/>
  <c r="EI10" i="25"/>
  <c r="EO10" i="25" s="1"/>
  <c r="EV105" i="25"/>
  <c r="EZ105" i="25" s="1"/>
  <c r="FB105" i="25" s="1"/>
  <c r="EI105" i="25"/>
  <c r="EO105" i="25" s="1"/>
  <c r="EV31" i="25"/>
  <c r="EZ31" i="25" s="1"/>
  <c r="FB31" i="25" s="1"/>
  <c r="EI31" i="25"/>
  <c r="EO31" i="25" s="1"/>
  <c r="EV189" i="25"/>
  <c r="FB189" i="25" s="1"/>
  <c r="EI189" i="25"/>
  <c r="EV176" i="25"/>
  <c r="FB176" i="25" s="1"/>
  <c r="EI176" i="25"/>
  <c r="EV151" i="25"/>
  <c r="FB151" i="25" s="1"/>
  <c r="EI151" i="25"/>
  <c r="EV55" i="25"/>
  <c r="EZ55" i="25" s="1"/>
  <c r="FB55" i="25" s="1"/>
  <c r="EI55" i="25"/>
  <c r="EO55" i="25" s="1"/>
  <c r="EV51" i="25"/>
  <c r="EZ51" i="25" s="1"/>
  <c r="FB51" i="25" s="1"/>
  <c r="EI51" i="25"/>
  <c r="EO51" i="25" s="1"/>
  <c r="EV62" i="25"/>
  <c r="EZ62" i="25" s="1"/>
  <c r="FB62" i="25" s="1"/>
  <c r="EI62" i="25"/>
  <c r="EO62" i="25" s="1"/>
  <c r="EV147" i="25"/>
  <c r="FB147" i="25" s="1"/>
  <c r="EI147" i="25"/>
  <c r="EV101" i="25"/>
  <c r="EZ101" i="25" s="1"/>
  <c r="FB101" i="25" s="1"/>
  <c r="EI101" i="25"/>
  <c r="EO101" i="25" s="1"/>
  <c r="EP42" i="25"/>
  <c r="EV198" i="25"/>
  <c r="FB198" i="25" s="1"/>
  <c r="EI198" i="25"/>
  <c r="EV72" i="25"/>
  <c r="EZ72" i="25" s="1"/>
  <c r="FB72" i="25" s="1"/>
  <c r="EI72" i="25"/>
  <c r="EO72" i="25" s="1"/>
  <c r="EV16" i="25"/>
  <c r="EZ16" i="25" s="1"/>
  <c r="FB16" i="25" s="1"/>
  <c r="EI16" i="25"/>
  <c r="EO16" i="25" s="1"/>
  <c r="EV168" i="25"/>
  <c r="FB168" i="25" s="1"/>
  <c r="EI168" i="25"/>
  <c r="EV36" i="25"/>
  <c r="EZ36" i="25" s="1"/>
  <c r="FB36" i="25" s="1"/>
  <c r="EI36" i="25"/>
  <c r="EO36" i="25" s="1"/>
  <c r="EV203" i="25"/>
  <c r="FB203" i="25" s="1"/>
  <c r="EI203" i="25"/>
  <c r="EV166" i="25"/>
  <c r="FB166" i="25" s="1"/>
  <c r="EI166" i="25"/>
  <c r="EV84" i="25"/>
  <c r="EZ84" i="25" s="1"/>
  <c r="FB84" i="25" s="1"/>
  <c r="EI84" i="25"/>
  <c r="EO84" i="25" s="1"/>
  <c r="EV135" i="25"/>
  <c r="FB135" i="25" s="1"/>
  <c r="EI135" i="25"/>
  <c r="EV57" i="25"/>
  <c r="EZ57" i="25" s="1"/>
  <c r="FB57" i="25" s="1"/>
  <c r="EI57" i="25"/>
  <c r="EO57" i="25" s="1"/>
  <c r="EV21" i="25"/>
  <c r="EZ21" i="25" s="1"/>
  <c r="FB21" i="25" s="1"/>
  <c r="EI21" i="25"/>
  <c r="EO21" i="25" s="1"/>
  <c r="EV191" i="25"/>
  <c r="FB191" i="25" s="1"/>
  <c r="EI191" i="25"/>
  <c r="EV27" i="25"/>
  <c r="EZ27" i="25" s="1"/>
  <c r="FB27" i="25" s="1"/>
  <c r="EI27" i="25"/>
  <c r="EO27" i="25" s="1"/>
  <c r="EV69" i="25"/>
  <c r="EZ69" i="25" s="1"/>
  <c r="FB69" i="25" s="1"/>
  <c r="EI69" i="25"/>
  <c r="EO69" i="25" s="1"/>
  <c r="EP17" i="25"/>
  <c r="EV207" i="25"/>
  <c r="FB207" i="25" s="1"/>
  <c r="EI207" i="25"/>
  <c r="EV196" i="25"/>
  <c r="FB196" i="25" s="1"/>
  <c r="EI196" i="25"/>
  <c r="EH10" i="24"/>
  <c r="EK10" i="24" s="1"/>
  <c r="EQ10" i="24" s="1"/>
  <c r="EI10" i="24"/>
  <c r="EX10" i="24" s="1"/>
  <c r="EC10" i="24"/>
  <c r="ED10" i="24" s="1"/>
  <c r="EI134" i="24"/>
  <c r="EX134" i="24" s="1"/>
  <c r="EC134" i="24"/>
  <c r="ED134" i="24" s="1"/>
  <c r="EH79" i="24"/>
  <c r="EC79" i="24"/>
  <c r="ED79" i="24" s="1"/>
  <c r="EI79" i="24"/>
  <c r="EX79" i="24" s="1"/>
  <c r="EI72" i="24"/>
  <c r="EX72" i="24" s="1"/>
  <c r="EH72" i="24"/>
  <c r="EC72" i="24"/>
  <c r="ED72" i="24" s="1"/>
  <c r="EH115" i="24"/>
  <c r="EC115" i="24"/>
  <c r="ED115" i="24" s="1"/>
  <c r="EI115" i="24"/>
  <c r="EX115" i="24" s="1"/>
  <c r="EC116" i="24"/>
  <c r="ED116" i="24" s="1"/>
  <c r="EH116" i="24"/>
  <c r="EI116" i="24"/>
  <c r="EX116" i="24" s="1"/>
  <c r="EC91" i="24"/>
  <c r="ED91" i="24" s="1"/>
  <c r="EI91" i="24"/>
  <c r="EX91" i="24" s="1"/>
  <c r="EH91" i="24"/>
  <c r="EC121" i="24"/>
  <c r="ED121" i="24" s="1"/>
  <c r="EI121" i="24"/>
  <c r="EX121" i="24" s="1"/>
  <c r="EH121" i="24"/>
  <c r="EH46" i="24"/>
  <c r="EC46" i="24"/>
  <c r="ED46" i="24" s="1"/>
  <c r="EI46" i="24"/>
  <c r="EX46" i="24" s="1"/>
  <c r="EI113" i="24"/>
  <c r="EX113" i="24" s="1"/>
  <c r="EH113" i="24"/>
  <c r="EC113" i="24"/>
  <c r="ED113" i="24" s="1"/>
  <c r="EI86" i="24"/>
  <c r="EX86" i="24" s="1"/>
  <c r="EC86" i="24"/>
  <c r="ED86" i="24" s="1"/>
  <c r="EH86" i="24"/>
  <c r="EC33" i="24"/>
  <c r="ED33" i="24" s="1"/>
  <c r="EI33" i="24"/>
  <c r="EX33" i="24" s="1"/>
  <c r="EH33" i="24"/>
  <c r="EI45" i="24"/>
  <c r="EX45" i="24" s="1"/>
  <c r="EH45" i="24"/>
  <c r="EC45" i="24"/>
  <c r="ED45" i="24" s="1"/>
  <c r="EH105" i="24"/>
  <c r="EI105" i="24"/>
  <c r="EX105" i="24" s="1"/>
  <c r="EC105" i="24"/>
  <c r="ED105" i="24" s="1"/>
  <c r="EH120" i="24"/>
  <c r="EI120" i="24"/>
  <c r="EX120" i="24" s="1"/>
  <c r="EC120" i="24"/>
  <c r="ED120" i="24" s="1"/>
  <c r="EI27" i="24"/>
  <c r="EX27" i="24" s="1"/>
  <c r="EC27" i="24"/>
  <c r="ED27" i="24" s="1"/>
  <c r="EH27" i="24"/>
  <c r="EH97" i="24"/>
  <c r="EI97" i="24"/>
  <c r="EX97" i="24" s="1"/>
  <c r="EC97" i="24"/>
  <c r="ED97" i="24" s="1"/>
  <c r="EH100" i="24"/>
  <c r="EC100" i="24"/>
  <c r="ED100" i="24" s="1"/>
  <c r="EI100" i="24"/>
  <c r="EX100" i="24" s="1"/>
  <c r="EH61" i="24"/>
  <c r="EC61" i="24"/>
  <c r="ED61" i="24" s="1"/>
  <c r="EI61" i="24"/>
  <c r="EX61" i="24" s="1"/>
  <c r="EH84" i="24"/>
  <c r="EC84" i="24"/>
  <c r="ED84" i="24" s="1"/>
  <c r="EI84" i="24"/>
  <c r="EX84" i="24" s="1"/>
  <c r="EC197" i="24"/>
  <c r="ED197" i="24" s="1"/>
  <c r="EI197" i="24"/>
  <c r="EX197" i="24" s="1"/>
  <c r="EH197" i="24"/>
  <c r="EC21" i="24"/>
  <c r="ED21" i="24" s="1"/>
  <c r="EH21" i="24"/>
  <c r="EI21" i="24"/>
  <c r="EX21" i="24" s="1"/>
  <c r="EI139" i="24"/>
  <c r="EX139" i="24" s="1"/>
  <c r="EC139" i="24"/>
  <c r="ED139" i="24" s="1"/>
  <c r="EH139" i="24"/>
  <c r="EC20" i="24"/>
  <c r="ED20" i="24" s="1"/>
  <c r="EI20" i="24"/>
  <c r="EX20" i="24" s="1"/>
  <c r="EH20" i="24"/>
  <c r="EH26" i="24"/>
  <c r="EC26" i="24"/>
  <c r="ED26" i="24" s="1"/>
  <c r="EI26" i="24"/>
  <c r="EX26" i="24" s="1"/>
  <c r="EI154" i="24"/>
  <c r="EX154" i="24" s="1"/>
  <c r="EH154" i="24"/>
  <c r="EC154" i="24"/>
  <c r="ED154" i="24" s="1"/>
  <c r="EC17" i="24"/>
  <c r="ED17" i="24" s="1"/>
  <c r="EI17" i="24"/>
  <c r="EX17" i="24" s="1"/>
  <c r="EH17" i="24"/>
  <c r="EI35" i="24"/>
  <c r="EX35" i="24" s="1"/>
  <c r="EH35" i="24"/>
  <c r="EC35" i="24"/>
  <c r="ED35" i="24" s="1"/>
  <c r="EI70" i="24"/>
  <c r="EX70" i="24" s="1"/>
  <c r="EH70" i="24"/>
  <c r="EC70" i="24"/>
  <c r="ED70" i="24" s="1"/>
  <c r="EH138" i="24"/>
  <c r="EI138" i="24"/>
  <c r="EX138" i="24" s="1"/>
  <c r="EC138" i="24"/>
  <c r="ED138" i="24" s="1"/>
  <c r="EI119" i="24"/>
  <c r="EX119" i="24" s="1"/>
  <c r="EC119" i="24"/>
  <c r="ED119" i="24" s="1"/>
  <c r="EH119" i="24"/>
  <c r="EI18" i="24"/>
  <c r="EX18" i="24" s="1"/>
  <c r="EH18" i="24"/>
  <c r="EC18" i="24"/>
  <c r="ED18" i="24" s="1"/>
  <c r="EC184" i="24"/>
  <c r="ED184" i="24" s="1"/>
  <c r="EI184" i="24"/>
  <c r="EX184" i="24" s="1"/>
  <c r="EH184" i="24"/>
  <c r="EC189" i="24"/>
  <c r="ED189" i="24" s="1"/>
  <c r="EH189" i="24"/>
  <c r="EI189" i="24"/>
  <c r="EX189" i="24" s="1"/>
  <c r="EH158" i="24"/>
  <c r="EI158" i="24"/>
  <c r="EX158" i="24" s="1"/>
  <c r="EC158" i="24"/>
  <c r="ED158" i="24" s="1"/>
  <c r="EI167" i="24"/>
  <c r="EX167" i="24" s="1"/>
  <c r="EH167" i="24"/>
  <c r="EC167" i="24"/>
  <c r="ED167" i="24" s="1"/>
  <c r="EH188" i="24"/>
  <c r="EC188" i="24"/>
  <c r="ED188" i="24" s="1"/>
  <c r="EI188" i="24"/>
  <c r="EX188" i="24" s="1"/>
  <c r="EH50" i="24"/>
  <c r="EC50" i="24"/>
  <c r="ED50" i="24" s="1"/>
  <c r="EI50" i="24"/>
  <c r="EX50" i="24" s="1"/>
  <c r="EH122" i="24"/>
  <c r="EI122" i="24"/>
  <c r="EX122" i="24" s="1"/>
  <c r="EC122" i="24"/>
  <c r="ED122" i="24" s="1"/>
  <c r="EI161" i="24"/>
  <c r="EX161" i="24" s="1"/>
  <c r="EH161" i="24"/>
  <c r="EC161" i="24"/>
  <c r="ED161" i="24" s="1"/>
  <c r="EC168" i="24"/>
  <c r="ED168" i="24" s="1"/>
  <c r="EH168" i="24"/>
  <c r="EI168" i="24"/>
  <c r="EX168" i="24" s="1"/>
  <c r="EC174" i="24"/>
  <c r="ED174" i="24" s="1"/>
  <c r="EH174" i="24"/>
  <c r="EI174" i="24"/>
  <c r="EX174" i="24" s="1"/>
  <c r="EC141" i="24"/>
  <c r="ED141" i="24" s="1"/>
  <c r="EH141" i="24"/>
  <c r="EI141" i="24"/>
  <c r="EX141" i="24" s="1"/>
  <c r="EH191" i="24"/>
  <c r="EI191" i="24"/>
  <c r="EX191" i="24" s="1"/>
  <c r="EC191" i="24"/>
  <c r="ED191" i="24" s="1"/>
  <c r="EC112" i="24"/>
  <c r="ED112" i="24" s="1"/>
  <c r="EI112" i="24"/>
  <c r="EX112" i="24" s="1"/>
  <c r="EH112" i="24"/>
  <c r="EI150" i="24"/>
  <c r="EX150" i="24" s="1"/>
  <c r="EH150" i="24"/>
  <c r="EC150" i="24"/>
  <c r="ED150" i="24" s="1"/>
  <c r="EC204" i="24"/>
  <c r="ED204" i="24" s="1"/>
  <c r="EH204" i="24"/>
  <c r="EI204" i="24"/>
  <c r="EX204" i="24" s="1"/>
  <c r="EH166" i="24"/>
  <c r="EC166" i="24"/>
  <c r="ED166" i="24" s="1"/>
  <c r="EI166" i="24"/>
  <c r="EX166" i="24" s="1"/>
  <c r="EH59" i="24"/>
  <c r="EC59" i="24"/>
  <c r="ED59" i="24" s="1"/>
  <c r="EI59" i="24"/>
  <c r="EX59" i="24" s="1"/>
  <c r="EH196" i="24"/>
  <c r="EI196" i="24"/>
  <c r="EX196" i="24" s="1"/>
  <c r="EC196" i="24"/>
  <c r="ED196" i="24" s="1"/>
  <c r="EH38" i="24"/>
  <c r="EI38" i="24"/>
  <c r="EX38" i="24" s="1"/>
  <c r="EC38" i="24"/>
  <c r="ED38" i="24" s="1"/>
  <c r="EI183" i="24"/>
  <c r="EX183" i="24" s="1"/>
  <c r="EC183" i="24"/>
  <c r="ED183" i="24" s="1"/>
  <c r="EH183" i="24"/>
  <c r="EH200" i="24"/>
  <c r="EC200" i="24"/>
  <c r="ED200" i="24" s="1"/>
  <c r="EI200" i="24"/>
  <c r="EX200" i="24" s="1"/>
  <c r="EI98" i="24"/>
  <c r="EX98" i="24" s="1"/>
  <c r="EC98" i="24"/>
  <c r="ED98" i="24" s="1"/>
  <c r="EH98" i="24"/>
  <c r="EH87" i="24"/>
  <c r="EI87" i="24"/>
  <c r="EX87" i="24" s="1"/>
  <c r="EC87" i="24"/>
  <c r="ED87" i="24" s="1"/>
  <c r="EH117" i="24"/>
  <c r="EI117" i="24"/>
  <c r="EX117" i="24" s="1"/>
  <c r="EC117" i="24"/>
  <c r="ED117" i="24" s="1"/>
  <c r="EI15" i="24"/>
  <c r="EX15" i="24" s="1"/>
  <c r="EH15" i="24"/>
  <c r="EC15" i="24"/>
  <c r="ED15" i="24" s="1"/>
  <c r="EH185" i="24"/>
  <c r="EI185" i="24"/>
  <c r="EX185" i="24" s="1"/>
  <c r="EC185" i="24"/>
  <c r="ED185" i="24" s="1"/>
  <c r="EI16" i="24"/>
  <c r="EX16" i="24" s="1"/>
  <c r="EC16" i="24"/>
  <c r="ED16" i="24" s="1"/>
  <c r="EH16" i="24"/>
  <c r="EH202" i="24"/>
  <c r="EC202" i="24"/>
  <c r="ED202" i="24" s="1"/>
  <c r="EI202" i="24"/>
  <c r="EX202" i="24" s="1"/>
  <c r="EI177" i="24"/>
  <c r="EX177" i="24" s="1"/>
  <c r="EH177" i="24"/>
  <c r="EC177" i="24"/>
  <c r="ED177" i="24" s="1"/>
  <c r="EH195" i="24"/>
  <c r="EC195" i="24"/>
  <c r="ED195" i="24" s="1"/>
  <c r="EI195" i="24"/>
  <c r="EX195" i="24" s="1"/>
  <c r="EI153" i="24"/>
  <c r="EX153" i="24" s="1"/>
  <c r="EH153" i="24"/>
  <c r="EC153" i="24"/>
  <c r="ED153" i="24" s="1"/>
  <c r="EH94" i="24"/>
  <c r="EC94" i="24"/>
  <c r="ED94" i="24" s="1"/>
  <c r="EI94" i="24"/>
  <c r="EX94" i="24" s="1"/>
  <c r="EC178" i="24"/>
  <c r="ED178" i="24" s="1"/>
  <c r="EI178" i="24"/>
  <c r="EX178" i="24" s="1"/>
  <c r="EH178" i="24"/>
  <c r="EC210" i="24"/>
  <c r="ED210" i="24" s="1"/>
  <c r="EI210" i="24"/>
  <c r="EX210" i="24" s="1"/>
  <c r="EH210" i="24"/>
  <c r="EC171" i="24"/>
  <c r="ED171" i="24" s="1"/>
  <c r="EI171" i="24"/>
  <c r="EX171" i="24" s="1"/>
  <c r="EH171" i="24"/>
  <c r="EC57" i="24"/>
  <c r="ED57" i="24" s="1"/>
  <c r="EH57" i="24"/>
  <c r="EI57" i="24"/>
  <c r="EX57" i="24" s="1"/>
  <c r="EC88" i="24"/>
  <c r="ED88" i="24" s="1"/>
  <c r="EH88" i="24"/>
  <c r="EI88" i="24"/>
  <c r="EX88" i="24" s="1"/>
  <c r="EH155" i="24"/>
  <c r="EI155" i="24"/>
  <c r="EX155" i="24" s="1"/>
  <c r="EC155" i="24"/>
  <c r="ED155" i="24" s="1"/>
  <c r="EH145" i="24"/>
  <c r="EC145" i="24"/>
  <c r="ED145" i="24" s="1"/>
  <c r="EI145" i="24"/>
  <c r="EX145" i="24" s="1"/>
  <c r="EH58" i="24"/>
  <c r="EI58" i="24"/>
  <c r="EX58" i="24" s="1"/>
  <c r="EC58" i="24"/>
  <c r="ED58" i="24" s="1"/>
  <c r="EH114" i="24"/>
  <c r="EC114" i="24"/>
  <c r="ED114" i="24" s="1"/>
  <c r="EI114" i="24"/>
  <c r="EX114" i="24" s="1"/>
  <c r="EH209" i="24"/>
  <c r="EC209" i="24"/>
  <c r="ED209" i="24" s="1"/>
  <c r="EI209" i="24"/>
  <c r="EX209" i="24" s="1"/>
  <c r="EC182" i="24"/>
  <c r="ED182" i="24" s="1"/>
  <c r="EI182" i="24"/>
  <c r="EX182" i="24" s="1"/>
  <c r="EH182" i="24"/>
  <c r="EH123" i="24"/>
  <c r="EC123" i="24"/>
  <c r="ED123" i="24" s="1"/>
  <c r="EI123" i="24"/>
  <c r="EX123" i="24" s="1"/>
  <c r="EC128" i="24"/>
  <c r="ED128" i="24" s="1"/>
  <c r="EI128" i="24"/>
  <c r="EX128" i="24" s="1"/>
  <c r="EH128" i="24"/>
  <c r="EC187" i="24"/>
  <c r="ED187" i="24" s="1"/>
  <c r="EI187" i="24"/>
  <c r="EX187" i="24" s="1"/>
  <c r="EH187" i="24"/>
  <c r="EC131" i="24"/>
  <c r="ED131" i="24" s="1"/>
  <c r="EI131" i="24"/>
  <c r="EX131" i="24" s="1"/>
  <c r="EH131" i="24"/>
  <c r="EH89" i="24"/>
  <c r="EC89" i="24"/>
  <c r="ED89" i="24" s="1"/>
  <c r="EI89" i="24"/>
  <c r="EX89" i="24" s="1"/>
  <c r="EH144" i="24"/>
  <c r="EC144" i="24"/>
  <c r="ED144" i="24" s="1"/>
  <c r="EI144" i="24"/>
  <c r="EX144" i="24" s="1"/>
  <c r="EC75" i="24"/>
  <c r="ED75" i="24" s="1"/>
  <c r="EH75" i="24"/>
  <c r="EI75" i="24"/>
  <c r="EX75" i="24" s="1"/>
  <c r="EC162" i="24"/>
  <c r="ED162" i="24" s="1"/>
  <c r="EI162" i="24"/>
  <c r="EX162" i="24" s="1"/>
  <c r="EH162" i="24"/>
  <c r="EH203" i="24"/>
  <c r="EC203" i="24"/>
  <c r="ED203" i="24" s="1"/>
  <c r="EI203" i="24"/>
  <c r="EX203" i="24" s="1"/>
  <c r="EC149" i="24"/>
  <c r="ED149" i="24" s="1"/>
  <c r="EI149" i="24"/>
  <c r="EX149" i="24" s="1"/>
  <c r="EH149" i="24"/>
  <c r="EC140" i="24"/>
  <c r="ED140" i="24" s="1"/>
  <c r="EI140" i="24"/>
  <c r="EX140" i="24" s="1"/>
  <c r="EH140" i="24"/>
  <c r="EI36" i="24"/>
  <c r="EX36" i="24" s="1"/>
  <c r="EH36" i="24"/>
  <c r="EC36" i="24"/>
  <c r="ED36" i="24" s="1"/>
  <c r="EC103" i="24"/>
  <c r="ED103" i="24" s="1"/>
  <c r="EH103" i="24"/>
  <c r="EI103" i="24"/>
  <c r="EX103" i="24" s="1"/>
  <c r="EH76" i="24"/>
  <c r="EC76" i="24"/>
  <c r="ED76" i="24" s="1"/>
  <c r="EI76" i="24"/>
  <c r="EX76" i="24" s="1"/>
  <c r="EW190" i="24"/>
  <c r="FB190" i="24" s="1"/>
  <c r="EK190" i="24"/>
  <c r="EI73" i="24"/>
  <c r="EX73" i="24" s="1"/>
  <c r="EC73" i="24"/>
  <c r="ED73" i="24" s="1"/>
  <c r="EH73" i="24"/>
  <c r="EI53" i="24"/>
  <c r="EX53" i="24" s="1"/>
  <c r="EC53" i="24"/>
  <c r="ED53" i="24" s="1"/>
  <c r="EH53" i="24"/>
  <c r="EC93" i="24"/>
  <c r="ED93" i="24" s="1"/>
  <c r="EI93" i="24"/>
  <c r="EX93" i="24" s="1"/>
  <c r="EH93" i="24"/>
  <c r="EH31" i="24"/>
  <c r="EI31" i="24"/>
  <c r="EX31" i="24" s="1"/>
  <c r="EC31" i="24"/>
  <c r="ED31" i="24" s="1"/>
  <c r="EH6" i="24"/>
  <c r="EI6" i="24"/>
  <c r="EX6" i="24" s="1"/>
  <c r="EC6" i="24"/>
  <c r="ED6" i="24" s="1"/>
  <c r="EI118" i="24"/>
  <c r="EX118" i="24" s="1"/>
  <c r="EH118" i="24"/>
  <c r="EC118" i="24"/>
  <c r="ED118" i="24" s="1"/>
  <c r="EI34" i="24"/>
  <c r="EX34" i="24" s="1"/>
  <c r="EH34" i="24"/>
  <c r="EC34" i="24"/>
  <c r="ED34" i="24" s="1"/>
  <c r="EH7" i="24"/>
  <c r="EC7" i="24"/>
  <c r="ED7" i="24" s="1"/>
  <c r="EI7" i="24"/>
  <c r="EX7" i="24" s="1"/>
  <c r="EI135" i="24"/>
  <c r="EX135" i="24" s="1"/>
  <c r="EH135" i="24"/>
  <c r="EC135" i="24"/>
  <c r="ED135" i="24" s="1"/>
  <c r="EC193" i="24"/>
  <c r="ED193" i="24" s="1"/>
  <c r="EI193" i="24"/>
  <c r="EX193" i="24" s="1"/>
  <c r="EH193" i="24"/>
  <c r="EI130" i="24"/>
  <c r="EX130" i="24" s="1"/>
  <c r="EC130" i="24"/>
  <c r="ED130" i="24" s="1"/>
  <c r="EH130" i="24"/>
  <c r="EC208" i="24"/>
  <c r="ED208" i="24" s="1"/>
  <c r="EI208" i="24"/>
  <c r="EX208" i="24" s="1"/>
  <c r="EH208" i="24"/>
  <c r="EC207" i="24"/>
  <c r="ED207" i="24" s="1"/>
  <c r="EI207" i="24"/>
  <c r="EX207" i="24" s="1"/>
  <c r="EH207" i="24"/>
  <c r="EI47" i="24"/>
  <c r="EX47" i="24" s="1"/>
  <c r="EH47" i="24"/>
  <c r="EC47" i="24"/>
  <c r="ED47" i="24" s="1"/>
  <c r="EH176" i="24"/>
  <c r="EC176" i="24"/>
  <c r="ED176" i="24" s="1"/>
  <c r="EI176" i="24"/>
  <c r="EX176" i="24" s="1"/>
  <c r="EC194" i="24"/>
  <c r="ED194" i="24" s="1"/>
  <c r="EH194" i="24"/>
  <c r="EI194" i="24"/>
  <c r="EX194" i="24" s="1"/>
  <c r="EH80" i="24"/>
  <c r="EI80" i="24"/>
  <c r="EX80" i="24" s="1"/>
  <c r="EC80" i="24"/>
  <c r="ED80" i="24" s="1"/>
  <c r="EC22" i="24"/>
  <c r="ED22" i="24" s="1"/>
  <c r="EI22" i="24"/>
  <c r="EX22" i="24" s="1"/>
  <c r="EH22" i="24"/>
  <c r="EI41" i="24"/>
  <c r="EX41" i="24" s="1"/>
  <c r="EC41" i="24"/>
  <c r="ED41" i="24" s="1"/>
  <c r="EH41" i="24"/>
  <c r="EI85" i="24"/>
  <c r="EX85" i="24" s="1"/>
  <c r="EC85" i="24"/>
  <c r="ED85" i="24" s="1"/>
  <c r="EH85" i="24"/>
  <c r="EI19" i="24"/>
  <c r="EX19" i="24" s="1"/>
  <c r="EC19" i="24"/>
  <c r="ED19" i="24" s="1"/>
  <c r="EH19" i="24"/>
  <c r="EC95" i="24"/>
  <c r="ED95" i="24" s="1"/>
  <c r="EH95" i="24"/>
  <c r="EI95" i="24"/>
  <c r="EX95" i="24" s="1"/>
  <c r="EI65" i="24"/>
  <c r="EX65" i="24" s="1"/>
  <c r="EC65" i="24"/>
  <c r="ED65" i="24" s="1"/>
  <c r="EH65" i="24"/>
  <c r="EC101" i="24"/>
  <c r="ED101" i="24" s="1"/>
  <c r="EH101" i="24"/>
  <c r="EI101" i="24"/>
  <c r="EX101" i="24" s="1"/>
  <c r="EC163" i="24"/>
  <c r="ED163" i="24" s="1"/>
  <c r="EH163" i="24"/>
  <c r="EI163" i="24"/>
  <c r="EX163" i="24" s="1"/>
  <c r="EH8" i="24"/>
  <c r="EC8" i="24"/>
  <c r="ED8" i="24" s="1"/>
  <c r="EI8" i="24"/>
  <c r="EX8" i="24" s="1"/>
  <c r="EC165" i="24"/>
  <c r="ED165" i="24" s="1"/>
  <c r="EI165" i="24"/>
  <c r="EX165" i="24" s="1"/>
  <c r="EH165" i="24"/>
  <c r="EI49" i="24"/>
  <c r="EX49" i="24" s="1"/>
  <c r="EC49" i="24"/>
  <c r="ED49" i="24" s="1"/>
  <c r="EH49" i="24"/>
  <c r="EC205" i="24"/>
  <c r="ED205" i="24" s="1"/>
  <c r="EI205" i="24"/>
  <c r="EX205" i="24" s="1"/>
  <c r="EH205" i="24"/>
  <c r="EH68" i="24"/>
  <c r="EI68" i="24"/>
  <c r="EX68" i="24" s="1"/>
  <c r="EC68" i="24"/>
  <c r="ED68" i="24" s="1"/>
  <c r="EH175" i="24"/>
  <c r="EC175" i="24"/>
  <c r="ED175" i="24" s="1"/>
  <c r="EI175" i="24"/>
  <c r="EX175" i="24" s="1"/>
  <c r="EI42" i="24"/>
  <c r="EX42" i="24" s="1"/>
  <c r="EH42" i="24"/>
  <c r="EC42" i="24"/>
  <c r="ED42" i="24" s="1"/>
  <c r="EC143" i="24"/>
  <c r="ED143" i="24" s="1"/>
  <c r="EI143" i="24"/>
  <c r="EX143" i="24" s="1"/>
  <c r="EH143" i="24"/>
  <c r="EI173" i="24"/>
  <c r="EX173" i="24" s="1"/>
  <c r="EH173" i="24"/>
  <c r="EC173" i="24"/>
  <c r="ED173" i="24" s="1"/>
  <c r="EC54" i="24"/>
  <c r="ED54" i="24" s="1"/>
  <c r="EI54" i="24"/>
  <c r="EX54" i="24" s="1"/>
  <c r="EH54" i="24"/>
  <c r="EI11" i="24"/>
  <c r="EX11" i="24" s="1"/>
  <c r="EC11" i="24"/>
  <c r="ED11" i="24" s="1"/>
  <c r="EH11" i="24"/>
  <c r="EC102" i="24"/>
  <c r="ED102" i="24" s="1"/>
  <c r="EI102" i="24"/>
  <c r="EX102" i="24" s="1"/>
  <c r="EH102" i="24"/>
  <c r="EH156" i="24"/>
  <c r="EC156" i="24"/>
  <c r="ED156" i="24" s="1"/>
  <c r="EI156" i="24"/>
  <c r="EX156" i="24" s="1"/>
  <c r="EC179" i="24"/>
  <c r="ED179" i="24" s="1"/>
  <c r="EI179" i="24"/>
  <c r="EX179" i="24" s="1"/>
  <c r="EH179" i="24"/>
  <c r="EC148" i="24"/>
  <c r="ED148" i="24" s="1"/>
  <c r="EH148" i="24"/>
  <c r="EI148" i="24"/>
  <c r="EX148" i="24" s="1"/>
  <c r="EI51" i="24"/>
  <c r="EX51" i="24" s="1"/>
  <c r="EC51" i="24"/>
  <c r="ED51" i="24" s="1"/>
  <c r="EH51" i="24"/>
  <c r="EH32" i="24"/>
  <c r="EI32" i="24"/>
  <c r="EX32" i="24" s="1"/>
  <c r="EC32" i="24"/>
  <c r="ED32" i="24" s="1"/>
  <c r="EI64" i="24"/>
  <c r="EX64" i="24" s="1"/>
  <c r="EH64" i="24"/>
  <c r="EC64" i="24"/>
  <c r="ED64" i="24" s="1"/>
  <c r="EH198" i="24"/>
  <c r="EC198" i="24"/>
  <c r="ED198" i="24" s="1"/>
  <c r="EI198" i="24"/>
  <c r="EX198" i="24" s="1"/>
  <c r="EC24" i="24"/>
  <c r="ED24" i="24" s="1"/>
  <c r="EH24" i="24"/>
  <c r="EI24" i="24"/>
  <c r="EX24" i="24" s="1"/>
  <c r="EI129" i="24"/>
  <c r="EX129" i="24" s="1"/>
  <c r="EH129" i="24"/>
  <c r="EC129" i="24"/>
  <c r="ED129" i="24" s="1"/>
  <c r="EC164" i="24"/>
  <c r="ED164" i="24" s="1"/>
  <c r="EI164" i="24"/>
  <c r="EX164" i="24" s="1"/>
  <c r="EH164" i="24"/>
  <c r="EI12" i="24"/>
  <c r="EX12" i="24" s="1"/>
  <c r="EH12" i="24"/>
  <c r="EC12" i="24"/>
  <c r="ED12" i="24" s="1"/>
  <c r="EC25" i="24"/>
  <c r="ED25" i="24" s="1"/>
  <c r="EH25" i="24"/>
  <c r="EI25" i="24"/>
  <c r="EX25" i="24" s="1"/>
  <c r="EC66" i="24"/>
  <c r="ED66" i="24" s="1"/>
  <c r="EI66" i="24"/>
  <c r="EX66" i="24" s="1"/>
  <c r="EH66" i="24"/>
  <c r="EC56" i="24"/>
  <c r="ED56" i="24" s="1"/>
  <c r="EH56" i="24"/>
  <c r="EI56" i="24"/>
  <c r="EX56" i="24" s="1"/>
  <c r="EH125" i="24"/>
  <c r="EC125" i="24"/>
  <c r="ED125" i="24" s="1"/>
  <c r="EI125" i="24"/>
  <c r="EX125" i="24" s="1"/>
  <c r="EH181" i="24"/>
  <c r="EI181" i="24"/>
  <c r="EX181" i="24" s="1"/>
  <c r="EC181" i="24"/>
  <c r="ED181" i="24" s="1"/>
  <c r="EI180" i="24"/>
  <c r="EX180" i="24" s="1"/>
  <c r="EH180" i="24"/>
  <c r="EC180" i="24"/>
  <c r="ED180" i="24" s="1"/>
  <c r="EI157" i="24"/>
  <c r="EX157" i="24" s="1"/>
  <c r="EH157" i="24"/>
  <c r="EC157" i="24"/>
  <c r="ED157" i="24" s="1"/>
  <c r="EI82" i="24"/>
  <c r="EX82" i="24" s="1"/>
  <c r="EH82" i="24"/>
  <c r="EC82" i="24"/>
  <c r="ED82" i="24" s="1"/>
  <c r="EC151" i="24"/>
  <c r="ED151" i="24" s="1"/>
  <c r="EH151" i="24"/>
  <c r="EI151" i="24"/>
  <c r="EX151" i="24" s="1"/>
  <c r="EI9" i="24"/>
  <c r="EX9" i="24" s="1"/>
  <c r="EC9" i="24"/>
  <c r="ED9" i="24" s="1"/>
  <c r="EH9" i="24"/>
  <c r="EC206" i="24"/>
  <c r="ED206" i="24" s="1"/>
  <c r="EH206" i="24"/>
  <c r="EI206" i="24"/>
  <c r="EX206" i="24" s="1"/>
  <c r="EI137" i="24"/>
  <c r="EX137" i="24" s="1"/>
  <c r="EH137" i="24"/>
  <c r="EC137" i="24"/>
  <c r="ED137" i="24" s="1"/>
  <c r="EC146" i="24"/>
  <c r="ED146" i="24" s="1"/>
  <c r="EI146" i="24"/>
  <c r="EX146" i="24" s="1"/>
  <c r="EH146" i="24"/>
  <c r="EI69" i="24"/>
  <c r="EX69" i="24" s="1"/>
  <c r="EH69" i="24"/>
  <c r="EC69" i="24"/>
  <c r="ED69" i="24" s="1"/>
  <c r="EH28" i="24"/>
  <c r="EC28" i="24"/>
  <c r="ED28" i="24" s="1"/>
  <c r="EI28" i="24"/>
  <c r="EX28" i="24" s="1"/>
  <c r="AZ106" i="19"/>
  <c r="BL106" i="19" s="1"/>
  <c r="BM106" i="19" s="1"/>
  <c r="BZ106" i="19" s="1"/>
  <c r="BK106" i="19"/>
  <c r="B289" i="2"/>
  <c r="BI106" i="19"/>
  <c r="BJ106" i="19"/>
  <c r="BC106" i="19"/>
  <c r="BB106" i="19"/>
  <c r="BD106" i="19"/>
  <c r="BG106" i="19"/>
  <c r="BU106" i="19"/>
  <c r="CA106" i="19" s="1"/>
  <c r="BH106" i="19"/>
  <c r="BA106" i="19"/>
  <c r="BF106" i="19"/>
  <c r="BS106" i="19"/>
  <c r="BE106" i="19"/>
  <c r="EI216" i="25" l="1"/>
  <c r="EP216" i="25" s="1"/>
  <c r="FB216" i="25"/>
  <c r="EK96" i="24"/>
  <c r="EQ96" i="24" s="1"/>
  <c r="ER96" i="24" s="1"/>
  <c r="EK92" i="24"/>
  <c r="EQ92" i="24" s="1"/>
  <c r="ER92" i="24" s="1"/>
  <c r="EZ96" i="24"/>
  <c r="FB96" i="24" s="1"/>
  <c r="EP212" i="25"/>
  <c r="FC212" i="25"/>
  <c r="FE212" i="25" s="1"/>
  <c r="FF212" i="25" s="1"/>
  <c r="EW243" i="24"/>
  <c r="FB243" i="24" s="1"/>
  <c r="EK67" i="24"/>
  <c r="EQ67" i="24" s="1"/>
  <c r="ER67" i="24" s="1"/>
  <c r="EK159" i="24"/>
  <c r="ER159" i="24" s="1"/>
  <c r="EW132" i="24"/>
  <c r="FB132" i="24" s="1"/>
  <c r="O110" i="24"/>
  <c r="BZ110" i="24" s="1"/>
  <c r="EW285" i="24"/>
  <c r="FB285" i="24" s="1"/>
  <c r="EZ92" i="24"/>
  <c r="FB92" i="24" s="1"/>
  <c r="EZ78" i="24"/>
  <c r="FB78" i="24" s="1"/>
  <c r="EK78" i="24"/>
  <c r="EQ78" i="24" s="1"/>
  <c r="ER78" i="24" s="1"/>
  <c r="FB242" i="24"/>
  <c r="EK60" i="24"/>
  <c r="EQ60" i="24" s="1"/>
  <c r="EZ60" i="24"/>
  <c r="FB60" i="24" s="1"/>
  <c r="FB136" i="25"/>
  <c r="EK77" i="24"/>
  <c r="EQ77" i="24" s="1"/>
  <c r="ER77" i="24" s="1"/>
  <c r="EK74" i="24"/>
  <c r="EQ74" i="24" s="1"/>
  <c r="ER74" i="24" s="1"/>
  <c r="FC216" i="24"/>
  <c r="FE216" i="24" s="1"/>
  <c r="FF216" i="24" s="1"/>
  <c r="ER216" i="24"/>
  <c r="BK216" i="24"/>
  <c r="K216" i="24"/>
  <c r="ER285" i="24"/>
  <c r="EW245" i="24"/>
  <c r="FB245" i="24" s="1"/>
  <c r="EK245" i="24"/>
  <c r="EW225" i="24"/>
  <c r="FB225" i="24" s="1"/>
  <c r="EK225" i="24"/>
  <c r="EW279" i="24"/>
  <c r="FB279" i="24" s="1"/>
  <c r="EK279" i="24"/>
  <c r="EK229" i="24"/>
  <c r="EW229" i="24"/>
  <c r="FB229" i="24" s="1"/>
  <c r="EW278" i="24"/>
  <c r="FB278" i="24" s="1"/>
  <c r="EK278" i="24"/>
  <c r="EK301" i="24"/>
  <c r="EW301" i="24"/>
  <c r="FB301" i="24" s="1"/>
  <c r="EK248" i="24"/>
  <c r="EW248" i="24"/>
  <c r="FB248" i="24" s="1"/>
  <c r="EK271" i="24"/>
  <c r="EW271" i="24"/>
  <c r="FB271" i="24" s="1"/>
  <c r="EK219" i="24"/>
  <c r="EW219" i="24"/>
  <c r="FB219" i="24" s="1"/>
  <c r="EK263" i="24"/>
  <c r="EW263" i="24"/>
  <c r="FB263" i="24" s="1"/>
  <c r="EK284" i="24"/>
  <c r="EW284" i="24"/>
  <c r="FB284" i="24" s="1"/>
  <c r="EW268" i="24"/>
  <c r="FB268" i="24" s="1"/>
  <c r="EK268" i="24"/>
  <c r="EW310" i="24"/>
  <c r="FB310" i="24" s="1"/>
  <c r="EK310" i="24"/>
  <c r="EK294" i="24"/>
  <c r="EW294" i="24"/>
  <c r="FB294" i="24" s="1"/>
  <c r="EK275" i="24"/>
  <c r="EW275" i="24"/>
  <c r="FB275" i="24" s="1"/>
  <c r="EW249" i="24"/>
  <c r="FB249" i="24" s="1"/>
  <c r="EK249" i="24"/>
  <c r="EK258" i="24"/>
  <c r="EW258" i="24"/>
  <c r="FB258" i="24" s="1"/>
  <c r="EK230" i="24"/>
  <c r="EW230" i="24"/>
  <c r="FB230" i="24" s="1"/>
  <c r="EW306" i="24"/>
  <c r="FB306" i="24" s="1"/>
  <c r="EK306" i="24"/>
  <c r="EW298" i="24"/>
  <c r="FB298" i="24" s="1"/>
  <c r="EK298" i="24"/>
  <c r="EK282" i="24"/>
  <c r="EW282" i="24"/>
  <c r="FB282" i="24" s="1"/>
  <c r="EW270" i="24"/>
  <c r="FB270" i="24" s="1"/>
  <c r="EK270" i="24"/>
  <c r="EK264" i="24"/>
  <c r="EW264" i="24"/>
  <c r="FB264" i="24" s="1"/>
  <c r="EW253" i="24"/>
  <c r="FB253" i="24" s="1"/>
  <c r="EK253" i="24"/>
  <c r="EK267" i="24"/>
  <c r="EW267" i="24"/>
  <c r="FB267" i="24" s="1"/>
  <c r="EW316" i="24"/>
  <c r="FB316" i="24" s="1"/>
  <c r="EK316" i="24"/>
  <c r="EK224" i="24"/>
  <c r="EW224" i="24"/>
  <c r="FB224" i="24" s="1"/>
  <c r="EW251" i="24"/>
  <c r="FB251" i="24" s="1"/>
  <c r="EK251" i="24"/>
  <c r="EW289" i="24"/>
  <c r="FB289" i="24" s="1"/>
  <c r="EK289" i="24"/>
  <c r="EK238" i="24"/>
  <c r="EW238" i="24"/>
  <c r="FB238" i="24" s="1"/>
  <c r="EK246" i="24"/>
  <c r="EW246" i="24"/>
  <c r="FB246" i="24" s="1"/>
  <c r="EK232" i="24"/>
  <c r="EW232" i="24"/>
  <c r="FB232" i="24" s="1"/>
  <c r="EK281" i="24"/>
  <c r="EW281" i="24"/>
  <c r="FB281" i="24" s="1"/>
  <c r="EK233" i="24"/>
  <c r="EW233" i="24"/>
  <c r="FB233" i="24" s="1"/>
  <c r="EW288" i="24"/>
  <c r="FB288" i="24" s="1"/>
  <c r="EK288" i="24"/>
  <c r="EW257" i="24"/>
  <c r="FB257" i="24" s="1"/>
  <c r="EK257" i="24"/>
  <c r="EW255" i="24"/>
  <c r="FB255" i="24" s="1"/>
  <c r="EK255" i="24"/>
  <c r="EK273" i="24"/>
  <c r="EW273" i="24"/>
  <c r="FB273" i="24" s="1"/>
  <c r="EK218" i="24"/>
  <c r="EW218" i="24"/>
  <c r="FB218" i="24" s="1"/>
  <c r="EW262" i="24"/>
  <c r="FB262" i="24" s="1"/>
  <c r="EK262" i="24"/>
  <c r="EK266" i="24"/>
  <c r="EW266" i="24"/>
  <c r="FB266" i="24" s="1"/>
  <c r="ER243" i="24"/>
  <c r="EK261" i="24"/>
  <c r="EW261" i="24"/>
  <c r="FB261" i="24" s="1"/>
  <c r="EK228" i="24"/>
  <c r="EW228" i="24"/>
  <c r="FB228" i="24" s="1"/>
  <c r="EK265" i="24"/>
  <c r="EW265" i="24"/>
  <c r="FB265" i="24" s="1"/>
  <c r="EK244" i="24"/>
  <c r="EW244" i="24"/>
  <c r="FB244" i="24" s="1"/>
  <c r="EK236" i="24"/>
  <c r="EW236" i="24"/>
  <c r="FB236" i="24" s="1"/>
  <c r="EK299" i="24"/>
  <c r="EW299" i="24"/>
  <c r="FB299" i="24" s="1"/>
  <c r="EW304" i="24"/>
  <c r="FB304" i="24" s="1"/>
  <c r="EK304" i="24"/>
  <c r="EK283" i="24"/>
  <c r="EW283" i="24"/>
  <c r="FB283" i="24" s="1"/>
  <c r="EW231" i="24"/>
  <c r="FB231" i="24" s="1"/>
  <c r="EK231" i="24"/>
  <c r="EK280" i="24"/>
  <c r="EW280" i="24"/>
  <c r="FB280" i="24" s="1"/>
  <c r="EK234" i="24"/>
  <c r="EW234" i="24"/>
  <c r="FB234" i="24" s="1"/>
  <c r="EK296" i="24"/>
  <c r="EW296" i="24"/>
  <c r="FB296" i="24" s="1"/>
  <c r="EK239" i="24"/>
  <c r="EW239" i="24"/>
  <c r="FB239" i="24" s="1"/>
  <c r="EW259" i="24"/>
  <c r="FB259" i="24" s="1"/>
  <c r="EK259" i="24"/>
  <c r="EW308" i="24"/>
  <c r="FB308" i="24" s="1"/>
  <c r="EK308" i="24"/>
  <c r="EK222" i="24"/>
  <c r="EW222" i="24"/>
  <c r="FB222" i="24" s="1"/>
  <c r="EK305" i="24"/>
  <c r="EW305" i="24"/>
  <c r="FB305" i="24" s="1"/>
  <c r="EW312" i="24"/>
  <c r="FB312" i="24" s="1"/>
  <c r="EK312" i="24"/>
  <c r="EK313" i="24"/>
  <c r="EW313" i="24"/>
  <c r="FB313" i="24" s="1"/>
  <c r="EK220" i="24"/>
  <c r="EW220" i="24"/>
  <c r="FB220" i="24" s="1"/>
  <c r="EW274" i="24"/>
  <c r="FB274" i="24" s="1"/>
  <c r="EK274" i="24"/>
  <c r="EK240" i="24"/>
  <c r="EW240" i="24"/>
  <c r="FB240" i="24" s="1"/>
  <c r="EK286" i="24"/>
  <c r="EW286" i="24"/>
  <c r="FB286" i="24" s="1"/>
  <c r="EK260" i="24"/>
  <c r="EW260" i="24"/>
  <c r="FB260" i="24" s="1"/>
  <c r="EK217" i="24"/>
  <c r="EW217" i="24"/>
  <c r="FB217" i="24" s="1"/>
  <c r="EW300" i="24"/>
  <c r="FB300" i="24" s="1"/>
  <c r="EK300" i="24"/>
  <c r="EK223" i="24"/>
  <c r="EW223" i="24"/>
  <c r="FB223" i="24" s="1"/>
  <c r="EK309" i="24"/>
  <c r="EW309" i="24"/>
  <c r="FB309" i="24" s="1"/>
  <c r="EK277" i="24"/>
  <c r="EW277" i="24"/>
  <c r="FB277" i="24" s="1"/>
  <c r="EK311" i="24"/>
  <c r="EW311" i="24"/>
  <c r="FB311" i="24" s="1"/>
  <c r="ER242" i="24"/>
  <c r="FC242" i="24"/>
  <c r="FE242" i="24" s="1"/>
  <c r="FF242" i="24" s="1"/>
  <c r="EK227" i="24"/>
  <c r="EW227" i="24"/>
  <c r="FB227" i="24" s="1"/>
  <c r="EW276" i="24"/>
  <c r="FB276" i="24" s="1"/>
  <c r="EK276" i="24"/>
  <c r="EK292" i="24"/>
  <c r="EW292" i="24"/>
  <c r="FB292" i="24" s="1"/>
  <c r="EW235" i="24"/>
  <c r="FB235" i="24" s="1"/>
  <c r="EK235" i="24"/>
  <c r="EK315" i="24"/>
  <c r="EW315" i="24"/>
  <c r="FB315" i="24" s="1"/>
  <c r="EK252" i="24"/>
  <c r="EW252" i="24"/>
  <c r="FB252" i="24" s="1"/>
  <c r="EW293" i="24"/>
  <c r="FB293" i="24" s="1"/>
  <c r="EK293" i="24"/>
  <c r="EW314" i="24"/>
  <c r="FB314" i="24" s="1"/>
  <c r="EK314" i="24"/>
  <c r="EW295" i="24"/>
  <c r="FB295" i="24" s="1"/>
  <c r="EK295" i="24"/>
  <c r="EK269" i="24"/>
  <c r="EW269" i="24"/>
  <c r="FB269" i="24" s="1"/>
  <c r="EW241" i="24"/>
  <c r="FB241" i="24" s="1"/>
  <c r="EK241" i="24"/>
  <c r="EW287" i="24"/>
  <c r="FB287" i="24" s="1"/>
  <c r="EK287" i="24"/>
  <c r="EK297" i="24"/>
  <c r="EW297" i="24"/>
  <c r="FB297" i="24" s="1"/>
  <c r="EK303" i="24"/>
  <c r="EW303" i="24"/>
  <c r="FB303" i="24" s="1"/>
  <c r="EK272" i="24"/>
  <c r="EW272" i="24"/>
  <c r="FB272" i="24" s="1"/>
  <c r="EK256" i="24"/>
  <c r="EW256" i="24"/>
  <c r="FB256" i="24" s="1"/>
  <c r="EK307" i="24"/>
  <c r="EW307" i="24"/>
  <c r="FB307" i="24" s="1"/>
  <c r="EW290" i="24"/>
  <c r="FB290" i="24" s="1"/>
  <c r="EK290" i="24"/>
  <c r="EK226" i="24"/>
  <c r="EW226" i="24"/>
  <c r="FB226" i="24" s="1"/>
  <c r="EW247" i="24"/>
  <c r="FB247" i="24" s="1"/>
  <c r="EK247" i="24"/>
  <c r="EK254" i="24"/>
  <c r="EW254" i="24"/>
  <c r="FB254" i="24" s="1"/>
  <c r="EK221" i="24"/>
  <c r="EW221" i="24"/>
  <c r="FB221" i="24" s="1"/>
  <c r="EW237" i="24"/>
  <c r="FB237" i="24" s="1"/>
  <c r="EK237" i="24"/>
  <c r="EK291" i="24"/>
  <c r="EW291" i="24"/>
  <c r="FB291" i="24" s="1"/>
  <c r="EW302" i="24"/>
  <c r="FB302" i="24" s="1"/>
  <c r="EK302" i="24"/>
  <c r="EK250" i="24"/>
  <c r="EW250" i="24"/>
  <c r="FB250" i="24" s="1"/>
  <c r="EP217" i="25"/>
  <c r="FC217" i="25"/>
  <c r="FE217" i="25" s="1"/>
  <c r="FF217" i="25" s="1"/>
  <c r="EP256" i="25"/>
  <c r="FC256" i="25"/>
  <c r="FE256" i="25" s="1"/>
  <c r="FF256" i="25" s="1"/>
  <c r="EP273" i="25"/>
  <c r="FC273" i="25"/>
  <c r="FE273" i="25" s="1"/>
  <c r="FF273" i="25" s="1"/>
  <c r="FC221" i="25"/>
  <c r="FE221" i="25" s="1"/>
  <c r="FF221" i="25" s="1"/>
  <c r="EP221" i="25"/>
  <c r="FC226" i="25"/>
  <c r="FE226" i="25" s="1"/>
  <c r="FF226" i="25" s="1"/>
  <c r="EP226" i="25"/>
  <c r="EP240" i="25"/>
  <c r="FC240" i="25"/>
  <c r="FE240" i="25" s="1"/>
  <c r="FF240" i="25" s="1"/>
  <c r="EP249" i="25"/>
  <c r="FC249" i="25"/>
  <c r="FE249" i="25" s="1"/>
  <c r="FF249" i="25" s="1"/>
  <c r="FC282" i="25"/>
  <c r="FE282" i="25" s="1"/>
  <c r="FF282" i="25" s="1"/>
  <c r="EP282" i="25"/>
  <c r="EP227" i="25"/>
  <c r="FC227" i="25"/>
  <c r="FE227" i="25" s="1"/>
  <c r="FF227" i="25" s="1"/>
  <c r="EP301" i="25"/>
  <c r="FC301" i="25"/>
  <c r="FE301" i="25" s="1"/>
  <c r="FF301" i="25" s="1"/>
  <c r="FC279" i="25"/>
  <c r="FE279" i="25" s="1"/>
  <c r="FF279" i="25" s="1"/>
  <c r="EP279" i="25"/>
  <c r="FC233" i="25"/>
  <c r="FE233" i="25" s="1"/>
  <c r="FF233" i="25" s="1"/>
  <c r="EP233" i="25"/>
  <c r="EP284" i="25"/>
  <c r="FC284" i="25"/>
  <c r="FE284" i="25" s="1"/>
  <c r="FF284" i="25" s="1"/>
  <c r="FC311" i="25"/>
  <c r="FE311" i="25" s="1"/>
  <c r="FF311" i="25" s="1"/>
  <c r="EP311" i="25"/>
  <c r="EP306" i="25"/>
  <c r="FC306" i="25"/>
  <c r="FE306" i="25" s="1"/>
  <c r="FF306" i="25" s="1"/>
  <c r="EP280" i="25"/>
  <c r="FC280" i="25"/>
  <c r="FE280" i="25" s="1"/>
  <c r="FF280" i="25" s="1"/>
  <c r="FC246" i="25"/>
  <c r="FE246" i="25" s="1"/>
  <c r="FF246" i="25" s="1"/>
  <c r="EP246" i="25"/>
  <c r="EP263" i="25"/>
  <c r="FC263" i="25"/>
  <c r="FE263" i="25" s="1"/>
  <c r="FF263" i="25" s="1"/>
  <c r="EP312" i="25"/>
  <c r="FC312" i="25"/>
  <c r="FE312" i="25" s="1"/>
  <c r="FF312" i="25" s="1"/>
  <c r="FC243" i="25"/>
  <c r="FE243" i="25" s="1"/>
  <c r="FF243" i="25" s="1"/>
  <c r="EP243" i="25"/>
  <c r="EP275" i="25"/>
  <c r="FC275" i="25"/>
  <c r="FE275" i="25" s="1"/>
  <c r="FF275" i="25" s="1"/>
  <c r="EP259" i="25"/>
  <c r="FC259" i="25"/>
  <c r="FE259" i="25" s="1"/>
  <c r="FF259" i="25" s="1"/>
  <c r="EP315" i="25"/>
  <c r="FC315" i="25"/>
  <c r="FE315" i="25" s="1"/>
  <c r="FF315" i="25" s="1"/>
  <c r="EP296" i="25"/>
  <c r="FC296" i="25"/>
  <c r="FE296" i="25" s="1"/>
  <c r="FF296" i="25" s="1"/>
  <c r="EP281" i="25"/>
  <c r="FC281" i="25"/>
  <c r="FE281" i="25" s="1"/>
  <c r="FF281" i="25" s="1"/>
  <c r="EP254" i="25"/>
  <c r="FC254" i="25"/>
  <c r="FE254" i="25" s="1"/>
  <c r="FF254" i="25" s="1"/>
  <c r="EP234" i="25"/>
  <c r="FC234" i="25"/>
  <c r="FE234" i="25" s="1"/>
  <c r="FF234" i="25" s="1"/>
  <c r="EP309" i="25"/>
  <c r="FC309" i="25"/>
  <c r="FE309" i="25" s="1"/>
  <c r="FF309" i="25" s="1"/>
  <c r="EP288" i="25"/>
  <c r="FC288" i="25"/>
  <c r="FE288" i="25" s="1"/>
  <c r="FF288" i="25" s="1"/>
  <c r="FC222" i="25"/>
  <c r="FE222" i="25" s="1"/>
  <c r="FF222" i="25" s="1"/>
  <c r="EP222" i="25"/>
  <c r="EP261" i="25"/>
  <c r="FC261" i="25"/>
  <c r="FE261" i="25" s="1"/>
  <c r="FF261" i="25" s="1"/>
  <c r="EP316" i="25"/>
  <c r="FC316" i="25"/>
  <c r="FE316" i="25" s="1"/>
  <c r="FF316" i="25" s="1"/>
  <c r="EP239" i="25"/>
  <c r="FC239" i="25"/>
  <c r="FE239" i="25" s="1"/>
  <c r="FF239" i="25" s="1"/>
  <c r="EP253" i="25"/>
  <c r="FC253" i="25"/>
  <c r="FE253" i="25" s="1"/>
  <c r="FF253" i="25" s="1"/>
  <c r="FC286" i="25"/>
  <c r="FE286" i="25" s="1"/>
  <c r="FF286" i="25" s="1"/>
  <c r="EP286" i="25"/>
  <c r="EP290" i="25"/>
  <c r="FC290" i="25"/>
  <c r="FE290" i="25" s="1"/>
  <c r="FF290" i="25" s="1"/>
  <c r="EP283" i="25"/>
  <c r="FC283" i="25"/>
  <c r="FE283" i="25" s="1"/>
  <c r="FF283" i="25" s="1"/>
  <c r="EP303" i="25"/>
  <c r="FC303" i="25"/>
  <c r="FE303" i="25" s="1"/>
  <c r="FF303" i="25" s="1"/>
  <c r="EP245" i="25"/>
  <c r="FC245" i="25"/>
  <c r="FE245" i="25" s="1"/>
  <c r="FF245" i="25" s="1"/>
  <c r="FC260" i="25"/>
  <c r="FE260" i="25" s="1"/>
  <c r="FF260" i="25" s="1"/>
  <c r="EP260" i="25"/>
  <c r="FC224" i="25"/>
  <c r="FE224" i="25" s="1"/>
  <c r="FF224" i="25" s="1"/>
  <c r="EP224" i="25"/>
  <c r="EP241" i="25"/>
  <c r="FC241" i="25"/>
  <c r="FE241" i="25" s="1"/>
  <c r="FF241" i="25" s="1"/>
  <c r="FC271" i="25"/>
  <c r="FE271" i="25" s="1"/>
  <c r="FF271" i="25" s="1"/>
  <c r="EP271" i="25"/>
  <c r="EP267" i="25"/>
  <c r="FC267" i="25"/>
  <c r="FE267" i="25" s="1"/>
  <c r="FF267" i="25" s="1"/>
  <c r="EP250" i="25"/>
  <c r="FC250" i="25"/>
  <c r="FE250" i="25" s="1"/>
  <c r="FF250" i="25" s="1"/>
  <c r="EP307" i="25"/>
  <c r="FC307" i="25"/>
  <c r="FE307" i="25" s="1"/>
  <c r="FF307" i="25" s="1"/>
  <c r="EP268" i="25"/>
  <c r="FC268" i="25"/>
  <c r="FE268" i="25" s="1"/>
  <c r="FF268" i="25" s="1"/>
  <c r="FC251" i="25"/>
  <c r="FE251" i="25" s="1"/>
  <c r="FF251" i="25" s="1"/>
  <c r="EP251" i="25"/>
  <c r="EP299" i="25"/>
  <c r="FC299" i="25"/>
  <c r="FE299" i="25" s="1"/>
  <c r="FF299" i="25" s="1"/>
  <c r="FC247" i="25"/>
  <c r="FE247" i="25" s="1"/>
  <c r="FF247" i="25" s="1"/>
  <c r="EP247" i="25"/>
  <c r="EP220" i="25"/>
  <c r="FC220" i="25"/>
  <c r="FE220" i="25" s="1"/>
  <c r="FF220" i="25" s="1"/>
  <c r="EP297" i="25"/>
  <c r="FC297" i="25"/>
  <c r="FE297" i="25" s="1"/>
  <c r="FF297" i="25" s="1"/>
  <c r="EP314" i="25"/>
  <c r="FC314" i="25"/>
  <c r="FE314" i="25" s="1"/>
  <c r="FF314" i="25" s="1"/>
  <c r="FC272" i="25"/>
  <c r="FE272" i="25" s="1"/>
  <c r="FF272" i="25" s="1"/>
  <c r="EP272" i="25"/>
  <c r="FC310" i="25"/>
  <c r="FE310" i="25" s="1"/>
  <c r="FF310" i="25" s="1"/>
  <c r="EP310" i="25"/>
  <c r="EP285" i="25"/>
  <c r="FC285" i="25"/>
  <c r="FE285" i="25" s="1"/>
  <c r="FF285" i="25" s="1"/>
  <c r="FC232" i="25"/>
  <c r="FE232" i="25" s="1"/>
  <c r="FF232" i="25" s="1"/>
  <c r="EP232" i="25"/>
  <c r="EP244" i="25"/>
  <c r="FC244" i="25"/>
  <c r="FE244" i="25" s="1"/>
  <c r="FF244" i="25" s="1"/>
  <c r="FC223" i="25"/>
  <c r="FE223" i="25" s="1"/>
  <c r="FF223" i="25" s="1"/>
  <c r="EP223" i="25"/>
  <c r="FC218" i="25"/>
  <c r="FE218" i="25" s="1"/>
  <c r="FF218" i="25" s="1"/>
  <c r="EP218" i="25"/>
  <c r="EP242" i="25"/>
  <c r="FC242" i="25"/>
  <c r="FE242" i="25" s="1"/>
  <c r="FF242" i="25" s="1"/>
  <c r="EP292" i="25"/>
  <c r="FC292" i="25"/>
  <c r="FE292" i="25" s="1"/>
  <c r="FF292" i="25" s="1"/>
  <c r="EP308" i="25"/>
  <c r="FC308" i="25"/>
  <c r="FE308" i="25" s="1"/>
  <c r="FF308" i="25" s="1"/>
  <c r="EP265" i="25"/>
  <c r="FC265" i="25"/>
  <c r="FE265" i="25" s="1"/>
  <c r="FF265" i="25" s="1"/>
  <c r="FC277" i="25"/>
  <c r="FE277" i="25" s="1"/>
  <c r="FF277" i="25" s="1"/>
  <c r="EP277" i="25"/>
  <c r="EP236" i="25"/>
  <c r="FC236" i="25"/>
  <c r="FE236" i="25" s="1"/>
  <c r="FF236" i="25" s="1"/>
  <c r="EP287" i="25"/>
  <c r="FC287" i="25"/>
  <c r="FE287" i="25" s="1"/>
  <c r="FF287" i="25" s="1"/>
  <c r="EP264" i="25"/>
  <c r="FC264" i="25"/>
  <c r="FE264" i="25" s="1"/>
  <c r="FF264" i="25" s="1"/>
  <c r="EP313" i="25"/>
  <c r="FC313" i="25"/>
  <c r="FE313" i="25" s="1"/>
  <c r="FF313" i="25" s="1"/>
  <c r="FC302" i="25"/>
  <c r="FE302" i="25" s="1"/>
  <c r="FF302" i="25" s="1"/>
  <c r="EP302" i="25"/>
  <c r="EP225" i="25"/>
  <c r="FC225" i="25"/>
  <c r="FE225" i="25" s="1"/>
  <c r="FF225" i="25" s="1"/>
  <c r="FC295" i="25"/>
  <c r="FE295" i="25" s="1"/>
  <c r="FF295" i="25" s="1"/>
  <c r="EP295" i="25"/>
  <c r="FC266" i="25"/>
  <c r="FE266" i="25" s="1"/>
  <c r="FF266" i="25" s="1"/>
  <c r="EP266" i="25"/>
  <c r="EP298" i="25"/>
  <c r="FC298" i="25"/>
  <c r="FE298" i="25" s="1"/>
  <c r="FF298" i="25" s="1"/>
  <c r="FC219" i="25"/>
  <c r="FE219" i="25" s="1"/>
  <c r="FF219" i="25" s="1"/>
  <c r="EP219" i="25"/>
  <c r="FC300" i="25"/>
  <c r="FE300" i="25" s="1"/>
  <c r="FF300" i="25" s="1"/>
  <c r="EP300" i="25"/>
  <c r="FC235" i="25"/>
  <c r="FE235" i="25" s="1"/>
  <c r="FF235" i="25" s="1"/>
  <c r="EP235" i="25"/>
  <c r="EP269" i="25"/>
  <c r="FC269" i="25"/>
  <c r="FE269" i="25" s="1"/>
  <c r="FF269" i="25" s="1"/>
  <c r="EP304" i="25"/>
  <c r="FC304" i="25"/>
  <c r="FE304" i="25" s="1"/>
  <c r="FF304" i="25" s="1"/>
  <c r="EP229" i="25"/>
  <c r="FC229" i="25"/>
  <c r="FE229" i="25" s="1"/>
  <c r="FF229" i="25" s="1"/>
  <c r="EP289" i="25"/>
  <c r="FC289" i="25"/>
  <c r="FE289" i="25" s="1"/>
  <c r="FF289" i="25" s="1"/>
  <c r="FC262" i="25"/>
  <c r="FE262" i="25" s="1"/>
  <c r="FF262" i="25" s="1"/>
  <c r="EP262" i="25"/>
  <c r="FC231" i="25"/>
  <c r="FE231" i="25" s="1"/>
  <c r="FF231" i="25" s="1"/>
  <c r="EP231" i="25"/>
  <c r="EP293" i="25"/>
  <c r="FC293" i="25"/>
  <c r="FE293" i="25" s="1"/>
  <c r="FF293" i="25" s="1"/>
  <c r="EP270" i="25"/>
  <c r="FC270" i="25"/>
  <c r="FE270" i="25" s="1"/>
  <c r="FF270" i="25" s="1"/>
  <c r="FC258" i="25"/>
  <c r="FE258" i="25" s="1"/>
  <c r="FF258" i="25" s="1"/>
  <c r="EP258" i="25"/>
  <c r="EP291" i="25"/>
  <c r="FC291" i="25"/>
  <c r="FE291" i="25" s="1"/>
  <c r="FF291" i="25" s="1"/>
  <c r="EP228" i="25"/>
  <c r="FC228" i="25"/>
  <c r="FE228" i="25" s="1"/>
  <c r="FF228" i="25" s="1"/>
  <c r="EP276" i="25"/>
  <c r="FC276" i="25"/>
  <c r="FE276" i="25" s="1"/>
  <c r="FF276" i="25" s="1"/>
  <c r="EP248" i="25"/>
  <c r="FC248" i="25"/>
  <c r="FE248" i="25" s="1"/>
  <c r="FF248" i="25" s="1"/>
  <c r="EP238" i="25"/>
  <c r="FC238" i="25"/>
  <c r="FE238" i="25" s="1"/>
  <c r="FF238" i="25" s="1"/>
  <c r="FC257" i="25"/>
  <c r="FE257" i="25" s="1"/>
  <c r="FF257" i="25" s="1"/>
  <c r="EP257" i="25"/>
  <c r="EP255" i="25"/>
  <c r="FC255" i="25"/>
  <c r="FE255" i="25" s="1"/>
  <c r="FF255" i="25" s="1"/>
  <c r="FC230" i="25"/>
  <c r="FE230" i="25" s="1"/>
  <c r="FF230" i="25" s="1"/>
  <c r="EP230" i="25"/>
  <c r="EP305" i="25"/>
  <c r="FC305" i="25"/>
  <c r="FE305" i="25" s="1"/>
  <c r="FF305" i="25" s="1"/>
  <c r="EP237" i="25"/>
  <c r="FC237" i="25"/>
  <c r="FE237" i="25" s="1"/>
  <c r="FF237" i="25" s="1"/>
  <c r="FC294" i="25"/>
  <c r="FE294" i="25" s="1"/>
  <c r="FF294" i="25" s="1"/>
  <c r="EP294" i="25"/>
  <c r="FC278" i="25"/>
  <c r="FE278" i="25" s="1"/>
  <c r="FF278" i="25" s="1"/>
  <c r="EP278" i="25"/>
  <c r="FC274" i="25"/>
  <c r="FE274" i="25" s="1"/>
  <c r="FF274" i="25" s="1"/>
  <c r="EP274" i="25"/>
  <c r="EP252" i="25"/>
  <c r="FC252" i="25"/>
  <c r="FE252" i="25" s="1"/>
  <c r="FF252" i="25" s="1"/>
  <c r="EZ74" i="24"/>
  <c r="FB74" i="24" s="1"/>
  <c r="EK142" i="24"/>
  <c r="FC142" i="24" s="1"/>
  <c r="FE142" i="24" s="1"/>
  <c r="FF142" i="24" s="1"/>
  <c r="FC112" i="25"/>
  <c r="FE112" i="25" s="1"/>
  <c r="FF112" i="25" s="1"/>
  <c r="EP112" i="25"/>
  <c r="EZ43" i="24"/>
  <c r="FB43" i="24" s="1"/>
  <c r="EK39" i="24"/>
  <c r="EQ39" i="24" s="1"/>
  <c r="ER39" i="24" s="1"/>
  <c r="EZ39" i="24"/>
  <c r="FB39" i="24" s="1"/>
  <c r="EW152" i="24"/>
  <c r="FB152" i="24" s="1"/>
  <c r="EK52" i="24"/>
  <c r="EQ52" i="24" s="1"/>
  <c r="ER52" i="24" s="1"/>
  <c r="FC47" i="25"/>
  <c r="FE47" i="25" s="1"/>
  <c r="FF47" i="25" s="1"/>
  <c r="EK63" i="24"/>
  <c r="EQ63" i="24" s="1"/>
  <c r="ER63" i="24" s="1"/>
  <c r="EZ55" i="24"/>
  <c r="FB55" i="24" s="1"/>
  <c r="EW37" i="24"/>
  <c r="EZ37" i="24" s="1"/>
  <c r="FB37" i="24" s="1"/>
  <c r="EK44" i="24"/>
  <c r="EQ44" i="24" s="1"/>
  <c r="ER44" i="24" s="1"/>
  <c r="EZ44" i="24"/>
  <c r="FB44" i="24" s="1"/>
  <c r="FC96" i="25"/>
  <c r="FE96" i="25" s="1"/>
  <c r="FF96" i="25" s="1"/>
  <c r="EW83" i="24"/>
  <c r="EZ83" i="24" s="1"/>
  <c r="FB83" i="24" s="1"/>
  <c r="EW186" i="24"/>
  <c r="FB186" i="24" s="1"/>
  <c r="EW134" i="24"/>
  <c r="FC134" i="24" s="1"/>
  <c r="FE134" i="24" s="1"/>
  <c r="FF134" i="24" s="1"/>
  <c r="EW160" i="24"/>
  <c r="FB160" i="24" s="1"/>
  <c r="FB133" i="24"/>
  <c r="FC164" i="25"/>
  <c r="FE164" i="25" s="1"/>
  <c r="FF164" i="25" s="1"/>
  <c r="EK169" i="24"/>
  <c r="EW169" i="24"/>
  <c r="FB169" i="24" s="1"/>
  <c r="EK133" i="24"/>
  <c r="ER133" i="24" s="1"/>
  <c r="EK111" i="24"/>
  <c r="FC111" i="24" s="1"/>
  <c r="FE111" i="24" s="1"/>
  <c r="FF111" i="24" s="1"/>
  <c r="EZ52" i="24"/>
  <c r="FB52" i="24" s="1"/>
  <c r="EW126" i="24"/>
  <c r="FB126" i="24" s="1"/>
  <c r="EW127" i="24"/>
  <c r="FB127" i="24" s="1"/>
  <c r="FC128" i="25"/>
  <c r="FE128" i="25" s="1"/>
  <c r="FF128" i="25" s="1"/>
  <c r="FC64" i="25"/>
  <c r="FE64" i="25" s="1"/>
  <c r="FF64" i="25" s="1"/>
  <c r="FC103" i="25"/>
  <c r="FE103" i="25" s="1"/>
  <c r="FF103" i="25" s="1"/>
  <c r="EP96" i="25"/>
  <c r="EW104" i="24"/>
  <c r="EZ104" i="24" s="1"/>
  <c r="FB104" i="24" s="1"/>
  <c r="EW136" i="24"/>
  <c r="FB136" i="24" s="1"/>
  <c r="FC89" i="25"/>
  <c r="FE89" i="25" s="1"/>
  <c r="FF89" i="25" s="1"/>
  <c r="EW48" i="24"/>
  <c r="EZ48" i="24" s="1"/>
  <c r="EW30" i="24"/>
  <c r="EZ30" i="24" s="1"/>
  <c r="FB30" i="24" s="1"/>
  <c r="FC93" i="25"/>
  <c r="FE93" i="25" s="1"/>
  <c r="FF93" i="25" s="1"/>
  <c r="FC145" i="25"/>
  <c r="FE145" i="25" s="1"/>
  <c r="FF145" i="25" s="1"/>
  <c r="FB111" i="24"/>
  <c r="EP47" i="25"/>
  <c r="FC156" i="25"/>
  <c r="FE156" i="25" s="1"/>
  <c r="FF156" i="25" s="1"/>
  <c r="FC183" i="25"/>
  <c r="FE183" i="25" s="1"/>
  <c r="FF183" i="25" s="1"/>
  <c r="EK14" i="24"/>
  <c r="EQ14" i="24" s="1"/>
  <c r="FB192" i="24"/>
  <c r="EZ63" i="24"/>
  <c r="FB63" i="24" s="1"/>
  <c r="EK55" i="24"/>
  <c r="EQ55" i="24" s="1"/>
  <c r="ER55" i="24" s="1"/>
  <c r="EK40" i="24"/>
  <c r="EQ40" i="24" s="1"/>
  <c r="ER40" i="24" s="1"/>
  <c r="EW71" i="24"/>
  <c r="EZ71" i="24" s="1"/>
  <c r="FB172" i="24"/>
  <c r="EW29" i="24"/>
  <c r="EZ29" i="24" s="1"/>
  <c r="FB29" i="24" s="1"/>
  <c r="EW199" i="24"/>
  <c r="FB199" i="24" s="1"/>
  <c r="EZ14" i="24"/>
  <c r="FB14" i="24" s="1"/>
  <c r="FC131" i="25"/>
  <c r="FE131" i="25" s="1"/>
  <c r="FF131" i="25" s="1"/>
  <c r="FC74" i="25"/>
  <c r="FE74" i="25" s="1"/>
  <c r="FF74" i="25" s="1"/>
  <c r="EK62" i="24"/>
  <c r="EQ62" i="24" s="1"/>
  <c r="ER62" i="24" s="1"/>
  <c r="FC185" i="25"/>
  <c r="FE185" i="25" s="1"/>
  <c r="FF185" i="25" s="1"/>
  <c r="EZ81" i="24"/>
  <c r="FB81" i="24" s="1"/>
  <c r="EK192" i="24"/>
  <c r="ER192" i="24" s="1"/>
  <c r="EK172" i="24"/>
  <c r="ER172" i="24" s="1"/>
  <c r="FB159" i="24"/>
  <c r="EW147" i="24"/>
  <c r="FC147" i="24" s="1"/>
  <c r="FE147" i="24" s="1"/>
  <c r="FF147" i="24" s="1"/>
  <c r="FC173" i="25"/>
  <c r="FE173" i="25" s="1"/>
  <c r="FF173" i="25" s="1"/>
  <c r="FC17" i="25"/>
  <c r="FE17" i="25" s="1"/>
  <c r="FF17" i="25" s="1"/>
  <c r="FC33" i="25"/>
  <c r="FE33" i="25" s="1"/>
  <c r="FF33" i="25" s="1"/>
  <c r="EP158" i="25"/>
  <c r="FC97" i="25"/>
  <c r="FE97" i="25" s="1"/>
  <c r="FF97" i="25" s="1"/>
  <c r="FB170" i="24"/>
  <c r="FC95" i="25"/>
  <c r="FE95" i="25" s="1"/>
  <c r="FF95" i="25" s="1"/>
  <c r="EP95" i="25"/>
  <c r="EK170" i="24"/>
  <c r="FC170" i="24" s="1"/>
  <c r="FE170" i="24" s="1"/>
  <c r="FF170" i="24" s="1"/>
  <c r="EK81" i="24"/>
  <c r="EQ81" i="24" s="1"/>
  <c r="ER81" i="24" s="1"/>
  <c r="EK43" i="24"/>
  <c r="EQ43" i="24" s="1"/>
  <c r="ER43" i="24" s="1"/>
  <c r="EK23" i="24"/>
  <c r="EQ23" i="24" s="1"/>
  <c r="ER23" i="24" s="1"/>
  <c r="FC99" i="25"/>
  <c r="FE99" i="25" s="1"/>
  <c r="FF99" i="25" s="1"/>
  <c r="FC90" i="25"/>
  <c r="FE90" i="25" s="1"/>
  <c r="FF90" i="25" s="1"/>
  <c r="EP199" i="25"/>
  <c r="FC77" i="25"/>
  <c r="FE77" i="25" s="1"/>
  <c r="FF77" i="25" s="1"/>
  <c r="FC58" i="25"/>
  <c r="FE58" i="25" s="1"/>
  <c r="FF58" i="25" s="1"/>
  <c r="EP137" i="25"/>
  <c r="FC37" i="25"/>
  <c r="FE37" i="25" s="1"/>
  <c r="FF37" i="25" s="1"/>
  <c r="FC42" i="25"/>
  <c r="FE42" i="25" s="1"/>
  <c r="FF42" i="25" s="1"/>
  <c r="FC73" i="25"/>
  <c r="FE73" i="25" s="1"/>
  <c r="FF73" i="25" s="1"/>
  <c r="FC56" i="25"/>
  <c r="FE56" i="25" s="1"/>
  <c r="FF56" i="25" s="1"/>
  <c r="EW10" i="24"/>
  <c r="EZ10" i="24" s="1"/>
  <c r="FB10" i="24" s="1"/>
  <c r="FB169" i="25"/>
  <c r="FC178" i="25"/>
  <c r="FE178" i="25" s="1"/>
  <c r="FF178" i="25" s="1"/>
  <c r="EZ40" i="24"/>
  <c r="FB40" i="24" s="1"/>
  <c r="FC194" i="25"/>
  <c r="FE194" i="25" s="1"/>
  <c r="FF194" i="25" s="1"/>
  <c r="S216" i="24"/>
  <c r="T216" i="24" s="1"/>
  <c r="M216" i="24"/>
  <c r="N216" i="24" s="1"/>
  <c r="EK90" i="24"/>
  <c r="EQ90" i="24" s="1"/>
  <c r="EW90" i="24"/>
  <c r="EZ90" i="24" s="1"/>
  <c r="FB90" i="24" s="1"/>
  <c r="FB142" i="24"/>
  <c r="EK99" i="24"/>
  <c r="EQ99" i="24" s="1"/>
  <c r="ER99" i="24" s="1"/>
  <c r="EW124" i="24"/>
  <c r="FB124" i="24" s="1"/>
  <c r="FC171" i="25"/>
  <c r="FE171" i="25" s="1"/>
  <c r="FF171" i="25" s="1"/>
  <c r="EZ99" i="24"/>
  <c r="FB99" i="24" s="1"/>
  <c r="FC83" i="25"/>
  <c r="FE83" i="25" s="1"/>
  <c r="FF83" i="25" s="1"/>
  <c r="FC129" i="25"/>
  <c r="FE129" i="25" s="1"/>
  <c r="FF129" i="25" s="1"/>
  <c r="EP141" i="25"/>
  <c r="EZ23" i="24"/>
  <c r="FB23" i="24" s="1"/>
  <c r="EW201" i="24"/>
  <c r="FB201" i="24" s="1"/>
  <c r="EZ67" i="24"/>
  <c r="FB67" i="24" s="1"/>
  <c r="EZ77" i="24"/>
  <c r="FB77" i="24" s="1"/>
  <c r="FC25" i="25"/>
  <c r="FE25" i="25" s="1"/>
  <c r="FF25" i="25" s="1"/>
  <c r="Q110" i="24"/>
  <c r="AP110" i="24"/>
  <c r="P110" i="24"/>
  <c r="V110" i="24"/>
  <c r="W110" i="24"/>
  <c r="AE110" i="24"/>
  <c r="AI110" i="24"/>
  <c r="X110" i="24"/>
  <c r="AA110" i="24" s="1"/>
  <c r="AB110" i="24" s="1"/>
  <c r="AC110" i="24" s="1"/>
  <c r="FC49" i="25"/>
  <c r="FE49" i="25" s="1"/>
  <c r="FF49" i="25" s="1"/>
  <c r="FC34" i="25"/>
  <c r="FE34" i="25" s="1"/>
  <c r="FF34" i="25" s="1"/>
  <c r="FC81" i="25"/>
  <c r="FE81" i="25" s="1"/>
  <c r="FF81" i="25" s="1"/>
  <c r="EP180" i="25"/>
  <c r="FC87" i="25"/>
  <c r="FE87" i="25" s="1"/>
  <c r="FF87" i="25" s="1"/>
  <c r="FC9" i="25"/>
  <c r="FE9" i="25" s="1"/>
  <c r="FF9" i="25" s="1"/>
  <c r="FC111" i="25"/>
  <c r="FE111" i="25" s="1"/>
  <c r="FF111" i="25" s="1"/>
  <c r="FC23" i="25"/>
  <c r="FE23" i="25" s="1"/>
  <c r="FF23" i="25" s="1"/>
  <c r="EW13" i="24"/>
  <c r="EZ13" i="24" s="1"/>
  <c r="FB13" i="24" s="1"/>
  <c r="EZ62" i="24"/>
  <c r="FB62" i="24" s="1"/>
  <c r="FC72" i="25"/>
  <c r="FE72" i="25" s="1"/>
  <c r="FF72" i="25" s="1"/>
  <c r="EP72" i="25"/>
  <c r="EP10" i="25"/>
  <c r="FC10" i="25"/>
  <c r="FE10" i="25" s="1"/>
  <c r="FF10" i="25" s="1"/>
  <c r="EP210" i="25"/>
  <c r="FC210" i="25"/>
  <c r="FE210" i="25" s="1"/>
  <c r="FF210" i="25" s="1"/>
  <c r="FC195" i="25"/>
  <c r="FE195" i="25" s="1"/>
  <c r="FF195" i="25" s="1"/>
  <c r="EP195" i="25"/>
  <c r="EP134" i="25"/>
  <c r="FC134" i="25"/>
  <c r="FE134" i="25" s="1"/>
  <c r="FF134" i="25" s="1"/>
  <c r="FC60" i="25"/>
  <c r="FE60" i="25" s="1"/>
  <c r="FF60" i="25" s="1"/>
  <c r="EP60" i="25"/>
  <c r="EP154" i="25"/>
  <c r="FC154" i="25"/>
  <c r="FE154" i="25" s="1"/>
  <c r="FF154" i="25" s="1"/>
  <c r="EP150" i="25"/>
  <c r="FC150" i="25"/>
  <c r="FE150" i="25" s="1"/>
  <c r="FF150" i="25" s="1"/>
  <c r="FC113" i="25"/>
  <c r="FE113" i="25" s="1"/>
  <c r="FF113" i="25" s="1"/>
  <c r="EP113" i="25"/>
  <c r="FC148" i="25"/>
  <c r="FE148" i="25" s="1"/>
  <c r="FF148" i="25" s="1"/>
  <c r="EP148" i="25"/>
  <c r="EP20" i="25"/>
  <c r="FC20" i="25"/>
  <c r="FE20" i="25" s="1"/>
  <c r="FF20" i="25" s="1"/>
  <c r="EP142" i="25"/>
  <c r="FC142" i="25"/>
  <c r="FE142" i="25" s="1"/>
  <c r="FF142" i="25" s="1"/>
  <c r="EP53" i="25"/>
  <c r="FC53" i="25"/>
  <c r="FE53" i="25" s="1"/>
  <c r="FF53" i="25" s="1"/>
  <c r="EP196" i="25"/>
  <c r="FC196" i="25"/>
  <c r="FE196" i="25" s="1"/>
  <c r="FF196" i="25" s="1"/>
  <c r="FC16" i="25"/>
  <c r="FE16" i="25" s="1"/>
  <c r="FF16" i="25" s="1"/>
  <c r="EP16" i="25"/>
  <c r="FC202" i="25"/>
  <c r="FE202" i="25" s="1"/>
  <c r="FF202" i="25" s="1"/>
  <c r="EP202" i="25"/>
  <c r="FC152" i="25"/>
  <c r="FE152" i="25" s="1"/>
  <c r="FF152" i="25" s="1"/>
  <c r="EP152" i="25"/>
  <c r="EP167" i="25"/>
  <c r="FC167" i="25"/>
  <c r="FE167" i="25" s="1"/>
  <c r="FF167" i="25" s="1"/>
  <c r="FC127" i="25"/>
  <c r="FE127" i="25" s="1"/>
  <c r="FF127" i="25" s="1"/>
  <c r="EP127" i="25"/>
  <c r="FC163" i="25"/>
  <c r="FE163" i="25" s="1"/>
  <c r="FF163" i="25" s="1"/>
  <c r="EP163" i="25"/>
  <c r="FC110" i="25"/>
  <c r="FE110" i="25" s="1"/>
  <c r="FF110" i="25" s="1"/>
  <c r="EP110" i="25"/>
  <c r="FC124" i="25"/>
  <c r="FE124" i="25" s="1"/>
  <c r="FF124" i="25" s="1"/>
  <c r="EP124" i="25"/>
  <c r="EP125" i="25"/>
  <c r="FC125" i="25"/>
  <c r="FE125" i="25" s="1"/>
  <c r="FF125" i="25" s="1"/>
  <c r="FC52" i="25"/>
  <c r="FE52" i="25" s="1"/>
  <c r="FF52" i="25" s="1"/>
  <c r="EP52" i="25"/>
  <c r="FC126" i="25"/>
  <c r="FE126" i="25" s="1"/>
  <c r="FF126" i="25" s="1"/>
  <c r="EP126" i="25"/>
  <c r="FC184" i="25"/>
  <c r="FE184" i="25" s="1"/>
  <c r="FF184" i="25" s="1"/>
  <c r="EP184" i="25"/>
  <c r="EP188" i="25"/>
  <c r="FC188" i="25"/>
  <c r="FE188" i="25" s="1"/>
  <c r="FF188" i="25" s="1"/>
  <c r="EP86" i="25"/>
  <c r="FC86" i="25"/>
  <c r="FE86" i="25" s="1"/>
  <c r="FF86" i="25" s="1"/>
  <c r="EP114" i="25"/>
  <c r="FC114" i="25"/>
  <c r="FE114" i="25" s="1"/>
  <c r="FF114" i="25" s="1"/>
  <c r="EP65" i="25"/>
  <c r="FC65" i="25"/>
  <c r="FE65" i="25" s="1"/>
  <c r="FF65" i="25" s="1"/>
  <c r="FC79" i="25"/>
  <c r="FE79" i="25" s="1"/>
  <c r="FF79" i="25" s="1"/>
  <c r="EP79" i="25"/>
  <c r="FC166" i="25"/>
  <c r="FE166" i="25" s="1"/>
  <c r="FF166" i="25" s="1"/>
  <c r="EP166" i="25"/>
  <c r="FC203" i="25"/>
  <c r="FE203" i="25" s="1"/>
  <c r="FF203" i="25" s="1"/>
  <c r="EP203" i="25"/>
  <c r="FC198" i="25"/>
  <c r="FE198" i="25" s="1"/>
  <c r="FF198" i="25" s="1"/>
  <c r="EP198" i="25"/>
  <c r="EP51" i="25"/>
  <c r="FC51" i="25"/>
  <c r="FE51" i="25" s="1"/>
  <c r="FF51" i="25" s="1"/>
  <c r="FC55" i="25"/>
  <c r="FE55" i="25" s="1"/>
  <c r="FF55" i="25" s="1"/>
  <c r="EP55" i="25"/>
  <c r="FC31" i="25"/>
  <c r="FE31" i="25" s="1"/>
  <c r="FF31" i="25" s="1"/>
  <c r="EP31" i="25"/>
  <c r="EP82" i="25"/>
  <c r="FC82" i="25"/>
  <c r="FE82" i="25" s="1"/>
  <c r="FF82" i="25" s="1"/>
  <c r="EP61" i="25"/>
  <c r="FC61" i="25"/>
  <c r="FE61" i="25" s="1"/>
  <c r="FF61" i="25" s="1"/>
  <c r="FC140" i="25"/>
  <c r="FE140" i="25" s="1"/>
  <c r="FF140" i="25" s="1"/>
  <c r="EP140" i="25"/>
  <c r="EP193" i="25"/>
  <c r="FC193" i="25"/>
  <c r="FE193" i="25" s="1"/>
  <c r="FF193" i="25" s="1"/>
  <c r="FC117" i="25"/>
  <c r="FE117" i="25" s="1"/>
  <c r="FF117" i="25" s="1"/>
  <c r="EP117" i="25"/>
  <c r="FC175" i="25"/>
  <c r="FE175" i="25" s="1"/>
  <c r="FF175" i="25" s="1"/>
  <c r="EP175" i="25"/>
  <c r="FC172" i="25"/>
  <c r="FE172" i="25" s="1"/>
  <c r="FF172" i="25" s="1"/>
  <c r="EP172" i="25"/>
  <c r="EP26" i="25"/>
  <c r="FC26" i="25"/>
  <c r="FE26" i="25" s="1"/>
  <c r="FF26" i="25" s="1"/>
  <c r="EP68" i="25"/>
  <c r="FC68" i="25"/>
  <c r="FE68" i="25" s="1"/>
  <c r="FF68" i="25" s="1"/>
  <c r="EP192" i="25"/>
  <c r="FC192" i="25"/>
  <c r="FE192" i="25" s="1"/>
  <c r="FF192" i="25" s="1"/>
  <c r="EP209" i="25"/>
  <c r="FC209" i="25"/>
  <c r="FE209" i="25" s="1"/>
  <c r="FF209" i="25" s="1"/>
  <c r="FC186" i="25"/>
  <c r="FE186" i="25" s="1"/>
  <c r="FF186" i="25" s="1"/>
  <c r="EP186" i="25"/>
  <c r="FC7" i="25"/>
  <c r="FE7" i="25" s="1"/>
  <c r="FF7" i="25" s="1"/>
  <c r="EP7" i="25"/>
  <c r="EP122" i="25"/>
  <c r="FC122" i="25"/>
  <c r="FE122" i="25" s="1"/>
  <c r="FF122" i="25" s="1"/>
  <c r="EP146" i="25"/>
  <c r="FC146" i="25"/>
  <c r="FE146" i="25" s="1"/>
  <c r="FF146" i="25" s="1"/>
  <c r="EP12" i="25"/>
  <c r="FC12" i="25"/>
  <c r="FE12" i="25" s="1"/>
  <c r="FF12" i="25" s="1"/>
  <c r="FC190" i="25"/>
  <c r="FE190" i="25" s="1"/>
  <c r="FF190" i="25" s="1"/>
  <c r="EP190" i="25"/>
  <c r="FC22" i="25"/>
  <c r="FE22" i="25" s="1"/>
  <c r="FF22" i="25" s="1"/>
  <c r="EP22" i="25"/>
  <c r="EP200" i="25"/>
  <c r="FC200" i="25"/>
  <c r="FE200" i="25" s="1"/>
  <c r="FF200" i="25" s="1"/>
  <c r="EP21" i="25"/>
  <c r="FC21" i="25"/>
  <c r="FE21" i="25" s="1"/>
  <c r="FF21" i="25" s="1"/>
  <c r="EP57" i="25"/>
  <c r="FC57" i="25"/>
  <c r="FE57" i="25" s="1"/>
  <c r="FF57" i="25" s="1"/>
  <c r="FC46" i="25"/>
  <c r="FE46" i="25" s="1"/>
  <c r="FF46" i="25" s="1"/>
  <c r="EP46" i="25"/>
  <c r="EP8" i="25"/>
  <c r="FC8" i="25"/>
  <c r="FE8" i="25" s="1"/>
  <c r="FF8" i="25" s="1"/>
  <c r="FC35" i="25"/>
  <c r="FE35" i="25" s="1"/>
  <c r="FF35" i="25" s="1"/>
  <c r="EP35" i="25"/>
  <c r="EP91" i="25"/>
  <c r="FC91" i="25"/>
  <c r="FE91" i="25" s="1"/>
  <c r="FF91" i="25" s="1"/>
  <c r="EP40" i="25"/>
  <c r="FC40" i="25"/>
  <c r="FE40" i="25" s="1"/>
  <c r="FF40" i="25" s="1"/>
  <c r="EP19" i="25"/>
  <c r="FC19" i="25"/>
  <c r="FE19" i="25" s="1"/>
  <c r="FF19" i="25" s="1"/>
  <c r="FC6" i="25"/>
  <c r="FE6" i="25" s="1"/>
  <c r="FF6" i="25" s="1"/>
  <c r="EP6" i="25"/>
  <c r="EP41" i="25"/>
  <c r="FC41" i="25"/>
  <c r="FE41" i="25" s="1"/>
  <c r="FF41" i="25" s="1"/>
  <c r="EP123" i="25"/>
  <c r="FC123" i="25"/>
  <c r="FE123" i="25" s="1"/>
  <c r="FF123" i="25" s="1"/>
  <c r="EP11" i="25"/>
  <c r="FC11" i="25"/>
  <c r="FE11" i="25" s="1"/>
  <c r="FF11" i="25" s="1"/>
  <c r="EP29" i="25"/>
  <c r="FC29" i="25"/>
  <c r="FE29" i="25" s="1"/>
  <c r="FF29" i="25" s="1"/>
  <c r="FC206" i="25"/>
  <c r="FE206" i="25" s="1"/>
  <c r="FF206" i="25" s="1"/>
  <c r="EP206" i="25"/>
  <c r="EP139" i="25"/>
  <c r="FC139" i="25"/>
  <c r="FE139" i="25" s="1"/>
  <c r="FF139" i="25" s="1"/>
  <c r="EP36" i="25"/>
  <c r="FC36" i="25"/>
  <c r="FE36" i="25" s="1"/>
  <c r="FF36" i="25" s="1"/>
  <c r="FC189" i="25"/>
  <c r="FE189" i="25" s="1"/>
  <c r="FF189" i="25" s="1"/>
  <c r="EP189" i="25"/>
  <c r="EP105" i="25"/>
  <c r="FC105" i="25"/>
  <c r="FE105" i="25" s="1"/>
  <c r="FF105" i="25" s="1"/>
  <c r="FC94" i="25"/>
  <c r="FE94" i="25" s="1"/>
  <c r="FF94" i="25" s="1"/>
  <c r="EP94" i="25"/>
  <c r="FC30" i="25"/>
  <c r="FE30" i="25" s="1"/>
  <c r="FF30" i="25" s="1"/>
  <c r="EP30" i="25"/>
  <c r="FC197" i="25"/>
  <c r="FE197" i="25" s="1"/>
  <c r="FF197" i="25" s="1"/>
  <c r="EP197" i="25"/>
  <c r="EP54" i="25"/>
  <c r="FC54" i="25"/>
  <c r="FE54" i="25" s="1"/>
  <c r="FF54" i="25" s="1"/>
  <c r="FC174" i="25"/>
  <c r="FE174" i="25" s="1"/>
  <c r="FF174" i="25" s="1"/>
  <c r="EP174" i="25"/>
  <c r="FC24" i="25"/>
  <c r="FE24" i="25" s="1"/>
  <c r="FF24" i="25" s="1"/>
  <c r="EP24" i="25"/>
  <c r="FC98" i="25"/>
  <c r="FE98" i="25" s="1"/>
  <c r="FF98" i="25" s="1"/>
  <c r="EP98" i="25"/>
  <c r="FC121" i="25"/>
  <c r="FE121" i="25" s="1"/>
  <c r="FF121" i="25" s="1"/>
  <c r="EP121" i="25"/>
  <c r="EP50" i="25"/>
  <c r="FC50" i="25"/>
  <c r="FE50" i="25" s="1"/>
  <c r="FF50" i="25" s="1"/>
  <c r="FC32" i="25"/>
  <c r="FE32" i="25" s="1"/>
  <c r="FF32" i="25" s="1"/>
  <c r="EP32" i="25"/>
  <c r="EP149" i="25"/>
  <c r="FC149" i="25"/>
  <c r="FE149" i="25" s="1"/>
  <c r="FF149" i="25" s="1"/>
  <c r="FC14" i="25"/>
  <c r="FE14" i="25" s="1"/>
  <c r="FF14" i="25" s="1"/>
  <c r="EP14" i="25"/>
  <c r="FC165" i="25"/>
  <c r="FE165" i="25" s="1"/>
  <c r="FF165" i="25" s="1"/>
  <c r="EP165" i="25"/>
  <c r="FC204" i="25"/>
  <c r="FE204" i="25" s="1"/>
  <c r="FF204" i="25" s="1"/>
  <c r="EP204" i="25"/>
  <c r="EP207" i="25"/>
  <c r="FC207" i="25"/>
  <c r="FE207" i="25" s="1"/>
  <c r="FF207" i="25" s="1"/>
  <c r="FC27" i="25"/>
  <c r="FE27" i="25" s="1"/>
  <c r="FF27" i="25" s="1"/>
  <c r="EP27" i="25"/>
  <c r="FC135" i="25"/>
  <c r="FE135" i="25" s="1"/>
  <c r="FF135" i="25" s="1"/>
  <c r="EP135" i="25"/>
  <c r="FC84" i="25"/>
  <c r="FE84" i="25" s="1"/>
  <c r="FF84" i="25" s="1"/>
  <c r="EP84" i="25"/>
  <c r="EP147" i="25"/>
  <c r="FC147" i="25"/>
  <c r="FE147" i="25" s="1"/>
  <c r="FF147" i="25" s="1"/>
  <c r="EP155" i="25"/>
  <c r="FC155" i="25"/>
  <c r="FE155" i="25" s="1"/>
  <c r="FF155" i="25" s="1"/>
  <c r="FC88" i="25"/>
  <c r="FE88" i="25" s="1"/>
  <c r="FF88" i="25" s="1"/>
  <c r="EP88" i="25"/>
  <c r="FC85" i="25"/>
  <c r="FE85" i="25" s="1"/>
  <c r="FF85" i="25" s="1"/>
  <c r="EP85" i="25"/>
  <c r="FC67" i="25"/>
  <c r="FE67" i="25" s="1"/>
  <c r="FF67" i="25" s="1"/>
  <c r="EP67" i="25"/>
  <c r="EP39" i="25"/>
  <c r="FC39" i="25"/>
  <c r="FE39" i="25" s="1"/>
  <c r="FF39" i="25" s="1"/>
  <c r="FC132" i="25"/>
  <c r="FE132" i="25" s="1"/>
  <c r="FF132" i="25" s="1"/>
  <c r="EP132" i="25"/>
  <c r="FC205" i="25"/>
  <c r="FE205" i="25" s="1"/>
  <c r="FF205" i="25" s="1"/>
  <c r="EP205" i="25"/>
  <c r="FC102" i="25"/>
  <c r="FE102" i="25" s="1"/>
  <c r="FF102" i="25" s="1"/>
  <c r="EP102" i="25"/>
  <c r="EP160" i="25"/>
  <c r="FC160" i="25"/>
  <c r="FE160" i="25" s="1"/>
  <c r="FF160" i="25" s="1"/>
  <c r="FC120" i="25"/>
  <c r="FE120" i="25" s="1"/>
  <c r="FF120" i="25" s="1"/>
  <c r="EP120" i="25"/>
  <c r="EP44" i="25"/>
  <c r="FC44" i="25"/>
  <c r="FE44" i="25" s="1"/>
  <c r="FF44" i="25" s="1"/>
  <c r="FC177" i="25"/>
  <c r="FE177" i="25" s="1"/>
  <c r="FF177" i="25" s="1"/>
  <c r="EP177" i="25"/>
  <c r="EP208" i="25"/>
  <c r="FC208" i="25"/>
  <c r="FE208" i="25" s="1"/>
  <c r="FF208" i="25" s="1"/>
  <c r="EP170" i="25"/>
  <c r="FC170" i="25"/>
  <c r="FE170" i="25" s="1"/>
  <c r="FF170" i="25" s="1"/>
  <c r="EP45" i="25"/>
  <c r="FC45" i="25"/>
  <c r="FE45" i="25" s="1"/>
  <c r="FF45" i="25" s="1"/>
  <c r="FC115" i="25"/>
  <c r="FE115" i="25" s="1"/>
  <c r="FF115" i="25" s="1"/>
  <c r="EP115" i="25"/>
  <c r="EP162" i="25"/>
  <c r="FC162" i="25"/>
  <c r="FE162" i="25" s="1"/>
  <c r="FF162" i="25" s="1"/>
  <c r="EP201" i="25"/>
  <c r="FC201" i="25"/>
  <c r="FE201" i="25" s="1"/>
  <c r="FF201" i="25" s="1"/>
  <c r="EP69" i="25"/>
  <c r="FC69" i="25"/>
  <c r="FE69" i="25" s="1"/>
  <c r="FF69" i="25" s="1"/>
  <c r="FC151" i="25"/>
  <c r="FE151" i="25" s="1"/>
  <c r="FF151" i="25" s="1"/>
  <c r="EP151" i="25"/>
  <c r="EP176" i="25"/>
  <c r="FC176" i="25"/>
  <c r="FE176" i="25" s="1"/>
  <c r="FF176" i="25" s="1"/>
  <c r="EP130" i="25"/>
  <c r="FC130" i="25"/>
  <c r="FE130" i="25" s="1"/>
  <c r="FF130" i="25" s="1"/>
  <c r="FC187" i="25"/>
  <c r="FE187" i="25" s="1"/>
  <c r="FF187" i="25" s="1"/>
  <c r="EP187" i="25"/>
  <c r="EP161" i="25"/>
  <c r="FC161" i="25"/>
  <c r="FE161" i="25" s="1"/>
  <c r="FF161" i="25" s="1"/>
  <c r="EP179" i="25"/>
  <c r="FC179" i="25"/>
  <c r="FE179" i="25" s="1"/>
  <c r="FF179" i="25" s="1"/>
  <c r="FC66" i="25"/>
  <c r="FE66" i="25" s="1"/>
  <c r="FF66" i="25" s="1"/>
  <c r="EP66" i="25"/>
  <c r="EP78" i="25"/>
  <c r="FC78" i="25"/>
  <c r="FE78" i="25" s="1"/>
  <c r="FF78" i="25" s="1"/>
  <c r="FC119" i="25"/>
  <c r="FE119" i="25" s="1"/>
  <c r="FF119" i="25" s="1"/>
  <c r="EP119" i="25"/>
  <c r="EP76" i="25"/>
  <c r="FC76" i="25"/>
  <c r="FE76" i="25" s="1"/>
  <c r="FF76" i="25" s="1"/>
  <c r="EP100" i="25"/>
  <c r="FC100" i="25"/>
  <c r="FE100" i="25" s="1"/>
  <c r="FF100" i="25" s="1"/>
  <c r="EP71" i="25"/>
  <c r="FC71" i="25"/>
  <c r="FE71" i="25" s="1"/>
  <c r="FF71" i="25" s="1"/>
  <c r="EP80" i="25"/>
  <c r="FC80" i="25"/>
  <c r="FE80" i="25" s="1"/>
  <c r="FF80" i="25" s="1"/>
  <c r="EP15" i="25"/>
  <c r="FC15" i="25"/>
  <c r="FE15" i="25" s="1"/>
  <c r="FF15" i="25" s="1"/>
  <c r="FC153" i="25"/>
  <c r="FE153" i="25" s="1"/>
  <c r="FF153" i="25" s="1"/>
  <c r="EP153" i="25"/>
  <c r="EP159" i="25"/>
  <c r="FC159" i="25"/>
  <c r="FE159" i="25" s="1"/>
  <c r="FF159" i="25" s="1"/>
  <c r="FC28" i="25"/>
  <c r="FE28" i="25" s="1"/>
  <c r="FF28" i="25" s="1"/>
  <c r="EP28" i="25"/>
  <c r="EP116" i="25"/>
  <c r="FC116" i="25"/>
  <c r="FE116" i="25" s="1"/>
  <c r="FF116" i="25" s="1"/>
  <c r="EP157" i="25"/>
  <c r="FC157" i="25"/>
  <c r="FE157" i="25" s="1"/>
  <c r="FF157" i="25" s="1"/>
  <c r="EP70" i="25"/>
  <c r="FC70" i="25"/>
  <c r="FE70" i="25" s="1"/>
  <c r="FF70" i="25" s="1"/>
  <c r="FC191" i="25"/>
  <c r="FE191" i="25" s="1"/>
  <c r="FF191" i="25" s="1"/>
  <c r="EP191" i="25"/>
  <c r="EP168" i="25"/>
  <c r="FC168" i="25"/>
  <c r="FE168" i="25" s="1"/>
  <c r="FF168" i="25" s="1"/>
  <c r="EP101" i="25"/>
  <c r="FC101" i="25"/>
  <c r="FE101" i="25" s="1"/>
  <c r="FF101" i="25" s="1"/>
  <c r="FC62" i="25"/>
  <c r="FE62" i="25" s="1"/>
  <c r="FF62" i="25" s="1"/>
  <c r="EP62" i="25"/>
  <c r="FC63" i="25"/>
  <c r="FE63" i="25" s="1"/>
  <c r="FF63" i="25" s="1"/>
  <c r="EP63" i="25"/>
  <c r="FC75" i="25"/>
  <c r="FE75" i="25" s="1"/>
  <c r="FF75" i="25" s="1"/>
  <c r="EP75" i="25"/>
  <c r="EP18" i="25"/>
  <c r="FC18" i="25"/>
  <c r="FE18" i="25" s="1"/>
  <c r="FF18" i="25" s="1"/>
  <c r="FC13" i="25"/>
  <c r="FE13" i="25" s="1"/>
  <c r="FF13" i="25" s="1"/>
  <c r="EP13" i="25"/>
  <c r="FC59" i="25"/>
  <c r="FE59" i="25" s="1"/>
  <c r="FF59" i="25" s="1"/>
  <c r="EP59" i="25"/>
  <c r="FC104" i="25"/>
  <c r="FE104" i="25" s="1"/>
  <c r="FF104" i="25" s="1"/>
  <c r="EP104" i="25"/>
  <c r="FC43" i="25"/>
  <c r="FE43" i="25" s="1"/>
  <c r="FF43" i="25" s="1"/>
  <c r="EP43" i="25"/>
  <c r="EP38" i="25"/>
  <c r="FC38" i="25"/>
  <c r="FE38" i="25" s="1"/>
  <c r="FF38" i="25" s="1"/>
  <c r="EP118" i="25"/>
  <c r="FC118" i="25"/>
  <c r="FE118" i="25" s="1"/>
  <c r="FF118" i="25" s="1"/>
  <c r="EP144" i="25"/>
  <c r="FC144" i="25"/>
  <c r="FE144" i="25" s="1"/>
  <c r="FF144" i="25" s="1"/>
  <c r="EP133" i="25"/>
  <c r="FC133" i="25"/>
  <c r="FE133" i="25" s="1"/>
  <c r="FF133" i="25" s="1"/>
  <c r="EP92" i="25"/>
  <c r="FC92" i="25"/>
  <c r="FE92" i="25" s="1"/>
  <c r="FF92" i="25" s="1"/>
  <c r="FC48" i="25"/>
  <c r="FE48" i="25" s="1"/>
  <c r="FF48" i="25" s="1"/>
  <c r="EP48" i="25"/>
  <c r="EW125" i="24"/>
  <c r="FB125" i="24" s="1"/>
  <c r="EK125" i="24"/>
  <c r="EK151" i="24"/>
  <c r="EW151" i="24"/>
  <c r="FB151" i="24" s="1"/>
  <c r="EK137" i="24"/>
  <c r="EW137" i="24"/>
  <c r="FB137" i="24" s="1"/>
  <c r="EW180" i="24"/>
  <c r="FB180" i="24" s="1"/>
  <c r="EK180" i="24"/>
  <c r="EK129" i="24"/>
  <c r="EW129" i="24"/>
  <c r="FB129" i="24" s="1"/>
  <c r="EW64" i="24"/>
  <c r="EZ64" i="24" s="1"/>
  <c r="FB64" i="24" s="1"/>
  <c r="EK64" i="24"/>
  <c r="EQ64" i="24" s="1"/>
  <c r="EK205" i="24"/>
  <c r="EW205" i="24"/>
  <c r="FB205" i="24" s="1"/>
  <c r="EW7" i="24"/>
  <c r="EZ7" i="24" s="1"/>
  <c r="FB7" i="24" s="1"/>
  <c r="EK7" i="24"/>
  <c r="EQ7" i="24" s="1"/>
  <c r="ER30" i="24"/>
  <c r="EK187" i="24"/>
  <c r="EW187" i="24"/>
  <c r="FB187" i="24" s="1"/>
  <c r="EW128" i="24"/>
  <c r="FB128" i="24" s="1"/>
  <c r="EK128" i="24"/>
  <c r="EW88" i="24"/>
  <c r="EZ88" i="24" s="1"/>
  <c r="FB88" i="24" s="1"/>
  <c r="EK88" i="24"/>
  <c r="EQ88" i="24" s="1"/>
  <c r="EK188" i="24"/>
  <c r="EW188" i="24"/>
  <c r="FB188" i="24" s="1"/>
  <c r="EK189" i="24"/>
  <c r="EW189" i="24"/>
  <c r="FB189" i="24" s="1"/>
  <c r="EW20" i="24"/>
  <c r="EZ20" i="24" s="1"/>
  <c r="FB20" i="24" s="1"/>
  <c r="EK20" i="24"/>
  <c r="EQ20" i="24" s="1"/>
  <c r="EK120" i="24"/>
  <c r="EW120" i="24"/>
  <c r="FB120" i="24" s="1"/>
  <c r="EW86" i="24"/>
  <c r="EZ86" i="24" s="1"/>
  <c r="FB86" i="24" s="1"/>
  <c r="EK86" i="24"/>
  <c r="EQ86" i="24" s="1"/>
  <c r="EW113" i="24"/>
  <c r="FB113" i="24" s="1"/>
  <c r="EK113" i="24"/>
  <c r="EK46" i="24"/>
  <c r="EQ46" i="24" s="1"/>
  <c r="EW46" i="24"/>
  <c r="EZ46" i="24" s="1"/>
  <c r="FB46" i="24" s="1"/>
  <c r="EW116" i="24"/>
  <c r="FB116" i="24" s="1"/>
  <c r="EK116" i="24"/>
  <c r="EK206" i="24"/>
  <c r="EW206" i="24"/>
  <c r="FB206" i="24" s="1"/>
  <c r="EK157" i="24"/>
  <c r="EW157" i="24"/>
  <c r="FB157" i="24" s="1"/>
  <c r="EK25" i="24"/>
  <c r="EQ25" i="24" s="1"/>
  <c r="EW25" i="24"/>
  <c r="EZ25" i="24" s="1"/>
  <c r="FB25" i="24" s="1"/>
  <c r="EW54" i="24"/>
  <c r="EZ54" i="24" s="1"/>
  <c r="FB54" i="24" s="1"/>
  <c r="EK54" i="24"/>
  <c r="EQ54" i="24" s="1"/>
  <c r="EK173" i="24"/>
  <c r="EW173" i="24"/>
  <c r="FB173" i="24" s="1"/>
  <c r="EK163" i="24"/>
  <c r="EW163" i="24"/>
  <c r="FB163" i="24" s="1"/>
  <c r="EW65" i="24"/>
  <c r="EZ65" i="24" s="1"/>
  <c r="FB65" i="24" s="1"/>
  <c r="EK65" i="24"/>
  <c r="EQ65" i="24" s="1"/>
  <c r="EK118" i="24"/>
  <c r="EW118" i="24"/>
  <c r="FB118" i="24" s="1"/>
  <c r="EK53" i="24"/>
  <c r="EQ53" i="24" s="1"/>
  <c r="EW53" i="24"/>
  <c r="EZ53" i="24" s="1"/>
  <c r="FB53" i="24" s="1"/>
  <c r="EW155" i="24"/>
  <c r="FB155" i="24" s="1"/>
  <c r="EK155" i="24"/>
  <c r="EK210" i="24"/>
  <c r="EW210" i="24"/>
  <c r="FB210" i="24" s="1"/>
  <c r="EW98" i="24"/>
  <c r="EZ98" i="24" s="1"/>
  <c r="FB98" i="24" s="1"/>
  <c r="EK98" i="24"/>
  <c r="EQ98" i="24" s="1"/>
  <c r="EK200" i="24"/>
  <c r="EW200" i="24"/>
  <c r="FB200" i="24" s="1"/>
  <c r="ER199" i="24"/>
  <c r="EK70" i="24"/>
  <c r="EQ70" i="24" s="1"/>
  <c r="EW70" i="24"/>
  <c r="EZ70" i="24" s="1"/>
  <c r="FB70" i="24" s="1"/>
  <c r="EW26" i="24"/>
  <c r="EZ26" i="24" s="1"/>
  <c r="FB26" i="24" s="1"/>
  <c r="EK26" i="24"/>
  <c r="EQ26" i="24" s="1"/>
  <c r="EK97" i="24"/>
  <c r="EQ97" i="24" s="1"/>
  <c r="EW97" i="24"/>
  <c r="EZ97" i="24" s="1"/>
  <c r="FB97" i="24" s="1"/>
  <c r="EK28" i="24"/>
  <c r="EQ28" i="24" s="1"/>
  <c r="EW28" i="24"/>
  <c r="EZ28" i="24" s="1"/>
  <c r="FB28" i="24" s="1"/>
  <c r="EK146" i="24"/>
  <c r="EW146" i="24"/>
  <c r="FB146" i="24" s="1"/>
  <c r="EK82" i="24"/>
  <c r="EQ82" i="24" s="1"/>
  <c r="EW82" i="24"/>
  <c r="EZ82" i="24" s="1"/>
  <c r="FB82" i="24" s="1"/>
  <c r="ER134" i="24"/>
  <c r="EW164" i="24"/>
  <c r="FB164" i="24" s="1"/>
  <c r="EK164" i="24"/>
  <c r="EW32" i="24"/>
  <c r="EZ32" i="24" s="1"/>
  <c r="FB32" i="24" s="1"/>
  <c r="EK32" i="24"/>
  <c r="EQ32" i="24" s="1"/>
  <c r="EW143" i="24"/>
  <c r="FB143" i="24" s="1"/>
  <c r="EK143" i="24"/>
  <c r="EK68" i="24"/>
  <c r="EQ68" i="24" s="1"/>
  <c r="EW68" i="24"/>
  <c r="EZ68" i="24" s="1"/>
  <c r="FB68" i="24" s="1"/>
  <c r="EK95" i="24"/>
  <c r="EQ95" i="24" s="1"/>
  <c r="EW95" i="24"/>
  <c r="EZ95" i="24" s="1"/>
  <c r="FB95" i="24" s="1"/>
  <c r="EK194" i="24"/>
  <c r="EW194" i="24"/>
  <c r="FB194" i="24" s="1"/>
  <c r="EW208" i="24"/>
  <c r="FB208" i="24" s="1"/>
  <c r="EK208" i="24"/>
  <c r="EK135" i="24"/>
  <c r="EW135" i="24"/>
  <c r="FB135" i="24" s="1"/>
  <c r="EW89" i="24"/>
  <c r="EZ89" i="24" s="1"/>
  <c r="FB89" i="24" s="1"/>
  <c r="EK89" i="24"/>
  <c r="EQ89" i="24" s="1"/>
  <c r="EW123" i="24"/>
  <c r="FB123" i="24" s="1"/>
  <c r="EK123" i="24"/>
  <c r="EW58" i="24"/>
  <c r="EZ58" i="24" s="1"/>
  <c r="FB58" i="24" s="1"/>
  <c r="EK58" i="24"/>
  <c r="EQ58" i="24" s="1"/>
  <c r="EW57" i="24"/>
  <c r="EZ57" i="24" s="1"/>
  <c r="FB57" i="24" s="1"/>
  <c r="EK57" i="24"/>
  <c r="EQ57" i="24" s="1"/>
  <c r="ER10" i="24"/>
  <c r="EK174" i="24"/>
  <c r="EW174" i="24"/>
  <c r="FB174" i="24" s="1"/>
  <c r="EK158" i="24"/>
  <c r="EW158" i="24"/>
  <c r="FB158" i="24" s="1"/>
  <c r="ER71" i="24"/>
  <c r="EK18" i="24"/>
  <c r="EQ18" i="24" s="1"/>
  <c r="EW18" i="24"/>
  <c r="EZ18" i="24" s="1"/>
  <c r="FB18" i="24" s="1"/>
  <c r="EK154" i="24"/>
  <c r="EW154" i="24"/>
  <c r="FB154" i="24" s="1"/>
  <c r="EW84" i="24"/>
  <c r="EZ84" i="24" s="1"/>
  <c r="FB84" i="24" s="1"/>
  <c r="EK84" i="24"/>
  <c r="EQ84" i="24" s="1"/>
  <c r="EW91" i="24"/>
  <c r="EZ91" i="24" s="1"/>
  <c r="FB91" i="24" s="1"/>
  <c r="EK91" i="24"/>
  <c r="EQ91" i="24" s="1"/>
  <c r="EW148" i="24"/>
  <c r="FB148" i="24" s="1"/>
  <c r="EK148" i="24"/>
  <c r="ER132" i="24"/>
  <c r="EW85" i="24"/>
  <c r="EZ85" i="24" s="1"/>
  <c r="FB85" i="24" s="1"/>
  <c r="EK85" i="24"/>
  <c r="EQ85" i="24" s="1"/>
  <c r="EK47" i="24"/>
  <c r="EQ47" i="24" s="1"/>
  <c r="EW47" i="24"/>
  <c r="EZ47" i="24" s="1"/>
  <c r="FB47" i="24" s="1"/>
  <c r="EK130" i="24"/>
  <c r="EW130" i="24"/>
  <c r="FB130" i="24" s="1"/>
  <c r="EK36" i="24"/>
  <c r="EQ36" i="24" s="1"/>
  <c r="EW36" i="24"/>
  <c r="EZ36" i="24" s="1"/>
  <c r="FB36" i="24" s="1"/>
  <c r="EW131" i="24"/>
  <c r="FB131" i="24" s="1"/>
  <c r="EK131" i="24"/>
  <c r="EK114" i="24"/>
  <c r="EW114" i="24"/>
  <c r="FB114" i="24" s="1"/>
  <c r="EK196" i="24"/>
  <c r="EW196" i="24"/>
  <c r="FB196" i="24" s="1"/>
  <c r="EK166" i="24"/>
  <c r="EW166" i="24"/>
  <c r="FB166" i="24" s="1"/>
  <c r="EK150" i="24"/>
  <c r="EW150" i="24"/>
  <c r="FB150" i="24" s="1"/>
  <c r="EK161" i="24"/>
  <c r="EW161" i="24"/>
  <c r="FB161" i="24" s="1"/>
  <c r="EK50" i="24"/>
  <c r="EQ50" i="24" s="1"/>
  <c r="EW50" i="24"/>
  <c r="EZ50" i="24" s="1"/>
  <c r="FB50" i="24" s="1"/>
  <c r="EW197" i="24"/>
  <c r="FB197" i="24" s="1"/>
  <c r="EK197" i="24"/>
  <c r="EW27" i="24"/>
  <c r="EZ27" i="24" s="1"/>
  <c r="FB27" i="24" s="1"/>
  <c r="EK27" i="24"/>
  <c r="EQ27" i="24" s="1"/>
  <c r="EW45" i="24"/>
  <c r="EZ45" i="24" s="1"/>
  <c r="FB45" i="24" s="1"/>
  <c r="EK45" i="24"/>
  <c r="EQ45" i="24" s="1"/>
  <c r="EK198" i="24"/>
  <c r="EW198" i="24"/>
  <c r="FB198" i="24" s="1"/>
  <c r="EW165" i="24"/>
  <c r="FB165" i="24" s="1"/>
  <c r="EK165" i="24"/>
  <c r="EK193" i="24"/>
  <c r="EW193" i="24"/>
  <c r="FB193" i="24" s="1"/>
  <c r="EK34" i="24"/>
  <c r="EQ34" i="24" s="1"/>
  <c r="EW34" i="24"/>
  <c r="EZ34" i="24" s="1"/>
  <c r="FB34" i="24" s="1"/>
  <c r="EW31" i="24"/>
  <c r="EZ31" i="24" s="1"/>
  <c r="FB31" i="24" s="1"/>
  <c r="EK31" i="24"/>
  <c r="EQ31" i="24" s="1"/>
  <c r="EK76" i="24"/>
  <c r="EQ76" i="24" s="1"/>
  <c r="EW76" i="24"/>
  <c r="EZ76" i="24" s="1"/>
  <c r="FB76" i="24" s="1"/>
  <c r="EW140" i="24"/>
  <c r="FB140" i="24" s="1"/>
  <c r="EK140" i="24"/>
  <c r="EW203" i="24"/>
  <c r="FB203" i="24" s="1"/>
  <c r="EK203" i="24"/>
  <c r="ER147" i="24"/>
  <c r="EK178" i="24"/>
  <c r="EW178" i="24"/>
  <c r="FB178" i="24" s="1"/>
  <c r="EK153" i="24"/>
  <c r="EW153" i="24"/>
  <c r="FB153" i="24" s="1"/>
  <c r="EK195" i="24"/>
  <c r="EW195" i="24"/>
  <c r="FB195" i="24" s="1"/>
  <c r="EW185" i="24"/>
  <c r="FB185" i="24" s="1"/>
  <c r="EK185" i="24"/>
  <c r="EK59" i="24"/>
  <c r="EQ59" i="24" s="1"/>
  <c r="EW59" i="24"/>
  <c r="EZ59" i="24" s="1"/>
  <c r="FB59" i="24" s="1"/>
  <c r="EW167" i="24"/>
  <c r="FB167" i="24" s="1"/>
  <c r="EK167" i="24"/>
  <c r="EK184" i="24"/>
  <c r="EW184" i="24"/>
  <c r="FB184" i="24" s="1"/>
  <c r="ER152" i="24"/>
  <c r="EW100" i="24"/>
  <c r="EZ100" i="24" s="1"/>
  <c r="FB100" i="24" s="1"/>
  <c r="EK100" i="24"/>
  <c r="EQ100" i="24" s="1"/>
  <c r="EK72" i="24"/>
  <c r="EQ72" i="24" s="1"/>
  <c r="EW72" i="24"/>
  <c r="EZ72" i="24" s="1"/>
  <c r="FB72" i="24" s="1"/>
  <c r="EW79" i="24"/>
  <c r="EZ79" i="24" s="1"/>
  <c r="FB79" i="24" s="1"/>
  <c r="EK79" i="24"/>
  <c r="EQ79" i="24" s="1"/>
  <c r="EW9" i="24"/>
  <c r="EZ9" i="24" s="1"/>
  <c r="FB9" i="24" s="1"/>
  <c r="EK9" i="24"/>
  <c r="EQ9" i="24" s="1"/>
  <c r="EK56" i="24"/>
  <c r="EQ56" i="24" s="1"/>
  <c r="EW56" i="24"/>
  <c r="EZ56" i="24" s="1"/>
  <c r="FB56" i="24" s="1"/>
  <c r="EK51" i="24"/>
  <c r="EQ51" i="24" s="1"/>
  <c r="EW51" i="24"/>
  <c r="EZ51" i="24" s="1"/>
  <c r="FB51" i="24" s="1"/>
  <c r="EW11" i="24"/>
  <c r="EZ11" i="24" s="1"/>
  <c r="FB11" i="24" s="1"/>
  <c r="EK11" i="24"/>
  <c r="EQ11" i="24" s="1"/>
  <c r="EK49" i="24"/>
  <c r="EQ49" i="24" s="1"/>
  <c r="EW49" i="24"/>
  <c r="EZ49" i="24" s="1"/>
  <c r="FB49" i="24" s="1"/>
  <c r="EK8" i="24"/>
  <c r="EQ8" i="24" s="1"/>
  <c r="EW8" i="24"/>
  <c r="EZ8" i="24" s="1"/>
  <c r="FB8" i="24" s="1"/>
  <c r="ER136" i="24"/>
  <c r="EW22" i="24"/>
  <c r="EZ22" i="24" s="1"/>
  <c r="FB22" i="24" s="1"/>
  <c r="EK22" i="24"/>
  <c r="EQ22" i="24" s="1"/>
  <c r="EW80" i="24"/>
  <c r="EZ80" i="24" s="1"/>
  <c r="FB80" i="24" s="1"/>
  <c r="EK80" i="24"/>
  <c r="EQ80" i="24" s="1"/>
  <c r="EW93" i="24"/>
  <c r="EZ93" i="24" s="1"/>
  <c r="FB93" i="24" s="1"/>
  <c r="EK93" i="24"/>
  <c r="EQ93" i="24" s="1"/>
  <c r="EK103" i="24"/>
  <c r="EQ103" i="24" s="1"/>
  <c r="EW103" i="24"/>
  <c r="EZ103" i="24" s="1"/>
  <c r="FB103" i="24" s="1"/>
  <c r="EK149" i="24"/>
  <c r="EW149" i="24"/>
  <c r="FB149" i="24" s="1"/>
  <c r="EW75" i="24"/>
  <c r="EZ75" i="24" s="1"/>
  <c r="FB75" i="24" s="1"/>
  <c r="EK75" i="24"/>
  <c r="EQ75" i="24" s="1"/>
  <c r="EW144" i="24"/>
  <c r="FB144" i="24" s="1"/>
  <c r="EK144" i="24"/>
  <c r="EK182" i="24"/>
  <c r="EW182" i="24"/>
  <c r="FB182" i="24" s="1"/>
  <c r="EK209" i="24"/>
  <c r="EW209" i="24"/>
  <c r="FB209" i="24" s="1"/>
  <c r="ER104" i="24"/>
  <c r="EW94" i="24"/>
  <c r="EZ94" i="24" s="1"/>
  <c r="FB94" i="24" s="1"/>
  <c r="EK94" i="24"/>
  <c r="EQ94" i="24" s="1"/>
  <c r="ER127" i="24"/>
  <c r="EK202" i="24"/>
  <c r="EW202" i="24"/>
  <c r="FB202" i="24" s="1"/>
  <c r="EK16" i="24"/>
  <c r="EQ16" i="24" s="1"/>
  <c r="EW16" i="24"/>
  <c r="EZ16" i="24" s="1"/>
  <c r="FB16" i="24" s="1"/>
  <c r="EK87" i="24"/>
  <c r="EQ87" i="24" s="1"/>
  <c r="EW87" i="24"/>
  <c r="EZ87" i="24" s="1"/>
  <c r="FB87" i="24" s="1"/>
  <c r="EW183" i="24"/>
  <c r="FB183" i="24" s="1"/>
  <c r="EK183" i="24"/>
  <c r="EW38" i="24"/>
  <c r="EZ38" i="24" s="1"/>
  <c r="FB38" i="24" s="1"/>
  <c r="EK38" i="24"/>
  <c r="EQ38" i="24" s="1"/>
  <c r="EW141" i="24"/>
  <c r="FB141" i="24" s="1"/>
  <c r="EK141" i="24"/>
  <c r="EK138" i="24"/>
  <c r="EW138" i="24"/>
  <c r="FB138" i="24" s="1"/>
  <c r="EK17" i="24"/>
  <c r="EQ17" i="24" s="1"/>
  <c r="EW17" i="24"/>
  <c r="EZ17" i="24" s="1"/>
  <c r="FB17" i="24" s="1"/>
  <c r="ER48" i="24"/>
  <c r="EW105" i="24"/>
  <c r="EZ105" i="24" s="1"/>
  <c r="FB105" i="24" s="1"/>
  <c r="EK105" i="24"/>
  <c r="EQ105" i="24" s="1"/>
  <c r="ER29" i="24"/>
  <c r="EW121" i="24"/>
  <c r="FB121" i="24" s="1"/>
  <c r="EK121" i="24"/>
  <c r="EW69" i="24"/>
  <c r="EZ69" i="24" s="1"/>
  <c r="FB69" i="24" s="1"/>
  <c r="EK69" i="24"/>
  <c r="EQ69" i="24" s="1"/>
  <c r="EK181" i="24"/>
  <c r="EW181" i="24"/>
  <c r="FB181" i="24" s="1"/>
  <c r="EK24" i="24"/>
  <c r="EQ24" i="24" s="1"/>
  <c r="EW24" i="24"/>
  <c r="EZ24" i="24" s="1"/>
  <c r="FB24" i="24" s="1"/>
  <c r="EW179" i="24"/>
  <c r="FB179" i="24" s="1"/>
  <c r="EK179" i="24"/>
  <c r="EW102" i="24"/>
  <c r="EZ102" i="24" s="1"/>
  <c r="FB102" i="24" s="1"/>
  <c r="EK102" i="24"/>
  <c r="EQ102" i="24" s="1"/>
  <c r="EK175" i="24"/>
  <c r="EW175" i="24"/>
  <c r="FB175" i="24" s="1"/>
  <c r="EK101" i="24"/>
  <c r="EQ101" i="24" s="1"/>
  <c r="EW101" i="24"/>
  <c r="EZ101" i="24" s="1"/>
  <c r="FB101" i="24" s="1"/>
  <c r="ER83" i="24"/>
  <c r="EK19" i="24"/>
  <c r="EQ19" i="24" s="1"/>
  <c r="EW19" i="24"/>
  <c r="EZ19" i="24" s="1"/>
  <c r="FB19" i="24" s="1"/>
  <c r="EW73" i="24"/>
  <c r="EZ73" i="24" s="1"/>
  <c r="FB73" i="24" s="1"/>
  <c r="EK73" i="24"/>
  <c r="EQ73" i="24" s="1"/>
  <c r="ER126" i="24"/>
  <c r="EK15" i="24"/>
  <c r="EQ15" i="24" s="1"/>
  <c r="EW15" i="24"/>
  <c r="EZ15" i="24" s="1"/>
  <c r="FB15" i="24" s="1"/>
  <c r="EW117" i="24"/>
  <c r="FB117" i="24" s="1"/>
  <c r="EK117" i="24"/>
  <c r="EK122" i="24"/>
  <c r="EW122" i="24"/>
  <c r="FB122" i="24" s="1"/>
  <c r="EK119" i="24"/>
  <c r="EW119" i="24"/>
  <c r="FB119" i="24" s="1"/>
  <c r="EW35" i="24"/>
  <c r="EZ35" i="24" s="1"/>
  <c r="FB35" i="24" s="1"/>
  <c r="EK35" i="24"/>
  <c r="EQ35" i="24" s="1"/>
  <c r="EW33" i="24"/>
  <c r="EZ33" i="24" s="1"/>
  <c r="FB33" i="24" s="1"/>
  <c r="EK33" i="24"/>
  <c r="EQ33" i="24" s="1"/>
  <c r="EW115" i="24"/>
  <c r="FB115" i="24" s="1"/>
  <c r="EK115" i="24"/>
  <c r="EK66" i="24"/>
  <c r="EQ66" i="24" s="1"/>
  <c r="EW66" i="24"/>
  <c r="EZ66" i="24" s="1"/>
  <c r="FB66" i="24" s="1"/>
  <c r="EK12" i="24"/>
  <c r="EQ12" i="24" s="1"/>
  <c r="EW12" i="24"/>
  <c r="EZ12" i="24" s="1"/>
  <c r="FB12" i="24" s="1"/>
  <c r="EW156" i="24"/>
  <c r="FB156" i="24" s="1"/>
  <c r="EK156" i="24"/>
  <c r="EW42" i="24"/>
  <c r="EZ42" i="24" s="1"/>
  <c r="FB42" i="24" s="1"/>
  <c r="EK42" i="24"/>
  <c r="EQ42" i="24" s="1"/>
  <c r="EW41" i="24"/>
  <c r="EZ41" i="24" s="1"/>
  <c r="FB41" i="24" s="1"/>
  <c r="EK41" i="24"/>
  <c r="EQ41" i="24" s="1"/>
  <c r="ER160" i="24"/>
  <c r="ER186" i="24"/>
  <c r="EW176" i="24"/>
  <c r="FB176" i="24" s="1"/>
  <c r="EK176" i="24"/>
  <c r="EK207" i="24"/>
  <c r="EW207" i="24"/>
  <c r="FB207" i="24" s="1"/>
  <c r="ER37" i="24"/>
  <c r="EK6" i="24"/>
  <c r="EQ6" i="24" s="1"/>
  <c r="EW6" i="24"/>
  <c r="EZ6" i="24" s="1"/>
  <c r="FB6" i="24" s="1"/>
  <c r="ER190" i="24"/>
  <c r="FC190" i="24"/>
  <c r="FE190" i="24" s="1"/>
  <c r="FF190" i="24" s="1"/>
  <c r="EK162" i="24"/>
  <c r="EW162" i="24"/>
  <c r="FB162" i="24" s="1"/>
  <c r="EK145" i="24"/>
  <c r="EW145" i="24"/>
  <c r="FB145" i="24" s="1"/>
  <c r="EK171" i="24"/>
  <c r="EW171" i="24"/>
  <c r="FB171" i="24" s="1"/>
  <c r="EW177" i="24"/>
  <c r="FB177" i="24" s="1"/>
  <c r="EK177" i="24"/>
  <c r="ER201" i="24"/>
  <c r="EK204" i="24"/>
  <c r="EW204" i="24"/>
  <c r="FB204" i="24" s="1"/>
  <c r="EW112" i="24"/>
  <c r="FB112" i="24" s="1"/>
  <c r="EK112" i="24"/>
  <c r="EK191" i="24"/>
  <c r="EW191" i="24"/>
  <c r="FB191" i="24" s="1"/>
  <c r="EW168" i="24"/>
  <c r="FB168" i="24" s="1"/>
  <c r="EK168" i="24"/>
  <c r="EK139" i="24"/>
  <c r="EW139" i="24"/>
  <c r="FB139" i="24" s="1"/>
  <c r="EK21" i="24"/>
  <c r="EQ21" i="24" s="1"/>
  <c r="EW21" i="24"/>
  <c r="EZ21" i="24" s="1"/>
  <c r="FB21" i="24" s="1"/>
  <c r="ER13" i="24"/>
  <c r="EW61" i="24"/>
  <c r="EZ61" i="24" s="1"/>
  <c r="FB61" i="24" s="1"/>
  <c r="EK61" i="24"/>
  <c r="EQ61" i="24" s="1"/>
  <c r="ER124" i="24"/>
  <c r="F66" i="19"/>
  <c r="J9" i="8"/>
  <c r="U216" i="24" l="1"/>
  <c r="FC216" i="25"/>
  <c r="FE216" i="25" s="1"/>
  <c r="FF216" i="25" s="1"/>
  <c r="Y110" i="24"/>
  <c r="FC96" i="24"/>
  <c r="FE96" i="24" s="1"/>
  <c r="FF96" i="24" s="1"/>
  <c r="FC159" i="24"/>
  <c r="FE159" i="24" s="1"/>
  <c r="FF159" i="24" s="1"/>
  <c r="FC243" i="24"/>
  <c r="FE243" i="24" s="1"/>
  <c r="FF243" i="24" s="1"/>
  <c r="FC132" i="24"/>
  <c r="FE132" i="24" s="1"/>
  <c r="FF132" i="24" s="1"/>
  <c r="ER142" i="24"/>
  <c r="CL212" i="24"/>
  <c r="DQ212" i="24"/>
  <c r="ES212" i="24"/>
  <c r="EV212" i="24" s="1"/>
  <c r="CW212" i="24"/>
  <c r="CX212" i="24" s="1"/>
  <c r="CY212" i="24"/>
  <c r="CU212" i="24"/>
  <c r="FC285" i="24"/>
  <c r="FE285" i="24" s="1"/>
  <c r="FF285" i="24" s="1"/>
  <c r="F212" i="24"/>
  <c r="FC92" i="24"/>
  <c r="FE92" i="24" s="1"/>
  <c r="FF92" i="24" s="1"/>
  <c r="FC78" i="24"/>
  <c r="FE78" i="24" s="1"/>
  <c r="FF78" i="24" s="1"/>
  <c r="FC60" i="24"/>
  <c r="FE60" i="24" s="1"/>
  <c r="FF60" i="24" s="1"/>
  <c r="ER60" i="24"/>
  <c r="FC74" i="24"/>
  <c r="FE74" i="24" s="1"/>
  <c r="FF74" i="24" s="1"/>
  <c r="ER221" i="24"/>
  <c r="FC221" i="24"/>
  <c r="FE221" i="24" s="1"/>
  <c r="FF221" i="24" s="1"/>
  <c r="ER290" i="24"/>
  <c r="FC290" i="24"/>
  <c r="FE290" i="24" s="1"/>
  <c r="FF290" i="24" s="1"/>
  <c r="ER276" i="24"/>
  <c r="FC276" i="24"/>
  <c r="FE276" i="24" s="1"/>
  <c r="FF276" i="24" s="1"/>
  <c r="FC277" i="24"/>
  <c r="FE277" i="24" s="1"/>
  <c r="FF277" i="24" s="1"/>
  <c r="ER277" i="24"/>
  <c r="ER286" i="24"/>
  <c r="FC286" i="24"/>
  <c r="FE286" i="24" s="1"/>
  <c r="FF286" i="24" s="1"/>
  <c r="FC313" i="24"/>
  <c r="FE313" i="24" s="1"/>
  <c r="FF313" i="24" s="1"/>
  <c r="ER313" i="24"/>
  <c r="ER304" i="24"/>
  <c r="FC304" i="24"/>
  <c r="FE304" i="24" s="1"/>
  <c r="FF304" i="24" s="1"/>
  <c r="ER244" i="24"/>
  <c r="FC244" i="24"/>
  <c r="FE244" i="24" s="1"/>
  <c r="FF244" i="24" s="1"/>
  <c r="ER230" i="24"/>
  <c r="FC230" i="24"/>
  <c r="FE230" i="24" s="1"/>
  <c r="FF230" i="24" s="1"/>
  <c r="ER294" i="24"/>
  <c r="FC294" i="24"/>
  <c r="FE294" i="24" s="1"/>
  <c r="FF294" i="24" s="1"/>
  <c r="ER225" i="24"/>
  <c r="FC225" i="24"/>
  <c r="FE225" i="24" s="1"/>
  <c r="FF225" i="24" s="1"/>
  <c r="FC250" i="24"/>
  <c r="FE250" i="24" s="1"/>
  <c r="FF250" i="24" s="1"/>
  <c r="ER250" i="24"/>
  <c r="ER303" i="24"/>
  <c r="FC303" i="24"/>
  <c r="FE303" i="24" s="1"/>
  <c r="FF303" i="24" s="1"/>
  <c r="ER269" i="24"/>
  <c r="FC269" i="24"/>
  <c r="FE269" i="24" s="1"/>
  <c r="FF269" i="24" s="1"/>
  <c r="ER252" i="24"/>
  <c r="FC252" i="24"/>
  <c r="FE252" i="24" s="1"/>
  <c r="FF252" i="24" s="1"/>
  <c r="ER300" i="24"/>
  <c r="FC300" i="24"/>
  <c r="FE300" i="24" s="1"/>
  <c r="FF300" i="24" s="1"/>
  <c r="ER312" i="24"/>
  <c r="FC312" i="24"/>
  <c r="FE312" i="24" s="1"/>
  <c r="FF312" i="24" s="1"/>
  <c r="FC259" i="24"/>
  <c r="FE259" i="24" s="1"/>
  <c r="FF259" i="24" s="1"/>
  <c r="ER259" i="24"/>
  <c r="ER280" i="24"/>
  <c r="FC280" i="24"/>
  <c r="FE280" i="24" s="1"/>
  <c r="FF280" i="24" s="1"/>
  <c r="ER273" i="24"/>
  <c r="FC273" i="24"/>
  <c r="FE273" i="24" s="1"/>
  <c r="FF273" i="24" s="1"/>
  <c r="ER233" i="24"/>
  <c r="FC233" i="24"/>
  <c r="FE233" i="24" s="1"/>
  <c r="FF233" i="24" s="1"/>
  <c r="FC238" i="24"/>
  <c r="FE238" i="24" s="1"/>
  <c r="FF238" i="24" s="1"/>
  <c r="ER238" i="24"/>
  <c r="ER263" i="24"/>
  <c r="FC263" i="24"/>
  <c r="FE263" i="24" s="1"/>
  <c r="FF263" i="24" s="1"/>
  <c r="ER301" i="24"/>
  <c r="FC301" i="24"/>
  <c r="FE301" i="24" s="1"/>
  <c r="FF301" i="24" s="1"/>
  <c r="ER302" i="24"/>
  <c r="FC302" i="24"/>
  <c r="FE302" i="24" s="1"/>
  <c r="FF302" i="24" s="1"/>
  <c r="FC254" i="24"/>
  <c r="FE254" i="24" s="1"/>
  <c r="FF254" i="24" s="1"/>
  <c r="ER254" i="24"/>
  <c r="FC295" i="24"/>
  <c r="FE295" i="24" s="1"/>
  <c r="FF295" i="24" s="1"/>
  <c r="ER295" i="24"/>
  <c r="ER240" i="24"/>
  <c r="FC240" i="24"/>
  <c r="FE240" i="24" s="1"/>
  <c r="FF240" i="24" s="1"/>
  <c r="ER231" i="24"/>
  <c r="FC231" i="24"/>
  <c r="FE231" i="24" s="1"/>
  <c r="FF231" i="24" s="1"/>
  <c r="FC265" i="24"/>
  <c r="FE265" i="24" s="1"/>
  <c r="FF265" i="24" s="1"/>
  <c r="ER265" i="24"/>
  <c r="ER266" i="24"/>
  <c r="FC266" i="24"/>
  <c r="FE266" i="24" s="1"/>
  <c r="FF266" i="24" s="1"/>
  <c r="FC255" i="24"/>
  <c r="FE255" i="24" s="1"/>
  <c r="FF255" i="24" s="1"/>
  <c r="ER255" i="24"/>
  <c r="FC289" i="24"/>
  <c r="FE289" i="24" s="1"/>
  <c r="FF289" i="24" s="1"/>
  <c r="ER289" i="24"/>
  <c r="FC267" i="24"/>
  <c r="FE267" i="24" s="1"/>
  <c r="FF267" i="24" s="1"/>
  <c r="ER267" i="24"/>
  <c r="ER282" i="24"/>
  <c r="FC282" i="24"/>
  <c r="FE282" i="24" s="1"/>
  <c r="FF282" i="24" s="1"/>
  <c r="FC258" i="24"/>
  <c r="FE258" i="24" s="1"/>
  <c r="FF258" i="24" s="1"/>
  <c r="ER258" i="24"/>
  <c r="ER310" i="24"/>
  <c r="FC310" i="24"/>
  <c r="FE310" i="24" s="1"/>
  <c r="FF310" i="24" s="1"/>
  <c r="ER278" i="24"/>
  <c r="FC278" i="24"/>
  <c r="FE278" i="24" s="1"/>
  <c r="FF278" i="24" s="1"/>
  <c r="FC245" i="24"/>
  <c r="FE245" i="24" s="1"/>
  <c r="FF245" i="24" s="1"/>
  <c r="ER245" i="24"/>
  <c r="ER307" i="24"/>
  <c r="FC307" i="24"/>
  <c r="FE307" i="24" s="1"/>
  <c r="FF307" i="24" s="1"/>
  <c r="ER297" i="24"/>
  <c r="FC297" i="24"/>
  <c r="FE297" i="24" s="1"/>
  <c r="FF297" i="24" s="1"/>
  <c r="ER315" i="24"/>
  <c r="FC315" i="24"/>
  <c r="FE315" i="24" s="1"/>
  <c r="FF315" i="24" s="1"/>
  <c r="ER227" i="24"/>
  <c r="FC227" i="24"/>
  <c r="FE227" i="24" s="1"/>
  <c r="FF227" i="24" s="1"/>
  <c r="ER309" i="24"/>
  <c r="FC309" i="24"/>
  <c r="FE309" i="24" s="1"/>
  <c r="FF309" i="24" s="1"/>
  <c r="FC274" i="24"/>
  <c r="FE274" i="24" s="1"/>
  <c r="FF274" i="24" s="1"/>
  <c r="ER274" i="24"/>
  <c r="ER299" i="24"/>
  <c r="FC299" i="24"/>
  <c r="FE299" i="24" s="1"/>
  <c r="FF299" i="24" s="1"/>
  <c r="ER262" i="24"/>
  <c r="FC262" i="24"/>
  <c r="FE262" i="24" s="1"/>
  <c r="FF262" i="24" s="1"/>
  <c r="FC281" i="24"/>
  <c r="FE281" i="24" s="1"/>
  <c r="FF281" i="24" s="1"/>
  <c r="ER281" i="24"/>
  <c r="ER253" i="24"/>
  <c r="FC253" i="24"/>
  <c r="FE253" i="24" s="1"/>
  <c r="FF253" i="24" s="1"/>
  <c r="ER298" i="24"/>
  <c r="FC298" i="24"/>
  <c r="FE298" i="24" s="1"/>
  <c r="FF298" i="24" s="1"/>
  <c r="FC249" i="24"/>
  <c r="FE249" i="24" s="1"/>
  <c r="FF249" i="24" s="1"/>
  <c r="ER249" i="24"/>
  <c r="ER219" i="24"/>
  <c r="FC219" i="24"/>
  <c r="FE219" i="24" s="1"/>
  <c r="FF219" i="24" s="1"/>
  <c r="FC247" i="24"/>
  <c r="FE247" i="24" s="1"/>
  <c r="FF247" i="24" s="1"/>
  <c r="ER247" i="24"/>
  <c r="FC287" i="24"/>
  <c r="FE287" i="24" s="1"/>
  <c r="FF287" i="24" s="1"/>
  <c r="ER287" i="24"/>
  <c r="FC314" i="24"/>
  <c r="FE314" i="24" s="1"/>
  <c r="FF314" i="24" s="1"/>
  <c r="ER314" i="24"/>
  <c r="FC235" i="24"/>
  <c r="FE235" i="24" s="1"/>
  <c r="FF235" i="24" s="1"/>
  <c r="ER235" i="24"/>
  <c r="ER311" i="24"/>
  <c r="FC311" i="24"/>
  <c r="FE311" i="24" s="1"/>
  <c r="FF311" i="24" s="1"/>
  <c r="ER217" i="24"/>
  <c r="FC217" i="24"/>
  <c r="FE217" i="24" s="1"/>
  <c r="FF217" i="24" s="1"/>
  <c r="ER305" i="24"/>
  <c r="FC305" i="24"/>
  <c r="FE305" i="24" s="1"/>
  <c r="FF305" i="24" s="1"/>
  <c r="ER239" i="24"/>
  <c r="FC239" i="24"/>
  <c r="FE239" i="24" s="1"/>
  <c r="FF239" i="24" s="1"/>
  <c r="FC228" i="24"/>
  <c r="FE228" i="24" s="1"/>
  <c r="FF228" i="24" s="1"/>
  <c r="ER228" i="24"/>
  <c r="ER257" i="24"/>
  <c r="FC257" i="24"/>
  <c r="FE257" i="24" s="1"/>
  <c r="FF257" i="24" s="1"/>
  <c r="FC251" i="24"/>
  <c r="FE251" i="24" s="1"/>
  <c r="FF251" i="24" s="1"/>
  <c r="ER251" i="24"/>
  <c r="ER268" i="24"/>
  <c r="FC268" i="24"/>
  <c r="FE268" i="24" s="1"/>
  <c r="FF268" i="24" s="1"/>
  <c r="ER291" i="24"/>
  <c r="FC291" i="24"/>
  <c r="FE291" i="24" s="1"/>
  <c r="FF291" i="24" s="1"/>
  <c r="ER237" i="24"/>
  <c r="FC237" i="24"/>
  <c r="FE237" i="24" s="1"/>
  <c r="FF237" i="24" s="1"/>
  <c r="ER256" i="24"/>
  <c r="FC256" i="24"/>
  <c r="FE256" i="24" s="1"/>
  <c r="FF256" i="24" s="1"/>
  <c r="ER223" i="24"/>
  <c r="FC223" i="24"/>
  <c r="FE223" i="24" s="1"/>
  <c r="FF223" i="24" s="1"/>
  <c r="ER283" i="24"/>
  <c r="FC283" i="24"/>
  <c r="FE283" i="24" s="1"/>
  <c r="FF283" i="24" s="1"/>
  <c r="FC236" i="24"/>
  <c r="FE236" i="24" s="1"/>
  <c r="FF236" i="24" s="1"/>
  <c r="ER236" i="24"/>
  <c r="FC232" i="24"/>
  <c r="FE232" i="24" s="1"/>
  <c r="FF232" i="24" s="1"/>
  <c r="ER232" i="24"/>
  <c r="FC306" i="24"/>
  <c r="FE306" i="24" s="1"/>
  <c r="FF306" i="24" s="1"/>
  <c r="ER306" i="24"/>
  <c r="FC271" i="24"/>
  <c r="FE271" i="24" s="1"/>
  <c r="FF271" i="24" s="1"/>
  <c r="ER271" i="24"/>
  <c r="FC229" i="24"/>
  <c r="FE229" i="24" s="1"/>
  <c r="FF229" i="24" s="1"/>
  <c r="ER229" i="24"/>
  <c r="FC241" i="24"/>
  <c r="FE241" i="24" s="1"/>
  <c r="FF241" i="24" s="1"/>
  <c r="ER241" i="24"/>
  <c r="FC293" i="24"/>
  <c r="FE293" i="24" s="1"/>
  <c r="FF293" i="24" s="1"/>
  <c r="ER293" i="24"/>
  <c r="ER260" i="24"/>
  <c r="FC260" i="24"/>
  <c r="FE260" i="24" s="1"/>
  <c r="FF260" i="24" s="1"/>
  <c r="ER220" i="24"/>
  <c r="FC220" i="24"/>
  <c r="FE220" i="24" s="1"/>
  <c r="FF220" i="24" s="1"/>
  <c r="ER222" i="24"/>
  <c r="FC222" i="24"/>
  <c r="FE222" i="24" s="1"/>
  <c r="FF222" i="24" s="1"/>
  <c r="ER296" i="24"/>
  <c r="FC296" i="24"/>
  <c r="FE296" i="24" s="1"/>
  <c r="FF296" i="24" s="1"/>
  <c r="FC261" i="24"/>
  <c r="FE261" i="24" s="1"/>
  <c r="FF261" i="24" s="1"/>
  <c r="ER261" i="24"/>
  <c r="ER218" i="24"/>
  <c r="FC218" i="24"/>
  <c r="FE218" i="24" s="1"/>
  <c r="FF218" i="24" s="1"/>
  <c r="FC288" i="24"/>
  <c r="FE288" i="24" s="1"/>
  <c r="FF288" i="24" s="1"/>
  <c r="ER288" i="24"/>
  <c r="FC224" i="24"/>
  <c r="FE224" i="24" s="1"/>
  <c r="FF224" i="24" s="1"/>
  <c r="ER224" i="24"/>
  <c r="ER264" i="24"/>
  <c r="FC264" i="24"/>
  <c r="FE264" i="24" s="1"/>
  <c r="FF264" i="24" s="1"/>
  <c r="FC275" i="24"/>
  <c r="FE275" i="24" s="1"/>
  <c r="FF275" i="24" s="1"/>
  <c r="ER275" i="24"/>
  <c r="FC279" i="24"/>
  <c r="FE279" i="24" s="1"/>
  <c r="FF279" i="24" s="1"/>
  <c r="ER279" i="24"/>
  <c r="FC226" i="24"/>
  <c r="FE226" i="24" s="1"/>
  <c r="FF226" i="24" s="1"/>
  <c r="ER226" i="24"/>
  <c r="ER272" i="24"/>
  <c r="FC272" i="24"/>
  <c r="FE272" i="24" s="1"/>
  <c r="FF272" i="24" s="1"/>
  <c r="ER292" i="24"/>
  <c r="FC292" i="24"/>
  <c r="FE292" i="24" s="1"/>
  <c r="FF292" i="24" s="1"/>
  <c r="FC308" i="24"/>
  <c r="FE308" i="24" s="1"/>
  <c r="FF308" i="24" s="1"/>
  <c r="ER308" i="24"/>
  <c r="FC234" i="24"/>
  <c r="FE234" i="24" s="1"/>
  <c r="FF234" i="24" s="1"/>
  <c r="ER234" i="24"/>
  <c r="FC246" i="24"/>
  <c r="FE246" i="24" s="1"/>
  <c r="FF246" i="24" s="1"/>
  <c r="ER246" i="24"/>
  <c r="FC316" i="24"/>
  <c r="FE316" i="24" s="1"/>
  <c r="FF316" i="24" s="1"/>
  <c r="ER316" i="24"/>
  <c r="ER270" i="24"/>
  <c r="FC270" i="24"/>
  <c r="FE270" i="24" s="1"/>
  <c r="FF270" i="24" s="1"/>
  <c r="FC284" i="24"/>
  <c r="FE284" i="24" s="1"/>
  <c r="FF284" i="24" s="1"/>
  <c r="ER284" i="24"/>
  <c r="ER248" i="24"/>
  <c r="FC248" i="24"/>
  <c r="FE248" i="24" s="1"/>
  <c r="FF248" i="24" s="1"/>
  <c r="FC39" i="24"/>
  <c r="FE39" i="24" s="1"/>
  <c r="FF39" i="24" s="1"/>
  <c r="FC152" i="24"/>
  <c r="FE152" i="24" s="1"/>
  <c r="FF152" i="24" s="1"/>
  <c r="FC44" i="24"/>
  <c r="FE44" i="24" s="1"/>
  <c r="FF44" i="24" s="1"/>
  <c r="FC199" i="24"/>
  <c r="FE199" i="24" s="1"/>
  <c r="FF199" i="24" s="1"/>
  <c r="FC160" i="24"/>
  <c r="FE160" i="24" s="1"/>
  <c r="FF160" i="24" s="1"/>
  <c r="FB134" i="24"/>
  <c r="ER111" i="24"/>
  <c r="FC23" i="24"/>
  <c r="FE23" i="24" s="1"/>
  <c r="FF23" i="24" s="1"/>
  <c r="FC192" i="24"/>
  <c r="FE192" i="24" s="1"/>
  <c r="FF192" i="24" s="1"/>
  <c r="FC186" i="24"/>
  <c r="FE186" i="24" s="1"/>
  <c r="FF186" i="24" s="1"/>
  <c r="FC133" i="24"/>
  <c r="FE133" i="24" s="1"/>
  <c r="FF133" i="24" s="1"/>
  <c r="FC126" i="24"/>
  <c r="FE126" i="24" s="1"/>
  <c r="FF126" i="24" s="1"/>
  <c r="FC127" i="24"/>
  <c r="FE127" i="24" s="1"/>
  <c r="FF127" i="24" s="1"/>
  <c r="FC52" i="24"/>
  <c r="FE52" i="24" s="1"/>
  <c r="FF52" i="24" s="1"/>
  <c r="ER169" i="24"/>
  <c r="FC169" i="24"/>
  <c r="FE169" i="24" s="1"/>
  <c r="FF169" i="24" s="1"/>
  <c r="FC104" i="24"/>
  <c r="FE104" i="24" s="1"/>
  <c r="FF104" i="24" s="1"/>
  <c r="FC63" i="24"/>
  <c r="FE63" i="24" s="1"/>
  <c r="FF63" i="24" s="1"/>
  <c r="FC201" i="24"/>
  <c r="FE201" i="24" s="1"/>
  <c r="FF201" i="24" s="1"/>
  <c r="FC14" i="24"/>
  <c r="FE14" i="24" s="1"/>
  <c r="FF14" i="24" s="1"/>
  <c r="FC136" i="24"/>
  <c r="FE136" i="24" s="1"/>
  <c r="FF136" i="24" s="1"/>
  <c r="FC124" i="24"/>
  <c r="FE124" i="24" s="1"/>
  <c r="FF124" i="24" s="1"/>
  <c r="ER170" i="24"/>
  <c r="ER14" i="24"/>
  <c r="FB147" i="24"/>
  <c r="FC29" i="24"/>
  <c r="FE29" i="24" s="1"/>
  <c r="FF29" i="24" s="1"/>
  <c r="FC43" i="24"/>
  <c r="FE43" i="24" s="1"/>
  <c r="FF43" i="24" s="1"/>
  <c r="FC81" i="24"/>
  <c r="FE81" i="24" s="1"/>
  <c r="FF81" i="24" s="1"/>
  <c r="FC37" i="24"/>
  <c r="FE37" i="24" s="1"/>
  <c r="FF37" i="24" s="1"/>
  <c r="FC30" i="24"/>
  <c r="FE30" i="24" s="1"/>
  <c r="FF30" i="24" s="1"/>
  <c r="FC55" i="24"/>
  <c r="FE55" i="24" s="1"/>
  <c r="FF55" i="24" s="1"/>
  <c r="FB71" i="24"/>
  <c r="FC71" i="24"/>
  <c r="FE71" i="24" s="1"/>
  <c r="FF71" i="24" s="1"/>
  <c r="FB48" i="24"/>
  <c r="FC48" i="24"/>
  <c r="FE48" i="24" s="1"/>
  <c r="FF48" i="24" s="1"/>
  <c r="FC77" i="24"/>
  <c r="FE77" i="24" s="1"/>
  <c r="FF77" i="24" s="1"/>
  <c r="FC172" i="24"/>
  <c r="FE172" i="24" s="1"/>
  <c r="FF172" i="24" s="1"/>
  <c r="FC40" i="24"/>
  <c r="FE40" i="24" s="1"/>
  <c r="FF40" i="24" s="1"/>
  <c r="FC99" i="24"/>
  <c r="FE99" i="24" s="1"/>
  <c r="FF99" i="24" s="1"/>
  <c r="FC83" i="24"/>
  <c r="FE83" i="24" s="1"/>
  <c r="FF83" i="24" s="1"/>
  <c r="FC90" i="24"/>
  <c r="FE90" i="24" s="1"/>
  <c r="FF90" i="24" s="1"/>
  <c r="ER90" i="24"/>
  <c r="J216" i="24"/>
  <c r="O216" i="24"/>
  <c r="BZ216" i="24" s="1"/>
  <c r="FC67" i="24"/>
  <c r="FE67" i="24" s="1"/>
  <c r="FF67" i="24" s="1"/>
  <c r="FC13" i="24"/>
  <c r="FE13" i="24" s="1"/>
  <c r="FF13" i="24" s="1"/>
  <c r="AJ110" i="24"/>
  <c r="AG110" i="24"/>
  <c r="AF110" i="24"/>
  <c r="FJ263" i="24"/>
  <c r="FJ170" i="24"/>
  <c r="FI184" i="24"/>
  <c r="FJ114" i="24"/>
  <c r="FJ232" i="24"/>
  <c r="FJ142" i="24"/>
  <c r="FI206" i="24"/>
  <c r="FJ117" i="24"/>
  <c r="FJ159" i="24"/>
  <c r="FJ192" i="24"/>
  <c r="FI209" i="24"/>
  <c r="FJ132" i="24"/>
  <c r="FJ301" i="24"/>
  <c r="FI141" i="24"/>
  <c r="FI144" i="24"/>
  <c r="FI152" i="24"/>
  <c r="FJ242" i="24"/>
  <c r="FJ306" i="24"/>
  <c r="FI167" i="24"/>
  <c r="FI208" i="24"/>
  <c r="FJ287" i="24"/>
  <c r="FJ146" i="24"/>
  <c r="FJ225" i="24"/>
  <c r="FJ299" i="24"/>
  <c r="FJ294" i="24"/>
  <c r="FJ155" i="24"/>
  <c r="FJ238" i="24"/>
  <c r="FI189" i="24"/>
  <c r="FJ311" i="24"/>
  <c r="FI130" i="24"/>
  <c r="FI150" i="24"/>
  <c r="FI197" i="24"/>
  <c r="FJ234" i="24"/>
  <c r="FJ255" i="24"/>
  <c r="FJ169" i="24"/>
  <c r="FI170" i="24"/>
  <c r="FI108" i="24"/>
  <c r="FJ228" i="24"/>
  <c r="FJ133" i="24"/>
  <c r="FJ199" i="24"/>
  <c r="FI116" i="24"/>
  <c r="FJ154" i="24"/>
  <c r="FI174" i="24"/>
  <c r="FJ131" i="24"/>
  <c r="FJ291" i="24"/>
  <c r="FI207" i="24"/>
  <c r="FI132" i="24"/>
  <c r="FI204" i="24"/>
  <c r="FJ261" i="24"/>
  <c r="FJ112" i="24"/>
  <c r="FJ136" i="24"/>
  <c r="FJ270" i="24"/>
  <c r="FJ122" i="24"/>
  <c r="FI175" i="24"/>
  <c r="FJ265" i="24"/>
  <c r="FJ217" i="24"/>
  <c r="FJ115" i="24"/>
  <c r="FJ229" i="24"/>
  <c r="FJ123" i="24"/>
  <c r="FI143" i="24"/>
  <c r="FJ315" i="24"/>
  <c r="FJ245" i="24"/>
  <c r="FJ187" i="24"/>
  <c r="FJ237" i="24"/>
  <c r="FJ227" i="24"/>
  <c r="FI169" i="24"/>
  <c r="FJ249" i="24"/>
  <c r="FJ216" i="24"/>
  <c r="FJ116" i="24"/>
  <c r="FJ290" i="24"/>
  <c r="FI110" i="24"/>
  <c r="FJ153" i="24"/>
  <c r="FJ283" i="24"/>
  <c r="FI182" i="24"/>
  <c r="FJ126" i="24"/>
  <c r="FJ280" i="24"/>
  <c r="FI115" i="24"/>
  <c r="FJ174" i="24"/>
  <c r="FJ250" i="24"/>
  <c r="FI165" i="24"/>
  <c r="FI139" i="24"/>
  <c r="FJ296" i="24"/>
  <c r="FJ113" i="24"/>
  <c r="FI188" i="24"/>
  <c r="FJ239" i="24"/>
  <c r="FJ276" i="24"/>
  <c r="FJ186" i="24"/>
  <c r="FJ246" i="24"/>
  <c r="FI140" i="24"/>
  <c r="FJ171" i="24"/>
  <c r="FI210" i="24"/>
  <c r="FJ244" i="24"/>
  <c r="FI121" i="24"/>
  <c r="FI149" i="24"/>
  <c r="FJ304" i="24"/>
  <c r="FJ272" i="24"/>
  <c r="FI179" i="24"/>
  <c r="FJ222" i="24"/>
  <c r="FI138" i="24"/>
  <c r="FJ148" i="24"/>
  <c r="FJ190" i="24"/>
  <c r="FI114" i="24"/>
  <c r="FJ277" i="24"/>
  <c r="FJ266" i="24"/>
  <c r="FJ144" i="24"/>
  <c r="FI125" i="24"/>
  <c r="FJ278" i="24"/>
  <c r="FI193" i="24"/>
  <c r="FI123" i="24"/>
  <c r="FI191" i="24"/>
  <c r="FJ297" i="24"/>
  <c r="FJ163" i="24"/>
  <c r="FI160" i="24"/>
  <c r="FI194" i="24"/>
  <c r="FJ121" i="24"/>
  <c r="FJ240" i="24"/>
  <c r="FJ300" i="24"/>
  <c r="FI171" i="24"/>
  <c r="FJ120" i="24"/>
  <c r="FI177" i="24"/>
  <c r="FJ260" i="24"/>
  <c r="FI199" i="24"/>
  <c r="FI124" i="24"/>
  <c r="FJ194" i="24"/>
  <c r="FI126" i="24"/>
  <c r="FJ292" i="24"/>
  <c r="FI181" i="24"/>
  <c r="CE108" i="24"/>
  <c r="FI201" i="24"/>
  <c r="FI133" i="24"/>
  <c r="FI145" i="24"/>
  <c r="FI176" i="24"/>
  <c r="FI113" i="24"/>
  <c r="FI172" i="24"/>
  <c r="FJ251" i="24"/>
  <c r="FI159" i="24"/>
  <c r="FI111" i="24"/>
  <c r="FJ273" i="24"/>
  <c r="FI186" i="24"/>
  <c r="FI112" i="24"/>
  <c r="FJ189" i="24"/>
  <c r="FJ289" i="24"/>
  <c r="FI155" i="24"/>
  <c r="FI183" i="24"/>
  <c r="FJ147" i="24"/>
  <c r="FJ254" i="24"/>
  <c r="FJ201" i="24"/>
  <c r="FJ149" i="24"/>
  <c r="FJ314" i="24"/>
  <c r="FI135" i="24"/>
  <c r="FJ197" i="24"/>
  <c r="FI137" i="24"/>
  <c r="FJ129" i="24"/>
  <c r="FI173" i="24"/>
  <c r="FI122" i="24"/>
  <c r="FI153" i="24"/>
  <c r="FJ235" i="24"/>
  <c r="CF110" i="24"/>
  <c r="FI196" i="24"/>
  <c r="FJ128" i="24"/>
  <c r="FJ134" i="24"/>
  <c r="FI146" i="24"/>
  <c r="FJ172" i="24"/>
  <c r="FJ110" i="24"/>
  <c r="FJ243" i="24"/>
  <c r="FI198" i="24"/>
  <c r="FI117" i="24"/>
  <c r="FJ236" i="24"/>
  <c r="FI162" i="24"/>
  <c r="FJ259" i="24"/>
  <c r="FI178" i="24"/>
  <c r="FI129" i="24"/>
  <c r="FJ293" i="24"/>
  <c r="FJ264" i="24"/>
  <c r="FI163" i="24"/>
  <c r="FJ140" i="24"/>
  <c r="FI202" i="24"/>
  <c r="FJ310" i="24"/>
  <c r="FI147" i="24"/>
  <c r="FI157" i="24"/>
  <c r="FJ258" i="24"/>
  <c r="FI195" i="24"/>
  <c r="FI120" i="24"/>
  <c r="FI119" i="24"/>
  <c r="FJ143" i="24"/>
  <c r="FI185" i="24"/>
  <c r="CF216" i="24"/>
  <c r="FI192" i="24"/>
  <c r="FI128" i="24"/>
  <c r="FJ286" i="24"/>
  <c r="FJ164" i="24"/>
  <c r="FJ233" i="24"/>
  <c r="FI164" i="24"/>
  <c r="FJ188" i="24"/>
  <c r="FJ111" i="24"/>
  <c r="FJ220" i="24"/>
  <c r="FI154" i="24"/>
  <c r="FJ313" i="24"/>
  <c r="FJ257" i="24"/>
  <c r="FI158" i="24"/>
  <c r="FJ152" i="24"/>
  <c r="FJ248" i="24"/>
  <c r="FJ230" i="24"/>
  <c r="FI134" i="24"/>
  <c r="FJ176" i="24"/>
  <c r="FI127" i="24"/>
  <c r="FJ295" i="24"/>
  <c r="FI205" i="24"/>
  <c r="FI161" i="24"/>
  <c r="FJ312" i="24"/>
  <c r="FI190" i="24"/>
  <c r="FJ218" i="24"/>
  <c r="FJ298" i="24"/>
  <c r="FJ282" i="24"/>
  <c r="FI200" i="24"/>
  <c r="FJ160" i="24"/>
  <c r="FI151" i="24"/>
  <c r="FJ226" i="24"/>
  <c r="FJ275" i="24"/>
  <c r="FJ184" i="24"/>
  <c r="FJ305" i="24"/>
  <c r="FJ127" i="24"/>
  <c r="FJ247" i="24"/>
  <c r="FI148" i="24"/>
  <c r="FJ221" i="24"/>
  <c r="FI136" i="24"/>
  <c r="FI166" i="24"/>
  <c r="FJ267" i="24"/>
  <c r="FJ141" i="24"/>
  <c r="FJ309" i="24"/>
  <c r="FJ252" i="24"/>
  <c r="FI156" i="24"/>
  <c r="FJ124" i="24"/>
  <c r="FJ130" i="24"/>
  <c r="FJ231" i="24"/>
  <c r="FJ303" i="24"/>
  <c r="FI142" i="24"/>
  <c r="FJ223" i="24"/>
  <c r="FJ308" i="24"/>
  <c r="FI131" i="24"/>
  <c r="FJ307" i="24"/>
  <c r="FJ253" i="24"/>
  <c r="FI187" i="24"/>
  <c r="FI118" i="24"/>
  <c r="FI168" i="24"/>
  <c r="FI203" i="24"/>
  <c r="FJ302" i="24"/>
  <c r="FJ316" i="24"/>
  <c r="FJ145" i="24"/>
  <c r="FJ219" i="24"/>
  <c r="FJ158" i="24"/>
  <c r="FJ138" i="24"/>
  <c r="FJ196" i="24"/>
  <c r="CE110" i="24"/>
  <c r="FI180" i="24"/>
  <c r="FC62" i="24"/>
  <c r="FE62" i="24" s="1"/>
  <c r="FF62" i="24" s="1"/>
  <c r="FC10" i="24"/>
  <c r="FE10" i="24" s="1"/>
  <c r="FF10" i="24" s="1"/>
  <c r="ER6" i="24"/>
  <c r="FC6" i="24"/>
  <c r="FE6" i="24" s="1"/>
  <c r="FF6" i="24" s="1"/>
  <c r="ER207" i="24"/>
  <c r="FC207" i="24"/>
  <c r="FE207" i="24" s="1"/>
  <c r="FF207" i="24" s="1"/>
  <c r="ER115" i="24"/>
  <c r="FC115" i="24"/>
  <c r="FE115" i="24" s="1"/>
  <c r="FF115" i="24" s="1"/>
  <c r="ER117" i="24"/>
  <c r="FC117" i="24"/>
  <c r="FE117" i="24" s="1"/>
  <c r="FF117" i="24" s="1"/>
  <c r="ER19" i="24"/>
  <c r="FC19" i="24"/>
  <c r="FE19" i="24" s="1"/>
  <c r="FF19" i="24" s="1"/>
  <c r="FC179" i="24"/>
  <c r="FE179" i="24" s="1"/>
  <c r="FF179" i="24" s="1"/>
  <c r="ER179" i="24"/>
  <c r="ER75" i="24"/>
  <c r="FC75" i="24"/>
  <c r="FE75" i="24" s="1"/>
  <c r="FF75" i="24" s="1"/>
  <c r="ER80" i="24"/>
  <c r="FC80" i="24"/>
  <c r="FE80" i="24" s="1"/>
  <c r="FF80" i="24" s="1"/>
  <c r="ER49" i="24"/>
  <c r="FC49" i="24"/>
  <c r="FE49" i="24" s="1"/>
  <c r="FF49" i="24" s="1"/>
  <c r="ER59" i="24"/>
  <c r="FC59" i="24"/>
  <c r="FE59" i="24" s="1"/>
  <c r="FF59" i="24" s="1"/>
  <c r="ER178" i="24"/>
  <c r="FC178" i="24"/>
  <c r="FE178" i="24" s="1"/>
  <c r="FF178" i="24" s="1"/>
  <c r="ER27" i="24"/>
  <c r="FC27" i="24"/>
  <c r="FE27" i="24" s="1"/>
  <c r="FF27" i="24" s="1"/>
  <c r="ER161" i="24"/>
  <c r="FC161" i="24"/>
  <c r="FE161" i="24" s="1"/>
  <c r="FF161" i="24" s="1"/>
  <c r="ER150" i="24"/>
  <c r="FC150" i="24"/>
  <c r="FE150" i="24" s="1"/>
  <c r="FF150" i="24" s="1"/>
  <c r="ER18" i="24"/>
  <c r="FC18" i="24"/>
  <c r="FE18" i="24" s="1"/>
  <c r="FF18" i="24" s="1"/>
  <c r="ER158" i="24"/>
  <c r="FC158" i="24"/>
  <c r="FE158" i="24" s="1"/>
  <c r="FF158" i="24" s="1"/>
  <c r="ER194" i="24"/>
  <c r="FC194" i="24"/>
  <c r="FE194" i="24" s="1"/>
  <c r="FF194" i="24" s="1"/>
  <c r="ER95" i="24"/>
  <c r="FC95" i="24"/>
  <c r="FE95" i="24" s="1"/>
  <c r="FF95" i="24" s="1"/>
  <c r="ER146" i="24"/>
  <c r="FC146" i="24"/>
  <c r="FE146" i="24" s="1"/>
  <c r="FF146" i="24" s="1"/>
  <c r="ER97" i="24"/>
  <c r="FC97" i="24"/>
  <c r="FE97" i="24" s="1"/>
  <c r="FF97" i="24" s="1"/>
  <c r="ER70" i="24"/>
  <c r="FC70" i="24"/>
  <c r="FE70" i="24" s="1"/>
  <c r="FF70" i="24" s="1"/>
  <c r="ER210" i="24"/>
  <c r="FC210" i="24"/>
  <c r="FE210" i="24" s="1"/>
  <c r="FF210" i="24" s="1"/>
  <c r="ER187" i="24"/>
  <c r="FC187" i="24"/>
  <c r="FE187" i="24" s="1"/>
  <c r="FF187" i="24" s="1"/>
  <c r="ER7" i="24"/>
  <c r="FC7" i="24"/>
  <c r="FE7" i="24" s="1"/>
  <c r="FF7" i="24" s="1"/>
  <c r="ER125" i="24"/>
  <c r="FC125" i="24"/>
  <c r="FE125" i="24" s="1"/>
  <c r="FF125" i="24" s="1"/>
  <c r="ER21" i="24"/>
  <c r="FC21" i="24"/>
  <c r="FE21" i="24" s="1"/>
  <c r="FF21" i="24" s="1"/>
  <c r="ER176" i="24"/>
  <c r="FC176" i="24"/>
  <c r="FE176" i="24" s="1"/>
  <c r="FF176" i="24" s="1"/>
  <c r="ER122" i="24"/>
  <c r="FC122" i="24"/>
  <c r="FE122" i="24" s="1"/>
  <c r="FF122" i="24" s="1"/>
  <c r="ER209" i="24"/>
  <c r="FC209" i="24"/>
  <c r="FE209" i="24" s="1"/>
  <c r="FF209" i="24" s="1"/>
  <c r="ER103" i="24"/>
  <c r="FC103" i="24"/>
  <c r="FE103" i="24" s="1"/>
  <c r="FF103" i="24" s="1"/>
  <c r="ER9" i="24"/>
  <c r="FC9" i="24"/>
  <c r="FE9" i="24" s="1"/>
  <c r="FF9" i="24" s="1"/>
  <c r="ER31" i="24"/>
  <c r="FC31" i="24"/>
  <c r="FE31" i="24" s="1"/>
  <c r="FF31" i="24" s="1"/>
  <c r="ER130" i="24"/>
  <c r="FC130" i="24"/>
  <c r="FE130" i="24" s="1"/>
  <c r="FF130" i="24" s="1"/>
  <c r="FC148" i="24"/>
  <c r="FE148" i="24" s="1"/>
  <c r="FF148" i="24" s="1"/>
  <c r="ER148" i="24"/>
  <c r="ER84" i="24"/>
  <c r="FC84" i="24"/>
  <c r="FE84" i="24" s="1"/>
  <c r="FF84" i="24" s="1"/>
  <c r="ER82" i="24"/>
  <c r="FC82" i="24"/>
  <c r="FE82" i="24" s="1"/>
  <c r="FF82" i="24" s="1"/>
  <c r="ER26" i="24"/>
  <c r="FC26" i="24"/>
  <c r="FE26" i="24" s="1"/>
  <c r="FF26" i="24" s="1"/>
  <c r="ER200" i="24"/>
  <c r="FC200" i="24"/>
  <c r="FE200" i="24" s="1"/>
  <c r="FF200" i="24" s="1"/>
  <c r="ER157" i="24"/>
  <c r="FC157" i="24"/>
  <c r="FE157" i="24" s="1"/>
  <c r="FF157" i="24" s="1"/>
  <c r="ER205" i="24"/>
  <c r="FC205" i="24"/>
  <c r="FE205" i="24" s="1"/>
  <c r="FF205" i="24" s="1"/>
  <c r="ER137" i="24"/>
  <c r="FC137" i="24"/>
  <c r="FE137" i="24" s="1"/>
  <c r="FF137" i="24" s="1"/>
  <c r="ER162" i="24"/>
  <c r="FC162" i="24"/>
  <c r="FE162" i="24" s="1"/>
  <c r="FF162" i="24" s="1"/>
  <c r="ER156" i="24"/>
  <c r="FC156" i="24"/>
  <c r="FE156" i="24" s="1"/>
  <c r="FF156" i="24" s="1"/>
  <c r="ER35" i="24"/>
  <c r="FC35" i="24"/>
  <c r="FE35" i="24" s="1"/>
  <c r="FF35" i="24" s="1"/>
  <c r="ER105" i="24"/>
  <c r="FC105" i="24"/>
  <c r="FE105" i="24" s="1"/>
  <c r="FF105" i="24" s="1"/>
  <c r="ER17" i="24"/>
  <c r="FC17" i="24"/>
  <c r="FE17" i="24" s="1"/>
  <c r="FF17" i="24" s="1"/>
  <c r="ER16" i="24"/>
  <c r="FC16" i="24"/>
  <c r="FE16" i="24" s="1"/>
  <c r="FF16" i="24" s="1"/>
  <c r="ER56" i="24"/>
  <c r="FC56" i="24"/>
  <c r="FE56" i="24" s="1"/>
  <c r="FF56" i="24" s="1"/>
  <c r="ER72" i="24"/>
  <c r="FC72" i="24"/>
  <c r="FE72" i="24" s="1"/>
  <c r="FF72" i="24" s="1"/>
  <c r="ER166" i="24"/>
  <c r="FC166" i="24"/>
  <c r="FE166" i="24" s="1"/>
  <c r="FF166" i="24" s="1"/>
  <c r="ER114" i="24"/>
  <c r="FC114" i="24"/>
  <c r="FE114" i="24" s="1"/>
  <c r="FF114" i="24" s="1"/>
  <c r="ER131" i="24"/>
  <c r="FC131" i="24"/>
  <c r="FE131" i="24" s="1"/>
  <c r="FF131" i="24" s="1"/>
  <c r="ER68" i="24"/>
  <c r="FC68" i="24"/>
  <c r="FE68" i="24" s="1"/>
  <c r="FF68" i="24" s="1"/>
  <c r="ER28" i="24"/>
  <c r="FC28" i="24"/>
  <c r="FE28" i="24" s="1"/>
  <c r="FF28" i="24" s="1"/>
  <c r="ER98" i="24"/>
  <c r="FC98" i="24"/>
  <c r="FE98" i="24" s="1"/>
  <c r="FF98" i="24" s="1"/>
  <c r="ER61" i="24"/>
  <c r="FC61" i="24"/>
  <c r="FE61" i="24" s="1"/>
  <c r="FF61" i="24" s="1"/>
  <c r="ER139" i="24"/>
  <c r="FC139" i="24"/>
  <c r="FE139" i="24" s="1"/>
  <c r="FF139" i="24" s="1"/>
  <c r="ER191" i="24"/>
  <c r="FC191" i="24"/>
  <c r="FE191" i="24" s="1"/>
  <c r="FF191" i="24" s="1"/>
  <c r="ER145" i="24"/>
  <c r="FC145" i="24"/>
  <c r="FE145" i="24" s="1"/>
  <c r="FF145" i="24" s="1"/>
  <c r="ER15" i="24"/>
  <c r="FC15" i="24"/>
  <c r="FE15" i="24" s="1"/>
  <c r="FF15" i="24" s="1"/>
  <c r="ER175" i="24"/>
  <c r="FC175" i="24"/>
  <c r="FE175" i="24" s="1"/>
  <c r="FF175" i="24" s="1"/>
  <c r="ER38" i="24"/>
  <c r="FC38" i="24"/>
  <c r="FE38" i="24" s="1"/>
  <c r="FF38" i="24" s="1"/>
  <c r="ER94" i="24"/>
  <c r="FC94" i="24"/>
  <c r="FE94" i="24" s="1"/>
  <c r="FF94" i="24" s="1"/>
  <c r="ER182" i="24"/>
  <c r="FC182" i="24"/>
  <c r="FE182" i="24" s="1"/>
  <c r="FF182" i="24" s="1"/>
  <c r="ER22" i="24"/>
  <c r="FC22" i="24"/>
  <c r="FE22" i="24" s="1"/>
  <c r="FF22" i="24" s="1"/>
  <c r="ER11" i="24"/>
  <c r="FC11" i="24"/>
  <c r="FE11" i="24" s="1"/>
  <c r="FF11" i="24" s="1"/>
  <c r="ER140" i="24"/>
  <c r="FC140" i="24"/>
  <c r="FE140" i="24" s="1"/>
  <c r="FF140" i="24" s="1"/>
  <c r="ER165" i="24"/>
  <c r="FC165" i="24"/>
  <c r="FE165" i="24" s="1"/>
  <c r="FF165" i="24" s="1"/>
  <c r="ER57" i="24"/>
  <c r="FC57" i="24"/>
  <c r="FE57" i="24" s="1"/>
  <c r="FF57" i="24" s="1"/>
  <c r="ER89" i="24"/>
  <c r="FC89" i="24"/>
  <c r="FE89" i="24" s="1"/>
  <c r="FF89" i="24" s="1"/>
  <c r="ER155" i="24"/>
  <c r="FC155" i="24"/>
  <c r="FE155" i="24" s="1"/>
  <c r="FF155" i="24" s="1"/>
  <c r="ER118" i="24"/>
  <c r="FC118" i="24"/>
  <c r="FE118" i="24" s="1"/>
  <c r="FF118" i="24" s="1"/>
  <c r="ER65" i="24"/>
  <c r="FC65" i="24"/>
  <c r="FE65" i="24" s="1"/>
  <c r="FF65" i="24" s="1"/>
  <c r="ER206" i="24"/>
  <c r="FC206" i="24"/>
  <c r="FE206" i="24" s="1"/>
  <c r="FF206" i="24" s="1"/>
  <c r="ER129" i="24"/>
  <c r="FC129" i="24"/>
  <c r="FE129" i="24" s="1"/>
  <c r="FF129" i="24" s="1"/>
  <c r="ER151" i="24"/>
  <c r="FC151" i="24"/>
  <c r="FE151" i="24" s="1"/>
  <c r="FF151" i="24" s="1"/>
  <c r="ER112" i="24"/>
  <c r="FC112" i="24"/>
  <c r="FE112" i="24" s="1"/>
  <c r="FF112" i="24" s="1"/>
  <c r="ER42" i="24"/>
  <c r="FC42" i="24"/>
  <c r="FE42" i="24" s="1"/>
  <c r="FF42" i="24" s="1"/>
  <c r="ER101" i="24"/>
  <c r="FC101" i="24"/>
  <c r="FE101" i="24" s="1"/>
  <c r="FF101" i="24" s="1"/>
  <c r="ER69" i="24"/>
  <c r="FC69" i="24"/>
  <c r="FE69" i="24" s="1"/>
  <c r="FF69" i="24" s="1"/>
  <c r="ER138" i="24"/>
  <c r="FC138" i="24"/>
  <c r="FE138" i="24" s="1"/>
  <c r="FF138" i="24" s="1"/>
  <c r="ER87" i="24"/>
  <c r="FC87" i="24"/>
  <c r="FE87" i="24" s="1"/>
  <c r="FF87" i="24" s="1"/>
  <c r="ER202" i="24"/>
  <c r="FC202" i="24"/>
  <c r="FE202" i="24" s="1"/>
  <c r="FF202" i="24" s="1"/>
  <c r="ER184" i="24"/>
  <c r="FC184" i="24"/>
  <c r="FE184" i="24" s="1"/>
  <c r="FF184" i="24" s="1"/>
  <c r="ER195" i="24"/>
  <c r="FC195" i="24"/>
  <c r="FE195" i="24" s="1"/>
  <c r="FF195" i="24" s="1"/>
  <c r="ER193" i="24"/>
  <c r="FC193" i="24"/>
  <c r="FE193" i="24" s="1"/>
  <c r="FF193" i="24" s="1"/>
  <c r="ER45" i="24"/>
  <c r="FC45" i="24"/>
  <c r="FE45" i="24" s="1"/>
  <c r="FF45" i="24" s="1"/>
  <c r="ER197" i="24"/>
  <c r="FC197" i="24"/>
  <c r="FE197" i="24" s="1"/>
  <c r="FF197" i="24" s="1"/>
  <c r="ER196" i="24"/>
  <c r="FC196" i="24"/>
  <c r="FE196" i="24" s="1"/>
  <c r="FF196" i="24" s="1"/>
  <c r="ER116" i="24"/>
  <c r="FC116" i="24"/>
  <c r="FE116" i="24" s="1"/>
  <c r="FF116" i="24" s="1"/>
  <c r="ER46" i="24"/>
  <c r="FC46" i="24"/>
  <c r="FE46" i="24" s="1"/>
  <c r="FF46" i="24" s="1"/>
  <c r="ER64" i="24"/>
  <c r="FC64" i="24"/>
  <c r="FE64" i="24" s="1"/>
  <c r="FF64" i="24" s="1"/>
  <c r="ER180" i="24"/>
  <c r="FC180" i="24"/>
  <c r="FE180" i="24" s="1"/>
  <c r="ER168" i="24"/>
  <c r="FC168" i="24"/>
  <c r="FE168" i="24" s="1"/>
  <c r="FF168" i="24" s="1"/>
  <c r="ER66" i="24"/>
  <c r="FC66" i="24"/>
  <c r="FE66" i="24" s="1"/>
  <c r="FF66" i="24" s="1"/>
  <c r="ER73" i="24"/>
  <c r="FC73" i="24"/>
  <c r="FE73" i="24" s="1"/>
  <c r="FF73" i="24" s="1"/>
  <c r="ER24" i="24"/>
  <c r="FC24" i="24"/>
  <c r="FE24" i="24" s="1"/>
  <c r="FF24" i="24" s="1"/>
  <c r="ER183" i="24"/>
  <c r="FC183" i="24"/>
  <c r="FE183" i="24" s="1"/>
  <c r="FF183" i="24" s="1"/>
  <c r="ER100" i="24"/>
  <c r="FC100" i="24"/>
  <c r="FE100" i="24" s="1"/>
  <c r="FF100" i="24" s="1"/>
  <c r="ER198" i="24"/>
  <c r="FC198" i="24"/>
  <c r="FE198" i="24" s="1"/>
  <c r="FF198" i="24" s="1"/>
  <c r="ER91" i="24"/>
  <c r="FC91" i="24"/>
  <c r="FE91" i="24" s="1"/>
  <c r="FF91" i="24" s="1"/>
  <c r="ER58" i="24"/>
  <c r="FC58" i="24"/>
  <c r="FE58" i="24" s="1"/>
  <c r="FF58" i="24" s="1"/>
  <c r="ER164" i="24"/>
  <c r="FC164" i="24"/>
  <c r="FE164" i="24" s="1"/>
  <c r="FF164" i="24" s="1"/>
  <c r="ER25" i="24"/>
  <c r="FC25" i="24"/>
  <c r="FE25" i="24" s="1"/>
  <c r="FF25" i="24" s="1"/>
  <c r="ER113" i="24"/>
  <c r="FC113" i="24"/>
  <c r="FE113" i="24" s="1"/>
  <c r="FF113" i="24" s="1"/>
  <c r="FC120" i="24"/>
  <c r="FE120" i="24" s="1"/>
  <c r="FF120" i="24" s="1"/>
  <c r="ER120" i="24"/>
  <c r="FC189" i="24"/>
  <c r="FE189" i="24" s="1"/>
  <c r="FF189" i="24" s="1"/>
  <c r="ER189" i="24"/>
  <c r="ER88" i="24"/>
  <c r="FC88" i="24"/>
  <c r="FE88" i="24" s="1"/>
  <c r="FF88" i="24" s="1"/>
  <c r="ER128" i="24"/>
  <c r="FC128" i="24"/>
  <c r="FE128" i="24" s="1"/>
  <c r="FF128" i="24" s="1"/>
  <c r="ER177" i="24"/>
  <c r="FC177" i="24"/>
  <c r="FE177" i="24" s="1"/>
  <c r="FF177" i="24" s="1"/>
  <c r="ER33" i="24"/>
  <c r="FC33" i="24"/>
  <c r="FE33" i="24" s="1"/>
  <c r="FF33" i="24" s="1"/>
  <c r="ER102" i="24"/>
  <c r="FC102" i="24"/>
  <c r="FE102" i="24" s="1"/>
  <c r="FF102" i="24" s="1"/>
  <c r="ER121" i="24"/>
  <c r="FC121" i="24"/>
  <c r="FE121" i="24" s="1"/>
  <c r="FF121" i="24" s="1"/>
  <c r="ER144" i="24"/>
  <c r="FC144" i="24"/>
  <c r="FE144" i="24" s="1"/>
  <c r="FF144" i="24" s="1"/>
  <c r="ER93" i="24"/>
  <c r="FC93" i="24"/>
  <c r="FE93" i="24" s="1"/>
  <c r="FF93" i="24" s="1"/>
  <c r="ER8" i="24"/>
  <c r="FC8" i="24"/>
  <c r="FE8" i="24" s="1"/>
  <c r="FF8" i="24" s="1"/>
  <c r="ER51" i="24"/>
  <c r="FC51" i="24"/>
  <c r="FE51" i="24" s="1"/>
  <c r="FF51" i="24" s="1"/>
  <c r="ER167" i="24"/>
  <c r="FC167" i="24"/>
  <c r="FE167" i="24" s="1"/>
  <c r="FF167" i="24" s="1"/>
  <c r="ER153" i="24"/>
  <c r="FC153" i="24"/>
  <c r="FE153" i="24" s="1"/>
  <c r="FF153" i="24" s="1"/>
  <c r="ER34" i="24"/>
  <c r="FC34" i="24"/>
  <c r="FE34" i="24" s="1"/>
  <c r="FF34" i="24" s="1"/>
  <c r="ER50" i="24"/>
  <c r="FC50" i="24"/>
  <c r="FE50" i="24" s="1"/>
  <c r="FF50" i="24" s="1"/>
  <c r="ER85" i="24"/>
  <c r="FC85" i="24"/>
  <c r="FE85" i="24" s="1"/>
  <c r="FF85" i="24" s="1"/>
  <c r="ER154" i="24"/>
  <c r="FC154" i="24"/>
  <c r="FE154" i="24" s="1"/>
  <c r="FF154" i="24" s="1"/>
  <c r="ER174" i="24"/>
  <c r="FC174" i="24"/>
  <c r="FE174" i="24" s="1"/>
  <c r="FF174" i="24" s="1"/>
  <c r="ER143" i="24"/>
  <c r="FC143" i="24"/>
  <c r="FE143" i="24" s="1"/>
  <c r="FF143" i="24" s="1"/>
  <c r="ER32" i="24"/>
  <c r="FC32" i="24"/>
  <c r="FE32" i="24" s="1"/>
  <c r="FF32" i="24" s="1"/>
  <c r="ER163" i="24"/>
  <c r="FC163" i="24"/>
  <c r="FE163" i="24" s="1"/>
  <c r="FF163" i="24" s="1"/>
  <c r="FC173" i="24"/>
  <c r="FE173" i="24" s="1"/>
  <c r="FF173" i="24" s="1"/>
  <c r="ER173" i="24"/>
  <c r="ER20" i="24"/>
  <c r="FC20" i="24"/>
  <c r="FE20" i="24" s="1"/>
  <c r="FF20" i="24" s="1"/>
  <c r="ER204" i="24"/>
  <c r="FC204" i="24"/>
  <c r="FE204" i="24" s="1"/>
  <c r="FF204" i="24" s="1"/>
  <c r="ER171" i="24"/>
  <c r="FC171" i="24"/>
  <c r="FE171" i="24" s="1"/>
  <c r="FF171" i="24" s="1"/>
  <c r="ER41" i="24"/>
  <c r="FC41" i="24"/>
  <c r="FE41" i="24" s="1"/>
  <c r="FF41" i="24" s="1"/>
  <c r="ER12" i="24"/>
  <c r="FC12" i="24"/>
  <c r="FE12" i="24" s="1"/>
  <c r="FF12" i="24" s="1"/>
  <c r="ER119" i="24"/>
  <c r="FC119" i="24"/>
  <c r="FE119" i="24" s="1"/>
  <c r="FF119" i="24" s="1"/>
  <c r="ER181" i="24"/>
  <c r="FC181" i="24"/>
  <c r="FE181" i="24" s="1"/>
  <c r="FF181" i="24" s="1"/>
  <c r="ER141" i="24"/>
  <c r="FC141" i="24"/>
  <c r="FE141" i="24" s="1"/>
  <c r="FF141" i="24" s="1"/>
  <c r="ER149" i="24"/>
  <c r="FC149" i="24"/>
  <c r="FE149" i="24" s="1"/>
  <c r="FF149" i="24" s="1"/>
  <c r="ER79" i="24"/>
  <c r="FC79" i="24"/>
  <c r="FE79" i="24" s="1"/>
  <c r="FF79" i="24" s="1"/>
  <c r="ER185" i="24"/>
  <c r="FC185" i="24"/>
  <c r="FE185" i="24" s="1"/>
  <c r="FF185" i="24" s="1"/>
  <c r="FC203" i="24"/>
  <c r="FE203" i="24" s="1"/>
  <c r="FF203" i="24" s="1"/>
  <c r="ER203" i="24"/>
  <c r="ER76" i="24"/>
  <c r="FC76" i="24"/>
  <c r="FE76" i="24" s="1"/>
  <c r="FF76" i="24" s="1"/>
  <c r="ER36" i="24"/>
  <c r="FC36" i="24"/>
  <c r="FE36" i="24" s="1"/>
  <c r="FF36" i="24" s="1"/>
  <c r="ER47" i="24"/>
  <c r="FC47" i="24"/>
  <c r="FE47" i="24" s="1"/>
  <c r="FF47" i="24" s="1"/>
  <c r="ER123" i="24"/>
  <c r="FC123" i="24"/>
  <c r="FE123" i="24" s="1"/>
  <c r="FF123" i="24" s="1"/>
  <c r="ER135" i="24"/>
  <c r="FC135" i="24"/>
  <c r="FE135" i="24" s="1"/>
  <c r="FF135" i="24" s="1"/>
  <c r="ER208" i="24"/>
  <c r="FC208" i="24"/>
  <c r="FE208" i="24" s="1"/>
  <c r="FF208" i="24" s="1"/>
  <c r="ER53" i="24"/>
  <c r="FC53" i="24"/>
  <c r="FE53" i="24" s="1"/>
  <c r="FF53" i="24" s="1"/>
  <c r="ER54" i="24"/>
  <c r="FC54" i="24"/>
  <c r="FE54" i="24" s="1"/>
  <c r="FF54" i="24" s="1"/>
  <c r="ER86" i="24"/>
  <c r="FC86" i="24"/>
  <c r="FE86" i="24" s="1"/>
  <c r="FF86" i="24" s="1"/>
  <c r="ER188" i="24"/>
  <c r="FC188" i="24"/>
  <c r="FE188" i="24" s="1"/>
  <c r="FF188" i="24" s="1"/>
  <c r="B199" i="2"/>
  <c r="C50" i="16" s="1"/>
  <c r="FJ175" i="24" l="1"/>
  <c r="FJ281" i="24"/>
  <c r="FJ256" i="24"/>
  <c r="FJ150" i="24"/>
  <c r="FJ118" i="24"/>
  <c r="FJ224" i="24"/>
  <c r="FJ274" i="24"/>
  <c r="FJ137" i="24"/>
  <c r="FJ156" i="24"/>
  <c r="FJ262" i="24"/>
  <c r="FJ269" i="24"/>
  <c r="FJ165" i="24"/>
  <c r="FJ271" i="24"/>
  <c r="FJ161" i="24"/>
  <c r="FJ151" i="24"/>
  <c r="FJ182" i="24"/>
  <c r="FJ288" i="24"/>
  <c r="FJ193" i="24"/>
  <c r="FJ202" i="24"/>
  <c r="FJ191" i="24"/>
  <c r="FJ200" i="24"/>
  <c r="FJ241" i="24"/>
  <c r="FJ139" i="24"/>
  <c r="FJ209" i="24"/>
  <c r="FJ135" i="24"/>
  <c r="FJ284" i="24"/>
  <c r="FJ178" i="24"/>
  <c r="FJ185" i="24"/>
  <c r="FJ268" i="24"/>
  <c r="FJ166" i="24"/>
  <c r="FJ162" i="24"/>
  <c r="FJ157" i="24"/>
  <c r="FJ285" i="24"/>
  <c r="CZ212" i="24"/>
  <c r="CS212" i="24"/>
  <c r="FD212" i="24" s="1"/>
  <c r="CN212" i="24"/>
  <c r="DA212" i="24" s="1"/>
  <c r="DT212" i="24"/>
  <c r="BO212" i="24"/>
  <c r="BR212" i="24" s="1"/>
  <c r="H212" i="24"/>
  <c r="AM212" i="24"/>
  <c r="FJ119" i="24"/>
  <c r="FJ203" i="24"/>
  <c r="FJ279" i="24"/>
  <c r="FJ173" i="24"/>
  <c r="FJ125" i="24"/>
  <c r="AT110" i="24"/>
  <c r="BA110" i="24" s="1"/>
  <c r="FJ179" i="24"/>
  <c r="FJ168" i="24"/>
  <c r="FJ181" i="24"/>
  <c r="FJ177" i="24"/>
  <c r="FJ167" i="24"/>
  <c r="FJ198" i="24"/>
  <c r="FJ210" i="24"/>
  <c r="B114" i="2"/>
  <c r="B118" i="2" s="1"/>
  <c r="E16" i="1" s="1"/>
  <c r="FJ207" i="24"/>
  <c r="FJ183" i="24"/>
  <c r="FJ206" i="24"/>
  <c r="FJ195" i="24"/>
  <c r="FJ208" i="24"/>
  <c r="AE216" i="24"/>
  <c r="AI216" i="24"/>
  <c r="X216" i="24"/>
  <c r="AA216" i="24" s="1"/>
  <c r="AB216" i="24" s="1"/>
  <c r="AC216" i="24" s="1"/>
  <c r="V216" i="24"/>
  <c r="W216" i="24"/>
  <c r="Q216" i="24"/>
  <c r="P216" i="24"/>
  <c r="AP216" i="24"/>
  <c r="FJ205" i="24"/>
  <c r="FJ204" i="24"/>
  <c r="AN110" i="24"/>
  <c r="AK110" i="24"/>
  <c r="FF180" i="24"/>
  <c r="FJ180" i="24"/>
  <c r="B265" i="2"/>
  <c r="D50" i="16" s="1"/>
  <c r="E46" i="1"/>
  <c r="A265" i="2"/>
  <c r="BH110" i="24" l="1"/>
  <c r="BI110" i="24"/>
  <c r="BL110" i="24" s="1"/>
  <c r="Y216" i="24"/>
  <c r="DC212" i="24"/>
  <c r="E57" i="1" s="1"/>
  <c r="DI212" i="24"/>
  <c r="DB212" i="24"/>
  <c r="DE212" i="24" s="1"/>
  <c r="DF212" i="24" s="1"/>
  <c r="DG212" i="24" s="1"/>
  <c r="DM212" i="24"/>
  <c r="AJ216" i="24"/>
  <c r="AF216" i="24"/>
  <c r="AG216" i="24"/>
  <c r="FI312" i="24"/>
  <c r="FI302" i="24"/>
  <c r="FI285" i="24"/>
  <c r="FI301" i="24"/>
  <c r="FI234" i="24"/>
  <c r="FI267" i="24"/>
  <c r="FI230" i="24"/>
  <c r="FI293" i="24"/>
  <c r="FI281" i="24"/>
  <c r="FI276" i="24"/>
  <c r="FI294" i="24"/>
  <c r="FI266" i="24"/>
  <c r="FI227" i="24"/>
  <c r="FI287" i="24"/>
  <c r="FI237" i="24"/>
  <c r="FI289" i="24"/>
  <c r="FI246" i="24"/>
  <c r="FI251" i="24"/>
  <c r="FI217" i="24"/>
  <c r="FI243" i="24"/>
  <c r="FI232" i="24"/>
  <c r="FI256" i="24"/>
  <c r="FI316" i="24"/>
  <c r="FI261" i="24"/>
  <c r="FI296" i="24"/>
  <c r="FI240" i="24"/>
  <c r="FI288" i="24"/>
  <c r="FI307" i="24"/>
  <c r="FI314" i="24"/>
  <c r="FI263" i="24"/>
  <c r="FI298" i="24"/>
  <c r="FI218" i="24"/>
  <c r="FI220" i="24"/>
  <c r="FI216" i="24"/>
  <c r="FI221" i="24"/>
  <c r="FI235" i="24"/>
  <c r="FI225" i="24"/>
  <c r="FI297" i="24"/>
  <c r="FI229" i="24"/>
  <c r="FI231" i="24"/>
  <c r="FI249" i="24"/>
  <c r="FI269" i="24"/>
  <c r="FI291" i="24"/>
  <c r="FI248" i="24"/>
  <c r="FI250" i="24"/>
  <c r="FI241" i="24"/>
  <c r="FI223" i="24"/>
  <c r="FI260" i="24"/>
  <c r="FI268" i="24"/>
  <c r="FI278" i="24"/>
  <c r="FI265" i="24"/>
  <c r="FI228" i="24"/>
  <c r="FI279" i="24"/>
  <c r="FI247" i="24"/>
  <c r="CE216" i="24"/>
  <c r="FI310" i="24"/>
  <c r="FI238" i="24"/>
  <c r="FI264" i="24"/>
  <c r="FI239" i="24"/>
  <c r="FI308" i="24"/>
  <c r="FI299" i="24"/>
  <c r="FI219" i="24"/>
  <c r="FI259" i="24"/>
  <c r="FI286" i="24"/>
  <c r="FI262" i="24"/>
  <c r="FI222" i="24"/>
  <c r="FI304" i="24"/>
  <c r="FI236" i="24"/>
  <c r="FI258" i="24"/>
  <c r="FI252" i="24"/>
  <c r="FI242" i="24"/>
  <c r="FI255" i="24"/>
  <c r="FI309" i="24"/>
  <c r="FI272" i="24"/>
  <c r="FI277" i="24"/>
  <c r="FI282" i="24"/>
  <c r="FI283" i="24"/>
  <c r="FI271" i="24"/>
  <c r="FI226" i="24"/>
  <c r="FI245" i="24"/>
  <c r="FI311" i="24"/>
  <c r="FI224" i="24"/>
  <c r="FI244" i="24"/>
  <c r="FI295" i="24"/>
  <c r="FI292" i="24"/>
  <c r="FI313" i="24"/>
  <c r="FI274" i="24"/>
  <c r="FI233" i="24"/>
  <c r="FI253" i="24"/>
  <c r="FI280" i="24"/>
  <c r="FI303" i="24"/>
  <c r="FI270" i="24"/>
  <c r="FI300" i="24"/>
  <c r="FI284" i="24"/>
  <c r="FI254" i="24"/>
  <c r="FI290" i="24"/>
  <c r="FI315" i="24"/>
  <c r="FI257" i="24"/>
  <c r="FI275" i="24"/>
  <c r="FI306" i="24"/>
  <c r="FI305" i="24"/>
  <c r="FI273" i="24"/>
  <c r="AS110" i="24"/>
  <c r="BJ110" i="24"/>
  <c r="AQ110" i="24"/>
  <c r="BU110" i="24"/>
  <c r="AX110" i="24"/>
  <c r="BW110" i="24"/>
  <c r="DN212" i="24" l="1"/>
  <c r="DX212" i="24" s="1"/>
  <c r="DK212" i="24"/>
  <c r="DJ212" i="24"/>
  <c r="AT216" i="24"/>
  <c r="BA216" i="24" s="1"/>
  <c r="AN216" i="24"/>
  <c r="AK216" i="24"/>
  <c r="AU110" i="24"/>
  <c r="BB110" i="24" s="1"/>
  <c r="AW110" i="24"/>
  <c r="BW216" i="24" l="1"/>
  <c r="BI216" i="24"/>
  <c r="BL216" i="24" s="1"/>
  <c r="DO212" i="24"/>
  <c r="DR212" i="24"/>
  <c r="EE212" i="24"/>
  <c r="BH216" i="24"/>
  <c r="BU216" i="24"/>
  <c r="BJ216" i="24"/>
  <c r="AX216" i="24"/>
  <c r="AS216" i="24"/>
  <c r="AQ216" i="24"/>
  <c r="AY110" i="24"/>
  <c r="AZ110" i="24" s="1"/>
  <c r="BD110" i="24"/>
  <c r="BE110" i="24"/>
  <c r="BT110" i="24" s="1"/>
  <c r="DW212" i="24" l="1"/>
  <c r="EM212" i="24"/>
  <c r="EP212" i="24" s="1"/>
  <c r="EN212" i="24"/>
  <c r="FI212" i="24"/>
  <c r="DU212" i="24"/>
  <c r="EB212" i="24"/>
  <c r="EL212" i="24"/>
  <c r="EY212" i="24"/>
  <c r="FA212" i="24"/>
  <c r="AU216" i="24"/>
  <c r="BB216" i="24" s="1"/>
  <c r="AW216" i="24"/>
  <c r="BS110" i="24"/>
  <c r="BX110" i="24" s="1"/>
  <c r="BG110" i="24"/>
  <c r="DY212" i="24" l="1"/>
  <c r="EF212" i="24" s="1"/>
  <c r="EA212" i="24"/>
  <c r="L4" i="29"/>
  <c r="W3" i="29" s="1"/>
  <c r="BM110" i="24"/>
  <c r="BN110" i="24" s="1"/>
  <c r="BE216" i="24"/>
  <c r="BT216" i="24" s="1"/>
  <c r="BD216" i="24"/>
  <c r="AY216" i="24"/>
  <c r="AZ216" i="24" s="1"/>
  <c r="BY110" i="24"/>
  <c r="CA110" i="24" s="1"/>
  <c r="CB110" i="24" s="1"/>
  <c r="EH212" i="24" l="1"/>
  <c r="EC212" i="24"/>
  <c r="ED212" i="24" s="1"/>
  <c r="EI212" i="24"/>
  <c r="EX212" i="24" s="1"/>
  <c r="FL212" i="24"/>
  <c r="CG212" i="24"/>
  <c r="I212" i="24" s="1"/>
  <c r="B41" i="29"/>
  <c r="D41" i="29" s="1"/>
  <c r="BG216" i="24"/>
  <c r="BM216" i="24" s="1"/>
  <c r="BS216" i="24"/>
  <c r="BX216" i="24" s="1"/>
  <c r="I388" i="29"/>
  <c r="J507" i="29"/>
  <c r="I318" i="29"/>
  <c r="J157" i="29"/>
  <c r="J196" i="29"/>
  <c r="I481" i="29"/>
  <c r="I511" i="29"/>
  <c r="I152" i="29"/>
  <c r="I345" i="29"/>
  <c r="I495" i="29"/>
  <c r="I129" i="29"/>
  <c r="I435" i="29"/>
  <c r="I469" i="29"/>
  <c r="I133" i="29"/>
  <c r="J550" i="29"/>
  <c r="I611" i="29"/>
  <c r="J306" i="29"/>
  <c r="J464" i="29"/>
  <c r="J482" i="29"/>
  <c r="I560" i="29"/>
  <c r="J541" i="29"/>
  <c r="I217" i="29"/>
  <c r="J25" i="29"/>
  <c r="J564" i="29"/>
  <c r="J123" i="29"/>
  <c r="I238" i="29"/>
  <c r="I321" i="29"/>
  <c r="I550" i="29"/>
  <c r="I104" i="29"/>
  <c r="J524" i="29"/>
  <c r="I527" i="29"/>
  <c r="I513" i="29"/>
  <c r="I276" i="29"/>
  <c r="J86" i="29"/>
  <c r="I632" i="29"/>
  <c r="J609" i="29"/>
  <c r="I360" i="29"/>
  <c r="I69" i="29"/>
  <c r="J437" i="29"/>
  <c r="I361" i="29"/>
  <c r="I164" i="29"/>
  <c r="J254" i="29"/>
  <c r="I300" i="29"/>
  <c r="I194" i="29"/>
  <c r="I42" i="29"/>
  <c r="J601" i="29"/>
  <c r="I428" i="29"/>
  <c r="J506" i="29"/>
  <c r="J38" i="29"/>
  <c r="J375" i="29"/>
  <c r="J430" i="29"/>
  <c r="I517" i="29"/>
  <c r="J250" i="29"/>
  <c r="I38" i="29"/>
  <c r="J372" i="29"/>
  <c r="J516" i="29"/>
  <c r="J314" i="29"/>
  <c r="I431" i="29"/>
  <c r="J521" i="29"/>
  <c r="I608" i="29"/>
  <c r="I461" i="29"/>
  <c r="I105" i="29"/>
  <c r="I475" i="29"/>
  <c r="J101" i="29"/>
  <c r="J361" i="29"/>
  <c r="J73" i="29"/>
  <c r="I233" i="29"/>
  <c r="I602" i="29"/>
  <c r="I604" i="29"/>
  <c r="J279" i="29"/>
  <c r="I525" i="29"/>
  <c r="I569" i="29"/>
  <c r="I319" i="29"/>
  <c r="I75" i="29"/>
  <c r="J119" i="29"/>
  <c r="J152" i="29"/>
  <c r="J590" i="29"/>
  <c r="I64" i="29"/>
  <c r="J585" i="29"/>
  <c r="J455" i="29"/>
  <c r="I440" i="29"/>
  <c r="J83" i="29"/>
  <c r="I239" i="29"/>
  <c r="J339" i="29"/>
  <c r="J300" i="29"/>
  <c r="I599" i="29"/>
  <c r="I379" i="29"/>
  <c r="I579" i="29"/>
  <c r="I524" i="29"/>
  <c r="I561" i="29"/>
  <c r="I267" i="29"/>
  <c r="I582" i="29"/>
  <c r="I314" i="29"/>
  <c r="J287" i="29"/>
  <c r="J393" i="29"/>
  <c r="J131" i="29"/>
  <c r="I220" i="29"/>
  <c r="I107" i="29"/>
  <c r="I137" i="29"/>
  <c r="J124" i="29"/>
  <c r="J535" i="29"/>
  <c r="I474" i="29"/>
  <c r="J344" i="29"/>
  <c r="I106" i="29"/>
  <c r="I412" i="29"/>
  <c r="J510" i="29"/>
  <c r="J331" i="29"/>
  <c r="J45" i="29"/>
  <c r="I203" i="29"/>
  <c r="J198" i="29"/>
  <c r="J569" i="29"/>
  <c r="I92" i="29"/>
  <c r="J177" i="29"/>
  <c r="J527" i="29"/>
  <c r="I576" i="29"/>
  <c r="J309" i="29"/>
  <c r="I515" i="29"/>
  <c r="I349" i="29"/>
  <c r="J357" i="29"/>
  <c r="J68" i="29"/>
  <c r="J226" i="29"/>
  <c r="I274" i="29"/>
  <c r="I154" i="29"/>
  <c r="J409" i="29"/>
  <c r="I355" i="29"/>
  <c r="J589" i="29"/>
  <c r="I393" i="29"/>
  <c r="J42" i="29"/>
  <c r="J360" i="29"/>
  <c r="I391" i="29"/>
  <c r="J401" i="29"/>
  <c r="I554" i="29"/>
  <c r="I464" i="29"/>
  <c r="J350" i="29"/>
  <c r="J284" i="29"/>
  <c r="I55" i="29"/>
  <c r="J330" i="29"/>
  <c r="I390" i="29"/>
  <c r="J548" i="29"/>
  <c r="I398" i="29"/>
  <c r="I135" i="29"/>
  <c r="J70" i="29"/>
  <c r="I472" i="29"/>
  <c r="I505" i="29"/>
  <c r="J171" i="29"/>
  <c r="J325" i="29"/>
  <c r="I504" i="29"/>
  <c r="I357" i="29"/>
  <c r="I130" i="29"/>
  <c r="I273" i="29"/>
  <c r="J607" i="29"/>
  <c r="I593" i="29"/>
  <c r="I97" i="29"/>
  <c r="J194" i="29"/>
  <c r="J195" i="29"/>
  <c r="J90" i="29"/>
  <c r="I91" i="29"/>
  <c r="I483" i="29"/>
  <c r="J588" i="29"/>
  <c r="J435" i="29"/>
  <c r="J130" i="29"/>
  <c r="I271" i="29"/>
  <c r="J258" i="29"/>
  <c r="I375" i="29"/>
  <c r="I538" i="29"/>
  <c r="I364" i="29"/>
  <c r="J263" i="29"/>
  <c r="I383" i="29"/>
  <c r="I502" i="29"/>
  <c r="J320" i="29"/>
  <c r="J425" i="29"/>
  <c r="I493" i="29"/>
  <c r="I555" i="29"/>
  <c r="I497" i="29"/>
  <c r="J52" i="29"/>
  <c r="J277" i="29"/>
  <c r="J442" i="29"/>
  <c r="J504" i="29"/>
  <c r="I329" i="29"/>
  <c r="I77" i="29"/>
  <c r="J602" i="29"/>
  <c r="I313" i="29"/>
  <c r="I114" i="29"/>
  <c r="I304" i="29"/>
  <c r="J253" i="29"/>
  <c r="J576" i="29"/>
  <c r="J346" i="29"/>
  <c r="J519" i="29"/>
  <c r="J203" i="29"/>
  <c r="I119" i="29"/>
  <c r="J210" i="29"/>
  <c r="I242" i="29"/>
  <c r="I596" i="29"/>
  <c r="J359" i="29"/>
  <c r="I162" i="29"/>
  <c r="I261" i="29"/>
  <c r="I459" i="29"/>
  <c r="I585" i="29"/>
  <c r="I406" i="29"/>
  <c r="J493" i="29"/>
  <c r="I577" i="29"/>
  <c r="J65" i="29"/>
  <c r="J160" i="29"/>
  <c r="J72" i="29"/>
  <c r="I277" i="29"/>
  <c r="J252" i="29"/>
  <c r="I334" i="29"/>
  <c r="I373" i="29"/>
  <c r="I374" i="29"/>
  <c r="I592" i="29"/>
  <c r="J322" i="29"/>
  <c r="J575" i="29"/>
  <c r="J231" i="29"/>
  <c r="J221" i="29"/>
  <c r="I150" i="29"/>
  <c r="I327" i="29"/>
  <c r="I446" i="29"/>
  <c r="J61" i="29"/>
  <c r="I117" i="29"/>
  <c r="J102" i="29"/>
  <c r="I370" i="29"/>
  <c r="I422" i="29"/>
  <c r="I199" i="29"/>
  <c r="I284" i="29"/>
  <c r="J354" i="29"/>
  <c r="I49" i="29"/>
  <c r="I102" i="29"/>
  <c r="J161" i="29"/>
  <c r="J562" i="29"/>
  <c r="J563" i="29"/>
  <c r="J79" i="29"/>
  <c r="J381" i="29"/>
  <c r="J474" i="29"/>
  <c r="I248" i="29"/>
  <c r="I32" i="29"/>
  <c r="J338" i="29"/>
  <c r="J530" i="29"/>
  <c r="I74" i="29"/>
  <c r="J53" i="29"/>
  <c r="I542" i="29"/>
  <c r="J584" i="29"/>
  <c r="I303" i="29"/>
  <c r="I587" i="29"/>
  <c r="J297" i="29"/>
  <c r="I240" i="29"/>
  <c r="J176" i="29"/>
  <c r="J158" i="29"/>
  <c r="J247" i="29"/>
  <c r="J289" i="29"/>
  <c r="I414" i="29"/>
  <c r="J587" i="29"/>
  <c r="J491" i="29"/>
  <c r="J579" i="29"/>
  <c r="I403" i="29"/>
  <c r="J366" i="29"/>
  <c r="J486" i="29"/>
  <c r="I170" i="29"/>
  <c r="I432" i="29"/>
  <c r="I603" i="29"/>
  <c r="I58" i="29"/>
  <c r="J168" i="29"/>
  <c r="I479" i="29"/>
  <c r="I454" i="29"/>
  <c r="I567" i="29"/>
  <c r="J423" i="29"/>
  <c r="I378" i="29"/>
  <c r="J389" i="29"/>
  <c r="I24" i="29"/>
  <c r="J369" i="29"/>
  <c r="I168" i="29"/>
  <c r="I213" i="29"/>
  <c r="I558" i="29"/>
  <c r="I251" i="29"/>
  <c r="J432" i="29"/>
  <c r="J311" i="29"/>
  <c r="I487" i="29"/>
  <c r="I138" i="29"/>
  <c r="J345" i="29"/>
  <c r="J262" i="29"/>
  <c r="J106" i="29"/>
  <c r="I266" i="29"/>
  <c r="I306" i="29"/>
  <c r="I54" i="29"/>
  <c r="E54" i="1"/>
  <c r="I336" i="29"/>
  <c r="I18" i="29"/>
  <c r="I275" i="29"/>
  <c r="J379" i="29"/>
  <c r="J449" i="29"/>
  <c r="J32" i="29"/>
  <c r="J417" i="29"/>
  <c r="I37" i="29"/>
  <c r="I282" i="29"/>
  <c r="J334" i="29"/>
  <c r="J60" i="29"/>
  <c r="J374" i="29"/>
  <c r="J436" i="29"/>
  <c r="I320" i="29"/>
  <c r="I407" i="29"/>
  <c r="J385" i="29"/>
  <c r="I441" i="29"/>
  <c r="I589" i="29"/>
  <c r="I547" i="29"/>
  <c r="I389" i="29"/>
  <c r="I293" i="29"/>
  <c r="I404" i="29"/>
  <c r="I365" i="29"/>
  <c r="J467" i="29"/>
  <c r="I581" i="29"/>
  <c r="I292" i="29"/>
  <c r="J164" i="29"/>
  <c r="I160" i="29"/>
  <c r="I521" i="29"/>
  <c r="I79" i="29"/>
  <c r="I399" i="29"/>
  <c r="J336" i="29"/>
  <c r="I546" i="29"/>
  <c r="J243" i="29"/>
  <c r="I229" i="29"/>
  <c r="I280" i="29"/>
  <c r="J348" i="29"/>
  <c r="J597" i="29"/>
  <c r="J139" i="29"/>
  <c r="J492" i="29"/>
  <c r="I132" i="29"/>
  <c r="I559" i="29"/>
  <c r="I433" i="29"/>
  <c r="J233" i="29"/>
  <c r="J407" i="29"/>
  <c r="J571" i="29"/>
  <c r="J501" i="29"/>
  <c r="J44" i="29"/>
  <c r="I312" i="29"/>
  <c r="J460" i="29"/>
  <c r="I331" i="29"/>
  <c r="J111" i="29"/>
  <c r="J328" i="29"/>
  <c r="J377" i="29"/>
  <c r="J135" i="29"/>
  <c r="I333" i="29"/>
  <c r="I457" i="29"/>
  <c r="I514" i="29"/>
  <c r="I605" i="29"/>
  <c r="J595" i="29"/>
  <c r="J145" i="29"/>
  <c r="J421" i="29"/>
  <c r="J605" i="29"/>
  <c r="J303" i="29"/>
  <c r="I439" i="29"/>
  <c r="I573" i="29"/>
  <c r="I144" i="29"/>
  <c r="I197" i="29"/>
  <c r="I241" i="29"/>
  <c r="I510" i="29"/>
  <c r="J556" i="29"/>
  <c r="I536" i="29"/>
  <c r="I445" i="29"/>
  <c r="I609" i="29"/>
  <c r="I353" i="29"/>
  <c r="I245" i="29"/>
  <c r="I122" i="29"/>
  <c r="I359" i="29"/>
  <c r="I316" i="29"/>
  <c r="I13" i="29"/>
  <c r="J275" i="29"/>
  <c r="I78" i="29"/>
  <c r="I473" i="29"/>
  <c r="I20" i="29"/>
  <c r="J20" i="29"/>
  <c r="I448" i="29"/>
  <c r="J539" i="29"/>
  <c r="I366" i="29"/>
  <c r="J450" i="29"/>
  <c r="I444" i="29"/>
  <c r="I15" i="29"/>
  <c r="J384" i="29"/>
  <c r="I568" i="29"/>
  <c r="J537" i="29"/>
  <c r="I143" i="29"/>
  <c r="I410" i="29"/>
  <c r="I408" i="29"/>
  <c r="J30" i="29"/>
  <c r="J367" i="29"/>
  <c r="J351" i="29"/>
  <c r="J302" i="29"/>
  <c r="J472" i="29"/>
  <c r="I337" i="29"/>
  <c r="J480" i="29"/>
  <c r="I392" i="29"/>
  <c r="J91" i="29"/>
  <c r="J136" i="29"/>
  <c r="J445" i="29"/>
  <c r="J465" i="29"/>
  <c r="J536" i="29"/>
  <c r="I315" i="29"/>
  <c r="I405" i="29"/>
  <c r="I61" i="29"/>
  <c r="J117" i="29"/>
  <c r="I201" i="29"/>
  <c r="I612" i="29"/>
  <c r="G622" i="29"/>
  <c r="J318" i="29"/>
  <c r="I421" i="29"/>
  <c r="I484" i="29"/>
  <c r="J390" i="29"/>
  <c r="J433" i="29"/>
  <c r="I232" i="29"/>
  <c r="J559" i="29"/>
  <c r="I580" i="29"/>
  <c r="I299" i="29"/>
  <c r="J608" i="29"/>
  <c r="I317" i="29"/>
  <c r="J326" i="29"/>
  <c r="I413" i="29"/>
  <c r="I286" i="29"/>
  <c r="I174" i="29"/>
  <c r="J185" i="29"/>
  <c r="I171" i="29"/>
  <c r="J553" i="29"/>
  <c r="J380" i="29"/>
  <c r="J466" i="29"/>
  <c r="I185" i="29"/>
  <c r="I372" i="29"/>
  <c r="J84" i="29"/>
  <c r="I437" i="29"/>
  <c r="J606" i="29"/>
  <c r="I184" i="29"/>
  <c r="I350" i="29"/>
  <c r="J458" i="29"/>
  <c r="J19" i="29"/>
  <c r="J85" i="29"/>
  <c r="J228" i="29"/>
  <c r="J522" i="29"/>
  <c r="J503" i="29"/>
  <c r="J175" i="29"/>
  <c r="I397" i="29"/>
  <c r="J500" i="29"/>
  <c r="J146" i="29"/>
  <c r="J35" i="29"/>
  <c r="I134" i="29"/>
  <c r="I578" i="29"/>
  <c r="I551" i="29"/>
  <c r="I116" i="29"/>
  <c r="J517" i="29"/>
  <c r="J496" i="29"/>
  <c r="I65" i="29"/>
  <c r="I209" i="29"/>
  <c r="I145" i="29"/>
  <c r="J129" i="29"/>
  <c r="J16" i="29"/>
  <c r="I33" i="29"/>
  <c r="J128" i="29"/>
  <c r="J446" i="29"/>
  <c r="I436" i="29"/>
  <c r="J534" i="29"/>
  <c r="I305" i="29"/>
  <c r="I482" i="29"/>
  <c r="I76" i="29"/>
  <c r="J133" i="29"/>
  <c r="J321" i="29"/>
  <c r="I395" i="29"/>
  <c r="I236" i="29"/>
  <c r="J402" i="29"/>
  <c r="J77" i="29"/>
  <c r="J163" i="29"/>
  <c r="J426" i="29"/>
  <c r="I471" i="29"/>
  <c r="I67" i="29"/>
  <c r="I386" i="29"/>
  <c r="I425" i="29"/>
  <c r="I476" i="29"/>
  <c r="I25" i="29"/>
  <c r="J80" i="29"/>
  <c r="I491" i="29"/>
  <c r="J438" i="29"/>
  <c r="I56" i="29"/>
  <c r="J89" i="29"/>
  <c r="I499" i="29"/>
  <c r="I565" i="29"/>
  <c r="I109" i="29"/>
  <c r="I453" i="29"/>
  <c r="J444" i="29"/>
  <c r="I532" i="29"/>
  <c r="J54" i="29"/>
  <c r="J304" i="29"/>
  <c r="J580" i="29"/>
  <c r="I540" i="29"/>
  <c r="I206" i="29"/>
  <c r="J469" i="29"/>
  <c r="I583" i="29"/>
  <c r="J358" i="29"/>
  <c r="I158" i="29"/>
  <c r="J192" i="29"/>
  <c r="I252" i="29"/>
  <c r="I151" i="29"/>
  <c r="I595" i="29"/>
  <c r="I443" i="29"/>
  <c r="I562" i="29"/>
  <c r="J422" i="29"/>
  <c r="J179" i="29"/>
  <c r="J285" i="29"/>
  <c r="I344" i="29"/>
  <c r="I411" i="29"/>
  <c r="J40" i="29"/>
  <c r="I376" i="29"/>
  <c r="I255" i="29"/>
  <c r="J199" i="29"/>
  <c r="I215" i="29"/>
  <c r="I307" i="29"/>
  <c r="J411" i="29"/>
  <c r="I523" i="29"/>
  <c r="I72" i="29"/>
  <c r="I85" i="29"/>
  <c r="I387" i="29"/>
  <c r="J412" i="29"/>
  <c r="J137" i="29"/>
  <c r="J74" i="29"/>
  <c r="I533" i="29"/>
  <c r="J484" i="29"/>
  <c r="J546" i="29"/>
  <c r="J36" i="29"/>
  <c r="I465" i="29"/>
  <c r="J497" i="29"/>
  <c r="J544" i="29"/>
  <c r="J298" i="29"/>
  <c r="I156" i="29"/>
  <c r="I51" i="29"/>
  <c r="I552" i="29"/>
  <c r="J249" i="29"/>
  <c r="I458" i="29"/>
  <c r="I548" i="29"/>
  <c r="J386" i="29"/>
  <c r="I358" i="29"/>
  <c r="J272" i="29"/>
  <c r="I294" i="29"/>
  <c r="J28" i="29"/>
  <c r="I382" i="29"/>
  <c r="J591" i="29"/>
  <c r="I189" i="29"/>
  <c r="I48" i="29"/>
  <c r="J582" i="29"/>
  <c r="I343" i="29"/>
  <c r="J327" i="29"/>
  <c r="I534" i="29"/>
  <c r="J578" i="29"/>
  <c r="J343" i="29"/>
  <c r="J125" i="29"/>
  <c r="I169" i="29"/>
  <c r="J27" i="29"/>
  <c r="I342" i="29"/>
  <c r="I485" i="29"/>
  <c r="J463" i="29"/>
  <c r="J462" i="29"/>
  <c r="I478" i="29"/>
  <c r="I178" i="29"/>
  <c r="I400" i="29"/>
  <c r="J349" i="29"/>
  <c r="I427" i="29"/>
  <c r="J232" i="29"/>
  <c r="J542" i="29"/>
  <c r="J481" i="29"/>
  <c r="J489" i="29"/>
  <c r="I351" i="29"/>
  <c r="J64" i="29"/>
  <c r="J363" i="29"/>
  <c r="I52" i="29"/>
  <c r="I244" i="29"/>
  <c r="I442" i="29"/>
  <c r="J394" i="29"/>
  <c r="I460" i="29"/>
  <c r="J568" i="29"/>
  <c r="I600" i="29"/>
  <c r="J230" i="29"/>
  <c r="J305" i="29"/>
  <c r="J404" i="29"/>
  <c r="I352" i="29"/>
  <c r="J281" i="29"/>
  <c r="I62" i="29"/>
  <c r="J554" i="29"/>
  <c r="I623" i="29"/>
  <c r="J397" i="29"/>
  <c r="J520" i="29"/>
  <c r="J362" i="29"/>
  <c r="I19" i="29"/>
  <c r="J41" i="29"/>
  <c r="I191" i="29"/>
  <c r="I208" i="29"/>
  <c r="I449" i="29"/>
  <c r="I46" i="29"/>
  <c r="I234" i="29"/>
  <c r="I123" i="29"/>
  <c r="J167" i="29"/>
  <c r="J103" i="29"/>
  <c r="J212" i="29"/>
  <c r="I173" i="29"/>
  <c r="J26" i="29"/>
  <c r="J188" i="29"/>
  <c r="I332" i="29"/>
  <c r="J270" i="29"/>
  <c r="I57" i="29"/>
  <c r="J213" i="29"/>
  <c r="I17" i="29"/>
  <c r="J209" i="29"/>
  <c r="I41" i="29"/>
  <c r="J291" i="29"/>
  <c r="I371" i="29"/>
  <c r="I503" i="29"/>
  <c r="I509" i="29"/>
  <c r="J315" i="29"/>
  <c r="I363" i="29"/>
  <c r="J88" i="29"/>
  <c r="J126" i="29"/>
  <c r="I80" i="29"/>
  <c r="I356" i="29"/>
  <c r="J97" i="29"/>
  <c r="J109" i="29"/>
  <c r="I526" i="29"/>
  <c r="I501" i="29"/>
  <c r="J256" i="29"/>
  <c r="I205" i="29"/>
  <c r="I47" i="29"/>
  <c r="J528" i="29"/>
  <c r="J335" i="29"/>
  <c r="J47" i="29"/>
  <c r="J29" i="29"/>
  <c r="J242" i="29"/>
  <c r="I246" i="29"/>
  <c r="J549" i="29"/>
  <c r="I225" i="29"/>
  <c r="J278" i="29"/>
  <c r="I35" i="29"/>
  <c r="J169" i="29"/>
  <c r="J205" i="29"/>
  <c r="J222" i="29"/>
  <c r="I588" i="29"/>
  <c r="J365" i="29"/>
  <c r="J182" i="29"/>
  <c r="I396" i="29"/>
  <c r="J392" i="29"/>
  <c r="I530" i="29"/>
  <c r="I228" i="29"/>
  <c r="J416" i="29"/>
  <c r="J329" i="29"/>
  <c r="J547" i="29"/>
  <c r="I279" i="29"/>
  <c r="J116" i="29"/>
  <c r="I179" i="29"/>
  <c r="J95" i="29"/>
  <c r="J98" i="29"/>
  <c r="J93" i="29"/>
  <c r="I237" i="29"/>
  <c r="J67" i="29"/>
  <c r="J217" i="29"/>
  <c r="J76" i="29"/>
  <c r="I60" i="29"/>
  <c r="I16" i="29"/>
  <c r="J457" i="29"/>
  <c r="J418" i="29"/>
  <c r="I30" i="29"/>
  <c r="I153" i="29"/>
  <c r="I149" i="29"/>
  <c r="I101" i="29"/>
  <c r="I572" i="29"/>
  <c r="I470" i="29"/>
  <c r="I26" i="29"/>
  <c r="J154" i="29"/>
  <c r="J356" i="29"/>
  <c r="J81" i="29"/>
  <c r="I338" i="29"/>
  <c r="I256" i="29"/>
  <c r="J251" i="29"/>
  <c r="J475" i="29"/>
  <c r="I218" i="29"/>
  <c r="J479" i="29"/>
  <c r="J403" i="29"/>
  <c r="I126" i="29"/>
  <c r="J276" i="29"/>
  <c r="J264" i="29"/>
  <c r="I381" i="29"/>
  <c r="I268" i="29"/>
  <c r="I254" i="29"/>
  <c r="I348" i="29"/>
  <c r="I624" i="29"/>
  <c r="I166" i="29"/>
  <c r="J112" i="29"/>
  <c r="J245" i="29"/>
  <c r="J560" i="29"/>
  <c r="J323" i="29"/>
  <c r="I247" i="29"/>
  <c r="I98" i="29"/>
  <c r="I270" i="29"/>
  <c r="J593" i="29"/>
  <c r="I295" i="29"/>
  <c r="J147" i="29"/>
  <c r="I207" i="29"/>
  <c r="J428" i="29"/>
  <c r="J420" i="29"/>
  <c r="I597" i="29"/>
  <c r="I146" i="29"/>
  <c r="I447" i="29"/>
  <c r="I88" i="29"/>
  <c r="J200" i="29"/>
  <c r="J260" i="29"/>
  <c r="I31" i="29"/>
  <c r="J573" i="29"/>
  <c r="J50" i="29"/>
  <c r="J513" i="29"/>
  <c r="I161" i="29"/>
  <c r="J237" i="29"/>
  <c r="J355" i="29"/>
  <c r="J483" i="29"/>
  <c r="J148" i="29"/>
  <c r="I219" i="29"/>
  <c r="I257" i="29"/>
  <c r="J92" i="29"/>
  <c r="I553" i="29"/>
  <c r="J166" i="29"/>
  <c r="I297" i="29"/>
  <c r="I269" i="29"/>
  <c r="J219" i="29"/>
  <c r="I628" i="29"/>
  <c r="I328" i="29"/>
  <c r="I456" i="29"/>
  <c r="J257" i="29"/>
  <c r="J69" i="29"/>
  <c r="I455" i="29"/>
  <c r="I182" i="29"/>
  <c r="I71" i="29"/>
  <c r="J312" i="29"/>
  <c r="I486" i="29"/>
  <c r="I607" i="29"/>
  <c r="I380" i="29"/>
  <c r="J594" i="29"/>
  <c r="I462" i="29"/>
  <c r="J307" i="29"/>
  <c r="J488" i="29"/>
  <c r="J505" i="29"/>
  <c r="I498" i="29"/>
  <c r="I265" i="29"/>
  <c r="J448" i="29"/>
  <c r="J561" i="29"/>
  <c r="J427" i="29"/>
  <c r="I211" i="29"/>
  <c r="J603" i="29"/>
  <c r="I556" i="29"/>
  <c r="J261" i="29"/>
  <c r="I296" i="29"/>
  <c r="J509" i="29"/>
  <c r="J197" i="29"/>
  <c r="J159" i="29"/>
  <c r="J162" i="29"/>
  <c r="J255" i="29"/>
  <c r="I346" i="29"/>
  <c r="J273" i="29"/>
  <c r="I28" i="29"/>
  <c r="I262" i="29"/>
  <c r="J512" i="29"/>
  <c r="I167" i="29"/>
  <c r="I204" i="29"/>
  <c r="J225" i="29"/>
  <c r="I289" i="29"/>
  <c r="I163" i="29"/>
  <c r="J57" i="29"/>
  <c r="I235" i="29"/>
  <c r="J508" i="29"/>
  <c r="J39" i="29"/>
  <c r="J405" i="29"/>
  <c r="I128" i="29"/>
  <c r="J337" i="29"/>
  <c r="J51" i="29"/>
  <c r="J18" i="29"/>
  <c r="J268" i="29"/>
  <c r="I141" i="29"/>
  <c r="I93" i="29"/>
  <c r="J499" i="29"/>
  <c r="J211" i="29"/>
  <c r="J141" i="29"/>
  <c r="J583" i="29"/>
  <c r="J470" i="29"/>
  <c r="J529" i="29"/>
  <c r="J58" i="29"/>
  <c r="I230" i="29"/>
  <c r="J319" i="29"/>
  <c r="J113" i="29"/>
  <c r="I157" i="29"/>
  <c r="J347" i="29"/>
  <c r="I82" i="29"/>
  <c r="I212" i="29"/>
  <c r="I200" i="29"/>
  <c r="I311" i="29"/>
  <c r="J105" i="29"/>
  <c r="I221" i="29"/>
  <c r="J453" i="29"/>
  <c r="J478" i="29"/>
  <c r="J43" i="29"/>
  <c r="J94" i="29"/>
  <c r="J485" i="29"/>
  <c r="J596" i="29"/>
  <c r="J138" i="29"/>
  <c r="I142" i="29"/>
  <c r="I298" i="29"/>
  <c r="I216" i="29"/>
  <c r="J600" i="29"/>
  <c r="J628" i="29"/>
  <c r="J240" i="29"/>
  <c r="J316" i="29"/>
  <c r="J540" i="29"/>
  <c r="I606" i="29"/>
  <c r="J395" i="29"/>
  <c r="J216" i="29"/>
  <c r="J459" i="29"/>
  <c r="J391" i="29"/>
  <c r="I259" i="29"/>
  <c r="J543" i="29"/>
  <c r="I196" i="29"/>
  <c r="I430" i="29"/>
  <c r="J244" i="29"/>
  <c r="I531" i="29"/>
  <c r="J290" i="29"/>
  <c r="I544" i="29"/>
  <c r="J75" i="29"/>
  <c r="J295" i="29"/>
  <c r="J523" i="29"/>
  <c r="I584" i="29"/>
  <c r="J241" i="29"/>
  <c r="I263" i="29"/>
  <c r="I369" i="29"/>
  <c r="I258" i="29"/>
  <c r="J364" i="29"/>
  <c r="J186" i="29"/>
  <c r="J37" i="29"/>
  <c r="J238" i="29"/>
  <c r="J239" i="29"/>
  <c r="I103" i="29"/>
  <c r="I155" i="29"/>
  <c r="I420" i="29"/>
  <c r="I339" i="29"/>
  <c r="I626" i="29"/>
  <c r="J15" i="29"/>
  <c r="J34" i="29"/>
  <c r="I264" i="29"/>
  <c r="I535" i="29"/>
  <c r="I118" i="29"/>
  <c r="J441" i="29"/>
  <c r="I610" i="29"/>
  <c r="I415" i="29"/>
  <c r="J190" i="29"/>
  <c r="J398" i="29"/>
  <c r="J623" i="29"/>
  <c r="J502" i="29"/>
  <c r="I494" i="29"/>
  <c r="I467" i="29"/>
  <c r="I508" i="29"/>
  <c r="I385" i="29"/>
  <c r="J333" i="29"/>
  <c r="J202" i="29"/>
  <c r="J156" i="29"/>
  <c r="I516" i="29"/>
  <c r="I278" i="29"/>
  <c r="I202" i="29"/>
  <c r="J515" i="29"/>
  <c r="J173" i="29"/>
  <c r="I564" i="29"/>
  <c r="J494" i="29"/>
  <c r="J332" i="29"/>
  <c r="I394" i="29"/>
  <c r="J439" i="29"/>
  <c r="I549" i="29"/>
  <c r="J269" i="29"/>
  <c r="I243" i="29"/>
  <c r="I224" i="29"/>
  <c r="J267" i="29"/>
  <c r="I231" i="29"/>
  <c r="I73" i="29"/>
  <c r="J108" i="29"/>
  <c r="I100" i="29"/>
  <c r="I507" i="29"/>
  <c r="I496" i="29"/>
  <c r="J599" i="29"/>
  <c r="J142" i="29"/>
  <c r="J149" i="29"/>
  <c r="J31" i="29"/>
  <c r="J626" i="29"/>
  <c r="I84" i="29"/>
  <c r="J220" i="29"/>
  <c r="I172" i="29"/>
  <c r="J324" i="29"/>
  <c r="I89" i="29"/>
  <c r="I330" i="29"/>
  <c r="J17" i="29"/>
  <c r="J414" i="29"/>
  <c r="J518" i="29"/>
  <c r="I426" i="29"/>
  <c r="J132" i="29"/>
  <c r="I63" i="29"/>
  <c r="J286" i="29"/>
  <c r="J22" i="29"/>
  <c r="I325" i="29"/>
  <c r="J259" i="29"/>
  <c r="I111" i="29"/>
  <c r="J236" i="29"/>
  <c r="I468" i="29"/>
  <c r="J227" i="29"/>
  <c r="J400" i="29"/>
  <c r="I418" i="29"/>
  <c r="I302" i="29"/>
  <c r="J246" i="29"/>
  <c r="J352" i="29"/>
  <c r="I347" i="29"/>
  <c r="J14" i="29"/>
  <c r="I480" i="29"/>
  <c r="I522" i="29"/>
  <c r="I377" i="29"/>
  <c r="J308" i="29"/>
  <c r="I291" i="29"/>
  <c r="I539" i="29"/>
  <c r="J193" i="29"/>
  <c r="I335" i="29"/>
  <c r="I424" i="29"/>
  <c r="I108" i="29"/>
  <c r="J288" i="29"/>
  <c r="I340" i="29"/>
  <c r="I308" i="29"/>
  <c r="J424" i="29"/>
  <c r="J214" i="29"/>
  <c r="J342" i="29"/>
  <c r="J82" i="29"/>
  <c r="J447" i="29"/>
  <c r="I341" i="29"/>
  <c r="J180" i="29"/>
  <c r="J473" i="29"/>
  <c r="J46" i="29"/>
  <c r="I490" i="29"/>
  <c r="I324" i="29"/>
  <c r="J96" i="29"/>
  <c r="J408" i="29"/>
  <c r="J293" i="29"/>
  <c r="I148" i="29"/>
  <c r="J206" i="29"/>
  <c r="J187" i="29"/>
  <c r="I59" i="29"/>
  <c r="J371" i="29"/>
  <c r="I417" i="29"/>
  <c r="I195" i="29"/>
  <c r="I416" i="29"/>
  <c r="I574" i="29"/>
  <c r="J296" i="29"/>
  <c r="J570" i="29"/>
  <c r="I124" i="29"/>
  <c r="I99" i="29"/>
  <c r="J477" i="29"/>
  <c r="J495" i="29"/>
  <c r="J78" i="29"/>
  <c r="I354" i="29"/>
  <c r="J368" i="29"/>
  <c r="J413" i="29"/>
  <c r="J134" i="29"/>
  <c r="I489" i="29"/>
  <c r="I34" i="29"/>
  <c r="J292" i="29"/>
  <c r="I110" i="29"/>
  <c r="I83" i="29"/>
  <c r="J23" i="29"/>
  <c r="I520" i="29"/>
  <c r="J155" i="29"/>
  <c r="J545" i="29"/>
  <c r="J140" i="29"/>
  <c r="J533" i="29"/>
  <c r="J63" i="29"/>
  <c r="J178" i="29"/>
  <c r="I175" i="29"/>
  <c r="I463" i="29"/>
  <c r="I165" i="29"/>
  <c r="J604" i="29"/>
  <c r="I96" i="29"/>
  <c r="J598" i="29"/>
  <c r="I423" i="29"/>
  <c r="J565" i="29"/>
  <c r="I512" i="29"/>
  <c r="I557" i="29"/>
  <c r="I613" i="29"/>
  <c r="I541" i="29"/>
  <c r="I131" i="29"/>
  <c r="J410" i="29"/>
  <c r="J170" i="29"/>
  <c r="J611" i="29"/>
  <c r="I113" i="29"/>
  <c r="J234" i="29"/>
  <c r="I466" i="29"/>
  <c r="I452" i="29"/>
  <c r="J555" i="29"/>
  <c r="J388" i="29"/>
  <c r="I27" i="29"/>
  <c r="J613" i="29"/>
  <c r="I367" i="29"/>
  <c r="I81" i="29"/>
  <c r="I272" i="29"/>
  <c r="J431" i="29"/>
  <c r="I362" i="29"/>
  <c r="I86" i="29"/>
  <c r="I159" i="29"/>
  <c r="I594" i="29"/>
  <c r="I95" i="29"/>
  <c r="J151" i="29"/>
  <c r="I451" i="29"/>
  <c r="J376" i="29"/>
  <c r="I186" i="29"/>
  <c r="J55" i="29"/>
  <c r="J120" i="29"/>
  <c r="I188" i="29"/>
  <c r="J150" i="29"/>
  <c r="I309" i="29"/>
  <c r="I125" i="29"/>
  <c r="J382" i="29"/>
  <c r="I384" i="29"/>
  <c r="J208" i="29"/>
  <c r="I223" i="29"/>
  <c r="I120" i="29"/>
  <c r="I140" i="29"/>
  <c r="I591" i="29"/>
  <c r="J317" i="29"/>
  <c r="I283" i="29"/>
  <c r="J271" i="29"/>
  <c r="J71" i="29"/>
  <c r="J399" i="29"/>
  <c r="J440" i="29"/>
  <c r="J266" i="29"/>
  <c r="J370" i="29"/>
  <c r="I112" i="29"/>
  <c r="J434" i="29"/>
  <c r="J174" i="29"/>
  <c r="J592" i="29"/>
  <c r="J378" i="29"/>
  <c r="J340" i="29"/>
  <c r="J586" i="29"/>
  <c r="I14" i="29"/>
  <c r="J248" i="29"/>
  <c r="J490" i="29"/>
  <c r="I192" i="29"/>
  <c r="I70" i="29"/>
  <c r="I87" i="29"/>
  <c r="J87" i="29"/>
  <c r="J104" i="29"/>
  <c r="I68" i="29"/>
  <c r="J299" i="29"/>
  <c r="I601" i="29"/>
  <c r="J566" i="29"/>
  <c r="I537" i="29"/>
  <c r="I180" i="29"/>
  <c r="J341" i="29"/>
  <c r="I409" i="29"/>
  <c r="J21" i="29"/>
  <c r="I590" i="29"/>
  <c r="I402" i="29"/>
  <c r="J282" i="29"/>
  <c r="J454" i="29"/>
  <c r="I401" i="29"/>
  <c r="J476" i="29"/>
  <c r="I529" i="29"/>
  <c r="I222" i="29"/>
  <c r="I519" i="29"/>
  <c r="I285" i="29"/>
  <c r="I176" i="29"/>
  <c r="J33" i="29"/>
  <c r="I281" i="29"/>
  <c r="I310" i="29"/>
  <c r="J461" i="29"/>
  <c r="J66" i="29"/>
  <c r="J115" i="29"/>
  <c r="J373" i="29"/>
  <c r="I40" i="29"/>
  <c r="J419" i="29"/>
  <c r="J511" i="29"/>
  <c r="J415" i="29"/>
  <c r="I518" i="29"/>
  <c r="I39" i="29"/>
  <c r="J577" i="29"/>
  <c r="I288" i="29"/>
  <c r="I434" i="29"/>
  <c r="J49" i="29"/>
  <c r="I545" i="29"/>
  <c r="I147" i="29"/>
  <c r="I500" i="29"/>
  <c r="J110" i="29"/>
  <c r="I438" i="29"/>
  <c r="J625" i="29"/>
  <c r="I566" i="29"/>
  <c r="I419" i="29"/>
  <c r="J567" i="29"/>
  <c r="I45" i="29"/>
  <c r="I543" i="29"/>
  <c r="J204" i="29"/>
  <c r="I249" i="29"/>
  <c r="J201" i="29"/>
  <c r="I121" i="29"/>
  <c r="I136" i="29"/>
  <c r="J456" i="29"/>
  <c r="J468" i="29"/>
  <c r="I575" i="29"/>
  <c r="I250" i="29"/>
  <c r="I227" i="29"/>
  <c r="I226" i="29"/>
  <c r="J525" i="29"/>
  <c r="J383" i="29"/>
  <c r="J215" i="29"/>
  <c r="I287" i="29"/>
  <c r="I50" i="29"/>
  <c r="I506" i="29"/>
  <c r="I598" i="29"/>
  <c r="J387" i="29"/>
  <c r="J452" i="29"/>
  <c r="I528" i="29"/>
  <c r="J487" i="29"/>
  <c r="I563" i="29"/>
  <c r="J153" i="29"/>
  <c r="J396" i="29"/>
  <c r="J429" i="29"/>
  <c r="J62" i="29"/>
  <c r="J191" i="29"/>
  <c r="J557" i="29"/>
  <c r="I53" i="29"/>
  <c r="I94" i="29"/>
  <c r="J498" i="29"/>
  <c r="J118" i="29"/>
  <c r="I210" i="29"/>
  <c r="J183" i="29"/>
  <c r="J59" i="29"/>
  <c r="J552" i="29"/>
  <c r="J514" i="29"/>
  <c r="J56" i="29"/>
  <c r="J143" i="29"/>
  <c r="I187" i="29"/>
  <c r="I301" i="29"/>
  <c r="J406" i="29"/>
  <c r="J558" i="29"/>
  <c r="J144" i="29"/>
  <c r="J224" i="29"/>
  <c r="I260" i="29"/>
  <c r="J223" i="29"/>
  <c r="I198" i="29"/>
  <c r="I290" i="29"/>
  <c r="I627" i="29"/>
  <c r="I29" i="29"/>
  <c r="J526" i="29"/>
  <c r="I477" i="29"/>
  <c r="I21" i="29"/>
  <c r="I326" i="29"/>
  <c r="J581" i="29"/>
  <c r="I183" i="29"/>
  <c r="J24" i="29"/>
  <c r="I190" i="29"/>
  <c r="J48" i="29"/>
  <c r="J184" i="29"/>
  <c r="I625" i="29"/>
  <c r="I492" i="29"/>
  <c r="I586" i="29"/>
  <c r="J100" i="29"/>
  <c r="J13" i="29"/>
  <c r="J624" i="29"/>
  <c r="I90" i="29"/>
  <c r="J353" i="29"/>
  <c r="I571" i="29"/>
  <c r="J114" i="29"/>
  <c r="J471" i="29"/>
  <c r="J165" i="29"/>
  <c r="J551" i="29"/>
  <c r="J235" i="29"/>
  <c r="I139" i="29"/>
  <c r="I322" i="29"/>
  <c r="I429" i="29"/>
  <c r="J301" i="29"/>
  <c r="J451" i="29"/>
  <c r="J99" i="29"/>
  <c r="I570" i="29"/>
  <c r="J229" i="29"/>
  <c r="I181" i="29"/>
  <c r="I253" i="29"/>
  <c r="J218" i="29"/>
  <c r="I66" i="29"/>
  <c r="I193" i="29"/>
  <c r="J572" i="29"/>
  <c r="J627" i="29"/>
  <c r="J274" i="29"/>
  <c r="J189" i="29"/>
  <c r="J283" i="29"/>
  <c r="J532" i="29"/>
  <c r="J313" i="29"/>
  <c r="I450" i="29"/>
  <c r="J443" i="29"/>
  <c r="I36" i="29"/>
  <c r="J610" i="29"/>
  <c r="J280" i="29"/>
  <c r="J310" i="29"/>
  <c r="J574" i="29"/>
  <c r="I323" i="29"/>
  <c r="J538" i="29"/>
  <c r="J122" i="29"/>
  <c r="J181" i="29"/>
  <c r="J107" i="29"/>
  <c r="I23" i="29"/>
  <c r="J531" i="29"/>
  <c r="J612" i="29"/>
  <c r="J121" i="29"/>
  <c r="I488" i="29"/>
  <c r="I115" i="29"/>
  <c r="J265" i="29"/>
  <c r="I127" i="29"/>
  <c r="J172" i="29"/>
  <c r="I214" i="29"/>
  <c r="I44" i="29"/>
  <c r="I43" i="29"/>
  <c r="I368" i="29"/>
  <c r="J127" i="29"/>
  <c r="J207" i="29"/>
  <c r="J294" i="29"/>
  <c r="I177" i="29"/>
  <c r="I22" i="29"/>
  <c r="K212" i="24" l="1"/>
  <c r="BK212" i="24"/>
  <c r="S212" i="24"/>
  <c r="T212" i="24" s="1"/>
  <c r="M212" i="24"/>
  <c r="EK212" i="24"/>
  <c r="EW212" i="24"/>
  <c r="FB212" i="24" s="1"/>
  <c r="BN216" i="24"/>
  <c r="BY216" i="24"/>
  <c r="CA216" i="24" s="1"/>
  <c r="CB216" i="24" s="1"/>
  <c r="X623" i="29"/>
  <c r="Y623" i="29" s="1"/>
  <c r="AH623" i="29"/>
  <c r="W628" i="29"/>
  <c r="AG628" i="29"/>
  <c r="V622" i="29"/>
  <c r="K622" i="29"/>
  <c r="P622" i="29"/>
  <c r="R622" i="29"/>
  <c r="U622" i="29"/>
  <c r="T622" i="29"/>
  <c r="Q622" i="29"/>
  <c r="I622" i="29"/>
  <c r="O622" i="29"/>
  <c r="S622" i="29"/>
  <c r="J622" i="29"/>
  <c r="L622" i="29"/>
  <c r="AH625" i="29"/>
  <c r="X625" i="29"/>
  <c r="Y625" i="29" s="1"/>
  <c r="X624" i="29"/>
  <c r="Y624" i="29" s="1"/>
  <c r="AH624" i="29"/>
  <c r="AH627" i="29"/>
  <c r="X627" i="29"/>
  <c r="Y627" i="29" s="1"/>
  <c r="AH628" i="29"/>
  <c r="X628" i="29"/>
  <c r="Y628" i="29" s="1"/>
  <c r="W623" i="29"/>
  <c r="J633" i="29" s="1"/>
  <c r="AG623" i="29"/>
  <c r="K633" i="29" s="1"/>
  <c r="W627" i="29"/>
  <c r="AG627" i="29"/>
  <c r="X626" i="29"/>
  <c r="Y626" i="29" s="1"/>
  <c r="AH626" i="29"/>
  <c r="AG624" i="29"/>
  <c r="K634" i="29" s="1"/>
  <c r="W624" i="29"/>
  <c r="J634" i="29" s="1"/>
  <c r="W626" i="29"/>
  <c r="J636" i="29" s="1"/>
  <c r="AG626" i="29"/>
  <c r="K636" i="29" s="1"/>
  <c r="AG625" i="29"/>
  <c r="K635" i="29" s="1"/>
  <c r="W625" i="29"/>
  <c r="J635" i="29" s="1"/>
  <c r="BK5" i="24"/>
  <c r="S5" i="24"/>
  <c r="T5" i="24" s="1"/>
  <c r="J5" i="24" s="1"/>
  <c r="ER212" i="24" l="1"/>
  <c r="FC212" i="24"/>
  <c r="FE212" i="24" s="1"/>
  <c r="U212" i="24"/>
  <c r="N212" i="24"/>
  <c r="J212" i="24"/>
  <c r="O212" i="24"/>
  <c r="BZ212" i="24" s="1"/>
  <c r="AD622" i="29"/>
  <c r="X622" i="29"/>
  <c r="Y622" i="29" s="1"/>
  <c r="AH622" i="29"/>
  <c r="AE622" i="29"/>
  <c r="W622" i="29"/>
  <c r="J632" i="29" s="1"/>
  <c r="AG622" i="29"/>
  <c r="K632" i="29" s="1"/>
  <c r="N5" i="24"/>
  <c r="P5" i="24" s="1"/>
  <c r="FI24" i="24" s="1"/>
  <c r="O5" i="24"/>
  <c r="BZ5" i="24" s="1"/>
  <c r="V5" i="24"/>
  <c r="W5" i="24"/>
  <c r="Y5" i="24" l="1"/>
  <c r="AE212" i="24"/>
  <c r="AI212" i="24"/>
  <c r="X212" i="24"/>
  <c r="AA212" i="24" s="1"/>
  <c r="AB212" i="24" s="1"/>
  <c r="AC212" i="24" s="1"/>
  <c r="Q212" i="24"/>
  <c r="AP212" i="24"/>
  <c r="P212" i="24"/>
  <c r="V212" i="24"/>
  <c r="W212" i="24"/>
  <c r="FF212" i="24"/>
  <c r="FJ212" i="24"/>
  <c r="Q5" i="24"/>
  <c r="R5" i="24" s="1"/>
  <c r="FI58" i="24"/>
  <c r="FJ62" i="24"/>
  <c r="FJ77" i="24"/>
  <c r="FJ35" i="24"/>
  <c r="FI51" i="24"/>
  <c r="FJ69" i="24"/>
  <c r="FJ24" i="24"/>
  <c r="FJ72" i="24"/>
  <c r="FI91" i="24"/>
  <c r="FI54" i="24"/>
  <c r="FI18" i="24"/>
  <c r="FJ27" i="24"/>
  <c r="FJ41" i="24"/>
  <c r="FJ103" i="24"/>
  <c r="FI60" i="24"/>
  <c r="FJ51" i="24"/>
  <c r="FJ5" i="24"/>
  <c r="FI87" i="24"/>
  <c r="FJ21" i="24"/>
  <c r="FI63" i="24"/>
  <c r="FJ29" i="24"/>
  <c r="FJ38" i="24"/>
  <c r="FI85" i="24"/>
  <c r="FJ64" i="24"/>
  <c r="FI36" i="24"/>
  <c r="FJ63" i="24"/>
  <c r="FI15" i="24"/>
  <c r="FJ99" i="24"/>
  <c r="FJ42" i="24"/>
  <c r="FJ19" i="24"/>
  <c r="FI62" i="24"/>
  <c r="FJ48" i="24"/>
  <c r="FI19" i="24"/>
  <c r="FJ88" i="24"/>
  <c r="FI11" i="24"/>
  <c r="FJ57" i="24"/>
  <c r="FI55" i="24"/>
  <c r="FI14" i="24"/>
  <c r="FI61" i="24"/>
  <c r="FJ45" i="24"/>
  <c r="FI69" i="24"/>
  <c r="FI89" i="24"/>
  <c r="FI70" i="24"/>
  <c r="FJ92" i="24"/>
  <c r="FI9" i="24"/>
  <c r="FI50" i="24"/>
  <c r="FJ60" i="24"/>
  <c r="FI47" i="24"/>
  <c r="FJ49" i="24"/>
  <c r="FI72" i="24"/>
  <c r="CF5" i="24"/>
  <c r="FJ58" i="24"/>
  <c r="FI90" i="24"/>
  <c r="FJ32" i="24"/>
  <c r="FJ95" i="24"/>
  <c r="FJ23" i="24"/>
  <c r="FI81" i="24"/>
  <c r="FJ16" i="24"/>
  <c r="FJ85" i="24"/>
  <c r="FJ82" i="24"/>
  <c r="FJ61" i="24"/>
  <c r="FJ71" i="24"/>
  <c r="FJ90" i="24"/>
  <c r="FI43" i="24"/>
  <c r="FJ12" i="24"/>
  <c r="FI25" i="24"/>
  <c r="FJ83" i="24"/>
  <c r="FJ40" i="24"/>
  <c r="FI68" i="24"/>
  <c r="FI59" i="24"/>
  <c r="FJ87" i="24"/>
  <c r="FI42" i="24"/>
  <c r="FI57" i="24"/>
  <c r="FI95" i="24"/>
  <c r="FI33" i="24"/>
  <c r="FI77" i="24"/>
  <c r="FJ43" i="24"/>
  <c r="FJ74" i="24"/>
  <c r="FJ6" i="24"/>
  <c r="FI92" i="24"/>
  <c r="FI103" i="24"/>
  <c r="FJ76" i="24"/>
  <c r="FJ56" i="24"/>
  <c r="FJ84" i="24"/>
  <c r="FI49" i="24"/>
  <c r="FJ78" i="24"/>
  <c r="FJ54" i="24"/>
  <c r="FI41" i="24"/>
  <c r="FI40" i="24"/>
  <c r="FJ89" i="24"/>
  <c r="FJ18" i="24"/>
  <c r="FI79" i="24"/>
  <c r="FI26" i="24"/>
  <c r="FI80" i="24"/>
  <c r="FI35" i="24"/>
  <c r="FJ37" i="24"/>
  <c r="FI27" i="24"/>
  <c r="FJ36" i="24"/>
  <c r="FI32" i="24"/>
  <c r="FI39" i="24"/>
  <c r="FJ44" i="24"/>
  <c r="FI30" i="24"/>
  <c r="FI78" i="24"/>
  <c r="FJ101" i="24"/>
  <c r="FJ104" i="24"/>
  <c r="FI13" i="24"/>
  <c r="FI7" i="24"/>
  <c r="FI45" i="24"/>
  <c r="FI48" i="24"/>
  <c r="FJ13" i="24"/>
  <c r="FI34" i="24"/>
  <c r="FJ33" i="24"/>
  <c r="FI8" i="24"/>
  <c r="FJ52" i="24"/>
  <c r="FJ86" i="24"/>
  <c r="CE5" i="24"/>
  <c r="FJ73" i="24"/>
  <c r="FJ17" i="24"/>
  <c r="FJ80" i="24"/>
  <c r="FJ20" i="24"/>
  <c r="FJ46" i="24"/>
  <c r="FJ22" i="24"/>
  <c r="FI94" i="24"/>
  <c r="FI97" i="24"/>
  <c r="FI88" i="24"/>
  <c r="FI105" i="24"/>
  <c r="FI22" i="24"/>
  <c r="FI46" i="24"/>
  <c r="FI38" i="24"/>
  <c r="FJ15" i="24"/>
  <c r="FI96" i="24"/>
  <c r="FI5" i="24"/>
  <c r="FI37" i="24"/>
  <c r="FJ81" i="24"/>
  <c r="FJ97" i="24"/>
  <c r="FJ34" i="24"/>
  <c r="FJ100" i="24"/>
  <c r="FI23" i="24"/>
  <c r="FI93" i="24"/>
  <c r="FI53" i="24"/>
  <c r="FI44" i="24"/>
  <c r="FI71" i="24"/>
  <c r="FJ50" i="24"/>
  <c r="FI99" i="24"/>
  <c r="FI104" i="24"/>
  <c r="FJ102" i="24"/>
  <c r="FJ25" i="24"/>
  <c r="FI83" i="24"/>
  <c r="FJ14" i="24"/>
  <c r="FI102" i="24"/>
  <c r="FJ31" i="24"/>
  <c r="FJ96" i="24"/>
  <c r="FJ59" i="24"/>
  <c r="FI100" i="24"/>
  <c r="FJ67" i="24"/>
  <c r="FI16" i="24"/>
  <c r="FJ70" i="24"/>
  <c r="FI31" i="24"/>
  <c r="FJ39" i="24"/>
  <c r="FI73" i="24"/>
  <c r="FJ55" i="24"/>
  <c r="FJ79" i="24"/>
  <c r="FI101" i="24"/>
  <c r="FI98" i="24"/>
  <c r="FJ7" i="24"/>
  <c r="FI29" i="24"/>
  <c r="FI86" i="24"/>
  <c r="FI21" i="24"/>
  <c r="FI66" i="24"/>
  <c r="FI64" i="24"/>
  <c r="FI10" i="24"/>
  <c r="FI12" i="24"/>
  <c r="FJ26" i="24"/>
  <c r="FJ30" i="24"/>
  <c r="FJ94" i="24"/>
  <c r="FJ8" i="24"/>
  <c r="AP5" i="24"/>
  <c r="FJ91" i="24"/>
  <c r="FJ66" i="24"/>
  <c r="FI17" i="24"/>
  <c r="FJ53" i="24"/>
  <c r="FJ98" i="24"/>
  <c r="FJ11" i="24"/>
  <c r="FI74" i="24"/>
  <c r="FI20" i="24"/>
  <c r="FI52" i="24"/>
  <c r="FI67" i="24"/>
  <c r="FI84" i="24"/>
  <c r="FI65" i="24"/>
  <c r="FJ47" i="24"/>
  <c r="FJ9" i="24"/>
  <c r="FI75" i="24"/>
  <c r="FJ75" i="24"/>
  <c r="FJ65" i="24"/>
  <c r="FI28" i="24"/>
  <c r="FI76" i="24"/>
  <c r="FJ93" i="24"/>
  <c r="FI56" i="24"/>
  <c r="FI82" i="24"/>
  <c r="FJ105" i="24"/>
  <c r="FJ28" i="24"/>
  <c r="FJ10" i="24"/>
  <c r="FJ68" i="24"/>
  <c r="FI6" i="24"/>
  <c r="AE5" i="24"/>
  <c r="AI5" i="24"/>
  <c r="X5" i="24"/>
  <c r="AA5" i="24" s="1"/>
  <c r="AB5" i="24" s="1"/>
  <c r="AC5" i="24" s="1"/>
  <c r="Y212" i="24" l="1"/>
  <c r="AA3" i="29" s="1"/>
  <c r="AJ212" i="24"/>
  <c r="AT212" i="24" s="1"/>
  <c r="AG212" i="24"/>
  <c r="AF212" i="24"/>
  <c r="AJ5" i="24"/>
  <c r="AG5" i="24"/>
  <c r="AF5" i="24"/>
  <c r="AK212" i="24" l="1"/>
  <c r="AN212" i="24"/>
  <c r="BI212" i="24" s="1"/>
  <c r="BA212" i="24"/>
  <c r="AT5" i="24"/>
  <c r="BA5" i="24" s="1"/>
  <c r="AV5" i="24"/>
  <c r="AN5" i="24"/>
  <c r="AK5" i="24"/>
  <c r="BH5" i="24" l="1"/>
  <c r="BI5" i="24"/>
  <c r="BL5" i="24" s="1"/>
  <c r="BU5" i="24"/>
  <c r="AQ212" i="24"/>
  <c r="CE212" i="24"/>
  <c r="BL212" i="24"/>
  <c r="AS212" i="24"/>
  <c r="BJ212" i="24"/>
  <c r="BW212" i="24"/>
  <c r="BU212" i="24"/>
  <c r="BH212" i="24"/>
  <c r="AX212" i="24"/>
  <c r="AS5" i="24"/>
  <c r="BJ5" i="24"/>
  <c r="AQ5" i="24"/>
  <c r="AX5" i="24"/>
  <c r="BW5" i="24"/>
  <c r="AU212" i="24" l="1"/>
  <c r="BB212" i="24" s="1"/>
  <c r="AW212" i="24"/>
  <c r="AU5" i="24"/>
  <c r="BB5" i="24" s="1"/>
  <c r="AW5" i="24"/>
  <c r="BE212" i="24" l="1"/>
  <c r="BT212" i="24" s="1"/>
  <c r="AY212" i="24"/>
  <c r="AZ212" i="24" s="1"/>
  <c r="BD212" i="24"/>
  <c r="BE5" i="24"/>
  <c r="BT5" i="24" s="1"/>
  <c r="BD5" i="24"/>
  <c r="AY5" i="24"/>
  <c r="AZ5" i="24" s="1"/>
  <c r="BG212" i="24" l="1"/>
  <c r="BS212" i="24"/>
  <c r="BX212" i="24" s="1"/>
  <c r="BS5" i="24"/>
  <c r="BV5" i="24" s="1"/>
  <c r="BX5" i="24" s="1"/>
  <c r="BG5" i="24"/>
  <c r="BM5" i="24" s="1"/>
  <c r="BY212" i="24" l="1"/>
  <c r="CA212" i="24" s="1"/>
  <c r="BM212" i="24"/>
  <c r="BN212" i="24" s="1"/>
  <c r="BY5" i="24"/>
  <c r="CA5" i="24" s="1"/>
  <c r="CB5" i="24" s="1"/>
  <c r="BN5" i="24"/>
  <c r="CB212" i="24" l="1"/>
  <c r="CF212" i="24"/>
  <c r="EM5" i="25" l="1"/>
  <c r="CX5" i="25" l="1"/>
  <c r="CS5" i="25"/>
  <c r="CT5" i="25"/>
  <c r="CU5" i="25" l="1"/>
  <c r="CW5" i="25"/>
  <c r="CV5" i="25"/>
  <c r="DS5" i="25"/>
  <c r="FD5" i="25"/>
  <c r="CY5" i="25"/>
  <c r="CO5" i="25" l="1"/>
  <c r="CZ5" i="25" s="1"/>
  <c r="DB5" i="25" s="1"/>
  <c r="DA5" i="25" l="1"/>
  <c r="DD5" i="25" s="1"/>
  <c r="DE5" i="25" s="1"/>
  <c r="DF5" i="25" s="1"/>
  <c r="DM5" i="25" s="1"/>
  <c r="DW5" i="25" s="1"/>
  <c r="DH5" i="25"/>
  <c r="DJ5" i="25" l="1"/>
  <c r="DI5" i="25"/>
  <c r="EB5" i="25"/>
  <c r="EA5" i="25"/>
  <c r="DQ5" i="25" l="1"/>
  <c r="DV5" i="25" s="1"/>
  <c r="DN5" i="25"/>
  <c r="FA5" i="25" l="1"/>
  <c r="EJ5" i="25"/>
  <c r="EL5" i="25"/>
  <c r="EY5" i="25"/>
  <c r="EK5" i="25"/>
  <c r="EN5" i="25" s="1"/>
  <c r="DT5" i="25"/>
  <c r="DX5" i="25"/>
  <c r="EC5" i="25" s="1"/>
  <c r="DY5" i="25"/>
  <c r="FL5" i="25" s="1"/>
  <c r="CH5" i="25" l="1"/>
  <c r="CG5" i="25"/>
  <c r="EF5" i="25"/>
  <c r="EW5" i="25" s="1"/>
  <c r="EG5" i="25"/>
  <c r="EX5" i="25" s="1"/>
  <c r="EE5" i="25"/>
  <c r="J5" i="25" l="1"/>
  <c r="N5" i="25" s="1"/>
  <c r="EV5" i="25"/>
  <c r="EZ5" i="25" s="1"/>
  <c r="FB5" i="25" s="1"/>
  <c r="EI5" i="25"/>
  <c r="EO5" i="25" s="1"/>
  <c r="L5" i="25" l="1"/>
  <c r="BI5" i="25"/>
  <c r="EP5" i="25"/>
  <c r="FC5" i="25"/>
  <c r="FE5" i="25" s="1"/>
  <c r="FF5" i="25" s="1"/>
  <c r="P5" i="25"/>
  <c r="O5" i="25"/>
  <c r="T5" i="25"/>
  <c r="Q5" i="25" l="1"/>
  <c r="BZ5" i="25"/>
  <c r="R5" i="25"/>
  <c r="AO5" i="25"/>
  <c r="S5" i="25"/>
  <c r="K5" i="25" s="1"/>
  <c r="U5" i="25"/>
  <c r="V5" i="25" l="1"/>
  <c r="X5" i="25" s="1"/>
  <c r="FI63" i="25"/>
  <c r="FJ62" i="25"/>
  <c r="FI39" i="25"/>
  <c r="FI79" i="25"/>
  <c r="FJ71" i="25"/>
  <c r="FI14" i="25"/>
  <c r="FJ57" i="25"/>
  <c r="FI56" i="25"/>
  <c r="FI43" i="25"/>
  <c r="FI60" i="25"/>
  <c r="FI69" i="25"/>
  <c r="FJ33" i="25"/>
  <c r="FJ98" i="25"/>
  <c r="FJ94" i="25"/>
  <c r="FJ89" i="25"/>
  <c r="FI16" i="25"/>
  <c r="FJ40" i="25"/>
  <c r="FI24" i="25"/>
  <c r="FI38" i="25"/>
  <c r="FJ48" i="25"/>
  <c r="FJ42" i="25"/>
  <c r="FJ8" i="25"/>
  <c r="FJ12" i="25"/>
  <c r="FJ83" i="25"/>
  <c r="FJ26" i="25"/>
  <c r="FJ60" i="25"/>
  <c r="FJ101" i="25"/>
  <c r="FJ73" i="25"/>
  <c r="FJ19" i="25"/>
  <c r="FJ69" i="25"/>
  <c r="FJ53" i="25"/>
  <c r="FI94" i="25"/>
  <c r="FI15" i="25"/>
  <c r="FI95" i="25"/>
  <c r="FI17" i="25"/>
  <c r="CE5" i="25"/>
  <c r="FI47" i="25"/>
  <c r="FJ27" i="25"/>
  <c r="FI20" i="25"/>
  <c r="FI66" i="25"/>
  <c r="FJ97" i="25"/>
  <c r="FI75" i="25"/>
  <c r="FJ88" i="25"/>
  <c r="FJ15" i="25"/>
  <c r="FJ16" i="25"/>
  <c r="FJ86" i="25"/>
  <c r="FJ52" i="25"/>
  <c r="FI102" i="25"/>
  <c r="FI32" i="25"/>
  <c r="FI104" i="25"/>
  <c r="FJ22" i="25"/>
  <c r="FJ96" i="25"/>
  <c r="FI55" i="25"/>
  <c r="FI54" i="25"/>
  <c r="FI40" i="25"/>
  <c r="FJ63" i="25"/>
  <c r="FJ32" i="25"/>
  <c r="FJ92" i="25"/>
  <c r="FI35" i="25"/>
  <c r="FI71" i="25"/>
  <c r="FJ25" i="25"/>
  <c r="FI96" i="25"/>
  <c r="FI61" i="25"/>
  <c r="FI22" i="25"/>
  <c r="FI19" i="25"/>
  <c r="FJ38" i="25"/>
  <c r="FI82" i="25"/>
  <c r="FJ76" i="25"/>
  <c r="FJ20" i="25"/>
  <c r="FI8" i="25"/>
  <c r="FI84" i="25"/>
  <c r="FI41" i="25"/>
  <c r="FI59" i="25"/>
  <c r="FJ78" i="25"/>
  <c r="FJ11" i="25"/>
  <c r="FJ100" i="25"/>
  <c r="FJ66" i="25"/>
  <c r="FI76" i="25"/>
  <c r="FI45" i="25"/>
  <c r="FI92" i="25"/>
  <c r="FI70" i="25"/>
  <c r="FI74" i="25"/>
  <c r="FI27" i="25"/>
  <c r="FJ43" i="25"/>
  <c r="FJ34" i="25"/>
  <c r="FI7" i="25"/>
  <c r="FI87" i="25"/>
  <c r="FJ75" i="25"/>
  <c r="FJ64" i="25"/>
  <c r="FI52" i="25"/>
  <c r="FI18" i="25"/>
  <c r="FI53" i="25"/>
  <c r="FI28" i="25"/>
  <c r="FJ37" i="25"/>
  <c r="FJ90" i="25"/>
  <c r="FI10" i="25"/>
  <c r="FI97" i="25"/>
  <c r="FJ36" i="25"/>
  <c r="FI49" i="25"/>
  <c r="FI44" i="25"/>
  <c r="FJ24" i="25"/>
  <c r="FJ58" i="25"/>
  <c r="FJ45" i="25"/>
  <c r="FI25" i="25"/>
  <c r="FI67" i="25"/>
  <c r="FJ72" i="25"/>
  <c r="FI85" i="25"/>
  <c r="FJ55" i="25"/>
  <c r="FI103" i="25"/>
  <c r="FI83" i="25"/>
  <c r="FJ91" i="25"/>
  <c r="FI42" i="25"/>
  <c r="FI5" i="25"/>
  <c r="FI23" i="25"/>
  <c r="FJ93" i="25"/>
  <c r="FJ29" i="25"/>
  <c r="FI80" i="25"/>
  <c r="FJ61" i="25"/>
  <c r="FI58" i="25"/>
  <c r="FJ56" i="25"/>
  <c r="FJ28" i="25"/>
  <c r="FI34" i="25"/>
  <c r="FI91" i="25"/>
  <c r="FI62" i="25"/>
  <c r="FI36" i="25"/>
  <c r="FJ7" i="25"/>
  <c r="FJ47" i="25"/>
  <c r="FI46" i="25"/>
  <c r="FI101" i="25"/>
  <c r="FI30" i="25"/>
  <c r="FJ30" i="25"/>
  <c r="FJ14" i="25"/>
  <c r="FI48" i="25"/>
  <c r="FJ74" i="25"/>
  <c r="FI50" i="25"/>
  <c r="FJ84" i="25"/>
  <c r="FI6" i="25"/>
  <c r="FI90" i="25"/>
  <c r="FI21" i="25"/>
  <c r="FJ23" i="25"/>
  <c r="FJ18" i="25"/>
  <c r="FI105" i="25"/>
  <c r="FJ67" i="25"/>
  <c r="FI78" i="25"/>
  <c r="FI81" i="25"/>
  <c r="FJ65" i="25"/>
  <c r="FJ13" i="25"/>
  <c r="FJ31" i="25"/>
  <c r="FI89" i="25"/>
  <c r="FI13" i="25"/>
  <c r="FI29" i="25"/>
  <c r="FI64" i="25"/>
  <c r="FJ87" i="25"/>
  <c r="FI93" i="25"/>
  <c r="FJ105" i="25"/>
  <c r="FJ104" i="25"/>
  <c r="CF5" i="25"/>
  <c r="FJ9" i="25"/>
  <c r="FJ85" i="25"/>
  <c r="FJ21" i="25"/>
  <c r="FI72" i="25"/>
  <c r="FJ68" i="25"/>
  <c r="FJ5" i="25"/>
  <c r="FJ95" i="25"/>
  <c r="FJ10" i="25"/>
  <c r="FI11" i="25"/>
  <c r="FJ6" i="25"/>
  <c r="FJ51" i="25"/>
  <c r="FI31" i="25"/>
  <c r="FI37" i="25"/>
  <c r="FJ59" i="25"/>
  <c r="FJ77" i="25"/>
  <c r="FI73" i="25"/>
  <c r="FJ103" i="25"/>
  <c r="FI9" i="25"/>
  <c r="FJ70" i="25"/>
  <c r="FJ49" i="25"/>
  <c r="FJ50" i="25"/>
  <c r="FJ17" i="25"/>
  <c r="FJ35" i="25"/>
  <c r="FJ39" i="25"/>
  <c r="FJ99" i="25"/>
  <c r="FJ81" i="25"/>
  <c r="FI100" i="25"/>
  <c r="FI33" i="25"/>
  <c r="FI86" i="25"/>
  <c r="FI68" i="25"/>
  <c r="FI57" i="25"/>
  <c r="FJ80" i="25"/>
  <c r="FJ41" i="25"/>
  <c r="FI12" i="25"/>
  <c r="FJ54" i="25"/>
  <c r="FJ44" i="25"/>
  <c r="FI99" i="25"/>
  <c r="FJ102" i="25"/>
  <c r="FI26" i="25"/>
  <c r="FI88" i="25"/>
  <c r="FI98" i="25"/>
  <c r="FI77" i="25"/>
  <c r="FJ82" i="25"/>
  <c r="FI51" i="25"/>
  <c r="FJ79" i="25"/>
  <c r="FI65" i="25"/>
  <c r="FJ46" i="25"/>
  <c r="W5" i="25" l="1"/>
  <c r="Z5" i="25" s="1"/>
  <c r="AA5" i="25" s="1"/>
  <c r="AB5" i="25" s="1"/>
  <c r="AI5" i="25" s="1"/>
  <c r="AD5" i="25"/>
  <c r="AE5" i="25" s="1"/>
  <c r="AS5" i="25" l="1"/>
  <c r="AW5" i="25" s="1"/>
  <c r="AF5" i="25"/>
  <c r="AM5" i="25" s="1"/>
  <c r="BF5" i="25" l="1"/>
  <c r="BG5" i="25"/>
  <c r="BJ5" i="25" s="1"/>
  <c r="AX5" i="25"/>
  <c r="AJ5" i="25"/>
  <c r="AR5" i="25"/>
  <c r="BH5" i="25"/>
  <c r="AP5" i="25"/>
  <c r="BU5" i="25"/>
  <c r="BW5" i="25"/>
  <c r="AT5" i="25" l="1"/>
  <c r="AY5" i="25" s="1"/>
  <c r="AU5" i="25"/>
  <c r="BC5" i="25" l="1"/>
  <c r="BT5" i="25" s="1"/>
  <c r="BB5" i="25"/>
  <c r="BS5" i="25" s="1"/>
  <c r="BA5" i="25"/>
  <c r="BR5" i="25" l="1"/>
  <c r="BV5" i="25" s="1"/>
  <c r="BX5" i="25" s="1"/>
  <c r="BE5" i="25"/>
  <c r="BK5" i="25" s="1"/>
  <c r="BY5" i="25" l="1"/>
  <c r="CA5" i="25" s="1"/>
  <c r="CB5" i="25" s="1"/>
  <c r="BL5" i="25"/>
  <c r="G17" i="25"/>
  <c r="F192" i="25"/>
  <c r="G192" i="25"/>
  <c r="G63" i="25"/>
  <c r="F122" i="25"/>
  <c r="G122" i="25"/>
  <c r="F137" i="25"/>
  <c r="G137" i="25"/>
  <c r="G80" i="25"/>
  <c r="F93" i="25"/>
  <c r="BM93" i="25" s="1"/>
  <c r="G93" i="25"/>
  <c r="F138" i="24"/>
  <c r="F272" i="24"/>
  <c r="F157" i="24"/>
  <c r="F111" i="24"/>
  <c r="F145" i="24"/>
  <c r="BO145" i="24" s="1"/>
  <c r="BR145" i="24" s="1"/>
  <c r="F223" i="24"/>
  <c r="F253" i="24"/>
  <c r="F143" i="24"/>
  <c r="F160" i="24"/>
  <c r="BO160" i="24" s="1"/>
  <c r="BR160" i="24" s="1"/>
  <c r="F62" i="24"/>
  <c r="F158" i="24"/>
  <c r="BO158" i="24" s="1"/>
  <c r="BR158" i="24" s="1"/>
  <c r="F292" i="24"/>
  <c r="F67" i="24"/>
  <c r="F224" i="24"/>
  <c r="F104" i="24"/>
  <c r="F22" i="24"/>
  <c r="I22" i="24" s="1"/>
  <c r="F241" i="24"/>
  <c r="F252" i="24"/>
  <c r="F114" i="24"/>
  <c r="F101" i="24"/>
  <c r="I101" i="24" s="1"/>
  <c r="F250" i="24"/>
  <c r="F165" i="24"/>
  <c r="F169" i="24"/>
  <c r="F97" i="24"/>
  <c r="F96" i="24"/>
  <c r="F14" i="24"/>
  <c r="BO14" i="24" s="1"/>
  <c r="BR14" i="24" s="1"/>
  <c r="F233" i="24"/>
  <c r="F298" i="24"/>
  <c r="F263" i="24"/>
  <c r="F237" i="25"/>
  <c r="G237" i="25"/>
  <c r="BN237" i="25" s="1"/>
  <c r="F42" i="25"/>
  <c r="G42" i="25"/>
  <c r="F71" i="25"/>
  <c r="G71" i="25"/>
  <c r="F16" i="25"/>
  <c r="BM16" i="25" s="1"/>
  <c r="G16" i="25"/>
  <c r="G53" i="25"/>
  <c r="BN53" i="25" s="1"/>
  <c r="F94" i="25"/>
  <c r="G94" i="25"/>
  <c r="I94" i="25" s="1"/>
  <c r="F38" i="25"/>
  <c r="BM38" i="25" s="1"/>
  <c r="G38" i="25"/>
  <c r="I38" i="25" s="1"/>
  <c r="F145" i="25"/>
  <c r="G145" i="25"/>
  <c r="F190" i="25"/>
  <c r="G190" i="25"/>
  <c r="I190" i="25" s="1"/>
  <c r="F236" i="25"/>
  <c r="G236" i="25"/>
  <c r="BN236" i="25" s="1"/>
  <c r="F105" i="25"/>
  <c r="G105" i="25"/>
  <c r="G87" i="25"/>
  <c r="BN87" i="25" s="1"/>
  <c r="F83" i="25"/>
  <c r="BM83" i="25" s="1"/>
  <c r="G83" i="25"/>
  <c r="BN83" i="25" s="1"/>
  <c r="G29" i="25"/>
  <c r="BN29" i="25" s="1"/>
  <c r="G82" i="25"/>
  <c r="BN82" i="25" s="1"/>
  <c r="F125" i="25"/>
  <c r="G125" i="25"/>
  <c r="BN125" i="25" s="1"/>
  <c r="F9" i="25"/>
  <c r="G9" i="25"/>
  <c r="F162" i="25"/>
  <c r="G162" i="25"/>
  <c r="G111" i="25"/>
  <c r="F163" i="25"/>
  <c r="G163" i="25"/>
  <c r="I163" i="25" s="1"/>
  <c r="F157" i="25"/>
  <c r="G157" i="25"/>
  <c r="I157" i="25" s="1"/>
  <c r="F245" i="25"/>
  <c r="G245" i="25"/>
  <c r="I245" i="25" s="1"/>
  <c r="F129" i="25"/>
  <c r="G129" i="25"/>
  <c r="F241" i="25"/>
  <c r="G241" i="25"/>
  <c r="BN241" i="25" s="1"/>
  <c r="F58" i="25"/>
  <c r="BM58" i="25" s="1"/>
  <c r="G58" i="25"/>
  <c r="BN58" i="25" s="1"/>
  <c r="G69" i="25"/>
  <c r="BN69" i="25" s="1"/>
  <c r="F8" i="25"/>
  <c r="G8" i="25"/>
  <c r="BN8" i="25" s="1"/>
  <c r="F186" i="25"/>
  <c r="BM186" i="25" s="1"/>
  <c r="G186" i="25"/>
  <c r="I186" i="25" s="1"/>
  <c r="F164" i="25"/>
  <c r="G164" i="25"/>
  <c r="BN164" i="25" s="1"/>
  <c r="F202" i="25"/>
  <c r="BM202" i="25" s="1"/>
  <c r="G202" i="25"/>
  <c r="I202" i="25" s="1"/>
  <c r="F195" i="25"/>
  <c r="G195" i="25"/>
  <c r="G257" i="25"/>
  <c r="BN257" i="25" s="1"/>
  <c r="F279" i="25"/>
  <c r="BM279" i="25" s="1"/>
  <c r="G279" i="25"/>
  <c r="I279" i="25" s="1"/>
  <c r="F11" i="25"/>
  <c r="G11" i="25"/>
  <c r="G30" i="25"/>
  <c r="BN30" i="25" s="1"/>
  <c r="F23" i="25"/>
  <c r="G23" i="25"/>
  <c r="BN23" i="25" s="1"/>
  <c r="F52" i="25"/>
  <c r="G52" i="25"/>
  <c r="I52" i="25" s="1"/>
  <c r="G310" i="25"/>
  <c r="I310" i="25" s="1"/>
  <c r="G34" i="25"/>
  <c r="F270" i="25"/>
  <c r="G270" i="25"/>
  <c r="I270" i="25" s="1"/>
  <c r="F226" i="25"/>
  <c r="G226" i="25"/>
  <c r="F53" i="25"/>
  <c r="BM53" i="25" s="1"/>
  <c r="F257" i="25"/>
  <c r="F188" i="24"/>
  <c r="F29" i="25"/>
  <c r="F277" i="24"/>
  <c r="F41" i="24"/>
  <c r="F74" i="24"/>
  <c r="BO74" i="24" s="1"/>
  <c r="BR74" i="24" s="1"/>
  <c r="F147" i="24"/>
  <c r="BO147" i="24" s="1"/>
  <c r="BR147" i="24" s="1"/>
  <c r="F261" i="24"/>
  <c r="F190" i="24"/>
  <c r="I190" i="24" s="1"/>
  <c r="F159" i="24"/>
  <c r="F286" i="24"/>
  <c r="F259" i="24"/>
  <c r="F77" i="24"/>
  <c r="F21" i="24"/>
  <c r="I21" i="24" s="1"/>
  <c r="F88" i="24"/>
  <c r="F56" i="24"/>
  <c r="F24" i="24"/>
  <c r="BO24" i="24" s="1"/>
  <c r="BR24" i="24" s="1"/>
  <c r="F38" i="24"/>
  <c r="F6" i="24"/>
  <c r="BO6" i="24" s="1"/>
  <c r="BR6" i="24" s="1"/>
  <c r="F134" i="24"/>
  <c r="F225" i="24"/>
  <c r="F268" i="24"/>
  <c r="F274" i="24"/>
  <c r="F130" i="24"/>
  <c r="F132" i="24"/>
  <c r="I132" i="24" s="1"/>
  <c r="F75" i="24"/>
  <c r="BO75" i="24" s="1"/>
  <c r="BR75" i="24" s="1"/>
  <c r="F129" i="24"/>
  <c r="BO129" i="24" s="1"/>
  <c r="BR129" i="24" s="1"/>
  <c r="F162" i="24"/>
  <c r="I162" i="24" s="1"/>
  <c r="F266" i="24"/>
  <c r="F296" i="24"/>
  <c r="F206" i="24"/>
  <c r="BO206" i="24" s="1"/>
  <c r="BR206" i="24" s="1"/>
  <c r="F192" i="24"/>
  <c r="BO192" i="24" s="1"/>
  <c r="BR192" i="24" s="1"/>
  <c r="F251" i="24"/>
  <c r="F71" i="24"/>
  <c r="F39" i="24"/>
  <c r="F7" i="24"/>
  <c r="I7" i="24" s="1"/>
  <c r="F94" i="24"/>
  <c r="BO94" i="24" s="1"/>
  <c r="BR94" i="24" s="1"/>
  <c r="F125" i="24"/>
  <c r="BO125" i="24" s="1"/>
  <c r="BR125" i="24" s="1"/>
  <c r="F281" i="24"/>
  <c r="F254" i="24"/>
  <c r="F228" i="24"/>
  <c r="F194" i="24"/>
  <c r="BO194" i="24" s="1"/>
  <c r="BR194" i="24" s="1"/>
  <c r="F12" i="24"/>
  <c r="F99" i="24"/>
  <c r="F117" i="24"/>
  <c r="F186" i="24"/>
  <c r="F133" i="24"/>
  <c r="F246" i="24"/>
  <c r="F118" i="24"/>
  <c r="F243" i="24"/>
  <c r="F45" i="24"/>
  <c r="I45" i="24" s="1"/>
  <c r="F54" i="24"/>
  <c r="F191" i="24"/>
  <c r="I191" i="24" s="1"/>
  <c r="F314" i="24"/>
  <c r="F177" i="24"/>
  <c r="BO177" i="24" s="1"/>
  <c r="BR177" i="24" s="1"/>
  <c r="F33" i="24"/>
  <c r="F100" i="24"/>
  <c r="BO100" i="24" s="1"/>
  <c r="BR100" i="24" s="1"/>
  <c r="F68" i="24"/>
  <c r="F36" i="24"/>
  <c r="BO36" i="24" s="1"/>
  <c r="BR36" i="24" s="1"/>
  <c r="F50" i="24"/>
  <c r="BO50" i="24" s="1"/>
  <c r="BR50" i="24" s="1"/>
  <c r="F18" i="24"/>
  <c r="F146" i="24"/>
  <c r="F280" i="24"/>
  <c r="F302" i="24"/>
  <c r="F176" i="24"/>
  <c r="F267" i="24"/>
  <c r="F46" i="24"/>
  <c r="F163" i="24"/>
  <c r="BO163" i="24" s="1"/>
  <c r="BR163" i="24" s="1"/>
  <c r="F142" i="24"/>
  <c r="I142" i="24" s="1"/>
  <c r="F198" i="24"/>
  <c r="BO198" i="24" s="1"/>
  <c r="BR198" i="24" s="1"/>
  <c r="F276" i="24"/>
  <c r="F115" i="24"/>
  <c r="F255" i="25"/>
  <c r="G255" i="25"/>
  <c r="I255" i="25" s="1"/>
  <c r="F266" i="25"/>
  <c r="G266" i="25"/>
  <c r="BN266" i="25" s="1"/>
  <c r="F182" i="25"/>
  <c r="G182" i="25"/>
  <c r="F210" i="25"/>
  <c r="G210" i="25"/>
  <c r="F269" i="25"/>
  <c r="G269" i="25"/>
  <c r="BN269" i="25" s="1"/>
  <c r="F152" i="25"/>
  <c r="BM152" i="25" s="1"/>
  <c r="G152" i="25"/>
  <c r="F300" i="25"/>
  <c r="G300" i="25"/>
  <c r="BN300" i="25" s="1"/>
  <c r="F37" i="25"/>
  <c r="G37" i="25"/>
  <c r="F180" i="25"/>
  <c r="BM180" i="25" s="1"/>
  <c r="G180" i="25"/>
  <c r="F165" i="25"/>
  <c r="G165" i="25"/>
  <c r="F189" i="25"/>
  <c r="G189" i="25"/>
  <c r="I189" i="25" s="1"/>
  <c r="G277" i="25"/>
  <c r="BN277" i="25" s="1"/>
  <c r="F70" i="25"/>
  <c r="G70" i="25"/>
  <c r="BN70" i="25" s="1"/>
  <c r="F232" i="25"/>
  <c r="BM232" i="25" s="1"/>
  <c r="G232" i="25"/>
  <c r="F6" i="25"/>
  <c r="BM6" i="25" s="1"/>
  <c r="G6" i="25"/>
  <c r="F265" i="25"/>
  <c r="G265" i="25"/>
  <c r="I265" i="25" s="1"/>
  <c r="F31" i="25"/>
  <c r="G31" i="25"/>
  <c r="I31" i="25" s="1"/>
  <c r="F59" i="25"/>
  <c r="G59" i="25"/>
  <c r="I59" i="25" s="1"/>
  <c r="F188" i="25"/>
  <c r="G188" i="25"/>
  <c r="F167" i="24"/>
  <c r="BO167" i="24" s="1"/>
  <c r="BR167" i="24" s="1"/>
  <c r="F237" i="24"/>
  <c r="F30" i="25"/>
  <c r="BM30" i="25" s="1"/>
  <c r="F230" i="24"/>
  <c r="F307" i="24"/>
  <c r="F83" i="24"/>
  <c r="BO83" i="24" s="1"/>
  <c r="BR83" i="24" s="1"/>
  <c r="F19" i="24"/>
  <c r="F170" i="24"/>
  <c r="F304" i="24"/>
  <c r="F205" i="24"/>
  <c r="F70" i="24"/>
  <c r="BO70" i="24" s="1"/>
  <c r="BR70" i="24" s="1"/>
  <c r="F131" i="24"/>
  <c r="BO131" i="24" s="1"/>
  <c r="BR131" i="24" s="1"/>
  <c r="F123" i="24"/>
  <c r="F201" i="24"/>
  <c r="F255" i="24"/>
  <c r="F52" i="24"/>
  <c r="F37" i="24"/>
  <c r="F285" i="24"/>
  <c r="F232" i="24"/>
  <c r="F103" i="24"/>
  <c r="F202" i="24"/>
  <c r="F137" i="24"/>
  <c r="F122" i="24"/>
  <c r="F44" i="24"/>
  <c r="I44" i="24" s="1"/>
  <c r="F309" i="24"/>
  <c r="F256" i="24"/>
  <c r="F152" i="24"/>
  <c r="BO152" i="24" s="1"/>
  <c r="BR152" i="24" s="1"/>
  <c r="F63" i="24"/>
  <c r="F273" i="24"/>
  <c r="F82" i="24"/>
  <c r="F179" i="24"/>
  <c r="F116" i="24"/>
  <c r="F119" i="24"/>
  <c r="I119" i="24" s="1"/>
  <c r="F55" i="24"/>
  <c r="BO55" i="24" s="1"/>
  <c r="BR55" i="24" s="1"/>
  <c r="F265" i="24"/>
  <c r="F171" i="24"/>
  <c r="F295" i="24"/>
  <c r="F13" i="25"/>
  <c r="G13" i="25"/>
  <c r="I13" i="25" s="1"/>
  <c r="F26" i="25"/>
  <c r="G26" i="25"/>
  <c r="BN26" i="25" s="1"/>
  <c r="F77" i="25"/>
  <c r="G77" i="25"/>
  <c r="I77" i="25" s="1"/>
  <c r="F203" i="25"/>
  <c r="BM203" i="25" s="1"/>
  <c r="G203" i="25"/>
  <c r="BN203" i="25" s="1"/>
  <c r="F206" i="25"/>
  <c r="G206" i="25"/>
  <c r="BN206" i="25" s="1"/>
  <c r="F160" i="25"/>
  <c r="G160" i="25"/>
  <c r="BN160" i="25" s="1"/>
  <c r="F280" i="25"/>
  <c r="G280" i="25"/>
  <c r="BN280" i="25" s="1"/>
  <c r="F174" i="25"/>
  <c r="G174" i="25"/>
  <c r="F208" i="25"/>
  <c r="G208" i="25"/>
  <c r="I208" i="25" s="1"/>
  <c r="F132" i="25"/>
  <c r="G132" i="25"/>
  <c r="I132" i="25" s="1"/>
  <c r="F194" i="25"/>
  <c r="G194" i="25"/>
  <c r="I194" i="25" s="1"/>
  <c r="F120" i="25"/>
  <c r="G120" i="25"/>
  <c r="I120" i="25" s="1"/>
  <c r="G218" i="25"/>
  <c r="BN218" i="25" s="1"/>
  <c r="F315" i="25"/>
  <c r="BM315" i="25" s="1"/>
  <c r="G315" i="25"/>
  <c r="BN315" i="25" s="1"/>
  <c r="F271" i="25"/>
  <c r="G271" i="25"/>
  <c r="I271" i="25" s="1"/>
  <c r="F62" i="25"/>
  <c r="G62" i="25"/>
  <c r="I62" i="25" s="1"/>
  <c r="F204" i="25"/>
  <c r="G204" i="25"/>
  <c r="I204" i="25" s="1"/>
  <c r="F74" i="25"/>
  <c r="G74" i="25"/>
  <c r="F177" i="25"/>
  <c r="G177" i="25"/>
  <c r="I177" i="25" s="1"/>
  <c r="F246" i="25"/>
  <c r="BM246" i="25" s="1"/>
  <c r="G246" i="25"/>
  <c r="F126" i="25"/>
  <c r="G126" i="25"/>
  <c r="G15" i="25"/>
  <c r="I15" i="25" s="1"/>
  <c r="F176" i="25"/>
  <c r="G176" i="25"/>
  <c r="F73" i="25"/>
  <c r="G73" i="25"/>
  <c r="F159" i="25"/>
  <c r="BM159" i="25" s="1"/>
  <c r="G159" i="25"/>
  <c r="BN159" i="25" s="1"/>
  <c r="F185" i="25"/>
  <c r="G185" i="25"/>
  <c r="BN185" i="25" s="1"/>
  <c r="F141" i="25"/>
  <c r="BM141" i="25" s="1"/>
  <c r="G141" i="25"/>
  <c r="BN141" i="25" s="1"/>
  <c r="F151" i="25"/>
  <c r="BM151" i="25" s="1"/>
  <c r="G151" i="25"/>
  <c r="BN151" i="25" s="1"/>
  <c r="F168" i="25"/>
  <c r="BM168" i="25" s="1"/>
  <c r="G168" i="25"/>
  <c r="BN168" i="25" s="1"/>
  <c r="F193" i="25"/>
  <c r="BM193" i="25" s="1"/>
  <c r="G193" i="25"/>
  <c r="BN193" i="25" s="1"/>
  <c r="F143" i="25"/>
  <c r="G143" i="25"/>
  <c r="BN143" i="25" s="1"/>
  <c r="F169" i="25"/>
  <c r="G169" i="25"/>
  <c r="BN169" i="25" s="1"/>
  <c r="F273" i="25"/>
  <c r="G273" i="25"/>
  <c r="BN273" i="25" s="1"/>
  <c r="F239" i="25"/>
  <c r="BM239" i="25" s="1"/>
  <c r="G239" i="25"/>
  <c r="I239" i="25" s="1"/>
  <c r="F44" i="25"/>
  <c r="BM44" i="25" s="1"/>
  <c r="G44" i="25"/>
  <c r="I44" i="25" s="1"/>
  <c r="F81" i="25"/>
  <c r="BM81" i="25" s="1"/>
  <c r="G81" i="25"/>
  <c r="I81" i="25" s="1"/>
  <c r="F219" i="25"/>
  <c r="G219" i="25"/>
  <c r="I219" i="25" s="1"/>
  <c r="F230" i="25"/>
  <c r="G230" i="25"/>
  <c r="BN230" i="25" s="1"/>
  <c r="F104" i="25"/>
  <c r="G104" i="25"/>
  <c r="I104" i="25" s="1"/>
  <c r="F21" i="25"/>
  <c r="G21" i="25"/>
  <c r="BN21" i="25" s="1"/>
  <c r="F179" i="25"/>
  <c r="G179" i="25"/>
  <c r="BN179" i="25" s="1"/>
  <c r="F198" i="25"/>
  <c r="G198" i="25"/>
  <c r="I198" i="25" s="1"/>
  <c r="F96" i="25"/>
  <c r="G96" i="25"/>
  <c r="F197" i="25"/>
  <c r="G197" i="25"/>
  <c r="BN197" i="25" s="1"/>
  <c r="F118" i="25"/>
  <c r="G118" i="25"/>
  <c r="BN118" i="25" s="1"/>
  <c r="F115" i="25"/>
  <c r="G115" i="25"/>
  <c r="BN115" i="25" s="1"/>
  <c r="F205" i="25"/>
  <c r="G205" i="25"/>
  <c r="BN205" i="25" s="1"/>
  <c r="F183" i="25"/>
  <c r="G183" i="25"/>
  <c r="BN183" i="25" s="1"/>
  <c r="F200" i="25"/>
  <c r="G200" i="25"/>
  <c r="BN200" i="25" s="1"/>
  <c r="F114" i="25"/>
  <c r="G114" i="25"/>
  <c r="BN114" i="25" s="1"/>
  <c r="F207" i="25"/>
  <c r="G207" i="25"/>
  <c r="BN207" i="25" s="1"/>
  <c r="F130" i="25"/>
  <c r="G130" i="25"/>
  <c r="BN130" i="25" s="1"/>
  <c r="F116" i="25"/>
  <c r="G116" i="25"/>
  <c r="BN116" i="25" s="1"/>
  <c r="F218" i="25"/>
  <c r="BM218" i="25" s="1"/>
  <c r="F168" i="24"/>
  <c r="BO168" i="24" s="1"/>
  <c r="BR168" i="24" s="1"/>
  <c r="F43" i="24"/>
  <c r="F86" i="24"/>
  <c r="BO86" i="24" s="1"/>
  <c r="BR86" i="24" s="1"/>
  <c r="F239" i="24"/>
  <c r="F73" i="24"/>
  <c r="F51" i="24"/>
  <c r="F195" i="24"/>
  <c r="BO195" i="24" s="1"/>
  <c r="BR195" i="24" s="1"/>
  <c r="F290" i="24"/>
  <c r="F291" i="24"/>
  <c r="F102" i="24"/>
  <c r="F257" i="24"/>
  <c r="F151" i="24"/>
  <c r="F164" i="24"/>
  <c r="BO164" i="24" s="1"/>
  <c r="BR164" i="24" s="1"/>
  <c r="F84" i="24"/>
  <c r="F20" i="24"/>
  <c r="F120" i="24"/>
  <c r="F141" i="24"/>
  <c r="F126" i="24"/>
  <c r="BO126" i="24" s="1"/>
  <c r="BR126" i="24" s="1"/>
  <c r="F283" i="24"/>
  <c r="F16" i="24"/>
  <c r="F187" i="24"/>
  <c r="F258" i="24"/>
  <c r="F247" i="24"/>
  <c r="F76" i="24"/>
  <c r="F58" i="24"/>
  <c r="F282" i="24"/>
  <c r="F185" i="24"/>
  <c r="BO185" i="24" s="1"/>
  <c r="BR185" i="24" s="1"/>
  <c r="F181" i="24"/>
  <c r="BO181" i="24" s="1"/>
  <c r="BR181" i="24" s="1"/>
  <c r="F95" i="24"/>
  <c r="F31" i="24"/>
  <c r="F182" i="24"/>
  <c r="F271" i="24"/>
  <c r="F69" i="24"/>
  <c r="F269" i="24"/>
  <c r="F175" i="24"/>
  <c r="BO175" i="24" s="1"/>
  <c r="BR175" i="24" s="1"/>
  <c r="F299" i="24"/>
  <c r="F87" i="24"/>
  <c r="F23" i="24"/>
  <c r="F174" i="24"/>
  <c r="F308" i="24"/>
  <c r="F204" i="24"/>
  <c r="F290" i="25"/>
  <c r="G290" i="25"/>
  <c r="BN290" i="25" s="1"/>
  <c r="F117" i="25"/>
  <c r="G117" i="25"/>
  <c r="I117" i="25" s="1"/>
  <c r="F297" i="25"/>
  <c r="G297" i="25"/>
  <c r="I297" i="25" s="1"/>
  <c r="F312" i="25"/>
  <c r="G312" i="25"/>
  <c r="BN312" i="25" s="1"/>
  <c r="F221" i="25"/>
  <c r="G221" i="25"/>
  <c r="I221" i="25" s="1"/>
  <c r="F49" i="25"/>
  <c r="G49" i="25"/>
  <c r="F35" i="25"/>
  <c r="G35" i="25"/>
  <c r="BN35" i="25" s="1"/>
  <c r="F48" i="25"/>
  <c r="BM48" i="25" s="1"/>
  <c r="G48" i="25"/>
  <c r="BN48" i="25" s="1"/>
  <c r="F85" i="25"/>
  <c r="G85" i="25"/>
  <c r="BN85" i="25" s="1"/>
  <c r="F91" i="25"/>
  <c r="G91" i="25"/>
  <c r="BN91" i="25" s="1"/>
  <c r="F20" i="25"/>
  <c r="G20" i="25"/>
  <c r="BN20" i="25" s="1"/>
  <c r="F57" i="25"/>
  <c r="G57" i="25"/>
  <c r="BN57" i="25" s="1"/>
  <c r="F98" i="25"/>
  <c r="G98" i="25"/>
  <c r="BN98" i="25" s="1"/>
  <c r="F24" i="25"/>
  <c r="G24" i="25"/>
  <c r="BN24" i="25" s="1"/>
  <c r="F22" i="25"/>
  <c r="G22" i="25"/>
  <c r="BN22" i="25" s="1"/>
  <c r="F123" i="25"/>
  <c r="G123" i="25"/>
  <c r="BN123" i="25" s="1"/>
  <c r="F140" i="25"/>
  <c r="G140" i="25"/>
  <c r="BN140" i="25" s="1"/>
  <c r="F149" i="25"/>
  <c r="G149" i="25"/>
  <c r="BN149" i="25" s="1"/>
  <c r="F127" i="25"/>
  <c r="G127" i="25"/>
  <c r="BN127" i="25" s="1"/>
  <c r="F153" i="25"/>
  <c r="G153" i="25"/>
  <c r="BN153" i="25" s="1"/>
  <c r="F196" i="25"/>
  <c r="G196" i="25"/>
  <c r="BN196" i="25" s="1"/>
  <c r="F135" i="25"/>
  <c r="G135" i="25"/>
  <c r="BN135" i="25" s="1"/>
  <c r="F307" i="25"/>
  <c r="G307" i="25"/>
  <c r="I307" i="25" s="1"/>
  <c r="F99" i="25"/>
  <c r="G99" i="25"/>
  <c r="F43" i="25"/>
  <c r="G43" i="25"/>
  <c r="BN43" i="25" s="1"/>
  <c r="F40" i="25"/>
  <c r="G40" i="25"/>
  <c r="BN40" i="25" s="1"/>
  <c r="F54" i="25"/>
  <c r="G54" i="25"/>
  <c r="BN54" i="25" s="1"/>
  <c r="F139" i="25"/>
  <c r="G139" i="25"/>
  <c r="BN139" i="25" s="1"/>
  <c r="F156" i="25"/>
  <c r="G156" i="25"/>
  <c r="I156" i="25" s="1"/>
  <c r="F278" i="25"/>
  <c r="G278" i="25"/>
  <c r="I278" i="25" s="1"/>
  <c r="F32" i="25"/>
  <c r="G32" i="25"/>
  <c r="F311" i="25"/>
  <c r="G311" i="25"/>
  <c r="I311" i="25" s="1"/>
  <c r="F150" i="25"/>
  <c r="G150" i="25"/>
  <c r="F260" i="25"/>
  <c r="G260" i="25"/>
  <c r="I260" i="25" s="1"/>
  <c r="F227" i="25"/>
  <c r="G227" i="25"/>
  <c r="I227" i="25" s="1"/>
  <c r="G97" i="25"/>
  <c r="F46" i="25"/>
  <c r="G46" i="25"/>
  <c r="BN46" i="25" s="1"/>
  <c r="F79" i="25"/>
  <c r="G79" i="25"/>
  <c r="BN79" i="25" s="1"/>
  <c r="F68" i="25"/>
  <c r="G68" i="25"/>
  <c r="BN68" i="25" s="1"/>
  <c r="F18" i="25"/>
  <c r="G18" i="25"/>
  <c r="BN18" i="25" s="1"/>
  <c r="F51" i="25"/>
  <c r="G51" i="25"/>
  <c r="BN51" i="25" s="1"/>
  <c r="F72" i="25"/>
  <c r="G72" i="25"/>
  <c r="BN72" i="25" s="1"/>
  <c r="F67" i="25"/>
  <c r="G67" i="25"/>
  <c r="BN67" i="25" s="1"/>
  <c r="F171" i="25"/>
  <c r="G171" i="25"/>
  <c r="BN171" i="25" s="1"/>
  <c r="F295" i="25"/>
  <c r="G295" i="25"/>
  <c r="BN295" i="25" s="1"/>
  <c r="F82" i="25"/>
  <c r="BM82" i="25" s="1"/>
  <c r="F34" i="25"/>
  <c r="BM34" i="25" s="1"/>
  <c r="F80" i="25"/>
  <c r="BM80" i="25" s="1"/>
  <c r="F284" i="24"/>
  <c r="F311" i="24"/>
  <c r="F148" i="24"/>
  <c r="BO148" i="24" s="1"/>
  <c r="BR148" i="24" s="1"/>
  <c r="F127" i="24"/>
  <c r="BO127" i="24" s="1"/>
  <c r="BR127" i="24" s="1"/>
  <c r="F150" i="24"/>
  <c r="BO150" i="24" s="1"/>
  <c r="BR150" i="24" s="1"/>
  <c r="F87" i="25"/>
  <c r="BM87" i="25" s="1"/>
  <c r="F61" i="24"/>
  <c r="BO61" i="24" s="1"/>
  <c r="BR61" i="24" s="1"/>
  <c r="F42" i="24"/>
  <c r="BO42" i="24" s="1"/>
  <c r="BR42" i="24" s="1"/>
  <c r="F60" i="24"/>
  <c r="BO60" i="24" s="1"/>
  <c r="BR60" i="24" s="1"/>
  <c r="F53" i="24"/>
  <c r="BO53" i="24" s="1"/>
  <c r="BR53" i="24" s="1"/>
  <c r="F81" i="24"/>
  <c r="BO81" i="24" s="1"/>
  <c r="BR81" i="24" s="1"/>
  <c r="F92" i="24"/>
  <c r="F293" i="24"/>
  <c r="F240" i="24"/>
  <c r="F200" i="24"/>
  <c r="F15" i="24"/>
  <c r="F166" i="24"/>
  <c r="F300" i="24"/>
  <c r="F17" i="24"/>
  <c r="F34" i="24"/>
  <c r="F221" i="24"/>
  <c r="F270" i="24"/>
  <c r="F13" i="24"/>
  <c r="F313" i="24"/>
  <c r="F260" i="24"/>
  <c r="F156" i="24"/>
  <c r="F90" i="24"/>
  <c r="F245" i="24"/>
  <c r="F217" i="24"/>
  <c r="F275" i="24"/>
  <c r="F8" i="24"/>
  <c r="F199" i="24"/>
  <c r="F155" i="24"/>
  <c r="F220" i="24"/>
  <c r="F180" i="24"/>
  <c r="F27" i="24"/>
  <c r="F178" i="24"/>
  <c r="BO178" i="24" s="1"/>
  <c r="BR178" i="24" s="1"/>
  <c r="F312" i="24"/>
  <c r="F208" i="24"/>
  <c r="F89" i="24"/>
  <c r="F113" i="24"/>
  <c r="F306" i="24"/>
  <c r="F128" i="24"/>
  <c r="F231" i="24"/>
  <c r="F286" i="25"/>
  <c r="G286" i="25"/>
  <c r="F276" i="25"/>
  <c r="G276" i="25"/>
  <c r="I276" i="25" s="1"/>
  <c r="F288" i="25"/>
  <c r="G288" i="25"/>
  <c r="BN288" i="25" s="1"/>
  <c r="F259" i="25"/>
  <c r="BM259" i="25" s="1"/>
  <c r="G259" i="25"/>
  <c r="I259" i="25" s="1"/>
  <c r="F308" i="25"/>
  <c r="G308" i="25"/>
  <c r="F283" i="25"/>
  <c r="G283" i="25"/>
  <c r="I283" i="25" s="1"/>
  <c r="F301" i="25"/>
  <c r="G301" i="25"/>
  <c r="F287" i="25"/>
  <c r="G287" i="25"/>
  <c r="I287" i="25" s="1"/>
  <c r="F268" i="25"/>
  <c r="G268" i="25"/>
  <c r="F12" i="25"/>
  <c r="G12" i="25"/>
  <c r="F314" i="25"/>
  <c r="G314" i="25"/>
  <c r="F274" i="25"/>
  <c r="G274" i="25"/>
  <c r="BN274" i="25" s="1"/>
  <c r="F263" i="25"/>
  <c r="G263" i="25"/>
  <c r="F253" i="25"/>
  <c r="G253" i="25"/>
  <c r="BN253" i="25" s="1"/>
  <c r="F100" i="25"/>
  <c r="G100" i="25"/>
  <c r="I100" i="25" s="1"/>
  <c r="F76" i="25"/>
  <c r="G76" i="25"/>
  <c r="I76" i="25" s="1"/>
  <c r="F84" i="25"/>
  <c r="G84" i="25"/>
  <c r="BN84" i="25" s="1"/>
  <c r="F90" i="25"/>
  <c r="G90" i="25"/>
  <c r="F45" i="25"/>
  <c r="G45" i="25"/>
  <c r="F64" i="25"/>
  <c r="G64" i="25"/>
  <c r="F14" i="25"/>
  <c r="G14" i="25"/>
  <c r="F36" i="25"/>
  <c r="G36" i="25"/>
  <c r="I36" i="25" s="1"/>
  <c r="F306" i="25"/>
  <c r="G306" i="25"/>
  <c r="F231" i="25"/>
  <c r="G231" i="25"/>
  <c r="BN231" i="25" s="1"/>
  <c r="F285" i="25"/>
  <c r="G285" i="25"/>
  <c r="F101" i="25"/>
  <c r="G101" i="25"/>
  <c r="F19" i="25"/>
  <c r="G19" i="25"/>
  <c r="F187" i="25"/>
  <c r="G187" i="25"/>
  <c r="F55" i="25"/>
  <c r="G55" i="25"/>
  <c r="G50" i="25"/>
  <c r="F142" i="25"/>
  <c r="G142" i="25"/>
  <c r="F166" i="25"/>
  <c r="G166" i="25"/>
  <c r="F256" i="25"/>
  <c r="BM256" i="25" s="1"/>
  <c r="G256" i="25"/>
  <c r="I256" i="25" s="1"/>
  <c r="F41" i="25"/>
  <c r="G41" i="25"/>
  <c r="BN41" i="25" s="1"/>
  <c r="F133" i="25"/>
  <c r="G133" i="25"/>
  <c r="I133" i="25" s="1"/>
  <c r="F119" i="25"/>
  <c r="G119" i="25"/>
  <c r="BN119" i="25" s="1"/>
  <c r="F131" i="25"/>
  <c r="G131" i="25"/>
  <c r="I131" i="25" s="1"/>
  <c r="F167" i="25"/>
  <c r="G167" i="25"/>
  <c r="F184" i="25"/>
  <c r="G184" i="25"/>
  <c r="F209" i="25"/>
  <c r="G209" i="25"/>
  <c r="F175" i="25"/>
  <c r="G175" i="25"/>
  <c r="F201" i="25"/>
  <c r="G201" i="25"/>
  <c r="F289" i="25"/>
  <c r="G289" i="25"/>
  <c r="I289" i="25" s="1"/>
  <c r="F238" i="25"/>
  <c r="G238" i="25"/>
  <c r="I238" i="25" s="1"/>
  <c r="F234" i="25"/>
  <c r="G234" i="25"/>
  <c r="F313" i="25"/>
  <c r="G313" i="25"/>
  <c r="I313" i="25" s="1"/>
  <c r="F304" i="25"/>
  <c r="G304" i="25"/>
  <c r="F60" i="25"/>
  <c r="G60" i="25"/>
  <c r="F75" i="25"/>
  <c r="G75" i="25"/>
  <c r="I75" i="25" s="1"/>
  <c r="F95" i="25"/>
  <c r="G95" i="25"/>
  <c r="I95" i="25" s="1"/>
  <c r="F264" i="25"/>
  <c r="G264" i="25"/>
  <c r="BN264" i="25" s="1"/>
  <c r="F235" i="25"/>
  <c r="G235" i="25"/>
  <c r="I235" i="25" s="1"/>
  <c r="F183" i="24"/>
  <c r="BO183" i="24" s="1"/>
  <c r="BR183" i="24" s="1"/>
  <c r="F105" i="24"/>
  <c r="F63" i="25"/>
  <c r="BM63" i="25" s="1"/>
  <c r="F26" i="24"/>
  <c r="BO26" i="24" s="1"/>
  <c r="BR26" i="24" s="1"/>
  <c r="F9" i="24"/>
  <c r="F48" i="24"/>
  <c r="BO48" i="24" s="1"/>
  <c r="BR48" i="24" s="1"/>
  <c r="F11" i="24"/>
  <c r="BO11" i="24" s="1"/>
  <c r="BR11" i="24" s="1"/>
  <c r="F28" i="24"/>
  <c r="BO28" i="24" s="1"/>
  <c r="BR28" i="24" s="1"/>
  <c r="F78" i="24"/>
  <c r="BO78" i="24" s="1"/>
  <c r="BR78" i="24" s="1"/>
  <c r="F29" i="24"/>
  <c r="BO29" i="24" s="1"/>
  <c r="BR29" i="24" s="1"/>
  <c r="F277" i="25"/>
  <c r="BM277" i="25" s="1"/>
  <c r="F310" i="25"/>
  <c r="BM310" i="25" s="1"/>
  <c r="F111" i="25"/>
  <c r="BM111" i="25" s="1"/>
  <c r="F69" i="25"/>
  <c r="BM69" i="25" s="1"/>
  <c r="F25" i="24"/>
  <c r="F226" i="24"/>
  <c r="F149" i="24"/>
  <c r="F124" i="24"/>
  <c r="F227" i="24"/>
  <c r="F47" i="24"/>
  <c r="F121" i="24"/>
  <c r="F278" i="24"/>
  <c r="F210" i="24"/>
  <c r="F287" i="24"/>
  <c r="F65" i="24"/>
  <c r="BO65" i="24" s="1"/>
  <c r="BR65" i="24" s="1"/>
  <c r="F66" i="24"/>
  <c r="F218" i="24"/>
  <c r="F264" i="24"/>
  <c r="F219" i="24"/>
  <c r="F57" i="24"/>
  <c r="F80" i="24"/>
  <c r="F294" i="24"/>
  <c r="F197" i="24"/>
  <c r="F189" i="24"/>
  <c r="F49" i="24"/>
  <c r="F93" i="24"/>
  <c r="F154" i="24"/>
  <c r="F288" i="24"/>
  <c r="F184" i="24"/>
  <c r="F40" i="24"/>
  <c r="F305" i="24"/>
  <c r="F316" i="24"/>
  <c r="F203" i="24"/>
  <c r="F139" i="24"/>
  <c r="F222" i="24"/>
  <c r="F235" i="24"/>
  <c r="F32" i="24"/>
  <c r="F297" i="24"/>
  <c r="F244" i="24"/>
  <c r="F140" i="24"/>
  <c r="F240" i="25"/>
  <c r="G240" i="25"/>
  <c r="BN240" i="25" s="1"/>
  <c r="F284" i="25"/>
  <c r="G284" i="25"/>
  <c r="F267" i="25"/>
  <c r="G267" i="25"/>
  <c r="F251" i="25"/>
  <c r="G251" i="25"/>
  <c r="F33" i="25"/>
  <c r="G33" i="25"/>
  <c r="F27" i="25"/>
  <c r="G27" i="25"/>
  <c r="F154" i="25"/>
  <c r="G154" i="25"/>
  <c r="F261" i="25"/>
  <c r="G261" i="25"/>
  <c r="F249" i="25"/>
  <c r="G249" i="25"/>
  <c r="F217" i="25"/>
  <c r="G217" i="25"/>
  <c r="BN217" i="25" s="1"/>
  <c r="F28" i="25"/>
  <c r="G28" i="25"/>
  <c r="F65" i="25"/>
  <c r="G65" i="25"/>
  <c r="F228" i="25"/>
  <c r="G228" i="25"/>
  <c r="F299" i="25"/>
  <c r="BM299" i="25" s="1"/>
  <c r="G299" i="25"/>
  <c r="F155" i="25"/>
  <c r="G155" i="25"/>
  <c r="F172" i="25"/>
  <c r="G172" i="25"/>
  <c r="F181" i="25"/>
  <c r="G181" i="25"/>
  <c r="I181" i="25" s="1"/>
  <c r="F191" i="25"/>
  <c r="G191" i="25"/>
  <c r="F178" i="25"/>
  <c r="G178" i="25"/>
  <c r="F173" i="25"/>
  <c r="G173" i="25"/>
  <c r="F309" i="25"/>
  <c r="G309" i="25"/>
  <c r="F7" i="25"/>
  <c r="G7" i="25"/>
  <c r="F92" i="25"/>
  <c r="G92" i="25"/>
  <c r="F78" i="25"/>
  <c r="G78" i="25"/>
  <c r="F229" i="25"/>
  <c r="G229" i="25"/>
  <c r="BN229" i="25" s="1"/>
  <c r="F303" i="25"/>
  <c r="BM303" i="25" s="1"/>
  <c r="G303" i="25"/>
  <c r="F282" i="25"/>
  <c r="G282" i="25"/>
  <c r="BN282" i="25" s="1"/>
  <c r="F172" i="24"/>
  <c r="BO172" i="24" s="1"/>
  <c r="BR172" i="24" s="1"/>
  <c r="F50" i="25"/>
  <c r="BM50" i="25" s="1"/>
  <c r="F17" i="25"/>
  <c r="BM17" i="25" s="1"/>
  <c r="F97" i="25"/>
  <c r="BM97" i="25" s="1"/>
  <c r="F59" i="24"/>
  <c r="BO59" i="24" s="1"/>
  <c r="BR59" i="24" s="1"/>
  <c r="F15" i="25"/>
  <c r="BM15" i="25" s="1"/>
  <c r="F85" i="24"/>
  <c r="F10" i="24"/>
  <c r="F229" i="24"/>
  <c r="F136" i="24"/>
  <c r="F79" i="24"/>
  <c r="F289" i="24"/>
  <c r="F236" i="24"/>
  <c r="F196" i="24"/>
  <c r="F98" i="24"/>
  <c r="BO98" i="24" s="1"/>
  <c r="BR98" i="24" s="1"/>
  <c r="F310" i="24"/>
  <c r="F209" i="24"/>
  <c r="F193" i="24"/>
  <c r="F315" i="24"/>
  <c r="F30" i="24"/>
  <c r="F249" i="24"/>
  <c r="F135" i="24"/>
  <c r="F279" i="24"/>
  <c r="F35" i="24"/>
  <c r="F207" i="24"/>
  <c r="F238" i="24"/>
  <c r="F112" i="24"/>
  <c r="F72" i="24"/>
  <c r="F262" i="24"/>
  <c r="F173" i="24"/>
  <c r="F234" i="24"/>
  <c r="F303" i="24"/>
  <c r="F91" i="24"/>
  <c r="F301" i="24"/>
  <c r="F248" i="24"/>
  <c r="F144" i="24"/>
  <c r="F64" i="24"/>
  <c r="F242" i="24"/>
  <c r="F153" i="24"/>
  <c r="F161" i="24"/>
  <c r="F250" i="25"/>
  <c r="G250" i="25"/>
  <c r="F25" i="25"/>
  <c r="G25" i="25"/>
  <c r="F66" i="25"/>
  <c r="G66" i="25"/>
  <c r="F39" i="25"/>
  <c r="G39" i="25"/>
  <c r="F61" i="25"/>
  <c r="G61" i="25"/>
  <c r="F170" i="25"/>
  <c r="G170" i="25"/>
  <c r="F272" i="25"/>
  <c r="G272" i="25"/>
  <c r="F242" i="25"/>
  <c r="G242" i="25"/>
  <c r="I242" i="25" s="1"/>
  <c r="F252" i="25"/>
  <c r="G252" i="25"/>
  <c r="F225" i="25"/>
  <c r="G225" i="25"/>
  <c r="F247" i="25"/>
  <c r="G247" i="25"/>
  <c r="BN247" i="25" s="1"/>
  <c r="F316" i="25"/>
  <c r="G316" i="25"/>
  <c r="F293" i="25"/>
  <c r="G293" i="25"/>
  <c r="F281" i="25"/>
  <c r="G281" i="25"/>
  <c r="I281" i="25" s="1"/>
  <c r="F89" i="25"/>
  <c r="G89" i="25"/>
  <c r="F47" i="25"/>
  <c r="G47" i="25"/>
  <c r="F56" i="25"/>
  <c r="G56" i="25"/>
  <c r="I56" i="25" s="1"/>
  <c r="F86" i="25"/>
  <c r="G86" i="25"/>
  <c r="G110" i="25"/>
  <c r="BN110" i="25" s="1"/>
  <c r="BQ110" i="25" s="1"/>
  <c r="F305" i="25"/>
  <c r="G305" i="25"/>
  <c r="F124" i="25"/>
  <c r="G124" i="25"/>
  <c r="F121" i="25"/>
  <c r="G121" i="25"/>
  <c r="F136" i="25"/>
  <c r="G136" i="25"/>
  <c r="F161" i="25"/>
  <c r="G161" i="25"/>
  <c r="F292" i="25"/>
  <c r="G292" i="25"/>
  <c r="F243" i="25"/>
  <c r="G243" i="25"/>
  <c r="G216" i="25"/>
  <c r="BN216" i="25" s="1"/>
  <c r="BQ216" i="25" s="1"/>
  <c r="F298" i="25"/>
  <c r="G298" i="25"/>
  <c r="BN298" i="25" s="1"/>
  <c r="F113" i="25"/>
  <c r="G113" i="25"/>
  <c r="F148" i="25"/>
  <c r="G148" i="25"/>
  <c r="F233" i="25"/>
  <c r="G233" i="25"/>
  <c r="BN233" i="25" s="1"/>
  <c r="F291" i="25"/>
  <c r="G291" i="25"/>
  <c r="I291" i="25" s="1"/>
  <c r="F262" i="25"/>
  <c r="BM262" i="25" s="1"/>
  <c r="G262" i="25"/>
  <c r="F144" i="25"/>
  <c r="G144" i="25"/>
  <c r="F199" i="25"/>
  <c r="G199" i="25"/>
  <c r="I199" i="25" s="1"/>
  <c r="F146" i="25"/>
  <c r="G146" i="25"/>
  <c r="BN146" i="25" s="1"/>
  <c r="F220" i="25"/>
  <c r="G220" i="25"/>
  <c r="I220" i="25" s="1"/>
  <c r="F258" i="25"/>
  <c r="G258" i="25"/>
  <c r="BN258" i="25" s="1"/>
  <c r="F296" i="25"/>
  <c r="G296" i="25"/>
  <c r="I296" i="25" s="1"/>
  <c r="F248" i="25"/>
  <c r="G248" i="25"/>
  <c r="I248" i="25" s="1"/>
  <c r="F134" i="25"/>
  <c r="G134" i="25"/>
  <c r="I134" i="25" s="1"/>
  <c r="F128" i="25"/>
  <c r="G128" i="25"/>
  <c r="BN128" i="25" s="1"/>
  <c r="F302" i="25"/>
  <c r="G302" i="25"/>
  <c r="I302" i="25" s="1"/>
  <c r="F254" i="25"/>
  <c r="G254" i="25"/>
  <c r="I254" i="25" s="1"/>
  <c r="F112" i="25"/>
  <c r="G112" i="25"/>
  <c r="F103" i="25"/>
  <c r="G103" i="25"/>
  <c r="F88" i="25"/>
  <c r="G88" i="25"/>
  <c r="F147" i="25"/>
  <c r="G147" i="25"/>
  <c r="F138" i="25"/>
  <c r="G138" i="25"/>
  <c r="I138" i="25" s="1"/>
  <c r="F224" i="25"/>
  <c r="BM224" i="25" s="1"/>
  <c r="G224" i="25"/>
  <c r="BN224" i="25" s="1"/>
  <c r="F275" i="25"/>
  <c r="G275" i="25"/>
  <c r="I275" i="25" s="1"/>
  <c r="F223" i="25"/>
  <c r="G223" i="25"/>
  <c r="I223" i="25" s="1"/>
  <c r="F158" i="25"/>
  <c r="G158" i="25"/>
  <c r="F222" i="25"/>
  <c r="G222" i="25"/>
  <c r="I222" i="25" s="1"/>
  <c r="F102" i="25"/>
  <c r="G102" i="25"/>
  <c r="F10" i="25"/>
  <c r="BM10" i="25" s="1"/>
  <c r="G10" i="25"/>
  <c r="F244" i="25"/>
  <c r="G244" i="25"/>
  <c r="I244" i="25" s="1"/>
  <c r="F294" i="25"/>
  <c r="G294" i="25"/>
  <c r="I294" i="25" s="1"/>
  <c r="BO228" i="24" l="1"/>
  <c r="BR228" i="24" s="1"/>
  <c r="BO302" i="24"/>
  <c r="BR302" i="24" s="1"/>
  <c r="BO277" i="24"/>
  <c r="BR277" i="24" s="1"/>
  <c r="BO250" i="24"/>
  <c r="BR250" i="24" s="1"/>
  <c r="BO235" i="24"/>
  <c r="BR235" i="24" s="1"/>
  <c r="BO284" i="24"/>
  <c r="BR284" i="24" s="1"/>
  <c r="BO259" i="24"/>
  <c r="BR259" i="24" s="1"/>
  <c r="BO223" i="24"/>
  <c r="BR223" i="24" s="1"/>
  <c r="I294" i="24"/>
  <c r="S294" i="24" s="1"/>
  <c r="T294" i="24" s="1"/>
  <c r="BO274" i="24"/>
  <c r="BR274" i="24" s="1"/>
  <c r="BO241" i="24"/>
  <c r="BR241" i="24" s="1"/>
  <c r="I257" i="24"/>
  <c r="M257" i="24" s="1"/>
  <c r="N257" i="24" s="1"/>
  <c r="P257" i="24" s="1"/>
  <c r="BO298" i="24"/>
  <c r="BR298" i="24" s="1"/>
  <c r="BO281" i="24"/>
  <c r="BR281" i="24" s="1"/>
  <c r="BO311" i="24"/>
  <c r="BR311" i="24" s="1"/>
  <c r="BO243" i="24"/>
  <c r="BR243" i="24" s="1"/>
  <c r="I236" i="24"/>
  <c r="BK236" i="24" s="1"/>
  <c r="BO251" i="24"/>
  <c r="BR251" i="24" s="1"/>
  <c r="I233" i="24"/>
  <c r="S233" i="24" s="1"/>
  <c r="T233" i="24" s="1"/>
  <c r="BO291" i="24"/>
  <c r="BR291" i="24" s="1"/>
  <c r="I264" i="24"/>
  <c r="K264" i="24" s="1"/>
  <c r="BO285" i="24"/>
  <c r="BR285" i="24" s="1"/>
  <c r="BO275" i="24"/>
  <c r="BR275" i="24" s="1"/>
  <c r="BO283" i="24"/>
  <c r="BR283" i="24" s="1"/>
  <c r="BO307" i="24"/>
  <c r="BR307" i="24" s="1"/>
  <c r="I292" i="24"/>
  <c r="BQ218" i="25"/>
  <c r="BO105" i="24"/>
  <c r="BR105" i="24" s="1"/>
  <c r="BQ82" i="25"/>
  <c r="BQ69" i="25"/>
  <c r="BQ87" i="25"/>
  <c r="J29" i="25"/>
  <c r="BI29" i="25" s="1"/>
  <c r="J257" i="25"/>
  <c r="N257" i="25" s="1"/>
  <c r="T257" i="25" s="1"/>
  <c r="J179" i="25"/>
  <c r="BI179" i="25" s="1"/>
  <c r="J143" i="25"/>
  <c r="N143" i="25" s="1"/>
  <c r="P143" i="25" s="1"/>
  <c r="I69" i="25"/>
  <c r="J293" i="25"/>
  <c r="N293" i="25" s="1"/>
  <c r="T293" i="25" s="1"/>
  <c r="BQ30" i="25"/>
  <c r="I274" i="25"/>
  <c r="I43" i="25"/>
  <c r="J110" i="25"/>
  <c r="N110" i="25" s="1"/>
  <c r="O110" i="25" s="1"/>
  <c r="J265" i="25"/>
  <c r="BI265" i="25" s="1"/>
  <c r="BQ193" i="25"/>
  <c r="J11" i="25"/>
  <c r="L11" i="25" s="1"/>
  <c r="BN202" i="25"/>
  <c r="BQ202" i="25" s="1"/>
  <c r="BQ141" i="25"/>
  <c r="I253" i="25"/>
  <c r="BN186" i="25"/>
  <c r="BQ186" i="25" s="1"/>
  <c r="J129" i="25"/>
  <c r="N129" i="25" s="1"/>
  <c r="O129" i="25" s="1"/>
  <c r="I41" i="24"/>
  <c r="M41" i="24" s="1"/>
  <c r="BN81" i="25"/>
  <c r="BQ81" i="25" s="1"/>
  <c r="I40" i="25"/>
  <c r="I35" i="25"/>
  <c r="I230" i="25"/>
  <c r="I141" i="25"/>
  <c r="J77" i="25"/>
  <c r="BI77" i="25" s="1"/>
  <c r="BN52" i="25"/>
  <c r="I257" i="25"/>
  <c r="BQ224" i="25"/>
  <c r="J258" i="25"/>
  <c r="BI258" i="25" s="1"/>
  <c r="J131" i="25"/>
  <c r="N131" i="25" s="1"/>
  <c r="I290" i="25"/>
  <c r="BQ159" i="25"/>
  <c r="J237" i="25"/>
  <c r="L237" i="25" s="1"/>
  <c r="BO45" i="24"/>
  <c r="BR45" i="24" s="1"/>
  <c r="BN235" i="25"/>
  <c r="I119" i="25"/>
  <c r="BN156" i="25"/>
  <c r="I149" i="25"/>
  <c r="I280" i="25"/>
  <c r="I203" i="25"/>
  <c r="J189" i="25"/>
  <c r="BI189" i="25" s="1"/>
  <c r="BQ53" i="25"/>
  <c r="I164" i="25"/>
  <c r="I8" i="25"/>
  <c r="I241" i="25"/>
  <c r="I125" i="25"/>
  <c r="I87" i="25"/>
  <c r="I55" i="24"/>
  <c r="BK55" i="24" s="1"/>
  <c r="J28" i="25"/>
  <c r="BI28" i="25" s="1"/>
  <c r="I24" i="25"/>
  <c r="I193" i="25"/>
  <c r="J177" i="25"/>
  <c r="N177" i="25" s="1"/>
  <c r="T177" i="25" s="1"/>
  <c r="J280" i="25"/>
  <c r="L280" i="25" s="1"/>
  <c r="I72" i="25"/>
  <c r="I54" i="25"/>
  <c r="I207" i="25"/>
  <c r="BN239" i="25"/>
  <c r="BQ239" i="25" s="1"/>
  <c r="BN95" i="25"/>
  <c r="J104" i="25"/>
  <c r="L104" i="25" s="1"/>
  <c r="I206" i="25"/>
  <c r="I277" i="25"/>
  <c r="I83" i="25"/>
  <c r="J94" i="25"/>
  <c r="BI94" i="25" s="1"/>
  <c r="BO233" i="24"/>
  <c r="BR233" i="24" s="1"/>
  <c r="I160" i="24"/>
  <c r="S160" i="24" s="1"/>
  <c r="T160" i="24" s="1"/>
  <c r="I233" i="25"/>
  <c r="BN276" i="25"/>
  <c r="I171" i="25"/>
  <c r="I18" i="25"/>
  <c r="I79" i="25"/>
  <c r="I135" i="25"/>
  <c r="I153" i="25"/>
  <c r="I123" i="25"/>
  <c r="I57" i="25"/>
  <c r="I91" i="25"/>
  <c r="I48" i="25"/>
  <c r="I205" i="25"/>
  <c r="BN44" i="25"/>
  <c r="BQ44" i="25" s="1"/>
  <c r="I185" i="25"/>
  <c r="I218" i="25"/>
  <c r="BN77" i="25"/>
  <c r="BN13" i="25"/>
  <c r="I269" i="25"/>
  <c r="BM257" i="25"/>
  <c r="BQ257" i="25" s="1"/>
  <c r="I236" i="25"/>
  <c r="BM143" i="25"/>
  <c r="BQ143" i="25" s="1"/>
  <c r="BN131" i="25"/>
  <c r="BN133" i="25"/>
  <c r="BN256" i="25"/>
  <c r="BQ256" i="25" s="1"/>
  <c r="I231" i="25"/>
  <c r="BN287" i="25"/>
  <c r="I130" i="25"/>
  <c r="I197" i="25"/>
  <c r="BN198" i="25"/>
  <c r="BN104" i="25"/>
  <c r="I160" i="25"/>
  <c r="I26" i="25"/>
  <c r="BN245" i="25"/>
  <c r="BN38" i="25"/>
  <c r="BQ38" i="25" s="1"/>
  <c r="BN220" i="25"/>
  <c r="I146" i="25"/>
  <c r="I41" i="25"/>
  <c r="BN36" i="25"/>
  <c r="BN76" i="25"/>
  <c r="BN311" i="25"/>
  <c r="BQ48" i="25"/>
  <c r="I200" i="25"/>
  <c r="I179" i="25"/>
  <c r="I143" i="25"/>
  <c r="I151" i="25"/>
  <c r="BN177" i="25"/>
  <c r="BN270" i="25"/>
  <c r="I23" i="25"/>
  <c r="BN294" i="25"/>
  <c r="I128" i="25"/>
  <c r="I84" i="25"/>
  <c r="BN100" i="25"/>
  <c r="BN259" i="25"/>
  <c r="BQ259" i="25" s="1"/>
  <c r="BN227" i="25"/>
  <c r="I139" i="25"/>
  <c r="I115" i="25"/>
  <c r="I159" i="25"/>
  <c r="BN271" i="25"/>
  <c r="I300" i="25"/>
  <c r="I58" i="25"/>
  <c r="BN302" i="25"/>
  <c r="I67" i="25"/>
  <c r="I51" i="25"/>
  <c r="I68" i="25"/>
  <c r="I46" i="25"/>
  <c r="I196" i="25"/>
  <c r="I127" i="25"/>
  <c r="I140" i="25"/>
  <c r="I22" i="25"/>
  <c r="I98" i="25"/>
  <c r="I20" i="25"/>
  <c r="I85" i="25"/>
  <c r="I312" i="25"/>
  <c r="I315" i="25"/>
  <c r="I70" i="25"/>
  <c r="BN189" i="25"/>
  <c r="BN255" i="25"/>
  <c r="J190" i="25"/>
  <c r="L190" i="25" s="1"/>
  <c r="BN94" i="25"/>
  <c r="BQ277" i="25"/>
  <c r="I183" i="25"/>
  <c r="I273" i="25"/>
  <c r="BM29" i="25"/>
  <c r="BQ29" i="25" s="1"/>
  <c r="BN310" i="25"/>
  <c r="BQ310" i="25" s="1"/>
  <c r="BQ58" i="25"/>
  <c r="I237" i="25"/>
  <c r="BN134" i="25"/>
  <c r="BN283" i="25"/>
  <c r="I116" i="25"/>
  <c r="I118" i="25"/>
  <c r="I21" i="25"/>
  <c r="BQ315" i="25"/>
  <c r="I30" i="25"/>
  <c r="I82" i="25"/>
  <c r="I258" i="25"/>
  <c r="BN248" i="25"/>
  <c r="I282" i="25"/>
  <c r="BN75" i="25"/>
  <c r="BN307" i="25"/>
  <c r="I114" i="25"/>
  <c r="BN265" i="25"/>
  <c r="I266" i="25"/>
  <c r="BK44" i="24"/>
  <c r="S44" i="24"/>
  <c r="T44" i="24" s="1"/>
  <c r="AL291" i="25"/>
  <c r="CC291" i="25"/>
  <c r="H291" i="25"/>
  <c r="J291" i="25"/>
  <c r="L291" i="25" s="1"/>
  <c r="BM291" i="25"/>
  <c r="BN305" i="25"/>
  <c r="I305" i="25"/>
  <c r="BN275" i="25"/>
  <c r="BN161" i="25"/>
  <c r="K72" i="24"/>
  <c r="AM72" i="24"/>
  <c r="H72" i="24"/>
  <c r="CE72" i="24"/>
  <c r="CF72" i="24"/>
  <c r="I72" i="24"/>
  <c r="M72" i="24" s="1"/>
  <c r="N72" i="24" s="1"/>
  <c r="BO72" i="24"/>
  <c r="BR72" i="24" s="1"/>
  <c r="K30" i="24"/>
  <c r="AM30" i="24"/>
  <c r="H30" i="24"/>
  <c r="I30" i="24"/>
  <c r="M30" i="24" s="1"/>
  <c r="N30" i="24" s="1"/>
  <c r="BO30" i="24"/>
  <c r="BR30" i="24" s="1"/>
  <c r="CE289" i="24"/>
  <c r="CF289" i="24"/>
  <c r="H289" i="24"/>
  <c r="AM289" i="24"/>
  <c r="I289" i="24"/>
  <c r="K289" i="24" s="1"/>
  <c r="BO289" i="24"/>
  <c r="BR289" i="24" s="1"/>
  <c r="I28" i="25"/>
  <c r="BN28" i="25"/>
  <c r="CC154" i="25"/>
  <c r="AL154" i="25"/>
  <c r="H154" i="25"/>
  <c r="J154" i="25"/>
  <c r="L154" i="25" s="1"/>
  <c r="BM154" i="25"/>
  <c r="I267" i="25"/>
  <c r="BN267" i="25"/>
  <c r="AM219" i="24"/>
  <c r="H219" i="24"/>
  <c r="CE219" i="24"/>
  <c r="CF219" i="24"/>
  <c r="I219" i="24"/>
  <c r="M219" i="24" s="1"/>
  <c r="N219" i="24" s="1"/>
  <c r="BO219" i="24"/>
  <c r="BR219" i="24" s="1"/>
  <c r="CF121" i="24"/>
  <c r="AM121" i="24"/>
  <c r="H121" i="24"/>
  <c r="CE121" i="24"/>
  <c r="I121" i="24"/>
  <c r="M121" i="24" s="1"/>
  <c r="N121" i="24" s="1"/>
  <c r="BO121" i="24"/>
  <c r="BR121" i="24" s="1"/>
  <c r="CF9" i="24"/>
  <c r="CE9" i="24"/>
  <c r="AM9" i="24"/>
  <c r="K9" i="24"/>
  <c r="H9" i="24"/>
  <c r="I9" i="24"/>
  <c r="I187" i="25"/>
  <c r="BN187" i="25"/>
  <c r="AL222" i="25"/>
  <c r="H222" i="25"/>
  <c r="CC222" i="25"/>
  <c r="BM222" i="25"/>
  <c r="J222" i="25"/>
  <c r="CE103" i="25"/>
  <c r="H103" i="25"/>
  <c r="CF103" i="25"/>
  <c r="AL103" i="25"/>
  <c r="CC103" i="25"/>
  <c r="J103" i="25"/>
  <c r="CC128" i="25"/>
  <c r="H128" i="25"/>
  <c r="AL128" i="25"/>
  <c r="J128" i="25"/>
  <c r="I148" i="25"/>
  <c r="BN199" i="25"/>
  <c r="CC136" i="25"/>
  <c r="AL136" i="25"/>
  <c r="H136" i="25"/>
  <c r="J136" i="25"/>
  <c r="BM136" i="25"/>
  <c r="H56" i="25"/>
  <c r="AL56" i="25"/>
  <c r="CC56" i="25"/>
  <c r="BM56" i="25"/>
  <c r="J56" i="25"/>
  <c r="L56" i="25" s="1"/>
  <c r="BN293" i="25"/>
  <c r="I293" i="25"/>
  <c r="H252" i="25"/>
  <c r="AL252" i="25"/>
  <c r="CC252" i="25"/>
  <c r="BM252" i="25"/>
  <c r="J252" i="25"/>
  <c r="L252" i="25" s="1"/>
  <c r="I61" i="25"/>
  <c r="H250" i="25"/>
  <c r="CC250" i="25"/>
  <c r="AL250" i="25"/>
  <c r="BM250" i="25"/>
  <c r="J250" i="25"/>
  <c r="L250" i="25" s="1"/>
  <c r="H91" i="24"/>
  <c r="CF91" i="24"/>
  <c r="AM91" i="24"/>
  <c r="CE91" i="24"/>
  <c r="K91" i="24"/>
  <c r="I91" i="24"/>
  <c r="AM207" i="24"/>
  <c r="CF207" i="24"/>
  <c r="CE207" i="24"/>
  <c r="H207" i="24"/>
  <c r="I207" i="24"/>
  <c r="K207" i="24" s="1"/>
  <c r="BO207" i="24"/>
  <c r="BR207" i="24" s="1"/>
  <c r="AM209" i="24"/>
  <c r="H209" i="24"/>
  <c r="I209" i="24"/>
  <c r="K209" i="24" s="1"/>
  <c r="BO209" i="24"/>
  <c r="BR209" i="24" s="1"/>
  <c r="H229" i="24"/>
  <c r="CF229" i="24"/>
  <c r="AM229" i="24"/>
  <c r="CE229" i="24"/>
  <c r="I229" i="24"/>
  <c r="K229" i="24" s="1"/>
  <c r="BO229" i="24"/>
  <c r="BR229" i="24" s="1"/>
  <c r="CE17" i="25"/>
  <c r="CF17" i="25"/>
  <c r="CC17" i="25"/>
  <c r="AL17" i="25"/>
  <c r="H17" i="25"/>
  <c r="J17" i="25"/>
  <c r="H303" i="25"/>
  <c r="AL303" i="25"/>
  <c r="CC303" i="25"/>
  <c r="J303" i="25"/>
  <c r="L303" i="25" s="1"/>
  <c r="I7" i="25"/>
  <c r="H191" i="25"/>
  <c r="AL191" i="25"/>
  <c r="CC191" i="25"/>
  <c r="BM191" i="25"/>
  <c r="I299" i="25"/>
  <c r="BN299" i="25"/>
  <c r="BQ299" i="25" s="1"/>
  <c r="AL217" i="25"/>
  <c r="CC217" i="25"/>
  <c r="H217" i="25"/>
  <c r="J217" i="25"/>
  <c r="L217" i="25" s="1"/>
  <c r="BM217" i="25"/>
  <c r="BQ217" i="25" s="1"/>
  <c r="I27" i="25"/>
  <c r="BN27" i="25"/>
  <c r="H284" i="25"/>
  <c r="AL284" i="25"/>
  <c r="CC284" i="25"/>
  <c r="J284" i="25"/>
  <c r="BM284" i="25"/>
  <c r="CF140" i="24"/>
  <c r="CE140" i="24"/>
  <c r="AM140" i="24"/>
  <c r="H140" i="24"/>
  <c r="I140" i="24"/>
  <c r="K140" i="24" s="1"/>
  <c r="BO140" i="24"/>
  <c r="BR140" i="24" s="1"/>
  <c r="AM316" i="24"/>
  <c r="H316" i="24"/>
  <c r="CE316" i="24"/>
  <c r="I316" i="24"/>
  <c r="K316" i="24" s="1"/>
  <c r="CE189" i="24"/>
  <c r="AM189" i="24"/>
  <c r="CF189" i="24"/>
  <c r="H189" i="24"/>
  <c r="I189" i="24"/>
  <c r="BO189" i="24"/>
  <c r="BR189" i="24" s="1"/>
  <c r="H66" i="24"/>
  <c r="AM66" i="24"/>
  <c r="K66" i="24"/>
  <c r="I66" i="24"/>
  <c r="BO66" i="24"/>
  <c r="BR66" i="24" s="1"/>
  <c r="CE124" i="24"/>
  <c r="H124" i="24"/>
  <c r="CF124" i="24"/>
  <c r="AM124" i="24"/>
  <c r="BO124" i="24"/>
  <c r="BR124" i="24" s="1"/>
  <c r="I124" i="24"/>
  <c r="K124" i="24" s="1"/>
  <c r="CC310" i="25"/>
  <c r="H310" i="25"/>
  <c r="AL310" i="25"/>
  <c r="J310" i="25"/>
  <c r="L310" i="25" s="1"/>
  <c r="H29" i="24"/>
  <c r="CF29" i="24"/>
  <c r="CE29" i="24"/>
  <c r="AM29" i="24"/>
  <c r="K29" i="24"/>
  <c r="I29" i="24"/>
  <c r="BO79" i="24"/>
  <c r="BR79" i="24" s="1"/>
  <c r="AM105" i="24"/>
  <c r="K105" i="24"/>
  <c r="H105" i="24"/>
  <c r="I105" i="24"/>
  <c r="H60" i="25"/>
  <c r="CC60" i="25"/>
  <c r="AL60" i="25"/>
  <c r="J60" i="25"/>
  <c r="L60" i="25" s="1"/>
  <c r="BM60" i="25"/>
  <c r="BN238" i="25"/>
  <c r="I209" i="25"/>
  <c r="BN209" i="25"/>
  <c r="BN50" i="25"/>
  <c r="BQ50" i="25" s="1"/>
  <c r="AL19" i="25"/>
  <c r="CC19" i="25"/>
  <c r="CE19" i="25"/>
  <c r="CF19" i="25"/>
  <c r="H19" i="25"/>
  <c r="J19" i="25"/>
  <c r="L19" i="25" s="1"/>
  <c r="BM19" i="25"/>
  <c r="CC231" i="25"/>
  <c r="H231" i="25"/>
  <c r="AL231" i="25"/>
  <c r="BM231" i="25"/>
  <c r="BQ231" i="25" s="1"/>
  <c r="J231" i="25"/>
  <c r="H64" i="25"/>
  <c r="AL64" i="25"/>
  <c r="CC64" i="25"/>
  <c r="J64" i="25"/>
  <c r="BM64" i="25"/>
  <c r="AL84" i="25"/>
  <c r="CC84" i="25"/>
  <c r="CF84" i="25"/>
  <c r="CE84" i="25"/>
  <c r="H84" i="25"/>
  <c r="BM84" i="25"/>
  <c r="BQ84" i="25" s="1"/>
  <c r="J84" i="25"/>
  <c r="CC76" i="25"/>
  <c r="H76" i="25"/>
  <c r="AL76" i="25"/>
  <c r="CF76" i="25"/>
  <c r="CE76" i="25"/>
  <c r="BM76" i="25"/>
  <c r="J76" i="25"/>
  <c r="L76" i="25" s="1"/>
  <c r="H100" i="25"/>
  <c r="CF100" i="25"/>
  <c r="CE100" i="25"/>
  <c r="AL100" i="25"/>
  <c r="CC100" i="25"/>
  <c r="BM100" i="25"/>
  <c r="J100" i="25"/>
  <c r="L100" i="25" s="1"/>
  <c r="CC253" i="25"/>
  <c r="H253" i="25"/>
  <c r="AL253" i="25"/>
  <c r="BM253" i="25"/>
  <c r="BQ253" i="25" s="1"/>
  <c r="J253" i="25"/>
  <c r="L253" i="25" s="1"/>
  <c r="I268" i="25"/>
  <c r="BN268" i="25"/>
  <c r="AL301" i="25"/>
  <c r="H301" i="25"/>
  <c r="CC301" i="25"/>
  <c r="BM301" i="25"/>
  <c r="J301" i="25"/>
  <c r="L301" i="25" s="1"/>
  <c r="I308" i="25"/>
  <c r="BN308" i="25"/>
  <c r="H288" i="25"/>
  <c r="AL288" i="25"/>
  <c r="CC288" i="25"/>
  <c r="J288" i="25"/>
  <c r="L288" i="25" s="1"/>
  <c r="I286" i="25"/>
  <c r="BN286" i="25"/>
  <c r="H113" i="24"/>
  <c r="CF113" i="24"/>
  <c r="CE113" i="24"/>
  <c r="AM113" i="24"/>
  <c r="I113" i="24"/>
  <c r="K113" i="24" s="1"/>
  <c r="BO113" i="24"/>
  <c r="BR113" i="24" s="1"/>
  <c r="CF155" i="24"/>
  <c r="CE155" i="24"/>
  <c r="AM155" i="24"/>
  <c r="H155" i="24"/>
  <c r="I155" i="24"/>
  <c r="K155" i="24" s="1"/>
  <c r="BO155" i="24"/>
  <c r="BR155" i="24" s="1"/>
  <c r="CE260" i="24"/>
  <c r="H260" i="24"/>
  <c r="CF260" i="24"/>
  <c r="AM260" i="24"/>
  <c r="I260" i="24"/>
  <c r="K260" i="24" s="1"/>
  <c r="BO260" i="24"/>
  <c r="BR260" i="24" s="1"/>
  <c r="AM166" i="24"/>
  <c r="H166" i="24"/>
  <c r="I166" i="24"/>
  <c r="K166" i="24" s="1"/>
  <c r="AM60" i="24"/>
  <c r="H60" i="24"/>
  <c r="CE60" i="24"/>
  <c r="K60" i="24"/>
  <c r="CF60" i="24"/>
  <c r="I60" i="24"/>
  <c r="H148" i="24"/>
  <c r="CF148" i="24"/>
  <c r="AM148" i="24"/>
  <c r="CE148" i="24"/>
  <c r="I148" i="24"/>
  <c r="K148" i="24" s="1"/>
  <c r="H171" i="25"/>
  <c r="AL171" i="25"/>
  <c r="CC171" i="25"/>
  <c r="BM171" i="25"/>
  <c r="BQ171" i="25" s="1"/>
  <c r="AL67" i="25"/>
  <c r="H67" i="25"/>
  <c r="CC67" i="25"/>
  <c r="CE67" i="25"/>
  <c r="CF67" i="25"/>
  <c r="J67" i="25"/>
  <c r="L67" i="25" s="1"/>
  <c r="BM67" i="25"/>
  <c r="BQ67" i="25" s="1"/>
  <c r="H72" i="25"/>
  <c r="CC72" i="25"/>
  <c r="AL72" i="25"/>
  <c r="BM72" i="25"/>
  <c r="BQ72" i="25" s="1"/>
  <c r="J72" i="25"/>
  <c r="L72" i="25" s="1"/>
  <c r="CC51" i="25"/>
  <c r="CF51" i="25"/>
  <c r="CE51" i="25"/>
  <c r="AL51" i="25"/>
  <c r="H51" i="25"/>
  <c r="J51" i="25"/>
  <c r="BM51" i="25"/>
  <c r="BQ51" i="25" s="1"/>
  <c r="H18" i="25"/>
  <c r="AL18" i="25"/>
  <c r="CC18" i="25"/>
  <c r="CE18" i="25"/>
  <c r="CF18" i="25"/>
  <c r="J18" i="25"/>
  <c r="BM18" i="25"/>
  <c r="BQ18" i="25" s="1"/>
  <c r="CC68" i="25"/>
  <c r="CE68" i="25"/>
  <c r="CF68" i="25"/>
  <c r="AL68" i="25"/>
  <c r="H68" i="25"/>
  <c r="BM68" i="25"/>
  <c r="BQ68" i="25" s="1"/>
  <c r="J68" i="25"/>
  <c r="L68" i="25" s="1"/>
  <c r="CC79" i="25"/>
  <c r="AL79" i="25"/>
  <c r="H79" i="25"/>
  <c r="J79" i="25"/>
  <c r="BM79" i="25"/>
  <c r="BQ79" i="25" s="1"/>
  <c r="H46" i="25"/>
  <c r="AL46" i="25"/>
  <c r="CC46" i="25"/>
  <c r="CF46" i="25"/>
  <c r="CE46" i="25"/>
  <c r="J46" i="25"/>
  <c r="L46" i="25" s="1"/>
  <c r="BM46" i="25"/>
  <c r="BQ46" i="25" s="1"/>
  <c r="H156" i="25"/>
  <c r="CC156" i="25"/>
  <c r="AL156" i="25"/>
  <c r="BM156" i="25"/>
  <c r="J156" i="25"/>
  <c r="L156" i="25" s="1"/>
  <c r="AL139" i="25"/>
  <c r="CC139" i="25"/>
  <c r="H139" i="25"/>
  <c r="J139" i="25"/>
  <c r="BM139" i="25"/>
  <c r="BQ139" i="25" s="1"/>
  <c r="CF54" i="25"/>
  <c r="AL54" i="25"/>
  <c r="CC54" i="25"/>
  <c r="CE54" i="25"/>
  <c r="H54" i="25"/>
  <c r="BM54" i="25"/>
  <c r="BQ54" i="25" s="1"/>
  <c r="H40" i="25"/>
  <c r="AL40" i="25"/>
  <c r="CC40" i="25"/>
  <c r="CE40" i="25"/>
  <c r="CF40" i="25"/>
  <c r="J40" i="25"/>
  <c r="L40" i="25" s="1"/>
  <c r="BM40" i="25"/>
  <c r="BQ40" i="25" s="1"/>
  <c r="CE43" i="25"/>
  <c r="AL43" i="25"/>
  <c r="CC43" i="25"/>
  <c r="CF43" i="25"/>
  <c r="H43" i="25"/>
  <c r="BM43" i="25"/>
  <c r="BQ43" i="25" s="1"/>
  <c r="AL312" i="25"/>
  <c r="CC312" i="25"/>
  <c r="H312" i="25"/>
  <c r="BM312" i="25"/>
  <c r="BQ312" i="25" s="1"/>
  <c r="J312" i="25"/>
  <c r="BN297" i="25"/>
  <c r="BN117" i="25"/>
  <c r="CF174" i="24"/>
  <c r="H174" i="24"/>
  <c r="CE174" i="24"/>
  <c r="AM174" i="24"/>
  <c r="I174" i="24"/>
  <c r="K174" i="24" s="1"/>
  <c r="BO174" i="24"/>
  <c r="BR174" i="24" s="1"/>
  <c r="AM151" i="24"/>
  <c r="H151" i="24"/>
  <c r="BO151" i="24"/>
  <c r="BR151" i="24" s="1"/>
  <c r="CE239" i="24"/>
  <c r="CF239" i="24"/>
  <c r="AM239" i="24"/>
  <c r="H239" i="24"/>
  <c r="I239" i="24"/>
  <c r="K239" i="24" s="1"/>
  <c r="BO239" i="24"/>
  <c r="BR239" i="24" s="1"/>
  <c r="BO49" i="24"/>
  <c r="BR49" i="24" s="1"/>
  <c r="CC205" i="25"/>
  <c r="AL205" i="25"/>
  <c r="H205" i="25"/>
  <c r="J205" i="25"/>
  <c r="L205" i="25" s="1"/>
  <c r="BM205" i="25"/>
  <c r="BQ205" i="25" s="1"/>
  <c r="BN96" i="25"/>
  <c r="I96" i="25"/>
  <c r="BN219" i="25"/>
  <c r="H273" i="25"/>
  <c r="AL273" i="25"/>
  <c r="CC273" i="25"/>
  <c r="J273" i="25"/>
  <c r="N273" i="25" s="1"/>
  <c r="BM273" i="25"/>
  <c r="BQ273" i="25" s="1"/>
  <c r="I168" i="25"/>
  <c r="BQ151" i="25"/>
  <c r="BN15" i="25"/>
  <c r="BQ15" i="25" s="1"/>
  <c r="AM52" i="24"/>
  <c r="H52" i="24"/>
  <c r="K52" i="24"/>
  <c r="CE52" i="24"/>
  <c r="CF52" i="24"/>
  <c r="I52" i="24"/>
  <c r="M52" i="24" s="1"/>
  <c r="N52" i="24" s="1"/>
  <c r="BK45" i="24"/>
  <c r="S45" i="24"/>
  <c r="T45" i="24" s="1"/>
  <c r="M45" i="24"/>
  <c r="N45" i="24" s="1"/>
  <c r="K88" i="24"/>
  <c r="AM88" i="24"/>
  <c r="H88" i="24"/>
  <c r="I88" i="24"/>
  <c r="M88" i="24" s="1"/>
  <c r="N88" i="24" s="1"/>
  <c r="BO88" i="24"/>
  <c r="BR88" i="24" s="1"/>
  <c r="BM288" i="25"/>
  <c r="BQ288" i="25" s="1"/>
  <c r="I42" i="25"/>
  <c r="BN42" i="25"/>
  <c r="CE169" i="24"/>
  <c r="AM169" i="24"/>
  <c r="CF169" i="24"/>
  <c r="H169" i="24"/>
  <c r="I169" i="24"/>
  <c r="K169" i="24" s="1"/>
  <c r="BO169" i="24"/>
  <c r="BR169" i="24" s="1"/>
  <c r="I161" i="25"/>
  <c r="BN242" i="25"/>
  <c r="BO180" i="24"/>
  <c r="BR180" i="24" s="1"/>
  <c r="J169" i="25"/>
  <c r="L169" i="25" s="1"/>
  <c r="J54" i="25"/>
  <c r="BM45" i="25"/>
  <c r="J191" i="25"/>
  <c r="I85" i="24"/>
  <c r="H296" i="25"/>
  <c r="AL296" i="25"/>
  <c r="CC296" i="25"/>
  <c r="J296" i="25"/>
  <c r="N296" i="25" s="1"/>
  <c r="BM296" i="25"/>
  <c r="BN225" i="25"/>
  <c r="I225" i="25"/>
  <c r="AL170" i="25"/>
  <c r="CC170" i="25"/>
  <c r="H170" i="25"/>
  <c r="BM170" i="25"/>
  <c r="J170" i="25"/>
  <c r="N170" i="25" s="1"/>
  <c r="I178" i="25"/>
  <c r="BN178" i="25"/>
  <c r="AL155" i="25"/>
  <c r="CC155" i="25"/>
  <c r="H155" i="25"/>
  <c r="J155" i="25"/>
  <c r="L155" i="25" s="1"/>
  <c r="BM155" i="25"/>
  <c r="CC244" i="25"/>
  <c r="H244" i="25"/>
  <c r="AL244" i="25"/>
  <c r="J244" i="25"/>
  <c r="BM244" i="25"/>
  <c r="BN158" i="25"/>
  <c r="AL138" i="25"/>
  <c r="CC138" i="25"/>
  <c r="H138" i="25"/>
  <c r="BM138" i="25"/>
  <c r="J138" i="25"/>
  <c r="L138" i="25" s="1"/>
  <c r="I112" i="25"/>
  <c r="BN112" i="25"/>
  <c r="AL199" i="25"/>
  <c r="CC199" i="25"/>
  <c r="H199" i="25"/>
  <c r="J199" i="25"/>
  <c r="N199" i="25" s="1"/>
  <c r="BM199" i="25"/>
  <c r="H233" i="25"/>
  <c r="AL233" i="25"/>
  <c r="CC233" i="25"/>
  <c r="J233" i="25"/>
  <c r="BM233" i="25"/>
  <c r="BQ233" i="25" s="1"/>
  <c r="H298" i="25"/>
  <c r="AL298" i="25"/>
  <c r="CC298" i="25"/>
  <c r="J298" i="25"/>
  <c r="J216" i="25"/>
  <c r="BN148" i="25"/>
  <c r="BN138" i="25"/>
  <c r="AL243" i="25"/>
  <c r="CC243" i="25"/>
  <c r="H243" i="25"/>
  <c r="BM243" i="25"/>
  <c r="J243" i="25"/>
  <c r="N243" i="25" s="1"/>
  <c r="I121" i="25"/>
  <c r="BN47" i="25"/>
  <c r="I47" i="25"/>
  <c r="H316" i="25"/>
  <c r="AL316" i="25"/>
  <c r="CC316" i="25"/>
  <c r="T322" i="25"/>
  <c r="J316" i="25"/>
  <c r="BM316" i="25"/>
  <c r="H39" i="25"/>
  <c r="CC39" i="25"/>
  <c r="AL39" i="25"/>
  <c r="CE39" i="25"/>
  <c r="CF39" i="25"/>
  <c r="J39" i="25"/>
  <c r="L39" i="25" s="1"/>
  <c r="BM39" i="25"/>
  <c r="AM242" i="24"/>
  <c r="H242" i="24"/>
  <c r="CF242" i="24"/>
  <c r="BO242" i="24"/>
  <c r="BR242" i="24" s="1"/>
  <c r="I242" i="24"/>
  <c r="H173" i="24"/>
  <c r="AM173" i="24"/>
  <c r="BO173" i="24"/>
  <c r="BR173" i="24" s="1"/>
  <c r="I173" i="24"/>
  <c r="K173" i="24" s="1"/>
  <c r="AM135" i="24"/>
  <c r="H135" i="24"/>
  <c r="I135" i="24"/>
  <c r="CF196" i="24"/>
  <c r="CE196" i="24"/>
  <c r="AM196" i="24"/>
  <c r="H196" i="24"/>
  <c r="I196" i="24"/>
  <c r="K196" i="24" s="1"/>
  <c r="BO196" i="24"/>
  <c r="BR196" i="24" s="1"/>
  <c r="H15" i="25"/>
  <c r="CF15" i="25"/>
  <c r="CE15" i="25"/>
  <c r="AL15" i="25"/>
  <c r="CC15" i="25"/>
  <c r="H309" i="25"/>
  <c r="AL309" i="25"/>
  <c r="CC309" i="25"/>
  <c r="J309" i="25"/>
  <c r="BM309" i="25"/>
  <c r="BN181" i="25"/>
  <c r="H228" i="25"/>
  <c r="AL228" i="25"/>
  <c r="CC228" i="25"/>
  <c r="BM228" i="25"/>
  <c r="J228" i="25"/>
  <c r="I249" i="25"/>
  <c r="BN249" i="25"/>
  <c r="CC33" i="25"/>
  <c r="AL33" i="25"/>
  <c r="CF33" i="25"/>
  <c r="CE33" i="25"/>
  <c r="H33" i="25"/>
  <c r="BM33" i="25"/>
  <c r="J33" i="25"/>
  <c r="AM32" i="24"/>
  <c r="CE32" i="24"/>
  <c r="CF32" i="24"/>
  <c r="K32" i="24"/>
  <c r="H32" i="24"/>
  <c r="I32" i="24"/>
  <c r="M32" i="24" s="1"/>
  <c r="BO32" i="24"/>
  <c r="BR32" i="24" s="1"/>
  <c r="CF184" i="24"/>
  <c r="H184" i="24"/>
  <c r="AM184" i="24"/>
  <c r="CE184" i="24"/>
  <c r="I184" i="24"/>
  <c r="K184" i="24" s="1"/>
  <c r="BO184" i="24"/>
  <c r="BR184" i="24" s="1"/>
  <c r="K80" i="24"/>
  <c r="H80" i="24"/>
  <c r="AM80" i="24"/>
  <c r="BO80" i="24"/>
  <c r="BR80" i="24" s="1"/>
  <c r="I80" i="24"/>
  <c r="AM210" i="24"/>
  <c r="H210" i="24"/>
  <c r="I210" i="24"/>
  <c r="K210" i="24" s="1"/>
  <c r="BO210" i="24"/>
  <c r="BR210" i="24" s="1"/>
  <c r="AM25" i="24"/>
  <c r="CE25" i="24"/>
  <c r="K25" i="24"/>
  <c r="CF25" i="24"/>
  <c r="H25" i="24"/>
  <c r="BO25" i="24"/>
  <c r="BR25" i="24" s="1"/>
  <c r="H111" i="25"/>
  <c r="AL111" i="25"/>
  <c r="CC111" i="25"/>
  <c r="J111" i="25"/>
  <c r="BM251" i="25"/>
  <c r="CC63" i="25"/>
  <c r="AL63" i="25"/>
  <c r="H63" i="25"/>
  <c r="CF63" i="25"/>
  <c r="CE63" i="25"/>
  <c r="J63" i="25"/>
  <c r="CC95" i="25"/>
  <c r="AL95" i="25"/>
  <c r="H95" i="25"/>
  <c r="CF95" i="25"/>
  <c r="CE95" i="25"/>
  <c r="BM95" i="25"/>
  <c r="J95" i="25"/>
  <c r="N95" i="25" s="1"/>
  <c r="AL75" i="25"/>
  <c r="CF75" i="25"/>
  <c r="CE75" i="25"/>
  <c r="CC75" i="25"/>
  <c r="H75" i="25"/>
  <c r="BM75" i="25"/>
  <c r="J75" i="25"/>
  <c r="L75" i="25" s="1"/>
  <c r="I304" i="25"/>
  <c r="BN304" i="25"/>
  <c r="AL234" i="25"/>
  <c r="H234" i="25"/>
  <c r="CC234" i="25"/>
  <c r="BM234" i="25"/>
  <c r="J234" i="25"/>
  <c r="CC184" i="25"/>
  <c r="AL184" i="25"/>
  <c r="H184" i="25"/>
  <c r="J184" i="25"/>
  <c r="BM184" i="25"/>
  <c r="BN101" i="25"/>
  <c r="I101" i="25"/>
  <c r="I45" i="25"/>
  <c r="BN45" i="25"/>
  <c r="H312" i="24"/>
  <c r="CE312" i="24"/>
  <c r="AM312" i="24"/>
  <c r="I312" i="24"/>
  <c r="M312" i="24" s="1"/>
  <c r="N312" i="24" s="1"/>
  <c r="BO312" i="24"/>
  <c r="BR312" i="24" s="1"/>
  <c r="CF275" i="24"/>
  <c r="AM275" i="24"/>
  <c r="H275" i="24"/>
  <c r="I275" i="24"/>
  <c r="H270" i="24"/>
  <c r="CF270" i="24"/>
  <c r="AM270" i="24"/>
  <c r="I270" i="24"/>
  <c r="M270" i="24" s="1"/>
  <c r="N270" i="24" s="1"/>
  <c r="BO270" i="24"/>
  <c r="BR270" i="24" s="1"/>
  <c r="CF240" i="24"/>
  <c r="H240" i="24"/>
  <c r="AM240" i="24"/>
  <c r="CE240" i="24"/>
  <c r="I240" i="24"/>
  <c r="K240" i="24" s="1"/>
  <c r="BO240" i="24"/>
  <c r="BR240" i="24" s="1"/>
  <c r="BO245" i="24"/>
  <c r="BR245" i="24" s="1"/>
  <c r="H295" i="25"/>
  <c r="AL295" i="25"/>
  <c r="CC295" i="25"/>
  <c r="J295" i="25"/>
  <c r="BM295" i="25"/>
  <c r="BQ295" i="25" s="1"/>
  <c r="AL260" i="25"/>
  <c r="CC260" i="25"/>
  <c r="H260" i="25"/>
  <c r="J260" i="25"/>
  <c r="L260" i="25" s="1"/>
  <c r="BM260" i="25"/>
  <c r="CC278" i="25"/>
  <c r="H278" i="25"/>
  <c r="AL278" i="25"/>
  <c r="BM278" i="25"/>
  <c r="J278" i="25"/>
  <c r="AL221" i="25"/>
  <c r="CC221" i="25"/>
  <c r="H221" i="25"/>
  <c r="BM221" i="25"/>
  <c r="J221" i="25"/>
  <c r="AM299" i="24"/>
  <c r="H299" i="24"/>
  <c r="I299" i="24"/>
  <c r="BO299" i="24"/>
  <c r="BR299" i="24" s="1"/>
  <c r="H120" i="24"/>
  <c r="CF120" i="24"/>
  <c r="CE120" i="24"/>
  <c r="AM120" i="24"/>
  <c r="I120" i="24"/>
  <c r="M120" i="24" s="1"/>
  <c r="BO120" i="24"/>
  <c r="BR120" i="24" s="1"/>
  <c r="AM290" i="24"/>
  <c r="CF290" i="24"/>
  <c r="H290" i="24"/>
  <c r="I290" i="24"/>
  <c r="M290" i="24" s="1"/>
  <c r="N290" i="24" s="1"/>
  <c r="BO290" i="24"/>
  <c r="BR290" i="24" s="1"/>
  <c r="BO58" i="24"/>
  <c r="BR58" i="24" s="1"/>
  <c r="BN244" i="25"/>
  <c r="H114" i="25"/>
  <c r="AL114" i="25"/>
  <c r="CC114" i="25"/>
  <c r="J114" i="25"/>
  <c r="N114" i="25" s="1"/>
  <c r="BM114" i="25"/>
  <c r="BQ114" i="25" s="1"/>
  <c r="I169" i="25"/>
  <c r="H204" i="25"/>
  <c r="CC204" i="25"/>
  <c r="AL204" i="25"/>
  <c r="BM204" i="25"/>
  <c r="J204" i="25"/>
  <c r="N204" i="25" s="1"/>
  <c r="BQ203" i="25"/>
  <c r="AM171" i="24"/>
  <c r="H171" i="24"/>
  <c r="CE171" i="24"/>
  <c r="CF171" i="24"/>
  <c r="I171" i="24"/>
  <c r="BO171" i="24"/>
  <c r="BR171" i="24" s="1"/>
  <c r="CF230" i="24"/>
  <c r="AM230" i="24"/>
  <c r="H230" i="24"/>
  <c r="CE230" i="24"/>
  <c r="I230" i="24"/>
  <c r="BO230" i="24"/>
  <c r="BR230" i="24" s="1"/>
  <c r="I210" i="25"/>
  <c r="BN210" i="25"/>
  <c r="BK142" i="24"/>
  <c r="S142" i="24"/>
  <c r="T142" i="24" s="1"/>
  <c r="CE254" i="24"/>
  <c r="CF254" i="24"/>
  <c r="H254" i="24"/>
  <c r="AM254" i="24"/>
  <c r="BO254" i="24"/>
  <c r="BR254" i="24" s="1"/>
  <c r="I254" i="24"/>
  <c r="BK132" i="24"/>
  <c r="S132" i="24"/>
  <c r="T132" i="24" s="1"/>
  <c r="M132" i="24"/>
  <c r="N132" i="24" s="1"/>
  <c r="CE134" i="24"/>
  <c r="AM134" i="24"/>
  <c r="H134" i="24"/>
  <c r="CF134" i="24"/>
  <c r="I134" i="24"/>
  <c r="K134" i="24" s="1"/>
  <c r="BO134" i="24"/>
  <c r="BR134" i="24" s="1"/>
  <c r="BK21" i="24"/>
  <c r="S21" i="24"/>
  <c r="T21" i="24" s="1"/>
  <c r="BN121" i="25"/>
  <c r="I247" i="25"/>
  <c r="I78" i="24"/>
  <c r="AL262" i="25"/>
  <c r="H262" i="25"/>
  <c r="CC262" i="25"/>
  <c r="J262" i="25"/>
  <c r="L262" i="25" s="1"/>
  <c r="AL275" i="25"/>
  <c r="CC275" i="25"/>
  <c r="H275" i="25"/>
  <c r="J275" i="25"/>
  <c r="N275" i="25" s="1"/>
  <c r="BM275" i="25"/>
  <c r="I88" i="25"/>
  <c r="BN88" i="25"/>
  <c r="AL305" i="25"/>
  <c r="CC305" i="25"/>
  <c r="H305" i="25"/>
  <c r="BM305" i="25"/>
  <c r="J305" i="25"/>
  <c r="N305" i="25" s="1"/>
  <c r="BN10" i="25"/>
  <c r="BQ10" i="25" s="1"/>
  <c r="CC223" i="25"/>
  <c r="H223" i="25"/>
  <c r="AL223" i="25"/>
  <c r="BM223" i="25"/>
  <c r="J223" i="25"/>
  <c r="I147" i="25"/>
  <c r="BN147" i="25"/>
  <c r="CC302" i="25"/>
  <c r="H302" i="25"/>
  <c r="AL302" i="25"/>
  <c r="J302" i="25"/>
  <c r="L302" i="25" s="1"/>
  <c r="BM302" i="25"/>
  <c r="AL248" i="25"/>
  <c r="CC248" i="25"/>
  <c r="H248" i="25"/>
  <c r="BM248" i="25"/>
  <c r="J248" i="25"/>
  <c r="N248" i="25" s="1"/>
  <c r="I144" i="25"/>
  <c r="I298" i="25"/>
  <c r="BN292" i="25"/>
  <c r="I292" i="25"/>
  <c r="AL124" i="25"/>
  <c r="CC124" i="25"/>
  <c r="H124" i="25"/>
  <c r="J124" i="25"/>
  <c r="L124" i="25" s="1"/>
  <c r="BM124" i="25"/>
  <c r="I110" i="25"/>
  <c r="AL89" i="25"/>
  <c r="CC89" i="25"/>
  <c r="H89" i="25"/>
  <c r="J89" i="25"/>
  <c r="N89" i="25" s="1"/>
  <c r="BM89" i="25"/>
  <c r="H272" i="25"/>
  <c r="CC272" i="25"/>
  <c r="AL272" i="25"/>
  <c r="BM272" i="25"/>
  <c r="J272" i="25"/>
  <c r="L272" i="25" s="1"/>
  <c r="BN66" i="25"/>
  <c r="I66" i="25"/>
  <c r="H248" i="24"/>
  <c r="AM248" i="24"/>
  <c r="CE248" i="24"/>
  <c r="CF248" i="24"/>
  <c r="I248" i="24"/>
  <c r="M248" i="24" s="1"/>
  <c r="CE112" i="24"/>
  <c r="CF112" i="24"/>
  <c r="AM112" i="24"/>
  <c r="H112" i="24"/>
  <c r="BO112" i="24"/>
  <c r="BR112" i="24" s="1"/>
  <c r="H315" i="24"/>
  <c r="CE315" i="24"/>
  <c r="AM315" i="24"/>
  <c r="BO315" i="24"/>
  <c r="BR315" i="24" s="1"/>
  <c r="I315" i="24"/>
  <c r="K315" i="24" s="1"/>
  <c r="H79" i="24"/>
  <c r="AM79" i="24"/>
  <c r="K79" i="24"/>
  <c r="I79" i="24"/>
  <c r="M79" i="24" s="1"/>
  <c r="H172" i="24"/>
  <c r="CF172" i="24"/>
  <c r="CE172" i="24"/>
  <c r="AM172" i="24"/>
  <c r="I172" i="24"/>
  <c r="M172" i="24" s="1"/>
  <c r="N172" i="24" s="1"/>
  <c r="H282" i="25"/>
  <c r="AL282" i="25"/>
  <c r="CC282" i="25"/>
  <c r="BM282" i="25"/>
  <c r="BQ282" i="25" s="1"/>
  <c r="J282" i="25"/>
  <c r="N282" i="25" s="1"/>
  <c r="H78" i="25"/>
  <c r="AL78" i="25"/>
  <c r="CC78" i="25"/>
  <c r="CF78" i="25"/>
  <c r="CE78" i="25"/>
  <c r="BM78" i="25"/>
  <c r="J78" i="25"/>
  <c r="L78" i="25" s="1"/>
  <c r="I173" i="25"/>
  <c r="BN173" i="25"/>
  <c r="AL172" i="25"/>
  <c r="CC172" i="25"/>
  <c r="H172" i="25"/>
  <c r="J172" i="25"/>
  <c r="BM172" i="25"/>
  <c r="I65" i="25"/>
  <c r="BN65" i="25"/>
  <c r="CC261" i="25"/>
  <c r="H261" i="25"/>
  <c r="AL261" i="25"/>
  <c r="BM261" i="25"/>
  <c r="J261" i="25"/>
  <c r="N261" i="25" s="1"/>
  <c r="I251" i="25"/>
  <c r="BN251" i="25"/>
  <c r="H139" i="24"/>
  <c r="AM139" i="24"/>
  <c r="I139" i="24"/>
  <c r="BO139" i="24"/>
  <c r="BR139" i="24" s="1"/>
  <c r="AM93" i="24"/>
  <c r="CF93" i="24"/>
  <c r="CE93" i="24"/>
  <c r="K93" i="24"/>
  <c r="H93" i="24"/>
  <c r="BO93" i="24"/>
  <c r="BR93" i="24" s="1"/>
  <c r="I93" i="24"/>
  <c r="H264" i="24"/>
  <c r="CE264" i="24"/>
  <c r="CF264" i="24"/>
  <c r="AM264" i="24"/>
  <c r="BO264" i="24"/>
  <c r="BR264" i="24" s="1"/>
  <c r="K47" i="24"/>
  <c r="H47" i="24"/>
  <c r="AM47" i="24"/>
  <c r="CF47" i="24"/>
  <c r="CE47" i="24"/>
  <c r="I47" i="24"/>
  <c r="M47" i="24" s="1"/>
  <c r="N47" i="24" s="1"/>
  <c r="BO47" i="24"/>
  <c r="BR47" i="24" s="1"/>
  <c r="K28" i="24"/>
  <c r="AM28" i="24"/>
  <c r="H28" i="24"/>
  <c r="CE28" i="24"/>
  <c r="CF28" i="24"/>
  <c r="I28" i="24"/>
  <c r="AM48" i="24"/>
  <c r="K48" i="24"/>
  <c r="H48" i="24"/>
  <c r="CE48" i="24"/>
  <c r="CF48" i="24"/>
  <c r="I48" i="24"/>
  <c r="M48" i="24" s="1"/>
  <c r="N48" i="24" s="1"/>
  <c r="CC201" i="25"/>
  <c r="AL201" i="25"/>
  <c r="H201" i="25"/>
  <c r="J201" i="25"/>
  <c r="N201" i="25" s="1"/>
  <c r="BM201" i="25"/>
  <c r="BN167" i="25"/>
  <c r="I167" i="25"/>
  <c r="AL166" i="25"/>
  <c r="CC166" i="25"/>
  <c r="H166" i="25"/>
  <c r="J166" i="25"/>
  <c r="BM166" i="25"/>
  <c r="I55" i="25"/>
  <c r="BN55" i="25"/>
  <c r="H285" i="25"/>
  <c r="AL285" i="25"/>
  <c r="CC285" i="25"/>
  <c r="BM285" i="25"/>
  <c r="J285" i="25"/>
  <c r="I306" i="25"/>
  <c r="BN306" i="25"/>
  <c r="AL90" i="25"/>
  <c r="CC90" i="25"/>
  <c r="H90" i="25"/>
  <c r="J90" i="25"/>
  <c r="L90" i="25" s="1"/>
  <c r="BM90" i="25"/>
  <c r="I263" i="25"/>
  <c r="BN263" i="25"/>
  <c r="H314" i="25"/>
  <c r="AL314" i="25"/>
  <c r="CC314" i="25"/>
  <c r="BM314" i="25"/>
  <c r="J314" i="25"/>
  <c r="N314" i="25" s="1"/>
  <c r="AL287" i="25"/>
  <c r="H287" i="25"/>
  <c r="CC287" i="25"/>
  <c r="J287" i="25"/>
  <c r="L287" i="25" s="1"/>
  <c r="BM287" i="25"/>
  <c r="CC259" i="25"/>
  <c r="H259" i="25"/>
  <c r="AL259" i="25"/>
  <c r="J259" i="25"/>
  <c r="N259" i="25" s="1"/>
  <c r="CF128" i="24"/>
  <c r="CE128" i="24"/>
  <c r="AM128" i="24"/>
  <c r="H128" i="24"/>
  <c r="I128" i="24"/>
  <c r="K128" i="24" s="1"/>
  <c r="H180" i="24"/>
  <c r="AM180" i="24"/>
  <c r="I180" i="24"/>
  <c r="M180" i="24" s="1"/>
  <c r="AM90" i="24"/>
  <c r="K90" i="24"/>
  <c r="H90" i="24"/>
  <c r="CF90" i="24"/>
  <c r="CE90" i="24"/>
  <c r="I90" i="24"/>
  <c r="M90" i="24" s="1"/>
  <c r="BO90" i="24"/>
  <c r="BR90" i="24" s="1"/>
  <c r="K17" i="24"/>
  <c r="H17" i="24"/>
  <c r="AM17" i="24"/>
  <c r="CF17" i="24"/>
  <c r="CE17" i="24"/>
  <c r="I17" i="24"/>
  <c r="BO17" i="24"/>
  <c r="BR17" i="24" s="1"/>
  <c r="K61" i="24"/>
  <c r="H61" i="24"/>
  <c r="AM61" i="24"/>
  <c r="I61" i="24"/>
  <c r="M61" i="24" s="1"/>
  <c r="N61" i="24" s="1"/>
  <c r="BO316" i="24"/>
  <c r="BR316" i="24" s="1"/>
  <c r="CC34" i="25"/>
  <c r="AL34" i="25"/>
  <c r="CF34" i="25"/>
  <c r="H34" i="25"/>
  <c r="CE34" i="25"/>
  <c r="J34" i="25"/>
  <c r="N34" i="25" s="1"/>
  <c r="I295" i="25"/>
  <c r="H227" i="25"/>
  <c r="AL227" i="25"/>
  <c r="CC227" i="25"/>
  <c r="J227" i="25"/>
  <c r="L227" i="25" s="1"/>
  <c r="BM227" i="25"/>
  <c r="BN260" i="25"/>
  <c r="BN278" i="25"/>
  <c r="BN221" i="25"/>
  <c r="AM204" i="24"/>
  <c r="H204" i="24"/>
  <c r="BO204" i="24"/>
  <c r="BR204" i="24" s="1"/>
  <c r="I204" i="24"/>
  <c r="K204" i="24" s="1"/>
  <c r="CE69" i="24"/>
  <c r="K69" i="24"/>
  <c r="H69" i="24"/>
  <c r="AM69" i="24"/>
  <c r="CF69" i="24"/>
  <c r="I69" i="24"/>
  <c r="BO69" i="24"/>
  <c r="BR69" i="24" s="1"/>
  <c r="AM31" i="24"/>
  <c r="CF31" i="24"/>
  <c r="CE31" i="24"/>
  <c r="K31" i="24"/>
  <c r="H31" i="24"/>
  <c r="I31" i="24"/>
  <c r="BO31" i="24"/>
  <c r="BR31" i="24" s="1"/>
  <c r="BM292" i="25"/>
  <c r="BN223" i="25"/>
  <c r="AL116" i="25"/>
  <c r="H116" i="25"/>
  <c r="CC116" i="25"/>
  <c r="J116" i="25"/>
  <c r="BM116" i="25"/>
  <c r="BQ116" i="25" s="1"/>
  <c r="AL118" i="25"/>
  <c r="CC118" i="25"/>
  <c r="H118" i="25"/>
  <c r="J118" i="25"/>
  <c r="BM118" i="25"/>
  <c r="BQ118" i="25" s="1"/>
  <c r="AL96" i="25"/>
  <c r="CC96" i="25"/>
  <c r="H96" i="25"/>
  <c r="J96" i="25"/>
  <c r="L96" i="25" s="1"/>
  <c r="BM96" i="25"/>
  <c r="CC21" i="25"/>
  <c r="H21" i="25"/>
  <c r="AL21" i="25"/>
  <c r="J21" i="25"/>
  <c r="N21" i="25" s="1"/>
  <c r="BM21" i="25"/>
  <c r="BQ21" i="25" s="1"/>
  <c r="I176" i="25"/>
  <c r="BN176" i="25"/>
  <c r="AL126" i="25"/>
  <c r="CC126" i="25"/>
  <c r="H126" i="25"/>
  <c r="BM126" i="25"/>
  <c r="H174" i="25"/>
  <c r="AL174" i="25"/>
  <c r="CC174" i="25"/>
  <c r="AM201" i="24"/>
  <c r="H201" i="24"/>
  <c r="BO201" i="24"/>
  <c r="BR201" i="24" s="1"/>
  <c r="I201" i="24"/>
  <c r="AM77" i="24"/>
  <c r="CF77" i="24"/>
  <c r="CE77" i="24"/>
  <c r="H77" i="24"/>
  <c r="K77" i="24"/>
  <c r="BO77" i="24"/>
  <c r="BR77" i="24" s="1"/>
  <c r="I77" i="24"/>
  <c r="BQ83" i="25"/>
  <c r="I240" i="25"/>
  <c r="I288" i="25"/>
  <c r="BO52" i="24"/>
  <c r="BR52" i="24" s="1"/>
  <c r="BM298" i="25"/>
  <c r="BQ298" i="25" s="1"/>
  <c r="J43" i="25"/>
  <c r="BK22" i="24"/>
  <c r="S22" i="24"/>
  <c r="T22" i="24" s="1"/>
  <c r="CC178" i="25"/>
  <c r="AL178" i="25"/>
  <c r="H178" i="25"/>
  <c r="BM178" i="25"/>
  <c r="J178" i="25"/>
  <c r="N178" i="25" s="1"/>
  <c r="AL267" i="25"/>
  <c r="CC267" i="25"/>
  <c r="H267" i="25"/>
  <c r="J267" i="25"/>
  <c r="N267" i="25" s="1"/>
  <c r="BM267" i="25"/>
  <c r="CF244" i="24"/>
  <c r="AM244" i="24"/>
  <c r="H244" i="24"/>
  <c r="CE244" i="24"/>
  <c r="I244" i="24"/>
  <c r="BO244" i="24"/>
  <c r="BR244" i="24" s="1"/>
  <c r="H65" i="24"/>
  <c r="CF65" i="24"/>
  <c r="CE65" i="24"/>
  <c r="K65" i="24"/>
  <c r="AM65" i="24"/>
  <c r="I65" i="24"/>
  <c r="AL187" i="25"/>
  <c r="CC187" i="25"/>
  <c r="H187" i="25"/>
  <c r="J187" i="25"/>
  <c r="BM187" i="25"/>
  <c r="H14" i="25"/>
  <c r="CC14" i="25"/>
  <c r="AL14" i="25"/>
  <c r="J14" i="25"/>
  <c r="N14" i="25" s="1"/>
  <c r="BM14" i="25"/>
  <c r="AM89" i="24"/>
  <c r="CE89" i="24"/>
  <c r="CF89" i="24"/>
  <c r="K89" i="24"/>
  <c r="H89" i="24"/>
  <c r="I89" i="24"/>
  <c r="BO89" i="24"/>
  <c r="BR89" i="24" s="1"/>
  <c r="H199" i="24"/>
  <c r="AM199" i="24"/>
  <c r="I199" i="24"/>
  <c r="M199" i="24" s="1"/>
  <c r="N199" i="24" s="1"/>
  <c r="AM313" i="24"/>
  <c r="CE313" i="24"/>
  <c r="CF313" i="24"/>
  <c r="H313" i="24"/>
  <c r="I313" i="24"/>
  <c r="M313" i="24" s="1"/>
  <c r="BO313" i="24"/>
  <c r="BR313" i="24" s="1"/>
  <c r="H15" i="24"/>
  <c r="AM15" i="24"/>
  <c r="CE15" i="24"/>
  <c r="CF15" i="24"/>
  <c r="K15" i="24"/>
  <c r="I15" i="24"/>
  <c r="BO15" i="24"/>
  <c r="BR15" i="24" s="1"/>
  <c r="BO91" i="24"/>
  <c r="BR91" i="24" s="1"/>
  <c r="CF53" i="24"/>
  <c r="AM53" i="24"/>
  <c r="CE53" i="24"/>
  <c r="K53" i="24"/>
  <c r="H53" i="24"/>
  <c r="I53" i="24"/>
  <c r="M53" i="24" s="1"/>
  <c r="N53" i="24" s="1"/>
  <c r="BO154" i="24"/>
  <c r="BR154" i="24" s="1"/>
  <c r="AM127" i="24"/>
  <c r="H127" i="24"/>
  <c r="I127" i="24"/>
  <c r="M127" i="24" s="1"/>
  <c r="N127" i="24" s="1"/>
  <c r="BO199" i="24"/>
  <c r="BR199" i="24" s="1"/>
  <c r="BN97" i="25"/>
  <c r="BQ97" i="25" s="1"/>
  <c r="I97" i="25"/>
  <c r="I150" i="25"/>
  <c r="BN150" i="25"/>
  <c r="CC32" i="25"/>
  <c r="CF32" i="25"/>
  <c r="CE32" i="25"/>
  <c r="H32" i="25"/>
  <c r="AL32" i="25"/>
  <c r="J32" i="25"/>
  <c r="N32" i="25" s="1"/>
  <c r="BM32" i="25"/>
  <c r="BN99" i="25"/>
  <c r="I99" i="25"/>
  <c r="H49" i="25"/>
  <c r="CF49" i="25"/>
  <c r="CE49" i="25"/>
  <c r="CC49" i="25"/>
  <c r="AL49" i="25"/>
  <c r="BM49" i="25"/>
  <c r="J49" i="25"/>
  <c r="L49" i="25" s="1"/>
  <c r="AM23" i="24"/>
  <c r="K23" i="24"/>
  <c r="H23" i="24"/>
  <c r="I23" i="24"/>
  <c r="BO23" i="24"/>
  <c r="BR23" i="24" s="1"/>
  <c r="CF86" i="24"/>
  <c r="K86" i="24"/>
  <c r="H86" i="24"/>
  <c r="AM86" i="24"/>
  <c r="CE86" i="24"/>
  <c r="I86" i="24"/>
  <c r="M86" i="24" s="1"/>
  <c r="N86" i="24" s="1"/>
  <c r="I224" i="25"/>
  <c r="H183" i="25"/>
  <c r="AL183" i="25"/>
  <c r="CC183" i="25"/>
  <c r="BM183" i="25"/>
  <c r="BQ183" i="25" s="1"/>
  <c r="J183" i="25"/>
  <c r="L183" i="25" s="1"/>
  <c r="H179" i="25"/>
  <c r="AL179" i="25"/>
  <c r="CC179" i="25"/>
  <c r="BM179" i="25"/>
  <c r="BQ179" i="25" s="1"/>
  <c r="BQ168" i="25"/>
  <c r="I246" i="25"/>
  <c r="BN246" i="25"/>
  <c r="BQ246" i="25" s="1"/>
  <c r="H59" i="25"/>
  <c r="AL59" i="25"/>
  <c r="CC59" i="25"/>
  <c r="CE59" i="25"/>
  <c r="CF59" i="25"/>
  <c r="BM59" i="25"/>
  <c r="J59" i="25"/>
  <c r="L59" i="25" s="1"/>
  <c r="I232" i="25"/>
  <c r="BN232" i="25"/>
  <c r="BQ232" i="25" s="1"/>
  <c r="I180" i="25"/>
  <c r="BN180" i="25"/>
  <c r="BQ180" i="25" s="1"/>
  <c r="CC255" i="25"/>
  <c r="H255" i="25"/>
  <c r="AL255" i="25"/>
  <c r="J255" i="25"/>
  <c r="N255" i="25" s="1"/>
  <c r="BM255" i="25"/>
  <c r="I162" i="25"/>
  <c r="BN162" i="25"/>
  <c r="BO135" i="24"/>
  <c r="BR135" i="24" s="1"/>
  <c r="J304" i="25"/>
  <c r="L304" i="25" s="1"/>
  <c r="CC88" i="25"/>
  <c r="AL88" i="25"/>
  <c r="H88" i="25"/>
  <c r="J88" i="25"/>
  <c r="BM88" i="25"/>
  <c r="H161" i="24"/>
  <c r="AM161" i="24"/>
  <c r="I161" i="24"/>
  <c r="K161" i="24" s="1"/>
  <c r="AM303" i="24"/>
  <c r="H303" i="24"/>
  <c r="CE303" i="24"/>
  <c r="CF303" i="24"/>
  <c r="I303" i="24"/>
  <c r="M303" i="24" s="1"/>
  <c r="BO303" i="24"/>
  <c r="BR303" i="24" s="1"/>
  <c r="H10" i="24"/>
  <c r="CF10" i="24"/>
  <c r="CE10" i="24"/>
  <c r="K10" i="24"/>
  <c r="AM10" i="24"/>
  <c r="I10" i="24"/>
  <c r="M10" i="24" s="1"/>
  <c r="AL28" i="25"/>
  <c r="H28" i="25"/>
  <c r="CE28" i="25"/>
  <c r="CF28" i="25"/>
  <c r="CC28" i="25"/>
  <c r="BM28" i="25"/>
  <c r="I154" i="25"/>
  <c r="H197" i="24"/>
  <c r="CF197" i="24"/>
  <c r="CE197" i="24"/>
  <c r="AM197" i="24"/>
  <c r="I197" i="24"/>
  <c r="BO197" i="24"/>
  <c r="BR197" i="24" s="1"/>
  <c r="H149" i="24"/>
  <c r="CF149" i="24"/>
  <c r="CE149" i="24"/>
  <c r="AM149" i="24"/>
  <c r="I149" i="24"/>
  <c r="K149" i="24" s="1"/>
  <c r="BO149" i="24"/>
  <c r="BR149" i="24" s="1"/>
  <c r="H264" i="25"/>
  <c r="AL264" i="25"/>
  <c r="CC264" i="25"/>
  <c r="J264" i="25"/>
  <c r="L264" i="25" s="1"/>
  <c r="BM264" i="25"/>
  <c r="BQ264" i="25" s="1"/>
  <c r="AL313" i="25"/>
  <c r="CC313" i="25"/>
  <c r="H313" i="25"/>
  <c r="J313" i="25"/>
  <c r="L313" i="25" s="1"/>
  <c r="I175" i="25"/>
  <c r="BN175" i="25"/>
  <c r="I142" i="25"/>
  <c r="BN142" i="25"/>
  <c r="I12" i="25"/>
  <c r="BN12" i="25"/>
  <c r="CC294" i="25"/>
  <c r="H294" i="25"/>
  <c r="AL294" i="25"/>
  <c r="J294" i="25"/>
  <c r="BM294" i="25"/>
  <c r="CC224" i="25"/>
  <c r="H224" i="25"/>
  <c r="AL224" i="25"/>
  <c r="J224" i="25"/>
  <c r="L224" i="25" s="1"/>
  <c r="BN103" i="25"/>
  <c r="I103" i="25"/>
  <c r="BN254" i="25"/>
  <c r="CC146" i="25"/>
  <c r="H146" i="25"/>
  <c r="AL146" i="25"/>
  <c r="J146" i="25"/>
  <c r="L146" i="25" s="1"/>
  <c r="BM146" i="25"/>
  <c r="BQ146" i="25" s="1"/>
  <c r="BN291" i="25"/>
  <c r="BN296" i="25"/>
  <c r="I113" i="25"/>
  <c r="BN136" i="25"/>
  <c r="I136" i="25"/>
  <c r="BN56" i="25"/>
  <c r="CC293" i="25"/>
  <c r="H293" i="25"/>
  <c r="AL293" i="25"/>
  <c r="BM293" i="25"/>
  <c r="BN252" i="25"/>
  <c r="I252" i="25"/>
  <c r="CF61" i="25"/>
  <c r="H61" i="25"/>
  <c r="AL61" i="25"/>
  <c r="CC61" i="25"/>
  <c r="CE61" i="25"/>
  <c r="J61" i="25"/>
  <c r="BM61" i="25"/>
  <c r="BN250" i="25"/>
  <c r="I250" i="25"/>
  <c r="AM64" i="24"/>
  <c r="CE64" i="24"/>
  <c r="CF64" i="24"/>
  <c r="K64" i="24"/>
  <c r="H64" i="24"/>
  <c r="BO64" i="24"/>
  <c r="BR64" i="24" s="1"/>
  <c r="I64" i="24"/>
  <c r="AM262" i="24"/>
  <c r="CE262" i="24"/>
  <c r="H262" i="24"/>
  <c r="I262" i="24"/>
  <c r="BO262" i="24"/>
  <c r="BR262" i="24" s="1"/>
  <c r="AM249" i="24"/>
  <c r="H249" i="24"/>
  <c r="CE249" i="24"/>
  <c r="CF249" i="24"/>
  <c r="I249" i="24"/>
  <c r="K249" i="24" s="1"/>
  <c r="BO249" i="24"/>
  <c r="BR249" i="24" s="1"/>
  <c r="CE236" i="24"/>
  <c r="H236" i="24"/>
  <c r="CF236" i="24"/>
  <c r="AM236" i="24"/>
  <c r="BO236" i="24"/>
  <c r="BR236" i="24" s="1"/>
  <c r="I303" i="25"/>
  <c r="BN303" i="25"/>
  <c r="BQ303" i="25" s="1"/>
  <c r="AL7" i="25"/>
  <c r="CC7" i="25"/>
  <c r="H7" i="25"/>
  <c r="CF7" i="25"/>
  <c r="CE7" i="25"/>
  <c r="J7" i="25"/>
  <c r="L7" i="25" s="1"/>
  <c r="BM7" i="25"/>
  <c r="I191" i="25"/>
  <c r="BN191" i="25"/>
  <c r="AL299" i="25"/>
  <c r="CC299" i="25"/>
  <c r="H299" i="25"/>
  <c r="J299" i="25"/>
  <c r="L299" i="25" s="1"/>
  <c r="H27" i="25"/>
  <c r="AL27" i="25"/>
  <c r="CC27" i="25"/>
  <c r="BM27" i="25"/>
  <c r="J27" i="25"/>
  <c r="I284" i="25"/>
  <c r="BN284" i="25"/>
  <c r="CF235" i="24"/>
  <c r="H235" i="24"/>
  <c r="AM235" i="24"/>
  <c r="CE235" i="24"/>
  <c r="I235" i="24"/>
  <c r="CE288" i="24"/>
  <c r="AM288" i="24"/>
  <c r="H288" i="24"/>
  <c r="I288" i="24"/>
  <c r="K288" i="24" s="1"/>
  <c r="BO288" i="24"/>
  <c r="BR288" i="24" s="1"/>
  <c r="CE57" i="24"/>
  <c r="CF57" i="24"/>
  <c r="K57" i="24"/>
  <c r="H57" i="24"/>
  <c r="AM57" i="24"/>
  <c r="I57" i="24"/>
  <c r="BO57" i="24"/>
  <c r="BR57" i="24" s="1"/>
  <c r="CE278" i="24"/>
  <c r="H278" i="24"/>
  <c r="CF278" i="24"/>
  <c r="AM278" i="24"/>
  <c r="I278" i="24"/>
  <c r="K278" i="24" s="1"/>
  <c r="BO278" i="24"/>
  <c r="BR278" i="24" s="1"/>
  <c r="H69" i="25"/>
  <c r="CE69" i="25"/>
  <c r="AL69" i="25"/>
  <c r="CC69" i="25"/>
  <c r="CF69" i="25"/>
  <c r="J69" i="25"/>
  <c r="L69" i="25" s="1"/>
  <c r="K26" i="24"/>
  <c r="CF26" i="24"/>
  <c r="CE26" i="24"/>
  <c r="AM26" i="24"/>
  <c r="H26" i="24"/>
  <c r="I26" i="24"/>
  <c r="I60" i="25"/>
  <c r="BN60" i="25"/>
  <c r="BN313" i="25"/>
  <c r="AL209" i="25"/>
  <c r="CC209" i="25"/>
  <c r="H209" i="25"/>
  <c r="BM209" i="25"/>
  <c r="J209" i="25"/>
  <c r="L209" i="25" s="1"/>
  <c r="H131" i="25"/>
  <c r="AL131" i="25"/>
  <c r="CC131" i="25"/>
  <c r="BM131" i="25"/>
  <c r="CC119" i="25"/>
  <c r="H119" i="25"/>
  <c r="AL119" i="25"/>
  <c r="J119" i="25"/>
  <c r="BM119" i="25"/>
  <c r="BQ119" i="25" s="1"/>
  <c r="AL133" i="25"/>
  <c r="CC133" i="25"/>
  <c r="H133" i="25"/>
  <c r="BM133" i="25"/>
  <c r="J133" i="25"/>
  <c r="L133" i="25" s="1"/>
  <c r="AL41" i="25"/>
  <c r="H41" i="25"/>
  <c r="CC41" i="25"/>
  <c r="CE41" i="25"/>
  <c r="CF41" i="25"/>
  <c r="J41" i="25"/>
  <c r="BM41" i="25"/>
  <c r="BQ41" i="25" s="1"/>
  <c r="AL256" i="25"/>
  <c r="H256" i="25"/>
  <c r="CC256" i="25"/>
  <c r="J256" i="25"/>
  <c r="I19" i="25"/>
  <c r="AL36" i="25"/>
  <c r="CC36" i="25"/>
  <c r="CF36" i="25"/>
  <c r="CE36" i="25"/>
  <c r="H36" i="25"/>
  <c r="BM36" i="25"/>
  <c r="J36" i="25"/>
  <c r="I64" i="25"/>
  <c r="BN64" i="25"/>
  <c r="AL274" i="25"/>
  <c r="CC274" i="25"/>
  <c r="H274" i="25"/>
  <c r="BM274" i="25"/>
  <c r="BQ274" i="25" s="1"/>
  <c r="J274" i="25"/>
  <c r="L274" i="25" s="1"/>
  <c r="H268" i="25"/>
  <c r="AL268" i="25"/>
  <c r="CC268" i="25"/>
  <c r="J268" i="25"/>
  <c r="L268" i="25" s="1"/>
  <c r="BM268" i="25"/>
  <c r="I301" i="25"/>
  <c r="BN301" i="25"/>
  <c r="H308" i="25"/>
  <c r="AL308" i="25"/>
  <c r="CC308" i="25"/>
  <c r="J308" i="25"/>
  <c r="CC286" i="25"/>
  <c r="H286" i="25"/>
  <c r="AL286" i="25"/>
  <c r="J286" i="25"/>
  <c r="BM286" i="25"/>
  <c r="AM178" i="24"/>
  <c r="H178" i="24"/>
  <c r="I178" i="24"/>
  <c r="H217" i="24"/>
  <c r="AM217" i="24"/>
  <c r="CE217" i="24"/>
  <c r="BO217" i="24"/>
  <c r="BR217" i="24" s="1"/>
  <c r="I217" i="24"/>
  <c r="K217" i="24" s="1"/>
  <c r="H221" i="24"/>
  <c r="CF221" i="24"/>
  <c r="AM221" i="24"/>
  <c r="CE221" i="24"/>
  <c r="I221" i="24"/>
  <c r="K221" i="24" s="1"/>
  <c r="BO221" i="24"/>
  <c r="BR221" i="24" s="1"/>
  <c r="CE293" i="24"/>
  <c r="CF293" i="24"/>
  <c r="H293" i="24"/>
  <c r="AM293" i="24"/>
  <c r="BO293" i="24"/>
  <c r="BR293" i="24" s="1"/>
  <c r="I293" i="24"/>
  <c r="K293" i="24" s="1"/>
  <c r="H135" i="25"/>
  <c r="AL135" i="25"/>
  <c r="CC135" i="25"/>
  <c r="J135" i="25"/>
  <c r="L135" i="25" s="1"/>
  <c r="BM135" i="25"/>
  <c r="BQ135" i="25" s="1"/>
  <c r="AL196" i="25"/>
  <c r="CC196" i="25"/>
  <c r="H196" i="25"/>
  <c r="J196" i="25"/>
  <c r="BM196" i="25"/>
  <c r="BQ196" i="25" s="1"/>
  <c r="CC153" i="25"/>
  <c r="H153" i="25"/>
  <c r="AL153" i="25"/>
  <c r="J153" i="25"/>
  <c r="H127" i="25"/>
  <c r="AL127" i="25"/>
  <c r="CC127" i="25"/>
  <c r="BM127" i="25"/>
  <c r="BQ127" i="25" s="1"/>
  <c r="J127" i="25"/>
  <c r="L127" i="25" s="1"/>
  <c r="AL149" i="25"/>
  <c r="CC149" i="25"/>
  <c r="H149" i="25"/>
  <c r="J149" i="25"/>
  <c r="BM149" i="25"/>
  <c r="BQ149" i="25" s="1"/>
  <c r="AL140" i="25"/>
  <c r="CC140" i="25"/>
  <c r="H140" i="25"/>
  <c r="BM140" i="25"/>
  <c r="BQ140" i="25" s="1"/>
  <c r="J140" i="25"/>
  <c r="L140" i="25" s="1"/>
  <c r="H123" i="25"/>
  <c r="AL123" i="25"/>
  <c r="CC123" i="25"/>
  <c r="J123" i="25"/>
  <c r="BM123" i="25"/>
  <c r="BQ123" i="25" s="1"/>
  <c r="H22" i="25"/>
  <c r="AL22" i="25"/>
  <c r="CC22" i="25"/>
  <c r="J22" i="25"/>
  <c r="L22" i="25" s="1"/>
  <c r="BM22" i="25"/>
  <c r="BQ22" i="25" s="1"/>
  <c r="CE24" i="25"/>
  <c r="AL24" i="25"/>
  <c r="H24" i="25"/>
  <c r="CC24" i="25"/>
  <c r="CF24" i="25"/>
  <c r="J24" i="25"/>
  <c r="BM24" i="25"/>
  <c r="BQ24" i="25" s="1"/>
  <c r="CC98" i="25"/>
  <c r="H98" i="25"/>
  <c r="AL98" i="25"/>
  <c r="BM98" i="25"/>
  <c r="BQ98" i="25" s="1"/>
  <c r="J98" i="25"/>
  <c r="CC57" i="25"/>
  <c r="H57" i="25"/>
  <c r="AL57" i="25"/>
  <c r="BM57" i="25"/>
  <c r="BQ57" i="25" s="1"/>
  <c r="J57" i="25"/>
  <c r="L57" i="25" s="1"/>
  <c r="H20" i="25"/>
  <c r="CF20" i="25"/>
  <c r="CE20" i="25"/>
  <c r="CC20" i="25"/>
  <c r="AL20" i="25"/>
  <c r="J20" i="25"/>
  <c r="L20" i="25" s="1"/>
  <c r="BM20" i="25"/>
  <c r="BQ20" i="25" s="1"/>
  <c r="CC91" i="25"/>
  <c r="AL91" i="25"/>
  <c r="CF91" i="25"/>
  <c r="H91" i="25"/>
  <c r="CE91" i="25"/>
  <c r="J91" i="25"/>
  <c r="CC85" i="25"/>
  <c r="H85" i="25"/>
  <c r="CF85" i="25"/>
  <c r="CE85" i="25"/>
  <c r="AL85" i="25"/>
  <c r="J85" i="25"/>
  <c r="BM85" i="25"/>
  <c r="BQ85" i="25" s="1"/>
  <c r="CF48" i="25"/>
  <c r="CE48" i="25"/>
  <c r="H48" i="25"/>
  <c r="AL48" i="25"/>
  <c r="CC48" i="25"/>
  <c r="J48" i="25"/>
  <c r="CE35" i="25"/>
  <c r="CF35" i="25"/>
  <c r="H35" i="25"/>
  <c r="CC35" i="25"/>
  <c r="AL35" i="25"/>
  <c r="BM35" i="25"/>
  <c r="BQ35" i="25" s="1"/>
  <c r="J35" i="25"/>
  <c r="H175" i="24"/>
  <c r="AM175" i="24"/>
  <c r="I175" i="24"/>
  <c r="K95" i="24"/>
  <c r="H95" i="24"/>
  <c r="AM95" i="24"/>
  <c r="CE95" i="24"/>
  <c r="CF95" i="24"/>
  <c r="I95" i="24"/>
  <c r="BO95" i="24"/>
  <c r="BR95" i="24" s="1"/>
  <c r="CE258" i="24"/>
  <c r="H258" i="24"/>
  <c r="CF258" i="24"/>
  <c r="AM258" i="24"/>
  <c r="I258" i="24"/>
  <c r="BO258" i="24"/>
  <c r="BR258" i="24" s="1"/>
  <c r="BM66" i="25"/>
  <c r="BM92" i="25"/>
  <c r="BN222" i="25"/>
  <c r="CC207" i="25"/>
  <c r="AL207" i="25"/>
  <c r="H207" i="25"/>
  <c r="J207" i="25"/>
  <c r="BM207" i="25"/>
  <c r="BQ207" i="25" s="1"/>
  <c r="CC230" i="25"/>
  <c r="H230" i="25"/>
  <c r="AL230" i="25"/>
  <c r="J230" i="25"/>
  <c r="L230" i="25" s="1"/>
  <c r="BM230" i="25"/>
  <c r="BQ230" i="25" s="1"/>
  <c r="BN74" i="25"/>
  <c r="I74" i="25"/>
  <c r="AL62" i="25"/>
  <c r="CC62" i="25"/>
  <c r="H62" i="25"/>
  <c r="BM62" i="25"/>
  <c r="J62" i="25"/>
  <c r="N62" i="25" s="1"/>
  <c r="CF237" i="24"/>
  <c r="AM237" i="24"/>
  <c r="H237" i="24"/>
  <c r="CE237" i="24"/>
  <c r="BO237" i="24"/>
  <c r="BR237" i="24" s="1"/>
  <c r="I237" i="24"/>
  <c r="M237" i="24" s="1"/>
  <c r="N237" i="24" s="1"/>
  <c r="BK162" i="24"/>
  <c r="S162" i="24"/>
  <c r="T162" i="24" s="1"/>
  <c r="M162" i="24"/>
  <c r="N162" i="24" s="1"/>
  <c r="I16" i="25"/>
  <c r="BN16" i="25"/>
  <c r="BQ16" i="25" s="1"/>
  <c r="I50" i="25"/>
  <c r="BM220" i="25"/>
  <c r="BO166" i="24"/>
  <c r="BR166" i="24" s="1"/>
  <c r="BM91" i="25"/>
  <c r="BQ91" i="25" s="1"/>
  <c r="BM103" i="25"/>
  <c r="J87" i="25"/>
  <c r="N87" i="25" s="1"/>
  <c r="AL113" i="25"/>
  <c r="CC113" i="25"/>
  <c r="H113" i="25"/>
  <c r="J113" i="25"/>
  <c r="N113" i="25" s="1"/>
  <c r="BM113" i="25"/>
  <c r="AL225" i="25"/>
  <c r="CC225" i="25"/>
  <c r="H225" i="25"/>
  <c r="BM225" i="25"/>
  <c r="J225" i="25"/>
  <c r="L225" i="25" s="1"/>
  <c r="CC25" i="25"/>
  <c r="AL25" i="25"/>
  <c r="CE25" i="25"/>
  <c r="CF25" i="25"/>
  <c r="H25" i="25"/>
  <c r="BM25" i="25"/>
  <c r="J25" i="25"/>
  <c r="L25" i="25" s="1"/>
  <c r="H310" i="24"/>
  <c r="AM310" i="24"/>
  <c r="I310" i="24"/>
  <c r="M310" i="24" s="1"/>
  <c r="BO310" i="24"/>
  <c r="BR310" i="24" s="1"/>
  <c r="CC97" i="25"/>
  <c r="H97" i="25"/>
  <c r="AL97" i="25"/>
  <c r="J97" i="25"/>
  <c r="L97" i="25" s="1"/>
  <c r="I92" i="25"/>
  <c r="BN92" i="25"/>
  <c r="I155" i="25"/>
  <c r="BN155" i="25"/>
  <c r="H305" i="24"/>
  <c r="AM305" i="24"/>
  <c r="CE305" i="24"/>
  <c r="I305" i="24"/>
  <c r="K305" i="24" s="1"/>
  <c r="BO305" i="24"/>
  <c r="BR305" i="24" s="1"/>
  <c r="H158" i="25"/>
  <c r="AL158" i="25"/>
  <c r="CC158" i="25"/>
  <c r="J158" i="25"/>
  <c r="N158" i="25" s="1"/>
  <c r="H112" i="25"/>
  <c r="CC112" i="25"/>
  <c r="AL112" i="25"/>
  <c r="BM112" i="25"/>
  <c r="J112" i="25"/>
  <c r="L112" i="25" s="1"/>
  <c r="H134" i="25"/>
  <c r="AL134" i="25"/>
  <c r="CC134" i="25"/>
  <c r="J134" i="25"/>
  <c r="L134" i="25" s="1"/>
  <c r="BM134" i="25"/>
  <c r="H258" i="25"/>
  <c r="AL258" i="25"/>
  <c r="CC258" i="25"/>
  <c r="BM258" i="25"/>
  <c r="BQ258" i="25" s="1"/>
  <c r="I216" i="25"/>
  <c r="BN113" i="25"/>
  <c r="BN243" i="25"/>
  <c r="I243" i="25"/>
  <c r="H121" i="25"/>
  <c r="AL121" i="25"/>
  <c r="CC121" i="25"/>
  <c r="J121" i="25"/>
  <c r="L121" i="25" s="1"/>
  <c r="BM121" i="25"/>
  <c r="H47" i="25"/>
  <c r="CF47" i="25"/>
  <c r="CE47" i="25"/>
  <c r="AL47" i="25"/>
  <c r="CC47" i="25"/>
  <c r="J47" i="25"/>
  <c r="BM47" i="25"/>
  <c r="BN316" i="25"/>
  <c r="I316" i="25"/>
  <c r="AL242" i="25"/>
  <c r="CC242" i="25"/>
  <c r="H242" i="25"/>
  <c r="BM242" i="25"/>
  <c r="J242" i="25"/>
  <c r="BN39" i="25"/>
  <c r="I39" i="25"/>
  <c r="H301" i="24"/>
  <c r="AM301" i="24"/>
  <c r="CE301" i="24"/>
  <c r="I301" i="24"/>
  <c r="BO301" i="24"/>
  <c r="BR301" i="24" s="1"/>
  <c r="AM238" i="24"/>
  <c r="H238" i="24"/>
  <c r="I238" i="24"/>
  <c r="M238" i="24" s="1"/>
  <c r="N238" i="24" s="1"/>
  <c r="BO238" i="24"/>
  <c r="BR238" i="24" s="1"/>
  <c r="H193" i="24"/>
  <c r="AM193" i="24"/>
  <c r="I193" i="24"/>
  <c r="M193" i="24" s="1"/>
  <c r="BO193" i="24"/>
  <c r="BR193" i="24" s="1"/>
  <c r="H136" i="24"/>
  <c r="AM136" i="24"/>
  <c r="CF136" i="24"/>
  <c r="CE136" i="24"/>
  <c r="I136" i="24"/>
  <c r="BO136" i="24"/>
  <c r="BR136" i="24" s="1"/>
  <c r="CC50" i="25"/>
  <c r="AL50" i="25"/>
  <c r="H50" i="25"/>
  <c r="CE50" i="25"/>
  <c r="CF50" i="25"/>
  <c r="J50" i="25"/>
  <c r="AL229" i="25"/>
  <c r="CC229" i="25"/>
  <c r="H229" i="25"/>
  <c r="J229" i="25"/>
  <c r="N229" i="25" s="1"/>
  <c r="BM229" i="25"/>
  <c r="BQ229" i="25" s="1"/>
  <c r="I309" i="25"/>
  <c r="BN309" i="25"/>
  <c r="AL181" i="25"/>
  <c r="CC181" i="25"/>
  <c r="H181" i="25"/>
  <c r="BM181" i="25"/>
  <c r="J181" i="25"/>
  <c r="I228" i="25"/>
  <c r="BN228" i="25"/>
  <c r="AL249" i="25"/>
  <c r="CC249" i="25"/>
  <c r="H249" i="25"/>
  <c r="J249" i="25"/>
  <c r="L249" i="25" s="1"/>
  <c r="BM249" i="25"/>
  <c r="BN33" i="25"/>
  <c r="I33" i="25"/>
  <c r="H240" i="25"/>
  <c r="CC240" i="25"/>
  <c r="AL240" i="25"/>
  <c r="J240" i="25"/>
  <c r="N240" i="25" s="1"/>
  <c r="BM240" i="25"/>
  <c r="BQ240" i="25" s="1"/>
  <c r="H203" i="24"/>
  <c r="AM203" i="24"/>
  <c r="I203" i="24"/>
  <c r="K203" i="24" s="1"/>
  <c r="BO203" i="24"/>
  <c r="BR203" i="24" s="1"/>
  <c r="H49" i="24"/>
  <c r="AM49" i="24"/>
  <c r="CF49" i="24"/>
  <c r="CE49" i="24"/>
  <c r="K49" i="24"/>
  <c r="I49" i="24"/>
  <c r="H218" i="24"/>
  <c r="CF218" i="24"/>
  <c r="AM218" i="24"/>
  <c r="I218" i="24"/>
  <c r="M218" i="24" s="1"/>
  <c r="BO218" i="24"/>
  <c r="BR218" i="24" s="1"/>
  <c r="CF227" i="24"/>
  <c r="AM227" i="24"/>
  <c r="CE227" i="24"/>
  <c r="H227" i="24"/>
  <c r="BO227" i="24"/>
  <c r="BR227" i="24" s="1"/>
  <c r="I227" i="24"/>
  <c r="M227" i="24" s="1"/>
  <c r="BM158" i="25"/>
  <c r="AL277" i="25"/>
  <c r="CC277" i="25"/>
  <c r="H277" i="25"/>
  <c r="J277" i="25"/>
  <c r="L277" i="25" s="1"/>
  <c r="H78" i="24"/>
  <c r="AM78" i="24"/>
  <c r="K78" i="24"/>
  <c r="H11" i="24"/>
  <c r="CF11" i="24"/>
  <c r="CE11" i="24"/>
  <c r="AM11" i="24"/>
  <c r="K11" i="24"/>
  <c r="I11" i="24"/>
  <c r="CE183" i="24"/>
  <c r="H183" i="24"/>
  <c r="CF183" i="24"/>
  <c r="AM183" i="24"/>
  <c r="I183" i="24"/>
  <c r="H235" i="25"/>
  <c r="AL235" i="25"/>
  <c r="CC235" i="25"/>
  <c r="J235" i="25"/>
  <c r="L235" i="25" s="1"/>
  <c r="BM235" i="25"/>
  <c r="AL304" i="25"/>
  <c r="CC304" i="25"/>
  <c r="H304" i="25"/>
  <c r="I234" i="25"/>
  <c r="BN234" i="25"/>
  <c r="AL289" i="25"/>
  <c r="CC289" i="25"/>
  <c r="H289" i="25"/>
  <c r="BM289" i="25"/>
  <c r="J289" i="25"/>
  <c r="I184" i="25"/>
  <c r="BN184" i="25"/>
  <c r="AL101" i="25"/>
  <c r="CC101" i="25"/>
  <c r="H101" i="25"/>
  <c r="J101" i="25"/>
  <c r="BM101" i="25"/>
  <c r="H45" i="25"/>
  <c r="AL45" i="25"/>
  <c r="CC45" i="25"/>
  <c r="J45" i="25"/>
  <c r="L45" i="25" s="1"/>
  <c r="H306" i="24"/>
  <c r="AM306" i="24"/>
  <c r="I306" i="24"/>
  <c r="M306" i="24" s="1"/>
  <c r="H220" i="24"/>
  <c r="CE220" i="24"/>
  <c r="CF220" i="24"/>
  <c r="AM220" i="24"/>
  <c r="BO220" i="24"/>
  <c r="BR220" i="24" s="1"/>
  <c r="I220" i="24"/>
  <c r="K220" i="24" s="1"/>
  <c r="AM156" i="24"/>
  <c r="H156" i="24"/>
  <c r="I156" i="24"/>
  <c r="BO156" i="24"/>
  <c r="BR156" i="24" s="1"/>
  <c r="CE300" i="24"/>
  <c r="CF300" i="24"/>
  <c r="H300" i="24"/>
  <c r="AM300" i="24"/>
  <c r="I300" i="24"/>
  <c r="BO300" i="24"/>
  <c r="BR300" i="24" s="1"/>
  <c r="CF42" i="24"/>
  <c r="AM42" i="24"/>
  <c r="CE42" i="24"/>
  <c r="K42" i="24"/>
  <c r="H42" i="24"/>
  <c r="I42" i="24"/>
  <c r="AM311" i="24"/>
  <c r="H311" i="24"/>
  <c r="CE311" i="24"/>
  <c r="I311" i="24"/>
  <c r="K311" i="24" s="1"/>
  <c r="H80" i="25"/>
  <c r="CC80" i="25"/>
  <c r="AL80" i="25"/>
  <c r="J80" i="25"/>
  <c r="L80" i="25" s="1"/>
  <c r="AL311" i="25"/>
  <c r="CC311" i="25"/>
  <c r="H311" i="25"/>
  <c r="J311" i="25"/>
  <c r="L311" i="25" s="1"/>
  <c r="BM311" i="25"/>
  <c r="AL307" i="25"/>
  <c r="CC307" i="25"/>
  <c r="H307" i="25"/>
  <c r="J307" i="25"/>
  <c r="BM307" i="25"/>
  <c r="CE308" i="24"/>
  <c r="AM308" i="24"/>
  <c r="H308" i="24"/>
  <c r="I308" i="24"/>
  <c r="K308" i="24" s="1"/>
  <c r="BO308" i="24"/>
  <c r="BR308" i="24" s="1"/>
  <c r="AM271" i="24"/>
  <c r="H271" i="24"/>
  <c r="CE271" i="24"/>
  <c r="BO271" i="24"/>
  <c r="BR271" i="24" s="1"/>
  <c r="I271" i="24"/>
  <c r="M271" i="24" s="1"/>
  <c r="N271" i="24" s="1"/>
  <c r="AM181" i="24"/>
  <c r="CF181" i="24"/>
  <c r="H181" i="24"/>
  <c r="CE181" i="24"/>
  <c r="I181" i="24"/>
  <c r="M181" i="24" s="1"/>
  <c r="N181" i="24" s="1"/>
  <c r="CE58" i="24"/>
  <c r="K58" i="24"/>
  <c r="H58" i="24"/>
  <c r="AM58" i="24"/>
  <c r="CF58" i="24"/>
  <c r="I58" i="24"/>
  <c r="K84" i="24"/>
  <c r="H84" i="24"/>
  <c r="AM84" i="24"/>
  <c r="BO84" i="24"/>
  <c r="BR84" i="24" s="1"/>
  <c r="I84" i="24"/>
  <c r="K51" i="24"/>
  <c r="AM51" i="24"/>
  <c r="H51" i="24"/>
  <c r="CF51" i="24"/>
  <c r="CE51" i="24"/>
  <c r="I51" i="24"/>
  <c r="BO51" i="24"/>
  <c r="BR51" i="24" s="1"/>
  <c r="K43" i="24"/>
  <c r="H43" i="24"/>
  <c r="AM43" i="24"/>
  <c r="CE43" i="24"/>
  <c r="CF43" i="24"/>
  <c r="I43" i="24"/>
  <c r="M43" i="24" s="1"/>
  <c r="N43" i="24" s="1"/>
  <c r="BO43" i="24"/>
  <c r="BR43" i="24" s="1"/>
  <c r="I158" i="25"/>
  <c r="AL115" i="25"/>
  <c r="H115" i="25"/>
  <c r="CC115" i="25"/>
  <c r="J115" i="25"/>
  <c r="BM115" i="25"/>
  <c r="BQ115" i="25" s="1"/>
  <c r="BN7" i="25"/>
  <c r="CF44" i="24"/>
  <c r="K44" i="24"/>
  <c r="H44" i="24"/>
  <c r="AM44" i="24"/>
  <c r="CE44" i="24"/>
  <c r="M44" i="24"/>
  <c r="N44" i="24" s="1"/>
  <c r="BO44" i="24"/>
  <c r="BR44" i="24" s="1"/>
  <c r="AL31" i="25"/>
  <c r="CC31" i="25"/>
  <c r="CE31" i="25"/>
  <c r="CF31" i="25"/>
  <c r="H31" i="25"/>
  <c r="J31" i="25"/>
  <c r="N31" i="25" s="1"/>
  <c r="BM31" i="25"/>
  <c r="CF115" i="24"/>
  <c r="CE115" i="24"/>
  <c r="AM115" i="24"/>
  <c r="H115" i="24"/>
  <c r="I115" i="24"/>
  <c r="BO115" i="24"/>
  <c r="BR115" i="24" s="1"/>
  <c r="BK191" i="24"/>
  <c r="S191" i="24"/>
  <c r="T191" i="24" s="1"/>
  <c r="M191" i="24"/>
  <c r="N191" i="24" s="1"/>
  <c r="CE246" i="24"/>
  <c r="CF246" i="24"/>
  <c r="H246" i="24"/>
  <c r="AM246" i="24"/>
  <c r="I246" i="24"/>
  <c r="BO246" i="24"/>
  <c r="BR246" i="24" s="1"/>
  <c r="I229" i="25"/>
  <c r="BK101" i="24"/>
  <c r="S101" i="24"/>
  <c r="T101" i="24" s="1"/>
  <c r="BK292" i="24"/>
  <c r="S292" i="24"/>
  <c r="T292" i="24" s="1"/>
  <c r="M292" i="24"/>
  <c r="N292" i="24" s="1"/>
  <c r="BN289" i="25"/>
  <c r="BN19" i="25"/>
  <c r="BN154" i="25"/>
  <c r="BN61" i="25"/>
  <c r="BM313" i="25"/>
  <c r="BM308" i="25"/>
  <c r="BM128" i="25"/>
  <c r="BQ128" i="25" s="1"/>
  <c r="BM174" i="25"/>
  <c r="BO128" i="24"/>
  <c r="BR128" i="24" s="1"/>
  <c r="I151" i="24"/>
  <c r="K151" i="24" s="1"/>
  <c r="H102" i="25"/>
  <c r="AL102" i="25"/>
  <c r="CC102" i="25"/>
  <c r="J102" i="25"/>
  <c r="BM102" i="25"/>
  <c r="AL254" i="25"/>
  <c r="CC254" i="25"/>
  <c r="H254" i="25"/>
  <c r="BM254" i="25"/>
  <c r="J254" i="25"/>
  <c r="L254" i="25" s="1"/>
  <c r="H161" i="25"/>
  <c r="AL161" i="25"/>
  <c r="CC161" i="25"/>
  <c r="J161" i="25"/>
  <c r="N161" i="25" s="1"/>
  <c r="BM161" i="25"/>
  <c r="AL86" i="25"/>
  <c r="H86" i="25"/>
  <c r="CC86" i="25"/>
  <c r="BM86" i="25"/>
  <c r="J86" i="25"/>
  <c r="BN170" i="25"/>
  <c r="I170" i="25"/>
  <c r="AM35" i="24"/>
  <c r="CF35" i="24"/>
  <c r="CE35" i="24"/>
  <c r="K35" i="24"/>
  <c r="H35" i="24"/>
  <c r="I35" i="24"/>
  <c r="BO35" i="24"/>
  <c r="BR35" i="24" s="1"/>
  <c r="AL10" i="25"/>
  <c r="H10" i="25"/>
  <c r="CC10" i="25"/>
  <c r="J10" i="25"/>
  <c r="L10" i="25" s="1"/>
  <c r="H147" i="25"/>
  <c r="AL147" i="25"/>
  <c r="CC147" i="25"/>
  <c r="J147" i="25"/>
  <c r="N147" i="25" s="1"/>
  <c r="BM147" i="25"/>
  <c r="AL220" i="25"/>
  <c r="CC220" i="25"/>
  <c r="H220" i="25"/>
  <c r="J220" i="25"/>
  <c r="L220" i="25" s="1"/>
  <c r="CC144" i="25"/>
  <c r="AL144" i="25"/>
  <c r="H144" i="25"/>
  <c r="BM144" i="25"/>
  <c r="J144" i="25"/>
  <c r="AL148" i="25"/>
  <c r="H148" i="25"/>
  <c r="CC148" i="25"/>
  <c r="J148" i="25"/>
  <c r="N148" i="25" s="1"/>
  <c r="BM148" i="25"/>
  <c r="AL292" i="25"/>
  <c r="CC292" i="25"/>
  <c r="H292" i="25"/>
  <c r="J292" i="25"/>
  <c r="N292" i="25" s="1"/>
  <c r="BN124" i="25"/>
  <c r="I124" i="25"/>
  <c r="BN89" i="25"/>
  <c r="I89" i="25"/>
  <c r="H247" i="25"/>
  <c r="AL247" i="25"/>
  <c r="CC247" i="25"/>
  <c r="J247" i="25"/>
  <c r="N247" i="25" s="1"/>
  <c r="BN272" i="25"/>
  <c r="I272" i="25"/>
  <c r="H66" i="25"/>
  <c r="AL66" i="25"/>
  <c r="CC66" i="25"/>
  <c r="CF66" i="25"/>
  <c r="CE66" i="25"/>
  <c r="J66" i="25"/>
  <c r="L66" i="25" s="1"/>
  <c r="CF153" i="24"/>
  <c r="AM153" i="24"/>
  <c r="H153" i="24"/>
  <c r="CE153" i="24"/>
  <c r="I153" i="24"/>
  <c r="K153" i="24" s="1"/>
  <c r="BO153" i="24"/>
  <c r="BR153" i="24" s="1"/>
  <c r="CE234" i="24"/>
  <c r="H234" i="24"/>
  <c r="CF234" i="24"/>
  <c r="AM234" i="24"/>
  <c r="I234" i="24"/>
  <c r="M234" i="24" s="1"/>
  <c r="BO234" i="24"/>
  <c r="BR234" i="24" s="1"/>
  <c r="CE279" i="24"/>
  <c r="AM279" i="24"/>
  <c r="H279" i="24"/>
  <c r="I279" i="24"/>
  <c r="M279" i="24" s="1"/>
  <c r="BO279" i="24"/>
  <c r="BR279" i="24" s="1"/>
  <c r="AM98" i="24"/>
  <c r="K98" i="24"/>
  <c r="H98" i="24"/>
  <c r="I98" i="24"/>
  <c r="AM85" i="24"/>
  <c r="CF85" i="24"/>
  <c r="CE85" i="24"/>
  <c r="K85" i="24"/>
  <c r="H85" i="24"/>
  <c r="BO85" i="24"/>
  <c r="BR85" i="24" s="1"/>
  <c r="K59" i="24"/>
  <c r="AM59" i="24"/>
  <c r="H59" i="24"/>
  <c r="CF59" i="24"/>
  <c r="CE59" i="24"/>
  <c r="I59" i="24"/>
  <c r="I78" i="25"/>
  <c r="BN78" i="25"/>
  <c r="CC173" i="25"/>
  <c r="H173" i="25"/>
  <c r="AL173" i="25"/>
  <c r="J173" i="25"/>
  <c r="N173" i="25" s="1"/>
  <c r="BM173" i="25"/>
  <c r="I172" i="25"/>
  <c r="BN172" i="25"/>
  <c r="H65" i="25"/>
  <c r="AL65" i="25"/>
  <c r="CC65" i="25"/>
  <c r="BM65" i="25"/>
  <c r="J65" i="25"/>
  <c r="L65" i="25" s="1"/>
  <c r="I261" i="25"/>
  <c r="BN261" i="25"/>
  <c r="AL251" i="25"/>
  <c r="CC251" i="25"/>
  <c r="H251" i="25"/>
  <c r="J251" i="25"/>
  <c r="L251" i="25" s="1"/>
  <c r="AM297" i="24"/>
  <c r="H297" i="24"/>
  <c r="I297" i="24"/>
  <c r="BO297" i="24"/>
  <c r="BR297" i="24" s="1"/>
  <c r="AM40" i="24"/>
  <c r="K40" i="24"/>
  <c r="H40" i="24"/>
  <c r="CE40" i="24"/>
  <c r="CF40" i="24"/>
  <c r="BO40" i="24"/>
  <c r="BR40" i="24" s="1"/>
  <c r="I40" i="24"/>
  <c r="M40" i="24" s="1"/>
  <c r="H294" i="24"/>
  <c r="CE294" i="24"/>
  <c r="CF294" i="24"/>
  <c r="AM294" i="24"/>
  <c r="BO294" i="24"/>
  <c r="BR294" i="24" s="1"/>
  <c r="CF287" i="24"/>
  <c r="AM287" i="24"/>
  <c r="H287" i="24"/>
  <c r="I287" i="24"/>
  <c r="M287" i="24" s="1"/>
  <c r="BO287" i="24"/>
  <c r="BR287" i="24" s="1"/>
  <c r="CE226" i="24"/>
  <c r="CF226" i="24"/>
  <c r="AM226" i="24"/>
  <c r="H226" i="24"/>
  <c r="I226" i="24"/>
  <c r="M226" i="24" s="1"/>
  <c r="BO226" i="24"/>
  <c r="BR226" i="24" s="1"/>
  <c r="BO10" i="24"/>
  <c r="BR10" i="24" s="1"/>
  <c r="BO9" i="24"/>
  <c r="BR9" i="24" s="1"/>
  <c r="I201" i="25"/>
  <c r="BN201" i="25"/>
  <c r="AL167" i="25"/>
  <c r="CC167" i="25"/>
  <c r="H167" i="25"/>
  <c r="J167" i="25"/>
  <c r="N167" i="25" s="1"/>
  <c r="BM167" i="25"/>
  <c r="I166" i="25"/>
  <c r="BN166" i="25"/>
  <c r="H55" i="25"/>
  <c r="AL55" i="25"/>
  <c r="CC55" i="25"/>
  <c r="J55" i="25"/>
  <c r="BM55" i="25"/>
  <c r="I285" i="25"/>
  <c r="BN285" i="25"/>
  <c r="H306" i="25"/>
  <c r="AL306" i="25"/>
  <c r="CC306" i="25"/>
  <c r="J306" i="25"/>
  <c r="N306" i="25" s="1"/>
  <c r="BM306" i="25"/>
  <c r="I90" i="25"/>
  <c r="BN90" i="25"/>
  <c r="H263" i="25"/>
  <c r="AL263" i="25"/>
  <c r="CC263" i="25"/>
  <c r="J263" i="25"/>
  <c r="BM263" i="25"/>
  <c r="I314" i="25"/>
  <c r="BN314" i="25"/>
  <c r="H283" i="25"/>
  <c r="CC283" i="25"/>
  <c r="AL283" i="25"/>
  <c r="J283" i="25"/>
  <c r="N283" i="25" s="1"/>
  <c r="BM283" i="25"/>
  <c r="AL276" i="25"/>
  <c r="CC276" i="25"/>
  <c r="H276" i="25"/>
  <c r="J276" i="25"/>
  <c r="N276" i="25" s="1"/>
  <c r="BM276" i="25"/>
  <c r="H208" i="24"/>
  <c r="AM208" i="24"/>
  <c r="I208" i="24"/>
  <c r="BO208" i="24"/>
  <c r="BR208" i="24" s="1"/>
  <c r="CE8" i="24"/>
  <c r="H8" i="24"/>
  <c r="CF8" i="24"/>
  <c r="AM8" i="24"/>
  <c r="K8" i="24"/>
  <c r="I8" i="24"/>
  <c r="BO8" i="24"/>
  <c r="BR8" i="24" s="1"/>
  <c r="CE13" i="24"/>
  <c r="AM13" i="24"/>
  <c r="K13" i="24"/>
  <c r="H13" i="24"/>
  <c r="CF13" i="24"/>
  <c r="BO13" i="24"/>
  <c r="BR13" i="24" s="1"/>
  <c r="I13" i="24"/>
  <c r="AM200" i="24"/>
  <c r="H200" i="24"/>
  <c r="I200" i="24"/>
  <c r="M200" i="24" s="1"/>
  <c r="BO200" i="24"/>
  <c r="BR200" i="24" s="1"/>
  <c r="AM81" i="24"/>
  <c r="K81" i="24"/>
  <c r="H81" i="24"/>
  <c r="I81" i="24"/>
  <c r="AM150" i="24"/>
  <c r="H150" i="24"/>
  <c r="I150" i="24"/>
  <c r="M150" i="24" s="1"/>
  <c r="N150" i="24" s="1"/>
  <c r="AM284" i="24"/>
  <c r="H284" i="24"/>
  <c r="I284" i="24"/>
  <c r="H117" i="25"/>
  <c r="AL117" i="25"/>
  <c r="CC117" i="25"/>
  <c r="BM117" i="25"/>
  <c r="CC290" i="25"/>
  <c r="H290" i="25"/>
  <c r="AL290" i="25"/>
  <c r="J290" i="25"/>
  <c r="BM290" i="25"/>
  <c r="BQ290" i="25" s="1"/>
  <c r="K87" i="24"/>
  <c r="H87" i="24"/>
  <c r="AM87" i="24"/>
  <c r="I87" i="24"/>
  <c r="BO87" i="24"/>
  <c r="BR87" i="24" s="1"/>
  <c r="H187" i="24"/>
  <c r="CF187" i="24"/>
  <c r="CE187" i="24"/>
  <c r="AM187" i="24"/>
  <c r="I187" i="24"/>
  <c r="K187" i="24" s="1"/>
  <c r="BO187" i="24"/>
  <c r="BR187" i="24" s="1"/>
  <c r="H200" i="25"/>
  <c r="CC200" i="25"/>
  <c r="AL200" i="25"/>
  <c r="BM200" i="25"/>
  <c r="BQ200" i="25" s="1"/>
  <c r="J200" i="25"/>
  <c r="L200" i="25" s="1"/>
  <c r="AL198" i="25"/>
  <c r="CC198" i="25"/>
  <c r="H198" i="25"/>
  <c r="J198" i="25"/>
  <c r="N198" i="25" s="1"/>
  <c r="BM198" i="25"/>
  <c r="BK119" i="24"/>
  <c r="S119" i="24"/>
  <c r="T119" i="24" s="1"/>
  <c r="M119" i="24"/>
  <c r="N119" i="24" s="1"/>
  <c r="CE159" i="24"/>
  <c r="H159" i="24"/>
  <c r="AM159" i="24"/>
  <c r="CF159" i="24"/>
  <c r="I159" i="24"/>
  <c r="BO159" i="24"/>
  <c r="BR159" i="24" s="1"/>
  <c r="H188" i="24"/>
  <c r="CE188" i="24"/>
  <c r="AM188" i="24"/>
  <c r="CF188" i="24"/>
  <c r="BO188" i="24"/>
  <c r="BR188" i="24" s="1"/>
  <c r="I188" i="24"/>
  <c r="M188" i="24" s="1"/>
  <c r="N188" i="24" s="1"/>
  <c r="BN144" i="25"/>
  <c r="I71" i="25"/>
  <c r="BN71" i="25"/>
  <c r="AM263" i="24"/>
  <c r="CE263" i="24"/>
  <c r="H263" i="24"/>
  <c r="BO263" i="24"/>
  <c r="BR263" i="24" s="1"/>
  <c r="K104" i="24"/>
  <c r="H104" i="24"/>
  <c r="AM104" i="24"/>
  <c r="I104" i="24"/>
  <c r="BO104" i="24"/>
  <c r="BR104" i="24" s="1"/>
  <c r="I10" i="25"/>
  <c r="BN281" i="25"/>
  <c r="I122" i="25"/>
  <c r="BN122" i="25"/>
  <c r="BM304" i="25"/>
  <c r="BM153" i="25"/>
  <c r="BQ153" i="25" s="1"/>
  <c r="BO248" i="24"/>
  <c r="BR248" i="24" s="1"/>
  <c r="J117" i="25"/>
  <c r="L117" i="25" s="1"/>
  <c r="J15" i="25"/>
  <c r="L15" i="25" s="1"/>
  <c r="I25" i="24"/>
  <c r="M25" i="24" s="1"/>
  <c r="N25" i="24" s="1"/>
  <c r="I112" i="24"/>
  <c r="I263" i="24"/>
  <c r="J171" i="25"/>
  <c r="L171" i="25" s="1"/>
  <c r="I102" i="25"/>
  <c r="BN102" i="25"/>
  <c r="I262" i="25"/>
  <c r="BN262" i="25"/>
  <c r="BQ262" i="25" s="1"/>
  <c r="BN86" i="25"/>
  <c r="I86" i="25"/>
  <c r="AL281" i="25"/>
  <c r="CC281" i="25"/>
  <c r="H281" i="25"/>
  <c r="BM281" i="25"/>
  <c r="J281" i="25"/>
  <c r="L281" i="25" s="1"/>
  <c r="BN25" i="25"/>
  <c r="I25" i="25"/>
  <c r="H144" i="24"/>
  <c r="CF144" i="24"/>
  <c r="CE144" i="24"/>
  <c r="AM144" i="24"/>
  <c r="I144" i="24"/>
  <c r="BO144" i="24"/>
  <c r="BR144" i="24" s="1"/>
  <c r="H92" i="25"/>
  <c r="AL92" i="25"/>
  <c r="CC92" i="25"/>
  <c r="J92" i="25"/>
  <c r="N92" i="25" s="1"/>
  <c r="AM222" i="24"/>
  <c r="H222" i="24"/>
  <c r="CE222" i="24"/>
  <c r="CF222" i="24"/>
  <c r="I222" i="24"/>
  <c r="BO222" i="24"/>
  <c r="BR222" i="24" s="1"/>
  <c r="H154" i="24"/>
  <c r="CF154" i="24"/>
  <c r="CE154" i="24"/>
  <c r="AM154" i="24"/>
  <c r="I154" i="24"/>
  <c r="CC238" i="25"/>
  <c r="H238" i="25"/>
  <c r="AL238" i="25"/>
  <c r="J238" i="25"/>
  <c r="N238" i="25" s="1"/>
  <c r="BM238" i="25"/>
  <c r="H175" i="25"/>
  <c r="AL175" i="25"/>
  <c r="CC175" i="25"/>
  <c r="BM175" i="25"/>
  <c r="J175" i="25"/>
  <c r="CC142" i="25"/>
  <c r="H142" i="25"/>
  <c r="AL142" i="25"/>
  <c r="BM142" i="25"/>
  <c r="J142" i="25"/>
  <c r="L142" i="25" s="1"/>
  <c r="I14" i="25"/>
  <c r="BN14" i="25"/>
  <c r="AL12" i="25"/>
  <c r="CC12" i="25"/>
  <c r="H12" i="25"/>
  <c r="CF12" i="25"/>
  <c r="CE12" i="25"/>
  <c r="J12" i="25"/>
  <c r="L12" i="25" s="1"/>
  <c r="BM12" i="25"/>
  <c r="CE231" i="24"/>
  <c r="CF231" i="24"/>
  <c r="H231" i="24"/>
  <c r="AM231" i="24"/>
  <c r="I231" i="24"/>
  <c r="M231" i="24" s="1"/>
  <c r="BO231" i="24"/>
  <c r="BR231" i="24" s="1"/>
  <c r="AM27" i="24"/>
  <c r="CF27" i="24"/>
  <c r="K27" i="24"/>
  <c r="CE27" i="24"/>
  <c r="H27" i="24"/>
  <c r="I27" i="24"/>
  <c r="M27" i="24" s="1"/>
  <c r="N27" i="24" s="1"/>
  <c r="BO27" i="24"/>
  <c r="BR27" i="24" s="1"/>
  <c r="AM245" i="24"/>
  <c r="H245" i="24"/>
  <c r="CE245" i="24"/>
  <c r="I245" i="24"/>
  <c r="AM34" i="24"/>
  <c r="CE34" i="24"/>
  <c r="CF34" i="24"/>
  <c r="K34" i="24"/>
  <c r="H34" i="24"/>
  <c r="BO34" i="24"/>
  <c r="BR34" i="24" s="1"/>
  <c r="I34" i="24"/>
  <c r="AM92" i="24"/>
  <c r="K92" i="24"/>
  <c r="H92" i="24"/>
  <c r="BO92" i="24"/>
  <c r="BR92" i="24" s="1"/>
  <c r="I92" i="24"/>
  <c r="AL87" i="25"/>
  <c r="CF87" i="25"/>
  <c r="CE87" i="25"/>
  <c r="H87" i="25"/>
  <c r="CC87" i="25"/>
  <c r="AL82" i="25"/>
  <c r="CC82" i="25"/>
  <c r="H82" i="25"/>
  <c r="J82" i="25"/>
  <c r="N82" i="25" s="1"/>
  <c r="H150" i="25"/>
  <c r="AL150" i="25"/>
  <c r="CC150" i="25"/>
  <c r="BM150" i="25"/>
  <c r="J150" i="25"/>
  <c r="L150" i="25" s="1"/>
  <c r="BN32" i="25"/>
  <c r="I32" i="25"/>
  <c r="H99" i="25"/>
  <c r="AL99" i="25"/>
  <c r="CC99" i="25"/>
  <c r="CF99" i="25"/>
  <c r="CE99" i="25"/>
  <c r="J99" i="25"/>
  <c r="L99" i="25" s="1"/>
  <c r="BM99" i="25"/>
  <c r="I49" i="25"/>
  <c r="BN49" i="25"/>
  <c r="H297" i="25"/>
  <c r="AL297" i="25"/>
  <c r="CC297" i="25"/>
  <c r="J297" i="25"/>
  <c r="BM297" i="25"/>
  <c r="H269" i="24"/>
  <c r="AM269" i="24"/>
  <c r="CE269" i="24"/>
  <c r="I269" i="24"/>
  <c r="BO269" i="24"/>
  <c r="BR269" i="24" s="1"/>
  <c r="AM182" i="24"/>
  <c r="H182" i="24"/>
  <c r="I182" i="24"/>
  <c r="M182" i="24" s="1"/>
  <c r="N182" i="24" s="1"/>
  <c r="BO182" i="24"/>
  <c r="BR182" i="24" s="1"/>
  <c r="H76" i="24"/>
  <c r="CE76" i="24"/>
  <c r="CF76" i="24"/>
  <c r="AM76" i="24"/>
  <c r="K76" i="24"/>
  <c r="I76" i="24"/>
  <c r="M76" i="24" s="1"/>
  <c r="N76" i="24" s="1"/>
  <c r="BO76" i="24"/>
  <c r="BR76" i="24" s="1"/>
  <c r="K16" i="24"/>
  <c r="H16" i="24"/>
  <c r="AM16" i="24"/>
  <c r="CF16" i="24"/>
  <c r="CE16" i="24"/>
  <c r="I16" i="24"/>
  <c r="M16" i="24" s="1"/>
  <c r="BO16" i="24"/>
  <c r="BR16" i="24" s="1"/>
  <c r="H141" i="24"/>
  <c r="CF141" i="24"/>
  <c r="CE141" i="24"/>
  <c r="AM141" i="24"/>
  <c r="I141" i="24"/>
  <c r="K141" i="24" s="1"/>
  <c r="BO141" i="24"/>
  <c r="BR141" i="24" s="1"/>
  <c r="CF164" i="24"/>
  <c r="CE164" i="24"/>
  <c r="AM164" i="24"/>
  <c r="H164" i="24"/>
  <c r="I164" i="24"/>
  <c r="K164" i="24" s="1"/>
  <c r="K73" i="24"/>
  <c r="H73" i="24"/>
  <c r="AM73" i="24"/>
  <c r="I73" i="24"/>
  <c r="BO73" i="24"/>
  <c r="BR73" i="24" s="1"/>
  <c r="BM247" i="25"/>
  <c r="BQ247" i="25" s="1"/>
  <c r="CC130" i="25"/>
  <c r="AL130" i="25"/>
  <c r="H130" i="25"/>
  <c r="J130" i="25"/>
  <c r="L130" i="25" s="1"/>
  <c r="BM130" i="25"/>
  <c r="BQ130" i="25" s="1"/>
  <c r="H197" i="25"/>
  <c r="AL197" i="25"/>
  <c r="CC197" i="25"/>
  <c r="J197" i="25"/>
  <c r="BM197" i="25"/>
  <c r="BQ197" i="25" s="1"/>
  <c r="H104" i="25"/>
  <c r="AL104" i="25"/>
  <c r="CC104" i="25"/>
  <c r="BM104" i="25"/>
  <c r="H219" i="25"/>
  <c r="AL219" i="25"/>
  <c r="CC219" i="25"/>
  <c r="J219" i="25"/>
  <c r="L219" i="25" s="1"/>
  <c r="BM219" i="25"/>
  <c r="BN73" i="25"/>
  <c r="I73" i="25"/>
  <c r="AL271" i="25"/>
  <c r="H271" i="25"/>
  <c r="CC271" i="25"/>
  <c r="BM271" i="25"/>
  <c r="J271" i="25"/>
  <c r="L271" i="25" s="1"/>
  <c r="H137" i="24"/>
  <c r="AM137" i="24"/>
  <c r="BO137" i="24"/>
  <c r="BR137" i="24" s="1"/>
  <c r="I137" i="24"/>
  <c r="K137" i="24" s="1"/>
  <c r="H265" i="25"/>
  <c r="AL265" i="25"/>
  <c r="CC265" i="25"/>
  <c r="BM265" i="25"/>
  <c r="BK7" i="24"/>
  <c r="S7" i="24"/>
  <c r="T7" i="24" s="1"/>
  <c r="BK190" i="24"/>
  <c r="S190" i="24"/>
  <c r="T190" i="24" s="1"/>
  <c r="BO161" i="24"/>
  <c r="BR161" i="24" s="1"/>
  <c r="I226" i="25"/>
  <c r="BN226" i="25"/>
  <c r="I217" i="25"/>
  <c r="CF253" i="24"/>
  <c r="AM253" i="24"/>
  <c r="H253" i="24"/>
  <c r="CE253" i="24"/>
  <c r="I253" i="24"/>
  <c r="K253" i="24" s="1"/>
  <c r="BO253" i="24"/>
  <c r="BR253" i="24" s="1"/>
  <c r="H157" i="24"/>
  <c r="AM157" i="24"/>
  <c r="I157" i="24"/>
  <c r="K157" i="24" s="1"/>
  <c r="BO157" i="24"/>
  <c r="BR157" i="24" s="1"/>
  <c r="I264" i="25"/>
  <c r="BO306" i="24"/>
  <c r="BR306" i="24" s="1"/>
  <c r="J126" i="25"/>
  <c r="J174" i="25"/>
  <c r="N174" i="25" s="1"/>
  <c r="J73" i="25"/>
  <c r="L73" i="25" s="1"/>
  <c r="AM179" i="24"/>
  <c r="H179" i="24"/>
  <c r="H309" i="24"/>
  <c r="CE309" i="24"/>
  <c r="AM309" i="24"/>
  <c r="I309" i="24"/>
  <c r="K309" i="24" s="1"/>
  <c r="H232" i="24"/>
  <c r="AM232" i="24"/>
  <c r="CE232" i="24"/>
  <c r="I232" i="24"/>
  <c r="K232" i="24" s="1"/>
  <c r="CF304" i="24"/>
  <c r="AM304" i="24"/>
  <c r="H304" i="24"/>
  <c r="I304" i="24"/>
  <c r="K304" i="24" s="1"/>
  <c r="AL30" i="25"/>
  <c r="CC30" i="25"/>
  <c r="H30" i="25"/>
  <c r="J30" i="25"/>
  <c r="N30" i="25" s="1"/>
  <c r="H300" i="25"/>
  <c r="CC300" i="25"/>
  <c r="AL300" i="25"/>
  <c r="H266" i="25"/>
  <c r="AL266" i="25"/>
  <c r="CC266" i="25"/>
  <c r="CF176" i="24"/>
  <c r="CE176" i="24"/>
  <c r="AM176" i="24"/>
  <c r="H176" i="24"/>
  <c r="AM118" i="24"/>
  <c r="H118" i="24"/>
  <c r="H117" i="24"/>
  <c r="AM117" i="24"/>
  <c r="I117" i="24"/>
  <c r="AM12" i="24"/>
  <c r="K12" i="24"/>
  <c r="CE12" i="24"/>
  <c r="H12" i="24"/>
  <c r="CF12" i="24"/>
  <c r="CE266" i="24"/>
  <c r="CF266" i="24"/>
  <c r="H266" i="24"/>
  <c r="AM266" i="24"/>
  <c r="I266" i="24"/>
  <c r="K266" i="24" s="1"/>
  <c r="H225" i="24"/>
  <c r="AM225" i="24"/>
  <c r="I225" i="24"/>
  <c r="M225" i="24" s="1"/>
  <c r="N225" i="24" s="1"/>
  <c r="AM286" i="24"/>
  <c r="H286" i="24"/>
  <c r="CE286" i="24"/>
  <c r="I286" i="24"/>
  <c r="K286" i="24" s="1"/>
  <c r="AM41" i="24"/>
  <c r="CF41" i="24"/>
  <c r="CE41" i="24"/>
  <c r="K41" i="24"/>
  <c r="H41" i="24"/>
  <c r="BN34" i="25"/>
  <c r="BQ34" i="25" s="1"/>
  <c r="I34" i="25"/>
  <c r="H129" i="25"/>
  <c r="AL129" i="25"/>
  <c r="CC129" i="25"/>
  <c r="CC245" i="25"/>
  <c r="AL245" i="25"/>
  <c r="H245" i="25"/>
  <c r="CC105" i="25"/>
  <c r="AL105" i="25"/>
  <c r="H105" i="25"/>
  <c r="AL236" i="25"/>
  <c r="CC236" i="25"/>
  <c r="H236" i="25"/>
  <c r="J236" i="25"/>
  <c r="L236" i="25" s="1"/>
  <c r="CC145" i="25"/>
  <c r="H145" i="25"/>
  <c r="AL145" i="25"/>
  <c r="K22" i="24"/>
  <c r="H22" i="24"/>
  <c r="AM22" i="24"/>
  <c r="CE224" i="24"/>
  <c r="AM224" i="24"/>
  <c r="H224" i="24"/>
  <c r="AM143" i="24"/>
  <c r="H143" i="24"/>
  <c r="CE143" i="24"/>
  <c r="CF143" i="24"/>
  <c r="BN93" i="25"/>
  <c r="BQ93" i="25" s="1"/>
  <c r="I93" i="25"/>
  <c r="BN63" i="25"/>
  <c r="BQ63" i="25" s="1"/>
  <c r="I63" i="25"/>
  <c r="BN192" i="25"/>
  <c r="I192" i="25"/>
  <c r="J71" i="25"/>
  <c r="N71" i="25" s="1"/>
  <c r="BO12" i="24"/>
  <c r="BR12" i="24" s="1"/>
  <c r="BM94" i="25"/>
  <c r="BM162" i="25"/>
  <c r="BM169" i="25"/>
  <c r="BQ169" i="25" s="1"/>
  <c r="BO162" i="24"/>
  <c r="BR162" i="24" s="1"/>
  <c r="J125" i="25"/>
  <c r="L125" i="25" s="1"/>
  <c r="J203" i="25"/>
  <c r="L203" i="25" s="1"/>
  <c r="J13" i="25"/>
  <c r="N13" i="25" s="1"/>
  <c r="I147" i="24"/>
  <c r="M147" i="24" s="1"/>
  <c r="N147" i="24" s="1"/>
  <c r="I130" i="24"/>
  <c r="M130" i="24" s="1"/>
  <c r="BM13" i="25"/>
  <c r="BO119" i="24"/>
  <c r="BR119" i="24" s="1"/>
  <c r="BO33" i="24"/>
  <c r="BR33" i="24" s="1"/>
  <c r="BO19" i="24"/>
  <c r="BR19" i="24" s="1"/>
  <c r="BM8" i="25"/>
  <c r="BQ8" i="25" s="1"/>
  <c r="BM129" i="25"/>
  <c r="BO256" i="24"/>
  <c r="BR256" i="24" s="1"/>
  <c r="BO82" i="24"/>
  <c r="BR82" i="24" s="1"/>
  <c r="BO116" i="24"/>
  <c r="BR116" i="24" s="1"/>
  <c r="BO280" i="24"/>
  <c r="BR280" i="24" s="1"/>
  <c r="BO247" i="24"/>
  <c r="BR247" i="24" s="1"/>
  <c r="BM270" i="25"/>
  <c r="BM71" i="25"/>
  <c r="BM206" i="25"/>
  <c r="BQ206" i="25" s="1"/>
  <c r="I205" i="24"/>
  <c r="M205" i="24" s="1"/>
  <c r="N205" i="24" s="1"/>
  <c r="I116" i="24"/>
  <c r="M116" i="24" s="1"/>
  <c r="I97" i="24"/>
  <c r="M97" i="24" s="1"/>
  <c r="I194" i="24"/>
  <c r="K194" i="24" s="1"/>
  <c r="AM282" i="24"/>
  <c r="CE282" i="24"/>
  <c r="CF282" i="24"/>
  <c r="H282" i="24"/>
  <c r="I282" i="24"/>
  <c r="K282" i="24" s="1"/>
  <c r="AM126" i="24"/>
  <c r="H126" i="24"/>
  <c r="I126" i="24"/>
  <c r="AM102" i="24"/>
  <c r="K102" i="24"/>
  <c r="H102" i="24"/>
  <c r="I102" i="24"/>
  <c r="AL218" i="25"/>
  <c r="CC218" i="25"/>
  <c r="H218" i="25"/>
  <c r="J218" i="25"/>
  <c r="L218" i="25" s="1"/>
  <c r="CC176" i="25"/>
  <c r="AL176" i="25"/>
  <c r="H176" i="25"/>
  <c r="I126" i="25"/>
  <c r="BN126" i="25"/>
  <c r="H74" i="25"/>
  <c r="CC74" i="25"/>
  <c r="AL74" i="25"/>
  <c r="BN204" i="25"/>
  <c r="BN62" i="25"/>
  <c r="H120" i="25"/>
  <c r="AL120" i="25"/>
  <c r="CC120" i="25"/>
  <c r="J120" i="25"/>
  <c r="L120" i="25" s="1"/>
  <c r="CC194" i="25"/>
  <c r="AL194" i="25"/>
  <c r="H194" i="25"/>
  <c r="AL132" i="25"/>
  <c r="CC132" i="25"/>
  <c r="H132" i="25"/>
  <c r="CC208" i="25"/>
  <c r="AL208" i="25"/>
  <c r="H208" i="25"/>
  <c r="J208" i="25"/>
  <c r="L208" i="25" s="1"/>
  <c r="H55" i="24"/>
  <c r="K55" i="24"/>
  <c r="AM55" i="24"/>
  <c r="H63" i="24"/>
  <c r="K63" i="24"/>
  <c r="AM63" i="24"/>
  <c r="CF63" i="24"/>
  <c r="CE63" i="24"/>
  <c r="I63" i="24"/>
  <c r="K103" i="24"/>
  <c r="H103" i="24"/>
  <c r="AM103" i="24"/>
  <c r="I103" i="24"/>
  <c r="CF131" i="24"/>
  <c r="H131" i="24"/>
  <c r="AM131" i="24"/>
  <c r="CE131" i="24"/>
  <c r="I131" i="24"/>
  <c r="K131" i="24" s="1"/>
  <c r="H188" i="25"/>
  <c r="AL188" i="25"/>
  <c r="CC188" i="25"/>
  <c r="J188" i="25"/>
  <c r="L188" i="25" s="1"/>
  <c r="BN59" i="25"/>
  <c r="BN31" i="25"/>
  <c r="I6" i="25"/>
  <c r="BN6" i="25"/>
  <c r="BQ6" i="25" s="1"/>
  <c r="BN165" i="25"/>
  <c r="I165" i="25"/>
  <c r="CF198" i="24"/>
  <c r="AM198" i="24"/>
  <c r="CE198" i="24"/>
  <c r="H198" i="24"/>
  <c r="CE267" i="24"/>
  <c r="H267" i="24"/>
  <c r="AM267" i="24"/>
  <c r="H146" i="24"/>
  <c r="CF146" i="24"/>
  <c r="CE146" i="24"/>
  <c r="AM146" i="24"/>
  <c r="AM100" i="24"/>
  <c r="CE100" i="24"/>
  <c r="CF100" i="24"/>
  <c r="H100" i="24"/>
  <c r="K100" i="24"/>
  <c r="I100" i="24"/>
  <c r="H314" i="24"/>
  <c r="CF314" i="24"/>
  <c r="AM314" i="24"/>
  <c r="CE314" i="24"/>
  <c r="I314" i="24"/>
  <c r="H186" i="24"/>
  <c r="AM186" i="24"/>
  <c r="H99" i="24"/>
  <c r="AM99" i="24"/>
  <c r="CF99" i="24"/>
  <c r="K99" i="24"/>
  <c r="CE99" i="24"/>
  <c r="I99" i="24"/>
  <c r="CF125" i="24"/>
  <c r="CE125" i="24"/>
  <c r="AM125" i="24"/>
  <c r="H125" i="24"/>
  <c r="CE39" i="24"/>
  <c r="K39" i="24"/>
  <c r="AM39" i="24"/>
  <c r="H39" i="24"/>
  <c r="CF39" i="24"/>
  <c r="H296" i="24"/>
  <c r="AM296" i="24"/>
  <c r="CE296" i="24"/>
  <c r="CF296" i="24"/>
  <c r="AM75" i="24"/>
  <c r="K75" i="24"/>
  <c r="H75" i="24"/>
  <c r="CE75" i="24"/>
  <c r="CF75" i="24"/>
  <c r="CF38" i="24"/>
  <c r="CE38" i="24"/>
  <c r="K38" i="24"/>
  <c r="H38" i="24"/>
  <c r="AM38" i="24"/>
  <c r="I38" i="24"/>
  <c r="CF259" i="24"/>
  <c r="AM259" i="24"/>
  <c r="H259" i="24"/>
  <c r="CE259" i="24"/>
  <c r="I259" i="24"/>
  <c r="K259" i="24" s="1"/>
  <c r="AM261" i="24"/>
  <c r="H261" i="24"/>
  <c r="CE261" i="24"/>
  <c r="CF261" i="24"/>
  <c r="K74" i="24"/>
  <c r="AM74" i="24"/>
  <c r="H74" i="24"/>
  <c r="H277" i="24"/>
  <c r="CF277" i="24"/>
  <c r="AM277" i="24"/>
  <c r="I277" i="24"/>
  <c r="AL53" i="25"/>
  <c r="CC53" i="25"/>
  <c r="CE53" i="25"/>
  <c r="CF53" i="25"/>
  <c r="H53" i="25"/>
  <c r="J53" i="25"/>
  <c r="L53" i="25" s="1"/>
  <c r="CE11" i="25"/>
  <c r="AL11" i="25"/>
  <c r="CC11" i="25"/>
  <c r="H11" i="25"/>
  <c r="CF11" i="25"/>
  <c r="CC279" i="25"/>
  <c r="H279" i="25"/>
  <c r="AL279" i="25"/>
  <c r="I195" i="25"/>
  <c r="BN195" i="25"/>
  <c r="H157" i="25"/>
  <c r="AL157" i="25"/>
  <c r="CC157" i="25"/>
  <c r="AL163" i="25"/>
  <c r="CC163" i="25"/>
  <c r="H163" i="25"/>
  <c r="H190" i="25"/>
  <c r="AL190" i="25"/>
  <c r="CC190" i="25"/>
  <c r="I53" i="25"/>
  <c r="AM241" i="24"/>
  <c r="H241" i="24"/>
  <c r="CE241" i="24"/>
  <c r="I241" i="24"/>
  <c r="AL137" i="25"/>
  <c r="CC137" i="25"/>
  <c r="H137" i="25"/>
  <c r="BO170" i="24"/>
  <c r="BR170" i="24" s="1"/>
  <c r="BO190" i="24"/>
  <c r="BR190" i="24" s="1"/>
  <c r="J145" i="25"/>
  <c r="J165" i="25"/>
  <c r="L165" i="25" s="1"/>
  <c r="BO102" i="24"/>
  <c r="BR102" i="24" s="1"/>
  <c r="BO142" i="24"/>
  <c r="BR142" i="24" s="1"/>
  <c r="BM26" i="25"/>
  <c r="BQ26" i="25" s="1"/>
  <c r="BM11" i="25"/>
  <c r="BO179" i="24"/>
  <c r="BR179" i="24" s="1"/>
  <c r="BO143" i="24"/>
  <c r="BR143" i="24" s="1"/>
  <c r="J246" i="25"/>
  <c r="N246" i="25" s="1"/>
  <c r="I71" i="24"/>
  <c r="J210" i="25"/>
  <c r="L210" i="25" s="1"/>
  <c r="I74" i="24"/>
  <c r="I39" i="24"/>
  <c r="I179" i="24"/>
  <c r="I206" i="24"/>
  <c r="K206" i="24" s="1"/>
  <c r="I146" i="24"/>
  <c r="K146" i="24" s="1"/>
  <c r="I198" i="24"/>
  <c r="K198" i="24" s="1"/>
  <c r="I176" i="24"/>
  <c r="I12" i="24"/>
  <c r="CE247" i="24"/>
  <c r="CF247" i="24"/>
  <c r="H247" i="24"/>
  <c r="AM247" i="24"/>
  <c r="I247" i="24"/>
  <c r="K247" i="24" s="1"/>
  <c r="CF20" i="24"/>
  <c r="K20" i="24"/>
  <c r="H20" i="24"/>
  <c r="AM20" i="24"/>
  <c r="CE20" i="24"/>
  <c r="AM195" i="24"/>
  <c r="H195" i="24"/>
  <c r="AL177" i="25"/>
  <c r="H177" i="25"/>
  <c r="CC177" i="25"/>
  <c r="CE295" i="24"/>
  <c r="CF295" i="24"/>
  <c r="AM295" i="24"/>
  <c r="H295" i="24"/>
  <c r="I295" i="24"/>
  <c r="K295" i="24" s="1"/>
  <c r="AM122" i="24"/>
  <c r="CF122" i="24"/>
  <c r="CE122" i="24"/>
  <c r="H122" i="24"/>
  <c r="CF255" i="24"/>
  <c r="AM255" i="24"/>
  <c r="CE255" i="24"/>
  <c r="H255" i="24"/>
  <c r="I255" i="24"/>
  <c r="K255" i="24" s="1"/>
  <c r="AM19" i="24"/>
  <c r="CF19" i="24"/>
  <c r="CE19" i="24"/>
  <c r="K19" i="24"/>
  <c r="H19" i="24"/>
  <c r="I19" i="24"/>
  <c r="M19" i="24" s="1"/>
  <c r="H307" i="24"/>
  <c r="AM307" i="24"/>
  <c r="I307" i="24"/>
  <c r="M307" i="24" s="1"/>
  <c r="N307" i="24" s="1"/>
  <c r="AM167" i="24"/>
  <c r="CF167" i="24"/>
  <c r="CE167" i="24"/>
  <c r="H167" i="24"/>
  <c r="I167" i="24"/>
  <c r="K167" i="24" s="1"/>
  <c r="CC70" i="25"/>
  <c r="AL70" i="25"/>
  <c r="CE70" i="25"/>
  <c r="CF70" i="25"/>
  <c r="H70" i="25"/>
  <c r="CE37" i="25"/>
  <c r="CF37" i="25"/>
  <c r="CC37" i="25"/>
  <c r="AL37" i="25"/>
  <c r="H37" i="25"/>
  <c r="J37" i="25"/>
  <c r="BN152" i="25"/>
  <c r="BQ152" i="25" s="1"/>
  <c r="I152" i="25"/>
  <c r="CC182" i="25"/>
  <c r="H182" i="25"/>
  <c r="AL182" i="25"/>
  <c r="CE276" i="24"/>
  <c r="AM276" i="24"/>
  <c r="H276" i="24"/>
  <c r="I276" i="24"/>
  <c r="K276" i="24" s="1"/>
  <c r="CF280" i="24"/>
  <c r="H280" i="24"/>
  <c r="AM280" i="24"/>
  <c r="CE280" i="24"/>
  <c r="I280" i="24"/>
  <c r="AM191" i="24"/>
  <c r="K191" i="24"/>
  <c r="H191" i="24"/>
  <c r="CE133" i="24"/>
  <c r="H133" i="24"/>
  <c r="CF133" i="24"/>
  <c r="AM133" i="24"/>
  <c r="I133" i="24"/>
  <c r="M133" i="24" s="1"/>
  <c r="N133" i="24" s="1"/>
  <c r="CE251" i="24"/>
  <c r="CF251" i="24"/>
  <c r="H251" i="24"/>
  <c r="AM251" i="24"/>
  <c r="I251" i="24"/>
  <c r="K251" i="24" s="1"/>
  <c r="CF192" i="24"/>
  <c r="CE192" i="24"/>
  <c r="AM192" i="24"/>
  <c r="H192" i="24"/>
  <c r="I192" i="24"/>
  <c r="H129" i="24"/>
  <c r="CF129" i="24"/>
  <c r="CE129" i="24"/>
  <c r="AM129" i="24"/>
  <c r="K6" i="24"/>
  <c r="H6" i="24"/>
  <c r="AM6" i="24"/>
  <c r="I6" i="24"/>
  <c r="M6" i="24" s="1"/>
  <c r="N6" i="24" s="1"/>
  <c r="M21" i="24"/>
  <c r="N21" i="24" s="1"/>
  <c r="CF190" i="24"/>
  <c r="CE190" i="24"/>
  <c r="K190" i="24"/>
  <c r="AM190" i="24"/>
  <c r="H190" i="24"/>
  <c r="BO232" i="24"/>
  <c r="BR232" i="24" s="1"/>
  <c r="BN279" i="25"/>
  <c r="BQ279" i="25" s="1"/>
  <c r="CF58" i="25"/>
  <c r="CE58" i="25"/>
  <c r="AL58" i="25"/>
  <c r="CC58" i="25"/>
  <c r="H58" i="25"/>
  <c r="J58" i="25"/>
  <c r="H241" i="25"/>
  <c r="AL241" i="25"/>
  <c r="CC241" i="25"/>
  <c r="H9" i="25"/>
  <c r="CE9" i="25"/>
  <c r="CF9" i="25"/>
  <c r="AL9" i="25"/>
  <c r="CC9" i="25"/>
  <c r="H125" i="25"/>
  <c r="AL125" i="25"/>
  <c r="CC125" i="25"/>
  <c r="I29" i="25"/>
  <c r="M22" i="24"/>
  <c r="N22" i="24" s="1"/>
  <c r="H223" i="24"/>
  <c r="CE223" i="24"/>
  <c r="CF223" i="24"/>
  <c r="AM223" i="24"/>
  <c r="I223" i="24"/>
  <c r="K223" i="24" s="1"/>
  <c r="AM111" i="24"/>
  <c r="H111" i="24"/>
  <c r="J315" i="25"/>
  <c r="L315" i="25" s="1"/>
  <c r="J44" i="25"/>
  <c r="L44" i="25" s="1"/>
  <c r="BO286" i="24"/>
  <c r="BR286" i="24" s="1"/>
  <c r="I285" i="24"/>
  <c r="K285" i="24" s="1"/>
  <c r="J182" i="25"/>
  <c r="J279" i="25"/>
  <c r="J241" i="25"/>
  <c r="BM23" i="25"/>
  <c r="BQ23" i="25" s="1"/>
  <c r="J157" i="25"/>
  <c r="J81" i="25"/>
  <c r="L81" i="25" s="1"/>
  <c r="BO99" i="24"/>
  <c r="BR99" i="24" s="1"/>
  <c r="BM160" i="25"/>
  <c r="BQ160" i="25" s="1"/>
  <c r="J105" i="25"/>
  <c r="L105" i="25" s="1"/>
  <c r="J176" i="25"/>
  <c r="BO132" i="24"/>
  <c r="BR132" i="24" s="1"/>
  <c r="BM105" i="25"/>
  <c r="BO103" i="24"/>
  <c r="BR103" i="24" s="1"/>
  <c r="BO133" i="24"/>
  <c r="BR133" i="24" s="1"/>
  <c r="BO38" i="24"/>
  <c r="BR38" i="24" s="1"/>
  <c r="BM300" i="25"/>
  <c r="BQ300" i="25" s="1"/>
  <c r="BM194" i="25"/>
  <c r="I118" i="24"/>
  <c r="K118" i="24" s="1"/>
  <c r="BM9" i="25"/>
  <c r="BO191" i="24"/>
  <c r="BR191" i="24" s="1"/>
  <c r="BO276" i="24"/>
  <c r="BR276" i="24" s="1"/>
  <c r="BO266" i="24"/>
  <c r="BR266" i="24" s="1"/>
  <c r="BO224" i="24"/>
  <c r="BR224" i="24" s="1"/>
  <c r="I129" i="24"/>
  <c r="M129" i="24" s="1"/>
  <c r="N129" i="24" s="1"/>
  <c r="AL73" i="25"/>
  <c r="H73" i="25"/>
  <c r="CF73" i="25"/>
  <c r="CE73" i="25"/>
  <c r="CC73" i="25"/>
  <c r="AL246" i="25"/>
  <c r="CC246" i="25"/>
  <c r="H246" i="25"/>
  <c r="BN120" i="25"/>
  <c r="BN194" i="25"/>
  <c r="BN132" i="25"/>
  <c r="BN208" i="25"/>
  <c r="H116" i="24"/>
  <c r="CF116" i="24"/>
  <c r="AM116" i="24"/>
  <c r="CE116" i="24"/>
  <c r="CE256" i="24"/>
  <c r="H256" i="24"/>
  <c r="AM256" i="24"/>
  <c r="I256" i="24"/>
  <c r="AM205" i="24"/>
  <c r="H205" i="24"/>
  <c r="CC232" i="25"/>
  <c r="H232" i="25"/>
  <c r="AL232" i="25"/>
  <c r="J232" i="25"/>
  <c r="N232" i="25" s="1"/>
  <c r="CC180" i="25"/>
  <c r="H180" i="25"/>
  <c r="AL180" i="25"/>
  <c r="CC210" i="25"/>
  <c r="AL210" i="25"/>
  <c r="H210" i="25"/>
  <c r="H163" i="24"/>
  <c r="AM163" i="24"/>
  <c r="I163" i="24"/>
  <c r="M163" i="24" s="1"/>
  <c r="N163" i="24" s="1"/>
  <c r="CF302" i="24"/>
  <c r="AM302" i="24"/>
  <c r="H302" i="24"/>
  <c r="I302" i="24"/>
  <c r="K302" i="24" s="1"/>
  <c r="K50" i="24"/>
  <c r="H50" i="24"/>
  <c r="AM50" i="24"/>
  <c r="CF50" i="24"/>
  <c r="CE50" i="24"/>
  <c r="AM162" i="24"/>
  <c r="K162" i="24"/>
  <c r="H162" i="24"/>
  <c r="H56" i="24"/>
  <c r="AM56" i="24"/>
  <c r="K56" i="24"/>
  <c r="H21" i="24"/>
  <c r="K21" i="24"/>
  <c r="AM21" i="24"/>
  <c r="BM177" i="25"/>
  <c r="BM266" i="25"/>
  <c r="BQ266" i="25" s="1"/>
  <c r="AL226" i="25"/>
  <c r="CC226" i="25"/>
  <c r="H226" i="25"/>
  <c r="BN157" i="25"/>
  <c r="BN163" i="25"/>
  <c r="CC162" i="25"/>
  <c r="AL162" i="25"/>
  <c r="H162" i="25"/>
  <c r="BN190" i="25"/>
  <c r="AL16" i="25"/>
  <c r="CC16" i="25"/>
  <c r="H16" i="25"/>
  <c r="CF16" i="25"/>
  <c r="CE16" i="25"/>
  <c r="AL71" i="25"/>
  <c r="H71" i="25"/>
  <c r="CC71" i="25"/>
  <c r="H42" i="25"/>
  <c r="AL42" i="25"/>
  <c r="CC42" i="25"/>
  <c r="CE42" i="25"/>
  <c r="CF42" i="25"/>
  <c r="K96" i="24"/>
  <c r="H96" i="24"/>
  <c r="AM96" i="24"/>
  <c r="CF96" i="24"/>
  <c r="CE96" i="24"/>
  <c r="AM97" i="24"/>
  <c r="H97" i="24"/>
  <c r="K97" i="24"/>
  <c r="CF145" i="24"/>
  <c r="CE145" i="24"/>
  <c r="AM145" i="24"/>
  <c r="H145" i="24"/>
  <c r="I145" i="24"/>
  <c r="H138" i="24"/>
  <c r="CF138" i="24"/>
  <c r="AM138" i="24"/>
  <c r="CE138" i="24"/>
  <c r="AL122" i="25"/>
  <c r="CC122" i="25"/>
  <c r="H122" i="25"/>
  <c r="J122" i="25"/>
  <c r="L122" i="25" s="1"/>
  <c r="BM73" i="25"/>
  <c r="BO21" i="24"/>
  <c r="BR21" i="24" s="1"/>
  <c r="BO39" i="24"/>
  <c r="BR39" i="24" s="1"/>
  <c r="BO225" i="24"/>
  <c r="BR225" i="24" s="1"/>
  <c r="BM195" i="25"/>
  <c r="BO295" i="24"/>
  <c r="BR295" i="24" s="1"/>
  <c r="BO309" i="24"/>
  <c r="BR309" i="24" s="1"/>
  <c r="J300" i="25"/>
  <c r="L300" i="25" s="1"/>
  <c r="J245" i="25"/>
  <c r="J137" i="25"/>
  <c r="J6" i="25"/>
  <c r="N6" i="25" s="1"/>
  <c r="T6" i="25" s="1"/>
  <c r="BM52" i="25"/>
  <c r="BO186" i="24"/>
  <c r="BR186" i="24" s="1"/>
  <c r="BO176" i="24"/>
  <c r="BR176" i="24" s="1"/>
  <c r="J23" i="25"/>
  <c r="L23" i="25" s="1"/>
  <c r="I20" i="24"/>
  <c r="I111" i="24"/>
  <c r="J163" i="25"/>
  <c r="J180" i="25"/>
  <c r="J132" i="25"/>
  <c r="J74" i="25"/>
  <c r="L74" i="25" s="1"/>
  <c r="I195" i="24"/>
  <c r="K195" i="24" s="1"/>
  <c r="J206" i="25"/>
  <c r="N206" i="25" s="1"/>
  <c r="H291" i="24"/>
  <c r="AM291" i="24"/>
  <c r="CE291" i="24"/>
  <c r="I291" i="24"/>
  <c r="K291" i="24" s="1"/>
  <c r="H169" i="25"/>
  <c r="AL169" i="25"/>
  <c r="CC169" i="25"/>
  <c r="CC143" i="25"/>
  <c r="AL143" i="25"/>
  <c r="H143" i="25"/>
  <c r="AL193" i="25"/>
  <c r="H193" i="25"/>
  <c r="CC193" i="25"/>
  <c r="CC168" i="25"/>
  <c r="AL168" i="25"/>
  <c r="H168" i="25"/>
  <c r="AL151" i="25"/>
  <c r="H151" i="25"/>
  <c r="CC151" i="25"/>
  <c r="CC141" i="25"/>
  <c r="H141" i="25"/>
  <c r="AL141" i="25"/>
  <c r="AL185" i="25"/>
  <c r="CC185" i="25"/>
  <c r="H185" i="25"/>
  <c r="AL159" i="25"/>
  <c r="CC159" i="25"/>
  <c r="H159" i="25"/>
  <c r="BN174" i="25"/>
  <c r="I174" i="25"/>
  <c r="CF265" i="24"/>
  <c r="AM265" i="24"/>
  <c r="H265" i="24"/>
  <c r="CE265" i="24"/>
  <c r="I265" i="24"/>
  <c r="CF273" i="24"/>
  <c r="AM273" i="24"/>
  <c r="CE273" i="24"/>
  <c r="H273" i="24"/>
  <c r="I273" i="24"/>
  <c r="H202" i="24"/>
  <c r="AM202" i="24"/>
  <c r="AM37" i="24"/>
  <c r="CF37" i="24"/>
  <c r="CE37" i="24"/>
  <c r="K37" i="24"/>
  <c r="H37" i="24"/>
  <c r="CF123" i="24"/>
  <c r="CE123" i="24"/>
  <c r="AM123" i="24"/>
  <c r="H123" i="24"/>
  <c r="I123" i="24"/>
  <c r="AL269" i="25"/>
  <c r="CC269" i="25"/>
  <c r="H269" i="25"/>
  <c r="J269" i="25"/>
  <c r="L269" i="25" s="1"/>
  <c r="K142" i="24"/>
  <c r="H142" i="24"/>
  <c r="CF142" i="24"/>
  <c r="CE142" i="24"/>
  <c r="AM142" i="24"/>
  <c r="H18" i="24"/>
  <c r="AM18" i="24"/>
  <c r="CF18" i="24"/>
  <c r="CE18" i="24"/>
  <c r="K18" i="24"/>
  <c r="I18" i="24"/>
  <c r="M18" i="24" s="1"/>
  <c r="N18" i="24" s="1"/>
  <c r="CF228" i="24"/>
  <c r="H228" i="24"/>
  <c r="AM228" i="24"/>
  <c r="CE228" i="24"/>
  <c r="M7" i="24"/>
  <c r="N7" i="24" s="1"/>
  <c r="CE24" i="24"/>
  <c r="CF24" i="24"/>
  <c r="K24" i="24"/>
  <c r="AM24" i="24"/>
  <c r="H24" i="24"/>
  <c r="I24" i="24"/>
  <c r="M24" i="24" s="1"/>
  <c r="N24" i="24" s="1"/>
  <c r="M190" i="24"/>
  <c r="N190" i="24" s="1"/>
  <c r="H147" i="24"/>
  <c r="CE147" i="24"/>
  <c r="AM147" i="24"/>
  <c r="CF147" i="24"/>
  <c r="H257" i="25"/>
  <c r="AL257" i="25"/>
  <c r="CC257" i="25"/>
  <c r="AL270" i="25"/>
  <c r="CC270" i="25"/>
  <c r="H270" i="25"/>
  <c r="BN129" i="25"/>
  <c r="I129" i="25"/>
  <c r="I111" i="25"/>
  <c r="BN111" i="25"/>
  <c r="BQ111" i="25" s="1"/>
  <c r="AL83" i="25"/>
  <c r="H83" i="25"/>
  <c r="CC83" i="25"/>
  <c r="CF83" i="25"/>
  <c r="CE83" i="25"/>
  <c r="J83" i="25"/>
  <c r="L83" i="25" s="1"/>
  <c r="I105" i="25"/>
  <c r="BN105" i="25"/>
  <c r="I145" i="25"/>
  <c r="BN145" i="25"/>
  <c r="AM14" i="24"/>
  <c r="K14" i="24"/>
  <c r="H14" i="24"/>
  <c r="I14" i="24"/>
  <c r="M14" i="24" s="1"/>
  <c r="N14" i="24" s="1"/>
  <c r="AM101" i="24"/>
  <c r="K101" i="24"/>
  <c r="H101" i="24"/>
  <c r="CF252" i="24"/>
  <c r="H252" i="24"/>
  <c r="AM252" i="24"/>
  <c r="CE252" i="24"/>
  <c r="K62" i="24"/>
  <c r="H62" i="24"/>
  <c r="AM62" i="24"/>
  <c r="I62" i="24"/>
  <c r="M62" i="24" s="1"/>
  <c r="N62" i="24" s="1"/>
  <c r="CE160" i="24"/>
  <c r="AM160" i="24"/>
  <c r="H160" i="24"/>
  <c r="CF160" i="24"/>
  <c r="CE272" i="24"/>
  <c r="AM272" i="24"/>
  <c r="H272" i="24"/>
  <c r="I272" i="24"/>
  <c r="M272" i="24" s="1"/>
  <c r="N272" i="24" s="1"/>
  <c r="CC93" i="25"/>
  <c r="AL93" i="25"/>
  <c r="CF93" i="25"/>
  <c r="H93" i="25"/>
  <c r="CE93" i="25"/>
  <c r="J93" i="25"/>
  <c r="L93" i="25" s="1"/>
  <c r="AL192" i="25"/>
  <c r="CC192" i="25"/>
  <c r="H192" i="25"/>
  <c r="J192" i="25"/>
  <c r="N192" i="25" s="1"/>
  <c r="T192" i="25" s="1"/>
  <c r="J194" i="25"/>
  <c r="L194" i="25" s="1"/>
  <c r="J193" i="25"/>
  <c r="L193" i="25" s="1"/>
  <c r="BO272" i="24"/>
  <c r="BR272" i="24" s="1"/>
  <c r="BM157" i="25"/>
  <c r="BM132" i="25"/>
  <c r="BO68" i="24"/>
  <c r="BR68" i="24" s="1"/>
  <c r="BO41" i="24"/>
  <c r="BR41" i="24" s="1"/>
  <c r="BO205" i="24"/>
  <c r="BR205" i="24" s="1"/>
  <c r="BM210" i="25"/>
  <c r="BM125" i="25"/>
  <c r="BQ125" i="25" s="1"/>
  <c r="BM190" i="25"/>
  <c r="BO96" i="24"/>
  <c r="BR96" i="24" s="1"/>
  <c r="BO101" i="24"/>
  <c r="BR101" i="24" s="1"/>
  <c r="BO255" i="24"/>
  <c r="BR255" i="24" s="1"/>
  <c r="BO314" i="24"/>
  <c r="BR314" i="24" s="1"/>
  <c r="BO20" i="24"/>
  <c r="BR20" i="24" s="1"/>
  <c r="BO62" i="24"/>
  <c r="BR62" i="24" s="1"/>
  <c r="BM42" i="25"/>
  <c r="BO138" i="24"/>
  <c r="BR138" i="24" s="1"/>
  <c r="BO117" i="24"/>
  <c r="BR117" i="24" s="1"/>
  <c r="I50" i="24"/>
  <c r="BM163" i="25"/>
  <c r="BO282" i="24"/>
  <c r="BR282" i="24" s="1"/>
  <c r="BO122" i="24"/>
  <c r="BR122" i="24" s="1"/>
  <c r="BM192" i="25"/>
  <c r="BO123" i="24"/>
  <c r="BR123" i="24" s="1"/>
  <c r="BO267" i="24"/>
  <c r="BR267" i="24" s="1"/>
  <c r="BM145" i="25"/>
  <c r="BO7" i="24"/>
  <c r="BR7" i="24" s="1"/>
  <c r="I75" i="24"/>
  <c r="I122" i="24"/>
  <c r="K122" i="24" s="1"/>
  <c r="I261" i="24"/>
  <c r="I228" i="24"/>
  <c r="K228" i="24" s="1"/>
  <c r="I138" i="24"/>
  <c r="K138" i="24" s="1"/>
  <c r="I296" i="24"/>
  <c r="I267" i="24"/>
  <c r="I202" i="24"/>
  <c r="I252" i="24"/>
  <c r="K252" i="24" s="1"/>
  <c r="H160" i="25"/>
  <c r="AL160" i="25"/>
  <c r="CC160" i="25"/>
  <c r="J160" i="25"/>
  <c r="H206" i="25"/>
  <c r="CC206" i="25"/>
  <c r="AL206" i="25"/>
  <c r="H203" i="25"/>
  <c r="AL203" i="25"/>
  <c r="CC203" i="25"/>
  <c r="AL77" i="25"/>
  <c r="CC77" i="25"/>
  <c r="H77" i="25"/>
  <c r="CC26" i="25"/>
  <c r="AL26" i="25"/>
  <c r="CE26" i="25"/>
  <c r="CF26" i="25"/>
  <c r="H26" i="25"/>
  <c r="J26" i="25"/>
  <c r="L26" i="25" s="1"/>
  <c r="H13" i="25"/>
  <c r="CC13" i="25"/>
  <c r="AL13" i="25"/>
  <c r="CE13" i="25"/>
  <c r="CF13" i="25"/>
  <c r="AM82" i="24"/>
  <c r="CF82" i="24"/>
  <c r="CE82" i="24"/>
  <c r="K82" i="24"/>
  <c r="H82" i="24"/>
  <c r="I82" i="24"/>
  <c r="CE285" i="24"/>
  <c r="H285" i="24"/>
  <c r="AM285" i="24"/>
  <c r="AM170" i="24"/>
  <c r="H170" i="24"/>
  <c r="AM83" i="24"/>
  <c r="CF83" i="24"/>
  <c r="CE83" i="24"/>
  <c r="H83" i="24"/>
  <c r="K83" i="24"/>
  <c r="I83" i="24"/>
  <c r="M83" i="24" s="1"/>
  <c r="BN188" i="25"/>
  <c r="I188" i="25"/>
  <c r="H6" i="25"/>
  <c r="CC6" i="25"/>
  <c r="AL6" i="25"/>
  <c r="AL165" i="25"/>
  <c r="H165" i="25"/>
  <c r="CC165" i="25"/>
  <c r="AM68" i="24"/>
  <c r="CE68" i="24"/>
  <c r="CF68" i="24"/>
  <c r="K68" i="24"/>
  <c r="H68" i="24"/>
  <c r="I68" i="24"/>
  <c r="M68" i="24" s="1"/>
  <c r="N68" i="24" s="1"/>
  <c r="AM33" i="24"/>
  <c r="CE33" i="24"/>
  <c r="CF33" i="24"/>
  <c r="K33" i="24"/>
  <c r="H33" i="24"/>
  <c r="CE177" i="24"/>
  <c r="H177" i="24"/>
  <c r="AM177" i="24"/>
  <c r="CF177" i="24"/>
  <c r="I177" i="24"/>
  <c r="K177" i="24" s="1"/>
  <c r="AM54" i="24"/>
  <c r="K54" i="24"/>
  <c r="H54" i="24"/>
  <c r="I54" i="24"/>
  <c r="CE243" i="24"/>
  <c r="H243" i="24"/>
  <c r="AM243" i="24"/>
  <c r="H194" i="24"/>
  <c r="CE194" i="24"/>
  <c r="AM194" i="24"/>
  <c r="CF194" i="24"/>
  <c r="CF7" i="24"/>
  <c r="K7" i="24"/>
  <c r="AM7" i="24"/>
  <c r="H7" i="24"/>
  <c r="CE7" i="24"/>
  <c r="AM71" i="24"/>
  <c r="CE71" i="24"/>
  <c r="CF71" i="24"/>
  <c r="K71" i="24"/>
  <c r="H71" i="24"/>
  <c r="CF130" i="24"/>
  <c r="CE130" i="24"/>
  <c r="AM130" i="24"/>
  <c r="H130" i="24"/>
  <c r="AM268" i="24"/>
  <c r="CE268" i="24"/>
  <c r="H268" i="24"/>
  <c r="I268" i="24"/>
  <c r="M268" i="24" s="1"/>
  <c r="N268" i="24" s="1"/>
  <c r="BO202" i="24"/>
  <c r="BR202" i="24" s="1"/>
  <c r="H52" i="25"/>
  <c r="AL52" i="25"/>
  <c r="CC52" i="25"/>
  <c r="H23" i="25"/>
  <c r="CC23" i="25"/>
  <c r="AL23" i="25"/>
  <c r="CF23" i="25"/>
  <c r="CE23" i="25"/>
  <c r="BN11" i="25"/>
  <c r="I11" i="25"/>
  <c r="H195" i="25"/>
  <c r="AL195" i="25"/>
  <c r="CC195" i="25"/>
  <c r="J195" i="25"/>
  <c r="CC202" i="25"/>
  <c r="AL202" i="25"/>
  <c r="H202" i="25"/>
  <c r="J202" i="25"/>
  <c r="L202" i="25" s="1"/>
  <c r="H164" i="25"/>
  <c r="AL164" i="25"/>
  <c r="CC164" i="25"/>
  <c r="J164" i="25"/>
  <c r="L164" i="25" s="1"/>
  <c r="H186" i="25"/>
  <c r="AL186" i="25"/>
  <c r="CC186" i="25"/>
  <c r="H8" i="25"/>
  <c r="CC8" i="25"/>
  <c r="AL8" i="25"/>
  <c r="CF8" i="25"/>
  <c r="CE8" i="25"/>
  <c r="J8" i="25"/>
  <c r="L8" i="25" s="1"/>
  <c r="H237" i="25"/>
  <c r="AL237" i="25"/>
  <c r="CC237" i="25"/>
  <c r="H233" i="24"/>
  <c r="AM233" i="24"/>
  <c r="CF250" i="24"/>
  <c r="H250" i="24"/>
  <c r="AM250" i="24"/>
  <c r="I250" i="24"/>
  <c r="AM114" i="24"/>
  <c r="H114" i="24"/>
  <c r="CF114" i="24"/>
  <c r="CE114" i="24"/>
  <c r="I114" i="24"/>
  <c r="CF67" i="24"/>
  <c r="CE67" i="24"/>
  <c r="AM67" i="24"/>
  <c r="K67" i="24"/>
  <c r="H67" i="24"/>
  <c r="I67" i="24"/>
  <c r="CF158" i="24"/>
  <c r="CE158" i="24"/>
  <c r="AM158" i="24"/>
  <c r="H158" i="24"/>
  <c r="I158" i="24"/>
  <c r="K158" i="24" s="1"/>
  <c r="BN80" i="25"/>
  <c r="BQ80" i="25" s="1"/>
  <c r="I80" i="25"/>
  <c r="BN137" i="25"/>
  <c r="I137" i="25"/>
  <c r="BO265" i="24"/>
  <c r="BR265" i="24" s="1"/>
  <c r="BM269" i="25"/>
  <c r="BQ269" i="25" s="1"/>
  <c r="BO130" i="24"/>
  <c r="BR130" i="24" s="1"/>
  <c r="BO97" i="24"/>
  <c r="BR97" i="24" s="1"/>
  <c r="BO111" i="24"/>
  <c r="BR111" i="24" s="1"/>
  <c r="BM208" i="25"/>
  <c r="BO261" i="24"/>
  <c r="BR261" i="24" s="1"/>
  <c r="J270" i="25"/>
  <c r="I170" i="24"/>
  <c r="K170" i="24" s="1"/>
  <c r="J266" i="25"/>
  <c r="J16" i="25"/>
  <c r="BM226" i="25"/>
  <c r="BO118" i="24"/>
  <c r="BR118" i="24" s="1"/>
  <c r="J185" i="25"/>
  <c r="J186" i="25"/>
  <c r="N186" i="25" s="1"/>
  <c r="J52" i="25"/>
  <c r="J70" i="25"/>
  <c r="I96" i="24"/>
  <c r="J151" i="25"/>
  <c r="I224" i="24"/>
  <c r="I125" i="24"/>
  <c r="K125" i="24" s="1"/>
  <c r="I33" i="24"/>
  <c r="J159" i="25"/>
  <c r="I143" i="24"/>
  <c r="H185" i="24"/>
  <c r="AM185" i="24"/>
  <c r="I185" i="24"/>
  <c r="K185" i="24" s="1"/>
  <c r="CE283" i="24"/>
  <c r="CF283" i="24"/>
  <c r="H283" i="24"/>
  <c r="AM283" i="24"/>
  <c r="I283" i="24"/>
  <c r="H257" i="24"/>
  <c r="AM257" i="24"/>
  <c r="CE257" i="24"/>
  <c r="H168" i="24"/>
  <c r="AM168" i="24"/>
  <c r="AL81" i="25"/>
  <c r="CC81" i="25"/>
  <c r="H81" i="25"/>
  <c r="H44" i="25"/>
  <c r="CE44" i="25"/>
  <c r="CC44" i="25"/>
  <c r="AL44" i="25"/>
  <c r="CF44" i="25"/>
  <c r="AL239" i="25"/>
  <c r="CC239" i="25"/>
  <c r="H239" i="25"/>
  <c r="J239" i="25"/>
  <c r="L239" i="25" s="1"/>
  <c r="H315" i="25"/>
  <c r="AL315" i="25"/>
  <c r="CC315" i="25"/>
  <c r="H280" i="25"/>
  <c r="AL280" i="25"/>
  <c r="CC280" i="25"/>
  <c r="K119" i="24"/>
  <c r="H119" i="24"/>
  <c r="AM119" i="24"/>
  <c r="CF152" i="24"/>
  <c r="CE152" i="24"/>
  <c r="AM152" i="24"/>
  <c r="H152" i="24"/>
  <c r="K70" i="24"/>
  <c r="AM70" i="24"/>
  <c r="H70" i="24"/>
  <c r="CE70" i="24"/>
  <c r="CF70" i="24"/>
  <c r="I70" i="24"/>
  <c r="AL189" i="25"/>
  <c r="CC189" i="25"/>
  <c r="H189" i="25"/>
  <c r="BN37" i="25"/>
  <c r="I37" i="25"/>
  <c r="CC152" i="25"/>
  <c r="AL152" i="25"/>
  <c r="H152" i="25"/>
  <c r="J152" i="25"/>
  <c r="L152" i="25" s="1"/>
  <c r="BN182" i="25"/>
  <c r="I182" i="25"/>
  <c r="M142" i="24"/>
  <c r="AM46" i="24"/>
  <c r="CE46" i="24"/>
  <c r="CF46" i="24"/>
  <c r="K46" i="24"/>
  <c r="H46" i="24"/>
  <c r="I46" i="24"/>
  <c r="H36" i="24"/>
  <c r="CE36" i="24"/>
  <c r="CF36" i="24"/>
  <c r="AM36" i="24"/>
  <c r="K36" i="24"/>
  <c r="I36" i="24"/>
  <c r="AM45" i="24"/>
  <c r="K45" i="24"/>
  <c r="H45" i="24"/>
  <c r="CE281" i="24"/>
  <c r="AM281" i="24"/>
  <c r="H281" i="24"/>
  <c r="I281" i="24"/>
  <c r="K94" i="24"/>
  <c r="AM94" i="24"/>
  <c r="H94" i="24"/>
  <c r="CF94" i="24"/>
  <c r="CE94" i="24"/>
  <c r="I94" i="24"/>
  <c r="AM206" i="24"/>
  <c r="H206" i="24"/>
  <c r="AM132" i="24"/>
  <c r="K132" i="24"/>
  <c r="H132" i="24"/>
  <c r="CE274" i="24"/>
  <c r="H274" i="24"/>
  <c r="AM274" i="24"/>
  <c r="I274" i="24"/>
  <c r="K274" i="24" s="1"/>
  <c r="BO268" i="24"/>
  <c r="BR268" i="24" s="1"/>
  <c r="CF29" i="25"/>
  <c r="H29" i="25"/>
  <c r="AL29" i="25"/>
  <c r="CC29" i="25"/>
  <c r="CE29" i="25"/>
  <c r="BN9" i="25"/>
  <c r="I9" i="25"/>
  <c r="AL38" i="25"/>
  <c r="CC38" i="25"/>
  <c r="CE38" i="25"/>
  <c r="CF38" i="25"/>
  <c r="H38" i="25"/>
  <c r="J38" i="25"/>
  <c r="L38" i="25" s="1"/>
  <c r="CF94" i="25"/>
  <c r="AL94" i="25"/>
  <c r="CC94" i="25"/>
  <c r="CE94" i="25"/>
  <c r="H94" i="25"/>
  <c r="CE298" i="24"/>
  <c r="CF298" i="24"/>
  <c r="H298" i="24"/>
  <c r="AM298" i="24"/>
  <c r="I298" i="24"/>
  <c r="K298" i="24" s="1"/>
  <c r="H165" i="24"/>
  <c r="AM165" i="24"/>
  <c r="I165" i="24"/>
  <c r="M101" i="24"/>
  <c r="CE292" i="24"/>
  <c r="AM292" i="24"/>
  <c r="H292" i="24"/>
  <c r="K292" i="24"/>
  <c r="BN17" i="25"/>
  <c r="BQ17" i="25" s="1"/>
  <c r="I17" i="25"/>
  <c r="I243" i="24"/>
  <c r="BM280" i="25"/>
  <c r="BQ280" i="25" s="1"/>
  <c r="BM122" i="25"/>
  <c r="BM165" i="25"/>
  <c r="BM164" i="25"/>
  <c r="BQ164" i="25" s="1"/>
  <c r="BO165" i="24"/>
  <c r="BR165" i="24" s="1"/>
  <c r="BM185" i="25"/>
  <c r="BQ185" i="25" s="1"/>
  <c r="I186" i="24"/>
  <c r="J42" i="25"/>
  <c r="J141" i="25"/>
  <c r="J9" i="25"/>
  <c r="BO46" i="24"/>
  <c r="BR46" i="24" s="1"/>
  <c r="BM189" i="25"/>
  <c r="BM70" i="25"/>
  <c r="BQ70" i="25" s="1"/>
  <c r="BO18" i="24"/>
  <c r="BR18" i="24" s="1"/>
  <c r="BO56" i="24"/>
  <c r="BR56" i="24" s="1"/>
  <c r="BM241" i="25"/>
  <c r="BQ241" i="25" s="1"/>
  <c r="BO146" i="24"/>
  <c r="BR146" i="24" s="1"/>
  <c r="BM237" i="25"/>
  <c r="BQ237" i="25" s="1"/>
  <c r="BO71" i="24"/>
  <c r="BR71" i="24" s="1"/>
  <c r="BO37" i="24"/>
  <c r="BR37" i="24" s="1"/>
  <c r="BM188" i="25"/>
  <c r="BM176" i="25"/>
  <c r="J226" i="25"/>
  <c r="I152" i="24"/>
  <c r="K152" i="24" s="1"/>
  <c r="I37" i="24"/>
  <c r="J162" i="25"/>
  <c r="BO54" i="24"/>
  <c r="BR54" i="24" s="1"/>
  <c r="BM245" i="25"/>
  <c r="BM74" i="25"/>
  <c r="BO63" i="24"/>
  <c r="BR63" i="24" s="1"/>
  <c r="BO273" i="24"/>
  <c r="BR273" i="24" s="1"/>
  <c r="BM182" i="25"/>
  <c r="BM236" i="25"/>
  <c r="BQ236" i="25" s="1"/>
  <c r="BM137" i="25"/>
  <c r="BO252" i="24"/>
  <c r="BR252" i="24" s="1"/>
  <c r="BO257" i="24"/>
  <c r="BR257" i="24" s="1"/>
  <c r="BO22" i="24"/>
  <c r="BR22" i="24" s="1"/>
  <c r="BO296" i="24"/>
  <c r="BR296" i="24" s="1"/>
  <c r="BM77" i="25"/>
  <c r="BO304" i="24"/>
  <c r="BR304" i="24" s="1"/>
  <c r="BM37" i="25"/>
  <c r="BO114" i="24"/>
  <c r="BR114" i="24" s="1"/>
  <c r="BO292" i="24"/>
  <c r="BR292" i="24" s="1"/>
  <c r="BO67" i="24"/>
  <c r="BR67" i="24" s="1"/>
  <c r="BM120" i="25"/>
  <c r="I168" i="24"/>
  <c r="I56" i="24"/>
  <c r="J168" i="25"/>
  <c r="S236" i="24" l="1"/>
  <c r="T236" i="24" s="1"/>
  <c r="BK233" i="24"/>
  <c r="M236" i="24"/>
  <c r="N236" i="24" s="1"/>
  <c r="K236" i="24"/>
  <c r="M233" i="24"/>
  <c r="N233" i="24" s="1"/>
  <c r="K294" i="24"/>
  <c r="K233" i="24"/>
  <c r="BK294" i="24"/>
  <c r="M294" i="24"/>
  <c r="N294" i="24" s="1"/>
  <c r="AP294" i="24" s="1"/>
  <c r="BK264" i="24"/>
  <c r="M264" i="24"/>
  <c r="N264" i="24" s="1"/>
  <c r="P264" i="24" s="1"/>
  <c r="U237" i="24"/>
  <c r="S257" i="24"/>
  <c r="T257" i="24" s="1"/>
  <c r="J257" i="24" s="1"/>
  <c r="U219" i="24"/>
  <c r="BK257" i="24"/>
  <c r="S264" i="24"/>
  <c r="T264" i="24" s="1"/>
  <c r="J264" i="24" s="1"/>
  <c r="Q257" i="24"/>
  <c r="K257" i="24"/>
  <c r="U290" i="24"/>
  <c r="U268" i="24"/>
  <c r="U279" i="24"/>
  <c r="U312" i="24"/>
  <c r="U310" i="24"/>
  <c r="U248" i="24"/>
  <c r="U313" i="24"/>
  <c r="U292" i="24"/>
  <c r="V292" i="24" s="1"/>
  <c r="U271" i="24"/>
  <c r="U287" i="24"/>
  <c r="U306" i="24"/>
  <c r="U226" i="24"/>
  <c r="U257" i="24"/>
  <c r="V257" i="24" s="1"/>
  <c r="U218" i="24"/>
  <c r="U225" i="24"/>
  <c r="V225" i="24" s="1"/>
  <c r="U234" i="24"/>
  <c r="U303" i="24"/>
  <c r="U270" i="24"/>
  <c r="U272" i="24"/>
  <c r="U238" i="24"/>
  <c r="U307" i="24"/>
  <c r="U236" i="24"/>
  <c r="V236" i="24" s="1"/>
  <c r="U231" i="24"/>
  <c r="U227" i="24"/>
  <c r="BQ227" i="25"/>
  <c r="N190" i="25"/>
  <c r="T190" i="25" s="1"/>
  <c r="U190" i="25" s="1"/>
  <c r="BI190" i="25"/>
  <c r="L94" i="25"/>
  <c r="K160" i="24"/>
  <c r="BK160" i="24"/>
  <c r="L29" i="25"/>
  <c r="BI257" i="25"/>
  <c r="BQ177" i="25"/>
  <c r="N94" i="25"/>
  <c r="T94" i="25" s="1"/>
  <c r="U94" i="25" s="1"/>
  <c r="BQ104" i="25"/>
  <c r="M55" i="24"/>
  <c r="N55" i="24" s="1"/>
  <c r="AP55" i="24" s="1"/>
  <c r="BQ270" i="25"/>
  <c r="S55" i="24"/>
  <c r="T55" i="24" s="1"/>
  <c r="J55" i="24" s="1"/>
  <c r="L257" i="25"/>
  <c r="BQ161" i="25"/>
  <c r="N262" i="25"/>
  <c r="T262" i="25" s="1"/>
  <c r="M160" i="24"/>
  <c r="N160" i="24" s="1"/>
  <c r="P160" i="24" s="1"/>
  <c r="U45" i="24"/>
  <c r="V45" i="24" s="1"/>
  <c r="BQ225" i="25"/>
  <c r="BK41" i="24"/>
  <c r="BQ42" i="25"/>
  <c r="BQ308" i="25"/>
  <c r="S41" i="24"/>
  <c r="T41" i="24" s="1"/>
  <c r="J41" i="24" s="1"/>
  <c r="BQ242" i="25"/>
  <c r="N155" i="25"/>
  <c r="T155" i="25" s="1"/>
  <c r="BQ297" i="25"/>
  <c r="N11" i="25"/>
  <c r="T11" i="25" s="1"/>
  <c r="U11" i="25" s="1"/>
  <c r="BI280" i="25"/>
  <c r="BI11" i="25"/>
  <c r="N280" i="25"/>
  <c r="T280" i="25" s="1"/>
  <c r="U280" i="25" s="1"/>
  <c r="U119" i="24"/>
  <c r="V119" i="24" s="1"/>
  <c r="U162" i="24"/>
  <c r="V162" i="24" s="1"/>
  <c r="K130" i="24"/>
  <c r="U132" i="24"/>
  <c r="V132" i="24" s="1"/>
  <c r="BQ162" i="25"/>
  <c r="BQ37" i="25"/>
  <c r="K116" i="24"/>
  <c r="M289" i="24"/>
  <c r="BI143" i="25"/>
  <c r="L177" i="25"/>
  <c r="L143" i="25"/>
  <c r="BQ88" i="25"/>
  <c r="N189" i="25"/>
  <c r="T189" i="25" s="1"/>
  <c r="U189" i="25" s="1"/>
  <c r="BI237" i="25"/>
  <c r="N29" i="25"/>
  <c r="T29" i="25" s="1"/>
  <c r="U29" i="25" s="1"/>
  <c r="N237" i="25"/>
  <c r="T237" i="25" s="1"/>
  <c r="U237" i="25" s="1"/>
  <c r="BQ263" i="25"/>
  <c r="BQ189" i="25"/>
  <c r="L258" i="25"/>
  <c r="N258" i="25"/>
  <c r="P258" i="25" s="1"/>
  <c r="BQ73" i="25"/>
  <c r="T13" i="25"/>
  <c r="U13" i="25" s="1"/>
  <c r="BQ74" i="25"/>
  <c r="BQ148" i="25"/>
  <c r="BQ302" i="25"/>
  <c r="BQ255" i="25"/>
  <c r="BI293" i="25"/>
  <c r="BQ265" i="25"/>
  <c r="M223" i="24"/>
  <c r="U223" i="24" s="1"/>
  <c r="BQ219" i="25"/>
  <c r="L87" i="25"/>
  <c r="K225" i="24"/>
  <c r="BQ55" i="25"/>
  <c r="L293" i="25"/>
  <c r="BQ120" i="25"/>
  <c r="BQ167" i="25"/>
  <c r="BQ187" i="25"/>
  <c r="BQ293" i="25"/>
  <c r="T143" i="25"/>
  <c r="U143" i="25" s="1"/>
  <c r="BI177" i="25"/>
  <c r="BQ117" i="25"/>
  <c r="BQ96" i="25"/>
  <c r="N179" i="25"/>
  <c r="P179" i="25" s="1"/>
  <c r="BQ220" i="25"/>
  <c r="BQ275" i="25"/>
  <c r="N265" i="25"/>
  <c r="T265" i="25" s="1"/>
  <c r="U265" i="25" s="1"/>
  <c r="BQ313" i="25"/>
  <c r="L265" i="25"/>
  <c r="L179" i="25"/>
  <c r="BQ165" i="25"/>
  <c r="BQ137" i="25"/>
  <c r="K147" i="24"/>
  <c r="BQ122" i="25"/>
  <c r="BQ66" i="25"/>
  <c r="BI129" i="25"/>
  <c r="L206" i="25"/>
  <c r="U191" i="24"/>
  <c r="V191" i="24" s="1"/>
  <c r="BQ294" i="25"/>
  <c r="BQ103" i="25"/>
  <c r="O143" i="25"/>
  <c r="AO143" i="25" s="1"/>
  <c r="N97" i="25"/>
  <c r="T97" i="25" s="1"/>
  <c r="BQ77" i="25"/>
  <c r="L189" i="25"/>
  <c r="BQ306" i="25"/>
  <c r="L110" i="25"/>
  <c r="BQ112" i="25"/>
  <c r="N28" i="25"/>
  <c r="T28" i="25" s="1"/>
  <c r="U28" i="25" s="1"/>
  <c r="T110" i="25"/>
  <c r="U110" i="25" s="1"/>
  <c r="P110" i="25"/>
  <c r="BZ110" i="25" s="1"/>
  <c r="BQ176" i="25"/>
  <c r="BQ13" i="25"/>
  <c r="L129" i="25"/>
  <c r="BQ158" i="25"/>
  <c r="L28" i="25"/>
  <c r="N291" i="25"/>
  <c r="T291" i="25" s="1"/>
  <c r="BQ95" i="25"/>
  <c r="N77" i="25"/>
  <c r="L77" i="25"/>
  <c r="BQ94" i="25"/>
  <c r="BQ283" i="25"/>
  <c r="BQ311" i="25"/>
  <c r="BQ134" i="25"/>
  <c r="BQ292" i="25"/>
  <c r="BI110" i="25"/>
  <c r="BQ245" i="25"/>
  <c r="BQ304" i="25"/>
  <c r="P129" i="25"/>
  <c r="BZ129" i="25" s="1"/>
  <c r="T129" i="25"/>
  <c r="U129" i="25" s="1"/>
  <c r="BQ52" i="25"/>
  <c r="BQ47" i="25"/>
  <c r="BQ133" i="25"/>
  <c r="BQ76" i="25"/>
  <c r="BQ121" i="25"/>
  <c r="K188" i="24"/>
  <c r="M251" i="24"/>
  <c r="N251" i="24" s="1"/>
  <c r="AP251" i="24" s="1"/>
  <c r="M137" i="24"/>
  <c r="N137" i="24" s="1"/>
  <c r="K127" i="24"/>
  <c r="BQ100" i="25"/>
  <c r="BQ195" i="25"/>
  <c r="BQ156" i="25"/>
  <c r="M167" i="24"/>
  <c r="N167" i="24" s="1"/>
  <c r="P167" i="24" s="1"/>
  <c r="BQ192" i="25"/>
  <c r="BQ178" i="25"/>
  <c r="BQ99" i="25"/>
  <c r="BQ267" i="25"/>
  <c r="BQ157" i="25"/>
  <c r="BQ150" i="25"/>
  <c r="BQ181" i="25"/>
  <c r="BQ305" i="25"/>
  <c r="BQ226" i="25"/>
  <c r="N104" i="25"/>
  <c r="T104" i="25" s="1"/>
  <c r="U104" i="25" s="1"/>
  <c r="BI131" i="25"/>
  <c r="N154" i="25"/>
  <c r="P154" i="25" s="1"/>
  <c r="BQ238" i="25"/>
  <c r="L173" i="25"/>
  <c r="BQ307" i="25"/>
  <c r="BQ147" i="25"/>
  <c r="T131" i="25"/>
  <c r="U131" i="25" s="1"/>
  <c r="BQ210" i="25"/>
  <c r="BQ198" i="25"/>
  <c r="L131" i="25"/>
  <c r="BQ199" i="25"/>
  <c r="BQ12" i="25"/>
  <c r="L199" i="25"/>
  <c r="BQ145" i="25"/>
  <c r="BQ190" i="25"/>
  <c r="N41" i="24"/>
  <c r="AP41" i="24" s="1"/>
  <c r="U41" i="24"/>
  <c r="V41" i="24" s="1"/>
  <c r="BQ194" i="25"/>
  <c r="K200" i="24"/>
  <c r="K193" i="24"/>
  <c r="K237" i="24"/>
  <c r="K306" i="24"/>
  <c r="K313" i="24"/>
  <c r="M77" i="24"/>
  <c r="N77" i="24" s="1"/>
  <c r="AP77" i="24" s="1"/>
  <c r="N96" i="25"/>
  <c r="T96" i="25" s="1"/>
  <c r="U96" i="25" s="1"/>
  <c r="K248" i="24"/>
  <c r="K279" i="24"/>
  <c r="K234" i="24"/>
  <c r="BQ182" i="25"/>
  <c r="L6" i="25"/>
  <c r="M285" i="24"/>
  <c r="K205" i="24"/>
  <c r="K307" i="24"/>
  <c r="BQ71" i="25"/>
  <c r="K182" i="24"/>
  <c r="L167" i="25"/>
  <c r="BQ254" i="25"/>
  <c r="K246" i="24"/>
  <c r="M84" i="24"/>
  <c r="N84" i="24" s="1"/>
  <c r="BQ235" i="25"/>
  <c r="K227" i="24"/>
  <c r="BQ268" i="25"/>
  <c r="K303" i="24"/>
  <c r="M134" i="24"/>
  <c r="N134" i="24" s="1"/>
  <c r="AP134" i="24" s="1"/>
  <c r="U88" i="24"/>
  <c r="V88" i="24" s="1"/>
  <c r="BI104" i="25"/>
  <c r="K272" i="24"/>
  <c r="K226" i="24"/>
  <c r="K310" i="24"/>
  <c r="BQ209" i="25"/>
  <c r="BQ27" i="25"/>
  <c r="BQ287" i="25"/>
  <c r="L71" i="25"/>
  <c r="T232" i="25"/>
  <c r="U232" i="25" s="1"/>
  <c r="BQ276" i="25"/>
  <c r="BQ188" i="25"/>
  <c r="M252" i="24"/>
  <c r="N252" i="24" s="1"/>
  <c r="P252" i="24" s="1"/>
  <c r="K290" i="24"/>
  <c r="L13" i="25"/>
  <c r="BQ175" i="25"/>
  <c r="BQ173" i="25"/>
  <c r="M246" i="24"/>
  <c r="N246" i="24" s="1"/>
  <c r="AP246" i="24" s="1"/>
  <c r="M286" i="24"/>
  <c r="N286" i="24" s="1"/>
  <c r="U7" i="24"/>
  <c r="V7" i="24" s="1"/>
  <c r="M276" i="24"/>
  <c r="N276" i="24" s="1"/>
  <c r="AP276" i="24" s="1"/>
  <c r="M157" i="24"/>
  <c r="N157" i="24" s="1"/>
  <c r="AP157" i="24" s="1"/>
  <c r="K218" i="24"/>
  <c r="N59" i="25"/>
  <c r="T59" i="25" s="1"/>
  <c r="BQ248" i="25"/>
  <c r="BQ142" i="25"/>
  <c r="L306" i="25"/>
  <c r="BQ86" i="25"/>
  <c r="L161" i="25"/>
  <c r="BQ249" i="25"/>
  <c r="BQ113" i="25"/>
  <c r="BQ131" i="25"/>
  <c r="T255" i="25"/>
  <c r="U255" i="25" s="1"/>
  <c r="L32" i="25"/>
  <c r="L95" i="25"/>
  <c r="T296" i="25"/>
  <c r="U296" i="25" s="1"/>
  <c r="L273" i="25"/>
  <c r="BQ208" i="25"/>
  <c r="L198" i="25"/>
  <c r="BQ65" i="25"/>
  <c r="BQ286" i="25"/>
  <c r="L14" i="25"/>
  <c r="L114" i="25"/>
  <c r="BQ251" i="25"/>
  <c r="L147" i="25"/>
  <c r="L229" i="25"/>
  <c r="BQ28" i="25"/>
  <c r="L248" i="25"/>
  <c r="BQ271" i="25"/>
  <c r="L276" i="25"/>
  <c r="L247" i="25"/>
  <c r="L158" i="25"/>
  <c r="BQ36" i="25"/>
  <c r="L261" i="25"/>
  <c r="L186" i="25"/>
  <c r="L292" i="25"/>
  <c r="L148" i="25"/>
  <c r="BQ101" i="25"/>
  <c r="L113" i="25"/>
  <c r="L255" i="25"/>
  <c r="L243" i="25"/>
  <c r="L240" i="25"/>
  <c r="BQ75" i="25"/>
  <c r="T186" i="25"/>
  <c r="U186" i="25" s="1"/>
  <c r="L192" i="25"/>
  <c r="L283" i="25"/>
  <c r="U192" i="25"/>
  <c r="Q6" i="24"/>
  <c r="R6" i="24" s="1"/>
  <c r="P6" i="24"/>
  <c r="U257" i="25"/>
  <c r="BK165" i="24"/>
  <c r="S165" i="24"/>
  <c r="T165" i="24" s="1"/>
  <c r="M165" i="24"/>
  <c r="N165" i="24" s="1"/>
  <c r="BK33" i="24"/>
  <c r="S33" i="24"/>
  <c r="T33" i="24" s="1"/>
  <c r="M33" i="24"/>
  <c r="N33" i="24" s="1"/>
  <c r="AP33" i="24" s="1"/>
  <c r="BI162" i="25"/>
  <c r="N162" i="25"/>
  <c r="T162" i="25" s="1"/>
  <c r="BI9" i="25"/>
  <c r="N9" i="25"/>
  <c r="T9" i="25" s="1"/>
  <c r="L9" i="25"/>
  <c r="AP45" i="24"/>
  <c r="AH239" i="25"/>
  <c r="BK224" i="24"/>
  <c r="S224" i="24"/>
  <c r="T224" i="24" s="1"/>
  <c r="K224" i="24"/>
  <c r="AP233" i="24"/>
  <c r="U18" i="24"/>
  <c r="BK111" i="24"/>
  <c r="S111" i="24"/>
  <c r="T111" i="24" s="1"/>
  <c r="K111" i="24"/>
  <c r="M111" i="24"/>
  <c r="N111" i="24" s="1"/>
  <c r="BI245" i="25"/>
  <c r="N245" i="25"/>
  <c r="T245" i="25" s="1"/>
  <c r="L245" i="25"/>
  <c r="N97" i="24"/>
  <c r="U97" i="24"/>
  <c r="P82" i="25"/>
  <c r="O82" i="25"/>
  <c r="P27" i="24"/>
  <c r="Q27" i="24"/>
  <c r="R27" i="24" s="1"/>
  <c r="P148" i="25"/>
  <c r="O148" i="25"/>
  <c r="T148" i="25"/>
  <c r="P147" i="25"/>
  <c r="O147" i="25"/>
  <c r="AO147" i="25" s="1"/>
  <c r="P240" i="25"/>
  <c r="O240" i="25"/>
  <c r="AO240" i="25" s="1"/>
  <c r="T240" i="25"/>
  <c r="P113" i="25"/>
  <c r="O113" i="25"/>
  <c r="AO113" i="25" s="1"/>
  <c r="T113" i="25"/>
  <c r="P237" i="24"/>
  <c r="Q237" i="24"/>
  <c r="N303" i="24"/>
  <c r="AP303" i="24" s="1"/>
  <c r="P267" i="25"/>
  <c r="O267" i="25"/>
  <c r="AO267" i="25" s="1"/>
  <c r="N90" i="24"/>
  <c r="AP90" i="24" s="1"/>
  <c r="U90" i="24"/>
  <c r="N79" i="24"/>
  <c r="AP79" i="24" s="1"/>
  <c r="U79" i="24"/>
  <c r="BK281" i="24"/>
  <c r="S281" i="24"/>
  <c r="T281" i="24" s="1"/>
  <c r="M281" i="24"/>
  <c r="N281" i="24" s="1"/>
  <c r="AH81" i="25"/>
  <c r="BI168" i="25"/>
  <c r="N168" i="25"/>
  <c r="T168" i="25" s="1"/>
  <c r="L168" i="25"/>
  <c r="U147" i="24"/>
  <c r="BK37" i="24"/>
  <c r="S37" i="24"/>
  <c r="T37" i="24" s="1"/>
  <c r="M37" i="24"/>
  <c r="N37" i="24" s="1"/>
  <c r="AP37" i="24" s="1"/>
  <c r="BI141" i="25"/>
  <c r="N141" i="25"/>
  <c r="T141" i="25" s="1"/>
  <c r="L141" i="25"/>
  <c r="AH38" i="25"/>
  <c r="BK94" i="24"/>
  <c r="S94" i="24"/>
  <c r="T94" i="24" s="1"/>
  <c r="M94" i="24"/>
  <c r="AH315" i="25"/>
  <c r="AH44" i="25"/>
  <c r="S283" i="24"/>
  <c r="T283" i="24" s="1"/>
  <c r="BK283" i="24"/>
  <c r="M283" i="24"/>
  <c r="N283" i="24" s="1"/>
  <c r="AP283" i="24" s="1"/>
  <c r="K283" i="24"/>
  <c r="BI151" i="25"/>
  <c r="N151" i="25"/>
  <c r="T151" i="25" s="1"/>
  <c r="L151" i="25"/>
  <c r="BI16" i="25"/>
  <c r="L16" i="25"/>
  <c r="N16" i="25"/>
  <c r="T16" i="25" s="1"/>
  <c r="AH8" i="25"/>
  <c r="N83" i="24"/>
  <c r="AP83" i="24" s="1"/>
  <c r="U83" i="24"/>
  <c r="BI160" i="25"/>
  <c r="N160" i="25"/>
  <c r="BK261" i="24"/>
  <c r="S261" i="24"/>
  <c r="T261" i="24" s="1"/>
  <c r="M261" i="24"/>
  <c r="N261" i="24" s="1"/>
  <c r="AP261" i="24" s="1"/>
  <c r="K261" i="24"/>
  <c r="Q129" i="24"/>
  <c r="P129" i="24"/>
  <c r="M224" i="24"/>
  <c r="N224" i="24" s="1"/>
  <c r="N116" i="24"/>
  <c r="AP116" i="24" s="1"/>
  <c r="U116" i="24"/>
  <c r="N130" i="24"/>
  <c r="AP130" i="24" s="1"/>
  <c r="U130" i="24"/>
  <c r="P92" i="25"/>
  <c r="O92" i="25"/>
  <c r="T92" i="25"/>
  <c r="Q238" i="24"/>
  <c r="P238" i="24"/>
  <c r="N10" i="24"/>
  <c r="AP10" i="24" s="1"/>
  <c r="U10" i="24"/>
  <c r="P259" i="25"/>
  <c r="O259" i="25"/>
  <c r="T259" i="25"/>
  <c r="P89" i="25"/>
  <c r="O89" i="25"/>
  <c r="T89" i="25"/>
  <c r="N32" i="24"/>
  <c r="AP32" i="24" s="1"/>
  <c r="U32" i="24"/>
  <c r="P243" i="25"/>
  <c r="O243" i="25"/>
  <c r="AO243" i="25" s="1"/>
  <c r="T243" i="25"/>
  <c r="BK243" i="24"/>
  <c r="S243" i="24"/>
  <c r="T243" i="24" s="1"/>
  <c r="BK67" i="24"/>
  <c r="S67" i="24"/>
  <c r="T67" i="24" s="1"/>
  <c r="M67" i="24"/>
  <c r="N67" i="24" s="1"/>
  <c r="AP67" i="24" s="1"/>
  <c r="AP268" i="24"/>
  <c r="P192" i="25"/>
  <c r="O192" i="25"/>
  <c r="P307" i="24"/>
  <c r="Q307" i="24"/>
  <c r="P206" i="25"/>
  <c r="O206" i="25"/>
  <c r="T206" i="25"/>
  <c r="P246" i="25"/>
  <c r="O246" i="25"/>
  <c r="AO246" i="25" s="1"/>
  <c r="Q205" i="24"/>
  <c r="P205" i="24"/>
  <c r="P238" i="25"/>
  <c r="O238" i="25"/>
  <c r="AO238" i="25" s="1"/>
  <c r="T238" i="25"/>
  <c r="P292" i="25"/>
  <c r="O292" i="25"/>
  <c r="AO292" i="25" s="1"/>
  <c r="T292" i="25"/>
  <c r="N193" i="24"/>
  <c r="U193" i="24"/>
  <c r="P32" i="25"/>
  <c r="O32" i="25"/>
  <c r="AO32" i="25" s="1"/>
  <c r="T32" i="25"/>
  <c r="Q199" i="24"/>
  <c r="P199" i="24"/>
  <c r="P201" i="25"/>
  <c r="O201" i="25"/>
  <c r="AO201" i="25" s="1"/>
  <c r="T201" i="25"/>
  <c r="N248" i="24"/>
  <c r="AP248" i="24" s="1"/>
  <c r="P95" i="25"/>
  <c r="O95" i="25"/>
  <c r="AO95" i="25" s="1"/>
  <c r="T95" i="25"/>
  <c r="BK56" i="24"/>
  <c r="S56" i="24"/>
  <c r="T56" i="24" s="1"/>
  <c r="M56" i="24"/>
  <c r="N56" i="24" s="1"/>
  <c r="BI42" i="25"/>
  <c r="N42" i="25"/>
  <c r="T42" i="25" s="1"/>
  <c r="L42" i="25"/>
  <c r="N142" i="24"/>
  <c r="AP142" i="24" s="1"/>
  <c r="U142" i="24"/>
  <c r="BK250" i="24"/>
  <c r="S250" i="24"/>
  <c r="T250" i="24" s="1"/>
  <c r="M250" i="24"/>
  <c r="N250" i="24" s="1"/>
  <c r="AP250" i="24" s="1"/>
  <c r="K165" i="24"/>
  <c r="AP132" i="24"/>
  <c r="AH189" i="25"/>
  <c r="BI70" i="25"/>
  <c r="L70" i="25"/>
  <c r="N70" i="25"/>
  <c r="BK170" i="24"/>
  <c r="S170" i="24"/>
  <c r="T170" i="24" s="1"/>
  <c r="M170" i="24"/>
  <c r="N170" i="24" s="1"/>
  <c r="BI8" i="25"/>
  <c r="N8" i="25"/>
  <c r="T8" i="25" s="1"/>
  <c r="BI164" i="25"/>
  <c r="N164" i="25"/>
  <c r="T164" i="25" s="1"/>
  <c r="BI202" i="25"/>
  <c r="N202" i="25"/>
  <c r="BI195" i="25"/>
  <c r="L195" i="25"/>
  <c r="N195" i="25"/>
  <c r="T195" i="25" s="1"/>
  <c r="AP7" i="24"/>
  <c r="K243" i="24"/>
  <c r="BK82" i="24"/>
  <c r="S82" i="24"/>
  <c r="T82" i="24" s="1"/>
  <c r="M82" i="24"/>
  <c r="N82" i="24" s="1"/>
  <c r="AP82" i="24" s="1"/>
  <c r="P163" i="24"/>
  <c r="Q163" i="24"/>
  <c r="BI81" i="25"/>
  <c r="N81" i="25"/>
  <c r="BI44" i="25"/>
  <c r="N44" i="25"/>
  <c r="AP191" i="24"/>
  <c r="P13" i="25"/>
  <c r="O13" i="25"/>
  <c r="AO13" i="25" s="1"/>
  <c r="O71" i="25"/>
  <c r="P71" i="25"/>
  <c r="T71" i="25"/>
  <c r="N200" i="24"/>
  <c r="U200" i="24"/>
  <c r="P306" i="25"/>
  <c r="O306" i="25"/>
  <c r="T306" i="25"/>
  <c r="N40" i="24"/>
  <c r="AP40" i="24" s="1"/>
  <c r="U40" i="24"/>
  <c r="P173" i="25"/>
  <c r="O173" i="25"/>
  <c r="AO173" i="25" s="1"/>
  <c r="T173" i="25"/>
  <c r="P31" i="25"/>
  <c r="O31" i="25"/>
  <c r="AO31" i="25" s="1"/>
  <c r="N227" i="24"/>
  <c r="AP227" i="24" s="1"/>
  <c r="N218" i="24"/>
  <c r="AP218" i="24" s="1"/>
  <c r="N310" i="24"/>
  <c r="P314" i="25"/>
  <c r="O314" i="25"/>
  <c r="AO314" i="25" s="1"/>
  <c r="P47" i="24"/>
  <c r="Q47" i="24"/>
  <c r="R47" i="24" s="1"/>
  <c r="N120" i="24"/>
  <c r="AP120" i="24" s="1"/>
  <c r="U120" i="24"/>
  <c r="P270" i="24"/>
  <c r="Q270" i="24"/>
  <c r="P273" i="25"/>
  <c r="O273" i="25"/>
  <c r="AO273" i="25" s="1"/>
  <c r="T273" i="25"/>
  <c r="BK152" i="24"/>
  <c r="S152" i="24"/>
  <c r="T152" i="24" s="1"/>
  <c r="M152" i="24"/>
  <c r="N152" i="24" s="1"/>
  <c r="AP152" i="24" s="1"/>
  <c r="P147" i="24"/>
  <c r="Q147" i="24"/>
  <c r="BK70" i="24"/>
  <c r="S70" i="24"/>
  <c r="T70" i="24" s="1"/>
  <c r="M70" i="24"/>
  <c r="N70" i="24" s="1"/>
  <c r="AP70" i="24" s="1"/>
  <c r="BK186" i="24"/>
  <c r="S186" i="24"/>
  <c r="T186" i="24" s="1"/>
  <c r="M186" i="24"/>
  <c r="N186" i="24" s="1"/>
  <c r="K186" i="24"/>
  <c r="Q24" i="24"/>
  <c r="R24" i="24" s="1"/>
  <c r="P24" i="24"/>
  <c r="BK168" i="24"/>
  <c r="S168" i="24"/>
  <c r="T168" i="24" s="1"/>
  <c r="M168" i="24"/>
  <c r="N168" i="24" s="1"/>
  <c r="AP168" i="24" s="1"/>
  <c r="AP292" i="24"/>
  <c r="BK298" i="24"/>
  <c r="S298" i="24"/>
  <c r="T298" i="24" s="1"/>
  <c r="M298" i="24"/>
  <c r="U298" i="24" s="1"/>
  <c r="AH94" i="25"/>
  <c r="BK274" i="24"/>
  <c r="S274" i="24"/>
  <c r="T274" i="24" s="1"/>
  <c r="M274" i="24"/>
  <c r="N274" i="24" s="1"/>
  <c r="K281" i="24"/>
  <c r="Q18" i="24"/>
  <c r="R18" i="24" s="1"/>
  <c r="P18" i="24"/>
  <c r="AP119" i="24"/>
  <c r="K168" i="24"/>
  <c r="BK143" i="24"/>
  <c r="S143" i="24"/>
  <c r="T143" i="24" s="1"/>
  <c r="M143" i="24"/>
  <c r="N143" i="24" s="1"/>
  <c r="AP143" i="24" s="1"/>
  <c r="K143" i="24"/>
  <c r="U6" i="25"/>
  <c r="BK202" i="24"/>
  <c r="S202" i="24"/>
  <c r="T202" i="24" s="1"/>
  <c r="M202" i="24"/>
  <c r="N202" i="24" s="1"/>
  <c r="K202" i="24"/>
  <c r="BK50" i="24"/>
  <c r="S50" i="24"/>
  <c r="T50" i="24" s="1"/>
  <c r="M50" i="24"/>
  <c r="N50" i="24" s="1"/>
  <c r="AP50" i="24" s="1"/>
  <c r="BQ132" i="25"/>
  <c r="U14" i="24"/>
  <c r="AH257" i="25"/>
  <c r="AH141" i="25"/>
  <c r="AH168" i="25"/>
  <c r="P283" i="25"/>
  <c r="O283" i="25"/>
  <c r="AO283" i="25" s="1"/>
  <c r="T283" i="25"/>
  <c r="P167" i="25"/>
  <c r="O167" i="25"/>
  <c r="AO167" i="25" s="1"/>
  <c r="T167" i="25"/>
  <c r="N313" i="24"/>
  <c r="AP313" i="24" s="1"/>
  <c r="P178" i="25"/>
  <c r="O178" i="25"/>
  <c r="AO178" i="25" s="1"/>
  <c r="T178" i="25"/>
  <c r="P248" i="25"/>
  <c r="O248" i="25"/>
  <c r="AO248" i="25" s="1"/>
  <c r="T248" i="25"/>
  <c r="P114" i="25"/>
  <c r="O114" i="25"/>
  <c r="AO114" i="25" s="1"/>
  <c r="T114" i="25"/>
  <c r="Q290" i="24"/>
  <c r="P290" i="24"/>
  <c r="P199" i="25"/>
  <c r="O199" i="25"/>
  <c r="AO199" i="25" s="1"/>
  <c r="AH186" i="25"/>
  <c r="BI226" i="25"/>
  <c r="L226" i="25"/>
  <c r="N226" i="25"/>
  <c r="Q14" i="24"/>
  <c r="R14" i="24" s="1"/>
  <c r="P14" i="24"/>
  <c r="AH29" i="25"/>
  <c r="BK185" i="24"/>
  <c r="S185" i="24"/>
  <c r="T185" i="24" s="1"/>
  <c r="M185" i="24"/>
  <c r="N185" i="24" s="1"/>
  <c r="N101" i="24"/>
  <c r="U101" i="24"/>
  <c r="BI38" i="25"/>
  <c r="N38" i="25"/>
  <c r="P257" i="25"/>
  <c r="O257" i="25"/>
  <c r="AO257" i="25" s="1"/>
  <c r="BK46" i="24"/>
  <c r="S46" i="24"/>
  <c r="T46" i="24" s="1"/>
  <c r="M46" i="24"/>
  <c r="AH152" i="25"/>
  <c r="BI239" i="25"/>
  <c r="N239" i="25"/>
  <c r="P186" i="25"/>
  <c r="O186" i="25"/>
  <c r="AO186" i="25" s="1"/>
  <c r="K250" i="24"/>
  <c r="L160" i="25"/>
  <c r="AH270" i="25"/>
  <c r="BK265" i="24"/>
  <c r="S265" i="24"/>
  <c r="T265" i="24" s="1"/>
  <c r="M265" i="24"/>
  <c r="N265" i="24" s="1"/>
  <c r="AP265" i="24" s="1"/>
  <c r="K265" i="24"/>
  <c r="BI132" i="25"/>
  <c r="N132" i="25"/>
  <c r="T132" i="25" s="1"/>
  <c r="L132" i="25"/>
  <c r="L162" i="25"/>
  <c r="N19" i="24"/>
  <c r="AP19" i="24" s="1"/>
  <c r="U19" i="24"/>
  <c r="P174" i="25"/>
  <c r="O174" i="25"/>
  <c r="AO174" i="25" s="1"/>
  <c r="P87" i="25"/>
  <c r="O87" i="25"/>
  <c r="T87" i="25"/>
  <c r="AH280" i="25"/>
  <c r="N185" i="25"/>
  <c r="T185" i="25" s="1"/>
  <c r="BI185" i="25"/>
  <c r="AH23" i="25"/>
  <c r="BK296" i="24"/>
  <c r="M296" i="24"/>
  <c r="N296" i="24" s="1"/>
  <c r="AP296" i="24" s="1"/>
  <c r="S296" i="24"/>
  <c r="T296" i="24" s="1"/>
  <c r="K296" i="24"/>
  <c r="U62" i="24"/>
  <c r="M243" i="24"/>
  <c r="N243" i="24" s="1"/>
  <c r="L185" i="25"/>
  <c r="AP163" i="24"/>
  <c r="BQ9" i="25"/>
  <c r="N241" i="25"/>
  <c r="T241" i="25" s="1"/>
  <c r="BI241" i="25"/>
  <c r="L241" i="25"/>
  <c r="BI58" i="25"/>
  <c r="N58" i="25"/>
  <c r="T58" i="25" s="1"/>
  <c r="L58" i="25"/>
  <c r="AH182" i="25"/>
  <c r="Q76" i="24"/>
  <c r="R76" i="24" s="1"/>
  <c r="P76" i="24"/>
  <c r="P25" i="24"/>
  <c r="Q25" i="24"/>
  <c r="R25" i="24" s="1"/>
  <c r="P276" i="25"/>
  <c r="O276" i="25"/>
  <c r="AO276" i="25" s="1"/>
  <c r="N226" i="24"/>
  <c r="AP226" i="24" s="1"/>
  <c r="N287" i="24"/>
  <c r="AP287" i="24" s="1"/>
  <c r="P247" i="25"/>
  <c r="O247" i="25"/>
  <c r="AO247" i="25" s="1"/>
  <c r="P161" i="25"/>
  <c r="O161" i="25"/>
  <c r="AO161" i="25" s="1"/>
  <c r="N306" i="24"/>
  <c r="P158" i="25"/>
  <c r="O158" i="25"/>
  <c r="AO158" i="25" s="1"/>
  <c r="T158" i="25"/>
  <c r="P21" i="25"/>
  <c r="O21" i="25"/>
  <c r="T21" i="25"/>
  <c r="N180" i="24"/>
  <c r="U180" i="24"/>
  <c r="P282" i="25"/>
  <c r="O282" i="25"/>
  <c r="AO282" i="25" s="1"/>
  <c r="T282" i="25"/>
  <c r="Q312" i="24"/>
  <c r="P312" i="24"/>
  <c r="Q272" i="24"/>
  <c r="P272" i="24"/>
  <c r="BI152" i="25"/>
  <c r="N152" i="25"/>
  <c r="T152" i="25" s="1"/>
  <c r="Q62" i="24"/>
  <c r="R62" i="24" s="1"/>
  <c r="P62" i="24"/>
  <c r="BK36" i="24"/>
  <c r="S36" i="24"/>
  <c r="T36" i="24" s="1"/>
  <c r="M36" i="24"/>
  <c r="N36" i="24" s="1"/>
  <c r="AP36" i="24" s="1"/>
  <c r="Q268" i="24"/>
  <c r="P268" i="24"/>
  <c r="BK138" i="24"/>
  <c r="S138" i="24"/>
  <c r="T138" i="24" s="1"/>
  <c r="M138" i="24"/>
  <c r="N138" i="24" s="1"/>
  <c r="AP138" i="24" s="1"/>
  <c r="BI193" i="25"/>
  <c r="N193" i="25"/>
  <c r="T193" i="25" s="1"/>
  <c r="BK273" i="24"/>
  <c r="S273" i="24"/>
  <c r="T273" i="24" s="1"/>
  <c r="M273" i="24"/>
  <c r="N273" i="24" s="1"/>
  <c r="AP273" i="24" s="1"/>
  <c r="K273" i="24"/>
  <c r="P232" i="25"/>
  <c r="O232" i="25"/>
  <c r="BK6" i="24"/>
  <c r="S6" i="24"/>
  <c r="T6" i="24" s="1"/>
  <c r="U6" i="24"/>
  <c r="N16" i="24"/>
  <c r="AP16" i="24" s="1"/>
  <c r="U16" i="24"/>
  <c r="N231" i="24"/>
  <c r="AP231" i="24" s="1"/>
  <c r="P150" i="24"/>
  <c r="Q150" i="24"/>
  <c r="N279" i="24"/>
  <c r="AP279" i="24" s="1"/>
  <c r="N234" i="24"/>
  <c r="AP234" i="24" s="1"/>
  <c r="P271" i="24"/>
  <c r="Q271" i="24"/>
  <c r="P229" i="25"/>
  <c r="O229" i="25"/>
  <c r="AO229" i="25" s="1"/>
  <c r="T229" i="25"/>
  <c r="P14" i="25"/>
  <c r="O14" i="25"/>
  <c r="T14" i="25"/>
  <c r="P261" i="25"/>
  <c r="O261" i="25"/>
  <c r="T261" i="25"/>
  <c r="P30" i="25"/>
  <c r="O30" i="25"/>
  <c r="BK12" i="24"/>
  <c r="S12" i="24"/>
  <c r="T12" i="24" s="1"/>
  <c r="M12" i="24"/>
  <c r="N12" i="24" s="1"/>
  <c r="AP12" i="24" s="1"/>
  <c r="BK74" i="24"/>
  <c r="S74" i="24"/>
  <c r="T74" i="24" s="1"/>
  <c r="M74" i="24"/>
  <c r="N74" i="24" s="1"/>
  <c r="AP74" i="24" s="1"/>
  <c r="AH208" i="25"/>
  <c r="AH74" i="25"/>
  <c r="BI203" i="25"/>
  <c r="BI30" i="25"/>
  <c r="L30" i="25"/>
  <c r="BI73" i="25"/>
  <c r="AH130" i="25"/>
  <c r="P182" i="24"/>
  <c r="Q182" i="24"/>
  <c r="AP182" i="24"/>
  <c r="BK269" i="24"/>
  <c r="S269" i="24"/>
  <c r="T269" i="24" s="1"/>
  <c r="M269" i="24"/>
  <c r="N269" i="24" s="1"/>
  <c r="BK245" i="24"/>
  <c r="S245" i="24"/>
  <c r="T245" i="24" s="1"/>
  <c r="BI175" i="25"/>
  <c r="AH238" i="25"/>
  <c r="BK222" i="24"/>
  <c r="S222" i="24"/>
  <c r="T222" i="24" s="1"/>
  <c r="Q119" i="24"/>
  <c r="P119" i="24"/>
  <c r="Q43" i="24"/>
  <c r="R43" i="24" s="1"/>
  <c r="P43" i="24"/>
  <c r="BK87" i="24"/>
  <c r="S87" i="24"/>
  <c r="T87" i="24" s="1"/>
  <c r="M87" i="24"/>
  <c r="N87" i="24" s="1"/>
  <c r="BI290" i="25"/>
  <c r="N290" i="25"/>
  <c r="T290" i="25" s="1"/>
  <c r="L290" i="25"/>
  <c r="BK284" i="24"/>
  <c r="S284" i="24"/>
  <c r="T284" i="24" s="1"/>
  <c r="BK81" i="24"/>
  <c r="S81" i="24"/>
  <c r="T81" i="24" s="1"/>
  <c r="BK208" i="24"/>
  <c r="S208" i="24"/>
  <c r="T208" i="24" s="1"/>
  <c r="BI263" i="25"/>
  <c r="BK297" i="24"/>
  <c r="S297" i="24"/>
  <c r="T297" i="24" s="1"/>
  <c r="K297" i="24"/>
  <c r="AH65" i="25"/>
  <c r="BK98" i="24"/>
  <c r="S98" i="24"/>
  <c r="T98" i="24" s="1"/>
  <c r="BI144" i="25"/>
  <c r="L144" i="25"/>
  <c r="P275" i="25"/>
  <c r="O275" i="25"/>
  <c r="AO275" i="25" s="1"/>
  <c r="BK35" i="24"/>
  <c r="S35" i="24"/>
  <c r="T35" i="24" s="1"/>
  <c r="BI102" i="25"/>
  <c r="BQ174" i="25"/>
  <c r="AH115" i="25"/>
  <c r="BK43" i="24"/>
  <c r="S43" i="24"/>
  <c r="T43" i="24" s="1"/>
  <c r="Q181" i="24"/>
  <c r="P181" i="24"/>
  <c r="AP271" i="24"/>
  <c r="BI101" i="25"/>
  <c r="BI289" i="25"/>
  <c r="BI50" i="25"/>
  <c r="N50" i="25"/>
  <c r="T50" i="25" s="1"/>
  <c r="BK136" i="24"/>
  <c r="S136" i="24"/>
  <c r="T136" i="24" s="1"/>
  <c r="BI47" i="25"/>
  <c r="AH258" i="25"/>
  <c r="AH134" i="25"/>
  <c r="AH207" i="25"/>
  <c r="BK258" i="24"/>
  <c r="S258" i="24"/>
  <c r="T258" i="24" s="1"/>
  <c r="M258" i="24"/>
  <c r="N258" i="24" s="1"/>
  <c r="AP258" i="24" s="1"/>
  <c r="BI35" i="25"/>
  <c r="N35" i="25"/>
  <c r="T35" i="25" s="1"/>
  <c r="BI91" i="25"/>
  <c r="N91" i="25"/>
  <c r="T91" i="25" s="1"/>
  <c r="AH57" i="25"/>
  <c r="BI24" i="25"/>
  <c r="N24" i="25"/>
  <c r="T24" i="25" s="1"/>
  <c r="L24" i="25"/>
  <c r="BI149" i="25"/>
  <c r="N149" i="25"/>
  <c r="T149" i="25" s="1"/>
  <c r="BK178" i="24"/>
  <c r="S178" i="24"/>
  <c r="T178" i="24" s="1"/>
  <c r="M178" i="24"/>
  <c r="N178" i="24" s="1"/>
  <c r="BI36" i="25"/>
  <c r="N36" i="25"/>
  <c r="T36" i="25" s="1"/>
  <c r="BI256" i="25"/>
  <c r="N256" i="25"/>
  <c r="T256" i="25" s="1"/>
  <c r="BI119" i="25"/>
  <c r="N119" i="25"/>
  <c r="T119" i="25" s="1"/>
  <c r="AH131" i="25"/>
  <c r="N61" i="25"/>
  <c r="T61" i="25" s="1"/>
  <c r="BI61" i="25"/>
  <c r="AH61" i="25"/>
  <c r="U293" i="25"/>
  <c r="AH146" i="25"/>
  <c r="AH294" i="25"/>
  <c r="AH264" i="25"/>
  <c r="BI88" i="25"/>
  <c r="BQ59" i="25"/>
  <c r="AH179" i="25"/>
  <c r="Q86" i="24"/>
  <c r="R86" i="24" s="1"/>
  <c r="P86" i="24"/>
  <c r="BK23" i="24"/>
  <c r="S23" i="24"/>
  <c r="T23" i="24" s="1"/>
  <c r="BK15" i="24"/>
  <c r="S15" i="24"/>
  <c r="T15" i="24" s="1"/>
  <c r="BK244" i="24"/>
  <c r="S244" i="24"/>
  <c r="T244" i="24" s="1"/>
  <c r="O22" i="24"/>
  <c r="BZ22" i="24" s="1"/>
  <c r="J22" i="24"/>
  <c r="BK201" i="24"/>
  <c r="S201" i="24"/>
  <c r="T201" i="24" s="1"/>
  <c r="T174" i="25"/>
  <c r="AH21" i="25"/>
  <c r="AH96" i="25"/>
  <c r="AH116" i="25"/>
  <c r="AH314" i="25"/>
  <c r="AH166" i="25"/>
  <c r="AH201" i="25"/>
  <c r="BK28" i="24"/>
  <c r="S28" i="24"/>
  <c r="T28" i="24" s="1"/>
  <c r="BQ261" i="25"/>
  <c r="BI172" i="25"/>
  <c r="BK172" i="24"/>
  <c r="S172" i="24"/>
  <c r="T172" i="24" s="1"/>
  <c r="AH272" i="25"/>
  <c r="AH89" i="25"/>
  <c r="AH110" i="25"/>
  <c r="BI305" i="25"/>
  <c r="BI275" i="25"/>
  <c r="AH275" i="25"/>
  <c r="AH262" i="25"/>
  <c r="BK254" i="24"/>
  <c r="S254" i="24"/>
  <c r="T254" i="24" s="1"/>
  <c r="BK230" i="24"/>
  <c r="S230" i="24"/>
  <c r="T230" i="24" s="1"/>
  <c r="BK171" i="24"/>
  <c r="S171" i="24"/>
  <c r="T171" i="24" s="1"/>
  <c r="K171" i="24"/>
  <c r="P204" i="25"/>
  <c r="O204" i="25"/>
  <c r="AO204" i="25" s="1"/>
  <c r="AH295" i="25"/>
  <c r="BK275" i="24"/>
  <c r="S275" i="24"/>
  <c r="T275" i="24" s="1"/>
  <c r="BI234" i="25"/>
  <c r="BK135" i="24"/>
  <c r="S135" i="24"/>
  <c r="T135" i="24" s="1"/>
  <c r="BI316" i="25"/>
  <c r="BI298" i="25"/>
  <c r="BI244" i="25"/>
  <c r="AH244" i="25"/>
  <c r="BK85" i="24"/>
  <c r="S85" i="24"/>
  <c r="T85" i="24" s="1"/>
  <c r="AH43" i="25"/>
  <c r="AH54" i="25"/>
  <c r="AH46" i="25"/>
  <c r="BI51" i="25"/>
  <c r="N51" i="25"/>
  <c r="T51" i="25" s="1"/>
  <c r="AH72" i="25"/>
  <c r="AH171" i="25"/>
  <c r="M81" i="24"/>
  <c r="N81" i="24" s="1"/>
  <c r="BQ301" i="25"/>
  <c r="BQ60" i="25"/>
  <c r="AH217" i="25"/>
  <c r="BI17" i="25"/>
  <c r="N17" i="25"/>
  <c r="T17" i="25" s="1"/>
  <c r="BK91" i="24"/>
  <c r="S91" i="24"/>
  <c r="T91" i="24" s="1"/>
  <c r="M91" i="24"/>
  <c r="N91" i="24" s="1"/>
  <c r="AP91" i="24" s="1"/>
  <c r="BI136" i="25"/>
  <c r="N136" i="25"/>
  <c r="T136" i="25" s="1"/>
  <c r="L136" i="25"/>
  <c r="BI128" i="25"/>
  <c r="N128" i="25"/>
  <c r="T128" i="25" s="1"/>
  <c r="L128" i="25"/>
  <c r="AH222" i="25"/>
  <c r="BK9" i="24"/>
  <c r="S9" i="24"/>
  <c r="T9" i="24" s="1"/>
  <c r="AH154" i="25"/>
  <c r="M15" i="24"/>
  <c r="N15" i="24" s="1"/>
  <c r="AP15" i="24" s="1"/>
  <c r="N75" i="25"/>
  <c r="M208" i="24"/>
  <c r="N208" i="24" s="1"/>
  <c r="M305" i="24"/>
  <c r="N305" i="24" s="1"/>
  <c r="M85" i="24"/>
  <c r="M34" i="24"/>
  <c r="N34" i="24" s="1"/>
  <c r="AP34" i="24" s="1"/>
  <c r="P131" i="25"/>
  <c r="O131" i="25"/>
  <c r="N144" i="25"/>
  <c r="T144" i="25" s="1"/>
  <c r="BI159" i="25"/>
  <c r="N159" i="25"/>
  <c r="BI52" i="25"/>
  <c r="BI270" i="25"/>
  <c r="N270" i="25"/>
  <c r="T270" i="25" s="1"/>
  <c r="BK114" i="24"/>
  <c r="S114" i="24"/>
  <c r="T114" i="24" s="1"/>
  <c r="M114" i="24"/>
  <c r="K114" i="24"/>
  <c r="BK68" i="24"/>
  <c r="S68" i="24"/>
  <c r="T68" i="24" s="1"/>
  <c r="AH13" i="25"/>
  <c r="AH160" i="25"/>
  <c r="BK122" i="24"/>
  <c r="S122" i="24"/>
  <c r="T122" i="24" s="1"/>
  <c r="AP18" i="24"/>
  <c r="P6" i="25"/>
  <c r="O6" i="25"/>
  <c r="AH193" i="25"/>
  <c r="BI180" i="25"/>
  <c r="BI6" i="25"/>
  <c r="AH122" i="25"/>
  <c r="AH16" i="25"/>
  <c r="AH162" i="25"/>
  <c r="AH226" i="25"/>
  <c r="BK302" i="24"/>
  <c r="S302" i="24"/>
  <c r="T302" i="24" s="1"/>
  <c r="M302" i="24"/>
  <c r="N302" i="24" s="1"/>
  <c r="BK256" i="24"/>
  <c r="S256" i="24"/>
  <c r="T256" i="24" s="1"/>
  <c r="AH246" i="25"/>
  <c r="AH73" i="25"/>
  <c r="BI157" i="25"/>
  <c r="N157" i="25"/>
  <c r="BI315" i="25"/>
  <c r="N315" i="25"/>
  <c r="AH125" i="25"/>
  <c r="AH241" i="25"/>
  <c r="AP6" i="24"/>
  <c r="K129" i="24"/>
  <c r="AP129" i="24"/>
  <c r="M118" i="24"/>
  <c r="N118" i="24" s="1"/>
  <c r="L182" i="25"/>
  <c r="BI37" i="25"/>
  <c r="AH70" i="25"/>
  <c r="BK307" i="24"/>
  <c r="S307" i="24"/>
  <c r="T307" i="24" s="1"/>
  <c r="BI210" i="25"/>
  <c r="K241" i="24"/>
  <c r="L157" i="25"/>
  <c r="AH53" i="25"/>
  <c r="BK99" i="24"/>
  <c r="S99" i="24"/>
  <c r="T99" i="24" s="1"/>
  <c r="M99" i="24"/>
  <c r="N99" i="24" s="1"/>
  <c r="AP99" i="24" s="1"/>
  <c r="BK314" i="24"/>
  <c r="M314" i="24"/>
  <c r="N314" i="24" s="1"/>
  <c r="AP314" i="24" s="1"/>
  <c r="S314" i="24"/>
  <c r="T314" i="24" s="1"/>
  <c r="K314" i="24"/>
  <c r="BK103" i="24"/>
  <c r="S103" i="24"/>
  <c r="T103" i="24" s="1"/>
  <c r="M103" i="24"/>
  <c r="AH194" i="25"/>
  <c r="BI120" i="25"/>
  <c r="N120" i="25"/>
  <c r="T120" i="25" s="1"/>
  <c r="BI125" i="25"/>
  <c r="U22" i="24"/>
  <c r="BK117" i="24"/>
  <c r="S117" i="24"/>
  <c r="T117" i="24" s="1"/>
  <c r="M117" i="24"/>
  <c r="T30" i="25"/>
  <c r="BI271" i="25"/>
  <c r="K269" i="24"/>
  <c r="L82" i="25"/>
  <c r="K222" i="24"/>
  <c r="L92" i="25"/>
  <c r="AH92" i="25"/>
  <c r="AH281" i="25"/>
  <c r="K159" i="24"/>
  <c r="O119" i="24"/>
  <c r="BZ119" i="24" s="1"/>
  <c r="J119" i="24"/>
  <c r="K150" i="24"/>
  <c r="AH263" i="25"/>
  <c r="BK40" i="24"/>
  <c r="S40" i="24"/>
  <c r="T40" i="24" s="1"/>
  <c r="BI66" i="25"/>
  <c r="BI247" i="25"/>
  <c r="AH148" i="25"/>
  <c r="BQ144" i="25"/>
  <c r="P296" i="25"/>
  <c r="O296" i="25"/>
  <c r="AO296" i="25" s="1"/>
  <c r="AH254" i="25"/>
  <c r="BK246" i="24"/>
  <c r="S246" i="24"/>
  <c r="T246" i="24" s="1"/>
  <c r="M115" i="24"/>
  <c r="N115" i="24" s="1"/>
  <c r="AP115" i="24" s="1"/>
  <c r="BQ31" i="25"/>
  <c r="L31" i="25"/>
  <c r="U44" i="24"/>
  <c r="AP44" i="24"/>
  <c r="BI115" i="25"/>
  <c r="U43" i="24"/>
  <c r="BI80" i="25"/>
  <c r="N80" i="25"/>
  <c r="T80" i="25" s="1"/>
  <c r="Q53" i="24"/>
  <c r="R53" i="24" s="1"/>
  <c r="P53" i="24"/>
  <c r="BK156" i="24"/>
  <c r="S156" i="24"/>
  <c r="T156" i="24" s="1"/>
  <c r="K156" i="24"/>
  <c r="BI45" i="25"/>
  <c r="BQ289" i="25"/>
  <c r="AH304" i="25"/>
  <c r="BI235" i="25"/>
  <c r="BK11" i="24"/>
  <c r="S11" i="24"/>
  <c r="T11" i="24" s="1"/>
  <c r="M11" i="24"/>
  <c r="N11" i="24" s="1"/>
  <c r="AP11" i="24" s="1"/>
  <c r="AH181" i="25"/>
  <c r="BK301" i="24"/>
  <c r="S301" i="24"/>
  <c r="T301" i="24" s="1"/>
  <c r="BI242" i="25"/>
  <c r="L242" i="25"/>
  <c r="AH121" i="25"/>
  <c r="BI112" i="25"/>
  <c r="BI97" i="25"/>
  <c r="AH25" i="25"/>
  <c r="L91" i="25"/>
  <c r="BI98" i="25"/>
  <c r="N98" i="25"/>
  <c r="AH98" i="25"/>
  <c r="BI140" i="25"/>
  <c r="N140" i="25"/>
  <c r="AH140" i="25"/>
  <c r="BI196" i="25"/>
  <c r="N196" i="25"/>
  <c r="L196" i="25"/>
  <c r="K178" i="24"/>
  <c r="BI308" i="25"/>
  <c r="N308" i="25"/>
  <c r="T308" i="25" s="1"/>
  <c r="AH308" i="25"/>
  <c r="AH268" i="25"/>
  <c r="BI133" i="25"/>
  <c r="N133" i="25"/>
  <c r="T133" i="25" s="1"/>
  <c r="AH133" i="25"/>
  <c r="P48" i="24"/>
  <c r="Q48" i="24"/>
  <c r="R48" i="24" s="1"/>
  <c r="BK278" i="24"/>
  <c r="S278" i="24"/>
  <c r="T278" i="24" s="1"/>
  <c r="M278" i="24"/>
  <c r="N278" i="24" s="1"/>
  <c r="AP278" i="24" s="1"/>
  <c r="K235" i="24"/>
  <c r="BI27" i="25"/>
  <c r="N27" i="25"/>
  <c r="AP236" i="24"/>
  <c r="BI294" i="25"/>
  <c r="N294" i="25"/>
  <c r="T294" i="25" s="1"/>
  <c r="BI183" i="25"/>
  <c r="N183" i="25"/>
  <c r="U86" i="24"/>
  <c r="BK53" i="24"/>
  <c r="S53" i="24"/>
  <c r="T53" i="24" s="1"/>
  <c r="AH187" i="25"/>
  <c r="BI178" i="25"/>
  <c r="AH126" i="25"/>
  <c r="AH118" i="25"/>
  <c r="BI116" i="25"/>
  <c r="BI227" i="25"/>
  <c r="N227" i="25"/>
  <c r="T227" i="25" s="1"/>
  <c r="BK17" i="24"/>
  <c r="S17" i="24"/>
  <c r="T17" i="24" s="1"/>
  <c r="BK90" i="24"/>
  <c r="S90" i="24"/>
  <c r="T90" i="24" s="1"/>
  <c r="K180" i="24"/>
  <c r="BK128" i="24"/>
  <c r="S128" i="24"/>
  <c r="T128" i="24" s="1"/>
  <c r="AP47" i="24"/>
  <c r="BK93" i="24"/>
  <c r="S93" i="24"/>
  <c r="T93" i="24" s="1"/>
  <c r="BK139" i="24"/>
  <c r="S139" i="24"/>
  <c r="T139" i="24" s="1"/>
  <c r="AH261" i="25"/>
  <c r="L172" i="25"/>
  <c r="L282" i="25"/>
  <c r="U172" i="24"/>
  <c r="BQ89" i="25"/>
  <c r="L305" i="25"/>
  <c r="T275" i="25"/>
  <c r="M254" i="24"/>
  <c r="N254" i="24" s="1"/>
  <c r="AP254" i="24" s="1"/>
  <c r="BQ204" i="25"/>
  <c r="K120" i="24"/>
  <c r="BI221" i="25"/>
  <c r="BQ260" i="25"/>
  <c r="K312" i="24"/>
  <c r="BQ234" i="25"/>
  <c r="L234" i="25"/>
  <c r="BI111" i="25"/>
  <c r="N111" i="25"/>
  <c r="T111" i="25" s="1"/>
  <c r="AP25" i="24"/>
  <c r="BK184" i="24"/>
  <c r="S184" i="24"/>
  <c r="T184" i="24" s="1"/>
  <c r="AH33" i="25"/>
  <c r="AH15" i="25"/>
  <c r="BQ39" i="25"/>
  <c r="BI243" i="25"/>
  <c r="AH243" i="25"/>
  <c r="BI199" i="25"/>
  <c r="BQ138" i="25"/>
  <c r="L244" i="25"/>
  <c r="BI191" i="25"/>
  <c r="N191" i="25"/>
  <c r="T191" i="25" s="1"/>
  <c r="M169" i="24"/>
  <c r="N169" i="24" s="1"/>
  <c r="AP169" i="24" s="1"/>
  <c r="AH312" i="25"/>
  <c r="AH40" i="25"/>
  <c r="BI68" i="25"/>
  <c r="N68" i="25"/>
  <c r="BI18" i="25"/>
  <c r="N18" i="25"/>
  <c r="AH51" i="25"/>
  <c r="BK166" i="24"/>
  <c r="S166" i="24"/>
  <c r="T166" i="24" s="1"/>
  <c r="M166" i="24"/>
  <c r="N166" i="24" s="1"/>
  <c r="AH301" i="25"/>
  <c r="BI100" i="25"/>
  <c r="N100" i="25"/>
  <c r="AH84" i="25"/>
  <c r="BI231" i="25"/>
  <c r="N231" i="25"/>
  <c r="L231" i="25"/>
  <c r="N60" i="25"/>
  <c r="T60" i="25" s="1"/>
  <c r="BI60" i="25"/>
  <c r="BI310" i="25"/>
  <c r="N310" i="25"/>
  <c r="T310" i="25" s="1"/>
  <c r="BK189" i="24"/>
  <c r="S189" i="24"/>
  <c r="T189" i="24" s="1"/>
  <c r="M189" i="24"/>
  <c r="N189" i="24" s="1"/>
  <c r="AP189" i="24" s="1"/>
  <c r="BQ284" i="25"/>
  <c r="N217" i="25"/>
  <c r="BI217" i="25"/>
  <c r="BI56" i="25"/>
  <c r="N56" i="25"/>
  <c r="BI222" i="25"/>
  <c r="N222" i="25"/>
  <c r="L222" i="25"/>
  <c r="BK72" i="24"/>
  <c r="S72" i="24"/>
  <c r="T72" i="24" s="1"/>
  <c r="M210" i="24"/>
  <c r="N244" i="25"/>
  <c r="T244" i="25" s="1"/>
  <c r="N235" i="25"/>
  <c r="T235" i="25" s="1"/>
  <c r="M297" i="24"/>
  <c r="M244" i="24"/>
  <c r="N244" i="24" s="1"/>
  <c r="AP244" i="24" s="1"/>
  <c r="N124" i="25"/>
  <c r="T124" i="25" s="1"/>
  <c r="M245" i="24"/>
  <c r="N245" i="24" s="1"/>
  <c r="P293" i="25"/>
  <c r="O293" i="25"/>
  <c r="N220" i="25"/>
  <c r="M275" i="24"/>
  <c r="N254" i="25"/>
  <c r="T254" i="25" s="1"/>
  <c r="BI186" i="25"/>
  <c r="L52" i="25"/>
  <c r="AH52" i="25"/>
  <c r="BK177" i="24"/>
  <c r="S177" i="24"/>
  <c r="T177" i="24" s="1"/>
  <c r="AH6" i="25"/>
  <c r="AH77" i="25"/>
  <c r="AH206" i="25"/>
  <c r="BK252" i="24"/>
  <c r="S252" i="24"/>
  <c r="T252" i="24" s="1"/>
  <c r="BK75" i="24"/>
  <c r="S75" i="24"/>
  <c r="T75" i="24" s="1"/>
  <c r="M75" i="24"/>
  <c r="N75" i="24" s="1"/>
  <c r="BQ163" i="25"/>
  <c r="BI192" i="25"/>
  <c r="AH93" i="25"/>
  <c r="BK272" i="24"/>
  <c r="S272" i="24"/>
  <c r="T272" i="24" s="1"/>
  <c r="BK14" i="24"/>
  <c r="S14" i="24"/>
  <c r="T14" i="24" s="1"/>
  <c r="AP24" i="24"/>
  <c r="Q133" i="24"/>
  <c r="P133" i="24"/>
  <c r="AH143" i="25"/>
  <c r="BI163" i="25"/>
  <c r="N163" i="25"/>
  <c r="T163" i="25" s="1"/>
  <c r="BI137" i="25"/>
  <c r="N137" i="25"/>
  <c r="T137" i="25" s="1"/>
  <c r="AH42" i="25"/>
  <c r="U21" i="24"/>
  <c r="AH232" i="25"/>
  <c r="AP205" i="24"/>
  <c r="BQ105" i="25"/>
  <c r="AH177" i="25"/>
  <c r="BK247" i="24"/>
  <c r="S247" i="24"/>
  <c r="T247" i="24" s="1"/>
  <c r="BK176" i="24"/>
  <c r="S176" i="24"/>
  <c r="T176" i="24" s="1"/>
  <c r="M176" i="24"/>
  <c r="N176" i="24" s="1"/>
  <c r="AP176" i="24" s="1"/>
  <c r="BK71" i="24"/>
  <c r="S71" i="24"/>
  <c r="T71" i="24" s="1"/>
  <c r="BI165" i="25"/>
  <c r="AH190" i="25"/>
  <c r="L163" i="25"/>
  <c r="AH279" i="25"/>
  <c r="BK277" i="24"/>
  <c r="S277" i="24"/>
  <c r="T277" i="24" s="1"/>
  <c r="M277" i="24"/>
  <c r="U277" i="24" s="1"/>
  <c r="K277" i="24"/>
  <c r="M195" i="24"/>
  <c r="AH145" i="25"/>
  <c r="BK225" i="24"/>
  <c r="S225" i="24"/>
  <c r="T225" i="24" s="1"/>
  <c r="K117" i="24"/>
  <c r="BK232" i="24"/>
  <c r="S232" i="24"/>
  <c r="T232" i="24" s="1"/>
  <c r="M232" i="24"/>
  <c r="U232" i="24" s="1"/>
  <c r="BI174" i="25"/>
  <c r="M253" i="24"/>
  <c r="BK137" i="24"/>
  <c r="S137" i="24"/>
  <c r="T137" i="24" s="1"/>
  <c r="N219" i="25"/>
  <c r="BK182" i="24"/>
  <c r="S182" i="24"/>
  <c r="T182" i="24" s="1"/>
  <c r="AH150" i="25"/>
  <c r="K231" i="24"/>
  <c r="BI12" i="25"/>
  <c r="BI142" i="25"/>
  <c r="AH142" i="25"/>
  <c r="AH175" i="25"/>
  <c r="BK263" i="24"/>
  <c r="S263" i="24"/>
  <c r="T263" i="24" s="1"/>
  <c r="M263" i="24"/>
  <c r="U263" i="24" s="1"/>
  <c r="M159" i="24"/>
  <c r="N159" i="24" s="1"/>
  <c r="AP159" i="24" s="1"/>
  <c r="AH198" i="25"/>
  <c r="BI200" i="25"/>
  <c r="N200" i="25"/>
  <c r="BK187" i="24"/>
  <c r="S187" i="24"/>
  <c r="T187" i="24" s="1"/>
  <c r="M187" i="24"/>
  <c r="BK8" i="24"/>
  <c r="S8" i="24"/>
  <c r="T8" i="24" s="1"/>
  <c r="AH276" i="25"/>
  <c r="BI283" i="25"/>
  <c r="AH283" i="25"/>
  <c r="AH167" i="25"/>
  <c r="K287" i="24"/>
  <c r="AH66" i="25"/>
  <c r="T247" i="25"/>
  <c r="BI10" i="25"/>
  <c r="AH161" i="25"/>
  <c r="P292" i="24"/>
  <c r="Q292" i="24"/>
  <c r="L115" i="25"/>
  <c r="U181" i="24"/>
  <c r="BI307" i="25"/>
  <c r="AH311" i="25"/>
  <c r="AH80" i="25"/>
  <c r="AH235" i="25"/>
  <c r="N277" i="25"/>
  <c r="BI277" i="25"/>
  <c r="BK203" i="24"/>
  <c r="S203" i="24"/>
  <c r="T203" i="24" s="1"/>
  <c r="AH229" i="25"/>
  <c r="L50" i="25"/>
  <c r="AH97" i="25"/>
  <c r="BI225" i="25"/>
  <c r="AH225" i="25"/>
  <c r="P162" i="24"/>
  <c r="Q162" i="24"/>
  <c r="AP237" i="24"/>
  <c r="AH62" i="25"/>
  <c r="BI230" i="25"/>
  <c r="N230" i="25"/>
  <c r="AH20" i="25"/>
  <c r="AH22" i="25"/>
  <c r="AH123" i="25"/>
  <c r="AH135" i="25"/>
  <c r="BK217" i="24"/>
  <c r="S217" i="24"/>
  <c r="T217" i="24" s="1"/>
  <c r="M217" i="24"/>
  <c r="N217" i="24" s="1"/>
  <c r="BI274" i="25"/>
  <c r="N274" i="25"/>
  <c r="AH41" i="25"/>
  <c r="AH119" i="25"/>
  <c r="BI209" i="25"/>
  <c r="N209" i="25"/>
  <c r="M28" i="24"/>
  <c r="N28" i="24" s="1"/>
  <c r="AP28" i="24" s="1"/>
  <c r="AH27" i="25"/>
  <c r="BK262" i="24"/>
  <c r="S262" i="24"/>
  <c r="T262" i="24" s="1"/>
  <c r="M262" i="24"/>
  <c r="U262" i="24" s="1"/>
  <c r="L61" i="25"/>
  <c r="L294" i="25"/>
  <c r="BI264" i="25"/>
  <c r="BK161" i="24"/>
  <c r="S161" i="24"/>
  <c r="T161" i="24" s="1"/>
  <c r="J160" i="24"/>
  <c r="O160" i="24"/>
  <c r="BZ160" i="24" s="1"/>
  <c r="N52" i="25"/>
  <c r="T52" i="25" s="1"/>
  <c r="BK86" i="24"/>
  <c r="S86" i="24"/>
  <c r="T86" i="24" s="1"/>
  <c r="AP86" i="24"/>
  <c r="AH49" i="25"/>
  <c r="U53" i="24"/>
  <c r="BK89" i="24"/>
  <c r="S89" i="24"/>
  <c r="T89" i="24" s="1"/>
  <c r="M201" i="24"/>
  <c r="N201" i="24" s="1"/>
  <c r="L174" i="25"/>
  <c r="L21" i="25"/>
  <c r="L116" i="25"/>
  <c r="AH34" i="25"/>
  <c r="BI287" i="25"/>
  <c r="BQ166" i="25"/>
  <c r="L201" i="25"/>
  <c r="BK315" i="24"/>
  <c r="S315" i="24"/>
  <c r="T315" i="24" s="1"/>
  <c r="BI89" i="25"/>
  <c r="L89" i="25"/>
  <c r="BQ124" i="25"/>
  <c r="AH302" i="25"/>
  <c r="BI223" i="25"/>
  <c r="T305" i="25"/>
  <c r="O21" i="24"/>
  <c r="BZ21" i="24" s="1"/>
  <c r="J21" i="24"/>
  <c r="K230" i="24"/>
  <c r="T204" i="25"/>
  <c r="M247" i="24"/>
  <c r="U247" i="24" s="1"/>
  <c r="BQ221" i="25"/>
  <c r="AH278" i="25"/>
  <c r="BI260" i="25"/>
  <c r="AP312" i="24"/>
  <c r="BQ184" i="25"/>
  <c r="AH184" i="25"/>
  <c r="AH75" i="25"/>
  <c r="BK80" i="24"/>
  <c r="S80" i="24"/>
  <c r="T80" i="24" s="1"/>
  <c r="BQ309" i="25"/>
  <c r="BI39" i="25"/>
  <c r="AH39" i="25"/>
  <c r="AH316" i="25"/>
  <c r="BQ243" i="25"/>
  <c r="AH199" i="25"/>
  <c r="AH155" i="25"/>
  <c r="BQ45" i="25"/>
  <c r="BK239" i="24"/>
  <c r="S239" i="24"/>
  <c r="T239" i="24" s="1"/>
  <c r="M239" i="24"/>
  <c r="U239" i="24" s="1"/>
  <c r="BI139" i="25"/>
  <c r="N139" i="25"/>
  <c r="AH18" i="25"/>
  <c r="BI67" i="25"/>
  <c r="N67" i="25"/>
  <c r="AH67" i="25"/>
  <c r="BI288" i="25"/>
  <c r="N288" i="25"/>
  <c r="AH64" i="25"/>
  <c r="AH310" i="25"/>
  <c r="AH17" i="25"/>
  <c r="BQ56" i="25"/>
  <c r="BQ222" i="25"/>
  <c r="AH291" i="25"/>
  <c r="M80" i="24"/>
  <c r="P236" i="24"/>
  <c r="Q236" i="24"/>
  <c r="AO110" i="25"/>
  <c r="R110" i="25"/>
  <c r="S110" i="25"/>
  <c r="K110" i="25" s="1"/>
  <c r="Q110" i="25"/>
  <c r="N45" i="25"/>
  <c r="T45" i="25" s="1"/>
  <c r="N115" i="25"/>
  <c r="N142" i="25"/>
  <c r="N251" i="25"/>
  <c r="N39" i="25"/>
  <c r="M128" i="24"/>
  <c r="N128" i="24" s="1"/>
  <c r="AP128" i="24" s="1"/>
  <c r="M35" i="24"/>
  <c r="N35" i="24" s="1"/>
  <c r="M301" i="24"/>
  <c r="M315" i="24"/>
  <c r="U315" i="24" s="1"/>
  <c r="N223" i="25"/>
  <c r="AP190" i="24"/>
  <c r="BK192" i="24"/>
  <c r="S192" i="24"/>
  <c r="T192" i="24" s="1"/>
  <c r="M192" i="24"/>
  <c r="N192" i="24" s="1"/>
  <c r="AP192" i="24" s="1"/>
  <c r="BK198" i="24"/>
  <c r="S198" i="24"/>
  <c r="T198" i="24" s="1"/>
  <c r="M198" i="24"/>
  <c r="N198" i="24" s="1"/>
  <c r="AP198" i="24" s="1"/>
  <c r="BI246" i="25"/>
  <c r="BI145" i="25"/>
  <c r="N145" i="25"/>
  <c r="T145" i="25" s="1"/>
  <c r="BK241" i="24"/>
  <c r="S241" i="24"/>
  <c r="T241" i="24" s="1"/>
  <c r="M241" i="24"/>
  <c r="N241" i="24" s="1"/>
  <c r="AH120" i="25"/>
  <c r="AH176" i="25"/>
  <c r="AH218" i="25"/>
  <c r="BK102" i="24"/>
  <c r="S102" i="24"/>
  <c r="T102" i="24" s="1"/>
  <c r="M102" i="24"/>
  <c r="N102" i="24" s="1"/>
  <c r="BK194" i="24"/>
  <c r="S194" i="24"/>
  <c r="T194" i="24" s="1"/>
  <c r="M194" i="24"/>
  <c r="BI236" i="25"/>
  <c r="N236" i="25"/>
  <c r="T236" i="25" s="1"/>
  <c r="AH245" i="25"/>
  <c r="AO129" i="25"/>
  <c r="AH129" i="25"/>
  <c r="BI126" i="25"/>
  <c r="AH219" i="25"/>
  <c r="AH104" i="25"/>
  <c r="BK73" i="24"/>
  <c r="S73" i="24"/>
  <c r="T73" i="24" s="1"/>
  <c r="M73" i="24"/>
  <c r="N73" i="24" s="1"/>
  <c r="BK76" i="24"/>
  <c r="S76" i="24"/>
  <c r="T76" i="24" s="1"/>
  <c r="U182" i="24"/>
  <c r="BI82" i="25"/>
  <c r="BK34" i="24"/>
  <c r="S34" i="24"/>
  <c r="T34" i="24" s="1"/>
  <c r="BK154" i="24"/>
  <c r="S154" i="24"/>
  <c r="T154" i="24" s="1"/>
  <c r="BK144" i="24"/>
  <c r="S144" i="24"/>
  <c r="T144" i="24" s="1"/>
  <c r="BI281" i="25"/>
  <c r="BK112" i="24"/>
  <c r="S112" i="24"/>
  <c r="T112" i="24" s="1"/>
  <c r="Q188" i="24"/>
  <c r="P188" i="24"/>
  <c r="P198" i="25"/>
  <c r="O198" i="25"/>
  <c r="AH290" i="25"/>
  <c r="BK150" i="24"/>
  <c r="S150" i="24"/>
  <c r="T150" i="24" s="1"/>
  <c r="BK13" i="24"/>
  <c r="S13" i="24"/>
  <c r="T13" i="24" s="1"/>
  <c r="AH306" i="25"/>
  <c r="P219" i="24"/>
  <c r="Q219" i="24"/>
  <c r="BI65" i="25"/>
  <c r="P305" i="25"/>
  <c r="O305" i="25"/>
  <c r="AO305" i="25" s="1"/>
  <c r="BI147" i="25"/>
  <c r="BI254" i="25"/>
  <c r="AH102" i="25"/>
  <c r="BK115" i="24"/>
  <c r="S115" i="24"/>
  <c r="T115" i="24" s="1"/>
  <c r="BI31" i="25"/>
  <c r="Q44" i="24"/>
  <c r="R44" i="24" s="1"/>
  <c r="P44" i="24"/>
  <c r="AP43" i="24"/>
  <c r="P127" i="24"/>
  <c r="Q127" i="24"/>
  <c r="BK300" i="24"/>
  <c r="S300" i="24"/>
  <c r="T300" i="24" s="1"/>
  <c r="BK49" i="24"/>
  <c r="S49" i="24"/>
  <c r="T49" i="24" s="1"/>
  <c r="BI181" i="25"/>
  <c r="L181" i="25"/>
  <c r="K136" i="24"/>
  <c r="M98" i="24"/>
  <c r="N98" i="24" s="1"/>
  <c r="BK238" i="24"/>
  <c r="S238" i="24"/>
  <c r="T238" i="24" s="1"/>
  <c r="P177" i="25"/>
  <c r="O177" i="25"/>
  <c r="J162" i="24"/>
  <c r="O162" i="24"/>
  <c r="BZ162" i="24" s="1"/>
  <c r="BK237" i="24"/>
  <c r="S237" i="24"/>
  <c r="T237" i="24" s="1"/>
  <c r="BK175" i="24"/>
  <c r="S175" i="24"/>
  <c r="T175" i="24" s="1"/>
  <c r="M175" i="24"/>
  <c r="N175" i="24" s="1"/>
  <c r="BI85" i="25"/>
  <c r="N85" i="25"/>
  <c r="T85" i="25" s="1"/>
  <c r="BI57" i="25"/>
  <c r="N57" i="25"/>
  <c r="T57" i="25" s="1"/>
  <c r="BI153" i="25"/>
  <c r="N153" i="25"/>
  <c r="T153" i="25" s="1"/>
  <c r="AH286" i="25"/>
  <c r="L119" i="25"/>
  <c r="BI69" i="25"/>
  <c r="N69" i="25"/>
  <c r="T69" i="25" s="1"/>
  <c r="BK235" i="24"/>
  <c r="S235" i="24"/>
  <c r="T235" i="24" s="1"/>
  <c r="M235" i="24"/>
  <c r="N235" i="24" s="1"/>
  <c r="AP235" i="24" s="1"/>
  <c r="AH299" i="25"/>
  <c r="BI146" i="25"/>
  <c r="N146" i="25"/>
  <c r="T146" i="25" s="1"/>
  <c r="AH224" i="25"/>
  <c r="BK197" i="24"/>
  <c r="S197" i="24"/>
  <c r="T197" i="24" s="1"/>
  <c r="BK127" i="24"/>
  <c r="S127" i="24"/>
  <c r="T127" i="24" s="1"/>
  <c r="BK199" i="24"/>
  <c r="S199" i="24"/>
  <c r="T199" i="24" s="1"/>
  <c r="AH14" i="25"/>
  <c r="L187" i="25"/>
  <c r="BK65" i="24"/>
  <c r="S65" i="24"/>
  <c r="T65" i="24" s="1"/>
  <c r="L267" i="25"/>
  <c r="BI43" i="25"/>
  <c r="N43" i="25"/>
  <c r="T43" i="25" s="1"/>
  <c r="BI118" i="25"/>
  <c r="L118" i="25"/>
  <c r="BK69" i="24"/>
  <c r="S69" i="24"/>
  <c r="T69" i="24" s="1"/>
  <c r="M69" i="24"/>
  <c r="N69" i="24" s="1"/>
  <c r="AP69" i="24" s="1"/>
  <c r="AH227" i="25"/>
  <c r="U61" i="24"/>
  <c r="AH259" i="25"/>
  <c r="AH287" i="25"/>
  <c r="BQ90" i="25"/>
  <c r="BI285" i="25"/>
  <c r="BI166" i="25"/>
  <c r="BK48" i="24"/>
  <c r="S48" i="24"/>
  <c r="T48" i="24" s="1"/>
  <c r="M65" i="24"/>
  <c r="N65" i="24" s="1"/>
  <c r="AP65" i="24" s="1"/>
  <c r="BI124" i="25"/>
  <c r="AH248" i="25"/>
  <c r="BQ223" i="25"/>
  <c r="AH223" i="25"/>
  <c r="BK270" i="24"/>
  <c r="S270" i="24"/>
  <c r="T270" i="24" s="1"/>
  <c r="BI184" i="25"/>
  <c r="L184" i="25"/>
  <c r="BI63" i="25"/>
  <c r="N63" i="25"/>
  <c r="BI309" i="25"/>
  <c r="AH309" i="25"/>
  <c r="BK196" i="24"/>
  <c r="S196" i="24"/>
  <c r="T196" i="24" s="1"/>
  <c r="BK242" i="24"/>
  <c r="S242" i="24"/>
  <c r="T242" i="24" s="1"/>
  <c r="L316" i="25"/>
  <c r="L298" i="25"/>
  <c r="BI233" i="25"/>
  <c r="AH233" i="25"/>
  <c r="BQ155" i="25"/>
  <c r="BI54" i="25"/>
  <c r="N54" i="25"/>
  <c r="T54" i="25" s="1"/>
  <c r="BK169" i="24"/>
  <c r="S169" i="24"/>
  <c r="T169" i="24" s="1"/>
  <c r="AP88" i="24"/>
  <c r="M295" i="24"/>
  <c r="N295" i="24" s="1"/>
  <c r="L54" i="25"/>
  <c r="AH156" i="25"/>
  <c r="AH79" i="25"/>
  <c r="L51" i="25"/>
  <c r="BK60" i="24"/>
  <c r="S60" i="24"/>
  <c r="T60" i="24" s="1"/>
  <c r="M60" i="24"/>
  <c r="N60" i="24" s="1"/>
  <c r="BQ64" i="25"/>
  <c r="AH231" i="25"/>
  <c r="AH19" i="25"/>
  <c r="BK66" i="24"/>
  <c r="S66" i="24"/>
  <c r="T66" i="24" s="1"/>
  <c r="M66" i="24"/>
  <c r="N66" i="24" s="1"/>
  <c r="BI284" i="25"/>
  <c r="N284" i="25"/>
  <c r="T284" i="25" s="1"/>
  <c r="AH284" i="25"/>
  <c r="BK207" i="24"/>
  <c r="S207" i="24"/>
  <c r="T207" i="24" s="1"/>
  <c r="M207" i="24"/>
  <c r="N207" i="24" s="1"/>
  <c r="AP207" i="24" s="1"/>
  <c r="BI252" i="25"/>
  <c r="N252" i="25"/>
  <c r="T252" i="25" s="1"/>
  <c r="BQ154" i="25"/>
  <c r="U30" i="24"/>
  <c r="AP30" i="24"/>
  <c r="U72" i="24"/>
  <c r="BQ291" i="25"/>
  <c r="M89" i="24"/>
  <c r="M184" i="24"/>
  <c r="O236" i="24"/>
  <c r="BZ236" i="24" s="1"/>
  <c r="J236" i="24"/>
  <c r="M299" i="24"/>
  <c r="N299" i="24" s="1"/>
  <c r="N316" i="25"/>
  <c r="T316" i="25" s="1"/>
  <c r="N12" i="25"/>
  <c r="N88" i="25"/>
  <c r="T88" i="25" s="1"/>
  <c r="M23" i="24"/>
  <c r="N23" i="24" s="1"/>
  <c r="M49" i="24"/>
  <c r="N49" i="24" s="1"/>
  <c r="AP49" i="24" s="1"/>
  <c r="M112" i="24"/>
  <c r="N112" i="24" s="1"/>
  <c r="AP112" i="24" s="1"/>
  <c r="AP257" i="24"/>
  <c r="BK125" i="24"/>
  <c r="S125" i="24"/>
  <c r="T125" i="24" s="1"/>
  <c r="M125" i="24"/>
  <c r="N125" i="24" s="1"/>
  <c r="AP125" i="24" s="1"/>
  <c r="AH164" i="25"/>
  <c r="AH202" i="25"/>
  <c r="BK268" i="24"/>
  <c r="S268" i="24"/>
  <c r="T268" i="24" s="1"/>
  <c r="BK54" i="24"/>
  <c r="S54" i="24"/>
  <c r="T54" i="24" s="1"/>
  <c r="M54" i="24"/>
  <c r="AP68" i="24"/>
  <c r="AH165" i="25"/>
  <c r="BI26" i="25"/>
  <c r="BK267" i="24"/>
  <c r="S267" i="24"/>
  <c r="T267" i="24" s="1"/>
  <c r="M267" i="24"/>
  <c r="N267" i="24" s="1"/>
  <c r="AP62" i="24"/>
  <c r="AH83" i="25"/>
  <c r="AP147" i="24"/>
  <c r="M177" i="24"/>
  <c r="N177" i="24" s="1"/>
  <c r="AP177" i="24" s="1"/>
  <c r="N203" i="25"/>
  <c r="AH159" i="25"/>
  <c r="AH185" i="25"/>
  <c r="BI206" i="25"/>
  <c r="BK20" i="24"/>
  <c r="S20" i="24"/>
  <c r="T20" i="24" s="1"/>
  <c r="BI300" i="25"/>
  <c r="N300" i="25"/>
  <c r="T300" i="25" s="1"/>
  <c r="BI122" i="25"/>
  <c r="AP21" i="24"/>
  <c r="K163" i="24"/>
  <c r="L246" i="25"/>
  <c r="U190" i="24"/>
  <c r="BK118" i="24"/>
  <c r="S118" i="24"/>
  <c r="T118" i="24" s="1"/>
  <c r="N176" i="25"/>
  <c r="T176" i="25" s="1"/>
  <c r="BI176" i="25"/>
  <c r="BI279" i="25"/>
  <c r="N279" i="25"/>
  <c r="T279" i="25" s="1"/>
  <c r="Q22" i="24"/>
  <c r="R22" i="24" s="1"/>
  <c r="P22" i="24"/>
  <c r="BK133" i="24"/>
  <c r="S133" i="24"/>
  <c r="T133" i="24" s="1"/>
  <c r="BK167" i="24"/>
  <c r="S167" i="24"/>
  <c r="T167" i="24" s="1"/>
  <c r="BK255" i="24"/>
  <c r="S255" i="24"/>
  <c r="T255" i="24" s="1"/>
  <c r="BK146" i="24"/>
  <c r="S146" i="24"/>
  <c r="T146" i="24" s="1"/>
  <c r="M146" i="24"/>
  <c r="AH137" i="25"/>
  <c r="BK38" i="24"/>
  <c r="S38" i="24"/>
  <c r="T38" i="24" s="1"/>
  <c r="M38" i="24"/>
  <c r="K267" i="24"/>
  <c r="BK131" i="24"/>
  <c r="M131" i="24"/>
  <c r="S131" i="24"/>
  <c r="T131" i="24" s="1"/>
  <c r="BK282" i="24"/>
  <c r="S282" i="24"/>
  <c r="T282" i="24" s="1"/>
  <c r="M282" i="24"/>
  <c r="U282" i="24" s="1"/>
  <c r="BK97" i="24"/>
  <c r="S97" i="24"/>
  <c r="T97" i="24" s="1"/>
  <c r="K176" i="24"/>
  <c r="K179" i="24"/>
  <c r="O190" i="24"/>
  <c r="BZ190" i="24" s="1"/>
  <c r="J190" i="24"/>
  <c r="N271" i="25"/>
  <c r="T271" i="25" s="1"/>
  <c r="AH271" i="25"/>
  <c r="BI219" i="25"/>
  <c r="BK16" i="24"/>
  <c r="S16" i="24"/>
  <c r="T16" i="24" s="1"/>
  <c r="T82" i="25"/>
  <c r="BK231" i="24"/>
  <c r="S231" i="24"/>
  <c r="T231" i="24" s="1"/>
  <c r="L175" i="25"/>
  <c r="BQ281" i="25"/>
  <c r="BK25" i="24"/>
  <c r="S25" i="24"/>
  <c r="T25" i="24" s="1"/>
  <c r="M104" i="24"/>
  <c r="N104" i="24" s="1"/>
  <c r="BK188" i="24"/>
  <c r="S188" i="24"/>
  <c r="T188" i="24" s="1"/>
  <c r="U150" i="24"/>
  <c r="K208" i="24"/>
  <c r="L263" i="25"/>
  <c r="BI167" i="25"/>
  <c r="Q121" i="24"/>
  <c r="P121" i="24"/>
  <c r="Q72" i="24"/>
  <c r="R72" i="24" s="1"/>
  <c r="P72" i="24"/>
  <c r="BK153" i="24"/>
  <c r="S153" i="24"/>
  <c r="T153" i="24" s="1"/>
  <c r="BI148" i="25"/>
  <c r="AH144" i="25"/>
  <c r="T147" i="25"/>
  <c r="J292" i="24"/>
  <c r="O292" i="24"/>
  <c r="BZ292" i="24" s="1"/>
  <c r="T31" i="25"/>
  <c r="BK84" i="24"/>
  <c r="S84" i="24"/>
  <c r="T84" i="24" s="1"/>
  <c r="BK58" i="24"/>
  <c r="S58" i="24"/>
  <c r="T58" i="24" s="1"/>
  <c r="BK308" i="24"/>
  <c r="S308" i="24"/>
  <c r="T308" i="24" s="1"/>
  <c r="BK42" i="24"/>
  <c r="S42" i="24"/>
  <c r="T42" i="24" s="1"/>
  <c r="M42" i="24"/>
  <c r="BK306" i="24"/>
  <c r="S306" i="24"/>
  <c r="T306" i="24" s="1"/>
  <c r="AH45" i="25"/>
  <c r="AH101" i="25"/>
  <c r="BK183" i="24"/>
  <c r="S183" i="24"/>
  <c r="T183" i="24" s="1"/>
  <c r="M183" i="24"/>
  <c r="BI229" i="25"/>
  <c r="K301" i="24"/>
  <c r="AH47" i="25"/>
  <c r="AH112" i="25"/>
  <c r="N10" i="25"/>
  <c r="BI25" i="25"/>
  <c r="BI87" i="25"/>
  <c r="BI62" i="25"/>
  <c r="L62" i="25"/>
  <c r="AH48" i="25"/>
  <c r="AH85" i="25"/>
  <c r="L98" i="25"/>
  <c r="BI123" i="25"/>
  <c r="N123" i="25"/>
  <c r="L123" i="25"/>
  <c r="AH149" i="25"/>
  <c r="AH127" i="25"/>
  <c r="P34" i="25"/>
  <c r="O34" i="25"/>
  <c r="L308" i="25"/>
  <c r="AH36" i="25"/>
  <c r="L256" i="25"/>
  <c r="BI41" i="25"/>
  <c r="N41" i="25"/>
  <c r="BK26" i="24"/>
  <c r="S26" i="24"/>
  <c r="T26" i="24" s="1"/>
  <c r="M26" i="24"/>
  <c r="L27" i="25"/>
  <c r="BK249" i="24"/>
  <c r="S249" i="24"/>
  <c r="T249" i="24" s="1"/>
  <c r="M249" i="24"/>
  <c r="U249" i="24" s="1"/>
  <c r="AH28" i="25"/>
  <c r="AH255" i="25"/>
  <c r="U199" i="24"/>
  <c r="K244" i="24"/>
  <c r="AH267" i="25"/>
  <c r="P233" i="24"/>
  <c r="Q233" i="24"/>
  <c r="M71" i="24"/>
  <c r="BQ126" i="25"/>
  <c r="BI96" i="25"/>
  <c r="BK61" i="24"/>
  <c r="S61" i="24"/>
  <c r="T61" i="24" s="1"/>
  <c r="AP61" i="24"/>
  <c r="BK180" i="24"/>
  <c r="S180" i="24"/>
  <c r="T180" i="24" s="1"/>
  <c r="L314" i="25"/>
  <c r="BI90" i="25"/>
  <c r="BQ285" i="25"/>
  <c r="AH285" i="25"/>
  <c r="L166" i="25"/>
  <c r="BQ201" i="25"/>
  <c r="AP48" i="24"/>
  <c r="BI282" i="25"/>
  <c r="K172" i="24"/>
  <c r="AP172" i="24"/>
  <c r="BI302" i="25"/>
  <c r="BI262" i="25"/>
  <c r="J233" i="24"/>
  <c r="O233" i="24"/>
  <c r="BZ233" i="24" s="1"/>
  <c r="P132" i="24"/>
  <c r="Q132" i="24"/>
  <c r="M255" i="24"/>
  <c r="U255" i="24" s="1"/>
  <c r="N26" i="25"/>
  <c r="AP290" i="24"/>
  <c r="L221" i="25"/>
  <c r="K275" i="24"/>
  <c r="BI95" i="25"/>
  <c r="L63" i="25"/>
  <c r="BK210" i="24"/>
  <c r="S210" i="24"/>
  <c r="T210" i="24" s="1"/>
  <c r="BI33" i="25"/>
  <c r="L33" i="25"/>
  <c r="BI228" i="25"/>
  <c r="AH228" i="25"/>
  <c r="L233" i="25"/>
  <c r="AH138" i="25"/>
  <c r="BI155" i="25"/>
  <c r="BI170" i="25"/>
  <c r="AH170" i="25"/>
  <c r="BQ296" i="25"/>
  <c r="BI169" i="25"/>
  <c r="N169" i="25"/>
  <c r="P45" i="24"/>
  <c r="Q45" i="24"/>
  <c r="R45" i="24" s="1"/>
  <c r="BK52" i="24"/>
  <c r="S52" i="24"/>
  <c r="T52" i="24" s="1"/>
  <c r="AP52" i="24"/>
  <c r="BI273" i="25"/>
  <c r="AH273" i="25"/>
  <c r="BI79" i="25"/>
  <c r="N79" i="25"/>
  <c r="L79" i="25"/>
  <c r="L18" i="25"/>
  <c r="BI72" i="25"/>
  <c r="N72" i="25"/>
  <c r="M284" i="24"/>
  <c r="BK113" i="24"/>
  <c r="S113" i="24"/>
  <c r="T113" i="24" s="1"/>
  <c r="M113" i="24"/>
  <c r="AH288" i="25"/>
  <c r="AH253" i="25"/>
  <c r="BI64" i="25"/>
  <c r="N64" i="25"/>
  <c r="T64" i="25" s="1"/>
  <c r="L64" i="25"/>
  <c r="BK29" i="24"/>
  <c r="S29" i="24"/>
  <c r="T29" i="24" s="1"/>
  <c r="M29" i="24"/>
  <c r="BK124" i="24"/>
  <c r="S124" i="24"/>
  <c r="T124" i="24" s="1"/>
  <c r="M124" i="24"/>
  <c r="N124" i="24" s="1"/>
  <c r="BK140" i="24"/>
  <c r="S140" i="24"/>
  <c r="T140" i="24" s="1"/>
  <c r="M140" i="24"/>
  <c r="BQ252" i="25"/>
  <c r="BK219" i="24"/>
  <c r="S219" i="24"/>
  <c r="T219" i="24" s="1"/>
  <c r="BI154" i="25"/>
  <c r="BK30" i="24"/>
  <c r="S30" i="24"/>
  <c r="T30" i="24" s="1"/>
  <c r="BI291" i="25"/>
  <c r="N233" i="25"/>
  <c r="T233" i="25" s="1"/>
  <c r="N307" i="25"/>
  <c r="M196" i="24"/>
  <c r="N196" i="24" s="1"/>
  <c r="M153" i="24"/>
  <c r="N260" i="25"/>
  <c r="N65" i="25"/>
  <c r="T65" i="25" s="1"/>
  <c r="N263" i="25"/>
  <c r="T263" i="25" s="1"/>
  <c r="M161" i="24"/>
  <c r="N166" i="25"/>
  <c r="T166" i="25" s="1"/>
  <c r="M203" i="24"/>
  <c r="M308" i="24"/>
  <c r="U308" i="24" s="1"/>
  <c r="N264" i="25"/>
  <c r="N116" i="25"/>
  <c r="AH192" i="25"/>
  <c r="BI93" i="25"/>
  <c r="N93" i="25"/>
  <c r="BK62" i="24"/>
  <c r="S62" i="24"/>
  <c r="T62" i="24" s="1"/>
  <c r="Q190" i="24"/>
  <c r="P190" i="24"/>
  <c r="P7" i="24"/>
  <c r="Q7" i="24"/>
  <c r="R7" i="24" s="1"/>
  <c r="P68" i="24"/>
  <c r="Q68" i="24"/>
  <c r="R68" i="24" s="1"/>
  <c r="BK123" i="24"/>
  <c r="S123" i="24"/>
  <c r="T123" i="24" s="1"/>
  <c r="M123" i="24"/>
  <c r="AH169" i="25"/>
  <c r="BI23" i="25"/>
  <c r="BK145" i="24"/>
  <c r="S145" i="24"/>
  <c r="T145" i="24" s="1"/>
  <c r="M145" i="24"/>
  <c r="BI232" i="25"/>
  <c r="L232" i="25"/>
  <c r="BI105" i="25"/>
  <c r="N105" i="25"/>
  <c r="BI182" i="25"/>
  <c r="BK223" i="24"/>
  <c r="S223" i="24"/>
  <c r="T223" i="24" s="1"/>
  <c r="AH9" i="25"/>
  <c r="Q225" i="24"/>
  <c r="P225" i="24"/>
  <c r="U133" i="24"/>
  <c r="AP133" i="24"/>
  <c r="BK276" i="24"/>
  <c r="S276" i="24"/>
  <c r="T276" i="24" s="1"/>
  <c r="AH37" i="25"/>
  <c r="AP307" i="24"/>
  <c r="BK295" i="24"/>
  <c r="S295" i="24"/>
  <c r="T295" i="24" s="1"/>
  <c r="BK206" i="24"/>
  <c r="S206" i="24"/>
  <c r="T206" i="24" s="1"/>
  <c r="M206" i="24"/>
  <c r="AH11" i="25"/>
  <c r="L176" i="25"/>
  <c r="BK116" i="24"/>
  <c r="S116" i="24"/>
  <c r="T116" i="24" s="1"/>
  <c r="BK130" i="24"/>
  <c r="S130" i="24"/>
  <c r="T130" i="24" s="1"/>
  <c r="BK286" i="24"/>
  <c r="S286" i="24"/>
  <c r="T286" i="24" s="1"/>
  <c r="AP225" i="24"/>
  <c r="AH30" i="25"/>
  <c r="BK157" i="24"/>
  <c r="S157" i="24"/>
  <c r="T157" i="24" s="1"/>
  <c r="BK253" i="24"/>
  <c r="S253" i="24"/>
  <c r="T253" i="24" s="1"/>
  <c r="N37" i="25"/>
  <c r="T37" i="25" s="1"/>
  <c r="AH265" i="25"/>
  <c r="BI197" i="25"/>
  <c r="N197" i="25"/>
  <c r="AH197" i="25"/>
  <c r="BI130" i="25"/>
  <c r="N130" i="25"/>
  <c r="T130" i="25" s="1"/>
  <c r="BK141" i="24"/>
  <c r="S141" i="24"/>
  <c r="T141" i="24" s="1"/>
  <c r="M141" i="24"/>
  <c r="U76" i="24"/>
  <c r="AH297" i="25"/>
  <c r="BI150" i="25"/>
  <c r="N150" i="25"/>
  <c r="T150" i="25" s="1"/>
  <c r="BK92" i="24"/>
  <c r="S92" i="24"/>
  <c r="T92" i="24" s="1"/>
  <c r="BI92" i="25"/>
  <c r="K144" i="24"/>
  <c r="BI15" i="25"/>
  <c r="N15" i="25"/>
  <c r="T15" i="25" s="1"/>
  <c r="BK159" i="24"/>
  <c r="S159" i="24"/>
  <c r="T159" i="24" s="1"/>
  <c r="BI198" i="25"/>
  <c r="AH117" i="25"/>
  <c r="BI55" i="25"/>
  <c r="AH55" i="25"/>
  <c r="BI251" i="25"/>
  <c r="AH251" i="25"/>
  <c r="BK59" i="24"/>
  <c r="S59" i="24"/>
  <c r="T59" i="24" s="1"/>
  <c r="P30" i="24"/>
  <c r="Q30" i="24"/>
  <c r="R30" i="24" s="1"/>
  <c r="AH292" i="25"/>
  <c r="AH220" i="25"/>
  <c r="AH147" i="25"/>
  <c r="AH86" i="25"/>
  <c r="R129" i="25"/>
  <c r="S129" i="25"/>
  <c r="K129" i="25" s="1"/>
  <c r="Q129" i="25"/>
  <c r="P191" i="24"/>
  <c r="Q191" i="24"/>
  <c r="AH31" i="25"/>
  <c r="AP181" i="24"/>
  <c r="BK271" i="24"/>
  <c r="S271" i="24"/>
  <c r="T271" i="24" s="1"/>
  <c r="AH307" i="25"/>
  <c r="BK218" i="24"/>
  <c r="S218" i="24"/>
  <c r="T218" i="24" s="1"/>
  <c r="BK193" i="24"/>
  <c r="S193" i="24"/>
  <c r="T193" i="24" s="1"/>
  <c r="BI134" i="25"/>
  <c r="BQ25" i="25"/>
  <c r="BQ62" i="25"/>
  <c r="BQ92" i="25"/>
  <c r="L85" i="25"/>
  <c r="BI127" i="25"/>
  <c r="N127" i="25"/>
  <c r="T127" i="25" s="1"/>
  <c r="AH153" i="25"/>
  <c r="AH196" i="25"/>
  <c r="P61" i="24"/>
  <c r="Q61" i="24"/>
  <c r="R61" i="24" s="1"/>
  <c r="BK288" i="24"/>
  <c r="S288" i="24"/>
  <c r="T288" i="24" s="1"/>
  <c r="M288" i="24"/>
  <c r="U288" i="24" s="1"/>
  <c r="BQ7" i="25"/>
  <c r="Q172" i="24"/>
  <c r="P172" i="24"/>
  <c r="AH293" i="25"/>
  <c r="BI224" i="25"/>
  <c r="N224" i="25"/>
  <c r="BI313" i="25"/>
  <c r="AH313" i="25"/>
  <c r="BK149" i="24"/>
  <c r="S149" i="24"/>
  <c r="T149" i="24" s="1"/>
  <c r="BK303" i="24"/>
  <c r="S303" i="24"/>
  <c r="T303" i="24" s="1"/>
  <c r="AH59" i="25"/>
  <c r="AH183" i="25"/>
  <c r="BI49" i="25"/>
  <c r="AH32" i="25"/>
  <c r="U127" i="24"/>
  <c r="AP53" i="24"/>
  <c r="BK77" i="24"/>
  <c r="S77" i="24"/>
  <c r="T77" i="24" s="1"/>
  <c r="N210" i="25"/>
  <c r="N126" i="25"/>
  <c r="T126" i="25" s="1"/>
  <c r="L126" i="25"/>
  <c r="BK31" i="24"/>
  <c r="S31" i="24"/>
  <c r="T31" i="24" s="1"/>
  <c r="M31" i="24"/>
  <c r="N31" i="24" s="1"/>
  <c r="AP31" i="24" s="1"/>
  <c r="BI34" i="25"/>
  <c r="L34" i="25"/>
  <c r="BI314" i="25"/>
  <c r="BI201" i="25"/>
  <c r="U48" i="24"/>
  <c r="AH282" i="25"/>
  <c r="BK79" i="24"/>
  <c r="S79" i="24"/>
  <c r="T79" i="24" s="1"/>
  <c r="BK248" i="24"/>
  <c r="S248" i="24"/>
  <c r="T248" i="24" s="1"/>
  <c r="BI272" i="25"/>
  <c r="AH305" i="25"/>
  <c r="J132" i="24"/>
  <c r="O132" i="24"/>
  <c r="BZ132" i="24" s="1"/>
  <c r="M230" i="24"/>
  <c r="N230" i="24" s="1"/>
  <c r="AP230" i="24" s="1"/>
  <c r="AH204" i="25"/>
  <c r="BK120" i="24"/>
  <c r="S120" i="24"/>
  <c r="T120" i="24" s="1"/>
  <c r="BK299" i="24"/>
  <c r="S299" i="24"/>
  <c r="T299" i="24" s="1"/>
  <c r="K299" i="24"/>
  <c r="BI278" i="25"/>
  <c r="BK240" i="24"/>
  <c r="S240" i="24"/>
  <c r="T240" i="24" s="1"/>
  <c r="AH95" i="25"/>
  <c r="AH111" i="25"/>
  <c r="BQ33" i="25"/>
  <c r="BQ228" i="25"/>
  <c r="L309" i="25"/>
  <c r="K135" i="24"/>
  <c r="BK173" i="24"/>
  <c r="S173" i="24"/>
  <c r="T173" i="24" s="1"/>
  <c r="K242" i="24"/>
  <c r="BQ170" i="25"/>
  <c r="AH296" i="25"/>
  <c r="Q52" i="24"/>
  <c r="R52" i="24" s="1"/>
  <c r="P52" i="24"/>
  <c r="BI205" i="25"/>
  <c r="N205" i="25"/>
  <c r="BI312" i="25"/>
  <c r="N312" i="25"/>
  <c r="T312" i="25" s="1"/>
  <c r="AH139" i="25"/>
  <c r="BK148" i="24"/>
  <c r="S148" i="24"/>
  <c r="T148" i="24" s="1"/>
  <c r="M148" i="24"/>
  <c r="BK155" i="24"/>
  <c r="S155" i="24"/>
  <c r="T155" i="24" s="1"/>
  <c r="M155" i="24"/>
  <c r="N155" i="24" s="1"/>
  <c r="AP155" i="24" s="1"/>
  <c r="N253" i="25"/>
  <c r="T253" i="25" s="1"/>
  <c r="BI253" i="25"/>
  <c r="AH100" i="25"/>
  <c r="BI84" i="25"/>
  <c r="N84" i="25"/>
  <c r="L84" i="25"/>
  <c r="BQ19" i="25"/>
  <c r="AH60" i="25"/>
  <c r="AH191" i="25"/>
  <c r="BI303" i="25"/>
  <c r="N303" i="25"/>
  <c r="L17" i="25"/>
  <c r="M59" i="24"/>
  <c r="BK209" i="24"/>
  <c r="S209" i="24"/>
  <c r="T209" i="24" s="1"/>
  <c r="M209" i="24"/>
  <c r="BI250" i="25"/>
  <c r="N250" i="25"/>
  <c r="T250" i="25" s="1"/>
  <c r="AH252" i="25"/>
  <c r="AH136" i="25"/>
  <c r="AH103" i="25"/>
  <c r="AP121" i="24"/>
  <c r="K219" i="24"/>
  <c r="BK289" i="24"/>
  <c r="S289" i="24"/>
  <c r="T289" i="24" s="1"/>
  <c r="N175" i="25"/>
  <c r="N278" i="25"/>
  <c r="M135" i="24"/>
  <c r="N135" i="24" s="1"/>
  <c r="N242" i="25"/>
  <c r="M300" i="24"/>
  <c r="N313" i="25"/>
  <c r="N172" i="25"/>
  <c r="T172" i="25" s="1"/>
  <c r="N33" i="25"/>
  <c r="T33" i="25" s="1"/>
  <c r="M144" i="24"/>
  <c r="N144" i="24" s="1"/>
  <c r="N221" i="25"/>
  <c r="N184" i="25"/>
  <c r="T184" i="25" s="1"/>
  <c r="N302" i="25"/>
  <c r="N90" i="25"/>
  <c r="M93" i="24"/>
  <c r="N118" i="25"/>
  <c r="N49" i="25"/>
  <c r="T49" i="25" s="1"/>
  <c r="N25" i="25"/>
  <c r="M13" i="24"/>
  <c r="N13" i="24" s="1"/>
  <c r="BI83" i="25"/>
  <c r="N83" i="25"/>
  <c r="T83" i="25" s="1"/>
  <c r="BK24" i="24"/>
  <c r="S24" i="24"/>
  <c r="T24" i="24" s="1"/>
  <c r="AH269" i="25"/>
  <c r="L159" i="25"/>
  <c r="AH151" i="25"/>
  <c r="BK291" i="24"/>
  <c r="S291" i="24"/>
  <c r="T291" i="24" s="1"/>
  <c r="M291" i="24"/>
  <c r="N291" i="24" s="1"/>
  <c r="BK195" i="24"/>
  <c r="S195" i="24"/>
  <c r="T195" i="24" s="1"/>
  <c r="AP162" i="24"/>
  <c r="BK163" i="24"/>
  <c r="S163" i="24"/>
  <c r="T163" i="24" s="1"/>
  <c r="AH210" i="25"/>
  <c r="AH180" i="25"/>
  <c r="T246" i="25"/>
  <c r="BK129" i="24"/>
  <c r="S129" i="24"/>
  <c r="T129" i="24" s="1"/>
  <c r="BK285" i="24"/>
  <c r="S285" i="24"/>
  <c r="T285" i="24" s="1"/>
  <c r="P21" i="24"/>
  <c r="Q21" i="24"/>
  <c r="R21" i="24" s="1"/>
  <c r="U129" i="24"/>
  <c r="K192" i="24"/>
  <c r="N180" i="25"/>
  <c r="T180" i="25" s="1"/>
  <c r="U177" i="25"/>
  <c r="BK179" i="24"/>
  <c r="S179" i="24"/>
  <c r="T179" i="24" s="1"/>
  <c r="M179" i="24"/>
  <c r="N179" i="24" s="1"/>
  <c r="BQ11" i="25"/>
  <c r="L137" i="25"/>
  <c r="N53" i="25"/>
  <c r="BI53" i="25"/>
  <c r="AH188" i="25"/>
  <c r="AH132" i="25"/>
  <c r="BK205" i="24"/>
  <c r="S205" i="24"/>
  <c r="T205" i="24" s="1"/>
  <c r="U205" i="24"/>
  <c r="BK147" i="24"/>
  <c r="S147" i="24"/>
  <c r="T147" i="24" s="1"/>
  <c r="AP22" i="24"/>
  <c r="AH236" i="25"/>
  <c r="AH266" i="25"/>
  <c r="AH300" i="25"/>
  <c r="BK304" i="24"/>
  <c r="S304" i="24"/>
  <c r="T304" i="24" s="1"/>
  <c r="M304" i="24"/>
  <c r="N304" i="24" s="1"/>
  <c r="AP304" i="24" s="1"/>
  <c r="BI99" i="25"/>
  <c r="N99" i="25"/>
  <c r="K245" i="24"/>
  <c r="BK27" i="24"/>
  <c r="S27" i="24"/>
  <c r="T27" i="24" s="1"/>
  <c r="AP27" i="24"/>
  <c r="K154" i="24"/>
  <c r="BK104" i="24"/>
  <c r="S104" i="24"/>
  <c r="T104" i="24" s="1"/>
  <c r="U188" i="24"/>
  <c r="M122" i="24"/>
  <c r="T198" i="25"/>
  <c r="K284" i="24"/>
  <c r="AP150" i="24"/>
  <c r="BI276" i="25"/>
  <c r="BK287" i="24"/>
  <c r="S287" i="24"/>
  <c r="T287" i="24" s="1"/>
  <c r="BK234" i="24"/>
  <c r="S234" i="24"/>
  <c r="T234" i="24" s="1"/>
  <c r="P170" i="25"/>
  <c r="O170" i="25"/>
  <c r="BI220" i="25"/>
  <c r="AH10" i="25"/>
  <c r="BI161" i="25"/>
  <c r="L102" i="25"/>
  <c r="BK151" i="24"/>
  <c r="S151" i="24"/>
  <c r="T151" i="24" s="1"/>
  <c r="J101" i="24"/>
  <c r="O101" i="24"/>
  <c r="BZ101" i="24" s="1"/>
  <c r="J191" i="24"/>
  <c r="O191" i="24"/>
  <c r="BZ191" i="24" s="1"/>
  <c r="BK51" i="24"/>
  <c r="S51" i="24"/>
  <c r="T51" i="24" s="1"/>
  <c r="BI311" i="25"/>
  <c r="BK311" i="24"/>
  <c r="S311" i="24"/>
  <c r="T311" i="24" s="1"/>
  <c r="M311" i="24"/>
  <c r="N311" i="24" s="1"/>
  <c r="BK220" i="24"/>
  <c r="S220" i="24"/>
  <c r="T220" i="24" s="1"/>
  <c r="L101" i="25"/>
  <c r="AH289" i="25"/>
  <c r="AH277" i="25"/>
  <c r="BK227" i="24"/>
  <c r="S227" i="24"/>
  <c r="T227" i="24" s="1"/>
  <c r="AH240" i="25"/>
  <c r="BI249" i="25"/>
  <c r="AH249" i="25"/>
  <c r="AH50" i="25"/>
  <c r="L47" i="25"/>
  <c r="BI121" i="25"/>
  <c r="AH216" i="25"/>
  <c r="BK305" i="24"/>
  <c r="S305" i="24"/>
  <c r="T305" i="24" s="1"/>
  <c r="AH113" i="25"/>
  <c r="U68" i="24"/>
  <c r="P62" i="25"/>
  <c r="O62" i="25"/>
  <c r="AH230" i="25"/>
  <c r="BK95" i="24"/>
  <c r="S95" i="24"/>
  <c r="T95" i="24" s="1"/>
  <c r="M95" i="24"/>
  <c r="AH35" i="25"/>
  <c r="BI48" i="25"/>
  <c r="N48" i="25"/>
  <c r="T48" i="25" s="1"/>
  <c r="AH91" i="25"/>
  <c r="BI20" i="25"/>
  <c r="N20" i="25"/>
  <c r="T20" i="25" s="1"/>
  <c r="L149" i="25"/>
  <c r="BK293" i="24"/>
  <c r="S293" i="24"/>
  <c r="T293" i="24" s="1"/>
  <c r="M293" i="24"/>
  <c r="N293" i="24" s="1"/>
  <c r="BK221" i="24"/>
  <c r="S221" i="24"/>
  <c r="T221" i="24" s="1"/>
  <c r="M221" i="24"/>
  <c r="N221" i="24" s="1"/>
  <c r="AP221" i="24" s="1"/>
  <c r="AH274" i="25"/>
  <c r="AH209" i="25"/>
  <c r="BI7" i="25"/>
  <c r="N7" i="25"/>
  <c r="T7" i="25" s="1"/>
  <c r="AH88" i="25"/>
  <c r="BI304" i="25"/>
  <c r="N125" i="25"/>
  <c r="P255" i="25"/>
  <c r="O255" i="25"/>
  <c r="M20" i="24"/>
  <c r="N20" i="24" s="1"/>
  <c r="BQ49" i="25"/>
  <c r="BQ32" i="25"/>
  <c r="BQ14" i="25"/>
  <c r="BI187" i="25"/>
  <c r="BI267" i="25"/>
  <c r="AH178" i="25"/>
  <c r="N165" i="25"/>
  <c r="AH174" i="25"/>
  <c r="BI21" i="25"/>
  <c r="T34" i="25"/>
  <c r="BI259" i="25"/>
  <c r="L259" i="25"/>
  <c r="BQ314" i="25"/>
  <c r="BK47" i="24"/>
  <c r="S47" i="24"/>
  <c r="T47" i="24" s="1"/>
  <c r="BQ172" i="25"/>
  <c r="BI78" i="25"/>
  <c r="K112" i="24"/>
  <c r="BQ272" i="25"/>
  <c r="L275" i="25"/>
  <c r="M171" i="24"/>
  <c r="N171" i="24" s="1"/>
  <c r="AP171" i="24" s="1"/>
  <c r="N73" i="25"/>
  <c r="BK290" i="24"/>
  <c r="S290" i="24"/>
  <c r="T290" i="24" s="1"/>
  <c r="BQ278" i="25"/>
  <c r="AH260" i="25"/>
  <c r="BI295" i="25"/>
  <c r="L295" i="25"/>
  <c r="K270" i="24"/>
  <c r="BK312" i="24"/>
  <c r="S312" i="24"/>
  <c r="T312" i="24" s="1"/>
  <c r="BI75" i="25"/>
  <c r="BI296" i="25"/>
  <c r="Q88" i="24"/>
  <c r="R88" i="24" s="1"/>
  <c r="P88" i="24"/>
  <c r="O45" i="24"/>
  <c r="BZ45" i="24" s="1"/>
  <c r="J45" i="24"/>
  <c r="BI46" i="25"/>
  <c r="N46" i="25"/>
  <c r="T46" i="25" s="1"/>
  <c r="AH68" i="25"/>
  <c r="BI19" i="25"/>
  <c r="N19" i="25"/>
  <c r="T19" i="25" s="1"/>
  <c r="BK105" i="24"/>
  <c r="S105" i="24"/>
  <c r="T105" i="24" s="1"/>
  <c r="M105" i="24"/>
  <c r="N105" i="24" s="1"/>
  <c r="BK316" i="24"/>
  <c r="S316" i="24"/>
  <c r="T316" i="24" s="1"/>
  <c r="M316" i="24"/>
  <c r="U316" i="24" s="1"/>
  <c r="L284" i="25"/>
  <c r="BQ191" i="25"/>
  <c r="BQ250" i="25"/>
  <c r="AH250" i="25"/>
  <c r="AH56" i="25"/>
  <c r="AH128" i="25"/>
  <c r="BI103" i="25"/>
  <c r="N103" i="25"/>
  <c r="L103" i="25"/>
  <c r="BK121" i="24"/>
  <c r="S121" i="24"/>
  <c r="T121" i="24" s="1"/>
  <c r="K121" i="24"/>
  <c r="AP219" i="24"/>
  <c r="N234" i="25"/>
  <c r="N66" i="25"/>
  <c r="N112" i="25"/>
  <c r="O44" i="24"/>
  <c r="BZ44" i="24" s="1"/>
  <c r="J44" i="24"/>
  <c r="O294" i="24"/>
  <c r="BZ294" i="24" s="1"/>
  <c r="J294" i="24"/>
  <c r="M173" i="24"/>
  <c r="N173" i="24" s="1"/>
  <c r="AP173" i="24" s="1"/>
  <c r="N47" i="25"/>
  <c r="M156" i="24"/>
  <c r="N156" i="24" s="1"/>
  <c r="M149" i="24"/>
  <c r="N228" i="25"/>
  <c r="N289" i="25"/>
  <c r="N249" i="25"/>
  <c r="N102" i="25"/>
  <c r="T102" i="25" s="1"/>
  <c r="N187" i="25"/>
  <c r="M139" i="24"/>
  <c r="N225" i="25"/>
  <c r="M58" i="24"/>
  <c r="N311" i="25"/>
  <c r="T311" i="25" s="1"/>
  <c r="M154" i="24"/>
  <c r="N154" i="24" s="1"/>
  <c r="N281" i="25"/>
  <c r="N55" i="25"/>
  <c r="BK96" i="24"/>
  <c r="S96" i="24"/>
  <c r="T96" i="24" s="1"/>
  <c r="M96" i="24"/>
  <c r="N96" i="24" s="1"/>
  <c r="AP96" i="24" s="1"/>
  <c r="BI266" i="25"/>
  <c r="N266" i="25"/>
  <c r="BK158" i="24"/>
  <c r="S158" i="24"/>
  <c r="T158" i="24" s="1"/>
  <c r="M158" i="24"/>
  <c r="AH237" i="25"/>
  <c r="AH195" i="25"/>
  <c r="K268" i="24"/>
  <c r="BK83" i="24"/>
  <c r="S83" i="24"/>
  <c r="T83" i="24" s="1"/>
  <c r="AH26" i="25"/>
  <c r="AH203" i="25"/>
  <c r="BK228" i="24"/>
  <c r="S228" i="24"/>
  <c r="T228" i="24" s="1"/>
  <c r="M228" i="24"/>
  <c r="U228" i="24" s="1"/>
  <c r="BI194" i="25"/>
  <c r="N194" i="25"/>
  <c r="AP272" i="24"/>
  <c r="AP14" i="24"/>
  <c r="L270" i="25"/>
  <c r="U24" i="24"/>
  <c r="BK18" i="24"/>
  <c r="S18" i="24"/>
  <c r="T18" i="24" s="1"/>
  <c r="BI269" i="25"/>
  <c r="N269" i="25"/>
  <c r="T269" i="25" s="1"/>
  <c r="K123" i="24"/>
  <c r="BI74" i="25"/>
  <c r="N74" i="25"/>
  <c r="K145" i="24"/>
  <c r="AH71" i="25"/>
  <c r="U163" i="24"/>
  <c r="L180" i="25"/>
  <c r="K256" i="24"/>
  <c r="AH58" i="25"/>
  <c r="BK251" i="24"/>
  <c r="S251" i="24"/>
  <c r="T251" i="24" s="1"/>
  <c r="K133" i="24"/>
  <c r="BK280" i="24"/>
  <c r="S280" i="24"/>
  <c r="T280" i="24" s="1"/>
  <c r="K280" i="24"/>
  <c r="L37" i="25"/>
  <c r="BK19" i="24"/>
  <c r="S19" i="24"/>
  <c r="T19" i="24" s="1"/>
  <c r="BK39" i="24"/>
  <c r="S39" i="24"/>
  <c r="T39" i="24" s="1"/>
  <c r="M39" i="24"/>
  <c r="AH163" i="25"/>
  <c r="AH157" i="25"/>
  <c r="L279" i="25"/>
  <c r="BK259" i="24"/>
  <c r="S259" i="24"/>
  <c r="T259" i="24" s="1"/>
  <c r="M259" i="24"/>
  <c r="U259" i="24" s="1"/>
  <c r="BK100" i="24"/>
  <c r="S100" i="24"/>
  <c r="T100" i="24" s="1"/>
  <c r="M100" i="24"/>
  <c r="BI188" i="25"/>
  <c r="N188" i="25"/>
  <c r="BK63" i="24"/>
  <c r="S63" i="24"/>
  <c r="T63" i="24" s="1"/>
  <c r="M63" i="24"/>
  <c r="BI208" i="25"/>
  <c r="N208" i="25"/>
  <c r="BI218" i="25"/>
  <c r="N218" i="25"/>
  <c r="BK126" i="24"/>
  <c r="S126" i="24"/>
  <c r="T126" i="24" s="1"/>
  <c r="M126" i="24"/>
  <c r="K126" i="24"/>
  <c r="BQ129" i="25"/>
  <c r="BI13" i="25"/>
  <c r="BI71" i="25"/>
  <c r="L145" i="25"/>
  <c r="AH105" i="25"/>
  <c r="BK266" i="24"/>
  <c r="S266" i="24"/>
  <c r="T266" i="24" s="1"/>
  <c r="M266" i="24"/>
  <c r="U266" i="24" s="1"/>
  <c r="L266" i="25"/>
  <c r="BK309" i="24"/>
  <c r="S309" i="24"/>
  <c r="T309" i="24" s="1"/>
  <c r="M309" i="24"/>
  <c r="U309" i="24" s="1"/>
  <c r="N122" i="25"/>
  <c r="N23" i="25"/>
  <c r="J7" i="24"/>
  <c r="O7" i="24"/>
  <c r="BZ7" i="24" s="1"/>
  <c r="L197" i="25"/>
  <c r="BK164" i="24"/>
  <c r="S164" i="24"/>
  <c r="T164" i="24" s="1"/>
  <c r="M164" i="24"/>
  <c r="AP76" i="24"/>
  <c r="BI297" i="25"/>
  <c r="N297" i="25"/>
  <c r="L297" i="25"/>
  <c r="AH99" i="25"/>
  <c r="AH82" i="25"/>
  <c r="AH87" i="25"/>
  <c r="U27" i="24"/>
  <c r="AH12" i="25"/>
  <c r="BI238" i="25"/>
  <c r="L238" i="25"/>
  <c r="BI171" i="25"/>
  <c r="N171" i="25"/>
  <c r="BI117" i="25"/>
  <c r="N117" i="25"/>
  <c r="T117" i="25" s="1"/>
  <c r="K263" i="24"/>
  <c r="AP188" i="24"/>
  <c r="AH200" i="25"/>
  <c r="BK200" i="24"/>
  <c r="S200" i="24"/>
  <c r="T200" i="24" s="1"/>
  <c r="T276" i="25"/>
  <c r="BI306" i="25"/>
  <c r="L55" i="25"/>
  <c r="BK226" i="24"/>
  <c r="S226" i="24"/>
  <c r="T226" i="24" s="1"/>
  <c r="BI173" i="25"/>
  <c r="AH173" i="25"/>
  <c r="BK279" i="24"/>
  <c r="S279" i="24"/>
  <c r="T279" i="24" s="1"/>
  <c r="AH247" i="25"/>
  <c r="BI292" i="25"/>
  <c r="BI86" i="25"/>
  <c r="L86" i="25"/>
  <c r="T161" i="25"/>
  <c r="BQ102" i="25"/>
  <c r="K115" i="24"/>
  <c r="N182" i="25"/>
  <c r="T182" i="25" s="1"/>
  <c r="M51" i="24"/>
  <c r="N51" i="24" s="1"/>
  <c r="BK181" i="24"/>
  <c r="S181" i="24"/>
  <c r="T181" i="24" s="1"/>
  <c r="K181" i="24"/>
  <c r="K271" i="24"/>
  <c r="L307" i="25"/>
  <c r="K300" i="24"/>
  <c r="L289" i="25"/>
  <c r="K183" i="24"/>
  <c r="BI240" i="25"/>
  <c r="AP238" i="24"/>
  <c r="K238" i="24"/>
  <c r="AH242" i="25"/>
  <c r="BI158" i="25"/>
  <c r="AH158" i="25"/>
  <c r="BK310" i="24"/>
  <c r="S310" i="24"/>
  <c r="T310" i="24" s="1"/>
  <c r="BI113" i="25"/>
  <c r="M280" i="24"/>
  <c r="U280" i="24" s="1"/>
  <c r="T62" i="25"/>
  <c r="BI207" i="25"/>
  <c r="N207" i="25"/>
  <c r="L207" i="25"/>
  <c r="K258" i="24"/>
  <c r="K175" i="24"/>
  <c r="L35" i="25"/>
  <c r="L48" i="25"/>
  <c r="AH24" i="25"/>
  <c r="BI22" i="25"/>
  <c r="N22" i="25"/>
  <c r="L153" i="25"/>
  <c r="BI135" i="25"/>
  <c r="N135" i="25"/>
  <c r="BI286" i="25"/>
  <c r="N286" i="25"/>
  <c r="L286" i="25"/>
  <c r="BI268" i="25"/>
  <c r="N268" i="25"/>
  <c r="L36" i="25"/>
  <c r="AH256" i="25"/>
  <c r="L41" i="25"/>
  <c r="AH69" i="25"/>
  <c r="BK57" i="24"/>
  <c r="S57" i="24"/>
  <c r="T57" i="24" s="1"/>
  <c r="M57" i="24"/>
  <c r="BI299" i="25"/>
  <c r="N299" i="25"/>
  <c r="AH7" i="25"/>
  <c r="K262" i="24"/>
  <c r="BK64" i="24"/>
  <c r="S64" i="24"/>
  <c r="T64" i="24" s="1"/>
  <c r="M64" i="24"/>
  <c r="BQ61" i="25"/>
  <c r="K197" i="24"/>
  <c r="BK10" i="24"/>
  <c r="S10" i="24"/>
  <c r="T10" i="24" s="1"/>
  <c r="L88" i="25"/>
  <c r="BI255" i="25"/>
  <c r="BI59" i="25"/>
  <c r="BI32" i="25"/>
  <c r="AP127" i="24"/>
  <c r="BK313" i="24"/>
  <c r="S313" i="24"/>
  <c r="T313" i="24" s="1"/>
  <c r="K199" i="24"/>
  <c r="AP199" i="24"/>
  <c r="BI14" i="25"/>
  <c r="T267" i="25"/>
  <c r="L178" i="25"/>
  <c r="K201" i="24"/>
  <c r="M256" i="24"/>
  <c r="N256" i="24" s="1"/>
  <c r="BK204" i="24"/>
  <c r="S204" i="24"/>
  <c r="T204" i="24" s="1"/>
  <c r="M204" i="24"/>
  <c r="T314" i="25"/>
  <c r="AH90" i="25"/>
  <c r="L285" i="25"/>
  <c r="U47" i="24"/>
  <c r="K139" i="24"/>
  <c r="BI261" i="25"/>
  <c r="AH172" i="25"/>
  <c r="BQ78" i="25"/>
  <c r="AH78" i="25"/>
  <c r="AH124" i="25"/>
  <c r="BI248" i="25"/>
  <c r="L223" i="25"/>
  <c r="BK78" i="24"/>
  <c r="S78" i="24"/>
  <c r="T78" i="24" s="1"/>
  <c r="M78" i="24"/>
  <c r="BK134" i="24"/>
  <c r="S134" i="24"/>
  <c r="T134" i="24" s="1"/>
  <c r="K254" i="24"/>
  <c r="J142" i="24"/>
  <c r="O142" i="24"/>
  <c r="BZ142" i="24" s="1"/>
  <c r="BI204" i="25"/>
  <c r="L204" i="25"/>
  <c r="BI114" i="25"/>
  <c r="AH114" i="25"/>
  <c r="AH221" i="25"/>
  <c r="L278" i="25"/>
  <c r="AP270" i="24"/>
  <c r="AH234" i="25"/>
  <c r="AH63" i="25"/>
  <c r="M9" i="24"/>
  <c r="N9" i="24" s="1"/>
  <c r="AP9" i="24" s="1"/>
  <c r="L111" i="25"/>
  <c r="U25" i="24"/>
  <c r="BK32" i="24"/>
  <c r="S32" i="24"/>
  <c r="T32" i="24" s="1"/>
  <c r="L228" i="25"/>
  <c r="BQ316" i="25"/>
  <c r="L216" i="25"/>
  <c r="BI216" i="25"/>
  <c r="N216" i="25"/>
  <c r="AH298" i="25"/>
  <c r="T199" i="25"/>
  <c r="BI138" i="25"/>
  <c r="BQ244" i="25"/>
  <c r="T170" i="25"/>
  <c r="L170" i="25"/>
  <c r="L296" i="25"/>
  <c r="BK88" i="24"/>
  <c r="S88" i="24"/>
  <c r="T88" i="24" s="1"/>
  <c r="U52" i="24"/>
  <c r="AH205" i="25"/>
  <c r="M151" i="24"/>
  <c r="N151" i="24" s="1"/>
  <c r="BK174" i="24"/>
  <c r="S174" i="24"/>
  <c r="T174" i="24" s="1"/>
  <c r="M174" i="24"/>
  <c r="L312" i="25"/>
  <c r="L43" i="25"/>
  <c r="BI40" i="25"/>
  <c r="N40" i="25"/>
  <c r="L139" i="25"/>
  <c r="BI156" i="25"/>
  <c r="N156" i="25"/>
  <c r="BK260" i="24"/>
  <c r="S260" i="24"/>
  <c r="T260" i="24" s="1"/>
  <c r="M260" i="24"/>
  <c r="U260" i="24" s="1"/>
  <c r="BI301" i="25"/>
  <c r="N301" i="25"/>
  <c r="BI76" i="25"/>
  <c r="N76" i="25"/>
  <c r="AH76" i="25"/>
  <c r="K189" i="24"/>
  <c r="L191" i="25"/>
  <c r="AH303" i="25"/>
  <c r="BK229" i="24"/>
  <c r="S229" i="24"/>
  <c r="T229" i="24" s="1"/>
  <c r="M229" i="24"/>
  <c r="U229" i="24" s="1"/>
  <c r="BQ136" i="25"/>
  <c r="U121" i="24"/>
  <c r="AP72" i="24"/>
  <c r="N295" i="25"/>
  <c r="N272" i="25"/>
  <c r="N138" i="25"/>
  <c r="N101" i="25"/>
  <c r="M242" i="24"/>
  <c r="N242" i="24" s="1"/>
  <c r="N298" i="25"/>
  <c r="M220" i="24"/>
  <c r="U220" i="24" s="1"/>
  <c r="M197" i="24"/>
  <c r="N197" i="24" s="1"/>
  <c r="AP197" i="24" s="1"/>
  <c r="N78" i="25"/>
  <c r="N285" i="25"/>
  <c r="T285" i="25" s="1"/>
  <c r="M17" i="24"/>
  <c r="N17" i="24" s="1"/>
  <c r="N309" i="25"/>
  <c r="T309" i="25" s="1"/>
  <c r="M92" i="24"/>
  <c r="N92" i="24" s="1"/>
  <c r="N304" i="25"/>
  <c r="N181" i="25"/>
  <c r="M8" i="24"/>
  <c r="M136" i="24"/>
  <c r="N136" i="24" s="1"/>
  <c r="N86" i="25"/>
  <c r="N287" i="25"/>
  <c r="M240" i="24"/>
  <c r="N240" i="24" s="1"/>
  <c r="M222" i="24"/>
  <c r="N121" i="25"/>
  <c r="N134" i="25"/>
  <c r="T134" i="25" s="1"/>
  <c r="AP264" i="24" l="1"/>
  <c r="U233" i="24"/>
  <c r="V233" i="24" s="1"/>
  <c r="W257" i="24"/>
  <c r="P294" i="24"/>
  <c r="P190" i="25"/>
  <c r="Q294" i="24"/>
  <c r="AP175" i="24"/>
  <c r="Q264" i="24"/>
  <c r="Q84" i="24"/>
  <c r="R84" i="24" s="1"/>
  <c r="AP281" i="24"/>
  <c r="U264" i="24"/>
  <c r="V264" i="24" s="1"/>
  <c r="O190" i="25"/>
  <c r="S190" i="25" s="1"/>
  <c r="K190" i="25" s="1"/>
  <c r="P262" i="25"/>
  <c r="O264" i="24"/>
  <c r="BZ264" i="24" s="1"/>
  <c r="U294" i="24"/>
  <c r="V294" i="24" s="1"/>
  <c r="O257" i="24"/>
  <c r="BZ257" i="24" s="1"/>
  <c r="U241" i="24"/>
  <c r="U276" i="24"/>
  <c r="V276" i="24" s="1"/>
  <c r="N301" i="24"/>
  <c r="U301" i="24"/>
  <c r="U295" i="24"/>
  <c r="U258" i="24"/>
  <c r="V258" i="24" s="1"/>
  <c r="U243" i="24"/>
  <c r="N284" i="24"/>
  <c r="P284" i="24" s="1"/>
  <c r="U284" i="24"/>
  <c r="V284" i="24" s="1"/>
  <c r="U251" i="24"/>
  <c r="V251" i="24" s="1"/>
  <c r="U244" i="24"/>
  <c r="U217" i="24"/>
  <c r="V217" i="24" s="1"/>
  <c r="U240" i="24"/>
  <c r="U256" i="24"/>
  <c r="U265" i="24"/>
  <c r="V265" i="24" s="1"/>
  <c r="N222" i="24"/>
  <c r="Q222" i="24" s="1"/>
  <c r="U222" i="24"/>
  <c r="N253" i="24"/>
  <c r="AP253" i="24" s="1"/>
  <c r="U253" i="24"/>
  <c r="V253" i="24" s="1"/>
  <c r="N275" i="24"/>
  <c r="AP275" i="24" s="1"/>
  <c r="U275" i="24"/>
  <c r="U291" i="24"/>
  <c r="U250" i="24"/>
  <c r="U246" i="24"/>
  <c r="V246" i="24" s="1"/>
  <c r="U286" i="24"/>
  <c r="V286" i="24" s="1"/>
  <c r="U304" i="24"/>
  <c r="U281" i="24"/>
  <c r="V281" i="24" s="1"/>
  <c r="U269" i="24"/>
  <c r="V269" i="24" s="1"/>
  <c r="N300" i="24"/>
  <c r="P300" i="24" s="1"/>
  <c r="U300" i="24"/>
  <c r="N285" i="24"/>
  <c r="AP285" i="24" s="1"/>
  <c r="U285" i="24"/>
  <c r="V285" i="24" s="1"/>
  <c r="U311" i="24"/>
  <c r="V311" i="24" s="1"/>
  <c r="U299" i="24"/>
  <c r="U224" i="24"/>
  <c r="V224" i="24" s="1"/>
  <c r="U254" i="24"/>
  <c r="V254" i="24" s="1"/>
  <c r="U283" i="24"/>
  <c r="U221" i="24"/>
  <c r="U267" i="24"/>
  <c r="V267" i="24" s="1"/>
  <c r="U278" i="24"/>
  <c r="V278" i="24" s="1"/>
  <c r="U305" i="24"/>
  <c r="V305" i="24" s="1"/>
  <c r="U261" i="24"/>
  <c r="U314" i="24"/>
  <c r="V314" i="24" s="1"/>
  <c r="U252" i="24"/>
  <c r="V252" i="24" s="1"/>
  <c r="U302" i="24"/>
  <c r="V302" i="24" s="1"/>
  <c r="U242" i="24"/>
  <c r="U230" i="24"/>
  <c r="V230" i="24" s="1"/>
  <c r="U296" i="24"/>
  <c r="V296" i="24" s="1"/>
  <c r="N297" i="24"/>
  <c r="AP297" i="24" s="1"/>
  <c r="U297" i="24"/>
  <c r="N289" i="24"/>
  <c r="P289" i="24" s="1"/>
  <c r="U289" i="24"/>
  <c r="V289" i="24" s="1"/>
  <c r="U274" i="24"/>
  <c r="V274" i="24" s="1"/>
  <c r="U293" i="24"/>
  <c r="U273" i="24"/>
  <c r="V273" i="24" s="1"/>
  <c r="U235" i="24"/>
  <c r="U245" i="24"/>
  <c r="AP224" i="24"/>
  <c r="AP118" i="24"/>
  <c r="AO30" i="25"/>
  <c r="AO21" i="25"/>
  <c r="AP23" i="24"/>
  <c r="Q137" i="24"/>
  <c r="AO14" i="25"/>
  <c r="AP66" i="24"/>
  <c r="AP111" i="24"/>
  <c r="AP217" i="24"/>
  <c r="AO6" i="25"/>
  <c r="AP87" i="24"/>
  <c r="AP269" i="24"/>
  <c r="AP165" i="24"/>
  <c r="AP97" i="24"/>
  <c r="AP305" i="24"/>
  <c r="O55" i="24"/>
  <c r="BZ55" i="24" s="1"/>
  <c r="AP267" i="24"/>
  <c r="AP56" i="24"/>
  <c r="O262" i="25"/>
  <c r="AO262" i="25" s="1"/>
  <c r="AP208" i="24"/>
  <c r="AP193" i="24"/>
  <c r="AP299" i="24"/>
  <c r="O94" i="25"/>
  <c r="S94" i="25" s="1"/>
  <c r="K94" i="25" s="1"/>
  <c r="AP101" i="24"/>
  <c r="AP202" i="24"/>
  <c r="P55" i="24"/>
  <c r="Q55" i="24"/>
  <c r="R55" i="24" s="1"/>
  <c r="U55" i="24"/>
  <c r="V55" i="24" s="1"/>
  <c r="P94" i="25"/>
  <c r="Q160" i="24"/>
  <c r="AP286" i="24"/>
  <c r="AP81" i="24"/>
  <c r="AP180" i="24"/>
  <c r="AP310" i="24"/>
  <c r="AP98" i="24"/>
  <c r="AP306" i="24"/>
  <c r="AP200" i="24"/>
  <c r="AP160" i="24"/>
  <c r="W45" i="24"/>
  <c r="Y45" i="24" s="1"/>
  <c r="AO71" i="25"/>
  <c r="Y257" i="24"/>
  <c r="U105" i="24"/>
  <c r="V105" i="24" s="1"/>
  <c r="P11" i="25"/>
  <c r="U160" i="24"/>
  <c r="V160" i="24" s="1"/>
  <c r="O11" i="25"/>
  <c r="AO11" i="25" s="1"/>
  <c r="AP252" i="24"/>
  <c r="O41" i="24"/>
  <c r="BZ41" i="24" s="1"/>
  <c r="AP186" i="24"/>
  <c r="P280" i="25"/>
  <c r="O280" i="25"/>
  <c r="Q280" i="25" s="1"/>
  <c r="AP245" i="24"/>
  <c r="BZ273" i="25"/>
  <c r="BZ306" i="25"/>
  <c r="BZ31" i="25"/>
  <c r="AO306" i="25"/>
  <c r="O155" i="25"/>
  <c r="AO155" i="25" s="1"/>
  <c r="P155" i="25"/>
  <c r="AP241" i="24"/>
  <c r="AP178" i="24"/>
  <c r="U87" i="24"/>
  <c r="V87" i="24" s="1"/>
  <c r="W233" i="24"/>
  <c r="Y233" i="24" s="1"/>
  <c r="O96" i="25"/>
  <c r="P96" i="25"/>
  <c r="T154" i="25"/>
  <c r="U154" i="25" s="1"/>
  <c r="Q286" i="24"/>
  <c r="P286" i="24"/>
  <c r="Q252" i="24"/>
  <c r="P77" i="24"/>
  <c r="Q77" i="24"/>
  <c r="R77" i="24" s="1"/>
  <c r="P137" i="24"/>
  <c r="P246" i="24"/>
  <c r="AP137" i="24"/>
  <c r="AP84" i="24"/>
  <c r="Q246" i="24"/>
  <c r="U137" i="24"/>
  <c r="V137" i="24" s="1"/>
  <c r="P84" i="24"/>
  <c r="U74" i="24"/>
  <c r="V74" i="24" s="1"/>
  <c r="BZ147" i="25"/>
  <c r="O154" i="25"/>
  <c r="AO154" i="25" s="1"/>
  <c r="U118" i="24"/>
  <c r="V118" i="24" s="1"/>
  <c r="P276" i="24"/>
  <c r="P189" i="25"/>
  <c r="Q276" i="24"/>
  <c r="Q143" i="25"/>
  <c r="N223" i="24"/>
  <c r="AP223" i="24" s="1"/>
  <c r="U12" i="24"/>
  <c r="V12" i="24" s="1"/>
  <c r="AP170" i="24"/>
  <c r="BZ114" i="25"/>
  <c r="U35" i="24"/>
  <c r="V35" i="24" s="1"/>
  <c r="U60" i="24"/>
  <c r="V60" i="24" s="1"/>
  <c r="O97" i="25"/>
  <c r="AP166" i="24"/>
  <c r="Q157" i="24"/>
  <c r="P157" i="24"/>
  <c r="O29" i="25"/>
  <c r="R29" i="25" s="1"/>
  <c r="P251" i="24"/>
  <c r="U152" i="24"/>
  <c r="V152" i="24" s="1"/>
  <c r="AO92" i="25"/>
  <c r="P29" i="25"/>
  <c r="P134" i="24"/>
  <c r="U157" i="24"/>
  <c r="V157" i="24" s="1"/>
  <c r="Q251" i="24"/>
  <c r="BZ174" i="25"/>
  <c r="Q134" i="24"/>
  <c r="U178" i="24"/>
  <c r="V178" i="24" s="1"/>
  <c r="AP274" i="24"/>
  <c r="R143" i="25"/>
  <c r="S143" i="25"/>
  <c r="K143" i="25" s="1"/>
  <c r="V143" i="25" s="1"/>
  <c r="X143" i="25" s="1"/>
  <c r="BZ143" i="25"/>
  <c r="BZ267" i="25"/>
  <c r="O189" i="25"/>
  <c r="AO189" i="25" s="1"/>
  <c r="BZ292" i="25"/>
  <c r="P97" i="25"/>
  <c r="U81" i="24"/>
  <c r="V81" i="24" s="1"/>
  <c r="O265" i="25"/>
  <c r="AO265" i="25" s="1"/>
  <c r="U207" i="24"/>
  <c r="V207" i="24" s="1"/>
  <c r="AP167" i="24"/>
  <c r="P265" i="25"/>
  <c r="Q167" i="24"/>
  <c r="U91" i="24"/>
  <c r="V91" i="24" s="1"/>
  <c r="U166" i="24"/>
  <c r="V166" i="24" s="1"/>
  <c r="U67" i="24"/>
  <c r="V67" i="24" s="1"/>
  <c r="BZ161" i="25"/>
  <c r="BZ71" i="25"/>
  <c r="P237" i="25"/>
  <c r="BZ247" i="25"/>
  <c r="O179" i="25"/>
  <c r="R179" i="25" s="1"/>
  <c r="T179" i="25"/>
  <c r="U179" i="25" s="1"/>
  <c r="T258" i="25"/>
  <c r="U258" i="25" s="1"/>
  <c r="O237" i="25"/>
  <c r="R237" i="25" s="1"/>
  <c r="O258" i="25"/>
  <c r="BZ258" i="25" s="1"/>
  <c r="BZ167" i="25"/>
  <c r="U66" i="24"/>
  <c r="V66" i="24" s="1"/>
  <c r="BZ82" i="25"/>
  <c r="U99" i="24"/>
  <c r="V99" i="24" s="1"/>
  <c r="BZ30" i="25"/>
  <c r="BZ238" i="25"/>
  <c r="BZ32" i="25"/>
  <c r="BZ13" i="25"/>
  <c r="AO82" i="25"/>
  <c r="O104" i="25"/>
  <c r="BZ199" i="25"/>
  <c r="BZ248" i="25"/>
  <c r="P104" i="25"/>
  <c r="O291" i="25"/>
  <c r="AO291" i="25" s="1"/>
  <c r="P291" i="25"/>
  <c r="P59" i="25"/>
  <c r="O59" i="25"/>
  <c r="S59" i="25" s="1"/>
  <c r="K59" i="25" s="1"/>
  <c r="V59" i="25" s="1"/>
  <c r="O28" i="25"/>
  <c r="AO28" i="25" s="1"/>
  <c r="BZ14" i="25"/>
  <c r="P28" i="25"/>
  <c r="BZ276" i="25"/>
  <c r="BZ305" i="25"/>
  <c r="BZ178" i="25"/>
  <c r="BZ283" i="25"/>
  <c r="BZ95" i="25"/>
  <c r="BZ204" i="25"/>
  <c r="BZ206" i="25"/>
  <c r="BZ259" i="25"/>
  <c r="BZ92" i="25"/>
  <c r="BZ229" i="25"/>
  <c r="AO259" i="25"/>
  <c r="BZ243" i="25"/>
  <c r="AO206" i="25"/>
  <c r="BZ240" i="25"/>
  <c r="V129" i="25"/>
  <c r="X129" i="25" s="1"/>
  <c r="FI212" i="25"/>
  <c r="FJ212" i="25"/>
  <c r="BZ293" i="25"/>
  <c r="U11" i="24"/>
  <c r="V11" i="24" s="1"/>
  <c r="U173" i="24"/>
  <c r="V173" i="24" s="1"/>
  <c r="U20" i="24"/>
  <c r="V20" i="24" s="1"/>
  <c r="U49" i="24"/>
  <c r="V49" i="24" s="1"/>
  <c r="U125" i="24"/>
  <c r="V125" i="24" s="1"/>
  <c r="U167" i="24"/>
  <c r="V167" i="24" s="1"/>
  <c r="U175" i="24"/>
  <c r="V175" i="24" s="1"/>
  <c r="U82" i="24"/>
  <c r="V82" i="24" s="1"/>
  <c r="BZ173" i="25"/>
  <c r="BZ21" i="25"/>
  <c r="BZ201" i="25"/>
  <c r="BZ192" i="25"/>
  <c r="BZ89" i="25"/>
  <c r="P77" i="25"/>
  <c r="O77" i="25"/>
  <c r="T77" i="25"/>
  <c r="U77" i="25" s="1"/>
  <c r="AO293" i="25"/>
  <c r="BZ314" i="25"/>
  <c r="U208" i="24"/>
  <c r="V208" i="24" s="1"/>
  <c r="U13" i="24"/>
  <c r="V13" i="24" s="1"/>
  <c r="U201" i="24"/>
  <c r="V201" i="24" s="1"/>
  <c r="U155" i="24"/>
  <c r="V155" i="24" s="1"/>
  <c r="BZ87" i="25"/>
  <c r="BZ261" i="25"/>
  <c r="BZ232" i="25"/>
  <c r="BZ148" i="25"/>
  <c r="BZ296" i="25"/>
  <c r="BZ6" i="25"/>
  <c r="U124" i="24"/>
  <c r="AO87" i="25"/>
  <c r="U169" i="24"/>
  <c r="V169" i="24" s="1"/>
  <c r="U165" i="24"/>
  <c r="V165" i="24" s="1"/>
  <c r="BZ158" i="25"/>
  <c r="AO232" i="25"/>
  <c r="AO261" i="25"/>
  <c r="U202" i="24"/>
  <c r="V202" i="24" s="1"/>
  <c r="U70" i="24"/>
  <c r="V70" i="24" s="1"/>
  <c r="U189" i="24"/>
  <c r="V189" i="24" s="1"/>
  <c r="W236" i="24"/>
  <c r="Y236" i="24" s="1"/>
  <c r="BZ282" i="25"/>
  <c r="BZ246" i="25"/>
  <c r="BZ113" i="25"/>
  <c r="AO148" i="25"/>
  <c r="U198" i="24"/>
  <c r="V198" i="24" s="1"/>
  <c r="AO192" i="25"/>
  <c r="AO89" i="25"/>
  <c r="U15" i="24"/>
  <c r="V15" i="24" s="1"/>
  <c r="BZ34" i="25"/>
  <c r="U37" i="24"/>
  <c r="P41" i="24"/>
  <c r="Q41" i="24"/>
  <c r="R41" i="24" s="1"/>
  <c r="U77" i="24"/>
  <c r="V77" i="24" s="1"/>
  <c r="U50" i="24"/>
  <c r="V50" i="24" s="1"/>
  <c r="U128" i="24"/>
  <c r="V128" i="24" s="1"/>
  <c r="BZ275" i="25"/>
  <c r="U84" i="24"/>
  <c r="V84" i="24" s="1"/>
  <c r="U56" i="24"/>
  <c r="V56" i="24" s="1"/>
  <c r="U134" i="24"/>
  <c r="V134" i="24" s="1"/>
  <c r="BZ186" i="25"/>
  <c r="U193" i="25"/>
  <c r="U151" i="25"/>
  <c r="U245" i="25"/>
  <c r="U102" i="25"/>
  <c r="U271" i="25"/>
  <c r="U263" i="25"/>
  <c r="U284" i="25"/>
  <c r="U164" i="25"/>
  <c r="U309" i="25"/>
  <c r="U17" i="25"/>
  <c r="U311" i="25"/>
  <c r="U48" i="25"/>
  <c r="U236" i="25"/>
  <c r="U60" i="25"/>
  <c r="U152" i="25"/>
  <c r="U241" i="25"/>
  <c r="U269" i="25"/>
  <c r="U8" i="25"/>
  <c r="U16" i="25"/>
  <c r="U88" i="25"/>
  <c r="U132" i="25"/>
  <c r="U117" i="25"/>
  <c r="U182" i="25"/>
  <c r="U83" i="25"/>
  <c r="U130" i="25"/>
  <c r="U37" i="25"/>
  <c r="U141" i="25"/>
  <c r="U134" i="25"/>
  <c r="U166" i="25"/>
  <c r="U43" i="25"/>
  <c r="N220" i="24"/>
  <c r="J88" i="24"/>
  <c r="O88" i="24"/>
  <c r="BZ88" i="24" s="1"/>
  <c r="U7" i="25"/>
  <c r="U20" i="25"/>
  <c r="U180" i="25"/>
  <c r="P240" i="24"/>
  <c r="Q240" i="24"/>
  <c r="Q256" i="24"/>
  <c r="P256" i="24"/>
  <c r="J19" i="24"/>
  <c r="W19" i="24" s="1"/>
  <c r="O19" i="24"/>
  <c r="BZ19" i="24" s="1"/>
  <c r="P138" i="25"/>
  <c r="O138" i="25"/>
  <c r="T138" i="25"/>
  <c r="N229" i="24"/>
  <c r="U312" i="25"/>
  <c r="V312" i="24"/>
  <c r="V290" i="24"/>
  <c r="N78" i="24"/>
  <c r="U78" i="24"/>
  <c r="J204" i="24"/>
  <c r="O204" i="24"/>
  <c r="BZ204" i="24" s="1"/>
  <c r="J64" i="24"/>
  <c r="O64" i="24"/>
  <c r="BZ64" i="24" s="1"/>
  <c r="P135" i="25"/>
  <c r="O135" i="25"/>
  <c r="T135" i="25"/>
  <c r="U150" i="25"/>
  <c r="N164" i="24"/>
  <c r="U164" i="24"/>
  <c r="AE7" i="24"/>
  <c r="AI7" i="24"/>
  <c r="X7" i="24"/>
  <c r="AA7" i="24" s="1"/>
  <c r="AB7" i="24" s="1"/>
  <c r="AC7" i="24" s="1"/>
  <c r="N266" i="24"/>
  <c r="P218" i="25"/>
  <c r="O218" i="25"/>
  <c r="T218" i="25"/>
  <c r="P188" i="25"/>
  <c r="O188" i="25"/>
  <c r="T188" i="25"/>
  <c r="N100" i="24"/>
  <c r="U100" i="24"/>
  <c r="N39" i="24"/>
  <c r="U39" i="24"/>
  <c r="J251" i="24"/>
  <c r="O251" i="24"/>
  <c r="BZ251" i="24" s="1"/>
  <c r="J158" i="24"/>
  <c r="O158" i="24"/>
  <c r="BZ158" i="24" s="1"/>
  <c r="O96" i="24"/>
  <c r="BZ96" i="24" s="1"/>
  <c r="J96" i="24"/>
  <c r="P225" i="25"/>
  <c r="O225" i="25"/>
  <c r="T225" i="25"/>
  <c r="Q156" i="24"/>
  <c r="P156" i="24"/>
  <c r="P66" i="25"/>
  <c r="O66" i="25"/>
  <c r="Q105" i="24"/>
  <c r="R105" i="24" s="1"/>
  <c r="P105" i="24"/>
  <c r="J290" i="24"/>
  <c r="W290" i="24" s="1"/>
  <c r="O290" i="24"/>
  <c r="BZ290" i="24" s="1"/>
  <c r="Q293" i="24"/>
  <c r="P293" i="24"/>
  <c r="J234" i="24"/>
  <c r="W234" i="24" s="1"/>
  <c r="O234" i="24"/>
  <c r="BZ234" i="24" s="1"/>
  <c r="O205" i="24"/>
  <c r="BZ205" i="24" s="1"/>
  <c r="J205" i="24"/>
  <c r="W205" i="24" s="1"/>
  <c r="O179" i="24"/>
  <c r="BZ179" i="24" s="1"/>
  <c r="J179" i="24"/>
  <c r="U246" i="25"/>
  <c r="P302" i="25"/>
  <c r="O302" i="25"/>
  <c r="T302" i="25"/>
  <c r="P242" i="25"/>
  <c r="O242" i="25"/>
  <c r="T242" i="25"/>
  <c r="N209" i="24"/>
  <c r="U209" i="24"/>
  <c r="P253" i="25"/>
  <c r="O253" i="25"/>
  <c r="J248" i="24"/>
  <c r="W248" i="24" s="1"/>
  <c r="O248" i="24"/>
  <c r="BZ248" i="24" s="1"/>
  <c r="J79" i="24"/>
  <c r="O79" i="24"/>
  <c r="BZ79" i="24" s="1"/>
  <c r="O77" i="24"/>
  <c r="BZ77" i="24" s="1"/>
  <c r="J77" i="24"/>
  <c r="N288" i="24"/>
  <c r="O276" i="24"/>
  <c r="BZ276" i="24" s="1"/>
  <c r="J276" i="24"/>
  <c r="J123" i="24"/>
  <c r="O123" i="24"/>
  <c r="BZ123" i="24" s="1"/>
  <c r="P93" i="25"/>
  <c r="O93" i="25"/>
  <c r="T93" i="25"/>
  <c r="P116" i="25"/>
  <c r="O116" i="25"/>
  <c r="T116" i="25"/>
  <c r="P65" i="25"/>
  <c r="O65" i="25"/>
  <c r="J30" i="24"/>
  <c r="W30" i="24" s="1"/>
  <c r="O30" i="24"/>
  <c r="BZ30" i="24" s="1"/>
  <c r="J124" i="24"/>
  <c r="O124" i="24"/>
  <c r="BZ124" i="24" s="1"/>
  <c r="P72" i="25"/>
  <c r="O72" i="25"/>
  <c r="T72" i="25"/>
  <c r="O52" i="24"/>
  <c r="BZ52" i="24" s="1"/>
  <c r="J52" i="24"/>
  <c r="W52" i="24" s="1"/>
  <c r="J61" i="24"/>
  <c r="W61" i="24" s="1"/>
  <c r="O61" i="24"/>
  <c r="BZ61" i="24" s="1"/>
  <c r="V199" i="24"/>
  <c r="O26" i="24"/>
  <c r="BZ26" i="24" s="1"/>
  <c r="J26" i="24"/>
  <c r="J183" i="24"/>
  <c r="O183" i="24"/>
  <c r="BZ183" i="24" s="1"/>
  <c r="AP154" i="24"/>
  <c r="J97" i="24"/>
  <c r="W97" i="24" s="1"/>
  <c r="O97" i="24"/>
  <c r="BZ97" i="24" s="1"/>
  <c r="W190" i="24"/>
  <c r="V190" i="24"/>
  <c r="N54" i="24"/>
  <c r="U54" i="24"/>
  <c r="P125" i="24"/>
  <c r="Q125" i="24"/>
  <c r="Q112" i="24"/>
  <c r="P112" i="24"/>
  <c r="Q299" i="24"/>
  <c r="P299" i="24"/>
  <c r="P54" i="25"/>
  <c r="O54" i="25"/>
  <c r="J196" i="24"/>
  <c r="O196" i="24"/>
  <c r="BZ196" i="24" s="1"/>
  <c r="V61" i="24"/>
  <c r="O237" i="24"/>
  <c r="BZ237" i="24" s="1"/>
  <c r="J237" i="24"/>
  <c r="W237" i="24" s="1"/>
  <c r="J238" i="24"/>
  <c r="W238" i="24" s="1"/>
  <c r="O238" i="24"/>
  <c r="BZ238" i="24" s="1"/>
  <c r="Q102" i="24"/>
  <c r="R102" i="24" s="1"/>
  <c r="P102" i="24"/>
  <c r="FJ110" i="25"/>
  <c r="FJ209" i="25"/>
  <c r="FI207" i="25"/>
  <c r="FI176" i="25"/>
  <c r="FJ164" i="25"/>
  <c r="FI113" i="25"/>
  <c r="FI204" i="25"/>
  <c r="FJ129" i="25"/>
  <c r="FI151" i="25"/>
  <c r="FI126" i="25"/>
  <c r="FI187" i="25"/>
  <c r="FI137" i="25"/>
  <c r="FJ189" i="25"/>
  <c r="FJ170" i="25"/>
  <c r="FI142" i="25"/>
  <c r="FJ158" i="25"/>
  <c r="FJ172" i="25"/>
  <c r="FI135" i="25"/>
  <c r="FI183" i="25"/>
  <c r="FJ123" i="25"/>
  <c r="FI168" i="25"/>
  <c r="FI157" i="25"/>
  <c r="FJ182" i="25"/>
  <c r="FI110" i="25"/>
  <c r="FJ141" i="25"/>
  <c r="F212" i="25"/>
  <c r="FI123" i="25"/>
  <c r="FI122" i="25"/>
  <c r="FI125" i="25"/>
  <c r="FJ190" i="25"/>
  <c r="FJ111" i="25"/>
  <c r="FJ148" i="25"/>
  <c r="FI166" i="25"/>
  <c r="FI201" i="25"/>
  <c r="FJ208" i="25"/>
  <c r="FJ203" i="25"/>
  <c r="FI190" i="25"/>
  <c r="FI174" i="25"/>
  <c r="FJ120" i="25"/>
  <c r="FI194" i="25"/>
  <c r="FJ142" i="25"/>
  <c r="FJ124" i="25"/>
  <c r="FI170" i="25"/>
  <c r="FJ121" i="25"/>
  <c r="FJ185" i="25"/>
  <c r="FJ153" i="25"/>
  <c r="FI156" i="25"/>
  <c r="FI143" i="25"/>
  <c r="FI121" i="25"/>
  <c r="FI119" i="25"/>
  <c r="FJ174" i="25"/>
  <c r="FI193" i="25"/>
  <c r="FI162" i="25"/>
  <c r="FI165" i="25"/>
  <c r="FJ161" i="25"/>
  <c r="FJ160" i="25"/>
  <c r="FJ191" i="25"/>
  <c r="FJ193" i="25"/>
  <c r="FJ207" i="25"/>
  <c r="FJ152" i="25"/>
  <c r="FJ177" i="25"/>
  <c r="FJ184" i="25"/>
  <c r="FI173" i="25"/>
  <c r="FI148" i="25"/>
  <c r="FI127" i="25"/>
  <c r="FI158" i="25"/>
  <c r="FI208" i="25"/>
  <c r="FJ130" i="25"/>
  <c r="FI167" i="25"/>
  <c r="FJ187" i="25"/>
  <c r="FI199" i="25"/>
  <c r="FJ195" i="25"/>
  <c r="FI180" i="25"/>
  <c r="FJ150" i="25"/>
  <c r="FJ127" i="25"/>
  <c r="FI131" i="25"/>
  <c r="FJ134" i="25"/>
  <c r="G212" i="25"/>
  <c r="FJ112" i="25"/>
  <c r="FI154" i="25"/>
  <c r="FI205" i="25"/>
  <c r="FJ167" i="25"/>
  <c r="FI140" i="25"/>
  <c r="FJ176" i="25"/>
  <c r="FI178" i="25"/>
  <c r="FI163" i="25"/>
  <c r="FJ114" i="25"/>
  <c r="FJ145" i="25"/>
  <c r="FI195" i="25"/>
  <c r="FJ186" i="25"/>
  <c r="FI197" i="25"/>
  <c r="FI116" i="25"/>
  <c r="FJ205" i="25"/>
  <c r="FI179" i="25"/>
  <c r="FI182" i="25"/>
  <c r="FI169" i="25"/>
  <c r="FI111" i="25"/>
  <c r="FJ157" i="25"/>
  <c r="FJ149" i="25"/>
  <c r="FJ175" i="25"/>
  <c r="FI206" i="25"/>
  <c r="FI115" i="25"/>
  <c r="FI185" i="25"/>
  <c r="FJ143" i="25"/>
  <c r="FI172" i="25"/>
  <c r="FI192" i="25"/>
  <c r="FJ173" i="25"/>
  <c r="FJ171" i="25"/>
  <c r="FJ116" i="25"/>
  <c r="FI129" i="25"/>
  <c r="FJ180" i="25"/>
  <c r="FJ163" i="25"/>
  <c r="FI198" i="25"/>
  <c r="FJ118" i="25"/>
  <c r="CE110" i="25"/>
  <c r="FI112" i="25"/>
  <c r="FI133" i="25"/>
  <c r="FJ137" i="25"/>
  <c r="FI124" i="25"/>
  <c r="FJ168" i="25"/>
  <c r="FJ178" i="25"/>
  <c r="FI164" i="25"/>
  <c r="FI175" i="25"/>
  <c r="FI186" i="25"/>
  <c r="FJ159" i="25"/>
  <c r="FI150" i="25"/>
  <c r="FI144" i="25"/>
  <c r="FJ169" i="25"/>
  <c r="FJ166" i="25"/>
  <c r="FJ181" i="25"/>
  <c r="FJ126" i="25"/>
  <c r="FJ131" i="25"/>
  <c r="FJ201" i="25"/>
  <c r="FJ128" i="25"/>
  <c r="FJ144" i="25"/>
  <c r="FI146" i="25"/>
  <c r="FI177" i="25"/>
  <c r="FI149" i="25"/>
  <c r="FJ200" i="25"/>
  <c r="FI196" i="25"/>
  <c r="FJ202" i="25"/>
  <c r="FJ198" i="25"/>
  <c r="FJ136" i="25"/>
  <c r="FI139" i="25"/>
  <c r="FI202" i="25"/>
  <c r="FJ155" i="25"/>
  <c r="FI188" i="25"/>
  <c r="FJ125" i="25"/>
  <c r="FJ117" i="25"/>
  <c r="FJ156" i="25"/>
  <c r="FJ132" i="25"/>
  <c r="FJ188" i="25"/>
  <c r="FI209" i="25"/>
  <c r="FJ140" i="25"/>
  <c r="FJ135" i="25"/>
  <c r="FI117" i="25"/>
  <c r="FJ179" i="25"/>
  <c r="FJ154" i="25"/>
  <c r="FJ194" i="25"/>
  <c r="FJ119" i="25"/>
  <c r="FJ133" i="25"/>
  <c r="FI210" i="25"/>
  <c r="FI134" i="25"/>
  <c r="FI153" i="25"/>
  <c r="FJ197" i="25"/>
  <c r="FI152" i="25"/>
  <c r="FI160" i="25"/>
  <c r="FJ204" i="25"/>
  <c r="FJ162" i="25"/>
  <c r="FI118" i="25"/>
  <c r="FI189" i="25"/>
  <c r="FI128" i="25"/>
  <c r="FI155" i="25"/>
  <c r="FI161" i="25"/>
  <c r="FJ115" i="25"/>
  <c r="FI159" i="25"/>
  <c r="FJ138" i="25"/>
  <c r="FJ183" i="25"/>
  <c r="FJ199" i="25"/>
  <c r="FJ192" i="25"/>
  <c r="FJ196" i="25"/>
  <c r="FI141" i="25"/>
  <c r="FI171" i="25"/>
  <c r="FI181" i="25"/>
  <c r="FJ147" i="25"/>
  <c r="FI114" i="25"/>
  <c r="FJ165" i="25"/>
  <c r="FI120" i="25"/>
  <c r="FI184" i="25"/>
  <c r="FJ151" i="25"/>
  <c r="FI136" i="25"/>
  <c r="FJ206" i="25"/>
  <c r="FI130" i="25"/>
  <c r="FJ210" i="25"/>
  <c r="FJ146" i="25"/>
  <c r="FI200" i="25"/>
  <c r="FI138" i="25"/>
  <c r="FJ139" i="25"/>
  <c r="FI203" i="25"/>
  <c r="FI191" i="25"/>
  <c r="FJ122" i="25"/>
  <c r="FI145" i="25"/>
  <c r="FI132" i="25"/>
  <c r="FJ113" i="25"/>
  <c r="FI147" i="25"/>
  <c r="CF110" i="25"/>
  <c r="CF128" i="25"/>
  <c r="CE136" i="25"/>
  <c r="CE118" i="25"/>
  <c r="CF118" i="25"/>
  <c r="CF126" i="25"/>
  <c r="CF119" i="25"/>
  <c r="CF123" i="25"/>
  <c r="CF142" i="25"/>
  <c r="CF150" i="25"/>
  <c r="CE141" i="25"/>
  <c r="CE114" i="25"/>
  <c r="CE119" i="25"/>
  <c r="CF133" i="25"/>
  <c r="CE140" i="25"/>
  <c r="CF158" i="25"/>
  <c r="CE167" i="25"/>
  <c r="CE150" i="25"/>
  <c r="CF157" i="25"/>
  <c r="CE128" i="25"/>
  <c r="CE124" i="25"/>
  <c r="CF178" i="25"/>
  <c r="CE146" i="25"/>
  <c r="CE133" i="25"/>
  <c r="CF127" i="25"/>
  <c r="CF140" i="25"/>
  <c r="CE123" i="25"/>
  <c r="CE158" i="25"/>
  <c r="CF188" i="25"/>
  <c r="CE157" i="25"/>
  <c r="CF122" i="25"/>
  <c r="CF136" i="25"/>
  <c r="CE155" i="25"/>
  <c r="CE178" i="25"/>
  <c r="CF131" i="25"/>
  <c r="CE149" i="25"/>
  <c r="CE197" i="25"/>
  <c r="CE188" i="25"/>
  <c r="CE139" i="25"/>
  <c r="CF146" i="25"/>
  <c r="CE127" i="25"/>
  <c r="CF149" i="25"/>
  <c r="CE134" i="25"/>
  <c r="CE131" i="25"/>
  <c r="CF134" i="25"/>
  <c r="CE144" i="25"/>
  <c r="CF148" i="25"/>
  <c r="CE122" i="25"/>
  <c r="CE143" i="25"/>
  <c r="CF139" i="25"/>
  <c r="CF155" i="25"/>
  <c r="CF124" i="25"/>
  <c r="CE187" i="25"/>
  <c r="CF144" i="25"/>
  <c r="CF129" i="25"/>
  <c r="CF145" i="25"/>
  <c r="CF120" i="25"/>
  <c r="CE137" i="25"/>
  <c r="CF143" i="25"/>
  <c r="CF141" i="25"/>
  <c r="CF114" i="25"/>
  <c r="CE126" i="25"/>
  <c r="CF187" i="25"/>
  <c r="CE148" i="25"/>
  <c r="CF167" i="25"/>
  <c r="CE142" i="25"/>
  <c r="CF197" i="25"/>
  <c r="CE129" i="25"/>
  <c r="CE145" i="25"/>
  <c r="CE120" i="25"/>
  <c r="CF137" i="25"/>
  <c r="CF195" i="25"/>
  <c r="CE195" i="25"/>
  <c r="AO34" i="25"/>
  <c r="P52" i="25"/>
  <c r="O52" i="25"/>
  <c r="U308" i="25"/>
  <c r="BZ62" i="25"/>
  <c r="U80" i="25"/>
  <c r="AP35" i="24"/>
  <c r="P200" i="25"/>
  <c r="O200" i="25"/>
  <c r="T200" i="25"/>
  <c r="BZ177" i="25"/>
  <c r="V21" i="24"/>
  <c r="W21" i="24"/>
  <c r="O177" i="24"/>
  <c r="BZ177" i="24" s="1"/>
  <c r="J177" i="24"/>
  <c r="P235" i="25"/>
  <c r="O235" i="25"/>
  <c r="P222" i="25"/>
  <c r="O222" i="25"/>
  <c r="T222" i="25"/>
  <c r="P310" i="25"/>
  <c r="O310" i="25"/>
  <c r="P166" i="24"/>
  <c r="Q166" i="24"/>
  <c r="U28" i="24"/>
  <c r="P133" i="25"/>
  <c r="O133" i="25"/>
  <c r="P98" i="25"/>
  <c r="O98" i="25"/>
  <c r="T98" i="25"/>
  <c r="P80" i="25"/>
  <c r="O80" i="25"/>
  <c r="O246" i="24"/>
  <c r="BZ246" i="24" s="1"/>
  <c r="J246" i="24"/>
  <c r="P118" i="24"/>
  <c r="Q118" i="24"/>
  <c r="P315" i="25"/>
  <c r="O315" i="25"/>
  <c r="T315" i="25"/>
  <c r="Q34" i="24"/>
  <c r="R34" i="24" s="1"/>
  <c r="P34" i="24"/>
  <c r="Q15" i="24"/>
  <c r="R15" i="24" s="1"/>
  <c r="P15" i="24"/>
  <c r="O85" i="24"/>
  <c r="BZ85" i="24" s="1"/>
  <c r="J85" i="24"/>
  <c r="J135" i="24"/>
  <c r="O135" i="24"/>
  <c r="BZ135" i="24" s="1"/>
  <c r="S204" i="25"/>
  <c r="K204" i="25" s="1"/>
  <c r="V204" i="25" s="1"/>
  <c r="R204" i="25"/>
  <c r="Q204" i="25"/>
  <c r="U174" i="25"/>
  <c r="S275" i="25"/>
  <c r="K275" i="25" s="1"/>
  <c r="V275" i="25" s="1"/>
  <c r="R275" i="25"/>
  <c r="Q275" i="25"/>
  <c r="J208" i="24"/>
  <c r="O208" i="24"/>
  <c r="BZ208" i="24" s="1"/>
  <c r="P74" i="24"/>
  <c r="Q74" i="24"/>
  <c r="R74" i="24" s="1"/>
  <c r="R14" i="25"/>
  <c r="S14" i="25"/>
  <c r="K14" i="25" s="1"/>
  <c r="V14" i="25" s="1"/>
  <c r="Q14" i="25"/>
  <c r="Q16" i="24"/>
  <c r="R16" i="24" s="1"/>
  <c r="P16" i="24"/>
  <c r="Q138" i="24"/>
  <c r="P138" i="24"/>
  <c r="V180" i="24"/>
  <c r="U158" i="25"/>
  <c r="V62" i="24"/>
  <c r="P185" i="25"/>
  <c r="O185" i="25"/>
  <c r="U87" i="25"/>
  <c r="U192" i="24"/>
  <c r="P239" i="25"/>
  <c r="O239" i="25"/>
  <c r="T239" i="25"/>
  <c r="N46" i="24"/>
  <c r="U46" i="24"/>
  <c r="S248" i="25"/>
  <c r="K248" i="25" s="1"/>
  <c r="V248" i="25" s="1"/>
  <c r="R248" i="25"/>
  <c r="Q248" i="25"/>
  <c r="V272" i="24"/>
  <c r="O168" i="24"/>
  <c r="BZ168" i="24" s="1"/>
  <c r="J168" i="24"/>
  <c r="O186" i="24"/>
  <c r="BZ186" i="24" s="1"/>
  <c r="J186" i="24"/>
  <c r="Q310" i="24"/>
  <c r="P310" i="24"/>
  <c r="U306" i="25"/>
  <c r="U73" i="24"/>
  <c r="Q142" i="24"/>
  <c r="P142" i="24"/>
  <c r="V193" i="24"/>
  <c r="U243" i="25"/>
  <c r="U89" i="25"/>
  <c r="Q130" i="24"/>
  <c r="P130" i="24"/>
  <c r="N94" i="24"/>
  <c r="U94" i="24"/>
  <c r="P168" i="25"/>
  <c r="O168" i="25"/>
  <c r="V79" i="24"/>
  <c r="P97" i="24"/>
  <c r="Q97" i="24"/>
  <c r="R97" i="24" s="1"/>
  <c r="P165" i="24"/>
  <c r="Q165" i="24"/>
  <c r="N8" i="24"/>
  <c r="U8" i="24"/>
  <c r="P121" i="25"/>
  <c r="O121" i="25"/>
  <c r="P242" i="24"/>
  <c r="Q242" i="24"/>
  <c r="P268" i="25"/>
  <c r="O268" i="25"/>
  <c r="T268" i="25"/>
  <c r="Q51" i="24"/>
  <c r="R51" i="24" s="1"/>
  <c r="P51" i="24"/>
  <c r="V27" i="24"/>
  <c r="U300" i="25"/>
  <c r="P289" i="25"/>
  <c r="O289" i="25"/>
  <c r="U199" i="25"/>
  <c r="N64" i="24"/>
  <c r="U64" i="24"/>
  <c r="J126" i="24"/>
  <c r="O126" i="24"/>
  <c r="BZ126" i="24" s="1"/>
  <c r="P86" i="25"/>
  <c r="O86" i="25"/>
  <c r="T86" i="25"/>
  <c r="P285" i="25"/>
  <c r="O285" i="25"/>
  <c r="V121" i="24"/>
  <c r="P136" i="24"/>
  <c r="Q136" i="24"/>
  <c r="P78" i="25"/>
  <c r="O78" i="25"/>
  <c r="T78" i="25"/>
  <c r="P272" i="25"/>
  <c r="O272" i="25"/>
  <c r="T272" i="25"/>
  <c r="U128" i="25"/>
  <c r="U191" i="25"/>
  <c r="U19" i="25"/>
  <c r="J260" i="24"/>
  <c r="O260" i="24"/>
  <c r="BZ260" i="24" s="1"/>
  <c r="O32" i="24"/>
  <c r="BZ32" i="24" s="1"/>
  <c r="J32" i="24"/>
  <c r="W32" i="24" s="1"/>
  <c r="J78" i="24"/>
  <c r="O78" i="24"/>
  <c r="BZ78" i="24" s="1"/>
  <c r="U314" i="25"/>
  <c r="U267" i="25"/>
  <c r="N57" i="24"/>
  <c r="U57" i="24"/>
  <c r="P286" i="25"/>
  <c r="O286" i="25"/>
  <c r="T286" i="25"/>
  <c r="O207" i="25"/>
  <c r="P207" i="25"/>
  <c r="T207" i="25"/>
  <c r="AE55" i="24"/>
  <c r="AI55" i="24"/>
  <c r="X55" i="24"/>
  <c r="AA55" i="24" s="1"/>
  <c r="AB55" i="24" s="1"/>
  <c r="AC55" i="24" s="1"/>
  <c r="U136" i="24"/>
  <c r="U276" i="25"/>
  <c r="P23" i="25"/>
  <c r="O23" i="25"/>
  <c r="T23" i="25"/>
  <c r="J266" i="24"/>
  <c r="O266" i="24"/>
  <c r="BZ266" i="24" s="1"/>
  <c r="N63" i="24"/>
  <c r="U63" i="24"/>
  <c r="O100" i="24"/>
  <c r="BZ100" i="24" s="1"/>
  <c r="J100" i="24"/>
  <c r="J259" i="24"/>
  <c r="O259" i="24"/>
  <c r="BZ259" i="24" s="1"/>
  <c r="P194" i="25"/>
  <c r="O194" i="25"/>
  <c r="T194" i="25"/>
  <c r="N139" i="24"/>
  <c r="U139" i="24"/>
  <c r="P47" i="25"/>
  <c r="O47" i="25"/>
  <c r="P234" i="25"/>
  <c r="O234" i="25"/>
  <c r="O105" i="24"/>
  <c r="BZ105" i="24" s="1"/>
  <c r="J105" i="24"/>
  <c r="AE45" i="24"/>
  <c r="X45" i="24"/>
  <c r="AA45" i="24" s="1"/>
  <c r="AB45" i="24" s="1"/>
  <c r="AC45" i="24" s="1"/>
  <c r="AI45" i="24"/>
  <c r="O293" i="24"/>
  <c r="BZ293" i="24" s="1"/>
  <c r="J293" i="24"/>
  <c r="P311" i="24"/>
  <c r="Q311" i="24"/>
  <c r="R170" i="25"/>
  <c r="S170" i="25"/>
  <c r="K170" i="25" s="1"/>
  <c r="V170" i="25" s="1"/>
  <c r="Q170" i="25"/>
  <c r="U198" i="25"/>
  <c r="P53" i="25"/>
  <c r="O53" i="25"/>
  <c r="P184" i="25"/>
  <c r="O184" i="25"/>
  <c r="Q135" i="24"/>
  <c r="P135" i="24"/>
  <c r="V219" i="24"/>
  <c r="P230" i="24"/>
  <c r="Q230" i="24"/>
  <c r="U262" i="25"/>
  <c r="V127" i="24"/>
  <c r="J303" i="24"/>
  <c r="W303" i="24" s="1"/>
  <c r="O303" i="24"/>
  <c r="BZ303" i="24" s="1"/>
  <c r="U57" i="25"/>
  <c r="P15" i="25"/>
  <c r="O15" i="25"/>
  <c r="O157" i="24"/>
  <c r="BZ157" i="24" s="1"/>
  <c r="J157" i="24"/>
  <c r="J286" i="24"/>
  <c r="O286" i="24"/>
  <c r="BZ286" i="24" s="1"/>
  <c r="O116" i="24"/>
  <c r="BZ116" i="24" s="1"/>
  <c r="J116" i="24"/>
  <c r="J223" i="24"/>
  <c r="W223" i="24" s="1"/>
  <c r="O223" i="24"/>
  <c r="BZ223" i="24" s="1"/>
  <c r="P264" i="25"/>
  <c r="O264" i="25"/>
  <c r="T264" i="25"/>
  <c r="P260" i="25"/>
  <c r="O260" i="25"/>
  <c r="T260" i="25"/>
  <c r="N113" i="24"/>
  <c r="U113" i="24"/>
  <c r="BZ255" i="25"/>
  <c r="V238" i="24"/>
  <c r="U31" i="25"/>
  <c r="N38" i="24"/>
  <c r="U38" i="24"/>
  <c r="J167" i="24"/>
  <c r="O167" i="24"/>
  <c r="BZ167" i="24" s="1"/>
  <c r="Q267" i="24"/>
  <c r="P267" i="24"/>
  <c r="O54" i="24"/>
  <c r="BZ54" i="24" s="1"/>
  <c r="J54" i="24"/>
  <c r="J268" i="24"/>
  <c r="W268" i="24" s="1"/>
  <c r="O268" i="24"/>
  <c r="BZ268" i="24" s="1"/>
  <c r="U35" i="25"/>
  <c r="Q69" i="24"/>
  <c r="R69" i="24" s="1"/>
  <c r="P69" i="24"/>
  <c r="P235" i="24"/>
  <c r="Q235" i="24"/>
  <c r="P69" i="25"/>
  <c r="O69" i="25"/>
  <c r="P153" i="25"/>
  <c r="O153" i="25"/>
  <c r="P85" i="25"/>
  <c r="O85" i="25"/>
  <c r="R198" i="25"/>
  <c r="S198" i="25"/>
  <c r="K198" i="25" s="1"/>
  <c r="Q198" i="25"/>
  <c r="O198" i="24"/>
  <c r="BZ198" i="24" s="1"/>
  <c r="J198" i="24"/>
  <c r="N239" i="24"/>
  <c r="O89" i="24"/>
  <c r="BZ89" i="24" s="1"/>
  <c r="J89" i="24"/>
  <c r="N262" i="24"/>
  <c r="Q217" i="24"/>
  <c r="P217" i="24"/>
  <c r="N277" i="24"/>
  <c r="P176" i="24"/>
  <c r="Q176" i="24"/>
  <c r="AP291" i="24"/>
  <c r="P220" i="25"/>
  <c r="O220" i="25"/>
  <c r="T220" i="25"/>
  <c r="P244" i="25"/>
  <c r="O244" i="25"/>
  <c r="P100" i="25"/>
  <c r="O100" i="25"/>
  <c r="T100" i="25"/>
  <c r="O166" i="24"/>
  <c r="BZ166" i="24" s="1"/>
  <c r="J166" i="24"/>
  <c r="P68" i="25"/>
  <c r="O68" i="25"/>
  <c r="T68" i="25"/>
  <c r="J184" i="24"/>
  <c r="O184" i="24"/>
  <c r="BZ184" i="24" s="1"/>
  <c r="P111" i="25"/>
  <c r="O111" i="25"/>
  <c r="O93" i="24"/>
  <c r="BZ93" i="24" s="1"/>
  <c r="J93" i="24"/>
  <c r="U119" i="25"/>
  <c r="U149" i="25"/>
  <c r="W22" i="24"/>
  <c r="V22" i="24"/>
  <c r="P99" i="24"/>
  <c r="Q99" i="24"/>
  <c r="R99" i="24" s="1"/>
  <c r="P302" i="24"/>
  <c r="Q302" i="24"/>
  <c r="N114" i="24"/>
  <c r="U114" i="24"/>
  <c r="Q81" i="24"/>
  <c r="R81" i="24" s="1"/>
  <c r="P81" i="24"/>
  <c r="O254" i="24"/>
  <c r="BZ254" i="24" s="1"/>
  <c r="J254" i="24"/>
  <c r="P61" i="25"/>
  <c r="O61" i="25"/>
  <c r="AO131" i="25"/>
  <c r="P178" i="24"/>
  <c r="Q178" i="24"/>
  <c r="J74" i="24"/>
  <c r="O74" i="24"/>
  <c r="BZ74" i="24" s="1"/>
  <c r="V6" i="24"/>
  <c r="P180" i="24"/>
  <c r="Q180" i="24"/>
  <c r="R158" i="25"/>
  <c r="S158" i="25"/>
  <c r="K158" i="25" s="1"/>
  <c r="V158" i="25" s="1"/>
  <c r="Q158" i="25"/>
  <c r="V287" i="24"/>
  <c r="U154" i="24"/>
  <c r="S87" i="25"/>
  <c r="K87" i="25" s="1"/>
  <c r="V87" i="25" s="1"/>
  <c r="R87" i="25"/>
  <c r="Q87" i="25"/>
  <c r="S174" i="25"/>
  <c r="K174" i="25" s="1"/>
  <c r="R174" i="25"/>
  <c r="Q174" i="25"/>
  <c r="J46" i="24"/>
  <c r="O46" i="24"/>
  <c r="BZ46" i="24" s="1"/>
  <c r="W101" i="24"/>
  <c r="V101" i="24"/>
  <c r="P226" i="25"/>
  <c r="O226" i="25"/>
  <c r="U92" i="24"/>
  <c r="V120" i="24"/>
  <c r="R306" i="25"/>
  <c r="S306" i="25"/>
  <c r="K306" i="25" s="1"/>
  <c r="Q306" i="25"/>
  <c r="P202" i="25"/>
  <c r="O202" i="25"/>
  <c r="P70" i="25"/>
  <c r="O70" i="25"/>
  <c r="U32" i="25"/>
  <c r="P193" i="24"/>
  <c r="Q193" i="24"/>
  <c r="R243" i="25"/>
  <c r="S243" i="25"/>
  <c r="K243" i="25" s="1"/>
  <c r="V243" i="25" s="1"/>
  <c r="Q243" i="25"/>
  <c r="R89" i="25"/>
  <c r="S89" i="25"/>
  <c r="K89" i="25" s="1"/>
  <c r="V89" i="25" s="1"/>
  <c r="Q89" i="25"/>
  <c r="V116" i="24"/>
  <c r="O160" i="25"/>
  <c r="P160" i="25"/>
  <c r="T160" i="25"/>
  <c r="Q283" i="24"/>
  <c r="P283" i="24"/>
  <c r="J94" i="24"/>
  <c r="O94" i="24"/>
  <c r="BZ94" i="24" s="1"/>
  <c r="Q37" i="24"/>
  <c r="R37" i="24" s="1"/>
  <c r="P37" i="24"/>
  <c r="Q281" i="24"/>
  <c r="P281" i="24"/>
  <c r="Q79" i="24"/>
  <c r="R79" i="24" s="1"/>
  <c r="P79" i="24"/>
  <c r="J111" i="24"/>
  <c r="O111" i="24"/>
  <c r="BZ111" i="24" s="1"/>
  <c r="P9" i="25"/>
  <c r="O9" i="25"/>
  <c r="J165" i="24"/>
  <c r="O165" i="24"/>
  <c r="BZ165" i="24" s="1"/>
  <c r="P295" i="25"/>
  <c r="O295" i="25"/>
  <c r="J229" i="24"/>
  <c r="O229" i="24"/>
  <c r="BZ229" i="24" s="1"/>
  <c r="U253" i="25"/>
  <c r="N174" i="24"/>
  <c r="U174" i="24"/>
  <c r="U170" i="25"/>
  <c r="T295" i="25"/>
  <c r="AE142" i="24"/>
  <c r="AI142" i="24"/>
  <c r="X142" i="24"/>
  <c r="AA142" i="24" s="1"/>
  <c r="AB142" i="24" s="1"/>
  <c r="AC142" i="24" s="1"/>
  <c r="V47" i="24"/>
  <c r="U50" i="25"/>
  <c r="U161" i="25"/>
  <c r="P171" i="25"/>
  <c r="O171" i="25"/>
  <c r="O164" i="24"/>
  <c r="BZ164" i="24" s="1"/>
  <c r="J164" i="24"/>
  <c r="P122" i="25"/>
  <c r="O122" i="25"/>
  <c r="T122" i="25"/>
  <c r="J63" i="24"/>
  <c r="O63" i="24"/>
  <c r="BZ63" i="24" s="1"/>
  <c r="J39" i="24"/>
  <c r="O39" i="24"/>
  <c r="BZ39" i="24" s="1"/>
  <c r="P269" i="25"/>
  <c r="O269" i="25"/>
  <c r="P187" i="25"/>
  <c r="O187" i="25"/>
  <c r="P173" i="24"/>
  <c r="Q173" i="24"/>
  <c r="J121" i="24"/>
  <c r="W121" i="24" s="1"/>
  <c r="O121" i="24"/>
  <c r="BZ121" i="24" s="1"/>
  <c r="P73" i="25"/>
  <c r="O73" i="25"/>
  <c r="T73" i="25"/>
  <c r="J47" i="24"/>
  <c r="O47" i="24"/>
  <c r="BZ47" i="24" s="1"/>
  <c r="N95" i="24"/>
  <c r="U95" i="24"/>
  <c r="J51" i="24"/>
  <c r="O51" i="24"/>
  <c r="BZ51" i="24" s="1"/>
  <c r="AE101" i="24"/>
  <c r="X101" i="24"/>
  <c r="AA101" i="24" s="1"/>
  <c r="AB101" i="24" s="1"/>
  <c r="AC101" i="24" s="1"/>
  <c r="AI101" i="24"/>
  <c r="N122" i="24"/>
  <c r="U122" i="24"/>
  <c r="P304" i="24"/>
  <c r="Q304" i="24"/>
  <c r="Q13" i="24"/>
  <c r="R13" i="24" s="1"/>
  <c r="P13" i="24"/>
  <c r="P221" i="25"/>
  <c r="O221" i="25"/>
  <c r="T221" i="25"/>
  <c r="P278" i="25"/>
  <c r="O278" i="25"/>
  <c r="T278" i="25"/>
  <c r="J209" i="24"/>
  <c r="O209" i="24"/>
  <c r="BZ209" i="24" s="1"/>
  <c r="O288" i="24"/>
  <c r="BZ288" i="24" s="1"/>
  <c r="J288" i="24"/>
  <c r="O92" i="24"/>
  <c r="BZ92" i="24" s="1"/>
  <c r="J92" i="24"/>
  <c r="O295" i="24"/>
  <c r="BZ295" i="24" s="1"/>
  <c r="J295" i="24"/>
  <c r="N145" i="24"/>
  <c r="U145" i="24"/>
  <c r="N308" i="24"/>
  <c r="N153" i="24"/>
  <c r="U153" i="24"/>
  <c r="N29" i="24"/>
  <c r="U29" i="24"/>
  <c r="P64" i="25"/>
  <c r="O64" i="25"/>
  <c r="J113" i="24"/>
  <c r="O113" i="24"/>
  <c r="BZ113" i="24" s="1"/>
  <c r="AP151" i="24"/>
  <c r="U124" i="25"/>
  <c r="J180" i="24"/>
  <c r="O180" i="24"/>
  <c r="BZ180" i="24" s="1"/>
  <c r="N71" i="24"/>
  <c r="U71" i="24"/>
  <c r="U197" i="24"/>
  <c r="O306" i="24"/>
  <c r="BZ306" i="24" s="1"/>
  <c r="J306" i="24"/>
  <c r="W306" i="24" s="1"/>
  <c r="O16" i="24"/>
  <c r="BZ16" i="24" s="1"/>
  <c r="J16" i="24"/>
  <c r="W16" i="24" s="1"/>
  <c r="U163" i="25"/>
  <c r="N146" i="24"/>
  <c r="U146" i="24"/>
  <c r="P203" i="25"/>
  <c r="O203" i="25"/>
  <c r="T203" i="25"/>
  <c r="J125" i="24"/>
  <c r="O125" i="24"/>
  <c r="BZ125" i="24" s="1"/>
  <c r="AE264" i="24"/>
  <c r="AI264" i="24"/>
  <c r="X264" i="24"/>
  <c r="AA264" i="24" s="1"/>
  <c r="AB264" i="24" s="1"/>
  <c r="AC264" i="24" s="1"/>
  <c r="AE236" i="24"/>
  <c r="AI236" i="24"/>
  <c r="X236" i="24"/>
  <c r="AA236" i="24" s="1"/>
  <c r="AB236" i="24" s="1"/>
  <c r="AC236" i="24" s="1"/>
  <c r="P252" i="25"/>
  <c r="O252" i="25"/>
  <c r="P63" i="25"/>
  <c r="O63" i="25"/>
  <c r="O270" i="24"/>
  <c r="BZ270" i="24" s="1"/>
  <c r="J270" i="24"/>
  <c r="W270" i="24" s="1"/>
  <c r="P65" i="24"/>
  <c r="Q65" i="24"/>
  <c r="R65" i="24" s="1"/>
  <c r="J69" i="24"/>
  <c r="O69" i="24"/>
  <c r="BZ69" i="24" s="1"/>
  <c r="O65" i="24"/>
  <c r="BZ65" i="24" s="1"/>
  <c r="J65" i="24"/>
  <c r="P146" i="25"/>
  <c r="O146" i="25"/>
  <c r="O112" i="24"/>
  <c r="BZ112" i="24" s="1"/>
  <c r="J112" i="24"/>
  <c r="O154" i="24"/>
  <c r="BZ154" i="24" s="1"/>
  <c r="J154" i="24"/>
  <c r="P73" i="24"/>
  <c r="Q73" i="24"/>
  <c r="R73" i="24" s="1"/>
  <c r="J102" i="24"/>
  <c r="O102" i="24"/>
  <c r="BZ102" i="24" s="1"/>
  <c r="O145" i="25"/>
  <c r="P145" i="25"/>
  <c r="AD110" i="25"/>
  <c r="W110" i="25"/>
  <c r="Z110" i="25" s="1"/>
  <c r="AA110" i="25" s="1"/>
  <c r="AB110" i="25" s="1"/>
  <c r="AI110" i="25" s="1"/>
  <c r="AP60" i="24"/>
  <c r="O239" i="24"/>
  <c r="BZ239" i="24" s="1"/>
  <c r="J239" i="24"/>
  <c r="J80" i="24"/>
  <c r="O80" i="24"/>
  <c r="BZ80" i="24" s="1"/>
  <c r="U227" i="25"/>
  <c r="AE160" i="24"/>
  <c r="AI160" i="24"/>
  <c r="X160" i="24"/>
  <c r="AA160" i="24" s="1"/>
  <c r="AB160" i="24" s="1"/>
  <c r="AC160" i="24" s="1"/>
  <c r="O262" i="24"/>
  <c r="BZ262" i="24" s="1"/>
  <c r="J262" i="24"/>
  <c r="U36" i="25"/>
  <c r="AP73" i="24"/>
  <c r="O277" i="24"/>
  <c r="BZ277" i="24" s="1"/>
  <c r="J277" i="24"/>
  <c r="AO190" i="25"/>
  <c r="J176" i="24"/>
  <c r="O176" i="24"/>
  <c r="BZ176" i="24" s="1"/>
  <c r="P137" i="25"/>
  <c r="O137" i="25"/>
  <c r="O252" i="24"/>
  <c r="BZ252" i="24" s="1"/>
  <c r="J252" i="24"/>
  <c r="R293" i="25"/>
  <c r="S293" i="25"/>
  <c r="K293" i="25" s="1"/>
  <c r="Q293" i="25"/>
  <c r="N210" i="24"/>
  <c r="U210" i="24"/>
  <c r="U244" i="25"/>
  <c r="Q254" i="24"/>
  <c r="P254" i="24"/>
  <c r="V172" i="24"/>
  <c r="O139" i="24"/>
  <c r="BZ139" i="24" s="1"/>
  <c r="J139" i="24"/>
  <c r="J53" i="24"/>
  <c r="W53" i="24" s="1"/>
  <c r="O53" i="24"/>
  <c r="BZ53" i="24" s="1"/>
  <c r="U256" i="25"/>
  <c r="U24" i="25"/>
  <c r="O156" i="24"/>
  <c r="BZ156" i="24" s="1"/>
  <c r="J156" i="24"/>
  <c r="S296" i="25"/>
  <c r="K296" i="25" s="1"/>
  <c r="R296" i="25"/>
  <c r="Q296" i="25"/>
  <c r="O40" i="24"/>
  <c r="BZ40" i="24" s="1"/>
  <c r="J40" i="24"/>
  <c r="W40" i="24" s="1"/>
  <c r="AP92" i="24"/>
  <c r="O99" i="24"/>
  <c r="BZ99" i="24" s="1"/>
  <c r="J99" i="24"/>
  <c r="P157" i="25"/>
  <c r="O157" i="25"/>
  <c r="O122" i="24"/>
  <c r="BZ122" i="24" s="1"/>
  <c r="J122" i="24"/>
  <c r="P159" i="25"/>
  <c r="O159" i="25"/>
  <c r="T159" i="25"/>
  <c r="Q91" i="24"/>
  <c r="R91" i="24" s="1"/>
  <c r="P91" i="24"/>
  <c r="J201" i="24"/>
  <c r="O201" i="24"/>
  <c r="BZ201" i="24" s="1"/>
  <c r="O244" i="24"/>
  <c r="BZ244" i="24" s="1"/>
  <c r="J244" i="24"/>
  <c r="O23" i="24"/>
  <c r="BZ23" i="24" s="1"/>
  <c r="J23" i="24"/>
  <c r="P36" i="25"/>
  <c r="O36" i="25"/>
  <c r="J178" i="24"/>
  <c r="O178" i="24"/>
  <c r="BZ178" i="24" s="1"/>
  <c r="O136" i="24"/>
  <c r="BZ136" i="24" s="1"/>
  <c r="J136" i="24"/>
  <c r="J43" i="24"/>
  <c r="W43" i="24" s="1"/>
  <c r="O43" i="24"/>
  <c r="BZ43" i="24" s="1"/>
  <c r="O6" i="24"/>
  <c r="BZ6" i="24" s="1"/>
  <c r="J6" i="24"/>
  <c r="Q273" i="24"/>
  <c r="P273" i="24"/>
  <c r="J138" i="24"/>
  <c r="O138" i="24"/>
  <c r="BZ138" i="24" s="1"/>
  <c r="U21" i="25"/>
  <c r="P287" i="24"/>
  <c r="Q287" i="24"/>
  <c r="P101" i="24"/>
  <c r="Q101" i="24"/>
  <c r="R101" i="24" s="1"/>
  <c r="T226" i="25"/>
  <c r="U69" i="24"/>
  <c r="U51" i="24"/>
  <c r="Q202" i="24"/>
  <c r="P202" i="24"/>
  <c r="U273" i="25"/>
  <c r="P120" i="24"/>
  <c r="Q120" i="24"/>
  <c r="U65" i="24"/>
  <c r="V218" i="24"/>
  <c r="U173" i="25"/>
  <c r="P81" i="25"/>
  <c r="O81" i="25"/>
  <c r="T81" i="25"/>
  <c r="Q82" i="24"/>
  <c r="R82" i="24" s="1"/>
  <c r="P82" i="24"/>
  <c r="T202" i="25"/>
  <c r="Q250" i="24"/>
  <c r="P250" i="24"/>
  <c r="V248" i="24"/>
  <c r="S32" i="25"/>
  <c r="K32" i="25" s="1"/>
  <c r="V32" i="25" s="1"/>
  <c r="R32" i="25"/>
  <c r="Q32" i="25"/>
  <c r="U238" i="25"/>
  <c r="U206" i="25"/>
  <c r="U177" i="24"/>
  <c r="P67" i="24"/>
  <c r="Q67" i="24"/>
  <c r="R67" i="24" s="1"/>
  <c r="Q116" i="24"/>
  <c r="P116" i="24"/>
  <c r="O281" i="24"/>
  <c r="BZ281" i="24" s="1"/>
  <c r="J281" i="24"/>
  <c r="V90" i="24"/>
  <c r="O245" i="25"/>
  <c r="P245" i="25"/>
  <c r="Q33" i="24"/>
  <c r="R33" i="24" s="1"/>
  <c r="P33" i="24"/>
  <c r="U36" i="24"/>
  <c r="P181" i="25"/>
  <c r="O181" i="25"/>
  <c r="U250" i="25"/>
  <c r="O174" i="24"/>
  <c r="BZ174" i="24" s="1"/>
  <c r="J174" i="24"/>
  <c r="V52" i="24"/>
  <c r="P216" i="25"/>
  <c r="O216" i="25"/>
  <c r="T216" i="25"/>
  <c r="O10" i="24"/>
  <c r="BZ10" i="24" s="1"/>
  <c r="J10" i="24"/>
  <c r="W10" i="24" s="1"/>
  <c r="J57" i="24"/>
  <c r="O57" i="24"/>
  <c r="BZ57" i="24" s="1"/>
  <c r="J226" i="24"/>
  <c r="W226" i="24" s="1"/>
  <c r="O226" i="24"/>
  <c r="BZ226" i="24" s="1"/>
  <c r="N309" i="24"/>
  <c r="U176" i="25"/>
  <c r="J280" i="24"/>
  <c r="O280" i="24"/>
  <c r="BZ280" i="24" s="1"/>
  <c r="P266" i="25"/>
  <c r="O266" i="25"/>
  <c r="P55" i="25"/>
  <c r="O55" i="25"/>
  <c r="P102" i="25"/>
  <c r="O102" i="25"/>
  <c r="AE294" i="24"/>
  <c r="X294" i="24"/>
  <c r="AA294" i="24" s="1"/>
  <c r="AB294" i="24" s="1"/>
  <c r="AC294" i="24" s="1"/>
  <c r="AI294" i="24"/>
  <c r="N316" i="24"/>
  <c r="AP242" i="24"/>
  <c r="P171" i="24"/>
  <c r="Q171" i="24"/>
  <c r="P165" i="25"/>
  <c r="O165" i="25"/>
  <c r="T165" i="25"/>
  <c r="P221" i="24"/>
  <c r="Q221" i="24"/>
  <c r="J95" i="24"/>
  <c r="O95" i="24"/>
  <c r="BZ95" i="24" s="1"/>
  <c r="R62" i="25"/>
  <c r="S62" i="25"/>
  <c r="K62" i="25" s="1"/>
  <c r="V62" i="25" s="1"/>
  <c r="Q62" i="25"/>
  <c r="O311" i="24"/>
  <c r="BZ311" i="24" s="1"/>
  <c r="J311" i="24"/>
  <c r="J151" i="24"/>
  <c r="O151" i="24"/>
  <c r="BZ151" i="24" s="1"/>
  <c r="V188" i="24"/>
  <c r="J285" i="24"/>
  <c r="O285" i="24"/>
  <c r="BZ285" i="24" s="1"/>
  <c r="O195" i="24"/>
  <c r="BZ195" i="24" s="1"/>
  <c r="J195" i="24"/>
  <c r="P25" i="25"/>
  <c r="O25" i="25"/>
  <c r="T25" i="25"/>
  <c r="Q144" i="24"/>
  <c r="P144" i="24"/>
  <c r="Q155" i="24"/>
  <c r="P155" i="24"/>
  <c r="O205" i="25"/>
  <c r="P205" i="25"/>
  <c r="T205" i="25"/>
  <c r="U184" i="25"/>
  <c r="J299" i="24"/>
  <c r="O299" i="24"/>
  <c r="BZ299" i="24" s="1"/>
  <c r="AE132" i="24"/>
  <c r="X132" i="24"/>
  <c r="AA132" i="24" s="1"/>
  <c r="AB132" i="24" s="1"/>
  <c r="AC132" i="24" s="1"/>
  <c r="AI132" i="24"/>
  <c r="J193" i="24"/>
  <c r="O193" i="24"/>
  <c r="BZ193" i="24" s="1"/>
  <c r="U65" i="25"/>
  <c r="P130" i="25"/>
  <c r="O130" i="25"/>
  <c r="P197" i="25"/>
  <c r="O197" i="25"/>
  <c r="T197" i="25"/>
  <c r="O145" i="24"/>
  <c r="BZ145" i="24" s="1"/>
  <c r="J145" i="24"/>
  <c r="P196" i="24"/>
  <c r="Q196" i="24"/>
  <c r="V270" i="24"/>
  <c r="AE233" i="24"/>
  <c r="X233" i="24"/>
  <c r="AA233" i="24" s="1"/>
  <c r="AB233" i="24" s="1"/>
  <c r="AC233" i="24" s="1"/>
  <c r="AI233" i="24"/>
  <c r="AO255" i="25"/>
  <c r="U146" i="25"/>
  <c r="AP311" i="24"/>
  <c r="J308" i="24"/>
  <c r="O308" i="24"/>
  <c r="BZ308" i="24" s="1"/>
  <c r="J84" i="24"/>
  <c r="O84" i="24"/>
  <c r="BZ84" i="24" s="1"/>
  <c r="AE292" i="24"/>
  <c r="X292" i="24"/>
  <c r="AA292" i="24" s="1"/>
  <c r="AB292" i="24" s="1"/>
  <c r="AC292" i="24" s="1"/>
  <c r="AI292" i="24"/>
  <c r="O188" i="24"/>
  <c r="BZ188" i="24" s="1"/>
  <c r="J188" i="24"/>
  <c r="N282" i="24"/>
  <c r="J38" i="24"/>
  <c r="O38" i="24"/>
  <c r="BZ38" i="24" s="1"/>
  <c r="P176" i="25"/>
  <c r="O176" i="25"/>
  <c r="J20" i="24"/>
  <c r="O20" i="24"/>
  <c r="BZ20" i="24" s="1"/>
  <c r="J267" i="24"/>
  <c r="O267" i="24"/>
  <c r="BZ267" i="24" s="1"/>
  <c r="Q49" i="24"/>
  <c r="R49" i="24" s="1"/>
  <c r="P49" i="24"/>
  <c r="P284" i="25"/>
  <c r="O284" i="25"/>
  <c r="J127" i="24"/>
  <c r="O127" i="24"/>
  <c r="BZ127" i="24" s="1"/>
  <c r="J235" i="24"/>
  <c r="O235" i="24"/>
  <c r="BZ235" i="24" s="1"/>
  <c r="J115" i="24"/>
  <c r="O115" i="24"/>
  <c r="BZ115" i="24" s="1"/>
  <c r="J13" i="24"/>
  <c r="O13" i="24"/>
  <c r="BZ13" i="24" s="1"/>
  <c r="V182" i="24"/>
  <c r="J73" i="24"/>
  <c r="O73" i="24"/>
  <c r="BZ73" i="24" s="1"/>
  <c r="Q192" i="24"/>
  <c r="P192" i="24"/>
  <c r="P223" i="25"/>
  <c r="O223" i="25"/>
  <c r="T223" i="25"/>
  <c r="P39" i="25"/>
  <c r="O39" i="25"/>
  <c r="T39" i="25"/>
  <c r="P67" i="25"/>
  <c r="O67" i="25"/>
  <c r="T67" i="25"/>
  <c r="AE21" i="24"/>
  <c r="AI21" i="24"/>
  <c r="X21" i="24"/>
  <c r="AA21" i="24" s="1"/>
  <c r="AB21" i="24" s="1"/>
  <c r="AC21" i="24" s="1"/>
  <c r="O315" i="24"/>
  <c r="BZ315" i="24" s="1"/>
  <c r="J315" i="24"/>
  <c r="Q28" i="24"/>
  <c r="R28" i="24" s="1"/>
  <c r="P28" i="24"/>
  <c r="P274" i="25"/>
  <c r="O274" i="25"/>
  <c r="T274" i="25"/>
  <c r="O217" i="24"/>
  <c r="BZ217" i="24" s="1"/>
  <c r="J217" i="24"/>
  <c r="P230" i="25"/>
  <c r="O230" i="25"/>
  <c r="T230" i="25"/>
  <c r="T47" i="25"/>
  <c r="U235" i="25"/>
  <c r="J263" i="24"/>
  <c r="O263" i="24"/>
  <c r="BZ263" i="24" s="1"/>
  <c r="N232" i="24"/>
  <c r="N195" i="24"/>
  <c r="U195" i="24"/>
  <c r="AO177" i="25"/>
  <c r="J272" i="24"/>
  <c r="W272" i="24" s="1"/>
  <c r="O272" i="24"/>
  <c r="BZ272" i="24" s="1"/>
  <c r="U136" i="25"/>
  <c r="U275" i="25"/>
  <c r="J17" i="24"/>
  <c r="O17" i="24"/>
  <c r="BZ17" i="24" s="1"/>
  <c r="P294" i="25"/>
  <c r="O294" i="25"/>
  <c r="P27" i="25"/>
  <c r="O27" i="25"/>
  <c r="T27" i="25"/>
  <c r="P278" i="24"/>
  <c r="Q278" i="24"/>
  <c r="P308" i="25"/>
  <c r="O308" i="25"/>
  <c r="O301" i="24"/>
  <c r="BZ301" i="24" s="1"/>
  <c r="J301" i="24"/>
  <c r="P11" i="24"/>
  <c r="Q11" i="24"/>
  <c r="R11" i="24" s="1"/>
  <c r="AE119" i="24"/>
  <c r="X119" i="24"/>
  <c r="AA119" i="24" s="1"/>
  <c r="AB119" i="24" s="1"/>
  <c r="AC119" i="24" s="1"/>
  <c r="AI119" i="24"/>
  <c r="U30" i="25"/>
  <c r="J302" i="24"/>
  <c r="O302" i="24"/>
  <c r="BZ302" i="24" s="1"/>
  <c r="J68" i="24"/>
  <c r="W68" i="24" s="1"/>
  <c r="O68" i="24"/>
  <c r="BZ68" i="24" s="1"/>
  <c r="J114" i="24"/>
  <c r="O114" i="24"/>
  <c r="BZ114" i="24" s="1"/>
  <c r="N85" i="24"/>
  <c r="U85" i="24"/>
  <c r="P136" i="25"/>
  <c r="O136" i="25"/>
  <c r="P24" i="25"/>
  <c r="O24" i="25"/>
  <c r="P91" i="25"/>
  <c r="O91" i="25"/>
  <c r="O35" i="24"/>
  <c r="BZ35" i="24" s="1"/>
  <c r="J35" i="24"/>
  <c r="P290" i="25"/>
  <c r="O290" i="25"/>
  <c r="O222" i="24"/>
  <c r="BZ222" i="24" s="1"/>
  <c r="J222" i="24"/>
  <c r="R30" i="25"/>
  <c r="S30" i="25"/>
  <c r="K30" i="25" s="1"/>
  <c r="V30" i="25" s="1"/>
  <c r="Q30" i="25"/>
  <c r="U261" i="25"/>
  <c r="V234" i="24"/>
  <c r="Q36" i="24"/>
  <c r="R36" i="24" s="1"/>
  <c r="P36" i="24"/>
  <c r="S21" i="25"/>
  <c r="K21" i="25" s="1"/>
  <c r="V21" i="25" s="1"/>
  <c r="R21" i="25"/>
  <c r="Q21" i="25"/>
  <c r="V306" i="24"/>
  <c r="V226" i="24"/>
  <c r="Q243" i="24"/>
  <c r="P243" i="24"/>
  <c r="O296" i="24"/>
  <c r="BZ296" i="24" s="1"/>
  <c r="J296" i="24"/>
  <c r="U31" i="24"/>
  <c r="U185" i="24"/>
  <c r="T266" i="25"/>
  <c r="U178" i="25"/>
  <c r="U167" i="25"/>
  <c r="V14" i="24"/>
  <c r="Q50" i="24"/>
  <c r="R50" i="24" s="1"/>
  <c r="P50" i="24"/>
  <c r="J202" i="24"/>
  <c r="O202" i="24"/>
  <c r="BZ202" i="24" s="1"/>
  <c r="U143" i="24"/>
  <c r="Q274" i="24"/>
  <c r="P274" i="24"/>
  <c r="Q70" i="24"/>
  <c r="R70" i="24" s="1"/>
  <c r="P70" i="24"/>
  <c r="S273" i="25"/>
  <c r="K273" i="25" s="1"/>
  <c r="V273" i="25" s="1"/>
  <c r="R273" i="25"/>
  <c r="Q273" i="25"/>
  <c r="Q218" i="24"/>
  <c r="P218" i="24"/>
  <c r="S173" i="25"/>
  <c r="K173" i="25" s="1"/>
  <c r="V173" i="25" s="1"/>
  <c r="R173" i="25"/>
  <c r="Q173" i="25"/>
  <c r="V200" i="24"/>
  <c r="U71" i="25"/>
  <c r="U168" i="25"/>
  <c r="J82" i="24"/>
  <c r="O82" i="24"/>
  <c r="BZ82" i="24" s="1"/>
  <c r="T70" i="25"/>
  <c r="P56" i="24"/>
  <c r="Q56" i="24"/>
  <c r="R56" i="24" s="1"/>
  <c r="P248" i="24"/>
  <c r="Q248" i="24"/>
  <c r="S238" i="25"/>
  <c r="K238" i="25" s="1"/>
  <c r="V238" i="25" s="1"/>
  <c r="R238" i="25"/>
  <c r="Q238" i="25"/>
  <c r="R206" i="25"/>
  <c r="S206" i="25"/>
  <c r="K206" i="25" s="1"/>
  <c r="Q206" i="25"/>
  <c r="W132" i="24"/>
  <c r="Y132" i="24" s="1"/>
  <c r="U259" i="25"/>
  <c r="U104" i="24"/>
  <c r="U176" i="24"/>
  <c r="J37" i="24"/>
  <c r="O37" i="24"/>
  <c r="BZ37" i="24" s="1"/>
  <c r="Q90" i="24"/>
  <c r="R90" i="24" s="1"/>
  <c r="P90" i="24"/>
  <c r="U113" i="25"/>
  <c r="R147" i="25"/>
  <c r="S147" i="25"/>
  <c r="K147" i="25" s="1"/>
  <c r="V147" i="25" s="1"/>
  <c r="Q147" i="25"/>
  <c r="V18" i="24"/>
  <c r="U33" i="24"/>
  <c r="P134" i="25"/>
  <c r="O134" i="25"/>
  <c r="P298" i="25"/>
  <c r="O298" i="25"/>
  <c r="V25" i="24"/>
  <c r="U172" i="25"/>
  <c r="J313" i="24"/>
  <c r="W313" i="24" s="1"/>
  <c r="O313" i="24"/>
  <c r="BZ313" i="24" s="1"/>
  <c r="U49" i="25"/>
  <c r="U127" i="25"/>
  <c r="U62" i="25"/>
  <c r="J310" i="24"/>
  <c r="W310" i="24" s="1"/>
  <c r="O310" i="24"/>
  <c r="BZ310" i="24" s="1"/>
  <c r="V271" i="24"/>
  <c r="U290" i="25"/>
  <c r="O309" i="24"/>
  <c r="BZ309" i="24" s="1"/>
  <c r="J309" i="24"/>
  <c r="N126" i="24"/>
  <c r="U126" i="24"/>
  <c r="P208" i="25"/>
  <c r="O208" i="25"/>
  <c r="T208" i="25"/>
  <c r="N228" i="24"/>
  <c r="P281" i="25"/>
  <c r="O281" i="25"/>
  <c r="P249" i="25"/>
  <c r="O249" i="25"/>
  <c r="T249" i="25"/>
  <c r="J316" i="24"/>
  <c r="O316" i="24"/>
  <c r="BZ316" i="24" s="1"/>
  <c r="P46" i="25"/>
  <c r="O46" i="25"/>
  <c r="J312" i="24"/>
  <c r="W312" i="24" s="1"/>
  <c r="O312" i="24"/>
  <c r="BZ312" i="24" s="1"/>
  <c r="Q20" i="24"/>
  <c r="R20" i="24" s="1"/>
  <c r="P20" i="24"/>
  <c r="O305" i="24"/>
  <c r="BZ305" i="24" s="1"/>
  <c r="J305" i="24"/>
  <c r="O287" i="24"/>
  <c r="BZ287" i="24" s="1"/>
  <c r="J287" i="24"/>
  <c r="J104" i="24"/>
  <c r="O104" i="24"/>
  <c r="BZ104" i="24" s="1"/>
  <c r="P99" i="25"/>
  <c r="O99" i="25"/>
  <c r="J304" i="24"/>
  <c r="O304" i="24"/>
  <c r="BZ304" i="24" s="1"/>
  <c r="O147" i="24"/>
  <c r="BZ147" i="24" s="1"/>
  <c r="J147" i="24"/>
  <c r="W147" i="24" s="1"/>
  <c r="U137" i="25"/>
  <c r="J24" i="24"/>
  <c r="W24" i="24" s="1"/>
  <c r="O24" i="24"/>
  <c r="BZ24" i="24" s="1"/>
  <c r="P49" i="25"/>
  <c r="O49" i="25"/>
  <c r="P33" i="25"/>
  <c r="O33" i="25"/>
  <c r="P175" i="25"/>
  <c r="O175" i="25"/>
  <c r="U252" i="25"/>
  <c r="N59" i="24"/>
  <c r="U59" i="24"/>
  <c r="U64" i="25"/>
  <c r="N148" i="24"/>
  <c r="U148" i="24"/>
  <c r="O173" i="24"/>
  <c r="BZ173" i="24" s="1"/>
  <c r="J173" i="24"/>
  <c r="O149" i="24"/>
  <c r="BZ149" i="24" s="1"/>
  <c r="J149" i="24"/>
  <c r="P224" i="25"/>
  <c r="O224" i="25"/>
  <c r="T224" i="25"/>
  <c r="U69" i="25"/>
  <c r="O271" i="24"/>
  <c r="BZ271" i="24" s="1"/>
  <c r="J271" i="24"/>
  <c r="W271" i="24" s="1"/>
  <c r="AD129" i="25"/>
  <c r="W129" i="25"/>
  <c r="Z129" i="25" s="1"/>
  <c r="AA129" i="25" s="1"/>
  <c r="AB129" i="25" s="1"/>
  <c r="AI129" i="25" s="1"/>
  <c r="T281" i="25"/>
  <c r="V76" i="24"/>
  <c r="U145" i="25"/>
  <c r="N203" i="24"/>
  <c r="U203" i="24"/>
  <c r="P307" i="25"/>
  <c r="O307" i="25"/>
  <c r="T307" i="25"/>
  <c r="J29" i="24"/>
  <c r="O29" i="24"/>
  <c r="BZ29" i="24" s="1"/>
  <c r="N249" i="24"/>
  <c r="P41" i="25"/>
  <c r="O41" i="25"/>
  <c r="T41" i="25"/>
  <c r="P123" i="25"/>
  <c r="O123" i="25"/>
  <c r="T123" i="25"/>
  <c r="U147" i="25"/>
  <c r="O153" i="24"/>
  <c r="BZ153" i="24" s="1"/>
  <c r="J153" i="24"/>
  <c r="J282" i="24"/>
  <c r="O282" i="24"/>
  <c r="BZ282" i="24" s="1"/>
  <c r="J146" i="24"/>
  <c r="O146" i="24"/>
  <c r="BZ146" i="24" s="1"/>
  <c r="O255" i="24"/>
  <c r="BZ255" i="24" s="1"/>
  <c r="J255" i="24"/>
  <c r="Q23" i="24"/>
  <c r="R23" i="24" s="1"/>
  <c r="P23" i="24"/>
  <c r="N184" i="24"/>
  <c r="U184" i="24"/>
  <c r="V30" i="24"/>
  <c r="P295" i="24"/>
  <c r="Q295" i="24"/>
  <c r="O48" i="24"/>
  <c r="BZ48" i="24" s="1"/>
  <c r="J48" i="24"/>
  <c r="W48" i="24" s="1"/>
  <c r="O197" i="24"/>
  <c r="BZ197" i="24" s="1"/>
  <c r="J197" i="24"/>
  <c r="P175" i="24"/>
  <c r="Q175" i="24"/>
  <c r="AE162" i="24"/>
  <c r="X162" i="24"/>
  <c r="AA162" i="24" s="1"/>
  <c r="AB162" i="24" s="1"/>
  <c r="AC162" i="24" s="1"/>
  <c r="AI162" i="24"/>
  <c r="P98" i="24"/>
  <c r="Q98" i="24"/>
  <c r="R98" i="24" s="1"/>
  <c r="T175" i="25"/>
  <c r="N194" i="24"/>
  <c r="U194" i="24"/>
  <c r="AP20" i="24"/>
  <c r="N315" i="24"/>
  <c r="P251" i="25"/>
  <c r="O251" i="25"/>
  <c r="T251" i="25"/>
  <c r="U316" i="25"/>
  <c r="N247" i="24"/>
  <c r="U17" i="24"/>
  <c r="J86" i="24"/>
  <c r="W86" i="24" s="1"/>
  <c r="O86" i="24"/>
  <c r="BZ86" i="24" s="1"/>
  <c r="O161" i="24"/>
  <c r="BZ161" i="24" s="1"/>
  <c r="J161" i="24"/>
  <c r="P209" i="25"/>
  <c r="O209" i="25"/>
  <c r="T209" i="25"/>
  <c r="U133" i="25"/>
  <c r="P277" i="25"/>
  <c r="O277" i="25"/>
  <c r="T277" i="25"/>
  <c r="T289" i="25"/>
  <c r="N187" i="24"/>
  <c r="U187" i="24"/>
  <c r="P219" i="25"/>
  <c r="O219" i="25"/>
  <c r="T219" i="25"/>
  <c r="J232" i="24"/>
  <c r="O232" i="24"/>
  <c r="BZ232" i="24" s="1"/>
  <c r="U120" i="25"/>
  <c r="P245" i="24"/>
  <c r="Q245" i="24"/>
  <c r="O72" i="24"/>
  <c r="BZ72" i="24" s="1"/>
  <c r="J72" i="24"/>
  <c r="W72" i="24" s="1"/>
  <c r="P56" i="25"/>
  <c r="O56" i="25"/>
  <c r="T56" i="25"/>
  <c r="Q189" i="24"/>
  <c r="P189" i="24"/>
  <c r="P60" i="25"/>
  <c r="O60" i="25"/>
  <c r="U151" i="24"/>
  <c r="J128" i="24"/>
  <c r="O128" i="24"/>
  <c r="BZ128" i="24" s="1"/>
  <c r="O278" i="24"/>
  <c r="BZ278" i="24" s="1"/>
  <c r="J278" i="24"/>
  <c r="U91" i="25"/>
  <c r="V44" i="24"/>
  <c r="W44" i="24"/>
  <c r="N117" i="24"/>
  <c r="U117" i="24"/>
  <c r="J314" i="24"/>
  <c r="O314" i="24"/>
  <c r="BZ314" i="24" s="1"/>
  <c r="J307" i="24"/>
  <c r="W307" i="24" s="1"/>
  <c r="O307" i="24"/>
  <c r="BZ307" i="24" s="1"/>
  <c r="P305" i="24"/>
  <c r="Q305" i="24"/>
  <c r="J91" i="24"/>
  <c r="O91" i="24"/>
  <c r="BZ91" i="24" s="1"/>
  <c r="P17" i="25"/>
  <c r="O17" i="25"/>
  <c r="AP196" i="24"/>
  <c r="J171" i="24"/>
  <c r="O171" i="24"/>
  <c r="BZ171" i="24" s="1"/>
  <c r="P119" i="25"/>
  <c r="O119" i="25"/>
  <c r="P50" i="25"/>
  <c r="O50" i="25"/>
  <c r="J98" i="24"/>
  <c r="O98" i="24"/>
  <c r="BZ98" i="24" s="1"/>
  <c r="J81" i="24"/>
  <c r="O81" i="24"/>
  <c r="BZ81" i="24" s="1"/>
  <c r="J245" i="24"/>
  <c r="O245" i="24"/>
  <c r="BZ245" i="24" s="1"/>
  <c r="Q12" i="24"/>
  <c r="R12" i="24" s="1"/>
  <c r="P12" i="24"/>
  <c r="S261" i="25"/>
  <c r="K261" i="25" s="1"/>
  <c r="R261" i="25"/>
  <c r="Q261" i="25"/>
  <c r="U229" i="25"/>
  <c r="P234" i="24"/>
  <c r="Q234" i="24"/>
  <c r="J273" i="24"/>
  <c r="O273" i="24"/>
  <c r="BZ273" i="24" s="1"/>
  <c r="P193" i="25"/>
  <c r="O193" i="25"/>
  <c r="O152" i="25"/>
  <c r="P152" i="25"/>
  <c r="P306" i="24"/>
  <c r="Q306" i="24"/>
  <c r="P226" i="24"/>
  <c r="Q226" i="24"/>
  <c r="U102" i="24"/>
  <c r="P296" i="24"/>
  <c r="Q296" i="24"/>
  <c r="T53" i="25"/>
  <c r="P132" i="25"/>
  <c r="O132" i="25"/>
  <c r="P265" i="24"/>
  <c r="Q265" i="24"/>
  <c r="R257" i="25"/>
  <c r="S257" i="25"/>
  <c r="K257" i="25" s="1"/>
  <c r="Q257" i="25"/>
  <c r="Q185" i="24"/>
  <c r="P185" i="24"/>
  <c r="U114" i="25"/>
  <c r="S178" i="25"/>
  <c r="K178" i="25" s="1"/>
  <c r="V178" i="25" s="1"/>
  <c r="R178" i="25"/>
  <c r="Q178" i="25"/>
  <c r="S167" i="25"/>
  <c r="K167" i="25" s="1"/>
  <c r="R167" i="25"/>
  <c r="Q167" i="25"/>
  <c r="J274" i="24"/>
  <c r="O274" i="24"/>
  <c r="BZ274" i="24" s="1"/>
  <c r="N298" i="24"/>
  <c r="J70" i="24"/>
  <c r="O70" i="24"/>
  <c r="BZ70" i="24" s="1"/>
  <c r="P152" i="24"/>
  <c r="Q152" i="24"/>
  <c r="V227" i="24"/>
  <c r="P200" i="24"/>
  <c r="Q200" i="24"/>
  <c r="P195" i="25"/>
  <c r="O195" i="25"/>
  <c r="P8" i="25"/>
  <c r="O8" i="25"/>
  <c r="U170" i="24"/>
  <c r="J250" i="24"/>
  <c r="O250" i="24"/>
  <c r="BZ250" i="24" s="1"/>
  <c r="O56" i="24"/>
  <c r="BZ56" i="24" s="1"/>
  <c r="J56" i="24"/>
  <c r="T63" i="25"/>
  <c r="U201" i="25"/>
  <c r="U292" i="25"/>
  <c r="S246" i="25"/>
  <c r="K246" i="25" s="1"/>
  <c r="R246" i="25"/>
  <c r="Q246" i="25"/>
  <c r="J67" i="24"/>
  <c r="O67" i="24"/>
  <c r="BZ67" i="24" s="1"/>
  <c r="R259" i="25"/>
  <c r="S259" i="25"/>
  <c r="K259" i="25" s="1"/>
  <c r="Q259" i="25"/>
  <c r="U92" i="25"/>
  <c r="Q224" i="24"/>
  <c r="P224" i="24"/>
  <c r="V83" i="24"/>
  <c r="P151" i="25"/>
  <c r="O151" i="25"/>
  <c r="O283" i="24"/>
  <c r="BZ283" i="24" s="1"/>
  <c r="J283" i="24"/>
  <c r="R267" i="25"/>
  <c r="S267" i="25"/>
  <c r="K267" i="25" s="1"/>
  <c r="V267" i="25" s="1"/>
  <c r="Q267" i="25"/>
  <c r="R113" i="25"/>
  <c r="S113" i="25"/>
  <c r="K113" i="25" s="1"/>
  <c r="V113" i="25" s="1"/>
  <c r="Q113" i="25"/>
  <c r="AP302" i="24"/>
  <c r="O162" i="25"/>
  <c r="P162" i="25"/>
  <c r="O33" i="24"/>
  <c r="BZ33" i="24" s="1"/>
  <c r="J33" i="24"/>
  <c r="Q197" i="24"/>
  <c r="P197" i="24"/>
  <c r="P304" i="25"/>
  <c r="O304" i="25"/>
  <c r="T304" i="25"/>
  <c r="P151" i="24"/>
  <c r="Q151" i="24"/>
  <c r="P74" i="25"/>
  <c r="O74" i="25"/>
  <c r="T74" i="25"/>
  <c r="P103" i="25"/>
  <c r="O103" i="25"/>
  <c r="U285" i="25"/>
  <c r="U126" i="25"/>
  <c r="R255" i="25"/>
  <c r="S255" i="25"/>
  <c r="K255" i="25" s="1"/>
  <c r="Q255" i="25"/>
  <c r="P7" i="25"/>
  <c r="O7" i="25"/>
  <c r="J221" i="24"/>
  <c r="O221" i="24"/>
  <c r="BZ221" i="24" s="1"/>
  <c r="V68" i="24"/>
  <c r="V129" i="24"/>
  <c r="J129" i="24"/>
  <c r="O129" i="24"/>
  <c r="BZ129" i="24" s="1"/>
  <c r="P291" i="24"/>
  <c r="Q291" i="24"/>
  <c r="P118" i="25"/>
  <c r="O118" i="25"/>
  <c r="P172" i="25"/>
  <c r="O172" i="25"/>
  <c r="U291" i="25"/>
  <c r="J289" i="24"/>
  <c r="O289" i="24"/>
  <c r="BZ289" i="24" s="1"/>
  <c r="P250" i="25"/>
  <c r="O250" i="25"/>
  <c r="J155" i="24"/>
  <c r="O155" i="24"/>
  <c r="BZ155" i="24" s="1"/>
  <c r="U54" i="25"/>
  <c r="U155" i="25"/>
  <c r="J240" i="24"/>
  <c r="O240" i="24"/>
  <c r="BZ240" i="24" s="1"/>
  <c r="Q31" i="24"/>
  <c r="R31" i="24" s="1"/>
  <c r="P31" i="24"/>
  <c r="P126" i="25"/>
  <c r="O126" i="25"/>
  <c r="U153" i="25"/>
  <c r="V237" i="24"/>
  <c r="T181" i="25"/>
  <c r="P150" i="25"/>
  <c r="O150" i="25"/>
  <c r="N141" i="24"/>
  <c r="U141" i="24"/>
  <c r="O105" i="25"/>
  <c r="P105" i="25"/>
  <c r="O62" i="24"/>
  <c r="BZ62" i="24" s="1"/>
  <c r="J62" i="24"/>
  <c r="W62" i="24" s="1"/>
  <c r="P166" i="25"/>
  <c r="O166" i="25"/>
  <c r="P233" i="25"/>
  <c r="O233" i="25"/>
  <c r="N140" i="24"/>
  <c r="U140" i="24"/>
  <c r="P79" i="25"/>
  <c r="O79" i="25"/>
  <c r="T79" i="25"/>
  <c r="BZ170" i="25"/>
  <c r="P26" i="25"/>
  <c r="O26" i="25"/>
  <c r="T26" i="25"/>
  <c r="U85" i="25"/>
  <c r="P10" i="25"/>
  <c r="O10" i="25"/>
  <c r="T10" i="25"/>
  <c r="V150" i="24"/>
  <c r="Q104" i="24"/>
  <c r="R104" i="24" s="1"/>
  <c r="P104" i="24"/>
  <c r="AP144" i="24"/>
  <c r="J231" i="24"/>
  <c r="W231" i="24" s="1"/>
  <c r="O231" i="24"/>
  <c r="BZ231" i="24" s="1"/>
  <c r="J131" i="24"/>
  <c r="O131" i="24"/>
  <c r="BZ131" i="24" s="1"/>
  <c r="J133" i="24"/>
  <c r="W133" i="24" s="1"/>
  <c r="O133" i="24"/>
  <c r="BZ133" i="24" s="1"/>
  <c r="P88" i="25"/>
  <c r="O88" i="25"/>
  <c r="N89" i="24"/>
  <c r="U89" i="24"/>
  <c r="P207" i="24"/>
  <c r="Q207" i="24"/>
  <c r="Q60" i="24"/>
  <c r="R60" i="24" s="1"/>
  <c r="P60" i="24"/>
  <c r="J242" i="24"/>
  <c r="O242" i="24"/>
  <c r="BZ242" i="24" s="1"/>
  <c r="T234" i="25"/>
  <c r="AP17" i="24"/>
  <c r="J199" i="24"/>
  <c r="W199" i="24" s="1"/>
  <c r="O199" i="24"/>
  <c r="BZ199" i="24" s="1"/>
  <c r="J175" i="24"/>
  <c r="O175" i="24"/>
  <c r="BZ175" i="24" s="1"/>
  <c r="S177" i="25"/>
  <c r="K177" i="25" s="1"/>
  <c r="R177" i="25"/>
  <c r="Q177" i="25"/>
  <c r="O34" i="24"/>
  <c r="BZ34" i="24" s="1"/>
  <c r="J34" i="24"/>
  <c r="J76" i="24"/>
  <c r="O76" i="24"/>
  <c r="BZ76" i="24" s="1"/>
  <c r="O236" i="25"/>
  <c r="P236" i="25"/>
  <c r="O192" i="24"/>
  <c r="BZ192" i="24" s="1"/>
  <c r="J192" i="24"/>
  <c r="P142" i="25"/>
  <c r="O142" i="25"/>
  <c r="T142" i="25"/>
  <c r="O139" i="25"/>
  <c r="P139" i="25"/>
  <c r="T139" i="25"/>
  <c r="U111" i="25"/>
  <c r="U204" i="25"/>
  <c r="U305" i="25"/>
  <c r="U294" i="25"/>
  <c r="AP136" i="24"/>
  <c r="U45" i="25"/>
  <c r="T66" i="25"/>
  <c r="P159" i="24"/>
  <c r="Q159" i="24"/>
  <c r="J225" i="24"/>
  <c r="O225" i="24"/>
  <c r="BZ225" i="24" s="1"/>
  <c r="V307" i="24"/>
  <c r="P163" i="25"/>
  <c r="O163" i="25"/>
  <c r="Q75" i="24"/>
  <c r="R75" i="24" s="1"/>
  <c r="P75" i="24"/>
  <c r="P124" i="25"/>
  <c r="O124" i="25"/>
  <c r="P217" i="25"/>
  <c r="O217" i="25"/>
  <c r="T217" i="25"/>
  <c r="O189" i="24"/>
  <c r="BZ189" i="24" s="1"/>
  <c r="J189" i="24"/>
  <c r="P18" i="25"/>
  <c r="O18" i="25"/>
  <c r="T18" i="25"/>
  <c r="P169" i="24"/>
  <c r="Q169" i="24"/>
  <c r="U135" i="24"/>
  <c r="V110" i="25"/>
  <c r="X110" i="25" s="1"/>
  <c r="AE257" i="24"/>
  <c r="X257" i="24"/>
  <c r="AA257" i="24" s="1"/>
  <c r="AB257" i="24" s="1"/>
  <c r="AC257" i="24" s="1"/>
  <c r="AI257" i="24"/>
  <c r="U23" i="24"/>
  <c r="J11" i="24"/>
  <c r="O11" i="24"/>
  <c r="BZ11" i="24" s="1"/>
  <c r="V43" i="24"/>
  <c r="Q314" i="24"/>
  <c r="P314" i="24"/>
  <c r="S6" i="25"/>
  <c r="K6" i="25" s="1"/>
  <c r="R6" i="25"/>
  <c r="Q6" i="25"/>
  <c r="P270" i="25"/>
  <c r="O270" i="25"/>
  <c r="O144" i="25"/>
  <c r="P144" i="25"/>
  <c r="P208" i="24"/>
  <c r="Q208" i="24"/>
  <c r="AP105" i="24"/>
  <c r="P51" i="25"/>
  <c r="O51" i="25"/>
  <c r="J15" i="24"/>
  <c r="O15" i="24"/>
  <c r="BZ15" i="24" s="1"/>
  <c r="Q258" i="24"/>
  <c r="P258" i="24"/>
  <c r="AP51" i="24"/>
  <c r="P269" i="24"/>
  <c r="Q269" i="24"/>
  <c r="J12" i="24"/>
  <c r="O12" i="24"/>
  <c r="BZ12" i="24" s="1"/>
  <c r="R229" i="25"/>
  <c r="S229" i="25"/>
  <c r="K229" i="25" s="1"/>
  <c r="V229" i="25" s="1"/>
  <c r="Q229" i="25"/>
  <c r="V279" i="24"/>
  <c r="V231" i="24"/>
  <c r="AP256" i="24"/>
  <c r="J36" i="24"/>
  <c r="O36" i="24"/>
  <c r="BZ36" i="24" s="1"/>
  <c r="U282" i="25"/>
  <c r="S161" i="25"/>
  <c r="K161" i="25" s="1"/>
  <c r="V161" i="25" s="1"/>
  <c r="R161" i="25"/>
  <c r="Q161" i="25"/>
  <c r="S276" i="25"/>
  <c r="K276" i="25" s="1"/>
  <c r="V276" i="25" s="1"/>
  <c r="R276" i="25"/>
  <c r="Q276" i="25"/>
  <c r="P241" i="25"/>
  <c r="O241" i="25"/>
  <c r="U115" i="24"/>
  <c r="U179" i="24"/>
  <c r="J265" i="24"/>
  <c r="O265" i="24"/>
  <c r="BZ265" i="24" s="1"/>
  <c r="S186" i="25"/>
  <c r="K186" i="25" s="1"/>
  <c r="R186" i="25"/>
  <c r="Q186" i="25"/>
  <c r="S114" i="25"/>
  <c r="K114" i="25" s="1"/>
  <c r="R114" i="25"/>
  <c r="Q114" i="25"/>
  <c r="J50" i="24"/>
  <c r="O50" i="24"/>
  <c r="BZ50" i="24" s="1"/>
  <c r="P143" i="24"/>
  <c r="Q143" i="24"/>
  <c r="J298" i="24"/>
  <c r="O298" i="24"/>
  <c r="BZ298" i="24" s="1"/>
  <c r="U186" i="24"/>
  <c r="P227" i="24"/>
  <c r="Q227" i="24"/>
  <c r="V40" i="24"/>
  <c r="U34" i="24"/>
  <c r="S71" i="25"/>
  <c r="K71" i="25" s="1"/>
  <c r="R71" i="25"/>
  <c r="Q71" i="25"/>
  <c r="P170" i="24"/>
  <c r="Q170" i="24"/>
  <c r="U42" i="25"/>
  <c r="U95" i="25"/>
  <c r="R201" i="25"/>
  <c r="S201" i="25"/>
  <c r="K201" i="25" s="1"/>
  <c r="V201" i="25" s="1"/>
  <c r="Q201" i="25"/>
  <c r="S292" i="25"/>
  <c r="K292" i="25" s="1"/>
  <c r="V292" i="25" s="1"/>
  <c r="R292" i="25"/>
  <c r="Q292" i="25"/>
  <c r="T99" i="25"/>
  <c r="V32" i="24"/>
  <c r="R92" i="25"/>
  <c r="S92" i="25"/>
  <c r="K92" i="25" s="1"/>
  <c r="Q92" i="25"/>
  <c r="Q261" i="24"/>
  <c r="P261" i="24"/>
  <c r="Q83" i="24"/>
  <c r="R83" i="24" s="1"/>
  <c r="P83" i="24"/>
  <c r="U148" i="25"/>
  <c r="R82" i="25"/>
  <c r="S82" i="25"/>
  <c r="K82" i="25" s="1"/>
  <c r="V82" i="25" s="1"/>
  <c r="Q82" i="25"/>
  <c r="U111" i="24"/>
  <c r="U162" i="25"/>
  <c r="P301" i="25"/>
  <c r="O301" i="25"/>
  <c r="T301" i="25"/>
  <c r="N280" i="24"/>
  <c r="J18" i="24"/>
  <c r="O18" i="24"/>
  <c r="BZ18" i="24" s="1"/>
  <c r="Q154" i="24"/>
  <c r="P154" i="24"/>
  <c r="AE44" i="24"/>
  <c r="X44" i="24"/>
  <c r="AA44" i="24" s="1"/>
  <c r="AB44" i="24" s="1"/>
  <c r="AC44" i="24" s="1"/>
  <c r="AI44" i="24"/>
  <c r="U46" i="25"/>
  <c r="Q9" i="24"/>
  <c r="R9" i="24" s="1"/>
  <c r="P9" i="24"/>
  <c r="P299" i="25"/>
  <c r="O299" i="25"/>
  <c r="T299" i="25"/>
  <c r="O181" i="24"/>
  <c r="BZ181" i="24" s="1"/>
  <c r="J181" i="24"/>
  <c r="W181" i="24" s="1"/>
  <c r="V163" i="24"/>
  <c r="P228" i="25"/>
  <c r="O228" i="25"/>
  <c r="T228" i="25"/>
  <c r="O19" i="25"/>
  <c r="P19" i="25"/>
  <c r="T298" i="25"/>
  <c r="U34" i="25"/>
  <c r="AE41" i="24"/>
  <c r="X41" i="24"/>
  <c r="AA41" i="24" s="1"/>
  <c r="AB41" i="24" s="1"/>
  <c r="AC41" i="24" s="1"/>
  <c r="AI41" i="24"/>
  <c r="P20" i="25"/>
  <c r="O20" i="25"/>
  <c r="P48" i="25"/>
  <c r="O48" i="25"/>
  <c r="O227" i="24"/>
  <c r="BZ227" i="24" s="1"/>
  <c r="J227" i="24"/>
  <c r="W227" i="24" s="1"/>
  <c r="AE191" i="24"/>
  <c r="AI191" i="24"/>
  <c r="X191" i="24"/>
  <c r="AA191" i="24" s="1"/>
  <c r="AB191" i="24" s="1"/>
  <c r="AC191" i="24" s="1"/>
  <c r="V205" i="24"/>
  <c r="Q179" i="24"/>
  <c r="P179" i="24"/>
  <c r="P180" i="25"/>
  <c r="O180" i="25"/>
  <c r="J163" i="24"/>
  <c r="W163" i="24" s="1"/>
  <c r="O163" i="24"/>
  <c r="BZ163" i="24" s="1"/>
  <c r="O291" i="24"/>
  <c r="BZ291" i="24" s="1"/>
  <c r="J291" i="24"/>
  <c r="N93" i="24"/>
  <c r="U93" i="24"/>
  <c r="P313" i="25"/>
  <c r="O313" i="25"/>
  <c r="T313" i="25"/>
  <c r="P303" i="25"/>
  <c r="O303" i="25"/>
  <c r="T303" i="25"/>
  <c r="P84" i="25"/>
  <c r="O84" i="25"/>
  <c r="T84" i="25"/>
  <c r="J148" i="24"/>
  <c r="O148" i="24"/>
  <c r="BZ148" i="24" s="1"/>
  <c r="P312" i="25"/>
  <c r="O312" i="25"/>
  <c r="U233" i="25"/>
  <c r="O120" i="24"/>
  <c r="BZ120" i="24" s="1"/>
  <c r="J120" i="24"/>
  <c r="B83" i="2"/>
  <c r="D83" i="2" s="1"/>
  <c r="O210" i="25"/>
  <c r="P210" i="25"/>
  <c r="T210" i="25"/>
  <c r="P127" i="25"/>
  <c r="O127" i="25"/>
  <c r="J218" i="24"/>
  <c r="O218" i="24"/>
  <c r="BZ218" i="24" s="1"/>
  <c r="O159" i="24"/>
  <c r="BZ159" i="24" s="1"/>
  <c r="J159" i="24"/>
  <c r="U144" i="24"/>
  <c r="O141" i="24"/>
  <c r="BZ141" i="24" s="1"/>
  <c r="J141" i="24"/>
  <c r="J253" i="24"/>
  <c r="O253" i="24"/>
  <c r="BZ253" i="24" s="1"/>
  <c r="O130" i="24"/>
  <c r="BZ130" i="24" s="1"/>
  <c r="J130" i="24"/>
  <c r="W130" i="24" s="1"/>
  <c r="N206" i="24"/>
  <c r="U206" i="24"/>
  <c r="V133" i="24"/>
  <c r="N123" i="24"/>
  <c r="U123" i="24"/>
  <c r="N161" i="24"/>
  <c r="U161" i="24"/>
  <c r="Q124" i="24"/>
  <c r="P124" i="24"/>
  <c r="N255" i="24"/>
  <c r="T118" i="25"/>
  <c r="J249" i="24"/>
  <c r="O249" i="24"/>
  <c r="BZ249" i="24" s="1"/>
  <c r="N42" i="24"/>
  <c r="U42" i="24"/>
  <c r="P271" i="25"/>
  <c r="O271" i="25"/>
  <c r="N131" i="24"/>
  <c r="U131" i="24"/>
  <c r="J118" i="24"/>
  <c r="O118" i="24"/>
  <c r="BZ118" i="24" s="1"/>
  <c r="P12" i="25"/>
  <c r="O12" i="25"/>
  <c r="T12" i="25"/>
  <c r="O207" i="24"/>
  <c r="BZ207" i="24" s="1"/>
  <c r="J207" i="24"/>
  <c r="Q66" i="24"/>
  <c r="R66" i="24" s="1"/>
  <c r="P66" i="24"/>
  <c r="O169" i="24"/>
  <c r="BZ169" i="24" s="1"/>
  <c r="J169" i="24"/>
  <c r="P43" i="25"/>
  <c r="O43" i="25"/>
  <c r="P57" i="25"/>
  <c r="O57" i="25"/>
  <c r="O49" i="24"/>
  <c r="BZ49" i="24" s="1"/>
  <c r="J49" i="24"/>
  <c r="J300" i="24"/>
  <c r="O300" i="24"/>
  <c r="BZ300" i="24" s="1"/>
  <c r="S305" i="25"/>
  <c r="K305" i="25" s="1"/>
  <c r="V305" i="25" s="1"/>
  <c r="R305" i="25"/>
  <c r="Q305" i="25"/>
  <c r="O150" i="24"/>
  <c r="BZ150" i="24" s="1"/>
  <c r="J150" i="24"/>
  <c r="AP179" i="24"/>
  <c r="J194" i="24"/>
  <c r="O194" i="24"/>
  <c r="BZ194" i="24" s="1"/>
  <c r="Q241" i="24"/>
  <c r="P241" i="24"/>
  <c r="Q35" i="24"/>
  <c r="R35" i="24" s="1"/>
  <c r="P35" i="24"/>
  <c r="P115" i="25"/>
  <c r="O115" i="25"/>
  <c r="T115" i="25"/>
  <c r="U9" i="24"/>
  <c r="P288" i="25"/>
  <c r="O288" i="25"/>
  <c r="T288" i="25"/>
  <c r="U97" i="25"/>
  <c r="U156" i="24"/>
  <c r="U144" i="25"/>
  <c r="U98" i="24"/>
  <c r="J187" i="24"/>
  <c r="O187" i="24"/>
  <c r="BZ187" i="24" s="1"/>
  <c r="BZ198" i="25"/>
  <c r="N263" i="24"/>
  <c r="J182" i="24"/>
  <c r="W182" i="24" s="1"/>
  <c r="O182" i="24"/>
  <c r="BZ182" i="24" s="1"/>
  <c r="U270" i="25"/>
  <c r="J71" i="24"/>
  <c r="O71" i="24"/>
  <c r="BZ71" i="24" s="1"/>
  <c r="J247" i="24"/>
  <c r="O247" i="24"/>
  <c r="BZ247" i="24" s="1"/>
  <c r="AP295" i="24"/>
  <c r="W162" i="24"/>
  <c r="Y162" i="24" s="1"/>
  <c r="J14" i="24"/>
  <c r="O14" i="24"/>
  <c r="BZ14" i="24" s="1"/>
  <c r="P244" i="24"/>
  <c r="Q244" i="24"/>
  <c r="P191" i="25"/>
  <c r="O191" i="25"/>
  <c r="V86" i="24"/>
  <c r="U61" i="25"/>
  <c r="P196" i="25"/>
  <c r="O196" i="25"/>
  <c r="T196" i="25"/>
  <c r="O117" i="24"/>
  <c r="BZ117" i="24" s="1"/>
  <c r="J117" i="24"/>
  <c r="P120" i="25"/>
  <c r="O120" i="25"/>
  <c r="N103" i="24"/>
  <c r="U103" i="24"/>
  <c r="O256" i="24"/>
  <c r="BZ256" i="24" s="1"/>
  <c r="J256" i="24"/>
  <c r="S131" i="25"/>
  <c r="K131" i="25" s="1"/>
  <c r="R131" i="25"/>
  <c r="Q131" i="25"/>
  <c r="P75" i="25"/>
  <c r="O75" i="25"/>
  <c r="T75" i="25"/>
  <c r="J9" i="24"/>
  <c r="O9" i="24"/>
  <c r="BZ9" i="24" s="1"/>
  <c r="J275" i="24"/>
  <c r="O275" i="24"/>
  <c r="BZ275" i="24" s="1"/>
  <c r="J230" i="24"/>
  <c r="O230" i="24"/>
  <c r="BZ230" i="24" s="1"/>
  <c r="O28" i="24"/>
  <c r="BZ28" i="24" s="1"/>
  <c r="J28" i="24"/>
  <c r="P35" i="25"/>
  <c r="O35" i="25"/>
  <c r="AP156" i="24"/>
  <c r="O297" i="24"/>
  <c r="BZ297" i="24" s="1"/>
  <c r="J297" i="24"/>
  <c r="Q87" i="24"/>
  <c r="R87" i="24" s="1"/>
  <c r="P87" i="24"/>
  <c r="T187" i="25"/>
  <c r="Q279" i="24"/>
  <c r="P279" i="24"/>
  <c r="P231" i="24"/>
  <c r="Q231" i="24"/>
  <c r="R232" i="25"/>
  <c r="S232" i="25"/>
  <c r="K232" i="25" s="1"/>
  <c r="Q232" i="25"/>
  <c r="R282" i="25"/>
  <c r="S282" i="25"/>
  <c r="K282" i="25" s="1"/>
  <c r="V282" i="25" s="1"/>
  <c r="Q282" i="25"/>
  <c r="U58" i="25"/>
  <c r="U185" i="25"/>
  <c r="U112" i="24"/>
  <c r="V19" i="24"/>
  <c r="O185" i="24"/>
  <c r="BZ185" i="24" s="1"/>
  <c r="J185" i="24"/>
  <c r="S199" i="25"/>
  <c r="K199" i="25" s="1"/>
  <c r="V199" i="25" s="1"/>
  <c r="R199" i="25"/>
  <c r="Q199" i="25"/>
  <c r="V313" i="24"/>
  <c r="U283" i="25"/>
  <c r="V223" i="24"/>
  <c r="J143" i="24"/>
  <c r="O143" i="24"/>
  <c r="BZ143" i="24" s="1"/>
  <c r="Q168" i="24"/>
  <c r="P168" i="24"/>
  <c r="P186" i="24"/>
  <c r="Q186" i="24"/>
  <c r="O152" i="24"/>
  <c r="BZ152" i="24" s="1"/>
  <c r="J152" i="24"/>
  <c r="S31" i="25"/>
  <c r="K31" i="25" s="1"/>
  <c r="R31" i="25"/>
  <c r="Q31" i="25"/>
  <c r="Q40" i="24"/>
  <c r="R40" i="24" s="1"/>
  <c r="P40" i="24"/>
  <c r="R13" i="25"/>
  <c r="S13" i="25"/>
  <c r="K13" i="25" s="1"/>
  <c r="Q13" i="25"/>
  <c r="U9" i="25"/>
  <c r="U195" i="25"/>
  <c r="P164" i="25"/>
  <c r="O164" i="25"/>
  <c r="U96" i="24"/>
  <c r="S95" i="25"/>
  <c r="K95" i="25" s="1"/>
  <c r="V95" i="25" s="1"/>
  <c r="R95" i="25"/>
  <c r="Q95" i="25"/>
  <c r="S192" i="25"/>
  <c r="K192" i="25" s="1"/>
  <c r="R192" i="25"/>
  <c r="Q192" i="25"/>
  <c r="J243" i="24"/>
  <c r="O243" i="24"/>
  <c r="BZ243" i="24" s="1"/>
  <c r="P32" i="24"/>
  <c r="Q32" i="24"/>
  <c r="R32" i="24" s="1"/>
  <c r="V10" i="24"/>
  <c r="W7" i="24"/>
  <c r="Y7" i="24" s="1"/>
  <c r="P16" i="25"/>
  <c r="O16" i="25"/>
  <c r="P141" i="25"/>
  <c r="O141" i="25"/>
  <c r="V147" i="24"/>
  <c r="T103" i="25"/>
  <c r="V303" i="24"/>
  <c r="U240" i="25"/>
  <c r="S148" i="25"/>
  <c r="K148" i="25" s="1"/>
  <c r="V148" i="25" s="1"/>
  <c r="R148" i="25"/>
  <c r="Q148" i="25"/>
  <c r="P111" i="24"/>
  <c r="Q111" i="24"/>
  <c r="J224" i="24"/>
  <c r="O224" i="24"/>
  <c r="BZ224" i="24" s="1"/>
  <c r="P40" i="25"/>
  <c r="O40" i="25"/>
  <c r="T40" i="25"/>
  <c r="P92" i="24"/>
  <c r="Q92" i="24"/>
  <c r="R92" i="24" s="1"/>
  <c r="U51" i="25"/>
  <c r="U15" i="25"/>
  <c r="P22" i="25"/>
  <c r="O22" i="25"/>
  <c r="T22" i="25"/>
  <c r="U279" i="25"/>
  <c r="V24" i="24"/>
  <c r="P309" i="25"/>
  <c r="O309" i="25"/>
  <c r="J134" i="24"/>
  <c r="O134" i="24"/>
  <c r="BZ134" i="24" s="1"/>
  <c r="N204" i="24"/>
  <c r="U204" i="24"/>
  <c r="P182" i="25"/>
  <c r="O182" i="25"/>
  <c r="J228" i="24"/>
  <c r="O228" i="24"/>
  <c r="BZ228" i="24" s="1"/>
  <c r="P311" i="25"/>
  <c r="O311" i="25"/>
  <c r="P287" i="25"/>
  <c r="O287" i="25"/>
  <c r="T287" i="25"/>
  <c r="Q17" i="24"/>
  <c r="R17" i="24" s="1"/>
  <c r="P17" i="24"/>
  <c r="P101" i="25"/>
  <c r="O101" i="25"/>
  <c r="P76" i="25"/>
  <c r="O76" i="25"/>
  <c r="T76" i="25"/>
  <c r="N260" i="24"/>
  <c r="P156" i="25"/>
  <c r="O156" i="25"/>
  <c r="T156" i="25"/>
  <c r="U33" i="25"/>
  <c r="AP240" i="24"/>
  <c r="U171" i="24"/>
  <c r="T121" i="25"/>
  <c r="J279" i="24"/>
  <c r="W279" i="24" s="1"/>
  <c r="O279" i="24"/>
  <c r="BZ279" i="24" s="1"/>
  <c r="O200" i="24"/>
  <c r="BZ200" i="24" s="1"/>
  <c r="J200" i="24"/>
  <c r="W200" i="24" s="1"/>
  <c r="P117" i="25"/>
  <c r="O117" i="25"/>
  <c r="P297" i="25"/>
  <c r="O297" i="25"/>
  <c r="T297" i="25"/>
  <c r="N259" i="24"/>
  <c r="J83" i="24"/>
  <c r="W83" i="24" s="1"/>
  <c r="O83" i="24"/>
  <c r="BZ83" i="24" s="1"/>
  <c r="U52" i="25"/>
  <c r="N158" i="24"/>
  <c r="U158" i="24"/>
  <c r="Q96" i="24"/>
  <c r="R96" i="24" s="1"/>
  <c r="P96" i="24"/>
  <c r="N58" i="24"/>
  <c r="U58" i="24"/>
  <c r="N149" i="24"/>
  <c r="U149" i="24"/>
  <c r="O112" i="25"/>
  <c r="P112" i="25"/>
  <c r="T112" i="25"/>
  <c r="P125" i="25"/>
  <c r="O125" i="25"/>
  <c r="T125" i="25"/>
  <c r="J220" i="24"/>
  <c r="O220" i="24"/>
  <c r="BZ220" i="24" s="1"/>
  <c r="U254" i="25"/>
  <c r="J27" i="24"/>
  <c r="O27" i="24"/>
  <c r="BZ27" i="24" s="1"/>
  <c r="P83" i="25"/>
  <c r="O83" i="25"/>
  <c r="P90" i="25"/>
  <c r="O90" i="25"/>
  <c r="T90" i="25"/>
  <c r="Q300" i="24"/>
  <c r="U196" i="24"/>
  <c r="V48" i="24"/>
  <c r="O31" i="24"/>
  <c r="BZ31" i="24" s="1"/>
  <c r="J31" i="24"/>
  <c r="AP293" i="24"/>
  <c r="J59" i="24"/>
  <c r="O59" i="24"/>
  <c r="BZ59" i="24" s="1"/>
  <c r="P37" i="25"/>
  <c r="O37" i="25"/>
  <c r="O206" i="24"/>
  <c r="BZ206" i="24" s="1"/>
  <c r="J206" i="24"/>
  <c r="P263" i="25"/>
  <c r="O263" i="25"/>
  <c r="O219" i="24"/>
  <c r="BZ219" i="24" s="1"/>
  <c r="J219" i="24"/>
  <c r="W219" i="24" s="1"/>
  <c r="J140" i="24"/>
  <c r="O140" i="24"/>
  <c r="BZ140" i="24" s="1"/>
  <c r="O169" i="25"/>
  <c r="P169" i="25"/>
  <c r="T169" i="25"/>
  <c r="AO170" i="25"/>
  <c r="AP135" i="24"/>
  <c r="O210" i="24"/>
  <c r="BZ210" i="24" s="1"/>
  <c r="J210" i="24"/>
  <c r="N26" i="24"/>
  <c r="U26" i="24"/>
  <c r="R34" i="25"/>
  <c r="S34" i="25"/>
  <c r="K34" i="25" s="1"/>
  <c r="Q34" i="25"/>
  <c r="N183" i="24"/>
  <c r="U183" i="24"/>
  <c r="O42" i="24"/>
  <c r="BZ42" i="24" s="1"/>
  <c r="J42" i="24"/>
  <c r="J58" i="24"/>
  <c r="O58" i="24"/>
  <c r="BZ58" i="24" s="1"/>
  <c r="O25" i="24"/>
  <c r="BZ25" i="24" s="1"/>
  <c r="J25" i="24"/>
  <c r="W25" i="24" s="1"/>
  <c r="U82" i="25"/>
  <c r="AE190" i="24"/>
  <c r="X190" i="24"/>
  <c r="AA190" i="24" s="1"/>
  <c r="AB190" i="24" s="1"/>
  <c r="AC190" i="24" s="1"/>
  <c r="AI190" i="24"/>
  <c r="P279" i="25"/>
  <c r="O279" i="25"/>
  <c r="P300" i="25"/>
  <c r="O300" i="25"/>
  <c r="Q177" i="24"/>
  <c r="P177" i="24"/>
  <c r="P316" i="25"/>
  <c r="O316" i="25"/>
  <c r="B86" i="2"/>
  <c r="V72" i="24"/>
  <c r="J66" i="24"/>
  <c r="O66" i="24"/>
  <c r="BZ66" i="24" s="1"/>
  <c r="J60" i="24"/>
  <c r="O60" i="24"/>
  <c r="BZ60" i="24" s="1"/>
  <c r="AP13" i="24"/>
  <c r="J144" i="24"/>
  <c r="O144" i="24"/>
  <c r="BZ144" i="24" s="1"/>
  <c r="O241" i="24"/>
  <c r="BZ241" i="24" s="1"/>
  <c r="J241" i="24"/>
  <c r="P198" i="24"/>
  <c r="Q198" i="24"/>
  <c r="P128" i="24"/>
  <c r="Q128" i="24"/>
  <c r="P45" i="25"/>
  <c r="O45" i="25"/>
  <c r="N80" i="24"/>
  <c r="U80" i="24"/>
  <c r="AP124" i="24"/>
  <c r="U310" i="25"/>
  <c r="Q201" i="24"/>
  <c r="P201" i="24"/>
  <c r="V53" i="24"/>
  <c r="U59" i="25"/>
  <c r="AO62" i="25"/>
  <c r="J203" i="24"/>
  <c r="O203" i="24"/>
  <c r="BZ203" i="24" s="1"/>
  <c r="V181" i="24"/>
  <c r="U247" i="25"/>
  <c r="O8" i="24"/>
  <c r="BZ8" i="24" s="1"/>
  <c r="J8" i="24"/>
  <c r="AO198" i="25"/>
  <c r="AP104" i="24"/>
  <c r="O137" i="24"/>
  <c r="BZ137" i="24" s="1"/>
  <c r="J137" i="24"/>
  <c r="W41" i="24"/>
  <c r="Y41" i="24" s="1"/>
  <c r="AP102" i="24"/>
  <c r="U75" i="24"/>
  <c r="W191" i="24"/>
  <c r="Y191" i="24" s="1"/>
  <c r="O75" i="24"/>
  <c r="BZ75" i="24" s="1"/>
  <c r="J75" i="24"/>
  <c r="P254" i="25"/>
  <c r="O254" i="25"/>
  <c r="P231" i="25"/>
  <c r="O231" i="25"/>
  <c r="T231" i="25"/>
  <c r="O90" i="24"/>
  <c r="BZ90" i="24" s="1"/>
  <c r="J90" i="24"/>
  <c r="P227" i="25"/>
  <c r="O227" i="25"/>
  <c r="AP201" i="24"/>
  <c r="P183" i="25"/>
  <c r="O183" i="25"/>
  <c r="T183" i="25"/>
  <c r="P140" i="25"/>
  <c r="O140" i="25"/>
  <c r="T140" i="25"/>
  <c r="T101" i="25"/>
  <c r="P115" i="24"/>
  <c r="Q115" i="24"/>
  <c r="J103" i="24"/>
  <c r="O103" i="24"/>
  <c r="BZ103" i="24" s="1"/>
  <c r="AP75" i="24"/>
  <c r="T157" i="25"/>
  <c r="P128" i="25"/>
  <c r="O128" i="25"/>
  <c r="T171" i="25"/>
  <c r="J172" i="24"/>
  <c r="O172" i="24"/>
  <c r="BZ172" i="24" s="1"/>
  <c r="AE22" i="24"/>
  <c r="X22" i="24"/>
  <c r="AA22" i="24" s="1"/>
  <c r="AB22" i="24" s="1"/>
  <c r="AC22" i="24" s="1"/>
  <c r="AI22" i="24"/>
  <c r="BZ131" i="25"/>
  <c r="P256" i="25"/>
  <c r="O256" i="25"/>
  <c r="P149" i="25"/>
  <c r="O149" i="25"/>
  <c r="O258" i="24"/>
  <c r="BZ258" i="24" s="1"/>
  <c r="J258" i="24"/>
  <c r="O284" i="24"/>
  <c r="BZ284" i="24" s="1"/>
  <c r="J284" i="24"/>
  <c r="O87" i="24"/>
  <c r="BZ87" i="24" s="1"/>
  <c r="J87" i="24"/>
  <c r="O269" i="24"/>
  <c r="BZ269" i="24" s="1"/>
  <c r="J269" i="24"/>
  <c r="U14" i="25"/>
  <c r="V16" i="24"/>
  <c r="U138" i="24"/>
  <c r="R247" i="25"/>
  <c r="S247" i="25"/>
  <c r="K247" i="25" s="1"/>
  <c r="V247" i="25" s="1"/>
  <c r="Q247" i="25"/>
  <c r="P58" i="25"/>
  <c r="O58" i="25"/>
  <c r="Q19" i="24"/>
  <c r="R19" i="24" s="1"/>
  <c r="P19" i="24"/>
  <c r="U168" i="24"/>
  <c r="P38" i="25"/>
  <c r="O38" i="25"/>
  <c r="T38" i="25"/>
  <c r="U248" i="25"/>
  <c r="Q313" i="24"/>
  <c r="P313" i="24"/>
  <c r="S283" i="25"/>
  <c r="K283" i="25" s="1"/>
  <c r="V283" i="25" s="1"/>
  <c r="R283" i="25"/>
  <c r="Q283" i="25"/>
  <c r="BZ257" i="25"/>
  <c r="AP243" i="24"/>
  <c r="AP185" i="24"/>
  <c r="S314" i="25"/>
  <c r="K314" i="25" s="1"/>
  <c r="V314" i="25" s="1"/>
  <c r="R314" i="25"/>
  <c r="Q314" i="25"/>
  <c r="V310" i="24"/>
  <c r="T55" i="25"/>
  <c r="P44" i="25"/>
  <c r="O44" i="25"/>
  <c r="T44" i="25"/>
  <c r="J170" i="24"/>
  <c r="O170" i="24"/>
  <c r="BZ170" i="24" s="1"/>
  <c r="W119" i="24"/>
  <c r="Y119" i="24" s="1"/>
  <c r="V142" i="24"/>
  <c r="W142" i="24"/>
  <c r="P42" i="25"/>
  <c r="O42" i="25"/>
  <c r="U159" i="24"/>
  <c r="P10" i="24"/>
  <c r="Q10" i="24"/>
  <c r="R10" i="24" s="1"/>
  <c r="V130" i="24"/>
  <c r="V268" i="24"/>
  <c r="J261" i="24"/>
  <c r="O261" i="24"/>
  <c r="BZ261" i="24" s="1"/>
  <c r="Q303" i="24"/>
  <c r="P303" i="24"/>
  <c r="R240" i="25"/>
  <c r="S240" i="25"/>
  <c r="K240" i="25" s="1"/>
  <c r="V240" i="25" s="1"/>
  <c r="Q240" i="25"/>
  <c r="V97" i="24"/>
  <c r="T105" i="25"/>
  <c r="W292" i="24"/>
  <c r="Y292" i="24" s="1"/>
  <c r="AP301" i="24" l="1"/>
  <c r="BZ190" i="25"/>
  <c r="AP284" i="24"/>
  <c r="Q190" i="25"/>
  <c r="R190" i="25"/>
  <c r="W294" i="24"/>
  <c r="Y294" i="24" s="1"/>
  <c r="Q301" i="24"/>
  <c r="P301" i="24"/>
  <c r="W264" i="24"/>
  <c r="Y264" i="24" s="1"/>
  <c r="AP300" i="24"/>
  <c r="AP289" i="24"/>
  <c r="P222" i="24"/>
  <c r="AP222" i="24"/>
  <c r="Q284" i="24"/>
  <c r="Q275" i="24"/>
  <c r="P275" i="24"/>
  <c r="P253" i="24"/>
  <c r="Q253" i="24"/>
  <c r="Q297" i="24"/>
  <c r="P297" i="24"/>
  <c r="Q289" i="24"/>
  <c r="Q285" i="24"/>
  <c r="P285" i="24"/>
  <c r="R262" i="25"/>
  <c r="Q262" i="25"/>
  <c r="S262" i="25"/>
  <c r="K262" i="25" s="1"/>
  <c r="V262" i="25" s="1"/>
  <c r="X262" i="25" s="1"/>
  <c r="BZ262" i="25"/>
  <c r="X170" i="25"/>
  <c r="AO96" i="25"/>
  <c r="Q94" i="25"/>
  <c r="BZ94" i="25"/>
  <c r="R94" i="25"/>
  <c r="AO94" i="25"/>
  <c r="Y270" i="24"/>
  <c r="W55" i="24"/>
  <c r="Y55" i="24" s="1"/>
  <c r="Y268" i="24"/>
  <c r="Y97" i="24"/>
  <c r="Y61" i="24"/>
  <c r="Y205" i="24"/>
  <c r="Y248" i="24"/>
  <c r="Y238" i="24"/>
  <c r="Y313" i="24"/>
  <c r="Y237" i="24"/>
  <c r="Y303" i="24"/>
  <c r="Y133" i="24"/>
  <c r="X62" i="25"/>
  <c r="Y130" i="24"/>
  <c r="Y52" i="24"/>
  <c r="Y32" i="24"/>
  <c r="Y24" i="24"/>
  <c r="Y30" i="24"/>
  <c r="X248" i="25"/>
  <c r="Y142" i="24"/>
  <c r="Y310" i="24"/>
  <c r="Y68" i="24"/>
  <c r="Y48" i="24"/>
  <c r="Y306" i="24"/>
  <c r="Y223" i="24"/>
  <c r="Y226" i="24"/>
  <c r="Y231" i="24"/>
  <c r="X204" i="25"/>
  <c r="Y16" i="24"/>
  <c r="Y234" i="24"/>
  <c r="Y43" i="24"/>
  <c r="X147" i="25"/>
  <c r="X82" i="25"/>
  <c r="AO104" i="25"/>
  <c r="Y147" i="24"/>
  <c r="Y307" i="24"/>
  <c r="Y181" i="24"/>
  <c r="X59" i="25"/>
  <c r="X275" i="25"/>
  <c r="X14" i="25"/>
  <c r="X229" i="25"/>
  <c r="Y182" i="24"/>
  <c r="Y272" i="24"/>
  <c r="Y271" i="24"/>
  <c r="Y190" i="24"/>
  <c r="Y219" i="24"/>
  <c r="X89" i="25"/>
  <c r="Y199" i="24"/>
  <c r="Y227" i="24"/>
  <c r="Y121" i="24"/>
  <c r="X283" i="25"/>
  <c r="X161" i="25"/>
  <c r="Y279" i="24"/>
  <c r="Y290" i="24"/>
  <c r="Y163" i="24"/>
  <c r="Y200" i="24"/>
  <c r="Y312" i="24"/>
  <c r="X292" i="25"/>
  <c r="X113" i="25"/>
  <c r="X199" i="25"/>
  <c r="X201" i="25"/>
  <c r="X238" i="25"/>
  <c r="X158" i="25"/>
  <c r="X32" i="25"/>
  <c r="X267" i="25"/>
  <c r="X282" i="25"/>
  <c r="X273" i="25"/>
  <c r="X314" i="25"/>
  <c r="X247" i="25"/>
  <c r="X178" i="25"/>
  <c r="X21" i="25"/>
  <c r="X276" i="25"/>
  <c r="X87" i="25"/>
  <c r="X240" i="25"/>
  <c r="X148" i="25"/>
  <c r="X95" i="25"/>
  <c r="X305" i="25"/>
  <c r="X30" i="25"/>
  <c r="X173" i="25"/>
  <c r="X243" i="25"/>
  <c r="Y86" i="24"/>
  <c r="Y19" i="24"/>
  <c r="Y22" i="24"/>
  <c r="Y72" i="24"/>
  <c r="Y44" i="24"/>
  <c r="Y53" i="24"/>
  <c r="Y10" i="24"/>
  <c r="Y40" i="24"/>
  <c r="Y83" i="24"/>
  <c r="Y21" i="24"/>
  <c r="Y25" i="24"/>
  <c r="Y101" i="24"/>
  <c r="Y62" i="24"/>
  <c r="W160" i="24"/>
  <c r="Y160" i="24" s="1"/>
  <c r="S11" i="25"/>
  <c r="K11" i="25" s="1"/>
  <c r="V11" i="25" s="1"/>
  <c r="X11" i="25" s="1"/>
  <c r="R11" i="25"/>
  <c r="Q11" i="25"/>
  <c r="R280" i="25"/>
  <c r="S280" i="25"/>
  <c r="K280" i="25" s="1"/>
  <c r="V280" i="25" s="1"/>
  <c r="X280" i="25" s="1"/>
  <c r="BZ11" i="25"/>
  <c r="AO280" i="25"/>
  <c r="BZ280" i="25"/>
  <c r="W305" i="24"/>
  <c r="Y305" i="24" s="1"/>
  <c r="S155" i="25"/>
  <c r="K155" i="25" s="1"/>
  <c r="W155" i="25" s="1"/>
  <c r="Z155" i="25" s="1"/>
  <c r="AA155" i="25" s="1"/>
  <c r="AB155" i="25" s="1"/>
  <c r="AI155" i="25" s="1"/>
  <c r="R155" i="25"/>
  <c r="W267" i="24"/>
  <c r="Y267" i="24" s="1"/>
  <c r="AJ191" i="24"/>
  <c r="AT191" i="24" s="1"/>
  <c r="Q155" i="25"/>
  <c r="W252" i="24"/>
  <c r="Y252" i="24" s="1"/>
  <c r="AJ190" i="24"/>
  <c r="AT190" i="24" s="1"/>
  <c r="W152" i="24"/>
  <c r="Y152" i="24" s="1"/>
  <c r="Q96" i="25"/>
  <c r="W12" i="24"/>
  <c r="Y12" i="24" s="1"/>
  <c r="R96" i="25"/>
  <c r="S96" i="25"/>
  <c r="K96" i="25" s="1"/>
  <c r="AD96" i="25" s="1"/>
  <c r="W178" i="24"/>
  <c r="Y178" i="24" s="1"/>
  <c r="W128" i="24"/>
  <c r="Y128" i="24" s="1"/>
  <c r="BZ155" i="25"/>
  <c r="W87" i="24"/>
  <c r="Y87" i="24" s="1"/>
  <c r="BZ96" i="25"/>
  <c r="W137" i="24"/>
  <c r="Y137" i="24" s="1"/>
  <c r="W276" i="24"/>
  <c r="Y276" i="24" s="1"/>
  <c r="W74" i="24"/>
  <c r="Y74" i="24" s="1"/>
  <c r="W286" i="24"/>
  <c r="Y286" i="24" s="1"/>
  <c r="W254" i="24"/>
  <c r="Y254" i="24" s="1"/>
  <c r="W60" i="24"/>
  <c r="Y60" i="24" s="1"/>
  <c r="W143" i="25"/>
  <c r="Z143" i="25" s="1"/>
  <c r="AA143" i="25" s="1"/>
  <c r="AB143" i="25" s="1"/>
  <c r="AI143" i="25" s="1"/>
  <c r="AS143" i="25" s="1"/>
  <c r="Q265" i="25"/>
  <c r="AD143" i="25"/>
  <c r="AE143" i="25" s="1"/>
  <c r="AJ162" i="24"/>
  <c r="AT162" i="24" s="1"/>
  <c r="AJ160" i="24"/>
  <c r="AT160" i="24" s="1"/>
  <c r="Q154" i="25"/>
  <c r="S154" i="25"/>
  <c r="K154" i="25" s="1"/>
  <c r="V154" i="25" s="1"/>
  <c r="X154" i="25" s="1"/>
  <c r="R154" i="25"/>
  <c r="W296" i="24"/>
  <c r="Y296" i="24" s="1"/>
  <c r="BZ154" i="25"/>
  <c r="W314" i="24"/>
  <c r="Y314" i="24" s="1"/>
  <c r="AJ101" i="24"/>
  <c r="W165" i="24"/>
  <c r="Y165" i="24" s="1"/>
  <c r="W157" i="24"/>
  <c r="Y157" i="24" s="1"/>
  <c r="W217" i="24"/>
  <c r="Y217" i="24" s="1"/>
  <c r="W91" i="24"/>
  <c r="Y91" i="24" s="1"/>
  <c r="P223" i="24"/>
  <c r="Q223" i="24"/>
  <c r="BZ97" i="25"/>
  <c r="W230" i="24"/>
  <c r="Y230" i="24" s="1"/>
  <c r="Q97" i="25"/>
  <c r="R97" i="25"/>
  <c r="S97" i="25"/>
  <c r="K97" i="25" s="1"/>
  <c r="V97" i="25" s="1"/>
  <c r="X97" i="25" s="1"/>
  <c r="AO97" i="25"/>
  <c r="Q258" i="25"/>
  <c r="S258" i="25"/>
  <c r="K258" i="25" s="1"/>
  <c r="V258" i="25" s="1"/>
  <c r="X258" i="25" s="1"/>
  <c r="W302" i="24"/>
  <c r="Y302" i="24" s="1"/>
  <c r="R258" i="25"/>
  <c r="AO258" i="25"/>
  <c r="W208" i="24"/>
  <c r="Y208" i="24" s="1"/>
  <c r="W49" i="24"/>
  <c r="Y49" i="24" s="1"/>
  <c r="S265" i="25"/>
  <c r="K265" i="25" s="1"/>
  <c r="AD265" i="25" s="1"/>
  <c r="BZ29" i="25"/>
  <c r="R265" i="25"/>
  <c r="Q291" i="25"/>
  <c r="AO29" i="25"/>
  <c r="R291" i="25"/>
  <c r="Q29" i="25"/>
  <c r="S291" i="25"/>
  <c r="K291" i="25" s="1"/>
  <c r="V291" i="25" s="1"/>
  <c r="X291" i="25" s="1"/>
  <c r="S29" i="25"/>
  <c r="K29" i="25" s="1"/>
  <c r="AD29" i="25" s="1"/>
  <c r="BZ265" i="25"/>
  <c r="R59" i="25"/>
  <c r="Q189" i="25"/>
  <c r="W37" i="24"/>
  <c r="S189" i="25"/>
  <c r="K189" i="25" s="1"/>
  <c r="W189" i="25" s="1"/>
  <c r="Z189" i="25" s="1"/>
  <c r="AA189" i="25" s="1"/>
  <c r="AB189" i="25" s="1"/>
  <c r="AI189" i="25" s="1"/>
  <c r="R189" i="25"/>
  <c r="BZ189" i="25"/>
  <c r="AO179" i="25"/>
  <c r="BZ179" i="25"/>
  <c r="Q179" i="25"/>
  <c r="S179" i="25"/>
  <c r="K179" i="25" s="1"/>
  <c r="V179" i="25" s="1"/>
  <c r="X179" i="25" s="1"/>
  <c r="BZ291" i="25"/>
  <c r="V37" i="24"/>
  <c r="W125" i="24"/>
  <c r="Y125" i="24" s="1"/>
  <c r="R28" i="25"/>
  <c r="W50" i="24"/>
  <c r="Y50" i="24" s="1"/>
  <c r="W265" i="24"/>
  <c r="Y265" i="24" s="1"/>
  <c r="W11" i="24"/>
  <c r="Y11" i="24" s="1"/>
  <c r="W175" i="24"/>
  <c r="Y175" i="24" s="1"/>
  <c r="W201" i="24"/>
  <c r="Y201" i="24" s="1"/>
  <c r="Q104" i="25"/>
  <c r="Q28" i="25"/>
  <c r="S28" i="25"/>
  <c r="K28" i="25" s="1"/>
  <c r="AD28" i="25" s="1"/>
  <c r="W253" i="24"/>
  <c r="Y253" i="24" s="1"/>
  <c r="Q59" i="25"/>
  <c r="R104" i="25"/>
  <c r="S104" i="25"/>
  <c r="K104" i="25" s="1"/>
  <c r="W104" i="25" s="1"/>
  <c r="Z104" i="25" s="1"/>
  <c r="AA104" i="25" s="1"/>
  <c r="AB104" i="25" s="1"/>
  <c r="AI104" i="25" s="1"/>
  <c r="Q237" i="25"/>
  <c r="BZ237" i="25"/>
  <c r="AO237" i="25"/>
  <c r="S237" i="25"/>
  <c r="K237" i="25" s="1"/>
  <c r="V237" i="25" s="1"/>
  <c r="X237" i="25" s="1"/>
  <c r="BZ104" i="25"/>
  <c r="BZ28" i="25"/>
  <c r="BZ59" i="25"/>
  <c r="AO59" i="25"/>
  <c r="W274" i="24"/>
  <c r="Y274" i="24" s="1"/>
  <c r="W20" i="24"/>
  <c r="Y20" i="24" s="1"/>
  <c r="W70" i="24"/>
  <c r="Y70" i="24" s="1"/>
  <c r="BN212" i="25"/>
  <c r="I212" i="25"/>
  <c r="CC212" i="25"/>
  <c r="BM212" i="25"/>
  <c r="AL212" i="25"/>
  <c r="J212" i="25"/>
  <c r="L212" i="25" s="1"/>
  <c r="AJ21" i="24"/>
  <c r="W124" i="24"/>
  <c r="AJ45" i="24"/>
  <c r="W224" i="24"/>
  <c r="Y224" i="24" s="1"/>
  <c r="W198" i="24"/>
  <c r="Y198" i="24" s="1"/>
  <c r="V124" i="24"/>
  <c r="W56" i="24"/>
  <c r="Y56" i="24" s="1"/>
  <c r="W169" i="24"/>
  <c r="Y169" i="24" s="1"/>
  <c r="AO77" i="25"/>
  <c r="S77" i="25"/>
  <c r="K77" i="25" s="1"/>
  <c r="BZ77" i="25"/>
  <c r="R77" i="25"/>
  <c r="Q77" i="25"/>
  <c r="AJ44" i="24"/>
  <c r="AJ55" i="24"/>
  <c r="AJ294" i="24"/>
  <c r="AT294" i="24" s="1"/>
  <c r="AJ41" i="24"/>
  <c r="AJ257" i="24"/>
  <c r="AT257" i="24" s="1"/>
  <c r="AJ119" i="24"/>
  <c r="AT119" i="24" s="1"/>
  <c r="AJ7" i="24"/>
  <c r="AJ233" i="24"/>
  <c r="AT233" i="24" s="1"/>
  <c r="AE284" i="24"/>
  <c r="AI284" i="24"/>
  <c r="X284" i="24"/>
  <c r="AA284" i="24" s="1"/>
  <c r="AB284" i="24" s="1"/>
  <c r="AC284" i="24" s="1"/>
  <c r="AE210" i="24"/>
  <c r="AI210" i="24"/>
  <c r="X210" i="24"/>
  <c r="AA210" i="24" s="1"/>
  <c r="AB210" i="24" s="1"/>
  <c r="AC210" i="24" s="1"/>
  <c r="U288" i="25"/>
  <c r="AE120" i="24"/>
  <c r="AI120" i="24"/>
  <c r="X120" i="24"/>
  <c r="AA120" i="24" s="1"/>
  <c r="AB120" i="24" s="1"/>
  <c r="AC120" i="24" s="1"/>
  <c r="U303" i="25"/>
  <c r="AD114" i="25"/>
  <c r="W114" i="25"/>
  <c r="Z114" i="25" s="1"/>
  <c r="AA114" i="25" s="1"/>
  <c r="AB114" i="25" s="1"/>
  <c r="AI114" i="25" s="1"/>
  <c r="V295" i="24"/>
  <c r="W295" i="24"/>
  <c r="S18" i="25"/>
  <c r="K18" i="25" s="1"/>
  <c r="V18" i="25" s="1"/>
  <c r="R18" i="25"/>
  <c r="Q18" i="25"/>
  <c r="AO18" i="25"/>
  <c r="BZ18" i="25"/>
  <c r="S88" i="25"/>
  <c r="K88" i="25" s="1"/>
  <c r="R88" i="25"/>
  <c r="Q88" i="25"/>
  <c r="AO88" i="25"/>
  <c r="BZ88" i="25"/>
  <c r="AE155" i="24"/>
  <c r="AI155" i="24"/>
  <c r="X155" i="24"/>
  <c r="AA155" i="24" s="1"/>
  <c r="AB155" i="24" s="1"/>
  <c r="AC155" i="24" s="1"/>
  <c r="AE250" i="24"/>
  <c r="AI250" i="24"/>
  <c r="X250" i="24"/>
  <c r="AA250" i="24" s="1"/>
  <c r="AB250" i="24" s="1"/>
  <c r="AC250" i="24" s="1"/>
  <c r="W298" i="24"/>
  <c r="V298" i="24"/>
  <c r="AD167" i="25"/>
  <c r="W167" i="25"/>
  <c r="Z167" i="25" s="1"/>
  <c r="AA167" i="25" s="1"/>
  <c r="AB167" i="25" s="1"/>
  <c r="AI167" i="25" s="1"/>
  <c r="AE81" i="24"/>
  <c r="AI81" i="24"/>
  <c r="X81" i="24"/>
  <c r="AA81" i="24" s="1"/>
  <c r="AB81" i="24" s="1"/>
  <c r="AC81" i="24" s="1"/>
  <c r="Q117" i="24"/>
  <c r="P117" i="24"/>
  <c r="AP117" i="24"/>
  <c r="AE278" i="24"/>
  <c r="AI278" i="24"/>
  <c r="X278" i="24"/>
  <c r="AA278" i="24" s="1"/>
  <c r="AB278" i="24" s="1"/>
  <c r="AC278" i="24" s="1"/>
  <c r="S56" i="25"/>
  <c r="K56" i="25" s="1"/>
  <c r="V56" i="25" s="1"/>
  <c r="R56" i="25"/>
  <c r="Q56" i="25"/>
  <c r="BZ56" i="25"/>
  <c r="AO56" i="25"/>
  <c r="AE232" i="24"/>
  <c r="AI232" i="24"/>
  <c r="X232" i="24"/>
  <c r="AA232" i="24" s="1"/>
  <c r="AB232" i="24" s="1"/>
  <c r="AC232" i="24" s="1"/>
  <c r="Q187" i="24"/>
  <c r="P187" i="24"/>
  <c r="AP187" i="24"/>
  <c r="W17" i="24"/>
  <c r="V17" i="24"/>
  <c r="R251" i="25"/>
  <c r="S251" i="25"/>
  <c r="K251" i="25" s="1"/>
  <c r="V251" i="25" s="1"/>
  <c r="Q251" i="25"/>
  <c r="AO251" i="25"/>
  <c r="BZ251" i="25"/>
  <c r="AG162" i="24"/>
  <c r="AF162" i="24"/>
  <c r="AE282" i="24"/>
  <c r="AI282" i="24"/>
  <c r="X282" i="24"/>
  <c r="AA282" i="24" s="1"/>
  <c r="AB282" i="24" s="1"/>
  <c r="AC282" i="24" s="1"/>
  <c r="V59" i="24"/>
  <c r="W59" i="24"/>
  <c r="R49" i="25"/>
  <c r="S49" i="25"/>
  <c r="K49" i="25" s="1"/>
  <c r="Q49" i="25"/>
  <c r="AO49" i="25"/>
  <c r="BZ49" i="25"/>
  <c r="AE305" i="24"/>
  <c r="AI305" i="24"/>
  <c r="X305" i="24"/>
  <c r="AA305" i="24" s="1"/>
  <c r="AB305" i="24" s="1"/>
  <c r="AC305" i="24" s="1"/>
  <c r="R249" i="25"/>
  <c r="S249" i="25"/>
  <c r="K249" i="25" s="1"/>
  <c r="V249" i="25" s="1"/>
  <c r="Q249" i="25"/>
  <c r="AO249" i="25"/>
  <c r="BZ249" i="25"/>
  <c r="V126" i="24"/>
  <c r="W126" i="24"/>
  <c r="AD206" i="25"/>
  <c r="W206" i="25"/>
  <c r="Z206" i="25" s="1"/>
  <c r="AA206" i="25" s="1"/>
  <c r="AB206" i="25" s="1"/>
  <c r="AI206" i="25" s="1"/>
  <c r="V31" i="24"/>
  <c r="W31" i="24"/>
  <c r="AE114" i="24"/>
  <c r="AI114" i="24"/>
  <c r="X114" i="24"/>
  <c r="AA114" i="24" s="1"/>
  <c r="AB114" i="24" s="1"/>
  <c r="AC114" i="24" s="1"/>
  <c r="S294" i="25"/>
  <c r="K294" i="25" s="1"/>
  <c r="R294" i="25"/>
  <c r="Q294" i="25"/>
  <c r="BZ294" i="25"/>
  <c r="AO294" i="25"/>
  <c r="W81" i="24"/>
  <c r="Y81" i="24" s="1"/>
  <c r="U230" i="25"/>
  <c r="AG21" i="24"/>
  <c r="AF21" i="24"/>
  <c r="AE73" i="24"/>
  <c r="AI73" i="24"/>
  <c r="X73" i="24"/>
  <c r="AA73" i="24" s="1"/>
  <c r="AB73" i="24" s="1"/>
  <c r="AC73" i="24" s="1"/>
  <c r="AE115" i="24"/>
  <c r="AI115" i="24"/>
  <c r="X115" i="24"/>
  <c r="AA115" i="24" s="1"/>
  <c r="AB115" i="24" s="1"/>
  <c r="AC115" i="24" s="1"/>
  <c r="AE38" i="24"/>
  <c r="AI38" i="24"/>
  <c r="X38" i="24"/>
  <c r="AA38" i="24" s="1"/>
  <c r="AB38" i="24" s="1"/>
  <c r="AC38" i="24" s="1"/>
  <c r="AE188" i="24"/>
  <c r="AI188" i="24"/>
  <c r="X188" i="24"/>
  <c r="AA188" i="24" s="1"/>
  <c r="AB188" i="24" s="1"/>
  <c r="AC188" i="24" s="1"/>
  <c r="AE308" i="24"/>
  <c r="AI308" i="24"/>
  <c r="X308" i="24"/>
  <c r="AA308" i="24" s="1"/>
  <c r="AB308" i="24" s="1"/>
  <c r="AC308" i="24" s="1"/>
  <c r="U197" i="25"/>
  <c r="AG132" i="24"/>
  <c r="AF132" i="24"/>
  <c r="R25" i="25"/>
  <c r="S25" i="25"/>
  <c r="K25" i="25" s="1"/>
  <c r="V25" i="25" s="1"/>
  <c r="Q25" i="25"/>
  <c r="BZ25" i="25"/>
  <c r="AO25" i="25"/>
  <c r="AE151" i="24"/>
  <c r="AI151" i="24"/>
  <c r="X151" i="24"/>
  <c r="AA151" i="24" s="1"/>
  <c r="AB151" i="24" s="1"/>
  <c r="AC151" i="24" s="1"/>
  <c r="AE280" i="24"/>
  <c r="AI280" i="24"/>
  <c r="X280" i="24"/>
  <c r="AA280" i="24" s="1"/>
  <c r="AB280" i="24" s="1"/>
  <c r="AC280" i="24" s="1"/>
  <c r="V244" i="24"/>
  <c r="W244" i="24"/>
  <c r="AG160" i="24"/>
  <c r="AF160" i="24"/>
  <c r="AE65" i="24"/>
  <c r="AI65" i="24"/>
  <c r="X65" i="24"/>
  <c r="AA65" i="24" s="1"/>
  <c r="AB65" i="24" s="1"/>
  <c r="AC65" i="24" s="1"/>
  <c r="Q146" i="24"/>
  <c r="P146" i="24"/>
  <c r="AP146" i="24"/>
  <c r="P71" i="24"/>
  <c r="Q71" i="24"/>
  <c r="R71" i="24" s="1"/>
  <c r="AP71" i="24"/>
  <c r="AE113" i="24"/>
  <c r="AI113" i="24"/>
  <c r="X113" i="24"/>
  <c r="AA113" i="24" s="1"/>
  <c r="AB113" i="24" s="1"/>
  <c r="AC113" i="24" s="1"/>
  <c r="Q153" i="24"/>
  <c r="P153" i="24"/>
  <c r="AP153" i="24"/>
  <c r="U122" i="25"/>
  <c r="AE165" i="24"/>
  <c r="AI165" i="24"/>
  <c r="X165" i="24"/>
  <c r="AA165" i="24" s="1"/>
  <c r="AB165" i="24" s="1"/>
  <c r="AC165" i="24" s="1"/>
  <c r="AD306" i="25"/>
  <c r="W306" i="25"/>
  <c r="Z306" i="25" s="1"/>
  <c r="AA306" i="25" s="1"/>
  <c r="AB306" i="25" s="1"/>
  <c r="AI306" i="25" s="1"/>
  <c r="AE254" i="24"/>
  <c r="AI254" i="24"/>
  <c r="X254" i="24"/>
  <c r="AA254" i="24" s="1"/>
  <c r="AB254" i="24" s="1"/>
  <c r="AC254" i="24" s="1"/>
  <c r="AE166" i="24"/>
  <c r="AI166" i="24"/>
  <c r="X166" i="24"/>
  <c r="AA166" i="24" s="1"/>
  <c r="AB166" i="24" s="1"/>
  <c r="AC166" i="24" s="1"/>
  <c r="S220" i="25"/>
  <c r="K220" i="25" s="1"/>
  <c r="V220" i="25" s="1"/>
  <c r="R220" i="25"/>
  <c r="Q220" i="25"/>
  <c r="AO220" i="25"/>
  <c r="BZ220" i="25"/>
  <c r="R260" i="25"/>
  <c r="S260" i="25"/>
  <c r="K260" i="25" s="1"/>
  <c r="V260" i="25" s="1"/>
  <c r="Q260" i="25"/>
  <c r="BZ260" i="25"/>
  <c r="AO260" i="25"/>
  <c r="R15" i="25"/>
  <c r="S15" i="25"/>
  <c r="K15" i="25" s="1"/>
  <c r="Q15" i="25"/>
  <c r="BZ15" i="25"/>
  <c r="AO15" i="25"/>
  <c r="AE105" i="24"/>
  <c r="AI105" i="24"/>
  <c r="X105" i="24"/>
  <c r="AA105" i="24" s="1"/>
  <c r="AB105" i="24" s="1"/>
  <c r="AC105" i="24" s="1"/>
  <c r="Q63" i="24"/>
  <c r="R63" i="24" s="1"/>
  <c r="P63" i="24"/>
  <c r="AP63" i="24"/>
  <c r="S207" i="25"/>
  <c r="K207" i="25" s="1"/>
  <c r="V207" i="25" s="1"/>
  <c r="R207" i="25"/>
  <c r="Q207" i="25"/>
  <c r="AO207" i="25"/>
  <c r="BZ207" i="25"/>
  <c r="AE32" i="24"/>
  <c r="AI32" i="24"/>
  <c r="X32" i="24"/>
  <c r="AA32" i="24" s="1"/>
  <c r="AB32" i="24" s="1"/>
  <c r="AC32" i="24" s="1"/>
  <c r="R78" i="25"/>
  <c r="S78" i="25"/>
  <c r="K78" i="25" s="1"/>
  <c r="V78" i="25" s="1"/>
  <c r="Q78" i="25"/>
  <c r="AO78" i="25"/>
  <c r="BZ78" i="25"/>
  <c r="U86" i="25"/>
  <c r="R239" i="25"/>
  <c r="S239" i="25"/>
  <c r="K239" i="25" s="1"/>
  <c r="V239" i="25" s="1"/>
  <c r="Q239" i="25"/>
  <c r="BZ239" i="25"/>
  <c r="AO239" i="25"/>
  <c r="AD14" i="25"/>
  <c r="W14" i="25"/>
  <c r="Z14" i="25" s="1"/>
  <c r="AA14" i="25" s="1"/>
  <c r="AB14" i="25" s="1"/>
  <c r="AI14" i="25" s="1"/>
  <c r="U315" i="25"/>
  <c r="AE276" i="24"/>
  <c r="AI276" i="24"/>
  <c r="X276" i="24"/>
  <c r="AA276" i="24" s="1"/>
  <c r="AB276" i="24" s="1"/>
  <c r="AC276" i="24" s="1"/>
  <c r="AE79" i="24"/>
  <c r="AI79" i="24"/>
  <c r="X79" i="24"/>
  <c r="AA79" i="24" s="1"/>
  <c r="AB79" i="24" s="1"/>
  <c r="AC79" i="24" s="1"/>
  <c r="U302" i="25"/>
  <c r="AE179" i="24"/>
  <c r="AI179" i="24"/>
  <c r="X179" i="24"/>
  <c r="AA179" i="24" s="1"/>
  <c r="AB179" i="24" s="1"/>
  <c r="AC179" i="24" s="1"/>
  <c r="S66" i="25"/>
  <c r="K66" i="25" s="1"/>
  <c r="V66" i="25" s="1"/>
  <c r="R66" i="25"/>
  <c r="Q66" i="25"/>
  <c r="AO66" i="25"/>
  <c r="BZ66" i="25"/>
  <c r="AE251" i="24"/>
  <c r="AI251" i="24"/>
  <c r="X251" i="24"/>
  <c r="AA251" i="24" s="1"/>
  <c r="AB251" i="24" s="1"/>
  <c r="AC251" i="24" s="1"/>
  <c r="W251" i="24"/>
  <c r="Y251" i="24" s="1"/>
  <c r="AG7" i="24"/>
  <c r="AF7" i="24"/>
  <c r="W78" i="24"/>
  <c r="V78" i="24"/>
  <c r="W105" i="24"/>
  <c r="Y105" i="24" s="1"/>
  <c r="AE172" i="24"/>
  <c r="AI172" i="24"/>
  <c r="X172" i="24"/>
  <c r="AA172" i="24" s="1"/>
  <c r="AB172" i="24" s="1"/>
  <c r="AC172" i="24" s="1"/>
  <c r="V75" i="24"/>
  <c r="W75" i="24"/>
  <c r="S169" i="25"/>
  <c r="K169" i="25" s="1"/>
  <c r="V169" i="25" s="1"/>
  <c r="R169" i="25"/>
  <c r="Q169" i="25"/>
  <c r="BZ169" i="25"/>
  <c r="AO169" i="25"/>
  <c r="R112" i="25"/>
  <c r="S112" i="25"/>
  <c r="K112" i="25" s="1"/>
  <c r="V112" i="25" s="1"/>
  <c r="Q112" i="25"/>
  <c r="BZ112" i="25"/>
  <c r="AO112" i="25"/>
  <c r="V204" i="24"/>
  <c r="W204" i="24"/>
  <c r="AD232" i="25"/>
  <c r="V232" i="25"/>
  <c r="X232" i="25" s="1"/>
  <c r="W232" i="25"/>
  <c r="Z232" i="25" s="1"/>
  <c r="AA232" i="25" s="1"/>
  <c r="AB232" i="25" s="1"/>
  <c r="AI232" i="25" s="1"/>
  <c r="AE118" i="24"/>
  <c r="AI118" i="24"/>
  <c r="X118" i="24"/>
  <c r="AA118" i="24" s="1"/>
  <c r="AB118" i="24" s="1"/>
  <c r="AC118" i="24" s="1"/>
  <c r="AE141" i="24"/>
  <c r="AI141" i="24"/>
  <c r="X141" i="24"/>
  <c r="AA141" i="24" s="1"/>
  <c r="AB141" i="24" s="1"/>
  <c r="AC141" i="24" s="1"/>
  <c r="R312" i="25"/>
  <c r="S312" i="25"/>
  <c r="K312" i="25" s="1"/>
  <c r="Q312" i="25"/>
  <c r="AO312" i="25"/>
  <c r="BZ312" i="25"/>
  <c r="Q93" i="24"/>
  <c r="R93" i="24" s="1"/>
  <c r="P93" i="24"/>
  <c r="AP93" i="24"/>
  <c r="U99" i="25"/>
  <c r="AE298" i="24"/>
  <c r="AI298" i="24"/>
  <c r="X298" i="24"/>
  <c r="AA298" i="24" s="1"/>
  <c r="AB298" i="24" s="1"/>
  <c r="AC298" i="24" s="1"/>
  <c r="AE265" i="24"/>
  <c r="AI265" i="24"/>
  <c r="X265" i="24"/>
  <c r="AA265" i="24" s="1"/>
  <c r="AB265" i="24" s="1"/>
  <c r="AC265" i="24" s="1"/>
  <c r="AE131" i="24"/>
  <c r="AI131" i="24"/>
  <c r="X131" i="24"/>
  <c r="AA131" i="24" s="1"/>
  <c r="AB131" i="24" s="1"/>
  <c r="AC131" i="24" s="1"/>
  <c r="V140" i="24"/>
  <c r="W140" i="24"/>
  <c r="AE289" i="24"/>
  <c r="AI289" i="24"/>
  <c r="X289" i="24"/>
  <c r="AA289" i="24" s="1"/>
  <c r="AB289" i="24" s="1"/>
  <c r="AC289" i="24" s="1"/>
  <c r="AD259" i="25"/>
  <c r="W259" i="25"/>
  <c r="Z259" i="25" s="1"/>
  <c r="AA259" i="25" s="1"/>
  <c r="AB259" i="25" s="1"/>
  <c r="AI259" i="25" s="1"/>
  <c r="U101" i="25"/>
  <c r="S183" i="25"/>
  <c r="K183" i="25" s="1"/>
  <c r="V183" i="25" s="1"/>
  <c r="R183" i="25"/>
  <c r="Q183" i="25"/>
  <c r="AO183" i="25"/>
  <c r="BZ183" i="25"/>
  <c r="U231" i="25"/>
  <c r="R279" i="25"/>
  <c r="S279" i="25"/>
  <c r="K279" i="25" s="1"/>
  <c r="Q279" i="25"/>
  <c r="AO279" i="25"/>
  <c r="BZ279" i="25"/>
  <c r="AE31" i="24"/>
  <c r="AI31" i="24"/>
  <c r="X31" i="24"/>
  <c r="AA31" i="24" s="1"/>
  <c r="AB31" i="24" s="1"/>
  <c r="AC31" i="24" s="1"/>
  <c r="V149" i="24"/>
  <c r="W149" i="24"/>
  <c r="U156" i="25"/>
  <c r="U287" i="25"/>
  <c r="Q204" i="24"/>
  <c r="P204" i="24"/>
  <c r="AP204" i="24"/>
  <c r="AD148" i="25"/>
  <c r="W148" i="25"/>
  <c r="Z148" i="25" s="1"/>
  <c r="AA148" i="25" s="1"/>
  <c r="AB148" i="25" s="1"/>
  <c r="AI148" i="25" s="1"/>
  <c r="R141" i="25"/>
  <c r="S141" i="25"/>
  <c r="K141" i="25" s="1"/>
  <c r="Q141" i="25"/>
  <c r="AO141" i="25"/>
  <c r="BZ141" i="25"/>
  <c r="AE28" i="24"/>
  <c r="AI28" i="24"/>
  <c r="X28" i="24"/>
  <c r="AA28" i="24" s="1"/>
  <c r="AB28" i="24" s="1"/>
  <c r="AC28" i="24" s="1"/>
  <c r="R120" i="25"/>
  <c r="S120" i="25"/>
  <c r="K120" i="25" s="1"/>
  <c r="Q120" i="25"/>
  <c r="AO120" i="25"/>
  <c r="BZ120" i="25"/>
  <c r="R191" i="25"/>
  <c r="S191" i="25"/>
  <c r="K191" i="25" s="1"/>
  <c r="Q191" i="25"/>
  <c r="BZ191" i="25"/>
  <c r="AO191" i="25"/>
  <c r="AE14" i="24"/>
  <c r="AI14" i="24"/>
  <c r="X14" i="24"/>
  <c r="AA14" i="24" s="1"/>
  <c r="AB14" i="24" s="1"/>
  <c r="AC14" i="24" s="1"/>
  <c r="R288" i="25"/>
  <c r="S288" i="25"/>
  <c r="K288" i="25" s="1"/>
  <c r="V288" i="25" s="1"/>
  <c r="Q288" i="25"/>
  <c r="BZ288" i="25"/>
  <c r="AO288" i="25"/>
  <c r="AE49" i="24"/>
  <c r="AI49" i="24"/>
  <c r="X49" i="24"/>
  <c r="AA49" i="24" s="1"/>
  <c r="AB49" i="24" s="1"/>
  <c r="AC49" i="24" s="1"/>
  <c r="V206" i="24"/>
  <c r="W206" i="24"/>
  <c r="AE218" i="24"/>
  <c r="AI218" i="24"/>
  <c r="X218" i="24"/>
  <c r="AA218" i="24" s="1"/>
  <c r="AB218" i="24" s="1"/>
  <c r="AC218" i="24" s="1"/>
  <c r="S303" i="25"/>
  <c r="K303" i="25" s="1"/>
  <c r="V303" i="25" s="1"/>
  <c r="R303" i="25"/>
  <c r="Q303" i="25"/>
  <c r="BZ303" i="25"/>
  <c r="AO303" i="25"/>
  <c r="AG191" i="24"/>
  <c r="AF191" i="24"/>
  <c r="V179" i="24"/>
  <c r="W179" i="24"/>
  <c r="AD59" i="25"/>
  <c r="W59" i="25"/>
  <c r="Z59" i="25" s="1"/>
  <c r="AA59" i="25" s="1"/>
  <c r="AB59" i="25" s="1"/>
  <c r="AI59" i="25" s="1"/>
  <c r="AE76" i="24"/>
  <c r="AI76" i="24"/>
  <c r="X76" i="24"/>
  <c r="AA76" i="24" s="1"/>
  <c r="AB76" i="24" s="1"/>
  <c r="AC76" i="24" s="1"/>
  <c r="AE199" i="24"/>
  <c r="AI199" i="24"/>
  <c r="X199" i="24"/>
  <c r="AA199" i="24" s="1"/>
  <c r="AB199" i="24" s="1"/>
  <c r="AC199" i="24" s="1"/>
  <c r="U79" i="25"/>
  <c r="Q140" i="24"/>
  <c r="P140" i="24"/>
  <c r="AP140" i="24"/>
  <c r="R105" i="25"/>
  <c r="S105" i="25"/>
  <c r="K105" i="25" s="1"/>
  <c r="V105" i="25" s="1"/>
  <c r="Q105" i="25"/>
  <c r="AO105" i="25"/>
  <c r="BZ105" i="25"/>
  <c r="AE240" i="24"/>
  <c r="AI240" i="24"/>
  <c r="X240" i="24"/>
  <c r="AA240" i="24" s="1"/>
  <c r="AB240" i="24" s="1"/>
  <c r="AC240" i="24" s="1"/>
  <c r="AE221" i="24"/>
  <c r="AI221" i="24"/>
  <c r="X221" i="24"/>
  <c r="AA221" i="24" s="1"/>
  <c r="AB221" i="24" s="1"/>
  <c r="AC221" i="24" s="1"/>
  <c r="W170" i="24"/>
  <c r="V170" i="24"/>
  <c r="Q298" i="24"/>
  <c r="P298" i="24"/>
  <c r="AP298" i="24"/>
  <c r="R132" i="25"/>
  <c r="S132" i="25"/>
  <c r="K132" i="25" s="1"/>
  <c r="Q132" i="25"/>
  <c r="AO132" i="25"/>
  <c r="BZ132" i="25"/>
  <c r="AE273" i="24"/>
  <c r="AI273" i="24"/>
  <c r="X273" i="24"/>
  <c r="AA273" i="24" s="1"/>
  <c r="AB273" i="24" s="1"/>
  <c r="AC273" i="24" s="1"/>
  <c r="AD261" i="25"/>
  <c r="W261" i="25"/>
  <c r="Z261" i="25" s="1"/>
  <c r="AA261" i="25" s="1"/>
  <c r="AB261" i="25" s="1"/>
  <c r="AI261" i="25" s="1"/>
  <c r="R119" i="25"/>
  <c r="S119" i="25"/>
  <c r="K119" i="25" s="1"/>
  <c r="Q119" i="25"/>
  <c r="AO119" i="25"/>
  <c r="BZ119" i="25"/>
  <c r="S17" i="25"/>
  <c r="K17" i="25" s="1"/>
  <c r="R17" i="25"/>
  <c r="Q17" i="25"/>
  <c r="AO17" i="25"/>
  <c r="BZ17" i="25"/>
  <c r="AE161" i="24"/>
  <c r="AI161" i="24"/>
  <c r="X161" i="24"/>
  <c r="AA161" i="24" s="1"/>
  <c r="AB161" i="24" s="1"/>
  <c r="AC161" i="24" s="1"/>
  <c r="U175" i="25"/>
  <c r="W249" i="24"/>
  <c r="V249" i="24"/>
  <c r="P59" i="24"/>
  <c r="Q59" i="24"/>
  <c r="R59" i="24" s="1"/>
  <c r="AP59" i="24"/>
  <c r="AE104" i="24"/>
  <c r="AI104" i="24"/>
  <c r="X104" i="24"/>
  <c r="AA104" i="24" s="1"/>
  <c r="AB104" i="24" s="1"/>
  <c r="AC104" i="24" s="1"/>
  <c r="S46" i="25"/>
  <c r="K46" i="25" s="1"/>
  <c r="R46" i="25"/>
  <c r="Q46" i="25"/>
  <c r="BZ46" i="25"/>
  <c r="AO46" i="25"/>
  <c r="P126" i="24"/>
  <c r="Q126" i="24"/>
  <c r="AP126" i="24"/>
  <c r="V261" i="24"/>
  <c r="W261" i="24"/>
  <c r="U70" i="25"/>
  <c r="AD273" i="25"/>
  <c r="W273" i="25"/>
  <c r="Z273" i="25" s="1"/>
  <c r="AA273" i="25" s="1"/>
  <c r="AB273" i="25" s="1"/>
  <c r="AI273" i="25" s="1"/>
  <c r="AE202" i="24"/>
  <c r="AI202" i="24"/>
  <c r="X202" i="24"/>
  <c r="AA202" i="24" s="1"/>
  <c r="AB202" i="24" s="1"/>
  <c r="AC202" i="24" s="1"/>
  <c r="AE296" i="24"/>
  <c r="AI296" i="24"/>
  <c r="X296" i="24"/>
  <c r="AA296" i="24" s="1"/>
  <c r="AB296" i="24" s="1"/>
  <c r="AC296" i="24" s="1"/>
  <c r="AE222" i="24"/>
  <c r="AI222" i="24"/>
  <c r="X222" i="24"/>
  <c r="AA222" i="24" s="1"/>
  <c r="AB222" i="24" s="1"/>
  <c r="AC222" i="24" s="1"/>
  <c r="S308" i="25"/>
  <c r="K308" i="25" s="1"/>
  <c r="R308" i="25"/>
  <c r="Q308" i="25"/>
  <c r="BZ308" i="25"/>
  <c r="AO308" i="25"/>
  <c r="V195" i="24"/>
  <c r="W195" i="24"/>
  <c r="S230" i="25"/>
  <c r="K230" i="25" s="1"/>
  <c r="R230" i="25"/>
  <c r="Q230" i="25"/>
  <c r="BZ230" i="25"/>
  <c r="AO230" i="25"/>
  <c r="U223" i="25"/>
  <c r="AE267" i="24"/>
  <c r="AI267" i="24"/>
  <c r="X267" i="24"/>
  <c r="AA267" i="24" s="1"/>
  <c r="AB267" i="24" s="1"/>
  <c r="AC267" i="24" s="1"/>
  <c r="R197" i="25"/>
  <c r="S197" i="25"/>
  <c r="K197" i="25" s="1"/>
  <c r="V197" i="25" s="1"/>
  <c r="Q197" i="25"/>
  <c r="AO197" i="25"/>
  <c r="BZ197" i="25"/>
  <c r="AE311" i="24"/>
  <c r="AI311" i="24"/>
  <c r="X311" i="24"/>
  <c r="AA311" i="24" s="1"/>
  <c r="AB311" i="24" s="1"/>
  <c r="AC311" i="24" s="1"/>
  <c r="V316" i="24"/>
  <c r="W316" i="24"/>
  <c r="S55" i="25"/>
  <c r="K55" i="25" s="1"/>
  <c r="V55" i="25" s="1"/>
  <c r="R55" i="25"/>
  <c r="Q55" i="25"/>
  <c r="AO55" i="25"/>
  <c r="BZ55" i="25"/>
  <c r="V309" i="24"/>
  <c r="W309" i="24"/>
  <c r="W36" i="24"/>
  <c r="V36" i="24"/>
  <c r="AE281" i="24"/>
  <c r="AI281" i="24"/>
  <c r="X281" i="24"/>
  <c r="AA281" i="24" s="1"/>
  <c r="AB281" i="24" s="1"/>
  <c r="AC281" i="24" s="1"/>
  <c r="AD32" i="25"/>
  <c r="W32" i="25"/>
  <c r="Z32" i="25" s="1"/>
  <c r="AA32" i="25" s="1"/>
  <c r="AB32" i="25" s="1"/>
  <c r="AI32" i="25" s="1"/>
  <c r="AE99" i="24"/>
  <c r="AI99" i="24"/>
  <c r="X99" i="24"/>
  <c r="AA99" i="24" s="1"/>
  <c r="AB99" i="24" s="1"/>
  <c r="AC99" i="24" s="1"/>
  <c r="AE277" i="24"/>
  <c r="AI277" i="24"/>
  <c r="X277" i="24"/>
  <c r="AA277" i="24" s="1"/>
  <c r="AB277" i="24" s="1"/>
  <c r="AC277" i="24" s="1"/>
  <c r="AS110" i="25"/>
  <c r="AE102" i="24"/>
  <c r="AI102" i="24"/>
  <c r="X102" i="24"/>
  <c r="AA102" i="24" s="1"/>
  <c r="AB102" i="24" s="1"/>
  <c r="AC102" i="24" s="1"/>
  <c r="AE270" i="24"/>
  <c r="AI270" i="24"/>
  <c r="X270" i="24"/>
  <c r="AA270" i="24" s="1"/>
  <c r="AB270" i="24" s="1"/>
  <c r="AC270" i="24" s="1"/>
  <c r="AG264" i="24"/>
  <c r="AF264" i="24"/>
  <c r="R64" i="25"/>
  <c r="S64" i="25"/>
  <c r="K64" i="25" s="1"/>
  <c r="Q64" i="25"/>
  <c r="AO64" i="25"/>
  <c r="BZ64" i="25"/>
  <c r="W308" i="24"/>
  <c r="V308" i="24"/>
  <c r="AE288" i="24"/>
  <c r="AI288" i="24"/>
  <c r="X288" i="24"/>
  <c r="AA288" i="24" s="1"/>
  <c r="AB288" i="24" s="1"/>
  <c r="AC288" i="24" s="1"/>
  <c r="AE209" i="24"/>
  <c r="AI209" i="24"/>
  <c r="X209" i="24"/>
  <c r="AA209" i="24" s="1"/>
  <c r="AB209" i="24" s="1"/>
  <c r="AC209" i="24" s="1"/>
  <c r="AE121" i="24"/>
  <c r="AI121" i="24"/>
  <c r="X121" i="24"/>
  <c r="AA121" i="24" s="1"/>
  <c r="AB121" i="24" s="1"/>
  <c r="AC121" i="24" s="1"/>
  <c r="S122" i="25"/>
  <c r="K122" i="25" s="1"/>
  <c r="V122" i="25" s="1"/>
  <c r="R122" i="25"/>
  <c r="Q122" i="25"/>
  <c r="BZ122" i="25"/>
  <c r="AO122" i="25"/>
  <c r="S9" i="25"/>
  <c r="K9" i="25" s="1"/>
  <c r="R9" i="25"/>
  <c r="Q9" i="25"/>
  <c r="BZ9" i="25"/>
  <c r="AO9" i="25"/>
  <c r="U160" i="25"/>
  <c r="V154" i="24"/>
  <c r="W154" i="24"/>
  <c r="W114" i="24"/>
  <c r="V114" i="24"/>
  <c r="S85" i="25"/>
  <c r="K85" i="25" s="1"/>
  <c r="R85" i="25"/>
  <c r="Q85" i="25"/>
  <c r="BZ85" i="25"/>
  <c r="AO85" i="25"/>
  <c r="S53" i="25"/>
  <c r="K53" i="25" s="1"/>
  <c r="V53" i="25" s="1"/>
  <c r="R53" i="25"/>
  <c r="Q53" i="25"/>
  <c r="AO53" i="25"/>
  <c r="BZ53" i="25"/>
  <c r="U286" i="25"/>
  <c r="R86" i="25"/>
  <c r="S86" i="25"/>
  <c r="K86" i="25" s="1"/>
  <c r="Q86" i="25"/>
  <c r="BZ86" i="25"/>
  <c r="AO86" i="25"/>
  <c r="W8" i="24"/>
  <c r="V8" i="24"/>
  <c r="V94" i="24"/>
  <c r="W94" i="24"/>
  <c r="AE168" i="24"/>
  <c r="AI168" i="24"/>
  <c r="X168" i="24"/>
  <c r="AA168" i="24" s="1"/>
  <c r="AB168" i="24" s="1"/>
  <c r="AC168" i="24" s="1"/>
  <c r="AD275" i="25"/>
  <c r="W275" i="25"/>
  <c r="Z275" i="25" s="1"/>
  <c r="AA275" i="25" s="1"/>
  <c r="AB275" i="25" s="1"/>
  <c r="AI275" i="25" s="1"/>
  <c r="S315" i="25"/>
  <c r="K315" i="25" s="1"/>
  <c r="R315" i="25"/>
  <c r="Q315" i="25"/>
  <c r="AO315" i="25"/>
  <c r="BZ315" i="25"/>
  <c r="V297" i="24"/>
  <c r="W297" i="24"/>
  <c r="V28" i="24"/>
  <c r="W28" i="24"/>
  <c r="S235" i="25"/>
  <c r="K235" i="25" s="1"/>
  <c r="R235" i="25"/>
  <c r="Q235" i="25"/>
  <c r="AO235" i="25"/>
  <c r="BZ235" i="25"/>
  <c r="W99" i="24"/>
  <c r="Y99" i="24" s="1"/>
  <c r="AD94" i="25"/>
  <c r="W94" i="25"/>
  <c r="Z94" i="25" s="1"/>
  <c r="AA94" i="25" s="1"/>
  <c r="AB94" i="25" s="1"/>
  <c r="AI94" i="25" s="1"/>
  <c r="V94" i="25"/>
  <c r="X94" i="25" s="1"/>
  <c r="AE52" i="24"/>
  <c r="AI52" i="24"/>
  <c r="X52" i="24"/>
  <c r="AA52" i="24" s="1"/>
  <c r="AB52" i="24" s="1"/>
  <c r="AC52" i="24" s="1"/>
  <c r="U93" i="25"/>
  <c r="W288" i="24"/>
  <c r="V288" i="24"/>
  <c r="V209" i="24"/>
  <c r="W209" i="24"/>
  <c r="R302" i="25"/>
  <c r="S302" i="25"/>
  <c r="K302" i="25" s="1"/>
  <c r="V302" i="25" s="1"/>
  <c r="Q302" i="25"/>
  <c r="AO302" i="25"/>
  <c r="BZ302" i="25"/>
  <c r="U218" i="25"/>
  <c r="W164" i="24"/>
  <c r="V164" i="24"/>
  <c r="P78" i="24"/>
  <c r="Q78" i="24"/>
  <c r="R78" i="24" s="1"/>
  <c r="AP78" i="24"/>
  <c r="AE19" i="24"/>
  <c r="AI19" i="24"/>
  <c r="X19" i="24"/>
  <c r="AA19" i="24" s="1"/>
  <c r="AB19" i="24" s="1"/>
  <c r="AC19" i="24" s="1"/>
  <c r="W275" i="24"/>
  <c r="V275" i="24"/>
  <c r="AE25" i="24"/>
  <c r="AI25" i="24"/>
  <c r="X25" i="24"/>
  <c r="AA25" i="24" s="1"/>
  <c r="AB25" i="24" s="1"/>
  <c r="AC25" i="24" s="1"/>
  <c r="AE206" i="24"/>
  <c r="AI206" i="24"/>
  <c r="X206" i="24"/>
  <c r="AA206" i="24" s="1"/>
  <c r="AB206" i="24" s="1"/>
  <c r="AC206" i="24" s="1"/>
  <c r="S117" i="25"/>
  <c r="K117" i="25" s="1"/>
  <c r="R117" i="25"/>
  <c r="Q117" i="25"/>
  <c r="AO117" i="25"/>
  <c r="BZ117" i="25"/>
  <c r="R40" i="25"/>
  <c r="S40" i="25"/>
  <c r="K40" i="25" s="1"/>
  <c r="V40" i="25" s="1"/>
  <c r="Q40" i="25"/>
  <c r="AO40" i="25"/>
  <c r="BZ40" i="25"/>
  <c r="S164" i="25"/>
  <c r="K164" i="25" s="1"/>
  <c r="R164" i="25"/>
  <c r="Q164" i="25"/>
  <c r="AO164" i="25"/>
  <c r="BZ164" i="25"/>
  <c r="P255" i="24"/>
  <c r="Q255" i="24"/>
  <c r="AP255" i="24"/>
  <c r="R58" i="25"/>
  <c r="S58" i="25"/>
  <c r="K58" i="25" s="1"/>
  <c r="Q58" i="25"/>
  <c r="BZ58" i="25"/>
  <c r="AO58" i="25"/>
  <c r="AE103" i="24"/>
  <c r="AI103" i="24"/>
  <c r="X103" i="24"/>
  <c r="AA103" i="24" s="1"/>
  <c r="AB103" i="24" s="1"/>
  <c r="AC103" i="24" s="1"/>
  <c r="R231" i="25"/>
  <c r="S231" i="25"/>
  <c r="K231" i="25" s="1"/>
  <c r="V231" i="25" s="1"/>
  <c r="Q231" i="25"/>
  <c r="BZ231" i="25"/>
  <c r="AO231" i="25"/>
  <c r="R316" i="25"/>
  <c r="S316" i="25"/>
  <c r="K316" i="25" s="1"/>
  <c r="Q316" i="25"/>
  <c r="BZ316" i="25"/>
  <c r="AO316" i="25"/>
  <c r="AE140" i="24"/>
  <c r="AI140" i="24"/>
  <c r="X140" i="24"/>
  <c r="AA140" i="24" s="1"/>
  <c r="AB140" i="24" s="1"/>
  <c r="AC140" i="24" s="1"/>
  <c r="P149" i="24"/>
  <c r="Q149" i="24"/>
  <c r="AP149" i="24"/>
  <c r="AE200" i="24"/>
  <c r="AI200" i="24"/>
  <c r="X200" i="24"/>
  <c r="AA200" i="24" s="1"/>
  <c r="AB200" i="24" s="1"/>
  <c r="AC200" i="24" s="1"/>
  <c r="U121" i="25"/>
  <c r="W171" i="24"/>
  <c r="V171" i="24"/>
  <c r="R156" i="25"/>
  <c r="S156" i="25"/>
  <c r="K156" i="25" s="1"/>
  <c r="Q156" i="25"/>
  <c r="AO156" i="25"/>
  <c r="BZ156" i="25"/>
  <c r="S287" i="25"/>
  <c r="K287" i="25" s="1"/>
  <c r="V287" i="25" s="1"/>
  <c r="R287" i="25"/>
  <c r="Q287" i="25"/>
  <c r="BZ287" i="25"/>
  <c r="AO287" i="25"/>
  <c r="AD95" i="25"/>
  <c r="W95" i="25"/>
  <c r="Z95" i="25" s="1"/>
  <c r="AA95" i="25" s="1"/>
  <c r="AB95" i="25" s="1"/>
  <c r="AI95" i="25" s="1"/>
  <c r="AD131" i="25"/>
  <c r="W131" i="25"/>
  <c r="Z131" i="25" s="1"/>
  <c r="AA131" i="25" s="1"/>
  <c r="AB131" i="25" s="1"/>
  <c r="AI131" i="25" s="1"/>
  <c r="V131" i="25"/>
  <c r="X131" i="25" s="1"/>
  <c r="AE187" i="24"/>
  <c r="AI187" i="24"/>
  <c r="X187" i="24"/>
  <c r="AA187" i="24" s="1"/>
  <c r="AB187" i="24" s="1"/>
  <c r="AC187" i="24" s="1"/>
  <c r="AE150" i="24"/>
  <c r="AI150" i="24"/>
  <c r="X150" i="24"/>
  <c r="AA150" i="24" s="1"/>
  <c r="AB150" i="24" s="1"/>
  <c r="AC150" i="24" s="1"/>
  <c r="R43" i="25"/>
  <c r="S43" i="25"/>
  <c r="K43" i="25" s="1"/>
  <c r="Q43" i="25"/>
  <c r="BZ43" i="25"/>
  <c r="AO43" i="25"/>
  <c r="AE207" i="24"/>
  <c r="AI207" i="24"/>
  <c r="X207" i="24"/>
  <c r="AA207" i="24" s="1"/>
  <c r="AB207" i="24" s="1"/>
  <c r="AC207" i="24" s="1"/>
  <c r="V161" i="24"/>
  <c r="W161" i="24"/>
  <c r="P206" i="24"/>
  <c r="Q206" i="24"/>
  <c r="AP206" i="24"/>
  <c r="V144" i="24"/>
  <c r="W144" i="24"/>
  <c r="R127" i="25"/>
  <c r="S127" i="25"/>
  <c r="K127" i="25" s="1"/>
  <c r="Q127" i="25"/>
  <c r="AO127" i="25"/>
  <c r="BZ127" i="25"/>
  <c r="AE291" i="24"/>
  <c r="AI291" i="24"/>
  <c r="X291" i="24"/>
  <c r="AA291" i="24" s="1"/>
  <c r="AB291" i="24" s="1"/>
  <c r="AC291" i="24" s="1"/>
  <c r="AE227" i="24"/>
  <c r="AI227" i="24"/>
  <c r="X227" i="24"/>
  <c r="AA227" i="24" s="1"/>
  <c r="AB227" i="24" s="1"/>
  <c r="AC227" i="24" s="1"/>
  <c r="AD92" i="25"/>
  <c r="W92" i="25"/>
  <c r="Z92" i="25" s="1"/>
  <c r="AA92" i="25" s="1"/>
  <c r="AB92" i="25" s="1"/>
  <c r="AI92" i="25" s="1"/>
  <c r="V115" i="24"/>
  <c r="W115" i="24"/>
  <c r="AE36" i="24"/>
  <c r="AI36" i="24"/>
  <c r="X36" i="24"/>
  <c r="AA36" i="24" s="1"/>
  <c r="AB36" i="24" s="1"/>
  <c r="AC36" i="24" s="1"/>
  <c r="AE11" i="24"/>
  <c r="AI11" i="24"/>
  <c r="X11" i="24"/>
  <c r="AA11" i="24" s="1"/>
  <c r="AB11" i="24" s="1"/>
  <c r="AC11" i="24" s="1"/>
  <c r="AE189" i="24"/>
  <c r="AI189" i="24"/>
  <c r="X189" i="24"/>
  <c r="AA189" i="24" s="1"/>
  <c r="AB189" i="24" s="1"/>
  <c r="AC189" i="24" s="1"/>
  <c r="AE34" i="24"/>
  <c r="AI34" i="24"/>
  <c r="X34" i="24"/>
  <c r="AA34" i="24" s="1"/>
  <c r="AB34" i="24" s="1"/>
  <c r="AC34" i="24" s="1"/>
  <c r="S79" i="25"/>
  <c r="K79" i="25" s="1"/>
  <c r="V79" i="25" s="1"/>
  <c r="R79" i="25"/>
  <c r="Q79" i="25"/>
  <c r="BZ79" i="25"/>
  <c r="AO79" i="25"/>
  <c r="S233" i="25"/>
  <c r="K233" i="25" s="1"/>
  <c r="R233" i="25"/>
  <c r="Q233" i="25"/>
  <c r="AO233" i="25"/>
  <c r="BZ233" i="25"/>
  <c r="AE129" i="24"/>
  <c r="AI129" i="24"/>
  <c r="X129" i="24"/>
  <c r="AA129" i="24" s="1"/>
  <c r="AB129" i="24" s="1"/>
  <c r="AC129" i="24" s="1"/>
  <c r="R7" i="25"/>
  <c r="S7" i="25"/>
  <c r="K7" i="25" s="1"/>
  <c r="Q7" i="25"/>
  <c r="AO7" i="25"/>
  <c r="BZ7" i="25"/>
  <c r="S8" i="25"/>
  <c r="K8" i="25" s="1"/>
  <c r="R8" i="25"/>
  <c r="Q8" i="25"/>
  <c r="AO8" i="25"/>
  <c r="BZ8" i="25"/>
  <c r="AE307" i="24"/>
  <c r="AI307" i="24"/>
  <c r="X307" i="24"/>
  <c r="AA307" i="24" s="1"/>
  <c r="AB307" i="24" s="1"/>
  <c r="AC307" i="24" s="1"/>
  <c r="W151" i="24"/>
  <c r="V151" i="24"/>
  <c r="AE72" i="24"/>
  <c r="AI72" i="24"/>
  <c r="X72" i="24"/>
  <c r="AA72" i="24" s="1"/>
  <c r="AB72" i="24" s="1"/>
  <c r="AC72" i="24" s="1"/>
  <c r="W256" i="24"/>
  <c r="V256" i="24"/>
  <c r="W247" i="24"/>
  <c r="V247" i="24"/>
  <c r="W315" i="24"/>
  <c r="V315" i="24"/>
  <c r="AE255" i="24"/>
  <c r="AI255" i="24"/>
  <c r="X255" i="24"/>
  <c r="AA255" i="24" s="1"/>
  <c r="AB255" i="24" s="1"/>
  <c r="AC255" i="24" s="1"/>
  <c r="V300" i="24"/>
  <c r="W300" i="24"/>
  <c r="P249" i="24"/>
  <c r="Q249" i="24"/>
  <c r="AP249" i="24"/>
  <c r="AE29" i="24"/>
  <c r="AI29" i="24"/>
  <c r="X29" i="24"/>
  <c r="AA29" i="24" s="1"/>
  <c r="AB29" i="24" s="1"/>
  <c r="AC29" i="24" s="1"/>
  <c r="U224" i="25"/>
  <c r="AE173" i="24"/>
  <c r="AI173" i="24"/>
  <c r="X173" i="24"/>
  <c r="AA173" i="24" s="1"/>
  <c r="AB173" i="24" s="1"/>
  <c r="AC173" i="24" s="1"/>
  <c r="AE147" i="24"/>
  <c r="AI147" i="24"/>
  <c r="X147" i="24"/>
  <c r="AA147" i="24" s="1"/>
  <c r="AB147" i="24" s="1"/>
  <c r="AC147" i="24" s="1"/>
  <c r="AE287" i="24"/>
  <c r="AI287" i="24"/>
  <c r="X287" i="24"/>
  <c r="AA287" i="24" s="1"/>
  <c r="AB287" i="24" s="1"/>
  <c r="AC287" i="24" s="1"/>
  <c r="R281" i="25"/>
  <c r="S281" i="25"/>
  <c r="K281" i="25" s="1"/>
  <c r="V281" i="25" s="1"/>
  <c r="Q281" i="25"/>
  <c r="BZ281" i="25"/>
  <c r="AO281" i="25"/>
  <c r="AE309" i="24"/>
  <c r="AI309" i="24"/>
  <c r="X309" i="24"/>
  <c r="AA309" i="24" s="1"/>
  <c r="AB309" i="24" s="1"/>
  <c r="AC309" i="24" s="1"/>
  <c r="V33" i="24"/>
  <c r="W33" i="24"/>
  <c r="W176" i="24"/>
  <c r="V176" i="24"/>
  <c r="U266" i="25"/>
  <c r="S91" i="25"/>
  <c r="K91" i="25" s="1"/>
  <c r="R91" i="25"/>
  <c r="Q91" i="25"/>
  <c r="AO91" i="25"/>
  <c r="BZ91" i="25"/>
  <c r="AE68" i="24"/>
  <c r="AI68" i="24"/>
  <c r="X68" i="24"/>
  <c r="AA68" i="24" s="1"/>
  <c r="AB68" i="24" s="1"/>
  <c r="AC68" i="24" s="1"/>
  <c r="P195" i="24"/>
  <c r="Q195" i="24"/>
  <c r="AP195" i="24"/>
  <c r="U67" i="25"/>
  <c r="S223" i="25"/>
  <c r="K223" i="25" s="1"/>
  <c r="V223" i="25" s="1"/>
  <c r="R223" i="25"/>
  <c r="Q223" i="25"/>
  <c r="BZ223" i="25"/>
  <c r="AO223" i="25"/>
  <c r="AE235" i="24"/>
  <c r="AI235" i="24"/>
  <c r="X235" i="24"/>
  <c r="AA235" i="24" s="1"/>
  <c r="AB235" i="24" s="1"/>
  <c r="AC235" i="24" s="1"/>
  <c r="S284" i="25"/>
  <c r="K284" i="25" s="1"/>
  <c r="R284" i="25"/>
  <c r="Q284" i="25"/>
  <c r="BZ284" i="25"/>
  <c r="AO284" i="25"/>
  <c r="W282" i="24"/>
  <c r="V282" i="24"/>
  <c r="AE299" i="24"/>
  <c r="AI299" i="24"/>
  <c r="X299" i="24"/>
  <c r="AA299" i="24" s="1"/>
  <c r="AB299" i="24" s="1"/>
  <c r="AC299" i="24" s="1"/>
  <c r="AE195" i="24"/>
  <c r="AI195" i="24"/>
  <c r="X195" i="24"/>
  <c r="AA195" i="24" s="1"/>
  <c r="AB195" i="24" s="1"/>
  <c r="AC195" i="24" s="1"/>
  <c r="U165" i="25"/>
  <c r="P316" i="24"/>
  <c r="Q316" i="24"/>
  <c r="AP316" i="24"/>
  <c r="P309" i="24"/>
  <c r="Q309" i="24"/>
  <c r="AP309" i="24"/>
  <c r="AE57" i="24"/>
  <c r="AI57" i="24"/>
  <c r="X57" i="24"/>
  <c r="AA57" i="24" s="1"/>
  <c r="AB57" i="24" s="1"/>
  <c r="AC57" i="24" s="1"/>
  <c r="W177" i="24"/>
  <c r="V177" i="24"/>
  <c r="V51" i="24"/>
  <c r="W51" i="24"/>
  <c r="AE6" i="24"/>
  <c r="AI6" i="24"/>
  <c r="X6" i="24"/>
  <c r="AA6" i="24" s="1"/>
  <c r="AB6" i="24" s="1"/>
  <c r="AC6" i="24" s="1"/>
  <c r="AE23" i="24"/>
  <c r="AI23" i="24"/>
  <c r="X23" i="24"/>
  <c r="AA23" i="24" s="1"/>
  <c r="AB23" i="24" s="1"/>
  <c r="AC23" i="24" s="1"/>
  <c r="U159" i="25"/>
  <c r="AE139" i="24"/>
  <c r="AI139" i="24"/>
  <c r="X139" i="24"/>
  <c r="AA139" i="24" s="1"/>
  <c r="AB139" i="24" s="1"/>
  <c r="AC139" i="24" s="1"/>
  <c r="AE252" i="24"/>
  <c r="AI252" i="24"/>
  <c r="X252" i="24"/>
  <c r="AA252" i="24" s="1"/>
  <c r="AB252" i="24" s="1"/>
  <c r="AC252" i="24" s="1"/>
  <c r="W278" i="24"/>
  <c r="Y278" i="24" s="1"/>
  <c r="AF110" i="25"/>
  <c r="AE110" i="25"/>
  <c r="S146" i="25"/>
  <c r="K146" i="25" s="1"/>
  <c r="R146" i="25"/>
  <c r="Q146" i="25"/>
  <c r="BZ146" i="25"/>
  <c r="AO146" i="25"/>
  <c r="R252" i="25"/>
  <c r="S252" i="25"/>
  <c r="K252" i="25" s="1"/>
  <c r="Q252" i="25"/>
  <c r="BZ252" i="25"/>
  <c r="AO252" i="25"/>
  <c r="AE180" i="24"/>
  <c r="AI180" i="24"/>
  <c r="X180" i="24"/>
  <c r="AA180" i="24" s="1"/>
  <c r="AB180" i="24" s="1"/>
  <c r="AC180" i="24" s="1"/>
  <c r="Q308" i="24"/>
  <c r="P308" i="24"/>
  <c r="AP308" i="24"/>
  <c r="U278" i="25"/>
  <c r="AG101" i="24"/>
  <c r="AF101" i="24"/>
  <c r="AE47" i="24"/>
  <c r="AI47" i="24"/>
  <c r="X47" i="24"/>
  <c r="AA47" i="24" s="1"/>
  <c r="AB47" i="24" s="1"/>
  <c r="AC47" i="24" s="1"/>
  <c r="W47" i="24"/>
  <c r="Y47" i="24" s="1"/>
  <c r="W174" i="24"/>
  <c r="V174" i="24"/>
  <c r="AD243" i="25"/>
  <c r="W243" i="25"/>
  <c r="Z243" i="25" s="1"/>
  <c r="AA243" i="25" s="1"/>
  <c r="AB243" i="25" s="1"/>
  <c r="AI243" i="25" s="1"/>
  <c r="R70" i="25"/>
  <c r="S70" i="25"/>
  <c r="K70" i="25" s="1"/>
  <c r="Q70" i="25"/>
  <c r="BZ70" i="25"/>
  <c r="AO70" i="25"/>
  <c r="W120" i="24"/>
  <c r="Y120" i="24" s="1"/>
  <c r="W273" i="24"/>
  <c r="Y273" i="24" s="1"/>
  <c r="Q114" i="24"/>
  <c r="P114" i="24"/>
  <c r="AP114" i="24"/>
  <c r="AE184" i="24"/>
  <c r="AI184" i="24"/>
  <c r="X184" i="24"/>
  <c r="AA184" i="24" s="1"/>
  <c r="AB184" i="24" s="1"/>
  <c r="AC184" i="24" s="1"/>
  <c r="U100" i="25"/>
  <c r="AE268" i="24"/>
  <c r="AI268" i="24"/>
  <c r="X268" i="24"/>
  <c r="AA268" i="24" s="1"/>
  <c r="AB268" i="24" s="1"/>
  <c r="AC268" i="24" s="1"/>
  <c r="W113" i="24"/>
  <c r="V113" i="24"/>
  <c r="U264" i="25"/>
  <c r="AE116" i="24"/>
  <c r="AI116" i="24"/>
  <c r="X116" i="24"/>
  <c r="AA116" i="24" s="1"/>
  <c r="AB116" i="24" s="1"/>
  <c r="AC116" i="24" s="1"/>
  <c r="AD170" i="25"/>
  <c r="W170" i="25"/>
  <c r="Z170" i="25" s="1"/>
  <c r="AA170" i="25" s="1"/>
  <c r="AB170" i="25" s="1"/>
  <c r="AI170" i="25" s="1"/>
  <c r="R234" i="25"/>
  <c r="S234" i="25"/>
  <c r="K234" i="25" s="1"/>
  <c r="V234" i="25" s="1"/>
  <c r="Q234" i="25"/>
  <c r="AO234" i="25"/>
  <c r="BZ234" i="25"/>
  <c r="U194" i="25"/>
  <c r="AE266" i="24"/>
  <c r="AI266" i="24"/>
  <c r="X266" i="24"/>
  <c r="AA266" i="24" s="1"/>
  <c r="AB266" i="24" s="1"/>
  <c r="AC266" i="24" s="1"/>
  <c r="V136" i="24"/>
  <c r="W136" i="24"/>
  <c r="R286" i="25"/>
  <c r="S286" i="25"/>
  <c r="K286" i="25" s="1"/>
  <c r="Q286" i="25"/>
  <c r="AO286" i="25"/>
  <c r="BZ286" i="25"/>
  <c r="U268" i="25"/>
  <c r="P8" i="24"/>
  <c r="Q8" i="24"/>
  <c r="R8" i="24" s="1"/>
  <c r="AP8" i="24"/>
  <c r="Q94" i="24"/>
  <c r="R94" i="24" s="1"/>
  <c r="P94" i="24"/>
  <c r="AP94" i="24"/>
  <c r="V73" i="24"/>
  <c r="W73" i="24"/>
  <c r="W192" i="24"/>
  <c r="V192" i="24"/>
  <c r="AE246" i="24"/>
  <c r="AI246" i="24"/>
  <c r="W246" i="24"/>
  <c r="Y246" i="24" s="1"/>
  <c r="X246" i="24"/>
  <c r="AA246" i="24" s="1"/>
  <c r="AB246" i="24" s="1"/>
  <c r="AC246" i="24" s="1"/>
  <c r="U98" i="25"/>
  <c r="S52" i="25"/>
  <c r="K52" i="25" s="1"/>
  <c r="R52" i="25"/>
  <c r="Q52" i="25"/>
  <c r="BZ52" i="25"/>
  <c r="AO52" i="25"/>
  <c r="H212" i="25"/>
  <c r="AE238" i="24"/>
  <c r="AI238" i="24"/>
  <c r="X238" i="24"/>
  <c r="AA238" i="24" s="1"/>
  <c r="AB238" i="24" s="1"/>
  <c r="AC238" i="24" s="1"/>
  <c r="AE183" i="24"/>
  <c r="AI183" i="24"/>
  <c r="X183" i="24"/>
  <c r="AA183" i="24" s="1"/>
  <c r="AB183" i="24" s="1"/>
  <c r="AC183" i="24" s="1"/>
  <c r="AE61" i="24"/>
  <c r="AI61" i="24"/>
  <c r="X61" i="24"/>
  <c r="AA61" i="24" s="1"/>
  <c r="AB61" i="24" s="1"/>
  <c r="AC61" i="24" s="1"/>
  <c r="R93" i="25"/>
  <c r="S93" i="25"/>
  <c r="K93" i="25" s="1"/>
  <c r="Q93" i="25"/>
  <c r="AO93" i="25"/>
  <c r="BZ93" i="25"/>
  <c r="Q288" i="24"/>
  <c r="P288" i="24"/>
  <c r="AP288" i="24"/>
  <c r="AE248" i="24"/>
  <c r="AI248" i="24"/>
  <c r="X248" i="24"/>
  <c r="AA248" i="24" s="1"/>
  <c r="AB248" i="24" s="1"/>
  <c r="AC248" i="24" s="1"/>
  <c r="P209" i="24"/>
  <c r="Q209" i="24"/>
  <c r="AP209" i="24"/>
  <c r="AE205" i="24"/>
  <c r="AI205" i="24"/>
  <c r="X205" i="24"/>
  <c r="AA205" i="24" s="1"/>
  <c r="AB205" i="24" s="1"/>
  <c r="AC205" i="24" s="1"/>
  <c r="AE158" i="24"/>
  <c r="AI158" i="24"/>
  <c r="X158" i="24"/>
  <c r="AA158" i="24" s="1"/>
  <c r="AB158" i="24" s="1"/>
  <c r="AC158" i="24" s="1"/>
  <c r="V39" i="24"/>
  <c r="W39" i="24"/>
  <c r="S218" i="25"/>
  <c r="K218" i="25" s="1"/>
  <c r="V218" i="25" s="1"/>
  <c r="R218" i="25"/>
  <c r="Q218" i="25"/>
  <c r="AO218" i="25"/>
  <c r="BZ218" i="25"/>
  <c r="P164" i="24"/>
  <c r="Q164" i="24"/>
  <c r="AP164" i="24"/>
  <c r="W311" i="24"/>
  <c r="Y311" i="24" s="1"/>
  <c r="S44" i="25"/>
  <c r="K44" i="25" s="1"/>
  <c r="V44" i="25" s="1"/>
  <c r="R44" i="25"/>
  <c r="Q44" i="25"/>
  <c r="AO44" i="25"/>
  <c r="BZ44" i="25"/>
  <c r="R256" i="25"/>
  <c r="S256" i="25"/>
  <c r="K256" i="25" s="1"/>
  <c r="Q256" i="25"/>
  <c r="AO256" i="25"/>
  <c r="BZ256" i="25"/>
  <c r="Q26" i="24"/>
  <c r="R26" i="24" s="1"/>
  <c r="P26" i="24"/>
  <c r="AP26" i="24"/>
  <c r="Q158" i="24"/>
  <c r="P158" i="24"/>
  <c r="AP158" i="24"/>
  <c r="Q103" i="24"/>
  <c r="R103" i="24" s="1"/>
  <c r="P103" i="24"/>
  <c r="AP103" i="24"/>
  <c r="S271" i="25"/>
  <c r="K271" i="25" s="1"/>
  <c r="R271" i="25"/>
  <c r="Q271" i="25"/>
  <c r="AO271" i="25"/>
  <c r="BZ271" i="25"/>
  <c r="U55" i="25"/>
  <c r="U105" i="25"/>
  <c r="W138" i="24"/>
  <c r="V138" i="24"/>
  <c r="AE258" i="24"/>
  <c r="AI258" i="24"/>
  <c r="X258" i="24"/>
  <c r="AA258" i="24" s="1"/>
  <c r="AB258" i="24" s="1"/>
  <c r="AC258" i="24" s="1"/>
  <c r="U171" i="25"/>
  <c r="R254" i="25"/>
  <c r="S254" i="25"/>
  <c r="K254" i="25" s="1"/>
  <c r="Q254" i="25"/>
  <c r="BZ254" i="25"/>
  <c r="AO254" i="25"/>
  <c r="AE60" i="24"/>
  <c r="AI60" i="24"/>
  <c r="X60" i="24"/>
  <c r="AA60" i="24" s="1"/>
  <c r="AB60" i="24" s="1"/>
  <c r="AC60" i="24" s="1"/>
  <c r="AD34" i="25"/>
  <c r="W34" i="25"/>
  <c r="Z34" i="25" s="1"/>
  <c r="AA34" i="25" s="1"/>
  <c r="AB34" i="25" s="1"/>
  <c r="AI34" i="25" s="1"/>
  <c r="R182" i="25"/>
  <c r="S182" i="25"/>
  <c r="K182" i="25" s="1"/>
  <c r="Q182" i="25"/>
  <c r="AO182" i="25"/>
  <c r="BZ182" i="25"/>
  <c r="AE243" i="24"/>
  <c r="AI243" i="24"/>
  <c r="X243" i="24"/>
  <c r="AA243" i="24" s="1"/>
  <c r="AB243" i="24" s="1"/>
  <c r="AC243" i="24" s="1"/>
  <c r="AE256" i="24"/>
  <c r="AI256" i="24"/>
  <c r="X256" i="24"/>
  <c r="AA256" i="24" s="1"/>
  <c r="AB256" i="24" s="1"/>
  <c r="AC256" i="24" s="1"/>
  <c r="AE117" i="24"/>
  <c r="AI117" i="24"/>
  <c r="X117" i="24"/>
  <c r="AA117" i="24" s="1"/>
  <c r="AB117" i="24" s="1"/>
  <c r="AC117" i="24" s="1"/>
  <c r="W98" i="24"/>
  <c r="V98" i="24"/>
  <c r="S57" i="25"/>
  <c r="K57" i="25" s="1"/>
  <c r="R57" i="25"/>
  <c r="Q57" i="25"/>
  <c r="BZ57" i="25"/>
  <c r="AO57" i="25"/>
  <c r="Q161" i="24"/>
  <c r="P161" i="24"/>
  <c r="AP161" i="24"/>
  <c r="AE130" i="24"/>
  <c r="AI130" i="24"/>
  <c r="X130" i="24"/>
  <c r="AA130" i="24" s="1"/>
  <c r="AB130" i="24" s="1"/>
  <c r="AC130" i="24" s="1"/>
  <c r="AE159" i="24"/>
  <c r="AI159" i="24"/>
  <c r="X159" i="24"/>
  <c r="AA159" i="24" s="1"/>
  <c r="AB159" i="24" s="1"/>
  <c r="AC159" i="24" s="1"/>
  <c r="AE148" i="24"/>
  <c r="AI148" i="24"/>
  <c r="X148" i="24"/>
  <c r="AA148" i="24" s="1"/>
  <c r="AB148" i="24" s="1"/>
  <c r="AC148" i="24" s="1"/>
  <c r="R19" i="25"/>
  <c r="S19" i="25"/>
  <c r="K19" i="25" s="1"/>
  <c r="Q19" i="25"/>
  <c r="AO19" i="25"/>
  <c r="BZ19" i="25"/>
  <c r="AE18" i="24"/>
  <c r="AI18" i="24"/>
  <c r="X18" i="24"/>
  <c r="AA18" i="24" s="1"/>
  <c r="AB18" i="24" s="1"/>
  <c r="AC18" i="24" s="1"/>
  <c r="U301" i="25"/>
  <c r="AD292" i="25"/>
  <c r="W292" i="25"/>
  <c r="Z292" i="25" s="1"/>
  <c r="AA292" i="25" s="1"/>
  <c r="AB292" i="25" s="1"/>
  <c r="AI292" i="25" s="1"/>
  <c r="AD276" i="25"/>
  <c r="W276" i="25"/>
  <c r="Z276" i="25" s="1"/>
  <c r="AA276" i="25" s="1"/>
  <c r="AB276" i="25" s="1"/>
  <c r="AI276" i="25" s="1"/>
  <c r="AE15" i="24"/>
  <c r="AI15" i="24"/>
  <c r="X15" i="24"/>
  <c r="AA15" i="24" s="1"/>
  <c r="AB15" i="24" s="1"/>
  <c r="AC15" i="24" s="1"/>
  <c r="AD6" i="25"/>
  <c r="V6" i="25"/>
  <c r="X6" i="25" s="1"/>
  <c r="W6" i="25"/>
  <c r="Z6" i="25" s="1"/>
  <c r="AA6" i="25" s="1"/>
  <c r="AB6" i="25" s="1"/>
  <c r="AI6" i="25" s="1"/>
  <c r="W23" i="24"/>
  <c r="V23" i="24"/>
  <c r="S163" i="25"/>
  <c r="K163" i="25" s="1"/>
  <c r="R163" i="25"/>
  <c r="Q163" i="25"/>
  <c r="BZ163" i="25"/>
  <c r="AO163" i="25"/>
  <c r="AE225" i="24"/>
  <c r="AI225" i="24"/>
  <c r="W225" i="24"/>
  <c r="Y225" i="24" s="1"/>
  <c r="X225" i="24"/>
  <c r="AA225" i="24" s="1"/>
  <c r="AB225" i="24" s="1"/>
  <c r="AC225" i="24" s="1"/>
  <c r="U139" i="25"/>
  <c r="AE192" i="24"/>
  <c r="AI192" i="24"/>
  <c r="X192" i="24"/>
  <c r="AA192" i="24" s="1"/>
  <c r="AB192" i="24" s="1"/>
  <c r="AC192" i="24" s="1"/>
  <c r="AD177" i="25"/>
  <c r="W177" i="25"/>
  <c r="Z177" i="25" s="1"/>
  <c r="AA177" i="25" s="1"/>
  <c r="AB177" i="25" s="1"/>
  <c r="AI177" i="25" s="1"/>
  <c r="V177" i="25"/>
  <c r="X177" i="25" s="1"/>
  <c r="AE231" i="24"/>
  <c r="AI231" i="24"/>
  <c r="X231" i="24"/>
  <c r="AA231" i="24" s="1"/>
  <c r="AB231" i="24" s="1"/>
  <c r="AC231" i="24" s="1"/>
  <c r="U10" i="25"/>
  <c r="S126" i="25"/>
  <c r="K126" i="25" s="1"/>
  <c r="R126" i="25"/>
  <c r="Q126" i="25"/>
  <c r="BZ126" i="25"/>
  <c r="AO126" i="25"/>
  <c r="S172" i="25"/>
  <c r="K172" i="25" s="1"/>
  <c r="R172" i="25"/>
  <c r="Q172" i="25"/>
  <c r="BZ172" i="25"/>
  <c r="AO172" i="25"/>
  <c r="W129" i="24"/>
  <c r="Y129" i="24" s="1"/>
  <c r="S103" i="25"/>
  <c r="K103" i="25" s="1"/>
  <c r="V103" i="25" s="1"/>
  <c r="R103" i="25"/>
  <c r="Q103" i="25"/>
  <c r="BZ103" i="25"/>
  <c r="AO103" i="25"/>
  <c r="AE283" i="24"/>
  <c r="AI283" i="24"/>
  <c r="X283" i="24"/>
  <c r="AA283" i="24" s="1"/>
  <c r="AB283" i="24" s="1"/>
  <c r="AC283" i="24" s="1"/>
  <c r="AE274" i="24"/>
  <c r="AI274" i="24"/>
  <c r="X274" i="24"/>
  <c r="AA274" i="24" s="1"/>
  <c r="AB274" i="24" s="1"/>
  <c r="AC274" i="24" s="1"/>
  <c r="AD178" i="25"/>
  <c r="W178" i="25"/>
  <c r="Z178" i="25" s="1"/>
  <c r="AA178" i="25" s="1"/>
  <c r="AB178" i="25" s="1"/>
  <c r="AI178" i="25" s="1"/>
  <c r="AD257" i="25"/>
  <c r="W257" i="25"/>
  <c r="Z257" i="25" s="1"/>
  <c r="AA257" i="25" s="1"/>
  <c r="AB257" i="25" s="1"/>
  <c r="AI257" i="25" s="1"/>
  <c r="V257" i="25"/>
  <c r="X257" i="25" s="1"/>
  <c r="U53" i="25"/>
  <c r="AE128" i="24"/>
  <c r="AI128" i="24"/>
  <c r="X128" i="24"/>
  <c r="AA128" i="24" s="1"/>
  <c r="AB128" i="24" s="1"/>
  <c r="AC128" i="24" s="1"/>
  <c r="S60" i="25"/>
  <c r="K60" i="25" s="1"/>
  <c r="R60" i="25"/>
  <c r="Q60" i="25"/>
  <c r="AO60" i="25"/>
  <c r="BZ60" i="25"/>
  <c r="U219" i="25"/>
  <c r="U289" i="25"/>
  <c r="U209" i="25"/>
  <c r="P247" i="24"/>
  <c r="Q247" i="24"/>
  <c r="AP247" i="24"/>
  <c r="Q315" i="24"/>
  <c r="P315" i="24"/>
  <c r="AP315" i="24"/>
  <c r="U123" i="25"/>
  <c r="U307" i="25"/>
  <c r="AS129" i="25"/>
  <c r="S224" i="25"/>
  <c r="K224" i="25" s="1"/>
  <c r="R224" i="25"/>
  <c r="Q224" i="25"/>
  <c r="AO224" i="25"/>
  <c r="BZ224" i="25"/>
  <c r="AE24" i="24"/>
  <c r="AI24" i="24"/>
  <c r="X24" i="24"/>
  <c r="AA24" i="24" s="1"/>
  <c r="AB24" i="24" s="1"/>
  <c r="AC24" i="24" s="1"/>
  <c r="AE313" i="24"/>
  <c r="AI313" i="24"/>
  <c r="X313" i="24"/>
  <c r="AA313" i="24" s="1"/>
  <c r="AB313" i="24" s="1"/>
  <c r="AC313" i="24" s="1"/>
  <c r="W173" i="24"/>
  <c r="Y173" i="24" s="1"/>
  <c r="W18" i="24"/>
  <c r="Y18" i="24" s="1"/>
  <c r="W104" i="24"/>
  <c r="V104" i="24"/>
  <c r="AE82" i="24"/>
  <c r="AI82" i="24"/>
  <c r="X82" i="24"/>
  <c r="AA82" i="24" s="1"/>
  <c r="AB82" i="24" s="1"/>
  <c r="AC82" i="24" s="1"/>
  <c r="V261" i="25"/>
  <c r="X261" i="25" s="1"/>
  <c r="R290" i="25"/>
  <c r="S290" i="25"/>
  <c r="K290" i="25" s="1"/>
  <c r="Q290" i="25"/>
  <c r="BZ290" i="25"/>
  <c r="AO290" i="25"/>
  <c r="S136" i="25"/>
  <c r="K136" i="25" s="1"/>
  <c r="Q136" i="25"/>
  <c r="R136" i="25"/>
  <c r="AO136" i="25"/>
  <c r="BZ136" i="25"/>
  <c r="W232" i="24"/>
  <c r="V232" i="24"/>
  <c r="AE217" i="24"/>
  <c r="AI217" i="24"/>
  <c r="X217" i="24"/>
  <c r="AA217" i="24" s="1"/>
  <c r="AB217" i="24" s="1"/>
  <c r="AC217" i="24" s="1"/>
  <c r="S67" i="25"/>
  <c r="K67" i="25" s="1"/>
  <c r="R67" i="25"/>
  <c r="Q67" i="25"/>
  <c r="BZ67" i="25"/>
  <c r="AO67" i="25"/>
  <c r="AE20" i="24"/>
  <c r="AI20" i="24"/>
  <c r="X20" i="24"/>
  <c r="AA20" i="24" s="1"/>
  <c r="AB20" i="24" s="1"/>
  <c r="AC20" i="24" s="1"/>
  <c r="P282" i="24"/>
  <c r="Q282" i="24"/>
  <c r="AP282" i="24"/>
  <c r="AJ292" i="24"/>
  <c r="AE145" i="24"/>
  <c r="AI145" i="24"/>
  <c r="X145" i="24"/>
  <c r="AA145" i="24" s="1"/>
  <c r="AB145" i="24" s="1"/>
  <c r="AC145" i="24" s="1"/>
  <c r="R130" i="25"/>
  <c r="S130" i="25"/>
  <c r="K130" i="25" s="1"/>
  <c r="Q130" i="25"/>
  <c r="BZ130" i="25"/>
  <c r="AO130" i="25"/>
  <c r="R165" i="25"/>
  <c r="S165" i="25"/>
  <c r="K165" i="25" s="1"/>
  <c r="V165" i="25" s="1"/>
  <c r="Q165" i="25"/>
  <c r="BZ165" i="25"/>
  <c r="AO165" i="25"/>
  <c r="S266" i="25"/>
  <c r="K266" i="25" s="1"/>
  <c r="V266" i="25" s="1"/>
  <c r="R266" i="25"/>
  <c r="Q266" i="25"/>
  <c r="AO266" i="25"/>
  <c r="BZ266" i="25"/>
  <c r="AE174" i="24"/>
  <c r="AI174" i="24"/>
  <c r="X174" i="24"/>
  <c r="AA174" i="24" s="1"/>
  <c r="AB174" i="24" s="1"/>
  <c r="AC174" i="24" s="1"/>
  <c r="U202" i="25"/>
  <c r="W69" i="24"/>
  <c r="V69" i="24"/>
  <c r="AE178" i="24"/>
  <c r="AI178" i="24"/>
  <c r="X178" i="24"/>
  <c r="AA178" i="24" s="1"/>
  <c r="AB178" i="24" s="1"/>
  <c r="AC178" i="24" s="1"/>
  <c r="S159" i="25"/>
  <c r="K159" i="25" s="1"/>
  <c r="V159" i="25" s="1"/>
  <c r="R159" i="25"/>
  <c r="Q159" i="25"/>
  <c r="AO159" i="25"/>
  <c r="BZ159" i="25"/>
  <c r="V210" i="24"/>
  <c r="W210" i="24"/>
  <c r="AE69" i="24"/>
  <c r="AI69" i="24"/>
  <c r="X69" i="24"/>
  <c r="AA69" i="24" s="1"/>
  <c r="AB69" i="24" s="1"/>
  <c r="AC69" i="24" s="1"/>
  <c r="S63" i="25"/>
  <c r="K63" i="25" s="1"/>
  <c r="V63" i="25" s="1"/>
  <c r="R63" i="25"/>
  <c r="Q63" i="25"/>
  <c r="AO63" i="25"/>
  <c r="BZ63" i="25"/>
  <c r="AE125" i="24"/>
  <c r="AI125" i="24"/>
  <c r="X125" i="24"/>
  <c r="AA125" i="24" s="1"/>
  <c r="AB125" i="24" s="1"/>
  <c r="AC125" i="24" s="1"/>
  <c r="W29" i="24"/>
  <c r="V29" i="24"/>
  <c r="V145" i="24"/>
  <c r="W145" i="24"/>
  <c r="R278" i="25"/>
  <c r="S278" i="25"/>
  <c r="K278" i="25" s="1"/>
  <c r="Q278" i="25"/>
  <c r="BZ278" i="25"/>
  <c r="AO278" i="25"/>
  <c r="U73" i="25"/>
  <c r="AE164" i="24"/>
  <c r="AI164" i="24"/>
  <c r="X164" i="24"/>
  <c r="AA164" i="24" s="1"/>
  <c r="AB164" i="24" s="1"/>
  <c r="AC164" i="24" s="1"/>
  <c r="P174" i="24"/>
  <c r="Q174" i="24"/>
  <c r="AP174" i="24"/>
  <c r="R160" i="25"/>
  <c r="S160" i="25"/>
  <c r="K160" i="25" s="1"/>
  <c r="V160" i="25" s="1"/>
  <c r="Q160" i="25"/>
  <c r="AO160" i="25"/>
  <c r="BZ160" i="25"/>
  <c r="W202" i="24"/>
  <c r="Y202" i="24" s="1"/>
  <c r="AD174" i="25"/>
  <c r="W174" i="25"/>
  <c r="Z174" i="25" s="1"/>
  <c r="AA174" i="25" s="1"/>
  <c r="AB174" i="25" s="1"/>
  <c r="AI174" i="25" s="1"/>
  <c r="W287" i="24"/>
  <c r="Y287" i="24" s="1"/>
  <c r="R61" i="25"/>
  <c r="S61" i="25"/>
  <c r="K61" i="25" s="1"/>
  <c r="Q61" i="25"/>
  <c r="BZ61" i="25"/>
  <c r="AO61" i="25"/>
  <c r="S100" i="25"/>
  <c r="K100" i="25" s="1"/>
  <c r="R100" i="25"/>
  <c r="Q100" i="25"/>
  <c r="AO100" i="25"/>
  <c r="BZ100" i="25"/>
  <c r="V239" i="24"/>
  <c r="W239" i="24"/>
  <c r="R153" i="25"/>
  <c r="S153" i="25"/>
  <c r="K153" i="25" s="1"/>
  <c r="Q153" i="25"/>
  <c r="AO153" i="25"/>
  <c r="BZ153" i="25"/>
  <c r="AE54" i="24"/>
  <c r="AI54" i="24"/>
  <c r="X54" i="24"/>
  <c r="AA54" i="24" s="1"/>
  <c r="AB54" i="24" s="1"/>
  <c r="AC54" i="24" s="1"/>
  <c r="AE167" i="24"/>
  <c r="AI167" i="24"/>
  <c r="W167" i="24"/>
  <c r="Y167" i="24" s="1"/>
  <c r="X167" i="24"/>
  <c r="AA167" i="24" s="1"/>
  <c r="AB167" i="24" s="1"/>
  <c r="AC167" i="24" s="1"/>
  <c r="Q113" i="24"/>
  <c r="P113" i="24"/>
  <c r="AP113" i="24"/>
  <c r="R264" i="25"/>
  <c r="S264" i="25"/>
  <c r="K264" i="25" s="1"/>
  <c r="Q264" i="25"/>
  <c r="BZ264" i="25"/>
  <c r="AO264" i="25"/>
  <c r="R194" i="25"/>
  <c r="S194" i="25"/>
  <c r="K194" i="25" s="1"/>
  <c r="V194" i="25" s="1"/>
  <c r="Q194" i="25"/>
  <c r="AO194" i="25"/>
  <c r="BZ194" i="25"/>
  <c r="U23" i="25"/>
  <c r="R268" i="25"/>
  <c r="S268" i="25"/>
  <c r="K268" i="25" s="1"/>
  <c r="Q268" i="25"/>
  <c r="AO268" i="25"/>
  <c r="BZ268" i="25"/>
  <c r="V283" i="24"/>
  <c r="W283" i="24"/>
  <c r="V306" i="25"/>
  <c r="X306" i="25" s="1"/>
  <c r="W180" i="24"/>
  <c r="Y180" i="24" s="1"/>
  <c r="R98" i="25"/>
  <c r="S98" i="25"/>
  <c r="K98" i="25" s="1"/>
  <c r="Q98" i="25"/>
  <c r="AO98" i="25"/>
  <c r="BZ98" i="25"/>
  <c r="AE237" i="24"/>
  <c r="AI237" i="24"/>
  <c r="X237" i="24"/>
  <c r="AA237" i="24" s="1"/>
  <c r="AB237" i="24" s="1"/>
  <c r="AC237" i="24" s="1"/>
  <c r="AE196" i="24"/>
  <c r="AI196" i="24"/>
  <c r="X196" i="24"/>
  <c r="AA196" i="24" s="1"/>
  <c r="AB196" i="24" s="1"/>
  <c r="AC196" i="24" s="1"/>
  <c r="U72" i="25"/>
  <c r="AE30" i="24"/>
  <c r="AI30" i="24"/>
  <c r="X30" i="24"/>
  <c r="AA30" i="24" s="1"/>
  <c r="AB30" i="24" s="1"/>
  <c r="AC30" i="24" s="1"/>
  <c r="W118" i="24"/>
  <c r="Y118" i="24" s="1"/>
  <c r="AE234" i="24"/>
  <c r="AI234" i="24"/>
  <c r="X234" i="24"/>
  <c r="AA234" i="24" s="1"/>
  <c r="AB234" i="24" s="1"/>
  <c r="AC234" i="24" s="1"/>
  <c r="AE290" i="24"/>
  <c r="AI290" i="24"/>
  <c r="X290" i="24"/>
  <c r="AA290" i="24" s="1"/>
  <c r="AB290" i="24" s="1"/>
  <c r="AC290" i="24" s="1"/>
  <c r="Q39" i="24"/>
  <c r="R39" i="24" s="1"/>
  <c r="P39" i="24"/>
  <c r="AP39" i="24"/>
  <c r="AE64" i="24"/>
  <c r="AI64" i="24"/>
  <c r="X64" i="24"/>
  <c r="AA64" i="24" s="1"/>
  <c r="AB64" i="24" s="1"/>
  <c r="AC64" i="24" s="1"/>
  <c r="V229" i="24"/>
  <c r="W229" i="24"/>
  <c r="W155" i="24"/>
  <c r="Y155" i="24" s="1"/>
  <c r="U183" i="25"/>
  <c r="S83" i="25"/>
  <c r="K83" i="25" s="1"/>
  <c r="R83" i="25"/>
  <c r="Q83" i="25"/>
  <c r="BZ83" i="25"/>
  <c r="AO83" i="25"/>
  <c r="AE185" i="24"/>
  <c r="AI185" i="24"/>
  <c r="X185" i="24"/>
  <c r="AA185" i="24" s="1"/>
  <c r="AB185" i="24" s="1"/>
  <c r="AC185" i="24" s="1"/>
  <c r="AE300" i="24"/>
  <c r="AI300" i="24"/>
  <c r="X300" i="24"/>
  <c r="AA300" i="24" s="1"/>
  <c r="AB300" i="24" s="1"/>
  <c r="AC300" i="24" s="1"/>
  <c r="V299" i="24"/>
  <c r="W299" i="24"/>
  <c r="AE261" i="24"/>
  <c r="AI261" i="24"/>
  <c r="X261" i="24"/>
  <c r="AA261" i="24" s="1"/>
  <c r="AB261" i="24" s="1"/>
  <c r="AC261" i="24" s="1"/>
  <c r="U38" i="25"/>
  <c r="AE269" i="24"/>
  <c r="AI269" i="24"/>
  <c r="X269" i="24"/>
  <c r="AA269" i="24" s="1"/>
  <c r="AB269" i="24" s="1"/>
  <c r="AC269" i="24" s="1"/>
  <c r="U140" i="25"/>
  <c r="AE144" i="24"/>
  <c r="AI144" i="24"/>
  <c r="X144" i="24"/>
  <c r="AA144" i="24" s="1"/>
  <c r="AB144" i="24" s="1"/>
  <c r="AC144" i="24" s="1"/>
  <c r="AE58" i="24"/>
  <c r="AI58" i="24"/>
  <c r="X58" i="24"/>
  <c r="AA58" i="24" s="1"/>
  <c r="AB58" i="24" s="1"/>
  <c r="AC58" i="24" s="1"/>
  <c r="AE219" i="24"/>
  <c r="AI219" i="24"/>
  <c r="X219" i="24"/>
  <c r="AA219" i="24" s="1"/>
  <c r="AB219" i="24" s="1"/>
  <c r="AC219" i="24" s="1"/>
  <c r="V58" i="24"/>
  <c r="W58" i="24"/>
  <c r="AE134" i="24"/>
  <c r="AI134" i="24"/>
  <c r="W134" i="24"/>
  <c r="Y134" i="24" s="1"/>
  <c r="X134" i="24"/>
  <c r="AA134" i="24" s="1"/>
  <c r="AB134" i="24" s="1"/>
  <c r="AC134" i="24" s="1"/>
  <c r="S16" i="25"/>
  <c r="K16" i="25" s="1"/>
  <c r="R16" i="25"/>
  <c r="Q16" i="25"/>
  <c r="BZ16" i="25"/>
  <c r="AO16" i="25"/>
  <c r="W159" i="24"/>
  <c r="V159" i="24"/>
  <c r="AD283" i="25"/>
  <c r="W283" i="25"/>
  <c r="Z283" i="25" s="1"/>
  <c r="AA283" i="25" s="1"/>
  <c r="AB283" i="25" s="1"/>
  <c r="AI283" i="25" s="1"/>
  <c r="S38" i="25"/>
  <c r="K38" i="25" s="1"/>
  <c r="V38" i="25" s="1"/>
  <c r="R38" i="25"/>
  <c r="Q38" i="25"/>
  <c r="BZ38" i="25"/>
  <c r="AO38" i="25"/>
  <c r="AJ22" i="24"/>
  <c r="R128" i="25"/>
  <c r="S128" i="25"/>
  <c r="K128" i="25" s="1"/>
  <c r="Q128" i="25"/>
  <c r="AO128" i="25"/>
  <c r="BZ128" i="25"/>
  <c r="W245" i="24"/>
  <c r="V245" i="24"/>
  <c r="R140" i="25"/>
  <c r="S140" i="25"/>
  <c r="K140" i="25" s="1"/>
  <c r="V140" i="25" s="1"/>
  <c r="Q140" i="25"/>
  <c r="BZ140" i="25"/>
  <c r="AO140" i="25"/>
  <c r="S227" i="25"/>
  <c r="K227" i="25" s="1"/>
  <c r="R227" i="25"/>
  <c r="Q227" i="25"/>
  <c r="AO227" i="25"/>
  <c r="BZ227" i="25"/>
  <c r="AE42" i="24"/>
  <c r="AI42" i="24"/>
  <c r="X42" i="24"/>
  <c r="AA42" i="24" s="1"/>
  <c r="AB42" i="24" s="1"/>
  <c r="AC42" i="24" s="1"/>
  <c r="R37" i="25"/>
  <c r="S37" i="25"/>
  <c r="K37" i="25" s="1"/>
  <c r="Q37" i="25"/>
  <c r="AO37" i="25"/>
  <c r="BZ37" i="25"/>
  <c r="AE220" i="24"/>
  <c r="AI220" i="24"/>
  <c r="X220" i="24"/>
  <c r="AA220" i="24" s="1"/>
  <c r="AB220" i="24" s="1"/>
  <c r="AC220" i="24" s="1"/>
  <c r="Q58" i="24"/>
  <c r="R58" i="24" s="1"/>
  <c r="P58" i="24"/>
  <c r="AP58" i="24"/>
  <c r="AE83" i="24"/>
  <c r="AI83" i="24"/>
  <c r="X83" i="24"/>
  <c r="AA83" i="24" s="1"/>
  <c r="AB83" i="24" s="1"/>
  <c r="AC83" i="24" s="1"/>
  <c r="V260" i="24"/>
  <c r="W260" i="24"/>
  <c r="W289" i="24"/>
  <c r="Y289" i="24" s="1"/>
  <c r="R311" i="25"/>
  <c r="S311" i="25"/>
  <c r="K311" i="25" s="1"/>
  <c r="Q311" i="25"/>
  <c r="BZ311" i="25"/>
  <c r="AO311" i="25"/>
  <c r="R309" i="25"/>
  <c r="S309" i="25"/>
  <c r="K309" i="25" s="1"/>
  <c r="Q309" i="25"/>
  <c r="BZ309" i="25"/>
  <c r="AO309" i="25"/>
  <c r="AE224" i="24"/>
  <c r="AI224" i="24"/>
  <c r="X224" i="24"/>
  <c r="AA224" i="24" s="1"/>
  <c r="AB224" i="24" s="1"/>
  <c r="AC224" i="24" s="1"/>
  <c r="AD282" i="25"/>
  <c r="W282" i="25"/>
  <c r="Z282" i="25" s="1"/>
  <c r="AA282" i="25" s="1"/>
  <c r="AB282" i="25" s="1"/>
  <c r="AI282" i="25" s="1"/>
  <c r="R35" i="25"/>
  <c r="S35" i="25"/>
  <c r="K35" i="25" s="1"/>
  <c r="Q35" i="25"/>
  <c r="BZ35" i="25"/>
  <c r="AO35" i="25"/>
  <c r="AE9" i="24"/>
  <c r="AI9" i="24"/>
  <c r="X9" i="24"/>
  <c r="AA9" i="24" s="1"/>
  <c r="AB9" i="24" s="1"/>
  <c r="AC9" i="24" s="1"/>
  <c r="W189" i="24"/>
  <c r="Y189" i="24" s="1"/>
  <c r="U12" i="25"/>
  <c r="W42" i="24"/>
  <c r="V42" i="24"/>
  <c r="B117" i="2"/>
  <c r="U210" i="25"/>
  <c r="U313" i="25"/>
  <c r="AG41" i="24"/>
  <c r="AF41" i="24"/>
  <c r="AE181" i="24"/>
  <c r="AI181" i="24"/>
  <c r="X181" i="24"/>
  <c r="AA181" i="24" s="1"/>
  <c r="AB181" i="24" s="1"/>
  <c r="AC181" i="24" s="1"/>
  <c r="S301" i="25"/>
  <c r="K301" i="25" s="1"/>
  <c r="R301" i="25"/>
  <c r="Q301" i="25"/>
  <c r="AO301" i="25"/>
  <c r="BZ301" i="25"/>
  <c r="W111" i="24"/>
  <c r="V111" i="24"/>
  <c r="W186" i="24"/>
  <c r="V186" i="24"/>
  <c r="AD186" i="25"/>
  <c r="W186" i="25"/>
  <c r="Z186" i="25" s="1"/>
  <c r="AA186" i="25" s="1"/>
  <c r="AB186" i="25" s="1"/>
  <c r="AI186" i="25" s="1"/>
  <c r="V186" i="25"/>
  <c r="X186" i="25" s="1"/>
  <c r="S241" i="25"/>
  <c r="K241" i="25" s="1"/>
  <c r="R241" i="25"/>
  <c r="Q241" i="25"/>
  <c r="BZ241" i="25"/>
  <c r="AO241" i="25"/>
  <c r="AD229" i="25"/>
  <c r="W229" i="25"/>
  <c r="Z229" i="25" s="1"/>
  <c r="AA229" i="25" s="1"/>
  <c r="AB229" i="25" s="1"/>
  <c r="AI229" i="25" s="1"/>
  <c r="W258" i="24"/>
  <c r="Y258" i="24" s="1"/>
  <c r="W135" i="24"/>
  <c r="V135" i="24"/>
  <c r="U217" i="25"/>
  <c r="AE133" i="24"/>
  <c r="AI133" i="24"/>
  <c r="X133" i="24"/>
  <c r="AA133" i="24" s="1"/>
  <c r="AB133" i="24" s="1"/>
  <c r="AC133" i="24" s="1"/>
  <c r="R10" i="25"/>
  <c r="S10" i="25"/>
  <c r="K10" i="25" s="1"/>
  <c r="V10" i="25" s="1"/>
  <c r="Q10" i="25"/>
  <c r="AO10" i="25"/>
  <c r="BZ10" i="25"/>
  <c r="R166" i="25"/>
  <c r="S166" i="25"/>
  <c r="K166" i="25" s="1"/>
  <c r="Q166" i="25"/>
  <c r="BZ166" i="25"/>
  <c r="AO166" i="25"/>
  <c r="U181" i="25"/>
  <c r="AE33" i="24"/>
  <c r="AI33" i="24"/>
  <c r="X33" i="24"/>
  <c r="AA33" i="24" s="1"/>
  <c r="AB33" i="24" s="1"/>
  <c r="AC33" i="24" s="1"/>
  <c r="AD113" i="25"/>
  <c r="W113" i="25"/>
  <c r="Z113" i="25" s="1"/>
  <c r="AA113" i="25" s="1"/>
  <c r="AB113" i="25" s="1"/>
  <c r="AI113" i="25" s="1"/>
  <c r="AE67" i="24"/>
  <c r="AI67" i="24"/>
  <c r="X67" i="24"/>
  <c r="AA67" i="24" s="1"/>
  <c r="AB67" i="24" s="1"/>
  <c r="AC67" i="24" s="1"/>
  <c r="U63" i="25"/>
  <c r="R195" i="25"/>
  <c r="S195" i="25"/>
  <c r="K195" i="25" s="1"/>
  <c r="Q195" i="25"/>
  <c r="AO195" i="25"/>
  <c r="BZ195" i="25"/>
  <c r="V114" i="25"/>
  <c r="X114" i="25" s="1"/>
  <c r="AE98" i="24"/>
  <c r="AI98" i="24"/>
  <c r="X98" i="24"/>
  <c r="AA98" i="24" s="1"/>
  <c r="AB98" i="24" s="1"/>
  <c r="AC98" i="24" s="1"/>
  <c r="AE91" i="24"/>
  <c r="AI91" i="24"/>
  <c r="X91" i="24"/>
  <c r="AA91" i="24" s="1"/>
  <c r="AB91" i="24" s="1"/>
  <c r="AC91" i="24" s="1"/>
  <c r="R219" i="25"/>
  <c r="S219" i="25"/>
  <c r="K219" i="25" s="1"/>
  <c r="Q219" i="25"/>
  <c r="AO219" i="25"/>
  <c r="BZ219" i="25"/>
  <c r="U277" i="25"/>
  <c r="S209" i="25"/>
  <c r="K209" i="25" s="1"/>
  <c r="V209" i="25" s="1"/>
  <c r="R209" i="25"/>
  <c r="Q209" i="25"/>
  <c r="BZ209" i="25"/>
  <c r="AO209" i="25"/>
  <c r="AE86" i="24"/>
  <c r="AI86" i="24"/>
  <c r="X86" i="24"/>
  <c r="AA86" i="24" s="1"/>
  <c r="AB86" i="24" s="1"/>
  <c r="AC86" i="24" s="1"/>
  <c r="AE197" i="24"/>
  <c r="AI197" i="24"/>
  <c r="X197" i="24"/>
  <c r="AA197" i="24" s="1"/>
  <c r="AB197" i="24" s="1"/>
  <c r="AC197" i="24" s="1"/>
  <c r="V184" i="24"/>
  <c r="W184" i="24"/>
  <c r="R123" i="25"/>
  <c r="S123" i="25"/>
  <c r="K123" i="25" s="1"/>
  <c r="V123" i="25" s="1"/>
  <c r="Q123" i="25"/>
  <c r="AO123" i="25"/>
  <c r="BZ123" i="25"/>
  <c r="R307" i="25"/>
  <c r="S307" i="25"/>
  <c r="K307" i="25" s="1"/>
  <c r="V307" i="25" s="1"/>
  <c r="Q307" i="25"/>
  <c r="BZ307" i="25"/>
  <c r="AO307" i="25"/>
  <c r="W76" i="24"/>
  <c r="Y76" i="24" s="1"/>
  <c r="AF129" i="25"/>
  <c r="AE129" i="25"/>
  <c r="V148" i="24"/>
  <c r="W148" i="24"/>
  <c r="R175" i="25"/>
  <c r="S175" i="25"/>
  <c r="K175" i="25" s="1"/>
  <c r="V175" i="25" s="1"/>
  <c r="Q175" i="25"/>
  <c r="BZ175" i="25"/>
  <c r="AO175" i="25"/>
  <c r="AE316" i="24"/>
  <c r="AI316" i="24"/>
  <c r="X316" i="24"/>
  <c r="AA316" i="24" s="1"/>
  <c r="AB316" i="24" s="1"/>
  <c r="AC316" i="24" s="1"/>
  <c r="W228" i="24"/>
  <c r="V228" i="24"/>
  <c r="V259" i="25"/>
  <c r="X259" i="25" s="1"/>
  <c r="AD238" i="25"/>
  <c r="W238" i="25"/>
  <c r="Z238" i="25" s="1"/>
  <c r="AA238" i="25" s="1"/>
  <c r="AB238" i="25" s="1"/>
  <c r="AI238" i="25" s="1"/>
  <c r="AD173" i="25"/>
  <c r="W173" i="25"/>
  <c r="Z173" i="25" s="1"/>
  <c r="AA173" i="25" s="1"/>
  <c r="AB173" i="25" s="1"/>
  <c r="AI173" i="25" s="1"/>
  <c r="W14" i="24"/>
  <c r="Y14" i="24" s="1"/>
  <c r="S24" i="25"/>
  <c r="K24" i="25" s="1"/>
  <c r="R24" i="25"/>
  <c r="Q24" i="25"/>
  <c r="BZ24" i="25"/>
  <c r="AO24" i="25"/>
  <c r="AE301" i="24"/>
  <c r="AI301" i="24"/>
  <c r="X301" i="24"/>
  <c r="AA301" i="24" s="1"/>
  <c r="AB301" i="24" s="1"/>
  <c r="AC301" i="24" s="1"/>
  <c r="AE17" i="24"/>
  <c r="AI17" i="24"/>
  <c r="X17" i="24"/>
  <c r="AA17" i="24" s="1"/>
  <c r="AB17" i="24" s="1"/>
  <c r="AC17" i="24" s="1"/>
  <c r="P232" i="24"/>
  <c r="Q232" i="24"/>
  <c r="AP232" i="24"/>
  <c r="AE315" i="24"/>
  <c r="AI315" i="24"/>
  <c r="X315" i="24"/>
  <c r="AA315" i="24" s="1"/>
  <c r="AB315" i="24" s="1"/>
  <c r="AC315" i="24" s="1"/>
  <c r="AE127" i="24"/>
  <c r="AI127" i="24"/>
  <c r="X127" i="24"/>
  <c r="AA127" i="24" s="1"/>
  <c r="AB127" i="24" s="1"/>
  <c r="AC127" i="24" s="1"/>
  <c r="R176" i="25"/>
  <c r="S176" i="25"/>
  <c r="K176" i="25" s="1"/>
  <c r="Q176" i="25"/>
  <c r="AO176" i="25"/>
  <c r="BZ176" i="25"/>
  <c r="AG292" i="24"/>
  <c r="AF292" i="24"/>
  <c r="AE193" i="24"/>
  <c r="AI193" i="24"/>
  <c r="X193" i="24"/>
  <c r="AA193" i="24" s="1"/>
  <c r="AB193" i="24" s="1"/>
  <c r="AC193" i="24" s="1"/>
  <c r="W188" i="24"/>
  <c r="Y188" i="24" s="1"/>
  <c r="AD62" i="25"/>
  <c r="W62" i="25"/>
  <c r="Z62" i="25" s="1"/>
  <c r="AA62" i="25" s="1"/>
  <c r="AB62" i="25" s="1"/>
  <c r="AI62" i="25" s="1"/>
  <c r="W284" i="24"/>
  <c r="Y284" i="24" s="1"/>
  <c r="V206" i="25"/>
  <c r="X206" i="25" s="1"/>
  <c r="W218" i="24"/>
  <c r="Y218" i="24" s="1"/>
  <c r="U226" i="25"/>
  <c r="R36" i="25"/>
  <c r="S36" i="25"/>
  <c r="K36" i="25" s="1"/>
  <c r="Q36" i="25"/>
  <c r="AO36" i="25"/>
  <c r="BZ36" i="25"/>
  <c r="AE244" i="24"/>
  <c r="AI244" i="24"/>
  <c r="X244" i="24"/>
  <c r="AA244" i="24" s="1"/>
  <c r="AB244" i="24" s="1"/>
  <c r="AC244" i="24" s="1"/>
  <c r="W269" i="24"/>
  <c r="Y269" i="24" s="1"/>
  <c r="AD296" i="25"/>
  <c r="W296" i="25"/>
  <c r="Z296" i="25" s="1"/>
  <c r="AA296" i="25" s="1"/>
  <c r="AB296" i="25" s="1"/>
  <c r="AI296" i="25" s="1"/>
  <c r="V296" i="25"/>
  <c r="X296" i="25" s="1"/>
  <c r="W172" i="24"/>
  <c r="Y172" i="24" s="1"/>
  <c r="Q210" i="24"/>
  <c r="P210" i="24"/>
  <c r="AP210" i="24"/>
  <c r="R137" i="25"/>
  <c r="S137" i="25"/>
  <c r="K137" i="25" s="1"/>
  <c r="Q137" i="25"/>
  <c r="AO137" i="25"/>
  <c r="BZ137" i="25"/>
  <c r="V222" i="24"/>
  <c r="W222" i="24"/>
  <c r="AE262" i="24"/>
  <c r="AI262" i="24"/>
  <c r="X262" i="24"/>
  <c r="AA262" i="24" s="1"/>
  <c r="AB262" i="24" s="1"/>
  <c r="AC262" i="24" s="1"/>
  <c r="AE80" i="24"/>
  <c r="AI80" i="24"/>
  <c r="X80" i="24"/>
  <c r="AA80" i="24" s="1"/>
  <c r="AB80" i="24" s="1"/>
  <c r="AC80" i="24" s="1"/>
  <c r="AJ236" i="24"/>
  <c r="U203" i="25"/>
  <c r="AE306" i="24"/>
  <c r="AI306" i="24"/>
  <c r="X306" i="24"/>
  <c r="AA306" i="24" s="1"/>
  <c r="AB306" i="24" s="1"/>
  <c r="AC306" i="24" s="1"/>
  <c r="P29" i="24"/>
  <c r="Q29" i="24"/>
  <c r="R29" i="24" s="1"/>
  <c r="AP29" i="24"/>
  <c r="P145" i="24"/>
  <c r="Q145" i="24"/>
  <c r="AP145" i="24"/>
  <c r="AE92" i="24"/>
  <c r="AI92" i="24"/>
  <c r="X92" i="24"/>
  <c r="AA92" i="24" s="1"/>
  <c r="AB92" i="24" s="1"/>
  <c r="AC92" i="24" s="1"/>
  <c r="AE51" i="24"/>
  <c r="AI51" i="24"/>
  <c r="X51" i="24"/>
  <c r="AA51" i="24" s="1"/>
  <c r="AB51" i="24" s="1"/>
  <c r="AC51" i="24" s="1"/>
  <c r="R73" i="25"/>
  <c r="S73" i="25"/>
  <c r="K73" i="25" s="1"/>
  <c r="V73" i="25" s="1"/>
  <c r="Q73" i="25"/>
  <c r="AO73" i="25"/>
  <c r="BZ73" i="25"/>
  <c r="R187" i="25"/>
  <c r="S187" i="25"/>
  <c r="K187" i="25" s="1"/>
  <c r="V187" i="25" s="1"/>
  <c r="Q187" i="25"/>
  <c r="BZ187" i="25"/>
  <c r="AO187" i="25"/>
  <c r="AE39" i="24"/>
  <c r="AI39" i="24"/>
  <c r="X39" i="24"/>
  <c r="AA39" i="24" s="1"/>
  <c r="AB39" i="24" s="1"/>
  <c r="AC39" i="24" s="1"/>
  <c r="AJ142" i="24"/>
  <c r="AE229" i="24"/>
  <c r="AI229" i="24"/>
  <c r="X229" i="24"/>
  <c r="AA229" i="24" s="1"/>
  <c r="AB229" i="24" s="1"/>
  <c r="AC229" i="24" s="1"/>
  <c r="AE111" i="24"/>
  <c r="AI111" i="24"/>
  <c r="X111" i="24"/>
  <c r="AA111" i="24" s="1"/>
  <c r="AB111" i="24" s="1"/>
  <c r="AC111" i="24" s="1"/>
  <c r="W116" i="24"/>
  <c r="Y116" i="24" s="1"/>
  <c r="W67" i="24"/>
  <c r="Y67" i="24" s="1"/>
  <c r="W92" i="24"/>
  <c r="V92" i="24"/>
  <c r="AE46" i="24"/>
  <c r="AI46" i="24"/>
  <c r="X46" i="24"/>
  <c r="AA46" i="24" s="1"/>
  <c r="AB46" i="24" s="1"/>
  <c r="AC46" i="24" s="1"/>
  <c r="W6" i="24"/>
  <c r="Y6" i="24" s="1"/>
  <c r="W277" i="24"/>
  <c r="V277" i="24"/>
  <c r="Q239" i="24"/>
  <c r="P239" i="24"/>
  <c r="AP239" i="24"/>
  <c r="W38" i="24"/>
  <c r="V38" i="24"/>
  <c r="R47" i="25"/>
  <c r="S47" i="25"/>
  <c r="K47" i="25" s="1"/>
  <c r="V47" i="25" s="1"/>
  <c r="Q47" i="25"/>
  <c r="AO47" i="25"/>
  <c r="BZ47" i="25"/>
  <c r="AE259" i="24"/>
  <c r="AI259" i="24"/>
  <c r="X259" i="24"/>
  <c r="AA259" i="24" s="1"/>
  <c r="AB259" i="24" s="1"/>
  <c r="AC259" i="24" s="1"/>
  <c r="S23" i="25"/>
  <c r="K23" i="25" s="1"/>
  <c r="R23" i="25"/>
  <c r="Q23" i="25"/>
  <c r="AO23" i="25"/>
  <c r="BZ23" i="25"/>
  <c r="V57" i="24"/>
  <c r="W57" i="24"/>
  <c r="U272" i="25"/>
  <c r="AE126" i="24"/>
  <c r="AI126" i="24"/>
  <c r="X126" i="24"/>
  <c r="AA126" i="24" s="1"/>
  <c r="AB126" i="24" s="1"/>
  <c r="AC126" i="24" s="1"/>
  <c r="V235" i="24"/>
  <c r="W235" i="24"/>
  <c r="W193" i="24"/>
  <c r="Y193" i="24" s="1"/>
  <c r="AD248" i="25"/>
  <c r="W248" i="25"/>
  <c r="Z248" i="25" s="1"/>
  <c r="AA248" i="25" s="1"/>
  <c r="AB248" i="25" s="1"/>
  <c r="AI248" i="25" s="1"/>
  <c r="V174" i="25"/>
  <c r="X174" i="25" s="1"/>
  <c r="AD204" i="25"/>
  <c r="W204" i="25"/>
  <c r="Z204" i="25" s="1"/>
  <c r="AA204" i="25" s="1"/>
  <c r="AB204" i="25" s="1"/>
  <c r="AI204" i="25" s="1"/>
  <c r="S80" i="25"/>
  <c r="K80" i="25" s="1"/>
  <c r="R80" i="25"/>
  <c r="Q80" i="25"/>
  <c r="AO80" i="25"/>
  <c r="BZ80" i="25"/>
  <c r="R310" i="25"/>
  <c r="S310" i="25"/>
  <c r="K310" i="25" s="1"/>
  <c r="Q310" i="25"/>
  <c r="AO310" i="25"/>
  <c r="BZ310" i="25"/>
  <c r="FJ211" i="25"/>
  <c r="R54" i="25"/>
  <c r="S54" i="25"/>
  <c r="K54" i="25" s="1"/>
  <c r="Q54" i="25"/>
  <c r="BZ54" i="25"/>
  <c r="AO54" i="25"/>
  <c r="S72" i="25"/>
  <c r="K72" i="25" s="1"/>
  <c r="R72" i="25"/>
  <c r="Q72" i="25"/>
  <c r="AO72" i="25"/>
  <c r="BZ72" i="25"/>
  <c r="R65" i="25"/>
  <c r="S65" i="25"/>
  <c r="K65" i="25" s="1"/>
  <c r="Q65" i="25"/>
  <c r="BZ65" i="25"/>
  <c r="AO65" i="25"/>
  <c r="U225" i="25"/>
  <c r="W291" i="24"/>
  <c r="V291" i="24"/>
  <c r="V100" i="24"/>
  <c r="W100" i="24"/>
  <c r="W266" i="24"/>
  <c r="V266" i="24"/>
  <c r="Q229" i="24"/>
  <c r="P229" i="24"/>
  <c r="AP229" i="24"/>
  <c r="AE88" i="24"/>
  <c r="AI88" i="24"/>
  <c r="W88" i="24"/>
  <c r="Y88" i="24" s="1"/>
  <c r="X88" i="24"/>
  <c r="AA88" i="24" s="1"/>
  <c r="AB88" i="24" s="1"/>
  <c r="AC88" i="24" s="1"/>
  <c r="AE170" i="24"/>
  <c r="AI170" i="24"/>
  <c r="X170" i="24"/>
  <c r="AA170" i="24" s="1"/>
  <c r="AB170" i="24" s="1"/>
  <c r="AC170" i="24" s="1"/>
  <c r="AD247" i="25"/>
  <c r="W247" i="25"/>
  <c r="Z247" i="25" s="1"/>
  <c r="AA247" i="25" s="1"/>
  <c r="AB247" i="25" s="1"/>
  <c r="AI247" i="25" s="1"/>
  <c r="R149" i="25"/>
  <c r="S149" i="25"/>
  <c r="K149" i="25" s="1"/>
  <c r="Q149" i="25"/>
  <c r="AO149" i="25"/>
  <c r="BZ149" i="25"/>
  <c r="AG22" i="24"/>
  <c r="AF22" i="24"/>
  <c r="W80" i="24"/>
  <c r="V80" i="24"/>
  <c r="AE241" i="24"/>
  <c r="AI241" i="24"/>
  <c r="X241" i="24"/>
  <c r="AA241" i="24" s="1"/>
  <c r="AB241" i="24" s="1"/>
  <c r="AC241" i="24" s="1"/>
  <c r="AE66" i="24"/>
  <c r="AI66" i="24"/>
  <c r="X66" i="24"/>
  <c r="AA66" i="24" s="1"/>
  <c r="AB66" i="24" s="1"/>
  <c r="AC66" i="24" s="1"/>
  <c r="AG190" i="24"/>
  <c r="AF190" i="24"/>
  <c r="R263" i="25"/>
  <c r="S263" i="25"/>
  <c r="K263" i="25" s="1"/>
  <c r="Q263" i="25"/>
  <c r="AO263" i="25"/>
  <c r="BZ263" i="25"/>
  <c r="U90" i="25"/>
  <c r="U125" i="25"/>
  <c r="U297" i="25"/>
  <c r="AE279" i="24"/>
  <c r="AI279" i="24"/>
  <c r="X279" i="24"/>
  <c r="AA279" i="24" s="1"/>
  <c r="AB279" i="24" s="1"/>
  <c r="AC279" i="24" s="1"/>
  <c r="P260" i="24"/>
  <c r="Q260" i="24"/>
  <c r="AP260" i="24"/>
  <c r="S101" i="25"/>
  <c r="K101" i="25" s="1"/>
  <c r="V101" i="25" s="1"/>
  <c r="R101" i="25"/>
  <c r="Q101" i="25"/>
  <c r="AO101" i="25"/>
  <c r="BZ101" i="25"/>
  <c r="AD31" i="25"/>
  <c r="W31" i="25"/>
  <c r="Z31" i="25" s="1"/>
  <c r="AA31" i="25" s="1"/>
  <c r="AB31" i="25" s="1"/>
  <c r="AI31" i="25" s="1"/>
  <c r="V112" i="24"/>
  <c r="W112" i="24"/>
  <c r="AE230" i="24"/>
  <c r="AI230" i="24"/>
  <c r="X230" i="24"/>
  <c r="AA230" i="24" s="1"/>
  <c r="AB230" i="24" s="1"/>
  <c r="AC230" i="24" s="1"/>
  <c r="U75" i="25"/>
  <c r="AE247" i="24"/>
  <c r="AI247" i="24"/>
  <c r="X247" i="24"/>
  <c r="AA247" i="24" s="1"/>
  <c r="AB247" i="24" s="1"/>
  <c r="AC247" i="24" s="1"/>
  <c r="AE182" i="24"/>
  <c r="AI182" i="24"/>
  <c r="X182" i="24"/>
  <c r="AA182" i="24" s="1"/>
  <c r="AB182" i="24" s="1"/>
  <c r="AC182" i="24" s="1"/>
  <c r="V9" i="24"/>
  <c r="W9" i="24"/>
  <c r="S12" i="25"/>
  <c r="K12" i="25" s="1"/>
  <c r="R12" i="25"/>
  <c r="Q12" i="25"/>
  <c r="AO12" i="25"/>
  <c r="BZ12" i="25"/>
  <c r="W131" i="24"/>
  <c r="V131" i="24"/>
  <c r="P42" i="24"/>
  <c r="Q42" i="24"/>
  <c r="R42" i="24" s="1"/>
  <c r="AP42" i="24"/>
  <c r="AE249" i="24"/>
  <c r="AI249" i="24"/>
  <c r="X249" i="24"/>
  <c r="AA249" i="24" s="1"/>
  <c r="AB249" i="24" s="1"/>
  <c r="AC249" i="24" s="1"/>
  <c r="V123" i="24"/>
  <c r="W123" i="24"/>
  <c r="U84" i="25"/>
  <c r="S313" i="25"/>
  <c r="K313" i="25" s="1"/>
  <c r="R313" i="25"/>
  <c r="Q313" i="25"/>
  <c r="AO313" i="25"/>
  <c r="BZ313" i="25"/>
  <c r="AE163" i="24"/>
  <c r="AI163" i="24"/>
  <c r="X163" i="24"/>
  <c r="AA163" i="24" s="1"/>
  <c r="AB163" i="24" s="1"/>
  <c r="AC163" i="24" s="1"/>
  <c r="S48" i="25"/>
  <c r="K48" i="25" s="1"/>
  <c r="R48" i="25"/>
  <c r="Q48" i="25"/>
  <c r="BZ48" i="25"/>
  <c r="AO48" i="25"/>
  <c r="V34" i="25"/>
  <c r="X34" i="25" s="1"/>
  <c r="U228" i="25"/>
  <c r="W280" i="24"/>
  <c r="V280" i="24"/>
  <c r="AD201" i="25"/>
  <c r="W201" i="25"/>
  <c r="Z201" i="25" s="1"/>
  <c r="AA201" i="25" s="1"/>
  <c r="AB201" i="25" s="1"/>
  <c r="AI201" i="25" s="1"/>
  <c r="AE50" i="24"/>
  <c r="AI50" i="24"/>
  <c r="X50" i="24"/>
  <c r="AA50" i="24" s="1"/>
  <c r="AB50" i="24" s="1"/>
  <c r="AC50" i="24" s="1"/>
  <c r="S144" i="25"/>
  <c r="K144" i="25" s="1"/>
  <c r="R144" i="25"/>
  <c r="Q144" i="25"/>
  <c r="AO144" i="25"/>
  <c r="BZ144" i="25"/>
  <c r="S217" i="25"/>
  <c r="K217" i="25" s="1"/>
  <c r="V217" i="25" s="1"/>
  <c r="R217" i="25"/>
  <c r="Q217" i="25"/>
  <c r="AO217" i="25"/>
  <c r="BZ217" i="25"/>
  <c r="R139" i="25"/>
  <c r="S139" i="25"/>
  <c r="K139" i="25" s="1"/>
  <c r="V139" i="25" s="1"/>
  <c r="Q139" i="25"/>
  <c r="AO139" i="25"/>
  <c r="BZ139" i="25"/>
  <c r="AE175" i="24"/>
  <c r="AI175" i="24"/>
  <c r="X175" i="24"/>
  <c r="AA175" i="24" s="1"/>
  <c r="AB175" i="24" s="1"/>
  <c r="AC175" i="24" s="1"/>
  <c r="U234" i="25"/>
  <c r="U26" i="25"/>
  <c r="W141" i="24"/>
  <c r="V141" i="24"/>
  <c r="S250" i="25"/>
  <c r="K250" i="25" s="1"/>
  <c r="R250" i="25"/>
  <c r="Q250" i="25"/>
  <c r="AO250" i="25"/>
  <c r="BZ250" i="25"/>
  <c r="R118" i="25"/>
  <c r="S118" i="25"/>
  <c r="K118" i="25" s="1"/>
  <c r="V118" i="25" s="1"/>
  <c r="Q118" i="25"/>
  <c r="AO118" i="25"/>
  <c r="BZ118" i="25"/>
  <c r="AD255" i="25"/>
  <c r="W255" i="25"/>
  <c r="Z255" i="25" s="1"/>
  <c r="AA255" i="25" s="1"/>
  <c r="AB255" i="25" s="1"/>
  <c r="AI255" i="25" s="1"/>
  <c r="V255" i="25"/>
  <c r="X255" i="25" s="1"/>
  <c r="U74" i="25"/>
  <c r="R151" i="25"/>
  <c r="S151" i="25"/>
  <c r="K151" i="25" s="1"/>
  <c r="Q151" i="25"/>
  <c r="AO151" i="25"/>
  <c r="BZ151" i="25"/>
  <c r="V92" i="25"/>
  <c r="X92" i="25" s="1"/>
  <c r="AE56" i="24"/>
  <c r="AI56" i="24"/>
  <c r="X56" i="24"/>
  <c r="AA56" i="24" s="1"/>
  <c r="AB56" i="24" s="1"/>
  <c r="AC56" i="24" s="1"/>
  <c r="AE70" i="24"/>
  <c r="AI70" i="24"/>
  <c r="X70" i="24"/>
  <c r="AA70" i="24" s="1"/>
  <c r="AB70" i="24" s="1"/>
  <c r="AC70" i="24" s="1"/>
  <c r="S152" i="25"/>
  <c r="K152" i="25" s="1"/>
  <c r="R152" i="25"/>
  <c r="Q152" i="25"/>
  <c r="AO152" i="25"/>
  <c r="BZ152" i="25"/>
  <c r="S50" i="25"/>
  <c r="K50" i="25" s="1"/>
  <c r="R50" i="25"/>
  <c r="Q50" i="25"/>
  <c r="AO50" i="25"/>
  <c r="BZ50" i="25"/>
  <c r="S277" i="25"/>
  <c r="K277" i="25" s="1"/>
  <c r="R277" i="25"/>
  <c r="Q277" i="25"/>
  <c r="AO277" i="25"/>
  <c r="BZ277" i="25"/>
  <c r="P184" i="24"/>
  <c r="Q184" i="24"/>
  <c r="AP184" i="24"/>
  <c r="AE146" i="24"/>
  <c r="AI146" i="24"/>
  <c r="X146" i="24"/>
  <c r="AA146" i="24" s="1"/>
  <c r="AB146" i="24" s="1"/>
  <c r="AC146" i="24" s="1"/>
  <c r="AE153" i="24"/>
  <c r="AI153" i="24"/>
  <c r="X153" i="24"/>
  <c r="AA153" i="24" s="1"/>
  <c r="AB153" i="24" s="1"/>
  <c r="AC153" i="24" s="1"/>
  <c r="AE271" i="24"/>
  <c r="AI271" i="24"/>
  <c r="X271" i="24"/>
  <c r="AA271" i="24" s="1"/>
  <c r="AB271" i="24" s="1"/>
  <c r="AC271" i="24" s="1"/>
  <c r="AE149" i="24"/>
  <c r="AI149" i="24"/>
  <c r="X149" i="24"/>
  <c r="AA149" i="24" s="1"/>
  <c r="AB149" i="24" s="1"/>
  <c r="AC149" i="24" s="1"/>
  <c r="P148" i="24"/>
  <c r="Q148" i="24"/>
  <c r="AP148" i="24"/>
  <c r="AE304" i="24"/>
  <c r="AI304" i="24"/>
  <c r="X304" i="24"/>
  <c r="AA304" i="24" s="1"/>
  <c r="AB304" i="24" s="1"/>
  <c r="AC304" i="24" s="1"/>
  <c r="Q228" i="24"/>
  <c r="P228" i="24"/>
  <c r="AP228" i="24"/>
  <c r="U208" i="25"/>
  <c r="R298" i="25"/>
  <c r="S298" i="25"/>
  <c r="K298" i="25" s="1"/>
  <c r="V298" i="25" s="1"/>
  <c r="Q298" i="25"/>
  <c r="BZ298" i="25"/>
  <c r="AO298" i="25"/>
  <c r="W241" i="24"/>
  <c r="V241" i="24"/>
  <c r="V185" i="24"/>
  <c r="W185" i="24"/>
  <c r="AD21" i="25"/>
  <c r="W21" i="25"/>
  <c r="Z21" i="25" s="1"/>
  <c r="AA21" i="25" s="1"/>
  <c r="AB21" i="25" s="1"/>
  <c r="AI21" i="25" s="1"/>
  <c r="AE35" i="24"/>
  <c r="AI35" i="24"/>
  <c r="X35" i="24"/>
  <c r="AA35" i="24" s="1"/>
  <c r="AB35" i="24" s="1"/>
  <c r="AC35" i="24" s="1"/>
  <c r="W85" i="24"/>
  <c r="V85" i="24"/>
  <c r="U27" i="25"/>
  <c r="U274" i="25"/>
  <c r="U205" i="25"/>
  <c r="AE10" i="24"/>
  <c r="AI10" i="24"/>
  <c r="X10" i="24"/>
  <c r="AA10" i="24" s="1"/>
  <c r="AB10" i="24" s="1"/>
  <c r="AC10" i="24" s="1"/>
  <c r="W65" i="24"/>
  <c r="V65" i="24"/>
  <c r="W82" i="24"/>
  <c r="Y82" i="24" s="1"/>
  <c r="AE43" i="24"/>
  <c r="AI43" i="24"/>
  <c r="X43" i="24"/>
  <c r="AA43" i="24" s="1"/>
  <c r="AB43" i="24" s="1"/>
  <c r="AC43" i="24" s="1"/>
  <c r="AE122" i="24"/>
  <c r="AI122" i="24"/>
  <c r="X122" i="24"/>
  <c r="AA122" i="24" s="1"/>
  <c r="AB122" i="24" s="1"/>
  <c r="AC122" i="24" s="1"/>
  <c r="AE40" i="24"/>
  <c r="AI40" i="24"/>
  <c r="X40" i="24"/>
  <c r="AA40" i="24" s="1"/>
  <c r="AB40" i="24" s="1"/>
  <c r="AC40" i="24" s="1"/>
  <c r="AE239" i="24"/>
  <c r="AI239" i="24"/>
  <c r="X239" i="24"/>
  <c r="AA239" i="24" s="1"/>
  <c r="AB239" i="24" s="1"/>
  <c r="AC239" i="24" s="1"/>
  <c r="AE154" i="24"/>
  <c r="AI154" i="24"/>
  <c r="X154" i="24"/>
  <c r="AA154" i="24" s="1"/>
  <c r="AB154" i="24" s="1"/>
  <c r="AC154" i="24" s="1"/>
  <c r="R203" i="25"/>
  <c r="S203" i="25"/>
  <c r="K203" i="25" s="1"/>
  <c r="V203" i="25" s="1"/>
  <c r="Q203" i="25"/>
  <c r="AO203" i="25"/>
  <c r="BZ203" i="25"/>
  <c r="V197" i="24"/>
  <c r="W197" i="24"/>
  <c r="W207" i="24"/>
  <c r="Y207" i="24" s="1"/>
  <c r="U221" i="25"/>
  <c r="V95" i="24"/>
  <c r="W95" i="24"/>
  <c r="S171" i="25"/>
  <c r="K171" i="25" s="1"/>
  <c r="V171" i="25" s="1"/>
  <c r="R171" i="25"/>
  <c r="Q171" i="25"/>
  <c r="AO171" i="25"/>
  <c r="BZ171" i="25"/>
  <c r="R295" i="25"/>
  <c r="S295" i="25"/>
  <c r="K295" i="25" s="1"/>
  <c r="V295" i="25" s="1"/>
  <c r="Q295" i="25"/>
  <c r="AO295" i="25"/>
  <c r="BZ295" i="25"/>
  <c r="R202" i="25"/>
  <c r="S202" i="25"/>
  <c r="K202" i="25" s="1"/>
  <c r="V202" i="25" s="1"/>
  <c r="Q202" i="25"/>
  <c r="AO202" i="25"/>
  <c r="BZ202" i="25"/>
  <c r="R226" i="25"/>
  <c r="S226" i="25"/>
  <c r="K226" i="25" s="1"/>
  <c r="Q226" i="25"/>
  <c r="AO226" i="25"/>
  <c r="BZ226" i="25"/>
  <c r="AD158" i="25"/>
  <c r="W158" i="25"/>
  <c r="Z158" i="25" s="1"/>
  <c r="AA158" i="25" s="1"/>
  <c r="AB158" i="25" s="1"/>
  <c r="AI158" i="25" s="1"/>
  <c r="AE93" i="24"/>
  <c r="AI93" i="24"/>
  <c r="X93" i="24"/>
  <c r="AA93" i="24" s="1"/>
  <c r="AB93" i="24" s="1"/>
  <c r="AC93" i="24" s="1"/>
  <c r="U68" i="25"/>
  <c r="S244" i="25"/>
  <c r="K244" i="25" s="1"/>
  <c r="R244" i="25"/>
  <c r="Q244" i="25"/>
  <c r="AO244" i="25"/>
  <c r="BZ244" i="25"/>
  <c r="P277" i="24"/>
  <c r="Q277" i="24"/>
  <c r="AP277" i="24"/>
  <c r="W262" i="24"/>
  <c r="V262" i="24"/>
  <c r="W166" i="24"/>
  <c r="Y166" i="24" s="1"/>
  <c r="S69" i="25"/>
  <c r="K69" i="25" s="1"/>
  <c r="R69" i="25"/>
  <c r="Q69" i="25"/>
  <c r="BZ69" i="25"/>
  <c r="AO69" i="25"/>
  <c r="Q38" i="24"/>
  <c r="R38" i="24" s="1"/>
  <c r="P38" i="24"/>
  <c r="AP38" i="24"/>
  <c r="V31" i="25"/>
  <c r="X31" i="25" s="1"/>
  <c r="AE286" i="24"/>
  <c r="AI286" i="24"/>
  <c r="X286" i="24"/>
  <c r="AA286" i="24" s="1"/>
  <c r="AB286" i="24" s="1"/>
  <c r="AC286" i="24" s="1"/>
  <c r="AE100" i="24"/>
  <c r="AI100" i="24"/>
  <c r="X100" i="24"/>
  <c r="AA100" i="24" s="1"/>
  <c r="AB100" i="24" s="1"/>
  <c r="AC100" i="24" s="1"/>
  <c r="AG55" i="24"/>
  <c r="AF55" i="24"/>
  <c r="Q57" i="24"/>
  <c r="R57" i="24" s="1"/>
  <c r="P57" i="24"/>
  <c r="AP57" i="24"/>
  <c r="AE260" i="24"/>
  <c r="AI260" i="24"/>
  <c r="X260" i="24"/>
  <c r="AA260" i="24" s="1"/>
  <c r="AB260" i="24" s="1"/>
  <c r="AC260" i="24" s="1"/>
  <c r="S272" i="25"/>
  <c r="K272" i="25" s="1"/>
  <c r="V272" i="25" s="1"/>
  <c r="R272" i="25"/>
  <c r="Q272" i="25"/>
  <c r="AO272" i="25"/>
  <c r="BZ272" i="25"/>
  <c r="V64" i="24"/>
  <c r="W64" i="24"/>
  <c r="W79" i="24"/>
  <c r="Y79" i="24" s="1"/>
  <c r="V46" i="24"/>
  <c r="W46" i="24"/>
  <c r="R185" i="25"/>
  <c r="S185" i="25"/>
  <c r="K185" i="25" s="1"/>
  <c r="Q185" i="25"/>
  <c r="AO185" i="25"/>
  <c r="BZ185" i="25"/>
  <c r="W281" i="24"/>
  <c r="Y281" i="24" s="1"/>
  <c r="R133" i="25"/>
  <c r="S133" i="25"/>
  <c r="K133" i="25" s="1"/>
  <c r="Q133" i="25"/>
  <c r="BZ133" i="25"/>
  <c r="AO133" i="25"/>
  <c r="U200" i="25"/>
  <c r="AE26" i="24"/>
  <c r="AI26" i="24"/>
  <c r="X26" i="24"/>
  <c r="AA26" i="24" s="1"/>
  <c r="AB26" i="24" s="1"/>
  <c r="AC26" i="24" s="1"/>
  <c r="AE123" i="24"/>
  <c r="AI123" i="24"/>
  <c r="X123" i="24"/>
  <c r="AA123" i="24" s="1"/>
  <c r="AB123" i="24" s="1"/>
  <c r="AC123" i="24" s="1"/>
  <c r="AE77" i="24"/>
  <c r="AI77" i="24"/>
  <c r="X77" i="24"/>
  <c r="AA77" i="24" s="1"/>
  <c r="AB77" i="24" s="1"/>
  <c r="AC77" i="24" s="1"/>
  <c r="W77" i="24"/>
  <c r="Y77" i="24" s="1"/>
  <c r="U242" i="25"/>
  <c r="S225" i="25"/>
  <c r="K225" i="25" s="1"/>
  <c r="V225" i="25" s="1"/>
  <c r="R225" i="25"/>
  <c r="Q225" i="25"/>
  <c r="AO225" i="25"/>
  <c r="BZ225" i="25"/>
  <c r="Q100" i="24"/>
  <c r="R100" i="24" s="1"/>
  <c r="P100" i="24"/>
  <c r="AP100" i="24"/>
  <c r="P266" i="24"/>
  <c r="Q266" i="24"/>
  <c r="AP266" i="24"/>
  <c r="U135" i="25"/>
  <c r="U138" i="25"/>
  <c r="W250" i="24"/>
  <c r="V250" i="24"/>
  <c r="W168" i="24"/>
  <c r="V168" i="24"/>
  <c r="AE87" i="24"/>
  <c r="AI87" i="24"/>
  <c r="X87" i="24"/>
  <c r="AA87" i="24" s="1"/>
  <c r="AB87" i="24" s="1"/>
  <c r="AC87" i="24" s="1"/>
  <c r="U157" i="25"/>
  <c r="AE90" i="24"/>
  <c r="AI90" i="24"/>
  <c r="X90" i="24"/>
  <c r="AA90" i="24" s="1"/>
  <c r="AB90" i="24" s="1"/>
  <c r="AC90" i="24" s="1"/>
  <c r="AE75" i="24"/>
  <c r="AI75" i="24"/>
  <c r="X75" i="24"/>
  <c r="AA75" i="24" s="1"/>
  <c r="AB75" i="24" s="1"/>
  <c r="AC75" i="24" s="1"/>
  <c r="AE8" i="24"/>
  <c r="AI8" i="24"/>
  <c r="X8" i="24"/>
  <c r="AA8" i="24" s="1"/>
  <c r="AB8" i="24" s="1"/>
  <c r="AC8" i="24" s="1"/>
  <c r="AE203" i="24"/>
  <c r="AI203" i="24"/>
  <c r="X203" i="24"/>
  <c r="AA203" i="24" s="1"/>
  <c r="AB203" i="24" s="1"/>
  <c r="AC203" i="24" s="1"/>
  <c r="P80" i="24"/>
  <c r="Q80" i="24"/>
  <c r="R80" i="24" s="1"/>
  <c r="AP80" i="24"/>
  <c r="S300" i="25"/>
  <c r="K300" i="25" s="1"/>
  <c r="R300" i="25"/>
  <c r="Q300" i="25"/>
  <c r="BZ300" i="25"/>
  <c r="AO300" i="25"/>
  <c r="V183" i="24"/>
  <c r="W183" i="24"/>
  <c r="U169" i="25"/>
  <c r="R90" i="25"/>
  <c r="S90" i="25"/>
  <c r="K90" i="25" s="1"/>
  <c r="V90" i="25" s="1"/>
  <c r="Q90" i="25"/>
  <c r="BZ90" i="25"/>
  <c r="AO90" i="25"/>
  <c r="R125" i="25"/>
  <c r="S125" i="25"/>
  <c r="K125" i="25" s="1"/>
  <c r="Q125" i="25"/>
  <c r="BZ125" i="25"/>
  <c r="AO125" i="25"/>
  <c r="U112" i="25"/>
  <c r="V259" i="24"/>
  <c r="W259" i="24"/>
  <c r="R297" i="25"/>
  <c r="S297" i="25"/>
  <c r="K297" i="25" s="1"/>
  <c r="Q297" i="25"/>
  <c r="AO297" i="25"/>
  <c r="BZ297" i="25"/>
  <c r="U76" i="25"/>
  <c r="U22" i="25"/>
  <c r="U103" i="25"/>
  <c r="W96" i="24"/>
  <c r="V96" i="24"/>
  <c r="AE152" i="24"/>
  <c r="AI152" i="24"/>
  <c r="X152" i="24"/>
  <c r="AA152" i="24" s="1"/>
  <c r="AB152" i="24" s="1"/>
  <c r="AC152" i="24" s="1"/>
  <c r="AE143" i="24"/>
  <c r="AI143" i="24"/>
  <c r="X143" i="24"/>
  <c r="AA143" i="24" s="1"/>
  <c r="AB143" i="24" s="1"/>
  <c r="AC143" i="24" s="1"/>
  <c r="U187" i="25"/>
  <c r="AE297" i="24"/>
  <c r="AI297" i="24"/>
  <c r="X297" i="24"/>
  <c r="AA297" i="24" s="1"/>
  <c r="AB297" i="24" s="1"/>
  <c r="AC297" i="24" s="1"/>
  <c r="R75" i="25"/>
  <c r="S75" i="25"/>
  <c r="K75" i="25" s="1"/>
  <c r="Q75" i="25"/>
  <c r="BZ75" i="25"/>
  <c r="AO75" i="25"/>
  <c r="U196" i="25"/>
  <c r="V263" i="24"/>
  <c r="W263" i="24"/>
  <c r="V156" i="24"/>
  <c r="W156" i="24"/>
  <c r="U115" i="25"/>
  <c r="AD305" i="25"/>
  <c r="W305" i="25"/>
  <c r="Z305" i="25" s="1"/>
  <c r="AA305" i="25" s="1"/>
  <c r="AB305" i="25" s="1"/>
  <c r="AI305" i="25" s="1"/>
  <c r="AE169" i="24"/>
  <c r="AI169" i="24"/>
  <c r="X169" i="24"/>
  <c r="AA169" i="24" s="1"/>
  <c r="AB169" i="24" s="1"/>
  <c r="AC169" i="24" s="1"/>
  <c r="Q131" i="24"/>
  <c r="P131" i="24"/>
  <c r="AP131" i="24"/>
  <c r="U118" i="25"/>
  <c r="Q123" i="24"/>
  <c r="P123" i="24"/>
  <c r="AP123" i="24"/>
  <c r="AE253" i="24"/>
  <c r="AI253" i="24"/>
  <c r="X253" i="24"/>
  <c r="AA253" i="24" s="1"/>
  <c r="AB253" i="24" s="1"/>
  <c r="AC253" i="24" s="1"/>
  <c r="S210" i="25"/>
  <c r="K210" i="25" s="1"/>
  <c r="R210" i="25"/>
  <c r="Q210" i="25"/>
  <c r="AO210" i="25"/>
  <c r="BZ210" i="25"/>
  <c r="S84" i="25"/>
  <c r="K84" i="25" s="1"/>
  <c r="V84" i="25" s="1"/>
  <c r="R84" i="25"/>
  <c r="Q84" i="25"/>
  <c r="AO84" i="25"/>
  <c r="BZ84" i="25"/>
  <c r="S180" i="25"/>
  <c r="K180" i="25" s="1"/>
  <c r="R180" i="25"/>
  <c r="Q180" i="25"/>
  <c r="AO180" i="25"/>
  <c r="BZ180" i="25"/>
  <c r="S228" i="25"/>
  <c r="K228" i="25" s="1"/>
  <c r="V228" i="25" s="1"/>
  <c r="R228" i="25"/>
  <c r="Q228" i="25"/>
  <c r="AO228" i="25"/>
  <c r="BZ228" i="25"/>
  <c r="U299" i="25"/>
  <c r="P280" i="24"/>
  <c r="Q280" i="24"/>
  <c r="AP280" i="24"/>
  <c r="V243" i="24"/>
  <c r="W243" i="24"/>
  <c r="AD71" i="25"/>
  <c r="W71" i="25"/>
  <c r="Z71" i="25" s="1"/>
  <c r="AA71" i="25" s="1"/>
  <c r="AB71" i="25" s="1"/>
  <c r="AI71" i="25" s="1"/>
  <c r="AD161" i="25"/>
  <c r="W161" i="25"/>
  <c r="Z161" i="25" s="1"/>
  <c r="AA161" i="25" s="1"/>
  <c r="AB161" i="25" s="1"/>
  <c r="AI161" i="25" s="1"/>
  <c r="S270" i="25"/>
  <c r="K270" i="25" s="1"/>
  <c r="Q270" i="25"/>
  <c r="R270" i="25"/>
  <c r="AO270" i="25"/>
  <c r="BZ270" i="25"/>
  <c r="AG257" i="24"/>
  <c r="AF257" i="24"/>
  <c r="U142" i="25"/>
  <c r="AD190" i="25"/>
  <c r="W190" i="25"/>
  <c r="Z190" i="25" s="1"/>
  <c r="AA190" i="25" s="1"/>
  <c r="AB190" i="25" s="1"/>
  <c r="AI190" i="25" s="1"/>
  <c r="V190" i="25"/>
  <c r="X190" i="25" s="1"/>
  <c r="W89" i="24"/>
  <c r="V89" i="24"/>
  <c r="S26" i="25"/>
  <c r="K26" i="25" s="1"/>
  <c r="V26" i="25" s="1"/>
  <c r="R26" i="25"/>
  <c r="Q26" i="25"/>
  <c r="AO26" i="25"/>
  <c r="BZ26" i="25"/>
  <c r="W66" i="24"/>
  <c r="Y66" i="24" s="1"/>
  <c r="AE62" i="24"/>
  <c r="AI62" i="24"/>
  <c r="X62" i="24"/>
  <c r="AA62" i="24" s="1"/>
  <c r="AB62" i="24" s="1"/>
  <c r="AC62" i="24" s="1"/>
  <c r="Q141" i="24"/>
  <c r="P141" i="24"/>
  <c r="AP141" i="24"/>
  <c r="S74" i="25"/>
  <c r="K74" i="25" s="1"/>
  <c r="V74" i="25" s="1"/>
  <c r="R74" i="25"/>
  <c r="Q74" i="25"/>
  <c r="BZ74" i="25"/>
  <c r="AO74" i="25"/>
  <c r="U304" i="25"/>
  <c r="S193" i="25"/>
  <c r="K193" i="25" s="1"/>
  <c r="R193" i="25"/>
  <c r="Q193" i="25"/>
  <c r="AO193" i="25"/>
  <c r="BZ193" i="25"/>
  <c r="AE245" i="24"/>
  <c r="AI245" i="24"/>
  <c r="X245" i="24"/>
  <c r="AA245" i="24" s="1"/>
  <c r="AB245" i="24" s="1"/>
  <c r="AC245" i="24" s="1"/>
  <c r="AE171" i="24"/>
  <c r="AI171" i="24"/>
  <c r="X171" i="24"/>
  <c r="AA171" i="24" s="1"/>
  <c r="AB171" i="24" s="1"/>
  <c r="AC171" i="24" s="1"/>
  <c r="AE314" i="24"/>
  <c r="AI314" i="24"/>
  <c r="X314" i="24"/>
  <c r="AA314" i="24" s="1"/>
  <c r="AB314" i="24" s="1"/>
  <c r="AC314" i="24" s="1"/>
  <c r="V194" i="24"/>
  <c r="W194" i="24"/>
  <c r="AE48" i="24"/>
  <c r="AI48" i="24"/>
  <c r="X48" i="24"/>
  <c r="AA48" i="24" s="1"/>
  <c r="AB48" i="24" s="1"/>
  <c r="AC48" i="24" s="1"/>
  <c r="U41" i="25"/>
  <c r="V203" i="24"/>
  <c r="W203" i="24"/>
  <c r="S33" i="25"/>
  <c r="K33" i="25" s="1"/>
  <c r="R33" i="25"/>
  <c r="Q33" i="25"/>
  <c r="AO33" i="25"/>
  <c r="BZ33" i="25"/>
  <c r="S99" i="25"/>
  <c r="K99" i="25" s="1"/>
  <c r="V99" i="25" s="1"/>
  <c r="R99" i="25"/>
  <c r="Q99" i="25"/>
  <c r="BZ99" i="25"/>
  <c r="AO99" i="25"/>
  <c r="R208" i="25"/>
  <c r="S208" i="25"/>
  <c r="K208" i="25" s="1"/>
  <c r="V208" i="25" s="1"/>
  <c r="Q208" i="25"/>
  <c r="AO208" i="25"/>
  <c r="BZ208" i="25"/>
  <c r="V143" i="24"/>
  <c r="W143" i="24"/>
  <c r="AD30" i="25"/>
  <c r="W30" i="25"/>
  <c r="Z30" i="25" s="1"/>
  <c r="AA30" i="25" s="1"/>
  <c r="AB30" i="25" s="1"/>
  <c r="AI30" i="25" s="1"/>
  <c r="Q85" i="24"/>
  <c r="R85" i="24" s="1"/>
  <c r="P85" i="24"/>
  <c r="AP85" i="24"/>
  <c r="AE302" i="24"/>
  <c r="AI302" i="24"/>
  <c r="X302" i="24"/>
  <c r="AA302" i="24" s="1"/>
  <c r="AB302" i="24" s="1"/>
  <c r="AC302" i="24" s="1"/>
  <c r="AG119" i="24"/>
  <c r="AF119" i="24"/>
  <c r="R27" i="25"/>
  <c r="S27" i="25"/>
  <c r="K27" i="25" s="1"/>
  <c r="V27" i="25" s="1"/>
  <c r="Q27" i="25"/>
  <c r="AO27" i="25"/>
  <c r="BZ27" i="25"/>
  <c r="AE263" i="24"/>
  <c r="AI263" i="24"/>
  <c r="X263" i="24"/>
  <c r="AA263" i="24" s="1"/>
  <c r="AB263" i="24" s="1"/>
  <c r="AC263" i="24" s="1"/>
  <c r="U47" i="25"/>
  <c r="S274" i="25"/>
  <c r="K274" i="25" s="1"/>
  <c r="R274" i="25"/>
  <c r="Q274" i="25"/>
  <c r="AO274" i="25"/>
  <c r="BZ274" i="25"/>
  <c r="U39" i="25"/>
  <c r="AE13" i="24"/>
  <c r="AI13" i="24"/>
  <c r="X13" i="24"/>
  <c r="AA13" i="24" s="1"/>
  <c r="AB13" i="24" s="1"/>
  <c r="AC13" i="24" s="1"/>
  <c r="AE84" i="24"/>
  <c r="AI84" i="24"/>
  <c r="X84" i="24"/>
  <c r="AA84" i="24" s="1"/>
  <c r="AB84" i="24" s="1"/>
  <c r="AC84" i="24" s="1"/>
  <c r="W84" i="24"/>
  <c r="Y84" i="24" s="1"/>
  <c r="AE285" i="24"/>
  <c r="AI285" i="24"/>
  <c r="W285" i="24"/>
  <c r="Y285" i="24" s="1"/>
  <c r="X285" i="24"/>
  <c r="AA285" i="24" s="1"/>
  <c r="AB285" i="24" s="1"/>
  <c r="AC285" i="24" s="1"/>
  <c r="W13" i="24"/>
  <c r="Y13" i="24" s="1"/>
  <c r="AG294" i="24"/>
  <c r="AF294" i="24"/>
  <c r="U216" i="25"/>
  <c r="R245" i="25"/>
  <c r="S245" i="25"/>
  <c r="K245" i="25" s="1"/>
  <c r="Q245" i="25"/>
  <c r="AO245" i="25"/>
  <c r="BZ245" i="25"/>
  <c r="U81" i="25"/>
  <c r="AE136" i="24"/>
  <c r="AI136" i="24"/>
  <c r="X136" i="24"/>
  <c r="AA136" i="24" s="1"/>
  <c r="AB136" i="24" s="1"/>
  <c r="AC136" i="24" s="1"/>
  <c r="AE156" i="24"/>
  <c r="AI156" i="24"/>
  <c r="X156" i="24"/>
  <c r="AA156" i="24" s="1"/>
  <c r="AB156" i="24" s="1"/>
  <c r="AC156" i="24" s="1"/>
  <c r="AD293" i="25"/>
  <c r="W293" i="25"/>
  <c r="Z293" i="25" s="1"/>
  <c r="AA293" i="25" s="1"/>
  <c r="AB293" i="25" s="1"/>
  <c r="AI293" i="25" s="1"/>
  <c r="V293" i="25"/>
  <c r="X293" i="25" s="1"/>
  <c r="AG236" i="24"/>
  <c r="AF236" i="24"/>
  <c r="AE295" i="24"/>
  <c r="AI295" i="24"/>
  <c r="X295" i="24"/>
  <c r="AA295" i="24" s="1"/>
  <c r="AB295" i="24" s="1"/>
  <c r="AC295" i="24" s="1"/>
  <c r="S221" i="25"/>
  <c r="K221" i="25" s="1"/>
  <c r="V221" i="25" s="1"/>
  <c r="R221" i="25"/>
  <c r="Q221" i="25"/>
  <c r="BZ221" i="25"/>
  <c r="AO221" i="25"/>
  <c r="W122" i="24"/>
  <c r="V122" i="24"/>
  <c r="Q95" i="24"/>
  <c r="R95" i="24" s="1"/>
  <c r="P95" i="24"/>
  <c r="AP95" i="24"/>
  <c r="AG142" i="24"/>
  <c r="AF142" i="24"/>
  <c r="AE94" i="24"/>
  <c r="AI94" i="24"/>
  <c r="X94" i="24"/>
  <c r="AA94" i="24" s="1"/>
  <c r="AB94" i="24" s="1"/>
  <c r="AC94" i="24" s="1"/>
  <c r="AD87" i="25"/>
  <c r="W87" i="25"/>
  <c r="Z87" i="25" s="1"/>
  <c r="AA87" i="25" s="1"/>
  <c r="AB87" i="25" s="1"/>
  <c r="AI87" i="25" s="1"/>
  <c r="AE74" i="24"/>
  <c r="AI74" i="24"/>
  <c r="X74" i="24"/>
  <c r="AA74" i="24" s="1"/>
  <c r="AB74" i="24" s="1"/>
  <c r="AC74" i="24" s="1"/>
  <c r="S68" i="25"/>
  <c r="K68" i="25" s="1"/>
  <c r="R68" i="25"/>
  <c r="Q68" i="25"/>
  <c r="AO68" i="25"/>
  <c r="BZ68" i="25"/>
  <c r="Q262" i="24"/>
  <c r="P262" i="24"/>
  <c r="AP262" i="24"/>
  <c r="AD198" i="25"/>
  <c r="W198" i="25"/>
  <c r="Z198" i="25" s="1"/>
  <c r="AA198" i="25" s="1"/>
  <c r="AB198" i="25" s="1"/>
  <c r="AI198" i="25" s="1"/>
  <c r="AE157" i="24"/>
  <c r="AI157" i="24"/>
  <c r="X157" i="24"/>
  <c r="AA157" i="24" s="1"/>
  <c r="AB157" i="24" s="1"/>
  <c r="AC157" i="24" s="1"/>
  <c r="AE303" i="24"/>
  <c r="AI303" i="24"/>
  <c r="X303" i="24"/>
  <c r="AA303" i="24" s="1"/>
  <c r="AB303" i="24" s="1"/>
  <c r="AC303" i="24" s="1"/>
  <c r="R184" i="25"/>
  <c r="S184" i="25"/>
  <c r="K184" i="25" s="1"/>
  <c r="Q184" i="25"/>
  <c r="BZ184" i="25"/>
  <c r="AO184" i="25"/>
  <c r="V198" i="25"/>
  <c r="X198" i="25" s="1"/>
  <c r="AE293" i="24"/>
  <c r="AI293" i="24"/>
  <c r="X293" i="24"/>
  <c r="AA293" i="24" s="1"/>
  <c r="AB293" i="24" s="1"/>
  <c r="AC293" i="24" s="1"/>
  <c r="W139" i="24"/>
  <c r="V139" i="24"/>
  <c r="U207" i="25"/>
  <c r="AE78" i="24"/>
  <c r="AI78" i="24"/>
  <c r="X78" i="24"/>
  <c r="AA78" i="24" s="1"/>
  <c r="AB78" i="24" s="1"/>
  <c r="AC78" i="24" s="1"/>
  <c r="R285" i="25"/>
  <c r="S285" i="25"/>
  <c r="K285" i="25" s="1"/>
  <c r="Q285" i="25"/>
  <c r="AO285" i="25"/>
  <c r="BZ285" i="25"/>
  <c r="P64" i="24"/>
  <c r="Q64" i="24"/>
  <c r="R64" i="24" s="1"/>
  <c r="AP64" i="24"/>
  <c r="S289" i="25"/>
  <c r="K289" i="25" s="1"/>
  <c r="R289" i="25"/>
  <c r="Q289" i="25"/>
  <c r="AO289" i="25"/>
  <c r="BZ289" i="25"/>
  <c r="P46" i="24"/>
  <c r="Q46" i="24"/>
  <c r="R46" i="24" s="1"/>
  <c r="AP46" i="24"/>
  <c r="AE208" i="24"/>
  <c r="AI208" i="24"/>
  <c r="X208" i="24"/>
  <c r="AA208" i="24" s="1"/>
  <c r="AB208" i="24" s="1"/>
  <c r="AC208" i="24" s="1"/>
  <c r="AE135" i="24"/>
  <c r="AI135" i="24"/>
  <c r="X135" i="24"/>
  <c r="AA135" i="24" s="1"/>
  <c r="AB135" i="24" s="1"/>
  <c r="AC135" i="24" s="1"/>
  <c r="U222" i="25"/>
  <c r="R200" i="25"/>
  <c r="S200" i="25"/>
  <c r="K200" i="25" s="1"/>
  <c r="Q200" i="25"/>
  <c r="BZ200" i="25"/>
  <c r="AO200" i="25"/>
  <c r="W54" i="24"/>
  <c r="V54" i="24"/>
  <c r="AE97" i="24"/>
  <c r="AI97" i="24"/>
  <c r="X97" i="24"/>
  <c r="AA97" i="24" s="1"/>
  <c r="AB97" i="24" s="1"/>
  <c r="AC97" i="24" s="1"/>
  <c r="U116" i="25"/>
  <c r="S242" i="25"/>
  <c r="K242" i="25" s="1"/>
  <c r="V242" i="25" s="1"/>
  <c r="R242" i="25"/>
  <c r="Q242" i="25"/>
  <c r="BZ242" i="25"/>
  <c r="AO242" i="25"/>
  <c r="U188" i="25"/>
  <c r="W35" i="24"/>
  <c r="Y35" i="24" s="1"/>
  <c r="R135" i="25"/>
  <c r="S135" i="25"/>
  <c r="K135" i="25" s="1"/>
  <c r="Q135" i="25"/>
  <c r="BZ135" i="25"/>
  <c r="AO135" i="25"/>
  <c r="R138" i="25"/>
  <c r="S138" i="25"/>
  <c r="K138" i="25" s="1"/>
  <c r="V138" i="25" s="1"/>
  <c r="Q138" i="25"/>
  <c r="BZ138" i="25"/>
  <c r="AO138" i="25"/>
  <c r="V220" i="24"/>
  <c r="W220" i="24"/>
  <c r="R42" i="25"/>
  <c r="S42" i="25"/>
  <c r="K42" i="25" s="1"/>
  <c r="Q42" i="25"/>
  <c r="AO42" i="25"/>
  <c r="BZ42" i="25"/>
  <c r="AD240" i="25"/>
  <c r="W240" i="25"/>
  <c r="Z240" i="25" s="1"/>
  <c r="AA240" i="25" s="1"/>
  <c r="AB240" i="25" s="1"/>
  <c r="AI240" i="25" s="1"/>
  <c r="U44" i="25"/>
  <c r="AD314" i="25"/>
  <c r="W314" i="25"/>
  <c r="Z314" i="25" s="1"/>
  <c r="AA314" i="25" s="1"/>
  <c r="AB314" i="25" s="1"/>
  <c r="AI314" i="25" s="1"/>
  <c r="W221" i="24"/>
  <c r="V221" i="24"/>
  <c r="AE137" i="24"/>
  <c r="AI137" i="24"/>
  <c r="X137" i="24"/>
  <c r="AA137" i="24" s="1"/>
  <c r="AB137" i="24" s="1"/>
  <c r="AC137" i="24" s="1"/>
  <c r="S45" i="25"/>
  <c r="K45" i="25" s="1"/>
  <c r="R45" i="25"/>
  <c r="Q45" i="25"/>
  <c r="AO45" i="25"/>
  <c r="BZ45" i="25"/>
  <c r="P183" i="24"/>
  <c r="Q183" i="24"/>
  <c r="AP183" i="24"/>
  <c r="W26" i="24"/>
  <c r="V26" i="24"/>
  <c r="AE59" i="24"/>
  <c r="AI59" i="24"/>
  <c r="X59" i="24"/>
  <c r="AA59" i="24" s="1"/>
  <c r="AB59" i="24" s="1"/>
  <c r="AC59" i="24" s="1"/>
  <c r="W196" i="24"/>
  <c r="V196" i="24"/>
  <c r="AE27" i="24"/>
  <c r="AI27" i="24"/>
  <c r="X27" i="24"/>
  <c r="AA27" i="24" s="1"/>
  <c r="AB27" i="24" s="1"/>
  <c r="AC27" i="24" s="1"/>
  <c r="W158" i="24"/>
  <c r="V158" i="24"/>
  <c r="Q259" i="24"/>
  <c r="P259" i="24"/>
  <c r="AP259" i="24"/>
  <c r="S76" i="25"/>
  <c r="K76" i="25" s="1"/>
  <c r="R76" i="25"/>
  <c r="Q76" i="25"/>
  <c r="BZ76" i="25"/>
  <c r="AO76" i="25"/>
  <c r="AE228" i="24"/>
  <c r="AI228" i="24"/>
  <c r="X228" i="24"/>
  <c r="AA228" i="24" s="1"/>
  <c r="AB228" i="24" s="1"/>
  <c r="AC228" i="24" s="1"/>
  <c r="S22" i="25"/>
  <c r="K22" i="25" s="1"/>
  <c r="V22" i="25" s="1"/>
  <c r="R22" i="25"/>
  <c r="Q22" i="25"/>
  <c r="BZ22" i="25"/>
  <c r="AO22" i="25"/>
  <c r="U40" i="25"/>
  <c r="AD192" i="25"/>
  <c r="V192" i="25"/>
  <c r="X192" i="25" s="1"/>
  <c r="W192" i="25"/>
  <c r="Z192" i="25" s="1"/>
  <c r="AA192" i="25" s="1"/>
  <c r="AB192" i="25" s="1"/>
  <c r="AI192" i="25" s="1"/>
  <c r="AD13" i="25"/>
  <c r="V13" i="25"/>
  <c r="X13" i="25" s="1"/>
  <c r="W13" i="25"/>
  <c r="Z13" i="25" s="1"/>
  <c r="AA13" i="25" s="1"/>
  <c r="AB13" i="25" s="1"/>
  <c r="AI13" i="25" s="1"/>
  <c r="AD199" i="25"/>
  <c r="W199" i="25"/>
  <c r="Z199" i="25" s="1"/>
  <c r="AA199" i="25" s="1"/>
  <c r="AB199" i="25" s="1"/>
  <c r="AI199" i="25" s="1"/>
  <c r="AE275" i="24"/>
  <c r="AI275" i="24"/>
  <c r="X275" i="24"/>
  <c r="AA275" i="24" s="1"/>
  <c r="AB275" i="24" s="1"/>
  <c r="AC275" i="24" s="1"/>
  <c r="V103" i="24"/>
  <c r="W103" i="24"/>
  <c r="R196" i="25"/>
  <c r="S196" i="25"/>
  <c r="K196" i="25" s="1"/>
  <c r="V196" i="25" s="1"/>
  <c r="Q196" i="25"/>
  <c r="BZ196" i="25"/>
  <c r="AO196" i="25"/>
  <c r="AE71" i="24"/>
  <c r="AI71" i="24"/>
  <c r="X71" i="24"/>
  <c r="AA71" i="24" s="1"/>
  <c r="AB71" i="24" s="1"/>
  <c r="AC71" i="24" s="1"/>
  <c r="P263" i="24"/>
  <c r="Q263" i="24"/>
  <c r="AP263" i="24"/>
  <c r="R115" i="25"/>
  <c r="S115" i="25"/>
  <c r="K115" i="25" s="1"/>
  <c r="Q115" i="25"/>
  <c r="AO115" i="25"/>
  <c r="BZ115" i="25"/>
  <c r="AE194" i="24"/>
  <c r="AI194" i="24"/>
  <c r="X194" i="24"/>
  <c r="AA194" i="24" s="1"/>
  <c r="AB194" i="24" s="1"/>
  <c r="AC194" i="24" s="1"/>
  <c r="V255" i="24"/>
  <c r="W255" i="24"/>
  <c r="V93" i="24"/>
  <c r="W93" i="24"/>
  <c r="S20" i="25"/>
  <c r="K20" i="25" s="1"/>
  <c r="R20" i="25"/>
  <c r="Q20" i="25"/>
  <c r="AO20" i="25"/>
  <c r="BZ20" i="25"/>
  <c r="U298" i="25"/>
  <c r="R299" i="25"/>
  <c r="S299" i="25"/>
  <c r="K299" i="25" s="1"/>
  <c r="Q299" i="25"/>
  <c r="AO299" i="25"/>
  <c r="BZ299" i="25"/>
  <c r="AG44" i="24"/>
  <c r="AF44" i="24"/>
  <c r="AD82" i="25"/>
  <c r="W82" i="25"/>
  <c r="Z82" i="25" s="1"/>
  <c r="AA82" i="25" s="1"/>
  <c r="AB82" i="25" s="1"/>
  <c r="AI82" i="25" s="1"/>
  <c r="V34" i="24"/>
  <c r="W34" i="24"/>
  <c r="AE12" i="24"/>
  <c r="AI12" i="24"/>
  <c r="X12" i="24"/>
  <c r="AA12" i="24" s="1"/>
  <c r="AB12" i="24" s="1"/>
  <c r="AC12" i="24" s="1"/>
  <c r="R51" i="25"/>
  <c r="S51" i="25"/>
  <c r="K51" i="25" s="1"/>
  <c r="Q51" i="25"/>
  <c r="AO51" i="25"/>
  <c r="BZ51" i="25"/>
  <c r="U18" i="25"/>
  <c r="S124" i="25"/>
  <c r="K124" i="25" s="1"/>
  <c r="R124" i="25"/>
  <c r="Q124" i="25"/>
  <c r="BZ124" i="25"/>
  <c r="AO124" i="25"/>
  <c r="U66" i="25"/>
  <c r="R142" i="25"/>
  <c r="S142" i="25"/>
  <c r="K142" i="25" s="1"/>
  <c r="Q142" i="25"/>
  <c r="AO142" i="25"/>
  <c r="BZ142" i="25"/>
  <c r="S236" i="25"/>
  <c r="K236" i="25" s="1"/>
  <c r="R236" i="25"/>
  <c r="Q236" i="25"/>
  <c r="AO236" i="25"/>
  <c r="BZ236" i="25"/>
  <c r="AE242" i="24"/>
  <c r="AI242" i="24"/>
  <c r="X242" i="24"/>
  <c r="AA242" i="24" s="1"/>
  <c r="AB242" i="24" s="1"/>
  <c r="AC242" i="24" s="1"/>
  <c r="P89" i="24"/>
  <c r="Q89" i="24"/>
  <c r="R89" i="24" s="1"/>
  <c r="AP89" i="24"/>
  <c r="W150" i="24"/>
  <c r="Y150" i="24" s="1"/>
  <c r="R150" i="25"/>
  <c r="S150" i="25"/>
  <c r="K150" i="25" s="1"/>
  <c r="Q150" i="25"/>
  <c r="AO150" i="25"/>
  <c r="BZ150" i="25"/>
  <c r="R304" i="25"/>
  <c r="S304" i="25"/>
  <c r="K304" i="25" s="1"/>
  <c r="Q304" i="25"/>
  <c r="AO304" i="25"/>
  <c r="BZ304" i="25"/>
  <c r="S162" i="25"/>
  <c r="K162" i="25" s="1"/>
  <c r="R162" i="25"/>
  <c r="Q162" i="25"/>
  <c r="AO162" i="25"/>
  <c r="BZ162" i="25"/>
  <c r="AD267" i="25"/>
  <c r="W267" i="25"/>
  <c r="Z267" i="25" s="1"/>
  <c r="AA267" i="25" s="1"/>
  <c r="AB267" i="25" s="1"/>
  <c r="AI267" i="25" s="1"/>
  <c r="AD246" i="25"/>
  <c r="W246" i="25"/>
  <c r="Z246" i="25" s="1"/>
  <c r="AA246" i="25" s="1"/>
  <c r="AB246" i="25" s="1"/>
  <c r="AI246" i="25" s="1"/>
  <c r="W102" i="24"/>
  <c r="V102" i="24"/>
  <c r="W117" i="24"/>
  <c r="V117" i="24"/>
  <c r="W293" i="24"/>
  <c r="V293" i="24"/>
  <c r="U56" i="25"/>
  <c r="V187" i="24"/>
  <c r="W187" i="24"/>
  <c r="V301" i="24"/>
  <c r="W301" i="24"/>
  <c r="U251" i="25"/>
  <c r="P194" i="24"/>
  <c r="Q194" i="24"/>
  <c r="AP194" i="24"/>
  <c r="S41" i="25"/>
  <c r="K41" i="25" s="1"/>
  <c r="V41" i="25" s="1"/>
  <c r="R41" i="25"/>
  <c r="Q41" i="25"/>
  <c r="AO41" i="25"/>
  <c r="BZ41" i="25"/>
  <c r="P203" i="24"/>
  <c r="Q203" i="24"/>
  <c r="AP203" i="24"/>
  <c r="U281" i="25"/>
  <c r="AE312" i="24"/>
  <c r="AI312" i="24"/>
  <c r="X312" i="24"/>
  <c r="AA312" i="24" s="1"/>
  <c r="AB312" i="24" s="1"/>
  <c r="AC312" i="24" s="1"/>
  <c r="U249" i="25"/>
  <c r="AE310" i="24"/>
  <c r="AI310" i="24"/>
  <c r="X310" i="24"/>
  <c r="AA310" i="24" s="1"/>
  <c r="AB310" i="24" s="1"/>
  <c r="AC310" i="24" s="1"/>
  <c r="S134" i="25"/>
  <c r="K134" i="25" s="1"/>
  <c r="R134" i="25"/>
  <c r="Q134" i="25"/>
  <c r="BZ134" i="25"/>
  <c r="AO134" i="25"/>
  <c r="AD147" i="25"/>
  <c r="W147" i="25"/>
  <c r="Z147" i="25" s="1"/>
  <c r="AA147" i="25" s="1"/>
  <c r="AB147" i="25" s="1"/>
  <c r="AI147" i="25" s="1"/>
  <c r="AE37" i="24"/>
  <c r="AI37" i="24"/>
  <c r="X37" i="24"/>
  <c r="AA37" i="24" s="1"/>
  <c r="AB37" i="24" s="1"/>
  <c r="AC37" i="24" s="1"/>
  <c r="V71" i="25"/>
  <c r="X71" i="25" s="1"/>
  <c r="V167" i="25"/>
  <c r="X167" i="25" s="1"/>
  <c r="V304" i="24"/>
  <c r="W304" i="24"/>
  <c r="AE272" i="24"/>
  <c r="AI272" i="24"/>
  <c r="X272" i="24"/>
  <c r="AA272" i="24" s="1"/>
  <c r="AB272" i="24" s="1"/>
  <c r="AC272" i="24" s="1"/>
  <c r="R39" i="25"/>
  <c r="S39" i="25"/>
  <c r="K39" i="25" s="1"/>
  <c r="Q39" i="25"/>
  <c r="AO39" i="25"/>
  <c r="BZ39" i="25"/>
  <c r="AG233" i="24"/>
  <c r="AF233" i="24"/>
  <c r="AJ132" i="24"/>
  <c r="S205" i="25"/>
  <c r="K205" i="25" s="1"/>
  <c r="V205" i="25" s="1"/>
  <c r="R205" i="25"/>
  <c r="Q205" i="25"/>
  <c r="AO205" i="25"/>
  <c r="BZ205" i="25"/>
  <c r="U25" i="25"/>
  <c r="AE95" i="24"/>
  <c r="AI95" i="24"/>
  <c r="X95" i="24"/>
  <c r="AA95" i="24" s="1"/>
  <c r="AB95" i="24" s="1"/>
  <c r="AC95" i="24" s="1"/>
  <c r="R102" i="25"/>
  <c r="S102" i="25"/>
  <c r="K102" i="25" s="1"/>
  <c r="Q102" i="25"/>
  <c r="AO102" i="25"/>
  <c r="BZ102" i="25"/>
  <c r="AE226" i="24"/>
  <c r="AI226" i="24"/>
  <c r="X226" i="24"/>
  <c r="AA226" i="24" s="1"/>
  <c r="AB226" i="24" s="1"/>
  <c r="AC226" i="24" s="1"/>
  <c r="S216" i="25"/>
  <c r="K216" i="25" s="1"/>
  <c r="R216" i="25"/>
  <c r="AO216" i="25"/>
  <c r="Q216" i="25"/>
  <c r="BZ216" i="25"/>
  <c r="S181" i="25"/>
  <c r="K181" i="25" s="1"/>
  <c r="R181" i="25"/>
  <c r="Q181" i="25"/>
  <c r="BZ181" i="25"/>
  <c r="AO181" i="25"/>
  <c r="W90" i="24"/>
  <c r="Y90" i="24" s="1"/>
  <c r="S81" i="25"/>
  <c r="K81" i="25" s="1"/>
  <c r="R81" i="25"/>
  <c r="Q81" i="25"/>
  <c r="AO81" i="25"/>
  <c r="BZ81" i="25"/>
  <c r="AE138" i="24"/>
  <c r="AI138" i="24"/>
  <c r="X138" i="24"/>
  <c r="AA138" i="24" s="1"/>
  <c r="AB138" i="24" s="1"/>
  <c r="AC138" i="24" s="1"/>
  <c r="AE201" i="24"/>
  <c r="AI201" i="24"/>
  <c r="X201" i="24"/>
  <c r="AA201" i="24" s="1"/>
  <c r="AB201" i="24" s="1"/>
  <c r="AC201" i="24" s="1"/>
  <c r="S157" i="25"/>
  <c r="K157" i="25" s="1"/>
  <c r="R157" i="25"/>
  <c r="Q157" i="25"/>
  <c r="BZ157" i="25"/>
  <c r="AO157" i="25"/>
  <c r="AE53" i="24"/>
  <c r="AI53" i="24"/>
  <c r="X53" i="24"/>
  <c r="AA53" i="24" s="1"/>
  <c r="AB53" i="24" s="1"/>
  <c r="AC53" i="24" s="1"/>
  <c r="AE176" i="24"/>
  <c r="AI176" i="24"/>
  <c r="X176" i="24"/>
  <c r="AA176" i="24" s="1"/>
  <c r="AB176" i="24" s="1"/>
  <c r="AC176" i="24" s="1"/>
  <c r="S145" i="25"/>
  <c r="K145" i="25" s="1"/>
  <c r="R145" i="25"/>
  <c r="Q145" i="25"/>
  <c r="AO145" i="25"/>
  <c r="BZ145" i="25"/>
  <c r="AE112" i="24"/>
  <c r="AI112" i="24"/>
  <c r="X112" i="24"/>
  <c r="AA112" i="24" s="1"/>
  <c r="AB112" i="24" s="1"/>
  <c r="AC112" i="24" s="1"/>
  <c r="AJ264" i="24"/>
  <c r="V146" i="24"/>
  <c r="W146" i="24"/>
  <c r="AE16" i="24"/>
  <c r="AI16" i="24"/>
  <c r="X16" i="24"/>
  <c r="AA16" i="24" s="1"/>
  <c r="AB16" i="24" s="1"/>
  <c r="AC16" i="24" s="1"/>
  <c r="W71" i="24"/>
  <c r="V71" i="24"/>
  <c r="V153" i="24"/>
  <c r="W153" i="24"/>
  <c r="V242" i="24"/>
  <c r="W242" i="24"/>
  <c r="Q122" i="24"/>
  <c r="P122" i="24"/>
  <c r="AP122" i="24"/>
  <c r="R269" i="25"/>
  <c r="S269" i="25"/>
  <c r="K269" i="25" s="1"/>
  <c r="Q269" i="25"/>
  <c r="AO269" i="25"/>
  <c r="BZ269" i="25"/>
  <c r="AE63" i="24"/>
  <c r="AI63" i="24"/>
  <c r="X63" i="24"/>
  <c r="AA63" i="24" s="1"/>
  <c r="AB63" i="24" s="1"/>
  <c r="AC63" i="24" s="1"/>
  <c r="U295" i="25"/>
  <c r="AD89" i="25"/>
  <c r="W89" i="25"/>
  <c r="Z89" i="25" s="1"/>
  <c r="AA89" i="25" s="1"/>
  <c r="AB89" i="25" s="1"/>
  <c r="AI89" i="25" s="1"/>
  <c r="S111" i="25"/>
  <c r="K111" i="25" s="1"/>
  <c r="R111" i="25"/>
  <c r="Q111" i="25"/>
  <c r="AO111" i="25"/>
  <c r="BZ111" i="25"/>
  <c r="U220" i="25"/>
  <c r="AE89" i="24"/>
  <c r="AI89" i="24"/>
  <c r="X89" i="24"/>
  <c r="AA89" i="24" s="1"/>
  <c r="AB89" i="24" s="1"/>
  <c r="AC89" i="24" s="1"/>
  <c r="AE198" i="24"/>
  <c r="AI198" i="24"/>
  <c r="X198" i="24"/>
  <c r="AA198" i="24" s="1"/>
  <c r="AB198" i="24" s="1"/>
  <c r="AC198" i="24" s="1"/>
  <c r="U260" i="25"/>
  <c r="AE223" i="24"/>
  <c r="AI223" i="24"/>
  <c r="X223" i="24"/>
  <c r="AA223" i="24" s="1"/>
  <c r="AB223" i="24" s="1"/>
  <c r="AC223" i="24" s="1"/>
  <c r="W127" i="24"/>
  <c r="Y127" i="24" s="1"/>
  <c r="AG45" i="24"/>
  <c r="AF45" i="24"/>
  <c r="P139" i="24"/>
  <c r="Q139" i="24"/>
  <c r="AP139" i="24"/>
  <c r="V63" i="24"/>
  <c r="W63" i="24"/>
  <c r="V240" i="24"/>
  <c r="W240" i="24"/>
  <c r="U78" i="25"/>
  <c r="W27" i="24"/>
  <c r="Y27" i="24" s="1"/>
  <c r="R121" i="25"/>
  <c r="S121" i="25"/>
  <c r="K121" i="25" s="1"/>
  <c r="Q121" i="25"/>
  <c r="BZ121" i="25"/>
  <c r="AO121" i="25"/>
  <c r="S168" i="25"/>
  <c r="K168" i="25" s="1"/>
  <c r="R168" i="25"/>
  <c r="Q168" i="25"/>
  <c r="AO168" i="25"/>
  <c r="BZ168" i="25"/>
  <c r="AE186" i="24"/>
  <c r="AI186" i="24"/>
  <c r="X186" i="24"/>
  <c r="AA186" i="24" s="1"/>
  <c r="AB186" i="24" s="1"/>
  <c r="AC186" i="24" s="1"/>
  <c r="U239" i="25"/>
  <c r="AE85" i="24"/>
  <c r="AI85" i="24"/>
  <c r="X85" i="24"/>
  <c r="AA85" i="24" s="1"/>
  <c r="AB85" i="24" s="1"/>
  <c r="AC85" i="24" s="1"/>
  <c r="W15" i="24"/>
  <c r="Y15" i="24" s="1"/>
  <c r="R222" i="25"/>
  <c r="S222" i="25"/>
  <c r="K222" i="25" s="1"/>
  <c r="Q222" i="25"/>
  <c r="AO222" i="25"/>
  <c r="BZ222" i="25"/>
  <c r="AE177" i="24"/>
  <c r="AI177" i="24"/>
  <c r="X177" i="24"/>
  <c r="AA177" i="24" s="1"/>
  <c r="AB177" i="24" s="1"/>
  <c r="AC177" i="24" s="1"/>
  <c r="P54" i="24"/>
  <c r="Q54" i="24"/>
  <c r="R54" i="24" s="1"/>
  <c r="AP54" i="24"/>
  <c r="AD262" i="25"/>
  <c r="W262" i="25"/>
  <c r="Z262" i="25" s="1"/>
  <c r="AA262" i="25" s="1"/>
  <c r="AB262" i="25" s="1"/>
  <c r="AI262" i="25" s="1"/>
  <c r="AE124" i="24"/>
  <c r="AI124" i="24"/>
  <c r="X124" i="24"/>
  <c r="AA124" i="24" s="1"/>
  <c r="AB124" i="24" s="1"/>
  <c r="AC124" i="24" s="1"/>
  <c r="S116" i="25"/>
  <c r="K116" i="25" s="1"/>
  <c r="V116" i="25" s="1"/>
  <c r="R116" i="25"/>
  <c r="Q116" i="25"/>
  <c r="AO116" i="25"/>
  <c r="BZ116" i="25"/>
  <c r="S253" i="25"/>
  <c r="K253" i="25" s="1"/>
  <c r="R253" i="25"/>
  <c r="Q253" i="25"/>
  <c r="BZ253" i="25"/>
  <c r="AO253" i="25"/>
  <c r="V246" i="25"/>
  <c r="X246" i="25" s="1"/>
  <c r="AE96" i="24"/>
  <c r="AI96" i="24"/>
  <c r="X96" i="24"/>
  <c r="AA96" i="24" s="1"/>
  <c r="AB96" i="24" s="1"/>
  <c r="AC96" i="24" s="1"/>
  <c r="R188" i="25"/>
  <c r="S188" i="25"/>
  <c r="K188" i="25" s="1"/>
  <c r="V188" i="25" s="1"/>
  <c r="Q188" i="25"/>
  <c r="AO188" i="25"/>
  <c r="BZ188" i="25"/>
  <c r="AE204" i="24"/>
  <c r="AI204" i="24"/>
  <c r="X204" i="24"/>
  <c r="AA204" i="24" s="1"/>
  <c r="AB204" i="24" s="1"/>
  <c r="AC204" i="24" s="1"/>
  <c r="Q220" i="24"/>
  <c r="P220" i="24"/>
  <c r="AP220" i="24"/>
  <c r="AD280" i="25" l="1"/>
  <c r="AE280" i="25" s="1"/>
  <c r="X187" i="25"/>
  <c r="X63" i="25"/>
  <c r="W280" i="25"/>
  <c r="Z280" i="25" s="1"/>
  <c r="AA280" i="25" s="1"/>
  <c r="AB280" i="25" s="1"/>
  <c r="AI280" i="25" s="1"/>
  <c r="AS280" i="25" s="1"/>
  <c r="X281" i="25"/>
  <c r="X251" i="25"/>
  <c r="Y124" i="24"/>
  <c r="Y221" i="24"/>
  <c r="Y243" i="24"/>
  <c r="Y141" i="24"/>
  <c r="Y291" i="24"/>
  <c r="Y177" i="24"/>
  <c r="X260" i="25"/>
  <c r="X105" i="25"/>
  <c r="W11" i="25"/>
  <c r="Z11" i="25" s="1"/>
  <c r="AA11" i="25" s="1"/>
  <c r="AB11" i="25" s="1"/>
  <c r="AI11" i="25" s="1"/>
  <c r="AS11" i="25" s="1"/>
  <c r="X78" i="25"/>
  <c r="X53" i="25"/>
  <c r="X18" i="25"/>
  <c r="X118" i="25"/>
  <c r="X249" i="25"/>
  <c r="X112" i="25"/>
  <c r="Y185" i="24"/>
  <c r="Y184" i="24"/>
  <c r="Y161" i="24"/>
  <c r="Y153" i="24"/>
  <c r="Y197" i="24"/>
  <c r="Y136" i="24"/>
  <c r="X234" i="25"/>
  <c r="Y280" i="24"/>
  <c r="Y156" i="24"/>
  <c r="Y297" i="24"/>
  <c r="X25" i="25"/>
  <c r="Y293" i="24"/>
  <c r="X183" i="25"/>
  <c r="Y174" i="24"/>
  <c r="Y282" i="24"/>
  <c r="Y179" i="24"/>
  <c r="Y288" i="24"/>
  <c r="Y145" i="24"/>
  <c r="Y154" i="24"/>
  <c r="Y245" i="24"/>
  <c r="Y256" i="24"/>
  <c r="X220" i="25"/>
  <c r="X169" i="25"/>
  <c r="X40" i="25"/>
  <c r="Y159" i="24"/>
  <c r="Y315" i="24"/>
  <c r="Y235" i="24"/>
  <c r="Y209" i="24"/>
  <c r="Y309" i="24"/>
  <c r="Y204" i="24"/>
  <c r="Y126" i="24"/>
  <c r="Y123" i="24"/>
  <c r="Y308" i="24"/>
  <c r="Y111" i="24"/>
  <c r="Y228" i="24"/>
  <c r="Y203" i="24"/>
  <c r="Y259" i="24"/>
  <c r="Y301" i="24"/>
  <c r="Y299" i="24"/>
  <c r="Y255" i="24"/>
  <c r="Y263" i="24"/>
  <c r="Y36" i="24"/>
  <c r="Y261" i="24"/>
  <c r="Y149" i="24"/>
  <c r="X239" i="25"/>
  <c r="X103" i="25"/>
  <c r="X44" i="25"/>
  <c r="X56" i="25"/>
  <c r="X298" i="25"/>
  <c r="X295" i="25"/>
  <c r="Y187" i="24"/>
  <c r="Y194" i="24"/>
  <c r="Y222" i="24"/>
  <c r="X55" i="25"/>
  <c r="Y151" i="24"/>
  <c r="Y144" i="24"/>
  <c r="Y295" i="24"/>
  <c r="Y158" i="24"/>
  <c r="Y143" i="24"/>
  <c r="Y183" i="24"/>
  <c r="Y266" i="24"/>
  <c r="Y135" i="24"/>
  <c r="X38" i="25"/>
  <c r="Y247" i="24"/>
  <c r="Y115" i="24"/>
  <c r="Y275" i="24"/>
  <c r="Y164" i="24"/>
  <c r="Y316" i="24"/>
  <c r="Y206" i="24"/>
  <c r="Y168" i="24"/>
  <c r="Y131" i="24"/>
  <c r="Y277" i="24"/>
  <c r="Y242" i="24"/>
  <c r="Y300" i="24"/>
  <c r="Y171" i="24"/>
  <c r="Y170" i="24"/>
  <c r="Y244" i="24"/>
  <c r="Y146" i="24"/>
  <c r="Y304" i="24"/>
  <c r="Y117" i="24"/>
  <c r="X66" i="25"/>
  <c r="X207" i="25"/>
  <c r="Y250" i="24"/>
  <c r="Y262" i="24"/>
  <c r="Y241" i="24"/>
  <c r="Y148" i="24"/>
  <c r="Y260" i="24"/>
  <c r="Y192" i="24"/>
  <c r="Y114" i="24"/>
  <c r="Y195" i="24"/>
  <c r="Y220" i="24"/>
  <c r="Y139" i="24"/>
  <c r="Y122" i="24"/>
  <c r="X47" i="25"/>
  <c r="Y229" i="24"/>
  <c r="Y283" i="24"/>
  <c r="Y138" i="24"/>
  <c r="Y113" i="24"/>
  <c r="Y140" i="24"/>
  <c r="Y298" i="24"/>
  <c r="Y240" i="24"/>
  <c r="Y196" i="24"/>
  <c r="Y112" i="24"/>
  <c r="Y186" i="24"/>
  <c r="Y239" i="24"/>
  <c r="Y210" i="24"/>
  <c r="Y232" i="24"/>
  <c r="Y176" i="24"/>
  <c r="Y249" i="24"/>
  <c r="X272" i="25"/>
  <c r="X140" i="25"/>
  <c r="X10" i="25"/>
  <c r="X266" i="25"/>
  <c r="X223" i="25"/>
  <c r="X138" i="25"/>
  <c r="X90" i="25"/>
  <c r="X307" i="25"/>
  <c r="X209" i="25"/>
  <c r="X101" i="25"/>
  <c r="X116" i="25"/>
  <c r="X74" i="25"/>
  <c r="X26" i="25"/>
  <c r="X225" i="25"/>
  <c r="X203" i="25"/>
  <c r="X123" i="25"/>
  <c r="X139" i="25"/>
  <c r="X99" i="25"/>
  <c r="X288" i="25"/>
  <c r="X196" i="25"/>
  <c r="X205" i="25"/>
  <c r="X217" i="25"/>
  <c r="X73" i="25"/>
  <c r="X165" i="25"/>
  <c r="X160" i="25"/>
  <c r="X175" i="25"/>
  <c r="X231" i="25"/>
  <c r="X122" i="25"/>
  <c r="X188" i="25"/>
  <c r="X84" i="25"/>
  <c r="X202" i="25"/>
  <c r="X171" i="25"/>
  <c r="X194" i="25"/>
  <c r="X197" i="25"/>
  <c r="X221" i="25"/>
  <c r="X27" i="25"/>
  <c r="X228" i="25"/>
  <c r="X41" i="25"/>
  <c r="X22" i="25"/>
  <c r="X242" i="25"/>
  <c r="X208" i="25"/>
  <c r="X218" i="25"/>
  <c r="X79" i="25"/>
  <c r="X302" i="25"/>
  <c r="X303" i="25"/>
  <c r="X159" i="25"/>
  <c r="X287" i="25"/>
  <c r="Y78" i="24"/>
  <c r="Y33" i="24"/>
  <c r="Y102" i="24"/>
  <c r="Y26" i="24"/>
  <c r="Y89" i="24"/>
  <c r="Y93" i="24"/>
  <c r="Y65" i="24"/>
  <c r="Y28" i="24"/>
  <c r="Y31" i="24"/>
  <c r="Y69" i="24"/>
  <c r="Y34" i="24"/>
  <c r="Y95" i="24"/>
  <c r="Y9" i="24"/>
  <c r="Y58" i="24"/>
  <c r="Y64" i="24"/>
  <c r="Y54" i="24"/>
  <c r="Y38" i="24"/>
  <c r="Y29" i="24"/>
  <c r="Y104" i="24"/>
  <c r="Y94" i="24"/>
  <c r="Y63" i="24"/>
  <c r="Y73" i="24"/>
  <c r="Y51" i="24"/>
  <c r="Y71" i="24"/>
  <c r="Y80" i="24"/>
  <c r="Y23" i="24"/>
  <c r="Y17" i="24"/>
  <c r="Y100" i="24"/>
  <c r="Y96" i="24"/>
  <c r="Y103" i="24"/>
  <c r="Y39" i="24"/>
  <c r="Y46" i="24"/>
  <c r="Y85" i="24"/>
  <c r="Y57" i="24"/>
  <c r="Y42" i="24"/>
  <c r="Y75" i="24"/>
  <c r="Y59" i="24"/>
  <c r="Y92" i="24"/>
  <c r="Y98" i="24"/>
  <c r="Y8" i="24"/>
  <c r="Y37" i="24"/>
  <c r="AD11" i="25"/>
  <c r="AE11" i="25" s="1"/>
  <c r="V155" i="25"/>
  <c r="X155" i="25" s="1"/>
  <c r="AJ194" i="24"/>
  <c r="AT194" i="24" s="1"/>
  <c r="AJ208" i="24"/>
  <c r="AT208" i="24" s="1"/>
  <c r="AJ205" i="24"/>
  <c r="AT205" i="24" s="1"/>
  <c r="AJ186" i="24"/>
  <c r="AT186" i="24" s="1"/>
  <c r="AJ192" i="24"/>
  <c r="AT192" i="24" s="1"/>
  <c r="AJ209" i="24"/>
  <c r="AT209" i="24" s="1"/>
  <c r="AJ201" i="24"/>
  <c r="AT201" i="24" s="1"/>
  <c r="AJ195" i="24"/>
  <c r="AT195" i="24" s="1"/>
  <c r="AJ189" i="24"/>
  <c r="AT189" i="24" s="1"/>
  <c r="AJ207" i="24"/>
  <c r="AT207" i="24" s="1"/>
  <c r="AJ202" i="24"/>
  <c r="AT202" i="24" s="1"/>
  <c r="AJ199" i="24"/>
  <c r="AT199" i="24" s="1"/>
  <c r="AD155" i="25"/>
  <c r="AF155" i="25" s="1"/>
  <c r="AV45" i="24"/>
  <c r="AV41" i="24"/>
  <c r="AT21" i="24"/>
  <c r="BA21" i="24" s="1"/>
  <c r="AV101" i="24"/>
  <c r="AV55" i="24"/>
  <c r="AT44" i="24"/>
  <c r="BA44" i="24" s="1"/>
  <c r="AV7" i="24"/>
  <c r="AJ204" i="24"/>
  <c r="AT204" i="24" s="1"/>
  <c r="AJ198" i="24"/>
  <c r="AT198" i="24" s="1"/>
  <c r="AJ203" i="24"/>
  <c r="AT203" i="24" s="1"/>
  <c r="AJ196" i="24"/>
  <c r="AT196" i="24" s="1"/>
  <c r="AJ206" i="24"/>
  <c r="AT206" i="24" s="1"/>
  <c r="AJ200" i="24"/>
  <c r="AT200" i="24" s="1"/>
  <c r="AJ185" i="24"/>
  <c r="AT185" i="24" s="1"/>
  <c r="AJ197" i="24"/>
  <c r="AT197" i="24" s="1"/>
  <c r="AJ188" i="24"/>
  <c r="AT188" i="24" s="1"/>
  <c r="AJ210" i="24"/>
  <c r="AT210" i="24" s="1"/>
  <c r="AJ187" i="24"/>
  <c r="AT187" i="24" s="1"/>
  <c r="AJ193" i="24"/>
  <c r="AT193" i="24" s="1"/>
  <c r="AJ184" i="24"/>
  <c r="AT184" i="24" s="1"/>
  <c r="V96" i="25"/>
  <c r="X96" i="25" s="1"/>
  <c r="W96" i="25"/>
  <c r="Z96" i="25" s="1"/>
  <c r="AA96" i="25" s="1"/>
  <c r="AB96" i="25" s="1"/>
  <c r="AI96" i="25" s="1"/>
  <c r="AS96" i="25" s="1"/>
  <c r="AJ178" i="24"/>
  <c r="AT178" i="24" s="1"/>
  <c r="AJ174" i="24"/>
  <c r="AT174" i="24" s="1"/>
  <c r="AJ173" i="24"/>
  <c r="AT173" i="24" s="1"/>
  <c r="AJ181" i="24"/>
  <c r="AT181" i="24" s="1"/>
  <c r="AJ171" i="24"/>
  <c r="AT171" i="24" s="1"/>
  <c r="AJ175" i="24"/>
  <c r="AT175" i="24" s="1"/>
  <c r="AJ180" i="24"/>
  <c r="AT180" i="24" s="1"/>
  <c r="AJ177" i="24"/>
  <c r="AT177" i="24" s="1"/>
  <c r="AJ103" i="24"/>
  <c r="AJ105" i="24"/>
  <c r="AJ96" i="24"/>
  <c r="AJ94" i="24"/>
  <c r="AJ99" i="24"/>
  <c r="W258" i="25"/>
  <c r="Z258" i="25" s="1"/>
  <c r="AA258" i="25" s="1"/>
  <c r="AB258" i="25" s="1"/>
  <c r="AI258" i="25" s="1"/>
  <c r="AS258" i="25" s="1"/>
  <c r="AD258" i="25"/>
  <c r="AE258" i="25" s="1"/>
  <c r="AV44" i="24"/>
  <c r="AF143" i="25"/>
  <c r="AM143" i="25" s="1"/>
  <c r="BG143" i="25" s="1"/>
  <c r="AJ170" i="24"/>
  <c r="AT170" i="24" s="1"/>
  <c r="AJ161" i="24"/>
  <c r="AT161" i="24" s="1"/>
  <c r="AJ85" i="24"/>
  <c r="AJ89" i="24"/>
  <c r="AJ165" i="24"/>
  <c r="AT165" i="24" s="1"/>
  <c r="W154" i="25"/>
  <c r="Z154" i="25" s="1"/>
  <c r="AA154" i="25" s="1"/>
  <c r="AB154" i="25" s="1"/>
  <c r="AI154" i="25" s="1"/>
  <c r="AS154" i="25" s="1"/>
  <c r="AD154" i="25"/>
  <c r="AJ176" i="24"/>
  <c r="AT176" i="24" s="1"/>
  <c r="AJ91" i="24"/>
  <c r="AJ158" i="24"/>
  <c r="AT158" i="24" s="1"/>
  <c r="AJ168" i="24"/>
  <c r="AT168" i="24" s="1"/>
  <c r="AT101" i="24"/>
  <c r="BA101" i="24" s="1"/>
  <c r="AJ163" i="24"/>
  <c r="AT163" i="24" s="1"/>
  <c r="AJ169" i="24"/>
  <c r="AT169" i="24" s="1"/>
  <c r="AJ167" i="24"/>
  <c r="AT167" i="24" s="1"/>
  <c r="AJ182" i="24"/>
  <c r="AT182" i="24" s="1"/>
  <c r="AJ183" i="24"/>
  <c r="AT183" i="24" s="1"/>
  <c r="AJ172" i="24"/>
  <c r="AT172" i="24" s="1"/>
  <c r="AJ164" i="24"/>
  <c r="AT164" i="24" s="1"/>
  <c r="AJ179" i="24"/>
  <c r="AT179" i="24" s="1"/>
  <c r="AD189" i="25"/>
  <c r="AF189" i="25" s="1"/>
  <c r="AT41" i="24"/>
  <c r="BA41" i="24" s="1"/>
  <c r="AJ69" i="24"/>
  <c r="AJ66" i="24"/>
  <c r="W97" i="25"/>
  <c r="Z97" i="25" s="1"/>
  <c r="AA97" i="25" s="1"/>
  <c r="AB97" i="25" s="1"/>
  <c r="AI97" i="25" s="1"/>
  <c r="AS97" i="25" s="1"/>
  <c r="AD97" i="25"/>
  <c r="AE97" i="25" s="1"/>
  <c r="AJ75" i="24"/>
  <c r="AJ93" i="24"/>
  <c r="AJ95" i="24"/>
  <c r="AJ84" i="24"/>
  <c r="AJ62" i="24"/>
  <c r="AJ157" i="24"/>
  <c r="AT157" i="24" s="1"/>
  <c r="AJ102" i="24"/>
  <c r="AJ90" i="24"/>
  <c r="AJ97" i="24"/>
  <c r="AJ74" i="24"/>
  <c r="AT7" i="24"/>
  <c r="BA7" i="24" s="1"/>
  <c r="AJ100" i="24"/>
  <c r="AJ98" i="24"/>
  <c r="AJ104" i="24"/>
  <c r="AJ81" i="24"/>
  <c r="AJ67" i="24"/>
  <c r="AJ79" i="24"/>
  <c r="AJ73" i="24"/>
  <c r="AJ92" i="24"/>
  <c r="AJ80" i="24"/>
  <c r="AJ86" i="24"/>
  <c r="AJ65" i="24"/>
  <c r="AJ70" i="24"/>
  <c r="AJ87" i="24"/>
  <c r="AJ88" i="24"/>
  <c r="AJ82" i="24"/>
  <c r="AJ68" i="24"/>
  <c r="AJ83" i="24"/>
  <c r="AJ72" i="24"/>
  <c r="AJ316" i="24"/>
  <c r="AT316" i="24" s="1"/>
  <c r="AT55" i="24"/>
  <c r="BA55" i="24" s="1"/>
  <c r="W179" i="25"/>
  <c r="Z179" i="25" s="1"/>
  <c r="AA179" i="25" s="1"/>
  <c r="AB179" i="25" s="1"/>
  <c r="AI179" i="25" s="1"/>
  <c r="AS179" i="25" s="1"/>
  <c r="AD179" i="25"/>
  <c r="AE179" i="25" s="1"/>
  <c r="V29" i="25"/>
  <c r="X29" i="25" s="1"/>
  <c r="W29" i="25"/>
  <c r="Z29" i="25" s="1"/>
  <c r="AA29" i="25" s="1"/>
  <c r="AB29" i="25" s="1"/>
  <c r="AI29" i="25" s="1"/>
  <c r="AS29" i="25" s="1"/>
  <c r="V28" i="25"/>
  <c r="X28" i="25" s="1"/>
  <c r="W291" i="25"/>
  <c r="Z291" i="25" s="1"/>
  <c r="AA291" i="25" s="1"/>
  <c r="AB291" i="25" s="1"/>
  <c r="AI291" i="25" s="1"/>
  <c r="AS291" i="25" s="1"/>
  <c r="W28" i="25"/>
  <c r="Z28" i="25" s="1"/>
  <c r="AA28" i="25" s="1"/>
  <c r="AB28" i="25" s="1"/>
  <c r="AI28" i="25" s="1"/>
  <c r="AS28" i="25" s="1"/>
  <c r="AD291" i="25"/>
  <c r="AE291" i="25" s="1"/>
  <c r="V265" i="25"/>
  <c r="X265" i="25" s="1"/>
  <c r="W265" i="25"/>
  <c r="Z265" i="25" s="1"/>
  <c r="AA265" i="25" s="1"/>
  <c r="AB265" i="25" s="1"/>
  <c r="AI265" i="25" s="1"/>
  <c r="AS265" i="25" s="1"/>
  <c r="AT45" i="24"/>
  <c r="BA45" i="24" s="1"/>
  <c r="AJ314" i="24"/>
  <c r="AT314" i="24" s="1"/>
  <c r="AV21" i="24"/>
  <c r="V189" i="25"/>
  <c r="X189" i="25" s="1"/>
  <c r="V104" i="25"/>
  <c r="X104" i="25" s="1"/>
  <c r="AD104" i="25"/>
  <c r="AF104" i="25" s="1"/>
  <c r="AJ311" i="24"/>
  <c r="AT311" i="24" s="1"/>
  <c r="AJ309" i="24"/>
  <c r="AT309" i="24" s="1"/>
  <c r="AJ307" i="24"/>
  <c r="AT307" i="24" s="1"/>
  <c r="AJ308" i="24"/>
  <c r="AT308" i="24" s="1"/>
  <c r="AJ156" i="24"/>
  <c r="AT156" i="24" s="1"/>
  <c r="AJ159" i="24"/>
  <c r="AT159" i="24" s="1"/>
  <c r="AJ76" i="24"/>
  <c r="AJ166" i="24"/>
  <c r="AT166" i="24" s="1"/>
  <c r="AJ312" i="24"/>
  <c r="AT312" i="24" s="1"/>
  <c r="AJ71" i="24"/>
  <c r="AJ315" i="24"/>
  <c r="AT315" i="24" s="1"/>
  <c r="AJ310" i="24"/>
  <c r="AT310" i="24" s="1"/>
  <c r="AJ78" i="24"/>
  <c r="AJ77" i="24"/>
  <c r="AJ64" i="24"/>
  <c r="AJ313" i="24"/>
  <c r="AT313" i="24" s="1"/>
  <c r="AD237" i="25"/>
  <c r="AE237" i="25" s="1"/>
  <c r="W237" i="25"/>
  <c r="Z237" i="25" s="1"/>
  <c r="AA237" i="25" s="1"/>
  <c r="AB237" i="25" s="1"/>
  <c r="AI237" i="25" s="1"/>
  <c r="AS237" i="25" s="1"/>
  <c r="AJ63" i="24"/>
  <c r="AJ61" i="24"/>
  <c r="AJ116" i="24"/>
  <c r="AT116" i="24" s="1"/>
  <c r="N212" i="25"/>
  <c r="BI212" i="25"/>
  <c r="AH212" i="25"/>
  <c r="BQ212" i="25"/>
  <c r="AJ252" i="24"/>
  <c r="AT252" i="24" s="1"/>
  <c r="AJ151" i="24"/>
  <c r="AT151" i="24" s="1"/>
  <c r="AJ115" i="24"/>
  <c r="AT115" i="24" s="1"/>
  <c r="AJ303" i="24"/>
  <c r="AT303" i="24" s="1"/>
  <c r="AJ275" i="24"/>
  <c r="AT275" i="24" s="1"/>
  <c r="AJ53" i="24"/>
  <c r="AJ47" i="24"/>
  <c r="AJ289" i="24"/>
  <c r="AT289" i="24" s="1"/>
  <c r="AJ254" i="24"/>
  <c r="AT254" i="24" s="1"/>
  <c r="AJ268" i="24"/>
  <c r="AT268" i="24" s="1"/>
  <c r="AJ141" i="24"/>
  <c r="AT141" i="24" s="1"/>
  <c r="AJ251" i="24"/>
  <c r="AT251" i="24" s="1"/>
  <c r="AJ60" i="24"/>
  <c r="V77" i="25"/>
  <c r="X77" i="25" s="1"/>
  <c r="AD77" i="25"/>
  <c r="W77" i="25"/>
  <c r="Z77" i="25" s="1"/>
  <c r="AA77" i="25" s="1"/>
  <c r="AB77" i="25" s="1"/>
  <c r="AI77" i="25" s="1"/>
  <c r="AS77" i="25" s="1"/>
  <c r="AW77" i="25" s="1"/>
  <c r="AJ272" i="24"/>
  <c r="AT272" i="24" s="1"/>
  <c r="AJ288" i="24"/>
  <c r="AT288" i="24" s="1"/>
  <c r="AJ40" i="24"/>
  <c r="AJ23" i="24"/>
  <c r="AJ276" i="24"/>
  <c r="AT276" i="24" s="1"/>
  <c r="AJ42" i="24"/>
  <c r="AJ286" i="24"/>
  <c r="AT286" i="24" s="1"/>
  <c r="AJ231" i="24"/>
  <c r="AT231" i="24" s="1"/>
  <c r="AJ143" i="24"/>
  <c r="AT143" i="24" s="1"/>
  <c r="AJ139" i="24"/>
  <c r="AT139" i="24" s="1"/>
  <c r="AJ11" i="24"/>
  <c r="AJ52" i="24"/>
  <c r="AJ144" i="24"/>
  <c r="AT144" i="24" s="1"/>
  <c r="AJ39" i="24"/>
  <c r="AJ127" i="24"/>
  <c r="AT127" i="24" s="1"/>
  <c r="AJ36" i="24"/>
  <c r="AJ137" i="24"/>
  <c r="AT137" i="24" s="1"/>
  <c r="AJ245" i="24"/>
  <c r="AT245" i="24" s="1"/>
  <c r="AJ149" i="24"/>
  <c r="AT149" i="24" s="1"/>
  <c r="AJ140" i="24"/>
  <c r="AT140" i="24" s="1"/>
  <c r="AJ285" i="24"/>
  <c r="AT285" i="24" s="1"/>
  <c r="AJ223" i="24"/>
  <c r="AT223" i="24" s="1"/>
  <c r="AJ13" i="24"/>
  <c r="AJ239" i="24"/>
  <c r="AT239" i="24" s="1"/>
  <c r="AJ262" i="24"/>
  <c r="AT262" i="24" s="1"/>
  <c r="AJ291" i="24"/>
  <c r="AT291" i="24" s="1"/>
  <c r="AJ277" i="24"/>
  <c r="AT277" i="24" s="1"/>
  <c r="AJ234" i="24"/>
  <c r="AT234" i="24" s="1"/>
  <c r="AJ217" i="24"/>
  <c r="AT217" i="24" s="1"/>
  <c r="AJ31" i="24"/>
  <c r="AJ293" i="24"/>
  <c r="AT293" i="24" s="1"/>
  <c r="AJ154" i="24"/>
  <c r="AT154" i="24" s="1"/>
  <c r="AJ50" i="24"/>
  <c r="AJ306" i="24"/>
  <c r="AT306" i="24" s="1"/>
  <c r="AJ49" i="24"/>
  <c r="AJ230" i="24"/>
  <c r="AT230" i="24" s="1"/>
  <c r="AJ241" i="24"/>
  <c r="AT241" i="24" s="1"/>
  <c r="AJ46" i="24"/>
  <c r="AJ150" i="24"/>
  <c r="AT150" i="24" s="1"/>
  <c r="AJ38" i="24"/>
  <c r="AJ226" i="24"/>
  <c r="AT226" i="24" s="1"/>
  <c r="AJ302" i="24"/>
  <c r="AT302" i="24" s="1"/>
  <c r="AJ122" i="24"/>
  <c r="AT122" i="24" s="1"/>
  <c r="AJ229" i="24"/>
  <c r="AT229" i="24" s="1"/>
  <c r="AJ244" i="24"/>
  <c r="AT244" i="24" s="1"/>
  <c r="AJ15" i="24"/>
  <c r="AJ256" i="24"/>
  <c r="AT256" i="24" s="1"/>
  <c r="AJ287" i="24"/>
  <c r="AT287" i="24" s="1"/>
  <c r="AJ270" i="24"/>
  <c r="AT270" i="24" s="1"/>
  <c r="AJ304" i="24"/>
  <c r="AT304" i="24" s="1"/>
  <c r="AJ146" i="24"/>
  <c r="AT146" i="24" s="1"/>
  <c r="AJ134" i="24"/>
  <c r="AT134" i="24" s="1"/>
  <c r="AJ138" i="24"/>
  <c r="AT138" i="24" s="1"/>
  <c r="AJ27" i="24"/>
  <c r="AJ136" i="24"/>
  <c r="AT136" i="24" s="1"/>
  <c r="AJ43" i="24"/>
  <c r="AJ10" i="24"/>
  <c r="AJ300" i="24"/>
  <c r="AT300" i="24" s="1"/>
  <c r="AJ29" i="24"/>
  <c r="AJ255" i="24"/>
  <c r="AT255" i="24" s="1"/>
  <c r="AJ278" i="24"/>
  <c r="AT278" i="24" s="1"/>
  <c r="AJ246" i="24"/>
  <c r="AT246" i="24" s="1"/>
  <c r="AJ250" i="24"/>
  <c r="AT250" i="24" s="1"/>
  <c r="AJ16" i="24"/>
  <c r="AJ227" i="24"/>
  <c r="AT227" i="24" s="1"/>
  <c r="AJ222" i="24"/>
  <c r="AT222" i="24" s="1"/>
  <c r="AJ124" i="24"/>
  <c r="AT124" i="24" s="1"/>
  <c r="AJ14" i="24"/>
  <c r="AJ118" i="24"/>
  <c r="AT118" i="24" s="1"/>
  <c r="AJ113" i="24"/>
  <c r="AT113" i="24" s="1"/>
  <c r="AJ220" i="24"/>
  <c r="AT220" i="24" s="1"/>
  <c r="AJ131" i="24"/>
  <c r="AT131" i="24" s="1"/>
  <c r="AJ25" i="24"/>
  <c r="AJ221" i="24"/>
  <c r="AT221" i="24" s="1"/>
  <c r="AD253" i="25"/>
  <c r="W253" i="25"/>
  <c r="Z253" i="25" s="1"/>
  <c r="AA253" i="25" s="1"/>
  <c r="AB253" i="25" s="1"/>
  <c r="AI253" i="25" s="1"/>
  <c r="V253" i="25"/>
  <c r="X253" i="25" s="1"/>
  <c r="AG223" i="24"/>
  <c r="AF223" i="24"/>
  <c r="AD102" i="25"/>
  <c r="W102" i="25"/>
  <c r="Z102" i="25" s="1"/>
  <c r="AA102" i="25" s="1"/>
  <c r="AB102" i="25" s="1"/>
  <c r="AI102" i="25" s="1"/>
  <c r="V102" i="25"/>
  <c r="X102" i="25" s="1"/>
  <c r="AF192" i="25"/>
  <c r="AE192" i="25"/>
  <c r="AG124" i="24"/>
  <c r="AF124" i="24"/>
  <c r="AD222" i="25"/>
  <c r="W222" i="25"/>
  <c r="Z222" i="25" s="1"/>
  <c r="AA222" i="25" s="1"/>
  <c r="AB222" i="25" s="1"/>
  <c r="AI222" i="25" s="1"/>
  <c r="AN45" i="24"/>
  <c r="AK45" i="24"/>
  <c r="AG89" i="24"/>
  <c r="AF89" i="24"/>
  <c r="AD111" i="25"/>
  <c r="W111" i="25"/>
  <c r="Z111" i="25" s="1"/>
  <c r="AA111" i="25" s="1"/>
  <c r="AB111" i="25" s="1"/>
  <c r="AI111" i="25" s="1"/>
  <c r="V111" i="25"/>
  <c r="X111" i="25" s="1"/>
  <c r="AD157" i="25"/>
  <c r="W157" i="25"/>
  <c r="Z157" i="25" s="1"/>
  <c r="AA157" i="25" s="1"/>
  <c r="AB157" i="25" s="1"/>
  <c r="AI157" i="25" s="1"/>
  <c r="AD181" i="25"/>
  <c r="W181" i="25"/>
  <c r="Z181" i="25" s="1"/>
  <c r="AA181" i="25" s="1"/>
  <c r="AB181" i="25" s="1"/>
  <c r="AI181" i="25" s="1"/>
  <c r="AG37" i="24"/>
  <c r="AF37" i="24"/>
  <c r="AD134" i="25"/>
  <c r="W134" i="25"/>
  <c r="Z134" i="25" s="1"/>
  <c r="AA134" i="25" s="1"/>
  <c r="AB134" i="25" s="1"/>
  <c r="AI134" i="25" s="1"/>
  <c r="V134" i="25"/>
  <c r="X134" i="25" s="1"/>
  <c r="AG312" i="24"/>
  <c r="AF312" i="24"/>
  <c r="AS267" i="25"/>
  <c r="AG242" i="24"/>
  <c r="AF242" i="24"/>
  <c r="AG12" i="24"/>
  <c r="AF12" i="24"/>
  <c r="AS82" i="25"/>
  <c r="AD299" i="25"/>
  <c r="W299" i="25"/>
  <c r="Z299" i="25" s="1"/>
  <c r="AA299" i="25" s="1"/>
  <c r="AB299" i="25" s="1"/>
  <c r="AI299" i="25" s="1"/>
  <c r="AF199" i="25"/>
  <c r="AE199" i="25"/>
  <c r="AJ228" i="24"/>
  <c r="AD76" i="25"/>
  <c r="W76" i="25"/>
  <c r="Z76" i="25" s="1"/>
  <c r="AA76" i="25" s="1"/>
  <c r="AB76" i="25" s="1"/>
  <c r="AI76" i="25" s="1"/>
  <c r="AF314" i="25"/>
  <c r="AE314" i="25"/>
  <c r="AJ135" i="24"/>
  <c r="AG78" i="24"/>
  <c r="AF78" i="24"/>
  <c r="AK142" i="24"/>
  <c r="AN142" i="24"/>
  <c r="AG295" i="24"/>
  <c r="AF295" i="24"/>
  <c r="AK119" i="24"/>
  <c r="AN119" i="24"/>
  <c r="AK257" i="24"/>
  <c r="AN257" i="24"/>
  <c r="BI257" i="24" s="1"/>
  <c r="AS161" i="25"/>
  <c r="AG253" i="24"/>
  <c r="AF253" i="24"/>
  <c r="AE28" i="25"/>
  <c r="AG152" i="24"/>
  <c r="AF152" i="24"/>
  <c r="AD125" i="25"/>
  <c r="W125" i="25"/>
  <c r="Z125" i="25" s="1"/>
  <c r="AA125" i="25" s="1"/>
  <c r="AB125" i="25" s="1"/>
  <c r="AI125" i="25" s="1"/>
  <c r="AJ26" i="24"/>
  <c r="AG100" i="24"/>
  <c r="AF100" i="24"/>
  <c r="AD295" i="25"/>
  <c r="W295" i="25"/>
  <c r="Z295" i="25" s="1"/>
  <c r="AA295" i="25" s="1"/>
  <c r="AB295" i="25" s="1"/>
  <c r="AI295" i="25" s="1"/>
  <c r="BA119" i="24"/>
  <c r="AJ35" i="24"/>
  <c r="AD298" i="25"/>
  <c r="W298" i="25"/>
  <c r="Z298" i="25" s="1"/>
  <c r="AA298" i="25" s="1"/>
  <c r="AB298" i="25" s="1"/>
  <c r="AI298" i="25" s="1"/>
  <c r="AJ153" i="24"/>
  <c r="AD277" i="25"/>
  <c r="W277" i="25"/>
  <c r="Z277" i="25" s="1"/>
  <c r="AA277" i="25" s="1"/>
  <c r="AB277" i="25" s="1"/>
  <c r="AI277" i="25" s="1"/>
  <c r="AD152" i="25"/>
  <c r="W152" i="25"/>
  <c r="Z152" i="25" s="1"/>
  <c r="AA152" i="25" s="1"/>
  <c r="AB152" i="25" s="1"/>
  <c r="AI152" i="25" s="1"/>
  <c r="V152" i="25"/>
  <c r="X152" i="25" s="1"/>
  <c r="AD250" i="25"/>
  <c r="W250" i="25"/>
  <c r="Z250" i="25" s="1"/>
  <c r="AA250" i="25" s="1"/>
  <c r="AB250" i="25" s="1"/>
  <c r="AI250" i="25" s="1"/>
  <c r="V250" i="25"/>
  <c r="X250" i="25" s="1"/>
  <c r="AD48" i="25"/>
  <c r="W48" i="25"/>
  <c r="Z48" i="25" s="1"/>
  <c r="AA48" i="25" s="1"/>
  <c r="AB48" i="25" s="1"/>
  <c r="AI48" i="25" s="1"/>
  <c r="V48" i="25"/>
  <c r="X48" i="25" s="1"/>
  <c r="AJ249" i="24"/>
  <c r="AF31" i="25"/>
  <c r="AE31" i="25"/>
  <c r="AG66" i="24"/>
  <c r="AF66" i="24"/>
  <c r="AS247" i="25"/>
  <c r="AF204" i="25"/>
  <c r="AE204" i="25"/>
  <c r="AJ111" i="24"/>
  <c r="AD187" i="25"/>
  <c r="W187" i="25"/>
  <c r="Z187" i="25" s="1"/>
  <c r="AA187" i="25" s="1"/>
  <c r="AB187" i="25" s="1"/>
  <c r="AI187" i="25" s="1"/>
  <c r="AJ51" i="24"/>
  <c r="AG306" i="24"/>
  <c r="AF306" i="24"/>
  <c r="AG80" i="24"/>
  <c r="AF80" i="24"/>
  <c r="AG244" i="24"/>
  <c r="AF244" i="24"/>
  <c r="AS62" i="25"/>
  <c r="AJ301" i="24"/>
  <c r="AD24" i="25"/>
  <c r="W24" i="25"/>
  <c r="Z24" i="25" s="1"/>
  <c r="AA24" i="25" s="1"/>
  <c r="AB24" i="25" s="1"/>
  <c r="AI24" i="25" s="1"/>
  <c r="V24" i="25"/>
  <c r="X24" i="25" s="1"/>
  <c r="AJ129" i="25"/>
  <c r="AM129" i="25"/>
  <c r="BG129" i="25" s="1"/>
  <c r="AG91" i="24"/>
  <c r="AF91" i="24"/>
  <c r="AG67" i="24"/>
  <c r="AF67" i="24"/>
  <c r="AD166" i="25"/>
  <c r="W166" i="25"/>
  <c r="Z166" i="25" s="1"/>
  <c r="AA166" i="25" s="1"/>
  <c r="AB166" i="25" s="1"/>
  <c r="AI166" i="25" s="1"/>
  <c r="V166" i="25"/>
  <c r="X166" i="25" s="1"/>
  <c r="AJ133" i="24"/>
  <c r="AN41" i="24"/>
  <c r="AK41" i="24"/>
  <c r="AF282" i="25"/>
  <c r="AE282" i="25"/>
  <c r="AD37" i="25"/>
  <c r="W37" i="25"/>
  <c r="Z37" i="25" s="1"/>
  <c r="AA37" i="25" s="1"/>
  <c r="AB37" i="25" s="1"/>
  <c r="AI37" i="25" s="1"/>
  <c r="V37" i="25"/>
  <c r="X37" i="25" s="1"/>
  <c r="AJ58" i="24"/>
  <c r="AJ269" i="24"/>
  <c r="AJ54" i="24"/>
  <c r="AD278" i="25"/>
  <c r="W278" i="25"/>
  <c r="Z278" i="25" s="1"/>
  <c r="AA278" i="25" s="1"/>
  <c r="AB278" i="25" s="1"/>
  <c r="AI278" i="25" s="1"/>
  <c r="AJ125" i="24"/>
  <c r="AD63" i="25"/>
  <c r="W63" i="25"/>
  <c r="Z63" i="25" s="1"/>
  <c r="AA63" i="25" s="1"/>
  <c r="AB63" i="25" s="1"/>
  <c r="AI63" i="25" s="1"/>
  <c r="AJ24" i="24"/>
  <c r="AF178" i="25"/>
  <c r="AE178" i="25"/>
  <c r="AG231" i="24"/>
  <c r="AF231" i="24"/>
  <c r="AG192" i="24"/>
  <c r="AF192" i="24"/>
  <c r="AS6" i="25"/>
  <c r="AS292" i="25"/>
  <c r="AJ148" i="24"/>
  <c r="AG130" i="24"/>
  <c r="AF130" i="24"/>
  <c r="AJ117" i="24"/>
  <c r="AG243" i="24"/>
  <c r="AF243" i="24"/>
  <c r="AG60" i="24"/>
  <c r="AF60" i="24"/>
  <c r="AD271" i="25"/>
  <c r="W271" i="25"/>
  <c r="Z271" i="25" s="1"/>
  <c r="AA271" i="25" s="1"/>
  <c r="AB271" i="25" s="1"/>
  <c r="AI271" i="25" s="1"/>
  <c r="V271" i="25"/>
  <c r="X271" i="25" s="1"/>
  <c r="AD44" i="25"/>
  <c r="W44" i="25"/>
  <c r="Z44" i="25" s="1"/>
  <c r="AA44" i="25" s="1"/>
  <c r="AB44" i="25" s="1"/>
  <c r="AI44" i="25" s="1"/>
  <c r="AG248" i="24"/>
  <c r="AF248" i="24"/>
  <c r="AD286" i="25"/>
  <c r="W286" i="25"/>
  <c r="Z286" i="25" s="1"/>
  <c r="AA286" i="25" s="1"/>
  <c r="AB286" i="25" s="1"/>
  <c r="AI286" i="25" s="1"/>
  <c r="AF170" i="25"/>
  <c r="AE170" i="25"/>
  <c r="AD70" i="25"/>
  <c r="W70" i="25"/>
  <c r="Z70" i="25" s="1"/>
  <c r="AA70" i="25" s="1"/>
  <c r="AB70" i="25" s="1"/>
  <c r="AI70" i="25" s="1"/>
  <c r="AM110" i="25"/>
  <c r="BG110" i="25" s="1"/>
  <c r="AJ110" i="25"/>
  <c r="AG139" i="24"/>
  <c r="AF139" i="24"/>
  <c r="AG23" i="24"/>
  <c r="AF23" i="24"/>
  <c r="AG147" i="24"/>
  <c r="AF147" i="24"/>
  <c r="AG103" i="24"/>
  <c r="AF103" i="24"/>
  <c r="AS94" i="25"/>
  <c r="AD235" i="25"/>
  <c r="W235" i="25"/>
  <c r="Z235" i="25" s="1"/>
  <c r="AA235" i="25" s="1"/>
  <c r="AB235" i="25" s="1"/>
  <c r="AI235" i="25" s="1"/>
  <c r="V235" i="25"/>
  <c r="X235" i="25" s="1"/>
  <c r="AG168" i="24"/>
  <c r="AF168" i="24"/>
  <c r="AD85" i="25"/>
  <c r="W85" i="25"/>
  <c r="Z85" i="25" s="1"/>
  <c r="AA85" i="25" s="1"/>
  <c r="AB85" i="25" s="1"/>
  <c r="AI85" i="25" s="1"/>
  <c r="V85" i="25"/>
  <c r="X85" i="25" s="1"/>
  <c r="AJ121" i="24"/>
  <c r="AG102" i="24"/>
  <c r="AF102" i="24"/>
  <c r="AG99" i="24"/>
  <c r="AF99" i="24"/>
  <c r="AJ281" i="24"/>
  <c r="AD230" i="25"/>
  <c r="W230" i="25"/>
  <c r="Z230" i="25" s="1"/>
  <c r="AA230" i="25" s="1"/>
  <c r="AB230" i="25" s="1"/>
  <c r="AI230" i="25" s="1"/>
  <c r="AD308" i="25"/>
  <c r="W308" i="25"/>
  <c r="Z308" i="25" s="1"/>
  <c r="AA308" i="25" s="1"/>
  <c r="AB308" i="25" s="1"/>
  <c r="AI308" i="25" s="1"/>
  <c r="V308" i="25"/>
  <c r="X308" i="25" s="1"/>
  <c r="AJ296" i="24"/>
  <c r="AG273" i="24"/>
  <c r="AF273" i="24"/>
  <c r="AG76" i="24"/>
  <c r="AF76" i="24"/>
  <c r="AK191" i="24"/>
  <c r="AN191" i="24"/>
  <c r="AJ218" i="24"/>
  <c r="AD191" i="25"/>
  <c r="W191" i="25"/>
  <c r="Z191" i="25" s="1"/>
  <c r="AA191" i="25" s="1"/>
  <c r="AB191" i="25" s="1"/>
  <c r="AI191" i="25" s="1"/>
  <c r="V191" i="25"/>
  <c r="X191" i="25" s="1"/>
  <c r="AJ28" i="24"/>
  <c r="AD141" i="25"/>
  <c r="W141" i="25"/>
  <c r="Z141" i="25" s="1"/>
  <c r="AA141" i="25" s="1"/>
  <c r="AB141" i="25" s="1"/>
  <c r="AI141" i="25" s="1"/>
  <c r="V141" i="25"/>
  <c r="X141" i="25" s="1"/>
  <c r="AS259" i="25"/>
  <c r="AJ298" i="24"/>
  <c r="AF232" i="25"/>
  <c r="AE232" i="25"/>
  <c r="AD66" i="25"/>
  <c r="W66" i="25"/>
  <c r="Z66" i="25" s="1"/>
  <c r="AA66" i="25" s="1"/>
  <c r="AB66" i="25" s="1"/>
  <c r="AI66" i="25" s="1"/>
  <c r="AG79" i="24"/>
  <c r="AF79" i="24"/>
  <c r="AG165" i="24"/>
  <c r="AF165" i="24"/>
  <c r="AJ280" i="24"/>
  <c r="AG73" i="24"/>
  <c r="AF73" i="24"/>
  <c r="AJ305" i="24"/>
  <c r="AG232" i="24"/>
  <c r="AF232" i="24"/>
  <c r="AD88" i="25"/>
  <c r="W88" i="25"/>
  <c r="Z88" i="25" s="1"/>
  <c r="AA88" i="25" s="1"/>
  <c r="AB88" i="25" s="1"/>
  <c r="AI88" i="25" s="1"/>
  <c r="V88" i="25"/>
  <c r="X88" i="25" s="1"/>
  <c r="AG16" i="24"/>
  <c r="AF16" i="24"/>
  <c r="AD81" i="25"/>
  <c r="W81" i="25"/>
  <c r="Z81" i="25" s="1"/>
  <c r="AA81" i="25" s="1"/>
  <c r="AB81" i="25" s="1"/>
  <c r="AI81" i="25" s="1"/>
  <c r="AN233" i="24"/>
  <c r="AK233" i="24"/>
  <c r="AS147" i="25"/>
  <c r="AF267" i="25"/>
  <c r="AE267" i="25"/>
  <c r="AF82" i="25"/>
  <c r="AE82" i="25"/>
  <c r="AD20" i="25"/>
  <c r="W20" i="25"/>
  <c r="Z20" i="25" s="1"/>
  <c r="AA20" i="25" s="1"/>
  <c r="AB20" i="25" s="1"/>
  <c r="AI20" i="25" s="1"/>
  <c r="V20" i="25"/>
  <c r="X20" i="25" s="1"/>
  <c r="AD115" i="25"/>
  <c r="W115" i="25"/>
  <c r="Z115" i="25" s="1"/>
  <c r="AA115" i="25" s="1"/>
  <c r="AB115" i="25" s="1"/>
  <c r="AI115" i="25" s="1"/>
  <c r="AG71" i="24"/>
  <c r="AF71" i="24"/>
  <c r="AG27" i="24"/>
  <c r="AF27" i="24"/>
  <c r="AG293" i="24"/>
  <c r="AF293" i="24"/>
  <c r="AS198" i="25"/>
  <c r="AG74" i="24"/>
  <c r="AF74" i="24"/>
  <c r="AG13" i="24"/>
  <c r="AF13" i="24"/>
  <c r="AS30" i="25"/>
  <c r="AG171" i="24"/>
  <c r="AF171" i="24"/>
  <c r="AF161" i="25"/>
  <c r="AE161" i="25"/>
  <c r="AD180" i="25"/>
  <c r="W180" i="25"/>
  <c r="Z180" i="25" s="1"/>
  <c r="AA180" i="25" s="1"/>
  <c r="AB180" i="25" s="1"/>
  <c r="AI180" i="25" s="1"/>
  <c r="V180" i="25"/>
  <c r="X180" i="25" s="1"/>
  <c r="AS305" i="25"/>
  <c r="V76" i="25"/>
  <c r="X76" i="25" s="1"/>
  <c r="AG75" i="24"/>
  <c r="AF75" i="24"/>
  <c r="AG87" i="24"/>
  <c r="AF87" i="24"/>
  <c r="AG93" i="24"/>
  <c r="AF93" i="24"/>
  <c r="AD226" i="25"/>
  <c r="W226" i="25"/>
  <c r="Z226" i="25" s="1"/>
  <c r="AA226" i="25" s="1"/>
  <c r="AB226" i="25" s="1"/>
  <c r="AI226" i="25" s="1"/>
  <c r="AG154" i="24"/>
  <c r="AF154" i="24"/>
  <c r="AG40" i="24"/>
  <c r="AF40" i="24"/>
  <c r="AG43" i="24"/>
  <c r="AF43" i="24"/>
  <c r="BA294" i="24"/>
  <c r="AD50" i="25"/>
  <c r="W50" i="25"/>
  <c r="Z50" i="25" s="1"/>
  <c r="AA50" i="25" s="1"/>
  <c r="AB50" i="25" s="1"/>
  <c r="AI50" i="25" s="1"/>
  <c r="V50" i="25"/>
  <c r="X50" i="25" s="1"/>
  <c r="AD118" i="25"/>
  <c r="W118" i="25"/>
  <c r="Z118" i="25" s="1"/>
  <c r="AA118" i="25" s="1"/>
  <c r="AB118" i="25" s="1"/>
  <c r="AI118" i="25" s="1"/>
  <c r="AG175" i="24"/>
  <c r="AF175" i="24"/>
  <c r="AG50" i="24"/>
  <c r="AF50" i="24"/>
  <c r="AD313" i="25"/>
  <c r="W313" i="25"/>
  <c r="Z313" i="25" s="1"/>
  <c r="AA313" i="25" s="1"/>
  <c r="AB313" i="25" s="1"/>
  <c r="AI313" i="25" s="1"/>
  <c r="V125" i="25"/>
  <c r="X125" i="25" s="1"/>
  <c r="AD263" i="25"/>
  <c r="W263" i="25"/>
  <c r="Z263" i="25" s="1"/>
  <c r="AA263" i="25" s="1"/>
  <c r="AB263" i="25" s="1"/>
  <c r="AI263" i="25" s="1"/>
  <c r="V263" i="25"/>
  <c r="X263" i="25" s="1"/>
  <c r="AK22" i="24"/>
  <c r="AN22" i="24"/>
  <c r="BI22" i="24" s="1"/>
  <c r="AF247" i="25"/>
  <c r="AE247" i="25"/>
  <c r="AF62" i="25"/>
  <c r="AE62" i="25"/>
  <c r="AD311" i="25"/>
  <c r="W311" i="25"/>
  <c r="Z311" i="25" s="1"/>
  <c r="AA311" i="25" s="1"/>
  <c r="AB311" i="25" s="1"/>
  <c r="AI311" i="25" s="1"/>
  <c r="V311" i="25"/>
  <c r="X311" i="25" s="1"/>
  <c r="AG220" i="24"/>
  <c r="AF220" i="24"/>
  <c r="BA190" i="24"/>
  <c r="AG134" i="24"/>
  <c r="AF134" i="24"/>
  <c r="AG185" i="24"/>
  <c r="AF185" i="24"/>
  <c r="AG234" i="24"/>
  <c r="AF234" i="24"/>
  <c r="AD268" i="25"/>
  <c r="W268" i="25"/>
  <c r="Z268" i="25" s="1"/>
  <c r="AA268" i="25" s="1"/>
  <c r="AB268" i="25" s="1"/>
  <c r="AI268" i="25" s="1"/>
  <c r="AD100" i="25"/>
  <c r="W100" i="25"/>
  <c r="Z100" i="25" s="1"/>
  <c r="AA100" i="25" s="1"/>
  <c r="AB100" i="25" s="1"/>
  <c r="AI100" i="25" s="1"/>
  <c r="AD165" i="25"/>
  <c r="W165" i="25"/>
  <c r="Z165" i="25" s="1"/>
  <c r="AA165" i="25" s="1"/>
  <c r="AB165" i="25" s="1"/>
  <c r="AI165" i="25" s="1"/>
  <c r="AG217" i="24"/>
  <c r="AF217" i="24"/>
  <c r="AD224" i="25"/>
  <c r="W224" i="25"/>
  <c r="Z224" i="25" s="1"/>
  <c r="AA224" i="25" s="1"/>
  <c r="AB224" i="25" s="1"/>
  <c r="AI224" i="25" s="1"/>
  <c r="AJ274" i="24"/>
  <c r="AF292" i="25"/>
  <c r="AE292" i="25"/>
  <c r="AJ258" i="24"/>
  <c r="AD256" i="25"/>
  <c r="W256" i="25"/>
  <c r="Z256" i="25" s="1"/>
  <c r="AA256" i="25" s="1"/>
  <c r="AB256" i="25" s="1"/>
  <c r="AI256" i="25" s="1"/>
  <c r="V256" i="25"/>
  <c r="X256" i="25" s="1"/>
  <c r="AG205" i="24"/>
  <c r="AF205" i="24"/>
  <c r="AD93" i="25"/>
  <c r="W93" i="25"/>
  <c r="Z93" i="25" s="1"/>
  <c r="AA93" i="25" s="1"/>
  <c r="AB93" i="25" s="1"/>
  <c r="AI93" i="25" s="1"/>
  <c r="V268" i="25"/>
  <c r="X268" i="25" s="1"/>
  <c r="AG184" i="24"/>
  <c r="AF184" i="24"/>
  <c r="AG47" i="24"/>
  <c r="AF47" i="24"/>
  <c r="AD281" i="25"/>
  <c r="W281" i="25"/>
  <c r="Z281" i="25" s="1"/>
  <c r="AA281" i="25" s="1"/>
  <c r="AB281" i="25" s="1"/>
  <c r="AI281" i="25" s="1"/>
  <c r="AG36" i="24"/>
  <c r="AF36" i="24"/>
  <c r="AG227" i="24"/>
  <c r="AF227" i="24"/>
  <c r="AG150" i="24"/>
  <c r="AF150" i="24"/>
  <c r="AG206" i="24"/>
  <c r="AF206" i="24"/>
  <c r="AF94" i="25"/>
  <c r="AE94" i="25"/>
  <c r="AD9" i="25"/>
  <c r="W9" i="25"/>
  <c r="Z9" i="25" s="1"/>
  <c r="AA9" i="25" s="1"/>
  <c r="AB9" i="25" s="1"/>
  <c r="AI9" i="25" s="1"/>
  <c r="V9" i="25"/>
  <c r="X9" i="25" s="1"/>
  <c r="AN264" i="24"/>
  <c r="AK264" i="24"/>
  <c r="AD197" i="25"/>
  <c r="W197" i="25"/>
  <c r="Z197" i="25" s="1"/>
  <c r="AA197" i="25" s="1"/>
  <c r="AB197" i="25" s="1"/>
  <c r="AI197" i="25" s="1"/>
  <c r="V70" i="25"/>
  <c r="X70" i="25" s="1"/>
  <c r="AG221" i="24"/>
  <c r="AF221" i="24"/>
  <c r="AG49" i="24"/>
  <c r="AF49" i="24"/>
  <c r="AD183" i="25"/>
  <c r="W183" i="25"/>
  <c r="Z183" i="25" s="1"/>
  <c r="AA183" i="25" s="1"/>
  <c r="AB183" i="25" s="1"/>
  <c r="AI183" i="25" s="1"/>
  <c r="AF259" i="25"/>
  <c r="AE259" i="25"/>
  <c r="AG141" i="24"/>
  <c r="AF141" i="24"/>
  <c r="AG251" i="24"/>
  <c r="AF251" i="24"/>
  <c r="AD239" i="25"/>
  <c r="W239" i="25"/>
  <c r="Z239" i="25" s="1"/>
  <c r="AA239" i="25" s="1"/>
  <c r="AB239" i="25" s="1"/>
  <c r="AI239" i="25" s="1"/>
  <c r="AD260" i="25"/>
  <c r="W260" i="25"/>
  <c r="Z260" i="25" s="1"/>
  <c r="AA260" i="25" s="1"/>
  <c r="AB260" i="25" s="1"/>
  <c r="AI260" i="25" s="1"/>
  <c r="AG38" i="24"/>
  <c r="AF38" i="24"/>
  <c r="AD49" i="25"/>
  <c r="W49" i="25"/>
  <c r="Z49" i="25" s="1"/>
  <c r="AA49" i="25" s="1"/>
  <c r="AB49" i="25" s="1"/>
  <c r="AI49" i="25" s="1"/>
  <c r="V49" i="25"/>
  <c r="X49" i="25" s="1"/>
  <c r="AK162" i="24"/>
  <c r="AN162" i="24"/>
  <c r="AG278" i="24"/>
  <c r="AF278" i="24"/>
  <c r="AS114" i="25"/>
  <c r="AS262" i="25"/>
  <c r="AG226" i="24"/>
  <c r="AF226" i="24"/>
  <c r="AT264" i="24"/>
  <c r="FI285" i="25"/>
  <c r="FI232" i="25"/>
  <c r="FI256" i="25"/>
  <c r="FI286" i="25"/>
  <c r="FI227" i="25"/>
  <c r="FI216" i="25"/>
  <c r="FI295" i="25"/>
  <c r="FI218" i="25"/>
  <c r="FI294" i="25"/>
  <c r="FI258" i="25"/>
  <c r="FI301" i="25"/>
  <c r="FI220" i="25"/>
  <c r="FI308" i="25"/>
  <c r="FI272" i="25"/>
  <c r="FI278" i="25"/>
  <c r="FI221" i="25"/>
  <c r="FI290" i="25"/>
  <c r="FI228" i="25"/>
  <c r="FI257" i="25"/>
  <c r="FI245" i="25"/>
  <c r="FI303" i="25"/>
  <c r="FI283" i="25"/>
  <c r="FI316" i="25"/>
  <c r="FI289" i="25"/>
  <c r="FI274" i="25"/>
  <c r="FI266" i="25"/>
  <c r="FI267" i="25"/>
  <c r="FI293" i="25"/>
  <c r="FI299" i="25"/>
  <c r="FI311" i="25"/>
  <c r="FI234" i="25"/>
  <c r="FI281" i="25"/>
  <c r="FI304" i="25"/>
  <c r="FI279" i="25"/>
  <c r="FI246" i="25"/>
  <c r="FI244" i="25"/>
  <c r="FI312" i="25"/>
  <c r="FI260" i="25"/>
  <c r="FI248" i="25"/>
  <c r="FI261" i="25"/>
  <c r="FI314" i="25"/>
  <c r="FI309" i="25"/>
  <c r="FI302" i="25"/>
  <c r="FI264" i="25"/>
  <c r="FI230" i="25"/>
  <c r="FI238" i="25"/>
  <c r="FI268" i="25"/>
  <c r="FI287" i="25"/>
  <c r="FI313" i="25"/>
  <c r="FI222" i="25"/>
  <c r="FI307" i="25"/>
  <c r="FI305" i="25"/>
  <c r="FI291" i="25"/>
  <c r="FI225" i="25"/>
  <c r="FI237" i="25"/>
  <c r="FI249" i="25"/>
  <c r="FI300" i="25"/>
  <c r="FI296" i="25"/>
  <c r="FI288" i="25"/>
  <c r="FI240" i="25"/>
  <c r="FI276" i="25"/>
  <c r="FI235" i="25"/>
  <c r="FI251" i="25"/>
  <c r="FI275" i="25"/>
  <c r="FI253" i="25"/>
  <c r="FI223" i="25"/>
  <c r="FI226" i="25"/>
  <c r="FI297" i="25"/>
  <c r="FI306" i="25"/>
  <c r="CE216" i="25"/>
  <c r="FI310" i="25"/>
  <c r="FI265" i="25"/>
  <c r="FI241" i="25"/>
  <c r="FI239" i="25"/>
  <c r="FI242" i="25"/>
  <c r="FI315" i="25"/>
  <c r="FI262" i="25"/>
  <c r="FI284" i="25"/>
  <c r="FI243" i="25"/>
  <c r="FI298" i="25"/>
  <c r="FI252" i="25"/>
  <c r="FI270" i="25"/>
  <c r="FI277" i="25"/>
  <c r="FI273" i="25"/>
  <c r="FI224" i="25"/>
  <c r="FI236" i="25"/>
  <c r="FI263" i="25"/>
  <c r="FI231" i="25"/>
  <c r="FI217" i="25"/>
  <c r="FI254" i="25"/>
  <c r="FI271" i="25"/>
  <c r="FI250" i="25"/>
  <c r="FI282" i="25"/>
  <c r="FI247" i="25"/>
  <c r="FI219" i="25"/>
  <c r="FI229" i="25"/>
  <c r="FI255" i="25"/>
  <c r="FI280" i="25"/>
  <c r="FI269" i="25"/>
  <c r="FI259" i="25"/>
  <c r="FI292" i="25"/>
  <c r="FI233" i="25"/>
  <c r="CE252" i="25"/>
  <c r="CE231" i="25"/>
  <c r="CE243" i="25"/>
  <c r="CE260" i="25"/>
  <c r="CE314" i="25"/>
  <c r="CE299" i="25"/>
  <c r="CE258" i="25"/>
  <c r="CE265" i="25"/>
  <c r="CE241" i="25"/>
  <c r="CE222" i="25"/>
  <c r="CE217" i="25"/>
  <c r="CE278" i="25"/>
  <c r="CE248" i="25"/>
  <c r="CE261" i="25"/>
  <c r="CE293" i="25"/>
  <c r="CE304" i="25"/>
  <c r="CE271" i="25"/>
  <c r="CE257" i="25"/>
  <c r="CE253" i="25"/>
  <c r="CE301" i="25"/>
  <c r="CE244" i="25"/>
  <c r="CE262" i="25"/>
  <c r="CE255" i="25"/>
  <c r="CE256" i="25"/>
  <c r="CE225" i="25"/>
  <c r="CE254" i="25"/>
  <c r="CE276" i="25"/>
  <c r="CE290" i="25"/>
  <c r="CE236" i="25"/>
  <c r="CE298" i="25"/>
  <c r="CE275" i="25"/>
  <c r="CE282" i="25"/>
  <c r="CE224" i="25"/>
  <c r="CE249" i="25"/>
  <c r="CE240" i="25"/>
  <c r="CE277" i="25"/>
  <c r="CE238" i="25"/>
  <c r="CE266" i="25"/>
  <c r="CE226" i="25"/>
  <c r="CE250" i="25"/>
  <c r="CE296" i="25"/>
  <c r="CE234" i="25"/>
  <c r="CE285" i="25"/>
  <c r="CE264" i="25"/>
  <c r="CE289" i="25"/>
  <c r="CE297" i="25"/>
  <c r="CE273" i="25"/>
  <c r="CE259" i="25"/>
  <c r="CE263" i="25"/>
  <c r="CE291" i="25"/>
  <c r="CE227" i="25"/>
  <c r="CE230" i="25"/>
  <c r="CE229" i="25"/>
  <c r="CE247" i="25"/>
  <c r="CE251" i="25"/>
  <c r="CE232" i="25"/>
  <c r="CE237" i="25"/>
  <c r="CE288" i="25"/>
  <c r="CE312" i="25"/>
  <c r="CE233" i="25"/>
  <c r="CE308" i="25"/>
  <c r="CE220" i="25"/>
  <c r="CE281" i="25"/>
  <c r="CE246" i="25"/>
  <c r="CE239" i="25"/>
  <c r="CE315" i="25"/>
  <c r="AD39" i="25"/>
  <c r="W39" i="25"/>
  <c r="Z39" i="25" s="1"/>
  <c r="AA39" i="25" s="1"/>
  <c r="AB39" i="25" s="1"/>
  <c r="AI39" i="25" s="1"/>
  <c r="AF147" i="25"/>
  <c r="AE147" i="25"/>
  <c r="AS13" i="25"/>
  <c r="AG228" i="24"/>
  <c r="AF228" i="24"/>
  <c r="AD42" i="25"/>
  <c r="W42" i="25"/>
  <c r="Z42" i="25" s="1"/>
  <c r="AA42" i="25" s="1"/>
  <c r="AB42" i="25" s="1"/>
  <c r="AI42" i="25" s="1"/>
  <c r="V42" i="25"/>
  <c r="X42" i="25" s="1"/>
  <c r="AD242" i="25"/>
  <c r="W242" i="25"/>
  <c r="Z242" i="25" s="1"/>
  <c r="AA242" i="25" s="1"/>
  <c r="AB242" i="25" s="1"/>
  <c r="AI242" i="25" s="1"/>
  <c r="AG97" i="24"/>
  <c r="AF97" i="24"/>
  <c r="AG135" i="24"/>
  <c r="AF135" i="24"/>
  <c r="AD289" i="25"/>
  <c r="W289" i="25"/>
  <c r="Z289" i="25" s="1"/>
  <c r="AA289" i="25" s="1"/>
  <c r="AB289" i="25" s="1"/>
  <c r="AI289" i="25" s="1"/>
  <c r="AF198" i="25"/>
  <c r="AE198" i="25"/>
  <c r="AS87" i="25"/>
  <c r="AS293" i="25"/>
  <c r="AG285" i="24"/>
  <c r="AF285" i="24"/>
  <c r="V39" i="25"/>
  <c r="X39" i="25" s="1"/>
  <c r="AD274" i="25"/>
  <c r="W274" i="25"/>
  <c r="Z274" i="25" s="1"/>
  <c r="AA274" i="25" s="1"/>
  <c r="AB274" i="25" s="1"/>
  <c r="AI274" i="25" s="1"/>
  <c r="AF30" i="25"/>
  <c r="AE30" i="25"/>
  <c r="AD193" i="25"/>
  <c r="W193" i="25"/>
  <c r="Z193" i="25" s="1"/>
  <c r="AA193" i="25" s="1"/>
  <c r="AB193" i="25" s="1"/>
  <c r="AI193" i="25" s="1"/>
  <c r="V193" i="25"/>
  <c r="X193" i="25" s="1"/>
  <c r="AS190" i="25"/>
  <c r="AS71" i="25"/>
  <c r="AD228" i="25"/>
  <c r="W228" i="25"/>
  <c r="Z228" i="25" s="1"/>
  <c r="AA228" i="25" s="1"/>
  <c r="AB228" i="25" s="1"/>
  <c r="AI228" i="25" s="1"/>
  <c r="AF305" i="25"/>
  <c r="AE305" i="25"/>
  <c r="AD75" i="25"/>
  <c r="W75" i="25"/>
  <c r="Z75" i="25" s="1"/>
  <c r="AA75" i="25" s="1"/>
  <c r="AB75" i="25" s="1"/>
  <c r="AI75" i="25" s="1"/>
  <c r="AE29" i="25"/>
  <c r="AG26" i="24"/>
  <c r="AF26" i="24"/>
  <c r="AG35" i="24"/>
  <c r="AF35" i="24"/>
  <c r="AG153" i="24"/>
  <c r="AF153" i="24"/>
  <c r="AS201" i="25"/>
  <c r="AG249" i="24"/>
  <c r="AF249" i="24"/>
  <c r="AD72" i="25"/>
  <c r="W72" i="25"/>
  <c r="Z72" i="25" s="1"/>
  <c r="AA72" i="25" s="1"/>
  <c r="AB72" i="25" s="1"/>
  <c r="AI72" i="25" s="1"/>
  <c r="AG111" i="24"/>
  <c r="AF111" i="24"/>
  <c r="AG51" i="24"/>
  <c r="AF51" i="24"/>
  <c r="AD137" i="25"/>
  <c r="W137" i="25"/>
  <c r="Z137" i="25" s="1"/>
  <c r="AA137" i="25" s="1"/>
  <c r="AB137" i="25" s="1"/>
  <c r="AI137" i="25" s="1"/>
  <c r="V137" i="25"/>
  <c r="X137" i="25" s="1"/>
  <c r="V226" i="25"/>
  <c r="X226" i="25" s="1"/>
  <c r="AK292" i="24"/>
  <c r="AN292" i="24"/>
  <c r="AG301" i="24"/>
  <c r="AF301" i="24"/>
  <c r="AD195" i="25"/>
  <c r="W195" i="25"/>
  <c r="Z195" i="25" s="1"/>
  <c r="AA195" i="25" s="1"/>
  <c r="AB195" i="25" s="1"/>
  <c r="AI195" i="25" s="1"/>
  <c r="V195" i="25"/>
  <c r="X195" i="25" s="1"/>
  <c r="AS113" i="25"/>
  <c r="V181" i="25"/>
  <c r="X181" i="25" s="1"/>
  <c r="AG133" i="24"/>
  <c r="AF133" i="24"/>
  <c r="AD301" i="25"/>
  <c r="W301" i="25"/>
  <c r="Z301" i="25" s="1"/>
  <c r="AA301" i="25" s="1"/>
  <c r="AB301" i="25" s="1"/>
  <c r="AI301" i="25" s="1"/>
  <c r="V313" i="25"/>
  <c r="X313" i="25" s="1"/>
  <c r="AG83" i="24"/>
  <c r="AF83" i="24"/>
  <c r="AD140" i="25"/>
  <c r="W140" i="25"/>
  <c r="Z140" i="25" s="1"/>
  <c r="AA140" i="25" s="1"/>
  <c r="AB140" i="25" s="1"/>
  <c r="AI140" i="25" s="1"/>
  <c r="AD128" i="25"/>
  <c r="W128" i="25"/>
  <c r="Z128" i="25" s="1"/>
  <c r="AA128" i="25" s="1"/>
  <c r="AB128" i="25" s="1"/>
  <c r="AI128" i="25" s="1"/>
  <c r="V128" i="25"/>
  <c r="X128" i="25" s="1"/>
  <c r="AG58" i="24"/>
  <c r="AF58" i="24"/>
  <c r="AG269" i="24"/>
  <c r="AF269" i="24"/>
  <c r="AG54" i="24"/>
  <c r="AF54" i="24"/>
  <c r="AG125" i="24"/>
  <c r="AF125" i="24"/>
  <c r="AG178" i="24"/>
  <c r="AF178" i="24"/>
  <c r="AD130" i="25"/>
  <c r="W130" i="25"/>
  <c r="Z130" i="25" s="1"/>
  <c r="AA130" i="25" s="1"/>
  <c r="AB130" i="25" s="1"/>
  <c r="AI130" i="25" s="1"/>
  <c r="V130" i="25"/>
  <c r="X130" i="25" s="1"/>
  <c r="AD136" i="25"/>
  <c r="W136" i="25"/>
  <c r="Z136" i="25" s="1"/>
  <c r="AA136" i="25" s="1"/>
  <c r="AB136" i="25" s="1"/>
  <c r="AI136" i="25" s="1"/>
  <c r="V136" i="25"/>
  <c r="X136" i="25" s="1"/>
  <c r="AG24" i="24"/>
  <c r="AF24" i="24"/>
  <c r="V289" i="25"/>
  <c r="X289" i="25" s="1"/>
  <c r="AF6" i="25"/>
  <c r="AE6" i="25"/>
  <c r="V301" i="25"/>
  <c r="X301" i="25" s="1"/>
  <c r="AG148" i="24"/>
  <c r="AF148" i="24"/>
  <c r="AG117" i="24"/>
  <c r="AF117" i="24"/>
  <c r="AG183" i="24"/>
  <c r="AF183" i="24"/>
  <c r="AG246" i="24"/>
  <c r="AF246" i="24"/>
  <c r="AS243" i="25"/>
  <c r="AD7" i="25"/>
  <c r="W7" i="25"/>
  <c r="Z7" i="25" s="1"/>
  <c r="AA7" i="25" s="1"/>
  <c r="AB7" i="25" s="1"/>
  <c r="AI7" i="25" s="1"/>
  <c r="V7" i="25"/>
  <c r="X7" i="25" s="1"/>
  <c r="AD79" i="25"/>
  <c r="W79" i="25"/>
  <c r="Z79" i="25" s="1"/>
  <c r="AA79" i="25" s="1"/>
  <c r="AB79" i="25" s="1"/>
  <c r="AI79" i="25" s="1"/>
  <c r="AG189" i="24"/>
  <c r="AF189" i="24"/>
  <c r="AD156" i="25"/>
  <c r="W156" i="25"/>
  <c r="Z156" i="25" s="1"/>
  <c r="AA156" i="25" s="1"/>
  <c r="AB156" i="25" s="1"/>
  <c r="AI156" i="25" s="1"/>
  <c r="AG200" i="24"/>
  <c r="AF200" i="24"/>
  <c r="AD316" i="25"/>
  <c r="W316" i="25"/>
  <c r="Z316" i="25" s="1"/>
  <c r="AA316" i="25" s="1"/>
  <c r="AB316" i="25" s="1"/>
  <c r="AI316" i="25" s="1"/>
  <c r="V316" i="25"/>
  <c r="X316" i="25" s="1"/>
  <c r="AD164" i="25"/>
  <c r="W164" i="25"/>
  <c r="Z164" i="25" s="1"/>
  <c r="AA164" i="25" s="1"/>
  <c r="AB164" i="25" s="1"/>
  <c r="AI164" i="25" s="1"/>
  <c r="V164" i="25"/>
  <c r="X164" i="25" s="1"/>
  <c r="AD315" i="25"/>
  <c r="W315" i="25"/>
  <c r="Z315" i="25" s="1"/>
  <c r="AA315" i="25" s="1"/>
  <c r="AB315" i="25" s="1"/>
  <c r="AI315" i="25" s="1"/>
  <c r="AD86" i="25"/>
  <c r="W86" i="25"/>
  <c r="Z86" i="25" s="1"/>
  <c r="AA86" i="25" s="1"/>
  <c r="AB86" i="25" s="1"/>
  <c r="AI86" i="25" s="1"/>
  <c r="AG121" i="24"/>
  <c r="AF121" i="24"/>
  <c r="AE96" i="25"/>
  <c r="AG281" i="24"/>
  <c r="AF281" i="24"/>
  <c r="AG296" i="24"/>
  <c r="AF296" i="24"/>
  <c r="AS189" i="25"/>
  <c r="AD119" i="25"/>
  <c r="W119" i="25"/>
  <c r="Z119" i="25" s="1"/>
  <c r="AA119" i="25" s="1"/>
  <c r="AB119" i="25" s="1"/>
  <c r="AI119" i="25" s="1"/>
  <c r="V119" i="25"/>
  <c r="X119" i="25" s="1"/>
  <c r="AG218" i="24"/>
  <c r="AF218" i="24"/>
  <c r="AG28" i="24"/>
  <c r="AF28" i="24"/>
  <c r="AS148" i="25"/>
  <c r="AG298" i="24"/>
  <c r="AF298" i="24"/>
  <c r="AD220" i="25"/>
  <c r="W220" i="25"/>
  <c r="Z220" i="25" s="1"/>
  <c r="AA220" i="25" s="1"/>
  <c r="AB220" i="25" s="1"/>
  <c r="AI220" i="25" s="1"/>
  <c r="AG280" i="24"/>
  <c r="AF280" i="24"/>
  <c r="AD25" i="25"/>
  <c r="W25" i="25"/>
  <c r="Z25" i="25" s="1"/>
  <c r="AA25" i="25" s="1"/>
  <c r="AB25" i="25" s="1"/>
  <c r="AI25" i="25" s="1"/>
  <c r="AN21" i="24"/>
  <c r="BI21" i="24" s="1"/>
  <c r="AK21" i="24"/>
  <c r="AG305" i="24"/>
  <c r="AF305" i="24"/>
  <c r="AF114" i="25"/>
  <c r="AE114" i="25"/>
  <c r="AG96" i="24"/>
  <c r="AF96" i="24"/>
  <c r="AG53" i="24"/>
  <c r="AF53" i="24"/>
  <c r="AS89" i="25"/>
  <c r="AG177" i="24"/>
  <c r="AF177" i="24"/>
  <c r="AF89" i="25"/>
  <c r="AE89" i="25"/>
  <c r="AJ112" i="24"/>
  <c r="AD145" i="25"/>
  <c r="W145" i="25"/>
  <c r="Z145" i="25" s="1"/>
  <c r="AA145" i="25" s="1"/>
  <c r="AB145" i="25" s="1"/>
  <c r="AI145" i="25" s="1"/>
  <c r="V145" i="25"/>
  <c r="X145" i="25" s="1"/>
  <c r="AG201" i="24"/>
  <c r="AF201" i="24"/>
  <c r="AG95" i="24"/>
  <c r="AF95" i="24"/>
  <c r="AG310" i="24"/>
  <c r="AF310" i="24"/>
  <c r="BA162" i="24"/>
  <c r="AD142" i="25"/>
  <c r="W142" i="25"/>
  <c r="Z142" i="25" s="1"/>
  <c r="AA142" i="25" s="1"/>
  <c r="AB142" i="25" s="1"/>
  <c r="AI142" i="25" s="1"/>
  <c r="AK44" i="24"/>
  <c r="AN44" i="24"/>
  <c r="AD45" i="25"/>
  <c r="W45" i="25"/>
  <c r="Z45" i="25" s="1"/>
  <c r="AA45" i="25" s="1"/>
  <c r="AB45" i="25" s="1"/>
  <c r="AI45" i="25" s="1"/>
  <c r="V45" i="25"/>
  <c r="X45" i="25" s="1"/>
  <c r="AD285" i="25"/>
  <c r="W285" i="25"/>
  <c r="Z285" i="25" s="1"/>
  <c r="AA285" i="25" s="1"/>
  <c r="AB285" i="25" s="1"/>
  <c r="AI285" i="25" s="1"/>
  <c r="V285" i="25"/>
  <c r="X285" i="25" s="1"/>
  <c r="AG303" i="24"/>
  <c r="AF303" i="24"/>
  <c r="AF87" i="25"/>
  <c r="AE87" i="25"/>
  <c r="AK236" i="24"/>
  <c r="AN236" i="24"/>
  <c r="BA160" i="24"/>
  <c r="AF293" i="25"/>
  <c r="AE293" i="25"/>
  <c r="AG302" i="24"/>
  <c r="AF302" i="24"/>
  <c r="AF190" i="25"/>
  <c r="AE190" i="25"/>
  <c r="AF71" i="25"/>
  <c r="AE71" i="25"/>
  <c r="V299" i="25"/>
  <c r="X299" i="25" s="1"/>
  <c r="AD300" i="25"/>
  <c r="W300" i="25"/>
  <c r="Z300" i="25" s="1"/>
  <c r="AA300" i="25" s="1"/>
  <c r="AB300" i="25" s="1"/>
  <c r="AI300" i="25" s="1"/>
  <c r="V300" i="25"/>
  <c r="X300" i="25" s="1"/>
  <c r="AG203" i="24"/>
  <c r="AF203" i="24"/>
  <c r="AD272" i="25"/>
  <c r="W272" i="25"/>
  <c r="Z272" i="25" s="1"/>
  <c r="AA272" i="25" s="1"/>
  <c r="AB272" i="25" s="1"/>
  <c r="AI272" i="25" s="1"/>
  <c r="AS158" i="25"/>
  <c r="AG10" i="24"/>
  <c r="AF10" i="24"/>
  <c r="AS21" i="25"/>
  <c r="AG149" i="24"/>
  <c r="AF149" i="24"/>
  <c r="AS255" i="25"/>
  <c r="AF201" i="25"/>
  <c r="AE201" i="25"/>
  <c r="AG163" i="24"/>
  <c r="AF163" i="24"/>
  <c r="AG182" i="24"/>
  <c r="AF182" i="24"/>
  <c r="AG230" i="24"/>
  <c r="AF230" i="24"/>
  <c r="AG241" i="24"/>
  <c r="AF241" i="24"/>
  <c r="AD65" i="25"/>
  <c r="W65" i="25"/>
  <c r="Z65" i="25" s="1"/>
  <c r="AA65" i="25" s="1"/>
  <c r="AB65" i="25" s="1"/>
  <c r="AI65" i="25" s="1"/>
  <c r="V65" i="25"/>
  <c r="X65" i="25" s="1"/>
  <c r="AS248" i="25"/>
  <c r="AE265" i="25"/>
  <c r="AD23" i="25"/>
  <c r="W23" i="25"/>
  <c r="Z23" i="25" s="1"/>
  <c r="AA23" i="25" s="1"/>
  <c r="AB23" i="25" s="1"/>
  <c r="AI23" i="25" s="1"/>
  <c r="AD47" i="25"/>
  <c r="W47" i="25"/>
  <c r="Z47" i="25" s="1"/>
  <c r="AA47" i="25" s="1"/>
  <c r="AB47" i="25" s="1"/>
  <c r="AI47" i="25" s="1"/>
  <c r="AG46" i="24"/>
  <c r="AF46" i="24"/>
  <c r="AG39" i="24"/>
  <c r="AF39" i="24"/>
  <c r="AT236" i="24"/>
  <c r="AG262" i="24"/>
  <c r="AF262" i="24"/>
  <c r="AS296" i="25"/>
  <c r="AG127" i="24"/>
  <c r="AF127" i="24"/>
  <c r="AS173" i="25"/>
  <c r="AD175" i="25"/>
  <c r="W175" i="25"/>
  <c r="Z175" i="25" s="1"/>
  <c r="AA175" i="25" s="1"/>
  <c r="AB175" i="25" s="1"/>
  <c r="AI175" i="25" s="1"/>
  <c r="AG197" i="24"/>
  <c r="AF197" i="24"/>
  <c r="AD219" i="25"/>
  <c r="W219" i="25"/>
  <c r="Z219" i="25" s="1"/>
  <c r="AA219" i="25" s="1"/>
  <c r="AB219" i="25" s="1"/>
  <c r="AI219" i="25" s="1"/>
  <c r="AG98" i="24"/>
  <c r="AF98" i="24"/>
  <c r="AF113" i="25"/>
  <c r="AE113" i="25"/>
  <c r="AD241" i="25"/>
  <c r="W241" i="25"/>
  <c r="Z241" i="25" s="1"/>
  <c r="AA241" i="25" s="1"/>
  <c r="AB241" i="25" s="1"/>
  <c r="AI241" i="25" s="1"/>
  <c r="V241" i="25"/>
  <c r="X241" i="25" s="1"/>
  <c r="AD309" i="25"/>
  <c r="W309" i="25"/>
  <c r="Z309" i="25" s="1"/>
  <c r="AA309" i="25" s="1"/>
  <c r="AB309" i="25" s="1"/>
  <c r="AI309" i="25" s="1"/>
  <c r="V309" i="25"/>
  <c r="X309" i="25" s="1"/>
  <c r="AG196" i="24"/>
  <c r="AF196" i="24"/>
  <c r="AS174" i="25"/>
  <c r="AG69" i="24"/>
  <c r="AF69" i="24"/>
  <c r="AG313" i="24"/>
  <c r="AF313" i="24"/>
  <c r="AG274" i="24"/>
  <c r="AF274" i="24"/>
  <c r="AD126" i="25"/>
  <c r="W126" i="25"/>
  <c r="Z126" i="25" s="1"/>
  <c r="AA126" i="25" s="1"/>
  <c r="AB126" i="25" s="1"/>
  <c r="AI126" i="25" s="1"/>
  <c r="V126" i="25"/>
  <c r="X126" i="25" s="1"/>
  <c r="AS177" i="25"/>
  <c r="AD19" i="25"/>
  <c r="W19" i="25"/>
  <c r="Z19" i="25" s="1"/>
  <c r="AA19" i="25" s="1"/>
  <c r="AB19" i="25" s="1"/>
  <c r="AI19" i="25" s="1"/>
  <c r="V19" i="25"/>
  <c r="X19" i="25" s="1"/>
  <c r="AD57" i="25"/>
  <c r="W57" i="25"/>
  <c r="Z57" i="25" s="1"/>
  <c r="AA57" i="25" s="1"/>
  <c r="AB57" i="25" s="1"/>
  <c r="AI57" i="25" s="1"/>
  <c r="V57" i="25"/>
  <c r="X57" i="25" s="1"/>
  <c r="AG258" i="24"/>
  <c r="AF258" i="24"/>
  <c r="AD52" i="25"/>
  <c r="W52" i="25"/>
  <c r="Z52" i="25" s="1"/>
  <c r="AA52" i="25" s="1"/>
  <c r="AB52" i="25" s="1"/>
  <c r="AI52" i="25" s="1"/>
  <c r="V52" i="25"/>
  <c r="X52" i="25" s="1"/>
  <c r="AF243" i="25"/>
  <c r="AE243" i="25"/>
  <c r="AK101" i="24"/>
  <c r="AN101" i="24"/>
  <c r="AD284" i="25"/>
  <c r="W284" i="25"/>
  <c r="Z284" i="25" s="1"/>
  <c r="AA284" i="25" s="1"/>
  <c r="AB284" i="25" s="1"/>
  <c r="AI284" i="25" s="1"/>
  <c r="V284" i="25"/>
  <c r="X284" i="25" s="1"/>
  <c r="AG29" i="24"/>
  <c r="AF29" i="24"/>
  <c r="AD8" i="25"/>
  <c r="W8" i="25"/>
  <c r="Z8" i="25" s="1"/>
  <c r="AA8" i="25" s="1"/>
  <c r="AB8" i="25" s="1"/>
  <c r="AI8" i="25" s="1"/>
  <c r="V8" i="25"/>
  <c r="X8" i="25" s="1"/>
  <c r="AD127" i="25"/>
  <c r="W127" i="25"/>
  <c r="Z127" i="25" s="1"/>
  <c r="AA127" i="25" s="1"/>
  <c r="AB127" i="25" s="1"/>
  <c r="AI127" i="25" s="1"/>
  <c r="V127" i="25"/>
  <c r="X127" i="25" s="1"/>
  <c r="AG52" i="24"/>
  <c r="AF52" i="24"/>
  <c r="AS275" i="25"/>
  <c r="AG311" i="24"/>
  <c r="AF311" i="24"/>
  <c r="AG104" i="24"/>
  <c r="AF104" i="24"/>
  <c r="AD105" i="25"/>
  <c r="W105" i="25"/>
  <c r="Z105" i="25" s="1"/>
  <c r="AA105" i="25" s="1"/>
  <c r="AB105" i="25" s="1"/>
  <c r="AI105" i="25" s="1"/>
  <c r="AG14" i="24"/>
  <c r="AF14" i="24"/>
  <c r="AF148" i="25"/>
  <c r="AE148" i="25"/>
  <c r="AG131" i="24"/>
  <c r="AF131" i="24"/>
  <c r="AG172" i="24"/>
  <c r="AF172" i="24"/>
  <c r="AG179" i="24"/>
  <c r="AF179" i="24"/>
  <c r="AG276" i="24"/>
  <c r="AF276" i="24"/>
  <c r="AS14" i="25"/>
  <c r="AD78" i="25"/>
  <c r="W78" i="25"/>
  <c r="Z78" i="25" s="1"/>
  <c r="AA78" i="25" s="1"/>
  <c r="AB78" i="25" s="1"/>
  <c r="AI78" i="25" s="1"/>
  <c r="AD15" i="25"/>
  <c r="W15" i="25"/>
  <c r="Z15" i="25" s="1"/>
  <c r="AA15" i="25" s="1"/>
  <c r="AB15" i="25" s="1"/>
  <c r="AI15" i="25" s="1"/>
  <c r="V15" i="25"/>
  <c r="X15" i="25" s="1"/>
  <c r="AG254" i="24"/>
  <c r="AF254" i="24"/>
  <c r="AG65" i="24"/>
  <c r="AF65" i="24"/>
  <c r="AS155" i="25"/>
  <c r="AG308" i="24"/>
  <c r="AF308" i="24"/>
  <c r="V230" i="25"/>
  <c r="X230" i="25" s="1"/>
  <c r="AD294" i="25"/>
  <c r="W294" i="25"/>
  <c r="Z294" i="25" s="1"/>
  <c r="AA294" i="25" s="1"/>
  <c r="AB294" i="25" s="1"/>
  <c r="AI294" i="25" s="1"/>
  <c r="V294" i="25"/>
  <c r="X294" i="25" s="1"/>
  <c r="AG81" i="24"/>
  <c r="AF81" i="24"/>
  <c r="AG250" i="24"/>
  <c r="AF250" i="24"/>
  <c r="AD121" i="25"/>
  <c r="W121" i="25"/>
  <c r="Z121" i="25" s="1"/>
  <c r="AA121" i="25" s="1"/>
  <c r="AB121" i="25" s="1"/>
  <c r="AI121" i="25" s="1"/>
  <c r="AG138" i="24"/>
  <c r="AF138" i="24"/>
  <c r="AD188" i="25"/>
  <c r="W188" i="25"/>
  <c r="Z188" i="25" s="1"/>
  <c r="AA188" i="25" s="1"/>
  <c r="AB188" i="25" s="1"/>
  <c r="AI188" i="25" s="1"/>
  <c r="AF262" i="25"/>
  <c r="AE262" i="25"/>
  <c r="AG63" i="24"/>
  <c r="AF63" i="24"/>
  <c r="AG204" i="24"/>
  <c r="AF204" i="24"/>
  <c r="AG186" i="24"/>
  <c r="AF186" i="24"/>
  <c r="AD168" i="25"/>
  <c r="W168" i="25"/>
  <c r="Z168" i="25" s="1"/>
  <c r="AA168" i="25" s="1"/>
  <c r="AB168" i="25" s="1"/>
  <c r="AI168" i="25" s="1"/>
  <c r="V168" i="25"/>
  <c r="X168" i="25" s="1"/>
  <c r="AD205" i="25"/>
  <c r="W205" i="25"/>
  <c r="Z205" i="25" s="1"/>
  <c r="AA205" i="25" s="1"/>
  <c r="AB205" i="25" s="1"/>
  <c r="AI205" i="25" s="1"/>
  <c r="AD41" i="25"/>
  <c r="W41" i="25"/>
  <c r="Z41" i="25" s="1"/>
  <c r="AA41" i="25" s="1"/>
  <c r="AB41" i="25" s="1"/>
  <c r="AI41" i="25" s="1"/>
  <c r="AD304" i="25"/>
  <c r="W304" i="25"/>
  <c r="Z304" i="25" s="1"/>
  <c r="AA304" i="25" s="1"/>
  <c r="AB304" i="25" s="1"/>
  <c r="AI304" i="25" s="1"/>
  <c r="AD150" i="25"/>
  <c r="W150" i="25"/>
  <c r="Z150" i="25" s="1"/>
  <c r="AA150" i="25" s="1"/>
  <c r="AB150" i="25" s="1"/>
  <c r="AI150" i="25" s="1"/>
  <c r="V150" i="25"/>
  <c r="X150" i="25" s="1"/>
  <c r="AD124" i="25"/>
  <c r="W124" i="25"/>
  <c r="Z124" i="25" s="1"/>
  <c r="AA124" i="25" s="1"/>
  <c r="AB124" i="25" s="1"/>
  <c r="AI124" i="25" s="1"/>
  <c r="V124" i="25"/>
  <c r="X124" i="25" s="1"/>
  <c r="AD51" i="25"/>
  <c r="W51" i="25"/>
  <c r="Z51" i="25" s="1"/>
  <c r="AA51" i="25" s="1"/>
  <c r="AB51" i="25" s="1"/>
  <c r="AI51" i="25" s="1"/>
  <c r="V51" i="25"/>
  <c r="X51" i="25" s="1"/>
  <c r="AG194" i="24"/>
  <c r="AF194" i="24"/>
  <c r="AG275" i="24"/>
  <c r="AF275" i="24"/>
  <c r="AF13" i="25"/>
  <c r="AE13" i="25"/>
  <c r="AJ59" i="24"/>
  <c r="AS240" i="25"/>
  <c r="AD200" i="25"/>
  <c r="W200" i="25"/>
  <c r="Z200" i="25" s="1"/>
  <c r="AA200" i="25" s="1"/>
  <c r="AB200" i="25" s="1"/>
  <c r="AI200" i="25" s="1"/>
  <c r="AN294" i="24"/>
  <c r="BI294" i="24" s="1"/>
  <c r="AK294" i="24"/>
  <c r="AD33" i="25"/>
  <c r="W33" i="25"/>
  <c r="Z33" i="25" s="1"/>
  <c r="AA33" i="25" s="1"/>
  <c r="AB33" i="25" s="1"/>
  <c r="AI33" i="25" s="1"/>
  <c r="V33" i="25"/>
  <c r="X33" i="25" s="1"/>
  <c r="AG245" i="24"/>
  <c r="AF245" i="24"/>
  <c r="AD74" i="25"/>
  <c r="W74" i="25"/>
  <c r="Z74" i="25" s="1"/>
  <c r="AA74" i="25" s="1"/>
  <c r="AB74" i="25" s="1"/>
  <c r="AI74" i="25" s="1"/>
  <c r="AD26" i="25"/>
  <c r="W26" i="25"/>
  <c r="Z26" i="25" s="1"/>
  <c r="AA26" i="25" s="1"/>
  <c r="AB26" i="25" s="1"/>
  <c r="AI26" i="25" s="1"/>
  <c r="V142" i="25"/>
  <c r="X142" i="25" s="1"/>
  <c r="V115" i="25"/>
  <c r="X115" i="25" s="1"/>
  <c r="AJ8" i="24"/>
  <c r="AG90" i="24"/>
  <c r="AF90" i="24"/>
  <c r="AG77" i="24"/>
  <c r="AF77" i="24"/>
  <c r="AJ260" i="24"/>
  <c r="AG286" i="24"/>
  <c r="AF286" i="24"/>
  <c r="AD244" i="25"/>
  <c r="W244" i="25"/>
  <c r="Z244" i="25" s="1"/>
  <c r="AA244" i="25" s="1"/>
  <c r="AB244" i="25" s="1"/>
  <c r="AI244" i="25" s="1"/>
  <c r="V244" i="25"/>
  <c r="X244" i="25" s="1"/>
  <c r="AF158" i="25"/>
  <c r="AE158" i="25"/>
  <c r="AG239" i="24"/>
  <c r="AF239" i="24"/>
  <c r="AF21" i="25"/>
  <c r="AE21" i="25"/>
  <c r="AG304" i="24"/>
  <c r="AF304" i="24"/>
  <c r="AJ271" i="24"/>
  <c r="AG70" i="24"/>
  <c r="AF70" i="24"/>
  <c r="AF255" i="25"/>
  <c r="AE255" i="25"/>
  <c r="BA257" i="24"/>
  <c r="AJ247" i="24"/>
  <c r="AJ279" i="24"/>
  <c r="AG170" i="24"/>
  <c r="AF170" i="24"/>
  <c r="AF248" i="25"/>
  <c r="AE248" i="25"/>
  <c r="AJ126" i="24"/>
  <c r="AJ259" i="24"/>
  <c r="AF296" i="25"/>
  <c r="AE296" i="25"/>
  <c r="AF173" i="25"/>
  <c r="AE173" i="25"/>
  <c r="AD123" i="25"/>
  <c r="W123" i="25"/>
  <c r="Z123" i="25" s="1"/>
  <c r="AA123" i="25" s="1"/>
  <c r="AB123" i="25" s="1"/>
  <c r="AI123" i="25" s="1"/>
  <c r="AD209" i="25"/>
  <c r="W209" i="25"/>
  <c r="Z209" i="25" s="1"/>
  <c r="AA209" i="25" s="1"/>
  <c r="AB209" i="25" s="1"/>
  <c r="AI209" i="25" s="1"/>
  <c r="AJ33" i="24"/>
  <c r="AS229" i="25"/>
  <c r="AJ224" i="24"/>
  <c r="AV22" i="24"/>
  <c r="AT22" i="24"/>
  <c r="AD16" i="25"/>
  <c r="W16" i="25"/>
  <c r="Z16" i="25" s="1"/>
  <c r="AA16" i="25" s="1"/>
  <c r="AB16" i="25" s="1"/>
  <c r="AI16" i="25" s="1"/>
  <c r="V16" i="25"/>
  <c r="X16" i="25" s="1"/>
  <c r="AJ290" i="24"/>
  <c r="AJ30" i="24"/>
  <c r="AJ237" i="24"/>
  <c r="AD98" i="25"/>
  <c r="W98" i="25"/>
  <c r="Z98" i="25" s="1"/>
  <c r="AA98" i="25" s="1"/>
  <c r="AB98" i="25" s="1"/>
  <c r="AI98" i="25" s="1"/>
  <c r="AF174" i="25"/>
  <c r="AE174" i="25"/>
  <c r="AD160" i="25"/>
  <c r="W160" i="25"/>
  <c r="Z160" i="25" s="1"/>
  <c r="AA160" i="25" s="1"/>
  <c r="AB160" i="25" s="1"/>
  <c r="AI160" i="25" s="1"/>
  <c r="AD266" i="25"/>
  <c r="W266" i="25"/>
  <c r="Z266" i="25" s="1"/>
  <c r="AA266" i="25" s="1"/>
  <c r="AB266" i="25" s="1"/>
  <c r="AI266" i="25" s="1"/>
  <c r="AJ145" i="24"/>
  <c r="AJ20" i="24"/>
  <c r="AG82" i="24"/>
  <c r="AF82" i="24"/>
  <c r="V219" i="25"/>
  <c r="X219" i="25" s="1"/>
  <c r="AD60" i="25"/>
  <c r="W60" i="25"/>
  <c r="Z60" i="25" s="1"/>
  <c r="AA60" i="25" s="1"/>
  <c r="AB60" i="25" s="1"/>
  <c r="AI60" i="25" s="1"/>
  <c r="V60" i="25"/>
  <c r="X60" i="25" s="1"/>
  <c r="AD172" i="25"/>
  <c r="W172" i="25"/>
  <c r="Z172" i="25" s="1"/>
  <c r="AA172" i="25" s="1"/>
  <c r="AB172" i="25" s="1"/>
  <c r="AI172" i="25" s="1"/>
  <c r="V172" i="25"/>
  <c r="X172" i="25" s="1"/>
  <c r="AF177" i="25"/>
  <c r="AE177" i="25"/>
  <c r="AJ225" i="24"/>
  <c r="AJ18" i="24"/>
  <c r="AS34" i="25"/>
  <c r="AG158" i="24"/>
  <c r="AF158" i="24"/>
  <c r="AJ238" i="24"/>
  <c r="AJ266" i="24"/>
  <c r="AG116" i="24"/>
  <c r="AF116" i="24"/>
  <c r="AG268" i="24"/>
  <c r="AF268" i="24"/>
  <c r="V278" i="25"/>
  <c r="X278" i="25" s="1"/>
  <c r="AJ6" i="24"/>
  <c r="AJ57" i="24"/>
  <c r="AG195" i="24"/>
  <c r="AF195" i="24"/>
  <c r="AJ235" i="24"/>
  <c r="AG309" i="24"/>
  <c r="AF309" i="24"/>
  <c r="AG255" i="24"/>
  <c r="AF255" i="24"/>
  <c r="AG307" i="24"/>
  <c r="AF307" i="24"/>
  <c r="AJ129" i="24"/>
  <c r="AD233" i="25"/>
  <c r="W233" i="25"/>
  <c r="Z233" i="25" s="1"/>
  <c r="AA233" i="25" s="1"/>
  <c r="AB233" i="25" s="1"/>
  <c r="AI233" i="25" s="1"/>
  <c r="V233" i="25"/>
  <c r="X233" i="25" s="1"/>
  <c r="AJ34" i="24"/>
  <c r="AS92" i="25"/>
  <c r="AD43" i="25"/>
  <c r="W43" i="25"/>
  <c r="Z43" i="25" s="1"/>
  <c r="AA43" i="25" s="1"/>
  <c r="AB43" i="25" s="1"/>
  <c r="AI43" i="25" s="1"/>
  <c r="V43" i="25"/>
  <c r="X43" i="25" s="1"/>
  <c r="AG187" i="24"/>
  <c r="AF187" i="24"/>
  <c r="AS95" i="25"/>
  <c r="AG140" i="24"/>
  <c r="AF140" i="24"/>
  <c r="AD231" i="25"/>
  <c r="W231" i="25"/>
  <c r="Z231" i="25" s="1"/>
  <c r="AA231" i="25" s="1"/>
  <c r="AB231" i="25" s="1"/>
  <c r="AI231" i="25" s="1"/>
  <c r="AG25" i="24"/>
  <c r="AF25" i="24"/>
  <c r="AJ19" i="24"/>
  <c r="AF275" i="25"/>
  <c r="AE275" i="25"/>
  <c r="AD64" i="25"/>
  <c r="W64" i="25"/>
  <c r="Z64" i="25" s="1"/>
  <c r="AA64" i="25" s="1"/>
  <c r="AB64" i="25" s="1"/>
  <c r="AI64" i="25" s="1"/>
  <c r="V64" i="25"/>
  <c r="X64" i="25" s="1"/>
  <c r="AG270" i="24"/>
  <c r="AF270" i="24"/>
  <c r="AW110" i="25"/>
  <c r="AX110" i="25"/>
  <c r="AG277" i="24"/>
  <c r="AF277" i="24"/>
  <c r="AG161" i="24"/>
  <c r="AF161" i="24"/>
  <c r="AS261" i="25"/>
  <c r="AJ240" i="24"/>
  <c r="AG118" i="24"/>
  <c r="AF118" i="24"/>
  <c r="AF14" i="25"/>
  <c r="AE14" i="25"/>
  <c r="AS306" i="25"/>
  <c r="AJ114" i="24"/>
  <c r="AS206" i="25"/>
  <c r="AG210" i="24"/>
  <c r="AF210" i="24"/>
  <c r="AD116" i="25"/>
  <c r="W116" i="25"/>
  <c r="Z116" i="25" s="1"/>
  <c r="AA116" i="25" s="1"/>
  <c r="AB116" i="25" s="1"/>
  <c r="AI116" i="25" s="1"/>
  <c r="AG85" i="24"/>
  <c r="AF85" i="24"/>
  <c r="AG198" i="24"/>
  <c r="AF198" i="24"/>
  <c r="AG112" i="24"/>
  <c r="AF112" i="24"/>
  <c r="AT132" i="24"/>
  <c r="AS246" i="25"/>
  <c r="BA191" i="24"/>
  <c r="AS192" i="25"/>
  <c r="AF240" i="25"/>
  <c r="AE240" i="25"/>
  <c r="AG208" i="24"/>
  <c r="AF208" i="24"/>
  <c r="AD68" i="25"/>
  <c r="W68" i="25"/>
  <c r="Z68" i="25" s="1"/>
  <c r="AA68" i="25" s="1"/>
  <c r="AB68" i="25" s="1"/>
  <c r="AI68" i="25" s="1"/>
  <c r="AD221" i="25"/>
  <c r="W221" i="25"/>
  <c r="Z221" i="25" s="1"/>
  <c r="AA221" i="25" s="1"/>
  <c r="AB221" i="25" s="1"/>
  <c r="AI221" i="25" s="1"/>
  <c r="AG136" i="24"/>
  <c r="AF136" i="24"/>
  <c r="AD245" i="25"/>
  <c r="W245" i="25"/>
  <c r="Z245" i="25" s="1"/>
  <c r="AA245" i="25" s="1"/>
  <c r="AB245" i="25" s="1"/>
  <c r="AI245" i="25" s="1"/>
  <c r="V245" i="25"/>
  <c r="X245" i="25" s="1"/>
  <c r="AJ263" i="24"/>
  <c r="AD27" i="25"/>
  <c r="W27" i="25"/>
  <c r="Z27" i="25" s="1"/>
  <c r="AA27" i="25" s="1"/>
  <c r="AB27" i="25" s="1"/>
  <c r="AI27" i="25" s="1"/>
  <c r="AJ48" i="24"/>
  <c r="AG62" i="24"/>
  <c r="AF62" i="24"/>
  <c r="AD210" i="25"/>
  <c r="W210" i="25"/>
  <c r="Z210" i="25" s="1"/>
  <c r="AA210" i="25" s="1"/>
  <c r="AB210" i="25" s="1"/>
  <c r="AI210" i="25" s="1"/>
  <c r="AG169" i="24"/>
  <c r="AF169" i="24"/>
  <c r="AJ297" i="24"/>
  <c r="AG143" i="24"/>
  <c r="AF143" i="24"/>
  <c r="AD225" i="25"/>
  <c r="W225" i="25"/>
  <c r="Z225" i="25" s="1"/>
  <c r="AA225" i="25" s="1"/>
  <c r="AB225" i="25" s="1"/>
  <c r="AI225" i="25" s="1"/>
  <c r="AJ123" i="24"/>
  <c r="AD133" i="25"/>
  <c r="W133" i="25"/>
  <c r="Z133" i="25" s="1"/>
  <c r="AA133" i="25" s="1"/>
  <c r="AB133" i="25" s="1"/>
  <c r="AI133" i="25" s="1"/>
  <c r="V133" i="25"/>
  <c r="X133" i="25" s="1"/>
  <c r="AN55" i="24"/>
  <c r="AK55" i="24"/>
  <c r="AD203" i="25"/>
  <c r="W203" i="25"/>
  <c r="Z203" i="25" s="1"/>
  <c r="AA203" i="25" s="1"/>
  <c r="AB203" i="25" s="1"/>
  <c r="AI203" i="25" s="1"/>
  <c r="AG122" i="24"/>
  <c r="AF122" i="24"/>
  <c r="AG146" i="24"/>
  <c r="AF146" i="24"/>
  <c r="AJ56" i="24"/>
  <c r="AD151" i="25"/>
  <c r="W151" i="25"/>
  <c r="Z151" i="25" s="1"/>
  <c r="AA151" i="25" s="1"/>
  <c r="AB151" i="25" s="1"/>
  <c r="AI151" i="25" s="1"/>
  <c r="V151" i="25"/>
  <c r="X151" i="25" s="1"/>
  <c r="AK190" i="24"/>
  <c r="AN190" i="24"/>
  <c r="BI190" i="24" s="1"/>
  <c r="AG88" i="24"/>
  <c r="AF88" i="24"/>
  <c r="AG229" i="24"/>
  <c r="AF229" i="24"/>
  <c r="AG92" i="24"/>
  <c r="AF92" i="24"/>
  <c r="AD36" i="25"/>
  <c r="W36" i="25"/>
  <c r="Z36" i="25" s="1"/>
  <c r="AA36" i="25" s="1"/>
  <c r="AB36" i="25" s="1"/>
  <c r="AI36" i="25" s="1"/>
  <c r="V36" i="25"/>
  <c r="X36" i="25" s="1"/>
  <c r="AJ17" i="24"/>
  <c r="AS238" i="25"/>
  <c r="AG316" i="24"/>
  <c r="AF316" i="24"/>
  <c r="AF229" i="25"/>
  <c r="AE229" i="25"/>
  <c r="AS186" i="25"/>
  <c r="AJ9" i="24"/>
  <c r="AD35" i="25"/>
  <c r="W35" i="25"/>
  <c r="Z35" i="25" s="1"/>
  <c r="AA35" i="25" s="1"/>
  <c r="AB35" i="25" s="1"/>
  <c r="AI35" i="25" s="1"/>
  <c r="V35" i="25"/>
  <c r="X35" i="25" s="1"/>
  <c r="AG42" i="24"/>
  <c r="AF42" i="24"/>
  <c r="AD227" i="25"/>
  <c r="W227" i="25"/>
  <c r="Z227" i="25" s="1"/>
  <c r="AA227" i="25" s="1"/>
  <c r="AB227" i="25" s="1"/>
  <c r="AI227" i="25" s="1"/>
  <c r="V227" i="25"/>
  <c r="X227" i="25" s="1"/>
  <c r="AD38" i="25"/>
  <c r="W38" i="25"/>
  <c r="Z38" i="25" s="1"/>
  <c r="AA38" i="25" s="1"/>
  <c r="AB38" i="25" s="1"/>
  <c r="AI38" i="25" s="1"/>
  <c r="AJ219" i="24"/>
  <c r="AG144" i="24"/>
  <c r="AF144" i="24"/>
  <c r="AJ261" i="24"/>
  <c r="AG300" i="24"/>
  <c r="AF300" i="24"/>
  <c r="AD194" i="25"/>
  <c r="W194" i="25"/>
  <c r="Z194" i="25" s="1"/>
  <c r="AA194" i="25" s="1"/>
  <c r="AB194" i="25" s="1"/>
  <c r="AI194" i="25" s="1"/>
  <c r="AD67" i="25"/>
  <c r="W67" i="25"/>
  <c r="Z67" i="25" s="1"/>
  <c r="AA67" i="25" s="1"/>
  <c r="AB67" i="25" s="1"/>
  <c r="AI67" i="25" s="1"/>
  <c r="AX129" i="25"/>
  <c r="AW129" i="25"/>
  <c r="AJ128" i="24"/>
  <c r="AS257" i="25"/>
  <c r="AJ283" i="24"/>
  <c r="AD103" i="25"/>
  <c r="W103" i="25"/>
  <c r="Z103" i="25" s="1"/>
  <c r="AA103" i="25" s="1"/>
  <c r="AB103" i="25" s="1"/>
  <c r="AI103" i="25" s="1"/>
  <c r="AD163" i="25"/>
  <c r="W163" i="25"/>
  <c r="Z163" i="25" s="1"/>
  <c r="AA163" i="25" s="1"/>
  <c r="AB163" i="25" s="1"/>
  <c r="AI163" i="25" s="1"/>
  <c r="V163" i="25"/>
  <c r="X163" i="25" s="1"/>
  <c r="AG15" i="24"/>
  <c r="AF15" i="24"/>
  <c r="AG159" i="24"/>
  <c r="AF159" i="24"/>
  <c r="AG256" i="24"/>
  <c r="AF256" i="24"/>
  <c r="AF34" i="25"/>
  <c r="AE34" i="25"/>
  <c r="AD254" i="25"/>
  <c r="W254" i="25"/>
  <c r="Z254" i="25" s="1"/>
  <c r="AA254" i="25" s="1"/>
  <c r="AB254" i="25" s="1"/>
  <c r="AI254" i="25" s="1"/>
  <c r="V254" i="25"/>
  <c r="X254" i="25" s="1"/>
  <c r="AD234" i="25"/>
  <c r="W234" i="25"/>
  <c r="Z234" i="25" s="1"/>
  <c r="AA234" i="25" s="1"/>
  <c r="AB234" i="25" s="1"/>
  <c r="AI234" i="25" s="1"/>
  <c r="AG180" i="24"/>
  <c r="AF180" i="24"/>
  <c r="AD252" i="25"/>
  <c r="W252" i="25"/>
  <c r="Z252" i="25" s="1"/>
  <c r="AA252" i="25" s="1"/>
  <c r="AB252" i="25" s="1"/>
  <c r="AI252" i="25" s="1"/>
  <c r="V252" i="25"/>
  <c r="X252" i="25" s="1"/>
  <c r="AG252" i="24"/>
  <c r="AF252" i="24"/>
  <c r="AJ299" i="24"/>
  <c r="AD223" i="25"/>
  <c r="W223" i="25"/>
  <c r="Z223" i="25" s="1"/>
  <c r="AA223" i="25" s="1"/>
  <c r="AB223" i="25" s="1"/>
  <c r="AI223" i="25" s="1"/>
  <c r="AD91" i="25"/>
  <c r="W91" i="25"/>
  <c r="Z91" i="25" s="1"/>
  <c r="AA91" i="25" s="1"/>
  <c r="AB91" i="25" s="1"/>
  <c r="AI91" i="25" s="1"/>
  <c r="V91" i="25"/>
  <c r="X91" i="25" s="1"/>
  <c r="AG287" i="24"/>
  <c r="AF287" i="24"/>
  <c r="AG173" i="24"/>
  <c r="AF173" i="24"/>
  <c r="AG11" i="24"/>
  <c r="AF11" i="24"/>
  <c r="AF92" i="25"/>
  <c r="AE92" i="25"/>
  <c r="AG291" i="24"/>
  <c r="AF291" i="24"/>
  <c r="AF95" i="25"/>
  <c r="AE95" i="25"/>
  <c r="AD287" i="25"/>
  <c r="W287" i="25"/>
  <c r="Z287" i="25" s="1"/>
  <c r="AA287" i="25" s="1"/>
  <c r="AB287" i="25" s="1"/>
  <c r="AI287" i="25" s="1"/>
  <c r="AG288" i="24"/>
  <c r="AF288" i="24"/>
  <c r="AJ267" i="24"/>
  <c r="AG222" i="24"/>
  <c r="AF222" i="24"/>
  <c r="AG202" i="24"/>
  <c r="AF202" i="24"/>
  <c r="AD17" i="25"/>
  <c r="W17" i="25"/>
  <c r="Z17" i="25" s="1"/>
  <c r="AA17" i="25" s="1"/>
  <c r="AB17" i="25" s="1"/>
  <c r="AI17" i="25" s="1"/>
  <c r="V17" i="25"/>
  <c r="X17" i="25" s="1"/>
  <c r="AF261" i="25"/>
  <c r="AE261" i="25"/>
  <c r="AD132" i="25"/>
  <c r="W132" i="25"/>
  <c r="Z132" i="25" s="1"/>
  <c r="AA132" i="25" s="1"/>
  <c r="AB132" i="25" s="1"/>
  <c r="AI132" i="25" s="1"/>
  <c r="V132" i="25"/>
  <c r="X132" i="25" s="1"/>
  <c r="AG199" i="24"/>
  <c r="AF199" i="24"/>
  <c r="AS59" i="25"/>
  <c r="AG31" i="24"/>
  <c r="AF31" i="24"/>
  <c r="AG289" i="24"/>
  <c r="AF289" i="24"/>
  <c r="AJ265" i="24"/>
  <c r="AD312" i="25"/>
  <c r="W312" i="25"/>
  <c r="Z312" i="25" s="1"/>
  <c r="AA312" i="25" s="1"/>
  <c r="AB312" i="25" s="1"/>
  <c r="AI312" i="25" s="1"/>
  <c r="V312" i="25"/>
  <c r="X312" i="25" s="1"/>
  <c r="AN7" i="24"/>
  <c r="AK7" i="24"/>
  <c r="AJ32" i="24"/>
  <c r="AG105" i="24"/>
  <c r="AF105" i="24"/>
  <c r="AG166" i="24"/>
  <c r="AF166" i="24"/>
  <c r="AF306" i="25"/>
  <c r="AE306" i="25"/>
  <c r="AG113" i="24"/>
  <c r="AF113" i="24"/>
  <c r="AG151" i="24"/>
  <c r="AF151" i="24"/>
  <c r="AG115" i="24"/>
  <c r="AF115" i="24"/>
  <c r="AF206" i="25"/>
  <c r="AE206" i="25"/>
  <c r="AJ282" i="24"/>
  <c r="AS167" i="25"/>
  <c r="AJ155" i="24"/>
  <c r="AJ120" i="24"/>
  <c r="AJ284" i="24"/>
  <c r="AG176" i="24"/>
  <c r="AF176" i="24"/>
  <c r="AD216" i="25"/>
  <c r="W216" i="25"/>
  <c r="Z216" i="25" s="1"/>
  <c r="AA216" i="25" s="1"/>
  <c r="AB216" i="25" s="1"/>
  <c r="AI216" i="25" s="1"/>
  <c r="AJ37" i="24"/>
  <c r="AF246" i="25"/>
  <c r="AE246" i="25"/>
  <c r="AJ242" i="24"/>
  <c r="AD236" i="25"/>
  <c r="W236" i="25"/>
  <c r="Z236" i="25" s="1"/>
  <c r="AA236" i="25" s="1"/>
  <c r="AB236" i="25" s="1"/>
  <c r="AI236" i="25" s="1"/>
  <c r="V236" i="25"/>
  <c r="X236" i="25" s="1"/>
  <c r="AJ12" i="24"/>
  <c r="AD196" i="25"/>
  <c r="W196" i="25"/>
  <c r="Z196" i="25" s="1"/>
  <c r="AA196" i="25" s="1"/>
  <c r="AB196" i="25" s="1"/>
  <c r="AI196" i="25" s="1"/>
  <c r="AG59" i="24"/>
  <c r="AF59" i="24"/>
  <c r="AD135" i="25"/>
  <c r="W135" i="25"/>
  <c r="Z135" i="25" s="1"/>
  <c r="AA135" i="25" s="1"/>
  <c r="AB135" i="25" s="1"/>
  <c r="AI135" i="25" s="1"/>
  <c r="AG157" i="24"/>
  <c r="AF157" i="24"/>
  <c r="AG94" i="24"/>
  <c r="AF94" i="24"/>
  <c r="AJ295" i="24"/>
  <c r="BA233" i="24"/>
  <c r="AG84" i="24"/>
  <c r="AF84" i="24"/>
  <c r="AD208" i="25"/>
  <c r="W208" i="25"/>
  <c r="Z208" i="25" s="1"/>
  <c r="AA208" i="25" s="1"/>
  <c r="AB208" i="25" s="1"/>
  <c r="AI208" i="25" s="1"/>
  <c r="AD99" i="25"/>
  <c r="W99" i="25"/>
  <c r="Z99" i="25" s="1"/>
  <c r="AA99" i="25" s="1"/>
  <c r="AB99" i="25" s="1"/>
  <c r="AI99" i="25" s="1"/>
  <c r="AG314" i="24"/>
  <c r="AF314" i="24"/>
  <c r="V304" i="25"/>
  <c r="X304" i="25" s="1"/>
  <c r="AD270" i="25"/>
  <c r="W270" i="25"/>
  <c r="Z270" i="25" s="1"/>
  <c r="AA270" i="25" s="1"/>
  <c r="AB270" i="25" s="1"/>
  <c r="AI270" i="25" s="1"/>
  <c r="V270" i="25"/>
  <c r="X270" i="25" s="1"/>
  <c r="AJ253" i="24"/>
  <c r="AJ152" i="24"/>
  <c r="AD297" i="25"/>
  <c r="W297" i="25"/>
  <c r="Z297" i="25" s="1"/>
  <c r="AA297" i="25" s="1"/>
  <c r="AB297" i="25" s="1"/>
  <c r="AI297" i="25" s="1"/>
  <c r="AG8" i="24"/>
  <c r="AF8" i="24"/>
  <c r="V157" i="25"/>
  <c r="X157" i="25" s="1"/>
  <c r="V200" i="25"/>
  <c r="X200" i="25" s="1"/>
  <c r="AG260" i="24"/>
  <c r="AF260" i="24"/>
  <c r="V68" i="25"/>
  <c r="X68" i="25" s="1"/>
  <c r="V274" i="25"/>
  <c r="X274" i="25" s="1"/>
  <c r="AG271" i="24"/>
  <c r="AF271" i="24"/>
  <c r="AD139" i="25"/>
  <c r="W139" i="25"/>
  <c r="Z139" i="25" s="1"/>
  <c r="AA139" i="25" s="1"/>
  <c r="AB139" i="25" s="1"/>
  <c r="AI139" i="25" s="1"/>
  <c r="AD144" i="25"/>
  <c r="W144" i="25"/>
  <c r="Z144" i="25" s="1"/>
  <c r="AA144" i="25" s="1"/>
  <c r="AB144" i="25" s="1"/>
  <c r="AI144" i="25" s="1"/>
  <c r="V144" i="25"/>
  <c r="X144" i="25" s="1"/>
  <c r="AD12" i="25"/>
  <c r="W12" i="25"/>
  <c r="Z12" i="25" s="1"/>
  <c r="AA12" i="25" s="1"/>
  <c r="AB12" i="25" s="1"/>
  <c r="AI12" i="25" s="1"/>
  <c r="AG247" i="24"/>
  <c r="AF247" i="24"/>
  <c r="AD101" i="25"/>
  <c r="W101" i="25"/>
  <c r="Z101" i="25" s="1"/>
  <c r="AA101" i="25" s="1"/>
  <c r="AB101" i="25" s="1"/>
  <c r="AI101" i="25" s="1"/>
  <c r="AG279" i="24"/>
  <c r="AF279" i="24"/>
  <c r="AD149" i="25"/>
  <c r="W149" i="25"/>
  <c r="Z149" i="25" s="1"/>
  <c r="AA149" i="25" s="1"/>
  <c r="AB149" i="25" s="1"/>
  <c r="AI149" i="25" s="1"/>
  <c r="V149" i="25"/>
  <c r="X149" i="25" s="1"/>
  <c r="AD80" i="25"/>
  <c r="W80" i="25"/>
  <c r="Z80" i="25" s="1"/>
  <c r="AA80" i="25" s="1"/>
  <c r="AB80" i="25" s="1"/>
  <c r="AI80" i="25" s="1"/>
  <c r="V80" i="25"/>
  <c r="X80" i="25" s="1"/>
  <c r="AG126" i="24"/>
  <c r="AF126" i="24"/>
  <c r="AG259" i="24"/>
  <c r="AF259" i="24"/>
  <c r="AT142" i="24"/>
  <c r="AD73" i="25"/>
  <c r="W73" i="25"/>
  <c r="Z73" i="25" s="1"/>
  <c r="AA73" i="25" s="1"/>
  <c r="AB73" i="25" s="1"/>
  <c r="AI73" i="25" s="1"/>
  <c r="AG193" i="24"/>
  <c r="AF193" i="24"/>
  <c r="AG315" i="24"/>
  <c r="AF315" i="24"/>
  <c r="AF238" i="25"/>
  <c r="AE238" i="25"/>
  <c r="AD307" i="25"/>
  <c r="W307" i="25"/>
  <c r="Z307" i="25" s="1"/>
  <c r="AA307" i="25" s="1"/>
  <c r="AB307" i="25" s="1"/>
  <c r="AI307" i="25" s="1"/>
  <c r="AG86" i="24"/>
  <c r="AF86" i="24"/>
  <c r="V277" i="25"/>
  <c r="X277" i="25" s="1"/>
  <c r="AG33" i="24"/>
  <c r="AF33" i="24"/>
  <c r="AD10" i="25"/>
  <c r="W10" i="25"/>
  <c r="Z10" i="25" s="1"/>
  <c r="AA10" i="25" s="1"/>
  <c r="AB10" i="25" s="1"/>
  <c r="AI10" i="25" s="1"/>
  <c r="AF186" i="25"/>
  <c r="AE186" i="25"/>
  <c r="AG181" i="24"/>
  <c r="AF181" i="24"/>
  <c r="V210" i="25"/>
  <c r="X210" i="25" s="1"/>
  <c r="V12" i="25"/>
  <c r="X12" i="25" s="1"/>
  <c r="AG224" i="24"/>
  <c r="AF224" i="24"/>
  <c r="AS283" i="25"/>
  <c r="AG64" i="24"/>
  <c r="AF64" i="24"/>
  <c r="AG290" i="24"/>
  <c r="AF290" i="24"/>
  <c r="AG30" i="24"/>
  <c r="AF30" i="24"/>
  <c r="AG237" i="24"/>
  <c r="AF237" i="24"/>
  <c r="V23" i="25"/>
  <c r="X23" i="25" s="1"/>
  <c r="AD264" i="25"/>
  <c r="W264" i="25"/>
  <c r="Z264" i="25" s="1"/>
  <c r="AA264" i="25" s="1"/>
  <c r="AB264" i="25" s="1"/>
  <c r="AI264" i="25" s="1"/>
  <c r="AD159" i="25"/>
  <c r="W159" i="25"/>
  <c r="Z159" i="25" s="1"/>
  <c r="AA159" i="25" s="1"/>
  <c r="AB159" i="25" s="1"/>
  <c r="AI159" i="25" s="1"/>
  <c r="AG174" i="24"/>
  <c r="AF174" i="24"/>
  <c r="AG145" i="24"/>
  <c r="AF145" i="24"/>
  <c r="AG20" i="24"/>
  <c r="AF20" i="24"/>
  <c r="AF257" i="25"/>
  <c r="AE257" i="25"/>
  <c r="AS276" i="25"/>
  <c r="AG18" i="24"/>
  <c r="AF18" i="24"/>
  <c r="AJ130" i="24"/>
  <c r="AJ243" i="24"/>
  <c r="AJ248" i="24"/>
  <c r="AG238" i="24"/>
  <c r="AF238" i="24"/>
  <c r="V98" i="25"/>
  <c r="X98" i="25" s="1"/>
  <c r="AG266" i="24"/>
  <c r="AF266" i="24"/>
  <c r="V264" i="25"/>
  <c r="X264" i="25" s="1"/>
  <c r="V100" i="25"/>
  <c r="X100" i="25" s="1"/>
  <c r="AD146" i="25"/>
  <c r="W146" i="25"/>
  <c r="Z146" i="25" s="1"/>
  <c r="AA146" i="25" s="1"/>
  <c r="AB146" i="25" s="1"/>
  <c r="AI146" i="25" s="1"/>
  <c r="V146" i="25"/>
  <c r="X146" i="25" s="1"/>
  <c r="AG6" i="24"/>
  <c r="AF6" i="24"/>
  <c r="AG57" i="24"/>
  <c r="AF57" i="24"/>
  <c r="AG235" i="24"/>
  <c r="AF235" i="24"/>
  <c r="V67" i="25"/>
  <c r="X67" i="25" s="1"/>
  <c r="AJ147" i="24"/>
  <c r="V224" i="25"/>
  <c r="X224" i="25" s="1"/>
  <c r="AG72" i="24"/>
  <c r="AF72" i="24"/>
  <c r="AG129" i="24"/>
  <c r="AF129" i="24"/>
  <c r="AG34" i="24"/>
  <c r="AF34" i="24"/>
  <c r="AS131" i="25"/>
  <c r="V121" i="25"/>
  <c r="X121" i="25" s="1"/>
  <c r="AD58" i="25"/>
  <c r="W58" i="25"/>
  <c r="Z58" i="25" s="1"/>
  <c r="AA58" i="25" s="1"/>
  <c r="AB58" i="25" s="1"/>
  <c r="AI58" i="25" s="1"/>
  <c r="V58" i="25"/>
  <c r="X58" i="25" s="1"/>
  <c r="AD117" i="25"/>
  <c r="W117" i="25"/>
  <c r="Z117" i="25" s="1"/>
  <c r="AA117" i="25" s="1"/>
  <c r="AB117" i="25" s="1"/>
  <c r="AI117" i="25" s="1"/>
  <c r="V117" i="25"/>
  <c r="X117" i="25" s="1"/>
  <c r="AG19" i="24"/>
  <c r="AF19" i="24"/>
  <c r="V286" i="25"/>
  <c r="X286" i="25" s="1"/>
  <c r="AS32" i="25"/>
  <c r="AD55" i="25"/>
  <c r="W55" i="25"/>
  <c r="Z55" i="25" s="1"/>
  <c r="AA55" i="25" s="1"/>
  <c r="AB55" i="25" s="1"/>
  <c r="AI55" i="25" s="1"/>
  <c r="AS273" i="25"/>
  <c r="AJ273" i="24"/>
  <c r="AG240" i="24"/>
  <c r="AF240" i="24"/>
  <c r="AF59" i="25"/>
  <c r="AE59" i="25"/>
  <c r="AD303" i="25"/>
  <c r="W303" i="25"/>
  <c r="Z303" i="25" s="1"/>
  <c r="AA303" i="25" s="1"/>
  <c r="AB303" i="25" s="1"/>
  <c r="AI303" i="25" s="1"/>
  <c r="AD288" i="25"/>
  <c r="W288" i="25"/>
  <c r="Z288" i="25" s="1"/>
  <c r="AA288" i="25" s="1"/>
  <c r="AB288" i="25" s="1"/>
  <c r="AI288" i="25" s="1"/>
  <c r="AD120" i="25"/>
  <c r="W120" i="25"/>
  <c r="Z120" i="25" s="1"/>
  <c r="AA120" i="25" s="1"/>
  <c r="AB120" i="25" s="1"/>
  <c r="AI120" i="25" s="1"/>
  <c r="V120" i="25"/>
  <c r="X120" i="25" s="1"/>
  <c r="V156" i="25"/>
  <c r="X156" i="25" s="1"/>
  <c r="AD279" i="25"/>
  <c r="W279" i="25"/>
  <c r="Z279" i="25" s="1"/>
  <c r="AA279" i="25" s="1"/>
  <c r="AB279" i="25" s="1"/>
  <c r="AI279" i="25" s="1"/>
  <c r="V279" i="25"/>
  <c r="X279" i="25" s="1"/>
  <c r="AS232" i="25"/>
  <c r="AD169" i="25"/>
  <c r="W169" i="25"/>
  <c r="Z169" i="25" s="1"/>
  <c r="AA169" i="25" s="1"/>
  <c r="AB169" i="25" s="1"/>
  <c r="AI169" i="25" s="1"/>
  <c r="V86" i="25"/>
  <c r="X86" i="25" s="1"/>
  <c r="AD207" i="25"/>
  <c r="W207" i="25"/>
  <c r="Z207" i="25" s="1"/>
  <c r="AA207" i="25" s="1"/>
  <c r="AB207" i="25" s="1"/>
  <c r="AI207" i="25" s="1"/>
  <c r="AK132" i="24"/>
  <c r="AN132" i="24"/>
  <c r="AG188" i="24"/>
  <c r="AF188" i="24"/>
  <c r="AG114" i="24"/>
  <c r="AF114" i="24"/>
  <c r="AD249" i="25"/>
  <c r="W249" i="25"/>
  <c r="Z249" i="25" s="1"/>
  <c r="AA249" i="25" s="1"/>
  <c r="AB249" i="25" s="1"/>
  <c r="AI249" i="25" s="1"/>
  <c r="AD251" i="25"/>
  <c r="W251" i="25"/>
  <c r="Z251" i="25" s="1"/>
  <c r="AA251" i="25" s="1"/>
  <c r="AB251" i="25" s="1"/>
  <c r="AI251" i="25" s="1"/>
  <c r="AJ232" i="24"/>
  <c r="AD56" i="25"/>
  <c r="W56" i="25"/>
  <c r="Z56" i="25" s="1"/>
  <c r="AA56" i="25" s="1"/>
  <c r="AB56" i="25" s="1"/>
  <c r="AI56" i="25" s="1"/>
  <c r="AF167" i="25"/>
  <c r="AE167" i="25"/>
  <c r="AD18" i="25"/>
  <c r="W18" i="25"/>
  <c r="Z18" i="25" s="1"/>
  <c r="AA18" i="25" s="1"/>
  <c r="AB18" i="25" s="1"/>
  <c r="AI18" i="25" s="1"/>
  <c r="AD269" i="25"/>
  <c r="W269" i="25"/>
  <c r="Z269" i="25" s="1"/>
  <c r="AA269" i="25" s="1"/>
  <c r="AB269" i="25" s="1"/>
  <c r="AI269" i="25" s="1"/>
  <c r="V269" i="25"/>
  <c r="X269" i="25" s="1"/>
  <c r="AG272" i="24"/>
  <c r="AF272" i="24"/>
  <c r="AD162" i="25"/>
  <c r="W162" i="25"/>
  <c r="Z162" i="25" s="1"/>
  <c r="AA162" i="25" s="1"/>
  <c r="AB162" i="25" s="1"/>
  <c r="AI162" i="25" s="1"/>
  <c r="V162" i="25"/>
  <c r="X162" i="25" s="1"/>
  <c r="AS199" i="25"/>
  <c r="AD22" i="25"/>
  <c r="W22" i="25"/>
  <c r="Z22" i="25" s="1"/>
  <c r="AA22" i="25" s="1"/>
  <c r="AB22" i="25" s="1"/>
  <c r="AI22" i="25" s="1"/>
  <c r="AG137" i="24"/>
  <c r="AF137" i="24"/>
  <c r="AS314" i="25"/>
  <c r="AD138" i="25"/>
  <c r="W138" i="25"/>
  <c r="Z138" i="25" s="1"/>
  <c r="AA138" i="25" s="1"/>
  <c r="AB138" i="25" s="1"/>
  <c r="AI138" i="25" s="1"/>
  <c r="V222" i="25"/>
  <c r="X222" i="25" s="1"/>
  <c r="AD184" i="25"/>
  <c r="W184" i="25"/>
  <c r="Z184" i="25" s="1"/>
  <c r="AA184" i="25" s="1"/>
  <c r="AB184" i="25" s="1"/>
  <c r="AI184" i="25" s="1"/>
  <c r="V184" i="25"/>
  <c r="X184" i="25" s="1"/>
  <c r="AG156" i="24"/>
  <c r="AF156" i="24"/>
  <c r="V81" i="25"/>
  <c r="X81" i="25" s="1"/>
  <c r="V216" i="25"/>
  <c r="X216" i="25" s="1"/>
  <c r="AG263" i="24"/>
  <c r="AF263" i="24"/>
  <c r="AG48" i="24"/>
  <c r="AF48" i="24"/>
  <c r="AD84" i="25"/>
  <c r="W84" i="25"/>
  <c r="Z84" i="25" s="1"/>
  <c r="AA84" i="25" s="1"/>
  <c r="AB84" i="25" s="1"/>
  <c r="AI84" i="25" s="1"/>
  <c r="AG297" i="24"/>
  <c r="AF297" i="24"/>
  <c r="AD90" i="25"/>
  <c r="W90" i="25"/>
  <c r="Z90" i="25" s="1"/>
  <c r="AA90" i="25" s="1"/>
  <c r="AB90" i="25" s="1"/>
  <c r="AI90" i="25" s="1"/>
  <c r="V135" i="25"/>
  <c r="X135" i="25" s="1"/>
  <c r="AG123" i="24"/>
  <c r="AF123" i="24"/>
  <c r="AD185" i="25"/>
  <c r="W185" i="25"/>
  <c r="Z185" i="25" s="1"/>
  <c r="AA185" i="25" s="1"/>
  <c r="AB185" i="25" s="1"/>
  <c r="AI185" i="25" s="1"/>
  <c r="V185" i="25"/>
  <c r="X185" i="25" s="1"/>
  <c r="AD69" i="25"/>
  <c r="W69" i="25"/>
  <c r="Z69" i="25" s="1"/>
  <c r="AA69" i="25" s="1"/>
  <c r="AB69" i="25" s="1"/>
  <c r="AI69" i="25" s="1"/>
  <c r="V69" i="25"/>
  <c r="X69" i="25" s="1"/>
  <c r="AD202" i="25"/>
  <c r="W202" i="25"/>
  <c r="Z202" i="25" s="1"/>
  <c r="AA202" i="25" s="1"/>
  <c r="AB202" i="25" s="1"/>
  <c r="AI202" i="25" s="1"/>
  <c r="AD171" i="25"/>
  <c r="W171" i="25"/>
  <c r="Z171" i="25" s="1"/>
  <c r="AA171" i="25" s="1"/>
  <c r="AB171" i="25" s="1"/>
  <c r="AI171" i="25" s="1"/>
  <c r="AG56" i="24"/>
  <c r="AF56" i="24"/>
  <c r="AD217" i="25"/>
  <c r="W217" i="25"/>
  <c r="Z217" i="25" s="1"/>
  <c r="AA217" i="25" s="1"/>
  <c r="AB217" i="25" s="1"/>
  <c r="AI217" i="25" s="1"/>
  <c r="V75" i="25"/>
  <c r="X75" i="25" s="1"/>
  <c r="AS31" i="25"/>
  <c r="V297" i="25"/>
  <c r="X297" i="25" s="1"/>
  <c r="AD54" i="25"/>
  <c r="W54" i="25"/>
  <c r="Z54" i="25" s="1"/>
  <c r="AA54" i="25" s="1"/>
  <c r="AB54" i="25" s="1"/>
  <c r="AI54" i="25" s="1"/>
  <c r="V54" i="25"/>
  <c r="X54" i="25" s="1"/>
  <c r="AD310" i="25"/>
  <c r="W310" i="25"/>
  <c r="Z310" i="25" s="1"/>
  <c r="AA310" i="25" s="1"/>
  <c r="AB310" i="25" s="1"/>
  <c r="AI310" i="25" s="1"/>
  <c r="V310" i="25"/>
  <c r="X310" i="25" s="1"/>
  <c r="AS204" i="25"/>
  <c r="AD176" i="25"/>
  <c r="W176" i="25"/>
  <c r="Z176" i="25" s="1"/>
  <c r="AA176" i="25" s="1"/>
  <c r="AB176" i="25" s="1"/>
  <c r="AI176" i="25" s="1"/>
  <c r="V176" i="25"/>
  <c r="X176" i="25" s="1"/>
  <c r="AG17" i="24"/>
  <c r="AF17" i="24"/>
  <c r="AG9" i="24"/>
  <c r="AF9" i="24"/>
  <c r="AS282" i="25"/>
  <c r="AF283" i="25"/>
  <c r="AE283" i="25"/>
  <c r="AG219" i="24"/>
  <c r="AF219" i="24"/>
  <c r="AG261" i="24"/>
  <c r="AF261" i="24"/>
  <c r="AD83" i="25"/>
  <c r="W83" i="25"/>
  <c r="Z83" i="25" s="1"/>
  <c r="AA83" i="25" s="1"/>
  <c r="AB83" i="25" s="1"/>
  <c r="AI83" i="25" s="1"/>
  <c r="V83" i="25"/>
  <c r="X83" i="25" s="1"/>
  <c r="V72" i="25"/>
  <c r="X72" i="25" s="1"/>
  <c r="AG167" i="24"/>
  <c r="AF167" i="24"/>
  <c r="AD153" i="25"/>
  <c r="W153" i="25"/>
  <c r="Z153" i="25" s="1"/>
  <c r="AA153" i="25" s="1"/>
  <c r="AB153" i="25" s="1"/>
  <c r="AI153" i="25" s="1"/>
  <c r="V153" i="25"/>
  <c r="X153" i="25" s="1"/>
  <c r="AD61" i="25"/>
  <c r="W61" i="25"/>
  <c r="Z61" i="25" s="1"/>
  <c r="AA61" i="25" s="1"/>
  <c r="AB61" i="25" s="1"/>
  <c r="AI61" i="25" s="1"/>
  <c r="V61" i="25"/>
  <c r="X61" i="25" s="1"/>
  <c r="AG164" i="24"/>
  <c r="AF164" i="24"/>
  <c r="AX143" i="25"/>
  <c r="AW143" i="25"/>
  <c r="AT292" i="24"/>
  <c r="AD290" i="25"/>
  <c r="W290" i="25"/>
  <c r="Z290" i="25" s="1"/>
  <c r="AA290" i="25" s="1"/>
  <c r="AB290" i="25" s="1"/>
  <c r="AI290" i="25" s="1"/>
  <c r="V290" i="25"/>
  <c r="X290" i="25" s="1"/>
  <c r="AG128" i="24"/>
  <c r="AF128" i="24"/>
  <c r="AS178" i="25"/>
  <c r="AG283" i="24"/>
  <c r="AF283" i="24"/>
  <c r="AG225" i="24"/>
  <c r="AF225" i="24"/>
  <c r="AF276" i="25"/>
  <c r="AE276" i="25"/>
  <c r="AD182" i="25"/>
  <c r="W182" i="25"/>
  <c r="Z182" i="25" s="1"/>
  <c r="AA182" i="25" s="1"/>
  <c r="AB182" i="25" s="1"/>
  <c r="AI182" i="25" s="1"/>
  <c r="V182" i="25"/>
  <c r="X182" i="25" s="1"/>
  <c r="AD218" i="25"/>
  <c r="W218" i="25"/>
  <c r="Z218" i="25" s="1"/>
  <c r="AA218" i="25" s="1"/>
  <c r="AB218" i="25" s="1"/>
  <c r="AI218" i="25" s="1"/>
  <c r="AG61" i="24"/>
  <c r="AF61" i="24"/>
  <c r="AS170" i="25"/>
  <c r="AG299" i="24"/>
  <c r="AF299" i="24"/>
  <c r="AG68" i="24"/>
  <c r="AF68" i="24"/>
  <c r="AG207" i="24"/>
  <c r="AF207" i="24"/>
  <c r="AF131" i="25"/>
  <c r="AE131" i="25"/>
  <c r="AD40" i="25"/>
  <c r="W40" i="25"/>
  <c r="Z40" i="25" s="1"/>
  <c r="AA40" i="25" s="1"/>
  <c r="AB40" i="25" s="1"/>
  <c r="AI40" i="25" s="1"/>
  <c r="AD302" i="25"/>
  <c r="W302" i="25"/>
  <c r="Z302" i="25" s="1"/>
  <c r="AA302" i="25" s="1"/>
  <c r="AB302" i="25" s="1"/>
  <c r="AI302" i="25" s="1"/>
  <c r="V93" i="25"/>
  <c r="X93" i="25" s="1"/>
  <c r="AD53" i="25"/>
  <c r="W53" i="25"/>
  <c r="Z53" i="25" s="1"/>
  <c r="AA53" i="25" s="1"/>
  <c r="AB53" i="25" s="1"/>
  <c r="AI53" i="25" s="1"/>
  <c r="AD122" i="25"/>
  <c r="W122" i="25"/>
  <c r="Z122" i="25" s="1"/>
  <c r="AA122" i="25" s="1"/>
  <c r="AB122" i="25" s="1"/>
  <c r="AI122" i="25" s="1"/>
  <c r="AG209" i="24"/>
  <c r="AF209" i="24"/>
  <c r="AF32" i="25"/>
  <c r="AE32" i="25"/>
  <c r="AG267" i="24"/>
  <c r="AF267" i="24"/>
  <c r="AF273" i="25"/>
  <c r="AE273" i="25"/>
  <c r="AD46" i="25"/>
  <c r="W46" i="25"/>
  <c r="Z46" i="25" s="1"/>
  <c r="AA46" i="25" s="1"/>
  <c r="AB46" i="25" s="1"/>
  <c r="AI46" i="25" s="1"/>
  <c r="V46" i="25"/>
  <c r="X46" i="25" s="1"/>
  <c r="AG265" i="24"/>
  <c r="AF265" i="24"/>
  <c r="AD112" i="25"/>
  <c r="W112" i="25"/>
  <c r="Z112" i="25" s="1"/>
  <c r="AA112" i="25" s="1"/>
  <c r="AB112" i="25" s="1"/>
  <c r="AI112" i="25" s="1"/>
  <c r="V315" i="25"/>
  <c r="X315" i="25" s="1"/>
  <c r="AG32" i="24"/>
  <c r="AF32" i="24"/>
  <c r="AS104" i="25"/>
  <c r="AK160" i="24"/>
  <c r="AN160" i="24"/>
  <c r="BI160" i="24" s="1"/>
  <c r="AG282" i="24"/>
  <c r="AF282" i="24"/>
  <c r="AG155" i="24"/>
  <c r="AF155" i="24"/>
  <c r="AG120" i="24"/>
  <c r="AF120" i="24"/>
  <c r="AG284" i="24"/>
  <c r="AF284" i="24"/>
  <c r="AN222" i="24" l="1"/>
  <c r="AX264" i="24"/>
  <c r="BI264" i="24"/>
  <c r="CE119" i="24"/>
  <c r="BI119" i="24"/>
  <c r="CE233" i="24"/>
  <c r="BI233" i="24"/>
  <c r="AX142" i="24"/>
  <c r="BI142" i="24"/>
  <c r="BL142" i="24" s="1"/>
  <c r="BU236" i="24"/>
  <c r="BI236" i="24"/>
  <c r="BL236" i="24" s="1"/>
  <c r="CE132" i="24"/>
  <c r="BI132" i="24"/>
  <c r="BL132" i="24" s="1"/>
  <c r="CE162" i="24"/>
  <c r="BI162" i="24"/>
  <c r="BU292" i="24"/>
  <c r="BI292" i="24"/>
  <c r="CE191" i="24"/>
  <c r="BI191" i="24"/>
  <c r="BL191" i="24" s="1"/>
  <c r="BU7" i="24"/>
  <c r="BI7" i="24"/>
  <c r="BL7" i="24" s="1"/>
  <c r="BU44" i="24"/>
  <c r="BI44" i="24"/>
  <c r="BL44" i="24" s="1"/>
  <c r="CE45" i="24"/>
  <c r="BI45" i="24"/>
  <c r="BL45" i="24" s="1"/>
  <c r="BU41" i="24"/>
  <c r="BI41" i="24"/>
  <c r="BL41" i="24" s="1"/>
  <c r="BU101" i="24"/>
  <c r="BI101" i="24"/>
  <c r="BL101" i="24" s="1"/>
  <c r="CE55" i="24"/>
  <c r="BI55" i="24"/>
  <c r="BL55" i="24" s="1"/>
  <c r="BU21" i="24"/>
  <c r="CE21" i="24"/>
  <c r="AX22" i="24"/>
  <c r="CE22" i="24"/>
  <c r="AT67" i="24"/>
  <c r="BA67" i="24" s="1"/>
  <c r="BU22" i="24"/>
  <c r="BU45" i="24"/>
  <c r="BU55" i="24"/>
  <c r="AF280" i="25"/>
  <c r="AJ280" i="25" s="1"/>
  <c r="CE101" i="24"/>
  <c r="AF11" i="25"/>
  <c r="AJ11" i="25" s="1"/>
  <c r="AE155" i="25"/>
  <c r="AJ155" i="25" s="1"/>
  <c r="AF96" i="25"/>
  <c r="AJ96" i="25" s="1"/>
  <c r="AV27" i="24"/>
  <c r="AT81" i="24"/>
  <c r="BA81" i="24" s="1"/>
  <c r="AT49" i="24"/>
  <c r="BA49" i="24" s="1"/>
  <c r="AT39" i="24"/>
  <c r="BA39" i="24" s="1"/>
  <c r="AV77" i="24"/>
  <c r="AV65" i="24"/>
  <c r="AV104" i="24"/>
  <c r="AV66" i="24"/>
  <c r="AV103" i="24"/>
  <c r="AV64" i="24"/>
  <c r="AV102" i="24"/>
  <c r="AV23" i="24"/>
  <c r="AV61" i="24"/>
  <c r="AV78" i="24"/>
  <c r="AT72" i="24"/>
  <c r="BA72" i="24" s="1"/>
  <c r="AV86" i="24"/>
  <c r="AV98" i="24"/>
  <c r="AT62" i="24"/>
  <c r="BA62" i="24" s="1"/>
  <c r="AV69" i="24"/>
  <c r="AV10" i="24"/>
  <c r="AV15" i="24"/>
  <c r="AV38" i="24"/>
  <c r="AV50" i="24"/>
  <c r="AV40" i="24"/>
  <c r="AV60" i="24"/>
  <c r="AV47" i="24"/>
  <c r="AV63" i="24"/>
  <c r="AV83" i="24"/>
  <c r="AV80" i="24"/>
  <c r="AV100" i="24"/>
  <c r="AV84" i="24"/>
  <c r="AV76" i="24"/>
  <c r="AV70" i="24"/>
  <c r="AV91" i="24"/>
  <c r="AV43" i="24"/>
  <c r="AV68" i="24"/>
  <c r="AT92" i="24"/>
  <c r="BA92" i="24" s="1"/>
  <c r="AT95" i="24"/>
  <c r="BA95" i="24" s="1"/>
  <c r="AV16" i="24"/>
  <c r="AV105" i="24"/>
  <c r="AV46" i="24"/>
  <c r="AV52" i="24"/>
  <c r="AV53" i="24"/>
  <c r="AV71" i="24"/>
  <c r="AV82" i="24"/>
  <c r="AV73" i="24"/>
  <c r="AT74" i="24"/>
  <c r="BA74" i="24" s="1"/>
  <c r="AT93" i="24"/>
  <c r="BA93" i="24" s="1"/>
  <c r="AV89" i="24"/>
  <c r="AV99" i="24"/>
  <c r="AT14" i="24"/>
  <c r="BA14" i="24" s="1"/>
  <c r="AV11" i="24"/>
  <c r="AV88" i="24"/>
  <c r="AV79" i="24"/>
  <c r="AT97" i="24"/>
  <c r="BA97" i="24" s="1"/>
  <c r="AV75" i="24"/>
  <c r="AV85" i="24"/>
  <c r="AV94" i="24"/>
  <c r="AT25" i="24"/>
  <c r="BA25" i="24" s="1"/>
  <c r="AV29" i="24"/>
  <c r="AV31" i="24"/>
  <c r="AV13" i="24"/>
  <c r="AV36" i="24"/>
  <c r="AV42" i="24"/>
  <c r="AV87" i="24"/>
  <c r="AV67" i="24"/>
  <c r="AV90" i="24"/>
  <c r="AV96" i="24"/>
  <c r="AT103" i="24"/>
  <c r="BA103" i="24" s="1"/>
  <c r="AJ143" i="25"/>
  <c r="AT105" i="24"/>
  <c r="BA105" i="24" s="1"/>
  <c r="AT99" i="24"/>
  <c r="BA99" i="24" s="1"/>
  <c r="AF258" i="25"/>
  <c r="AJ258" i="25" s="1"/>
  <c r="AE189" i="25"/>
  <c r="AJ189" i="25" s="1"/>
  <c r="AT90" i="24"/>
  <c r="BA90" i="24" s="1"/>
  <c r="AT96" i="24"/>
  <c r="BA96" i="24" s="1"/>
  <c r="AT42" i="24"/>
  <c r="BA42" i="24" s="1"/>
  <c r="AT94" i="24"/>
  <c r="BA94" i="24" s="1"/>
  <c r="AT85" i="24"/>
  <c r="BA85" i="24" s="1"/>
  <c r="AT89" i="24"/>
  <c r="BA89" i="24" s="1"/>
  <c r="AV72" i="24"/>
  <c r="AV62" i="24"/>
  <c r="AT69" i="24"/>
  <c r="BA69" i="24" s="1"/>
  <c r="AT80" i="24"/>
  <c r="BA80" i="24" s="1"/>
  <c r="AT100" i="24"/>
  <c r="BA100" i="24" s="1"/>
  <c r="AT84" i="24"/>
  <c r="BA84" i="24" s="1"/>
  <c r="AV81" i="24"/>
  <c r="AF154" i="25"/>
  <c r="BU142" i="24"/>
  <c r="AT66" i="24"/>
  <c r="BA66" i="24" s="1"/>
  <c r="AT91" i="24"/>
  <c r="BA91" i="24" s="1"/>
  <c r="AF97" i="25"/>
  <c r="AJ97" i="25" s="1"/>
  <c r="AT102" i="24"/>
  <c r="BA102" i="24" s="1"/>
  <c r="AT70" i="24"/>
  <c r="BA70" i="24" s="1"/>
  <c r="AT86" i="24"/>
  <c r="BA86" i="24" s="1"/>
  <c r="AE154" i="25"/>
  <c r="AT98" i="24"/>
  <c r="BA98" i="24" s="1"/>
  <c r="AT75" i="24"/>
  <c r="BA75" i="24" s="1"/>
  <c r="AV97" i="24"/>
  <c r="AT79" i="24"/>
  <c r="BA79" i="24" s="1"/>
  <c r="AT88" i="24"/>
  <c r="BA88" i="24" s="1"/>
  <c r="AV74" i="24"/>
  <c r="AV93" i="24"/>
  <c r="AV95" i="24"/>
  <c r="AT87" i="24"/>
  <c r="BA87" i="24" s="1"/>
  <c r="AE104" i="25"/>
  <c r="AJ104" i="25" s="1"/>
  <c r="AV92" i="24"/>
  <c r="AT68" i="24"/>
  <c r="BA68" i="24" s="1"/>
  <c r="AT43" i="24"/>
  <c r="BA43" i="24" s="1"/>
  <c r="AF179" i="25"/>
  <c r="AJ179" i="25" s="1"/>
  <c r="AT65" i="24"/>
  <c r="BA65" i="24" s="1"/>
  <c r="AT104" i="24"/>
  <c r="BA104" i="24" s="1"/>
  <c r="AF265" i="25"/>
  <c r="AJ265" i="25" s="1"/>
  <c r="AT53" i="24"/>
  <c r="BA53" i="24" s="1"/>
  <c r="AT82" i="24"/>
  <c r="BA82" i="24" s="1"/>
  <c r="AT73" i="24"/>
  <c r="BA73" i="24" s="1"/>
  <c r="AT83" i="24"/>
  <c r="BA83" i="24" s="1"/>
  <c r="AF29" i="25"/>
  <c r="AM29" i="25" s="1"/>
  <c r="BG29" i="25" s="1"/>
  <c r="AT78" i="24"/>
  <c r="BA78" i="24" s="1"/>
  <c r="AT23" i="24"/>
  <c r="BA23" i="24" s="1"/>
  <c r="AT61" i="24"/>
  <c r="BA61" i="24" s="1"/>
  <c r="AV39" i="24"/>
  <c r="AF291" i="25"/>
  <c r="AM291" i="25" s="1"/>
  <c r="BG291" i="25" s="1"/>
  <c r="AT77" i="24"/>
  <c r="BA77" i="24" s="1"/>
  <c r="AV49" i="24"/>
  <c r="BW142" i="24"/>
  <c r="AV14" i="24"/>
  <c r="BW22" i="24"/>
  <c r="AT64" i="24"/>
  <c r="BA64" i="24" s="1"/>
  <c r="BH142" i="24"/>
  <c r="AT76" i="24"/>
  <c r="BA76" i="24" s="1"/>
  <c r="AF28" i="25"/>
  <c r="AM28" i="25" s="1"/>
  <c r="BG28" i="25" s="1"/>
  <c r="AT46" i="24"/>
  <c r="BA46" i="24" s="1"/>
  <c r="AT50" i="24"/>
  <c r="BA50" i="24" s="1"/>
  <c r="AT47" i="24"/>
  <c r="BA47" i="24" s="1"/>
  <c r="AT60" i="24"/>
  <c r="BA60" i="24" s="1"/>
  <c r="AT40" i="24"/>
  <c r="BA40" i="24" s="1"/>
  <c r="AT38" i="24"/>
  <c r="BA38" i="24" s="1"/>
  <c r="AT15" i="24"/>
  <c r="BA15" i="24" s="1"/>
  <c r="BH292" i="24"/>
  <c r="AX292" i="24"/>
  <c r="BW292" i="24"/>
  <c r="BW264" i="24"/>
  <c r="AT10" i="24"/>
  <c r="BA10" i="24" s="1"/>
  <c r="AT71" i="24"/>
  <c r="BA71" i="24" s="1"/>
  <c r="AT63" i="24"/>
  <c r="BA63" i="24" s="1"/>
  <c r="AT52" i="24"/>
  <c r="BA52" i="24" s="1"/>
  <c r="AT11" i="24"/>
  <c r="BA11" i="24" s="1"/>
  <c r="AV25" i="24"/>
  <c r="AT13" i="24"/>
  <c r="BA13" i="24" s="1"/>
  <c r="AT16" i="24"/>
  <c r="BA16" i="24" s="1"/>
  <c r="AT29" i="24"/>
  <c r="BA29" i="24" s="1"/>
  <c r="AT36" i="24"/>
  <c r="BA36" i="24" s="1"/>
  <c r="AT27" i="24"/>
  <c r="BA27" i="24" s="1"/>
  <c r="AT31" i="24"/>
  <c r="BA31" i="24" s="1"/>
  <c r="AF237" i="25"/>
  <c r="O212" i="25"/>
  <c r="P212" i="25"/>
  <c r="T212" i="25"/>
  <c r="U212" i="25" s="1"/>
  <c r="BH22" i="24"/>
  <c r="AX77" i="25"/>
  <c r="AF77" i="25"/>
  <c r="AE77" i="25"/>
  <c r="BU264" i="24"/>
  <c r="BH236" i="24"/>
  <c r="BW236" i="24"/>
  <c r="BH264" i="24"/>
  <c r="AX236" i="24"/>
  <c r="AJ131" i="25"/>
  <c r="AM131" i="25"/>
  <c r="BG131" i="25" s="1"/>
  <c r="AN284" i="24"/>
  <c r="BI284" i="24" s="1"/>
  <c r="AK284" i="24"/>
  <c r="AS53" i="25"/>
  <c r="AF40" i="25"/>
  <c r="AE40" i="25"/>
  <c r="AK128" i="24"/>
  <c r="AN128" i="24"/>
  <c r="AN261" i="24"/>
  <c r="AK261" i="24"/>
  <c r="BA220" i="24"/>
  <c r="AX31" i="25"/>
  <c r="AW31" i="25"/>
  <c r="BA154" i="24"/>
  <c r="AS202" i="25"/>
  <c r="AS185" i="25"/>
  <c r="AN48" i="24"/>
  <c r="AK48" i="24"/>
  <c r="AS269" i="25"/>
  <c r="AT232" i="24"/>
  <c r="BA165" i="24"/>
  <c r="AS120" i="25"/>
  <c r="AJ59" i="25"/>
  <c r="AM59" i="25"/>
  <c r="BG59" i="25" s="1"/>
  <c r="AS58" i="25"/>
  <c r="AX131" i="25"/>
  <c r="AW131" i="25"/>
  <c r="AN235" i="24"/>
  <c r="AK235" i="24"/>
  <c r="AF146" i="25"/>
  <c r="AE146" i="25"/>
  <c r="AT248" i="24"/>
  <c r="AJ257" i="25"/>
  <c r="AM257" i="25"/>
  <c r="BG257" i="25" s="1"/>
  <c r="AS159" i="25"/>
  <c r="AN224" i="24"/>
  <c r="AK224" i="24"/>
  <c r="AF10" i="25"/>
  <c r="AE10" i="25"/>
  <c r="AN86" i="24"/>
  <c r="AK86" i="24"/>
  <c r="AN193" i="24"/>
  <c r="AK193" i="24"/>
  <c r="BA142" i="24"/>
  <c r="AS12" i="25"/>
  <c r="AK271" i="24"/>
  <c r="AN271" i="24"/>
  <c r="AT253" i="24"/>
  <c r="AS99" i="25"/>
  <c r="AS196" i="25"/>
  <c r="AF236" i="25"/>
  <c r="AE236" i="25"/>
  <c r="AK176" i="24"/>
  <c r="AN176" i="24"/>
  <c r="BI176" i="24" s="1"/>
  <c r="AT155" i="24"/>
  <c r="AT282" i="24"/>
  <c r="AS312" i="25"/>
  <c r="AK199" i="24"/>
  <c r="AN199" i="24"/>
  <c r="AF17" i="25"/>
  <c r="AE17" i="25"/>
  <c r="AT267" i="24"/>
  <c r="BA207" i="24"/>
  <c r="AM92" i="25"/>
  <c r="AJ92" i="25"/>
  <c r="AS254" i="25"/>
  <c r="AS67" i="25"/>
  <c r="BA164" i="24"/>
  <c r="AV9" i="24"/>
  <c r="AT9" i="24"/>
  <c r="AN316" i="24"/>
  <c r="BI316" i="24" s="1"/>
  <c r="AK316" i="24"/>
  <c r="AV17" i="24"/>
  <c r="AT17" i="24"/>
  <c r="AF225" i="25"/>
  <c r="AE225" i="25"/>
  <c r="AT263" i="24"/>
  <c r="AS221" i="25"/>
  <c r="BA272" i="24"/>
  <c r="BA132" i="24"/>
  <c r="BA223" i="24"/>
  <c r="AS116" i="25"/>
  <c r="AM155" i="25"/>
  <c r="BG155" i="25" s="1"/>
  <c r="AK25" i="24"/>
  <c r="AN25" i="24"/>
  <c r="AT145" i="24"/>
  <c r="AJ174" i="25"/>
  <c r="AM174" i="25"/>
  <c r="AT290" i="24"/>
  <c r="AF123" i="25"/>
  <c r="AE123" i="25"/>
  <c r="AT126" i="24"/>
  <c r="AT279" i="24"/>
  <c r="AJ255" i="25"/>
  <c r="AM255" i="25"/>
  <c r="BG255" i="25" s="1"/>
  <c r="AM21" i="25"/>
  <c r="AJ21" i="25"/>
  <c r="AS244" i="25"/>
  <c r="AS33" i="25"/>
  <c r="AF200" i="25"/>
  <c r="AE200" i="25"/>
  <c r="AK275" i="24"/>
  <c r="AN275" i="24"/>
  <c r="AS121" i="25"/>
  <c r="AX155" i="25"/>
  <c r="AW155" i="25"/>
  <c r="AK276" i="24"/>
  <c r="AN276" i="24"/>
  <c r="BI276" i="24" s="1"/>
  <c r="AK104" i="24"/>
  <c r="AN104" i="24"/>
  <c r="AS127" i="25"/>
  <c r="AK29" i="24"/>
  <c r="AN29" i="24"/>
  <c r="AS101" i="24"/>
  <c r="BJ101" i="24"/>
  <c r="AQ101" i="24"/>
  <c r="AX101" i="24"/>
  <c r="BH101" i="24"/>
  <c r="BW101" i="24"/>
  <c r="BA256" i="24"/>
  <c r="AF57" i="25"/>
  <c r="AE57" i="25"/>
  <c r="AN197" i="24"/>
  <c r="BI197" i="24" s="1"/>
  <c r="AK197" i="24"/>
  <c r="BA316" i="24"/>
  <c r="AK230" i="24"/>
  <c r="AN230" i="24"/>
  <c r="BI230" i="24" s="1"/>
  <c r="BA122" i="24"/>
  <c r="AS272" i="25"/>
  <c r="AS300" i="25"/>
  <c r="BA208" i="24"/>
  <c r="AS45" i="25"/>
  <c r="AJ89" i="25"/>
  <c r="AM89" i="25"/>
  <c r="BA204" i="24"/>
  <c r="AN96" i="24"/>
  <c r="AK96" i="24"/>
  <c r="AF220" i="25"/>
  <c r="AE220" i="25"/>
  <c r="BA187" i="24"/>
  <c r="AF79" i="25"/>
  <c r="AE79" i="25"/>
  <c r="BA268" i="24"/>
  <c r="BA116" i="24"/>
  <c r="AM6" i="25"/>
  <c r="AJ6" i="25"/>
  <c r="AS136" i="25"/>
  <c r="AK125" i="24"/>
  <c r="AN125" i="24"/>
  <c r="AN58" i="24"/>
  <c r="AK58" i="24"/>
  <c r="AN83" i="24"/>
  <c r="AK83" i="24"/>
  <c r="AF195" i="25"/>
  <c r="AE195" i="25"/>
  <c r="AF137" i="25"/>
  <c r="AE137" i="25"/>
  <c r="AK26" i="24"/>
  <c r="AN26" i="24"/>
  <c r="BA245" i="24"/>
  <c r="AS274" i="25"/>
  <c r="AS289" i="25"/>
  <c r="AW13" i="25"/>
  <c r="AX13" i="25"/>
  <c r="AF39" i="25"/>
  <c r="AE39" i="25"/>
  <c r="AF49" i="25"/>
  <c r="AE49" i="25"/>
  <c r="AS239" i="25"/>
  <c r="AM259" i="25"/>
  <c r="BG259" i="25" s="1"/>
  <c r="AJ259" i="25"/>
  <c r="BA311" i="24"/>
  <c r="AS9" i="25"/>
  <c r="AS281" i="25"/>
  <c r="AS93" i="25"/>
  <c r="AK234" i="24"/>
  <c r="AN234" i="24"/>
  <c r="BI234" i="24" s="1"/>
  <c r="AN220" i="24"/>
  <c r="BI220" i="24" s="1"/>
  <c r="AK220" i="24"/>
  <c r="BA241" i="24"/>
  <c r="AK175" i="24"/>
  <c r="AN175" i="24"/>
  <c r="AX29" i="25"/>
  <c r="AW29" i="25"/>
  <c r="AN171" i="24"/>
  <c r="BI171" i="24" s="1"/>
  <c r="AK171" i="24"/>
  <c r="AW198" i="25"/>
  <c r="AX198" i="25"/>
  <c r="AS20" i="25"/>
  <c r="BL233" i="24"/>
  <c r="AS233" i="24"/>
  <c r="AQ233" i="24"/>
  <c r="BJ233" i="24"/>
  <c r="BU233" i="24"/>
  <c r="AX233" i="24"/>
  <c r="BH233" i="24"/>
  <c r="BW233" i="24"/>
  <c r="AK79" i="24"/>
  <c r="AN79" i="24"/>
  <c r="AF191" i="25"/>
  <c r="AE191" i="25"/>
  <c r="AF230" i="25"/>
  <c r="AE230" i="25"/>
  <c r="AT121" i="24"/>
  <c r="AS70" i="25"/>
  <c r="AN248" i="24"/>
  <c r="AK248" i="24"/>
  <c r="AS41" i="24"/>
  <c r="AQ41" i="24"/>
  <c r="BJ41" i="24"/>
  <c r="AX41" i="24"/>
  <c r="BH41" i="24"/>
  <c r="BW41" i="24"/>
  <c r="AT301" i="24"/>
  <c r="AF187" i="25"/>
  <c r="AE187" i="25"/>
  <c r="AS277" i="25"/>
  <c r="AF125" i="25"/>
  <c r="AE125" i="25"/>
  <c r="AT135" i="24"/>
  <c r="AK37" i="24"/>
  <c r="AN37" i="24"/>
  <c r="AF111" i="25"/>
  <c r="AE111" i="25"/>
  <c r="AS102" i="25"/>
  <c r="AK209" i="24"/>
  <c r="AN209" i="24"/>
  <c r="AN155" i="24"/>
  <c r="AK155" i="24"/>
  <c r="AX104" i="25"/>
  <c r="AW104" i="25"/>
  <c r="AS46" i="25"/>
  <c r="AJ32" i="25"/>
  <c r="AM32" i="25"/>
  <c r="BG32" i="25" s="1"/>
  <c r="AF53" i="25"/>
  <c r="AE53" i="25"/>
  <c r="AN299" i="24"/>
  <c r="BI299" i="24" s="1"/>
  <c r="AK299" i="24"/>
  <c r="BA184" i="24"/>
  <c r="AN61" i="24"/>
  <c r="BI61" i="24" s="1"/>
  <c r="AK61" i="24"/>
  <c r="AN164" i="24"/>
  <c r="BI164" i="24" s="1"/>
  <c r="AK164" i="24"/>
  <c r="AN167" i="24"/>
  <c r="BI167" i="24" s="1"/>
  <c r="AK167" i="24"/>
  <c r="AK17" i="24"/>
  <c r="AN17" i="24"/>
  <c r="AX204" i="25"/>
  <c r="AW204" i="25"/>
  <c r="AS54" i="25"/>
  <c r="AK56" i="24"/>
  <c r="AN56" i="24"/>
  <c r="AF202" i="25"/>
  <c r="AE202" i="25"/>
  <c r="AF185" i="25"/>
  <c r="AE185" i="25"/>
  <c r="AX28" i="25"/>
  <c r="AW28" i="25"/>
  <c r="AS162" i="25"/>
  <c r="BA226" i="24"/>
  <c r="AF269" i="25"/>
  <c r="AE269" i="25"/>
  <c r="AS251" i="25"/>
  <c r="AK188" i="24"/>
  <c r="AN188" i="24"/>
  <c r="BI188" i="24" s="1"/>
  <c r="AF120" i="25"/>
  <c r="AE120" i="25"/>
  <c r="AF58" i="25"/>
  <c r="AE58" i="25"/>
  <c r="BA139" i="24"/>
  <c r="AF159" i="25"/>
  <c r="AE159" i="25"/>
  <c r="AN30" i="24"/>
  <c r="BI30" i="24" s="1"/>
  <c r="AK30" i="24"/>
  <c r="BA134" i="24"/>
  <c r="AS307" i="25"/>
  <c r="AN126" i="24"/>
  <c r="BI126" i="24" s="1"/>
  <c r="AK126" i="24"/>
  <c r="AF12" i="25"/>
  <c r="AE12" i="25"/>
  <c r="AF99" i="25"/>
  <c r="AE99" i="25"/>
  <c r="AT295" i="24"/>
  <c r="AF196" i="25"/>
  <c r="AE196" i="25"/>
  <c r="AT242" i="24"/>
  <c r="BA124" i="24"/>
  <c r="AN105" i="24"/>
  <c r="AK105" i="24"/>
  <c r="AF312" i="25"/>
  <c r="AE312" i="25"/>
  <c r="AS287" i="25"/>
  <c r="AS91" i="25"/>
  <c r="AK252" i="24"/>
  <c r="AN252" i="24"/>
  <c r="BI252" i="24" s="1"/>
  <c r="AF254" i="25"/>
  <c r="AE254" i="25"/>
  <c r="AK15" i="24"/>
  <c r="AN15" i="24"/>
  <c r="AF67" i="25"/>
  <c r="AE67" i="25"/>
  <c r="AK300" i="24"/>
  <c r="AN300" i="24"/>
  <c r="BI300" i="24" s="1"/>
  <c r="AS227" i="25"/>
  <c r="BA156" i="24"/>
  <c r="AF221" i="25"/>
  <c r="AE221" i="25"/>
  <c r="AK112" i="24"/>
  <c r="AN112" i="24"/>
  <c r="AF116" i="25"/>
  <c r="AE116" i="25"/>
  <c r="AX206" i="25"/>
  <c r="AW206" i="25"/>
  <c r="AJ14" i="25"/>
  <c r="AM14" i="25"/>
  <c r="AS43" i="25"/>
  <c r="AN307" i="24"/>
  <c r="AK307" i="24"/>
  <c r="AN195" i="24"/>
  <c r="AK195" i="24"/>
  <c r="AN116" i="24"/>
  <c r="BI116" i="24" s="1"/>
  <c r="AK116" i="24"/>
  <c r="AT225" i="24"/>
  <c r="AS60" i="25"/>
  <c r="AS266" i="25"/>
  <c r="AT247" i="24"/>
  <c r="AF244" i="25"/>
  <c r="AE244" i="25"/>
  <c r="AK90" i="24"/>
  <c r="AN90" i="24"/>
  <c r="AS26" i="25"/>
  <c r="AF33" i="25"/>
  <c r="AE33" i="25"/>
  <c r="AW179" i="25"/>
  <c r="AX179" i="25"/>
  <c r="BA157" i="24"/>
  <c r="AS124" i="25"/>
  <c r="AS41" i="25"/>
  <c r="AK63" i="24"/>
  <c r="AN63" i="24"/>
  <c r="AF121" i="25"/>
  <c r="AE121" i="25"/>
  <c r="AS294" i="25"/>
  <c r="BA151" i="24"/>
  <c r="AK254" i="24"/>
  <c r="AN254" i="24"/>
  <c r="BI254" i="24" s="1"/>
  <c r="AF127" i="25"/>
  <c r="AE127" i="25"/>
  <c r="BA291" i="24"/>
  <c r="BA252" i="24"/>
  <c r="AX177" i="25"/>
  <c r="AW177" i="25"/>
  <c r="AK274" i="24"/>
  <c r="AN274" i="24"/>
  <c r="AN39" i="24"/>
  <c r="AK39" i="24"/>
  <c r="AF272" i="25"/>
  <c r="AE272" i="25"/>
  <c r="AF300" i="25"/>
  <c r="AE300" i="25"/>
  <c r="AJ190" i="25"/>
  <c r="AM190" i="25"/>
  <c r="AJ293" i="25"/>
  <c r="AM293" i="25"/>
  <c r="BG293" i="25" s="1"/>
  <c r="AK303" i="24"/>
  <c r="AN303" i="24"/>
  <c r="BI303" i="24" s="1"/>
  <c r="AF45" i="25"/>
  <c r="AE45" i="25"/>
  <c r="AN201" i="24"/>
  <c r="AK201" i="24"/>
  <c r="AW89" i="25"/>
  <c r="AX89" i="25"/>
  <c r="AK218" i="24"/>
  <c r="AN218" i="24"/>
  <c r="BI218" i="24" s="1"/>
  <c r="BA161" i="24"/>
  <c r="AX189" i="25"/>
  <c r="AW189" i="25"/>
  <c r="AS86" i="25"/>
  <c r="AK200" i="24"/>
  <c r="AN200" i="24"/>
  <c r="AN183" i="24"/>
  <c r="BI183" i="24" s="1"/>
  <c r="AK183" i="24"/>
  <c r="AF136" i="25"/>
  <c r="AE136" i="25"/>
  <c r="BA239" i="24"/>
  <c r="BA286" i="24"/>
  <c r="AJ305" i="25"/>
  <c r="AM305" i="25"/>
  <c r="AF274" i="25"/>
  <c r="AE274" i="25"/>
  <c r="AX87" i="25"/>
  <c r="AW87" i="25"/>
  <c r="AF289" i="25"/>
  <c r="AE289" i="25"/>
  <c r="AS42" i="25"/>
  <c r="BA264" i="24"/>
  <c r="AK226" i="24"/>
  <c r="AN226" i="24"/>
  <c r="BI226" i="24" s="1"/>
  <c r="AF239" i="25"/>
  <c r="AE239" i="25"/>
  <c r="AS183" i="25"/>
  <c r="AF9" i="25"/>
  <c r="AE9" i="25"/>
  <c r="AN150" i="24"/>
  <c r="AK150" i="24"/>
  <c r="AF281" i="25"/>
  <c r="AE281" i="25"/>
  <c r="AF93" i="25"/>
  <c r="AE93" i="25"/>
  <c r="AM292" i="25"/>
  <c r="AJ292" i="25"/>
  <c r="AN217" i="24"/>
  <c r="BI217" i="24" s="1"/>
  <c r="AK217" i="24"/>
  <c r="AS100" i="25"/>
  <c r="BA197" i="24"/>
  <c r="AJ62" i="25"/>
  <c r="AM62" i="25"/>
  <c r="AS118" i="25"/>
  <c r="AS226" i="25"/>
  <c r="AS180" i="25"/>
  <c r="AF20" i="25"/>
  <c r="AE20" i="25"/>
  <c r="AT305" i="24"/>
  <c r="AS66" i="25"/>
  <c r="AT218" i="24"/>
  <c r="AS235" i="25"/>
  <c r="BA200" i="24"/>
  <c r="BA189" i="24"/>
  <c r="AF70" i="25"/>
  <c r="AE70" i="25"/>
  <c r="AS44" i="25"/>
  <c r="AN243" i="24"/>
  <c r="AK243" i="24"/>
  <c r="AX6" i="25"/>
  <c r="AW6" i="25"/>
  <c r="AN231" i="24"/>
  <c r="BI231" i="24" s="1"/>
  <c r="AK231" i="24"/>
  <c r="AS63" i="25"/>
  <c r="AS37" i="25"/>
  <c r="AN91" i="24"/>
  <c r="AK91" i="24"/>
  <c r="AK244" i="24"/>
  <c r="AN244" i="24"/>
  <c r="BI244" i="24" s="1"/>
  <c r="AT111" i="24"/>
  <c r="AJ31" i="25"/>
  <c r="AM31" i="25"/>
  <c r="BG31" i="25" s="1"/>
  <c r="AF277" i="25"/>
  <c r="AE277" i="25"/>
  <c r="AS295" i="25"/>
  <c r="AN253" i="24"/>
  <c r="AK253" i="24"/>
  <c r="AJ199" i="25"/>
  <c r="AM199" i="25"/>
  <c r="BG199" i="25" s="1"/>
  <c r="AS181" i="25"/>
  <c r="AK124" i="24"/>
  <c r="AN124" i="24"/>
  <c r="BI124" i="24" s="1"/>
  <c r="AF102" i="25"/>
  <c r="AE102" i="25"/>
  <c r="AK282" i="24"/>
  <c r="AN282" i="24"/>
  <c r="AS112" i="25"/>
  <c r="AF46" i="25"/>
  <c r="AE46" i="25"/>
  <c r="BA206" i="24"/>
  <c r="BA227" i="24"/>
  <c r="AW170" i="25"/>
  <c r="AX170" i="25"/>
  <c r="AS218" i="25"/>
  <c r="AS290" i="25"/>
  <c r="BA185" i="24"/>
  <c r="AN219" i="24"/>
  <c r="AK219" i="24"/>
  <c r="AF54" i="25"/>
  <c r="AE54" i="25"/>
  <c r="AS90" i="25"/>
  <c r="BA171" i="24"/>
  <c r="BA285" i="24"/>
  <c r="AN156" i="24"/>
  <c r="AK156" i="24"/>
  <c r="BA293" i="24"/>
  <c r="AS138" i="25"/>
  <c r="AF162" i="25"/>
  <c r="AE162" i="25"/>
  <c r="AS18" i="25"/>
  <c r="AF251" i="25"/>
  <c r="AE251" i="25"/>
  <c r="AS132" i="24"/>
  <c r="AU132" i="24" s="1"/>
  <c r="BB132" i="24" s="1"/>
  <c r="BJ132" i="24"/>
  <c r="AQ132" i="24"/>
  <c r="AS169" i="25"/>
  <c r="AK57" i="24"/>
  <c r="AN57" i="24"/>
  <c r="BA192" i="24"/>
  <c r="BA231" i="24"/>
  <c r="AK20" i="24"/>
  <c r="AN20" i="24"/>
  <c r="AN33" i="24"/>
  <c r="AK33" i="24"/>
  <c r="AF307" i="25"/>
  <c r="AE307" i="25"/>
  <c r="AS270" i="25"/>
  <c r="AS208" i="25"/>
  <c r="AS135" i="25"/>
  <c r="AK113" i="24"/>
  <c r="AN113" i="24"/>
  <c r="BI113" i="24" s="1"/>
  <c r="AV32" i="24"/>
  <c r="AT32" i="24"/>
  <c r="AT265" i="24"/>
  <c r="AS132" i="25"/>
  <c r="AK288" i="24"/>
  <c r="AN288" i="24"/>
  <c r="BI288" i="24" s="1"/>
  <c r="AF287" i="25"/>
  <c r="AE287" i="25"/>
  <c r="AN11" i="24"/>
  <c r="AK11" i="24"/>
  <c r="AF91" i="25"/>
  <c r="AE91" i="25"/>
  <c r="AS234" i="25"/>
  <c r="AT261" i="24"/>
  <c r="AF227" i="25"/>
  <c r="AE227" i="25"/>
  <c r="AS36" i="25"/>
  <c r="AK229" i="24"/>
  <c r="AN229" i="24"/>
  <c r="BI229" i="24" s="1"/>
  <c r="AN146" i="24"/>
  <c r="BI146" i="24" s="1"/>
  <c r="AK146" i="24"/>
  <c r="AS55" i="24"/>
  <c r="AQ55" i="24"/>
  <c r="BJ55" i="24"/>
  <c r="AX55" i="24"/>
  <c r="BW55" i="24"/>
  <c r="BH55" i="24"/>
  <c r="AN169" i="24"/>
  <c r="BI169" i="24" s="1"/>
  <c r="AK169" i="24"/>
  <c r="AN62" i="24"/>
  <c r="BI62" i="24" s="1"/>
  <c r="AK62" i="24"/>
  <c r="AS245" i="25"/>
  <c r="AS68" i="25"/>
  <c r="AM240" i="25"/>
  <c r="BG240" i="25" s="1"/>
  <c r="AJ240" i="25"/>
  <c r="BA188" i="24"/>
  <c r="AT240" i="24"/>
  <c r="AJ275" i="25"/>
  <c r="AM275" i="25"/>
  <c r="BG275" i="25" s="1"/>
  <c r="AS231" i="25"/>
  <c r="AX95" i="25"/>
  <c r="AW95" i="25"/>
  <c r="AF43" i="25"/>
  <c r="AE43" i="25"/>
  <c r="AV57" i="24"/>
  <c r="AT57" i="24"/>
  <c r="AT266" i="24"/>
  <c r="AX34" i="25"/>
  <c r="AW34" i="25"/>
  <c r="AF60" i="25"/>
  <c r="AE60" i="25"/>
  <c r="AF266" i="25"/>
  <c r="AE266" i="25"/>
  <c r="BA22" i="24"/>
  <c r="AT224" i="24"/>
  <c r="AJ173" i="25"/>
  <c r="AM173" i="25"/>
  <c r="AM248" i="25"/>
  <c r="BG248" i="25" s="1"/>
  <c r="AJ248" i="25"/>
  <c r="AK70" i="24"/>
  <c r="AN70" i="24"/>
  <c r="AV8" i="24"/>
  <c r="AT8" i="24"/>
  <c r="AF26" i="25"/>
  <c r="AE26" i="25"/>
  <c r="BA314" i="24"/>
  <c r="AV59" i="24"/>
  <c r="AT59" i="24"/>
  <c r="AF124" i="25"/>
  <c r="AE124" i="25"/>
  <c r="AF41" i="25"/>
  <c r="AE41" i="25"/>
  <c r="AS168" i="25"/>
  <c r="AF294" i="25"/>
  <c r="AE294" i="25"/>
  <c r="BA113" i="24"/>
  <c r="AN179" i="24"/>
  <c r="AK179" i="24"/>
  <c r="AS284" i="25"/>
  <c r="AS19" i="25"/>
  <c r="AK196" i="24"/>
  <c r="AN196" i="24"/>
  <c r="BI196" i="24" s="1"/>
  <c r="AJ113" i="25"/>
  <c r="AM113" i="25"/>
  <c r="AS175" i="25"/>
  <c r="BA236" i="24"/>
  <c r="AK182" i="24"/>
  <c r="AN182" i="24"/>
  <c r="BA177" i="24"/>
  <c r="AM114" i="25"/>
  <c r="BG114" i="25" s="1"/>
  <c r="AJ114" i="25"/>
  <c r="BL21" i="24"/>
  <c r="AS21" i="24"/>
  <c r="BJ21" i="24"/>
  <c r="AQ21" i="24"/>
  <c r="AX21" i="24"/>
  <c r="BW21" i="24"/>
  <c r="BH21" i="24"/>
  <c r="AK281" i="24"/>
  <c r="AN281" i="24"/>
  <c r="AF86" i="25"/>
  <c r="AE86" i="25"/>
  <c r="AS164" i="25"/>
  <c r="BA140" i="24"/>
  <c r="AS156" i="25"/>
  <c r="AS7" i="25"/>
  <c r="BA195" i="24"/>
  <c r="AW154" i="25"/>
  <c r="AX154" i="25"/>
  <c r="AN54" i="24"/>
  <c r="CE54" i="24" s="1"/>
  <c r="AK54" i="24"/>
  <c r="AS301" i="25"/>
  <c r="AW113" i="25"/>
  <c r="AX113" i="25"/>
  <c r="AN301" i="24"/>
  <c r="AK301" i="24"/>
  <c r="AW201" i="25"/>
  <c r="AX201" i="25"/>
  <c r="AN153" i="24"/>
  <c r="AK153" i="24"/>
  <c r="AS228" i="25"/>
  <c r="AF42" i="25"/>
  <c r="AE42" i="25"/>
  <c r="AK38" i="24"/>
  <c r="AN38" i="24"/>
  <c r="BA131" i="24"/>
  <c r="AF183" i="25"/>
  <c r="AE183" i="25"/>
  <c r="AF100" i="25"/>
  <c r="AE100" i="25"/>
  <c r="BA196" i="24"/>
  <c r="AK185" i="24"/>
  <c r="AN185" i="24"/>
  <c r="AS311" i="25"/>
  <c r="AM247" i="25"/>
  <c r="BG247" i="25" s="1"/>
  <c r="AJ247" i="25"/>
  <c r="AS313" i="25"/>
  <c r="AF118" i="25"/>
  <c r="AE118" i="25"/>
  <c r="BA149" i="24"/>
  <c r="AF226" i="25"/>
  <c r="AE226" i="25"/>
  <c r="BA203" i="24"/>
  <c r="AF180" i="25"/>
  <c r="AE180" i="25"/>
  <c r="AN13" i="24"/>
  <c r="AK13" i="24"/>
  <c r="AK27" i="24"/>
  <c r="AN27" i="24"/>
  <c r="AW147" i="25"/>
  <c r="AX147" i="25"/>
  <c r="AS88" i="25"/>
  <c r="AF66" i="25"/>
  <c r="AE66" i="25"/>
  <c r="AS191" i="24"/>
  <c r="BJ191" i="24"/>
  <c r="AQ191" i="24"/>
  <c r="AX191" i="24"/>
  <c r="BH191" i="24"/>
  <c r="BW191" i="24"/>
  <c r="BU191" i="24"/>
  <c r="AT281" i="24"/>
  <c r="AF235" i="25"/>
  <c r="AE235" i="25"/>
  <c r="BA183" i="24"/>
  <c r="AF44" i="25"/>
  <c r="AE44" i="25"/>
  <c r="AT117" i="24"/>
  <c r="AF63" i="25"/>
  <c r="AE63" i="25"/>
  <c r="AF37" i="25"/>
  <c r="AE37" i="25"/>
  <c r="AT133" i="24"/>
  <c r="AS250" i="25"/>
  <c r="AT153" i="24"/>
  <c r="AF295" i="25"/>
  <c r="AE295" i="25"/>
  <c r="BL257" i="24"/>
  <c r="AS257" i="24"/>
  <c r="BJ257" i="24"/>
  <c r="AQ257" i="24"/>
  <c r="BW257" i="24"/>
  <c r="BU257" i="24"/>
  <c r="AX257" i="24"/>
  <c r="BH257" i="24"/>
  <c r="AN295" i="24"/>
  <c r="AK295" i="24"/>
  <c r="AS299" i="25"/>
  <c r="AF181" i="25"/>
  <c r="AE181" i="25"/>
  <c r="AN89" i="24"/>
  <c r="AK89" i="24"/>
  <c r="AJ276" i="25"/>
  <c r="AM276" i="25"/>
  <c r="BG276" i="25" s="1"/>
  <c r="AF290" i="25"/>
  <c r="AE290" i="25"/>
  <c r="AS176" i="25"/>
  <c r="BA175" i="24"/>
  <c r="AF90" i="25"/>
  <c r="AE90" i="25"/>
  <c r="AN263" i="24"/>
  <c r="AK263" i="24"/>
  <c r="AF138" i="25"/>
  <c r="AE138" i="25"/>
  <c r="AX199" i="25"/>
  <c r="AW199" i="25"/>
  <c r="AF18" i="25"/>
  <c r="AE18" i="25"/>
  <c r="AS249" i="25"/>
  <c r="AF169" i="25"/>
  <c r="AE169" i="25"/>
  <c r="AS288" i="25"/>
  <c r="AK240" i="24"/>
  <c r="AN240" i="24"/>
  <c r="AX32" i="25"/>
  <c r="AW32" i="25"/>
  <c r="AK19" i="24"/>
  <c r="AN19" i="24"/>
  <c r="AK72" i="24"/>
  <c r="AN72" i="24"/>
  <c r="AX97" i="25"/>
  <c r="AW97" i="25"/>
  <c r="AT243" i="24"/>
  <c r="AS264" i="25"/>
  <c r="AN290" i="24"/>
  <c r="BI290" i="24" s="1"/>
  <c r="AK290" i="24"/>
  <c r="AS73" i="25"/>
  <c r="AS80" i="25"/>
  <c r="AN279" i="24"/>
  <c r="AK279" i="24"/>
  <c r="AS144" i="25"/>
  <c r="AF270" i="25"/>
  <c r="AE270" i="25"/>
  <c r="AF208" i="25"/>
  <c r="AE208" i="25"/>
  <c r="AF135" i="25"/>
  <c r="AE135" i="25"/>
  <c r="AJ246" i="25"/>
  <c r="AM246" i="25"/>
  <c r="BG246" i="25" s="1"/>
  <c r="AM206" i="25"/>
  <c r="BG206" i="25" s="1"/>
  <c r="AJ206" i="25"/>
  <c r="AX59" i="25"/>
  <c r="AW59" i="25"/>
  <c r="AF132" i="25"/>
  <c r="AE132" i="25"/>
  <c r="AK202" i="24"/>
  <c r="AN202" i="24"/>
  <c r="AS252" i="25"/>
  <c r="AF234" i="25"/>
  <c r="AE234" i="25"/>
  <c r="AM34" i="25"/>
  <c r="BG34" i="25" s="1"/>
  <c r="AJ34" i="25"/>
  <c r="AS163" i="25"/>
  <c r="AM229" i="25"/>
  <c r="BG229" i="25" s="1"/>
  <c r="AJ229" i="25"/>
  <c r="AF36" i="25"/>
  <c r="AE36" i="25"/>
  <c r="AS210" i="25"/>
  <c r="AF245" i="25"/>
  <c r="AE245" i="25"/>
  <c r="AF68" i="25"/>
  <c r="AE68" i="25"/>
  <c r="BW132" i="24"/>
  <c r="AF231" i="25"/>
  <c r="AE231" i="25"/>
  <c r="AV34" i="24"/>
  <c r="AT34" i="24"/>
  <c r="AV6" i="24"/>
  <c r="AT6" i="24"/>
  <c r="AT238" i="24"/>
  <c r="AM177" i="25"/>
  <c r="AJ177" i="25"/>
  <c r="AV33" i="24"/>
  <c r="AT33" i="24"/>
  <c r="AT271" i="24"/>
  <c r="AK239" i="24"/>
  <c r="AN239" i="24"/>
  <c r="BI239" i="24" s="1"/>
  <c r="AK286" i="24"/>
  <c r="AN286" i="24"/>
  <c r="BI286" i="24" s="1"/>
  <c r="AS74" i="25"/>
  <c r="AK194" i="24"/>
  <c r="AN194" i="24"/>
  <c r="BI194" i="24" s="1"/>
  <c r="BA176" i="24"/>
  <c r="AF168" i="25"/>
  <c r="AE168" i="25"/>
  <c r="AM262" i="25"/>
  <c r="BG262" i="25" s="1"/>
  <c r="AJ262" i="25"/>
  <c r="AS15" i="25"/>
  <c r="AX14" i="25"/>
  <c r="AW14" i="25"/>
  <c r="BA289" i="24"/>
  <c r="B158" i="2"/>
  <c r="AS105" i="25"/>
  <c r="AK311" i="24"/>
  <c r="AN311" i="24"/>
  <c r="BI311" i="24" s="1"/>
  <c r="AF284" i="25"/>
  <c r="AE284" i="25"/>
  <c r="BA180" i="24"/>
  <c r="AM243" i="25"/>
  <c r="BG243" i="25" s="1"/>
  <c r="AJ243" i="25"/>
  <c r="AF19" i="25"/>
  <c r="AE19" i="25"/>
  <c r="AX174" i="25"/>
  <c r="AW174" i="25"/>
  <c r="AS241" i="25"/>
  <c r="AF175" i="25"/>
  <c r="AE175" i="25"/>
  <c r="AK46" i="24"/>
  <c r="AN46" i="24"/>
  <c r="AS65" i="25"/>
  <c r="AK149" i="24"/>
  <c r="AN149" i="24"/>
  <c r="BI149" i="24" s="1"/>
  <c r="AX158" i="25"/>
  <c r="AW158" i="25"/>
  <c r="BA136" i="24"/>
  <c r="AS285" i="25"/>
  <c r="AS44" i="24"/>
  <c r="BJ44" i="24"/>
  <c r="AQ44" i="24"/>
  <c r="AX44" i="24"/>
  <c r="BH44" i="24"/>
  <c r="BW44" i="24"/>
  <c r="AK310" i="24"/>
  <c r="AN310" i="24"/>
  <c r="AS145" i="25"/>
  <c r="AS25" i="25"/>
  <c r="AN298" i="24"/>
  <c r="AK298" i="24"/>
  <c r="AW148" i="25"/>
  <c r="AX148" i="25"/>
  <c r="AF164" i="25"/>
  <c r="AE164" i="25"/>
  <c r="AF156" i="25"/>
  <c r="AE156" i="25"/>
  <c r="AF7" i="25"/>
  <c r="AE7" i="25"/>
  <c r="AK117" i="24"/>
  <c r="AN117" i="24"/>
  <c r="BI117" i="24" s="1"/>
  <c r="AS130" i="25"/>
  <c r="AS128" i="25"/>
  <c r="AF301" i="25"/>
  <c r="AE301" i="25"/>
  <c r="BL292" i="24"/>
  <c r="AS292" i="24"/>
  <c r="AU292" i="24" s="1"/>
  <c r="BB292" i="24" s="1"/>
  <c r="AQ292" i="24"/>
  <c r="BJ292" i="24"/>
  <c r="AK51" i="24"/>
  <c r="AN51" i="24"/>
  <c r="AF228" i="25"/>
  <c r="AE228" i="25"/>
  <c r="AS193" i="25"/>
  <c r="AN135" i="24"/>
  <c r="AK135" i="24"/>
  <c r="BA186" i="24"/>
  <c r="AK278" i="24"/>
  <c r="AN278" i="24"/>
  <c r="BI278" i="24" s="1"/>
  <c r="AK251" i="24"/>
  <c r="AN251" i="24"/>
  <c r="BI251" i="24" s="1"/>
  <c r="AS197" i="25"/>
  <c r="AW96" i="25"/>
  <c r="AX96" i="25"/>
  <c r="AJ94" i="25"/>
  <c r="AM94" i="25"/>
  <c r="BG94" i="25" s="1"/>
  <c r="AK47" i="24"/>
  <c r="AN47" i="24"/>
  <c r="AN205" i="24"/>
  <c r="AK205" i="24"/>
  <c r="BA313" i="24"/>
  <c r="AS165" i="25"/>
  <c r="AF311" i="25"/>
  <c r="AE311" i="25"/>
  <c r="BA127" i="24"/>
  <c r="BL22" i="24"/>
  <c r="AS22" i="24"/>
  <c r="AU22" i="24" s="1"/>
  <c r="BB22" i="24" s="1"/>
  <c r="BJ22" i="24"/>
  <c r="AQ22" i="24"/>
  <c r="BA230" i="24"/>
  <c r="AF313" i="25"/>
  <c r="AE313" i="25"/>
  <c r="AN43" i="24"/>
  <c r="AK43" i="24"/>
  <c r="BA302" i="24"/>
  <c r="AJ82" i="25"/>
  <c r="AM82" i="25"/>
  <c r="BA310" i="24"/>
  <c r="AS81" i="25"/>
  <c r="AF88" i="25"/>
  <c r="AE88" i="25"/>
  <c r="AK165" i="24"/>
  <c r="AN165" i="24"/>
  <c r="AS141" i="25"/>
  <c r="AT296" i="24"/>
  <c r="AS85" i="25"/>
  <c r="AN23" i="24"/>
  <c r="BI23" i="24" s="1"/>
  <c r="AK23" i="24"/>
  <c r="AM170" i="25"/>
  <c r="AJ170" i="25"/>
  <c r="AT125" i="24"/>
  <c r="AT269" i="24"/>
  <c r="AR129" i="25"/>
  <c r="BJ129" i="25"/>
  <c r="AP129" i="25"/>
  <c r="BH129" i="25"/>
  <c r="BW129" i="25"/>
  <c r="BU129" i="25"/>
  <c r="BF129" i="25"/>
  <c r="AK80" i="24"/>
  <c r="AN80" i="24"/>
  <c r="AF250" i="25"/>
  <c r="AE250" i="25"/>
  <c r="AS298" i="25"/>
  <c r="AK152" i="24"/>
  <c r="AN152" i="24"/>
  <c r="AS142" i="24"/>
  <c r="AU142" i="24" s="1"/>
  <c r="BB142" i="24" s="1"/>
  <c r="BJ142" i="24"/>
  <c r="AQ142" i="24"/>
  <c r="AJ314" i="25"/>
  <c r="AM314" i="25"/>
  <c r="BG314" i="25" s="1"/>
  <c r="AF299" i="25"/>
  <c r="AE299" i="25"/>
  <c r="AN312" i="24"/>
  <c r="BI312" i="24" s="1"/>
  <c r="AK312" i="24"/>
  <c r="AS157" i="25"/>
  <c r="AK223" i="24"/>
  <c r="AN223" i="24"/>
  <c r="BI223" i="24" s="1"/>
  <c r="AF218" i="25"/>
  <c r="AE218" i="25"/>
  <c r="AS61" i="25"/>
  <c r="BA278" i="24"/>
  <c r="AM273" i="25"/>
  <c r="BG273" i="25" s="1"/>
  <c r="AJ273" i="25"/>
  <c r="AS302" i="25"/>
  <c r="BA246" i="24"/>
  <c r="AX178" i="25"/>
  <c r="AW178" i="25"/>
  <c r="AF61" i="25"/>
  <c r="AE61" i="25"/>
  <c r="AM283" i="25"/>
  <c r="AJ283" i="25"/>
  <c r="AF176" i="25"/>
  <c r="AE176" i="25"/>
  <c r="AK123" i="24"/>
  <c r="AN123" i="24"/>
  <c r="AK137" i="24"/>
  <c r="AN137" i="24"/>
  <c r="AN272" i="24"/>
  <c r="BI272" i="24" s="1"/>
  <c r="AK272" i="24"/>
  <c r="AF249" i="25"/>
  <c r="AE249" i="25"/>
  <c r="AS279" i="25"/>
  <c r="AF288" i="25"/>
  <c r="AE288" i="25"/>
  <c r="AT273" i="24"/>
  <c r="AN6" i="24"/>
  <c r="BI6" i="24" s="1"/>
  <c r="AK6" i="24"/>
  <c r="AK266" i="24"/>
  <c r="AN266" i="24"/>
  <c r="AN145" i="24"/>
  <c r="AK145" i="24"/>
  <c r="AF264" i="25"/>
  <c r="AE264" i="25"/>
  <c r="AK181" i="24"/>
  <c r="AN181" i="24"/>
  <c r="BI181" i="24" s="1"/>
  <c r="AJ238" i="25"/>
  <c r="AM238" i="25"/>
  <c r="BG238" i="25" s="1"/>
  <c r="BA244" i="24"/>
  <c r="AF73" i="25"/>
  <c r="AE73" i="25"/>
  <c r="AF80" i="25"/>
  <c r="AE80" i="25"/>
  <c r="AS101" i="25"/>
  <c r="AF144" i="25"/>
  <c r="AE144" i="25"/>
  <c r="AN8" i="24"/>
  <c r="AK8" i="24"/>
  <c r="AN94" i="24"/>
  <c r="AK94" i="24"/>
  <c r="AV12" i="24"/>
  <c r="AT12" i="24"/>
  <c r="AV37" i="24"/>
  <c r="AT37" i="24"/>
  <c r="AW167" i="25"/>
  <c r="AX167" i="25"/>
  <c r="AJ306" i="25"/>
  <c r="AM306" i="25"/>
  <c r="AK289" i="24"/>
  <c r="AN289" i="24"/>
  <c r="BI289" i="24" s="1"/>
  <c r="AJ95" i="25"/>
  <c r="AM95" i="25"/>
  <c r="BG95" i="25" s="1"/>
  <c r="AS223" i="25"/>
  <c r="AF252" i="25"/>
  <c r="AE252" i="25"/>
  <c r="AF163" i="25"/>
  <c r="AE163" i="25"/>
  <c r="AK144" i="24"/>
  <c r="AN144" i="24"/>
  <c r="BI144" i="24" s="1"/>
  <c r="AK42" i="24"/>
  <c r="AN42" i="24"/>
  <c r="AN122" i="24"/>
  <c r="BI122" i="24" s="1"/>
  <c r="AK122" i="24"/>
  <c r="AS133" i="25"/>
  <c r="AF210" i="25"/>
  <c r="AE210" i="25"/>
  <c r="BU132" i="24"/>
  <c r="AK198" i="24"/>
  <c r="AN198" i="24"/>
  <c r="BI198" i="24" s="1"/>
  <c r="AK210" i="24"/>
  <c r="AN210" i="24"/>
  <c r="AK161" i="24"/>
  <c r="AN161" i="24"/>
  <c r="AN270" i="24"/>
  <c r="AK270" i="24"/>
  <c r="AN255" i="24"/>
  <c r="BI255" i="24" s="1"/>
  <c r="AK255" i="24"/>
  <c r="AS98" i="25"/>
  <c r="AS209" i="25"/>
  <c r="AT260" i="24"/>
  <c r="AF74" i="25"/>
  <c r="AE74" i="25"/>
  <c r="AS150" i="25"/>
  <c r="AS188" i="25"/>
  <c r="AF15" i="25"/>
  <c r="AE15" i="25"/>
  <c r="AK172" i="24"/>
  <c r="AN172" i="24"/>
  <c r="BI172" i="24" s="1"/>
  <c r="AJ148" i="25"/>
  <c r="AM148" i="25"/>
  <c r="BG148" i="25" s="1"/>
  <c r="AF105" i="25"/>
  <c r="AE105" i="25"/>
  <c r="AN52" i="24"/>
  <c r="AK52" i="24"/>
  <c r="BA173" i="24"/>
  <c r="BA287" i="24"/>
  <c r="AK258" i="24"/>
  <c r="AN258" i="24"/>
  <c r="BA159" i="24"/>
  <c r="AF241" i="25"/>
  <c r="AE241" i="25"/>
  <c r="AK98" i="24"/>
  <c r="AN98" i="24"/>
  <c r="AN127" i="24"/>
  <c r="AK127" i="24"/>
  <c r="AS47" i="25"/>
  <c r="AF65" i="25"/>
  <c r="AE65" i="25"/>
  <c r="AK10" i="24"/>
  <c r="AN10" i="24"/>
  <c r="AS236" i="24"/>
  <c r="AU236" i="24" s="1"/>
  <c r="BB236" i="24" s="1"/>
  <c r="BJ236" i="24"/>
  <c r="AQ236" i="24"/>
  <c r="AF285" i="25"/>
  <c r="AE285" i="25"/>
  <c r="AF145" i="25"/>
  <c r="AE145" i="25"/>
  <c r="AN177" i="24"/>
  <c r="BI177" i="24" s="1"/>
  <c r="AK177" i="24"/>
  <c r="BA210" i="24"/>
  <c r="AF25" i="25"/>
  <c r="AE25" i="25"/>
  <c r="AS119" i="25"/>
  <c r="AS315" i="25"/>
  <c r="AF130" i="25"/>
  <c r="AE130" i="25"/>
  <c r="AF128" i="25"/>
  <c r="AE128" i="25"/>
  <c r="AN35" i="24"/>
  <c r="AK35" i="24"/>
  <c r="AF193" i="25"/>
  <c r="AE193" i="25"/>
  <c r="AK285" i="24"/>
  <c r="AN285" i="24"/>
  <c r="BI285" i="24" s="1"/>
  <c r="AN228" i="24"/>
  <c r="AK228" i="24"/>
  <c r="BA250" i="24"/>
  <c r="AS162" i="24"/>
  <c r="BL162" i="24"/>
  <c r="BJ162" i="24"/>
  <c r="AQ162" i="24"/>
  <c r="BW162" i="24"/>
  <c r="AX162" i="24"/>
  <c r="BH162" i="24"/>
  <c r="BU162" i="24"/>
  <c r="AS260" i="25"/>
  <c r="AF197" i="25"/>
  <c r="AE197" i="25"/>
  <c r="AN227" i="24"/>
  <c r="BI227" i="24" s="1"/>
  <c r="AK227" i="24"/>
  <c r="AT274" i="24"/>
  <c r="AF165" i="25"/>
  <c r="AE165" i="25"/>
  <c r="AS268" i="25"/>
  <c r="AK134" i="24"/>
  <c r="AN134" i="24"/>
  <c r="BI134" i="24" s="1"/>
  <c r="BA182" i="24"/>
  <c r="AN93" i="24"/>
  <c r="AK93" i="24"/>
  <c r="AJ161" i="25"/>
  <c r="AM161" i="25"/>
  <c r="AX30" i="25"/>
  <c r="AW30" i="25"/>
  <c r="AN74" i="24"/>
  <c r="AK74" i="24"/>
  <c r="AK71" i="24"/>
  <c r="AN71" i="24"/>
  <c r="AF81" i="25"/>
  <c r="AE81" i="25"/>
  <c r="AF141" i="25"/>
  <c r="AE141" i="25"/>
  <c r="AK99" i="24"/>
  <c r="AN99" i="24"/>
  <c r="AF85" i="25"/>
  <c r="AE85" i="25"/>
  <c r="AN103" i="24"/>
  <c r="AK103" i="24"/>
  <c r="AS286" i="25"/>
  <c r="AS271" i="25"/>
  <c r="AN130" i="24"/>
  <c r="AK130" i="24"/>
  <c r="AM178" i="25"/>
  <c r="BG178" i="25" s="1"/>
  <c r="AJ178" i="25"/>
  <c r="BA178" i="24"/>
  <c r="AS278" i="25"/>
  <c r="AV58" i="24"/>
  <c r="AT58" i="24"/>
  <c r="AS166" i="25"/>
  <c r="AX62" i="25"/>
  <c r="AW62" i="25"/>
  <c r="AM204" i="25"/>
  <c r="BG204" i="25" s="1"/>
  <c r="AJ204" i="25"/>
  <c r="AT249" i="24"/>
  <c r="AF298" i="25"/>
  <c r="AE298" i="25"/>
  <c r="AK100" i="24"/>
  <c r="AN100" i="24"/>
  <c r="AS76" i="25"/>
  <c r="AK12" i="24"/>
  <c r="AN12" i="24"/>
  <c r="AF157" i="25"/>
  <c r="AE157" i="25"/>
  <c r="AS45" i="24"/>
  <c r="AQ45" i="24"/>
  <c r="BJ45" i="24"/>
  <c r="BH45" i="24"/>
  <c r="BW45" i="24"/>
  <c r="AX45" i="24"/>
  <c r="AJ192" i="25"/>
  <c r="AM192" i="25"/>
  <c r="AF112" i="25"/>
  <c r="AE112" i="25"/>
  <c r="BA251" i="24"/>
  <c r="AK68" i="24"/>
  <c r="AN68" i="24"/>
  <c r="AK225" i="24"/>
  <c r="AN225" i="24"/>
  <c r="BI225" i="24" s="1"/>
  <c r="AS83" i="25"/>
  <c r="AN9" i="24"/>
  <c r="AK9" i="24"/>
  <c r="AS69" i="25"/>
  <c r="AK297" i="24"/>
  <c r="AN297" i="24"/>
  <c r="BI297" i="24" s="1"/>
  <c r="AS84" i="25"/>
  <c r="AS184" i="25"/>
  <c r="AM167" i="25"/>
  <c r="BG167" i="25" s="1"/>
  <c r="AJ167" i="25"/>
  <c r="AF279" i="25"/>
  <c r="AE279" i="25"/>
  <c r="AS303" i="25"/>
  <c r="BA168" i="24"/>
  <c r="AS117" i="25"/>
  <c r="AN34" i="24"/>
  <c r="AK34" i="24"/>
  <c r="AT147" i="24"/>
  <c r="AT130" i="24"/>
  <c r="AK64" i="24"/>
  <c r="AN64" i="24"/>
  <c r="AF101" i="25"/>
  <c r="AE101" i="25"/>
  <c r="AS139" i="25"/>
  <c r="AS297" i="25"/>
  <c r="AS216" i="25"/>
  <c r="AN115" i="24"/>
  <c r="BI115" i="24" s="1"/>
  <c r="AK115" i="24"/>
  <c r="AJ261" i="25"/>
  <c r="AM261" i="25"/>
  <c r="BG261" i="25" s="1"/>
  <c r="AK222" i="24"/>
  <c r="BI222" i="24"/>
  <c r="AK173" i="24"/>
  <c r="AN173" i="24"/>
  <c r="AF223" i="25"/>
  <c r="AE223" i="25"/>
  <c r="AK256" i="24"/>
  <c r="AN256" i="24"/>
  <c r="BI256" i="24" s="1"/>
  <c r="AS103" i="25"/>
  <c r="AS194" i="25"/>
  <c r="AT219" i="24"/>
  <c r="AR143" i="25"/>
  <c r="BJ143" i="25"/>
  <c r="AP143" i="25"/>
  <c r="BH143" i="25"/>
  <c r="BF143" i="25"/>
  <c r="BU143" i="25"/>
  <c r="BW143" i="25"/>
  <c r="AS151" i="25"/>
  <c r="AS203" i="25"/>
  <c r="AF133" i="25"/>
  <c r="AE133" i="25"/>
  <c r="AN143" i="24"/>
  <c r="BI143" i="24" s="1"/>
  <c r="AK143" i="24"/>
  <c r="AV48" i="24"/>
  <c r="AT48" i="24"/>
  <c r="AK136" i="24"/>
  <c r="AN136" i="24"/>
  <c r="BI136" i="24" s="1"/>
  <c r="BH132" i="24"/>
  <c r="AT114" i="24"/>
  <c r="AN118" i="24"/>
  <c r="AK118" i="24"/>
  <c r="AN140" i="24"/>
  <c r="BI140" i="24" s="1"/>
  <c r="AK140" i="24"/>
  <c r="AS233" i="25"/>
  <c r="AN158" i="24"/>
  <c r="BI158" i="24" s="1"/>
  <c r="AK158" i="24"/>
  <c r="AS160" i="25"/>
  <c r="BA167" i="24"/>
  <c r="AF98" i="25"/>
  <c r="AE98" i="25"/>
  <c r="AS16" i="25"/>
  <c r="AF209" i="25"/>
  <c r="AE209" i="25"/>
  <c r="BA193" i="24"/>
  <c r="AJ296" i="25"/>
  <c r="AM296" i="25"/>
  <c r="BG296" i="25" s="1"/>
  <c r="AN170" i="24"/>
  <c r="AK170" i="24"/>
  <c r="AK304" i="24"/>
  <c r="AN304" i="24"/>
  <c r="AS294" i="24"/>
  <c r="BL294" i="24"/>
  <c r="BJ294" i="24"/>
  <c r="AQ294" i="24"/>
  <c r="AX294" i="24"/>
  <c r="BH294" i="24"/>
  <c r="BW294" i="24"/>
  <c r="BU294" i="24"/>
  <c r="AF150" i="25"/>
  <c r="AE150" i="25"/>
  <c r="AS205" i="25"/>
  <c r="AN186" i="24"/>
  <c r="AK186" i="24"/>
  <c r="AF188" i="25"/>
  <c r="AE188" i="25"/>
  <c r="AK250" i="24"/>
  <c r="AN250" i="24"/>
  <c r="AN308" i="24"/>
  <c r="BI308" i="24" s="1"/>
  <c r="AK308" i="24"/>
  <c r="BA166" i="24"/>
  <c r="BA199" i="24"/>
  <c r="BA202" i="24"/>
  <c r="BA222" i="24"/>
  <c r="AS8" i="25"/>
  <c r="AN313" i="24"/>
  <c r="BI313" i="24" s="1"/>
  <c r="AK313" i="24"/>
  <c r="AS219" i="25"/>
  <c r="BA229" i="24"/>
  <c r="AF47" i="25"/>
  <c r="AE47" i="25"/>
  <c r="AN163" i="24"/>
  <c r="AK163" i="24"/>
  <c r="BA146" i="24"/>
  <c r="AS142" i="25"/>
  <c r="AT112" i="24"/>
  <c r="BA198" i="24"/>
  <c r="BA118" i="24"/>
  <c r="AF119" i="25"/>
  <c r="AE119" i="25"/>
  <c r="AF315" i="25"/>
  <c r="AE315" i="25"/>
  <c r="BA158" i="24"/>
  <c r="AK148" i="24"/>
  <c r="AN148" i="24"/>
  <c r="AK24" i="24"/>
  <c r="AN24" i="24"/>
  <c r="AS140" i="25"/>
  <c r="AK133" i="24"/>
  <c r="AN133" i="24"/>
  <c r="BA170" i="24"/>
  <c r="AN97" i="24"/>
  <c r="AK97" i="24"/>
  <c r="BA201" i="24"/>
  <c r="AX114" i="25"/>
  <c r="AW114" i="25"/>
  <c r="AF260" i="25"/>
  <c r="AE260" i="25"/>
  <c r="BA276" i="24"/>
  <c r="BA179" i="24"/>
  <c r="AN141" i="24"/>
  <c r="BI141" i="24" s="1"/>
  <c r="AK141" i="24"/>
  <c r="AK49" i="24"/>
  <c r="AN49" i="24"/>
  <c r="AK184" i="24"/>
  <c r="AN184" i="24"/>
  <c r="BI184" i="24" s="1"/>
  <c r="AS256" i="25"/>
  <c r="AF268" i="25"/>
  <c r="AE268" i="25"/>
  <c r="AK50" i="24"/>
  <c r="AN50" i="24"/>
  <c r="AS50" i="25"/>
  <c r="AK40" i="24"/>
  <c r="AN40" i="24"/>
  <c r="AN87" i="24"/>
  <c r="AK87" i="24"/>
  <c r="AK293" i="24"/>
  <c r="AN293" i="24"/>
  <c r="BI293" i="24" s="1"/>
  <c r="AS115" i="25"/>
  <c r="AN73" i="24"/>
  <c r="AK73" i="24"/>
  <c r="AM232" i="25"/>
  <c r="BG232" i="25" s="1"/>
  <c r="AJ232" i="25"/>
  <c r="AV28" i="24"/>
  <c r="AT28" i="24"/>
  <c r="AN76" i="24"/>
  <c r="AK76" i="24"/>
  <c r="AS308" i="25"/>
  <c r="AK139" i="24"/>
  <c r="AN139" i="24"/>
  <c r="AF286" i="25"/>
  <c r="AE286" i="25"/>
  <c r="AF271" i="25"/>
  <c r="AE271" i="25"/>
  <c r="AT148" i="24"/>
  <c r="AF278" i="25"/>
  <c r="AE278" i="25"/>
  <c r="AF166" i="25"/>
  <c r="AE166" i="25"/>
  <c r="AN306" i="24"/>
  <c r="AK306" i="24"/>
  <c r="AV35" i="24"/>
  <c r="AT35" i="24"/>
  <c r="AV26" i="24"/>
  <c r="AT26" i="24"/>
  <c r="BL119" i="24"/>
  <c r="AS119" i="24"/>
  <c r="AQ119" i="24"/>
  <c r="BJ119" i="24"/>
  <c r="AX119" i="24"/>
  <c r="BH119" i="24"/>
  <c r="BW119" i="24"/>
  <c r="BU119" i="24"/>
  <c r="AF76" i="25"/>
  <c r="AE76" i="25"/>
  <c r="AS134" i="25"/>
  <c r="BA138" i="24"/>
  <c r="AW11" i="25"/>
  <c r="AX11" i="25"/>
  <c r="BL160" i="24"/>
  <c r="AS160" i="24"/>
  <c r="BJ160" i="24"/>
  <c r="AQ160" i="24"/>
  <c r="BW160" i="24"/>
  <c r="BU160" i="24"/>
  <c r="AX160" i="24"/>
  <c r="BH160" i="24"/>
  <c r="AF302" i="25"/>
  <c r="AE302" i="25"/>
  <c r="AN207" i="24"/>
  <c r="BI207" i="24" s="1"/>
  <c r="AK207" i="24"/>
  <c r="BA205" i="24"/>
  <c r="AS122" i="25"/>
  <c r="AS153" i="25"/>
  <c r="AF83" i="25"/>
  <c r="AE83" i="25"/>
  <c r="AS310" i="25"/>
  <c r="AS217" i="25"/>
  <c r="AS171" i="25"/>
  <c r="AF69" i="25"/>
  <c r="AE69" i="25"/>
  <c r="AF84" i="25"/>
  <c r="AE84" i="25"/>
  <c r="AF184" i="25"/>
  <c r="AE184" i="25"/>
  <c r="AS22" i="25"/>
  <c r="AS56" i="25"/>
  <c r="AK114" i="24"/>
  <c r="AN114" i="24"/>
  <c r="AS207" i="25"/>
  <c r="AF303" i="25"/>
  <c r="AE303" i="25"/>
  <c r="AS55" i="25"/>
  <c r="AF117" i="25"/>
  <c r="AE117" i="25"/>
  <c r="AJ186" i="25"/>
  <c r="AM186" i="25"/>
  <c r="AN315" i="24"/>
  <c r="BI315" i="24" s="1"/>
  <c r="AK315" i="24"/>
  <c r="BA306" i="24"/>
  <c r="AK259" i="24"/>
  <c r="AN259" i="24"/>
  <c r="AS149" i="25"/>
  <c r="AF139" i="25"/>
  <c r="AE139" i="25"/>
  <c r="AK260" i="24"/>
  <c r="AN260" i="24"/>
  <c r="BI260" i="24" s="1"/>
  <c r="AF297" i="25"/>
  <c r="AE297" i="25"/>
  <c r="AN84" i="24"/>
  <c r="CE84" i="24" s="1"/>
  <c r="AK84" i="24"/>
  <c r="AK157" i="24"/>
  <c r="AN157" i="24"/>
  <c r="AF216" i="25"/>
  <c r="AE216" i="25"/>
  <c r="AT284" i="24"/>
  <c r="AN166" i="24"/>
  <c r="AK166" i="24"/>
  <c r="AS7" i="24"/>
  <c r="BJ7" i="24"/>
  <c r="AQ7" i="24"/>
  <c r="BW7" i="24"/>
  <c r="AX7" i="24"/>
  <c r="BH7" i="24"/>
  <c r="AK31" i="24"/>
  <c r="AN31" i="24"/>
  <c r="BA209" i="24"/>
  <c r="AK291" i="24"/>
  <c r="AN291" i="24"/>
  <c r="BI291" i="24" s="1"/>
  <c r="AT299" i="24"/>
  <c r="AN180" i="24"/>
  <c r="AK180" i="24"/>
  <c r="AF103" i="25"/>
  <c r="AE103" i="25"/>
  <c r="AF194" i="25"/>
  <c r="AE194" i="25"/>
  <c r="AS38" i="25"/>
  <c r="AS35" i="25"/>
  <c r="AX186" i="25"/>
  <c r="AW186" i="25"/>
  <c r="AK88" i="24"/>
  <c r="AN88" i="24"/>
  <c r="AF151" i="25"/>
  <c r="AE151" i="25"/>
  <c r="AF203" i="25"/>
  <c r="AE203" i="25"/>
  <c r="AT123" i="24"/>
  <c r="AT297" i="24"/>
  <c r="AS27" i="25"/>
  <c r="AN208" i="24"/>
  <c r="AK208" i="24"/>
  <c r="BA137" i="24"/>
  <c r="AW192" i="25"/>
  <c r="AX192" i="25"/>
  <c r="AX132" i="24"/>
  <c r="AK85" i="24"/>
  <c r="AN85" i="24"/>
  <c r="AS64" i="25"/>
  <c r="AV19" i="24"/>
  <c r="AT19" i="24"/>
  <c r="AF233" i="25"/>
  <c r="AE233" i="25"/>
  <c r="AN309" i="24"/>
  <c r="BI309" i="24" s="1"/>
  <c r="AK309" i="24"/>
  <c r="AS172" i="25"/>
  <c r="AN82" i="24"/>
  <c r="AK82" i="24"/>
  <c r="BA174" i="24"/>
  <c r="AF160" i="25"/>
  <c r="AE160" i="25"/>
  <c r="AT237" i="24"/>
  <c r="AF16" i="25"/>
  <c r="AE16" i="25"/>
  <c r="AM158" i="25"/>
  <c r="BG158" i="25" s="1"/>
  <c r="AJ158" i="25"/>
  <c r="AK77" i="24"/>
  <c r="AN77" i="24"/>
  <c r="AK245" i="24"/>
  <c r="AN245" i="24"/>
  <c r="BI245" i="24" s="1"/>
  <c r="AM13" i="25"/>
  <c r="BG13" i="25" s="1"/>
  <c r="AJ13" i="25"/>
  <c r="AS51" i="25"/>
  <c r="AS304" i="25"/>
  <c r="AF205" i="25"/>
  <c r="AE205" i="25"/>
  <c r="AN65" i="24"/>
  <c r="AK65" i="24"/>
  <c r="AS78" i="25"/>
  <c r="AK14" i="24"/>
  <c r="AN14" i="24"/>
  <c r="BI14" i="24" s="1"/>
  <c r="AM189" i="25"/>
  <c r="AF8" i="25"/>
  <c r="AE8" i="25"/>
  <c r="AS52" i="25"/>
  <c r="AS126" i="25"/>
  <c r="BA300" i="24"/>
  <c r="BA144" i="24"/>
  <c r="AS309" i="25"/>
  <c r="AF219" i="25"/>
  <c r="AE219" i="25"/>
  <c r="AK262" i="24"/>
  <c r="AN262" i="24"/>
  <c r="BI262" i="24" s="1"/>
  <c r="AS23" i="25"/>
  <c r="AN241" i="24"/>
  <c r="BI241" i="24" s="1"/>
  <c r="AK241" i="24"/>
  <c r="AN203" i="24"/>
  <c r="AK203" i="24"/>
  <c r="AK302" i="24"/>
  <c r="AN302" i="24"/>
  <c r="AF142" i="25"/>
  <c r="AE142" i="25"/>
  <c r="AK95" i="24"/>
  <c r="AN95" i="24"/>
  <c r="AK53" i="24"/>
  <c r="AN53" i="24"/>
  <c r="AK280" i="24"/>
  <c r="AN280" i="24"/>
  <c r="AN28" i="24"/>
  <c r="AK28" i="24"/>
  <c r="AN296" i="24"/>
  <c r="BI296" i="24" s="1"/>
  <c r="AK296" i="24"/>
  <c r="BA277" i="24"/>
  <c r="BA270" i="24"/>
  <c r="AK121" i="24"/>
  <c r="AN121" i="24"/>
  <c r="AS316" i="25"/>
  <c r="AN189" i="24"/>
  <c r="BI189" i="24" s="1"/>
  <c r="AK189" i="24"/>
  <c r="AN178" i="24"/>
  <c r="AK178" i="24"/>
  <c r="AK269" i="24"/>
  <c r="AN269" i="24"/>
  <c r="AF140" i="25"/>
  <c r="AE140" i="25"/>
  <c r="AN111" i="24"/>
  <c r="AK111" i="24"/>
  <c r="AS72" i="25"/>
  <c r="AN249" i="24"/>
  <c r="AK249" i="24"/>
  <c r="BA304" i="24"/>
  <c r="AS75" i="25"/>
  <c r="AW190" i="25"/>
  <c r="AX190" i="25"/>
  <c r="AJ198" i="25"/>
  <c r="AM198" i="25"/>
  <c r="BG198" i="25" s="1"/>
  <c r="AS242" i="25"/>
  <c r="AJ147" i="25"/>
  <c r="AM147" i="25"/>
  <c r="BA308" i="24"/>
  <c r="AK206" i="24"/>
  <c r="AN206" i="24"/>
  <c r="AN36" i="24"/>
  <c r="AK36" i="24"/>
  <c r="AF256" i="25"/>
  <c r="AE256" i="25"/>
  <c r="AS224" i="25"/>
  <c r="AS263" i="25"/>
  <c r="AF50" i="25"/>
  <c r="AE50" i="25"/>
  <c r="AF115" i="25"/>
  <c r="AE115" i="25"/>
  <c r="AK16" i="24"/>
  <c r="AN16" i="24"/>
  <c r="AT298" i="24"/>
  <c r="AF308" i="25"/>
  <c r="AE308" i="25"/>
  <c r="AN102" i="24"/>
  <c r="AK102" i="24"/>
  <c r="AX94" i="25"/>
  <c r="AW94" i="25"/>
  <c r="AJ282" i="25"/>
  <c r="AM282" i="25"/>
  <c r="BG282" i="25" s="1"/>
  <c r="AS24" i="25"/>
  <c r="AV51" i="24"/>
  <c r="AT51" i="24"/>
  <c r="AN66" i="24"/>
  <c r="BI66" i="24" s="1"/>
  <c r="AK66" i="24"/>
  <c r="AS48" i="25"/>
  <c r="AS152" i="25"/>
  <c r="AX161" i="25"/>
  <c r="AW161" i="25"/>
  <c r="AT228" i="24"/>
  <c r="AF134" i="25"/>
  <c r="AE134" i="25"/>
  <c r="AS222" i="25"/>
  <c r="AS253" i="25"/>
  <c r="BA221" i="24"/>
  <c r="AK265" i="24"/>
  <c r="AN265" i="24"/>
  <c r="BI265" i="24" s="1"/>
  <c r="AK32" i="24"/>
  <c r="AN32" i="24"/>
  <c r="AK267" i="24"/>
  <c r="AN267" i="24"/>
  <c r="AS182" i="25"/>
  <c r="AK120" i="24"/>
  <c r="AN120" i="24"/>
  <c r="BA141" i="24"/>
  <c r="AF122" i="25"/>
  <c r="AE122" i="25"/>
  <c r="AS40" i="25"/>
  <c r="BA150" i="24"/>
  <c r="AF182" i="25"/>
  <c r="AE182" i="25"/>
  <c r="AN283" i="24"/>
  <c r="AK283" i="24"/>
  <c r="BA217" i="24"/>
  <c r="BA292" i="24"/>
  <c r="AF153" i="25"/>
  <c r="AE153" i="25"/>
  <c r="BA234" i="24"/>
  <c r="AF310" i="25"/>
  <c r="AE310" i="25"/>
  <c r="AF217" i="25"/>
  <c r="AE217" i="25"/>
  <c r="AF171" i="25"/>
  <c r="AE171" i="25"/>
  <c r="AF22" i="25"/>
  <c r="AE22" i="25"/>
  <c r="AF56" i="25"/>
  <c r="AE56" i="25"/>
  <c r="AF207" i="25"/>
  <c r="AE207" i="25"/>
  <c r="AF55" i="25"/>
  <c r="AE55" i="25"/>
  <c r="AK129" i="24"/>
  <c r="AN129" i="24"/>
  <c r="AS146" i="25"/>
  <c r="AN238" i="24"/>
  <c r="BI238" i="24" s="1"/>
  <c r="AK238" i="24"/>
  <c r="AK18" i="24"/>
  <c r="AN18" i="24"/>
  <c r="AN174" i="24"/>
  <c r="BI174" i="24" s="1"/>
  <c r="AK174" i="24"/>
  <c r="AN237" i="24"/>
  <c r="AK237" i="24"/>
  <c r="AS10" i="25"/>
  <c r="AF149" i="25"/>
  <c r="AE149" i="25"/>
  <c r="AK247" i="24"/>
  <c r="AN247" i="24"/>
  <c r="AT152" i="24"/>
  <c r="AK314" i="24"/>
  <c r="AN314" i="24"/>
  <c r="BI314" i="24" s="1"/>
  <c r="AN59" i="24"/>
  <c r="AK59" i="24"/>
  <c r="AS236" i="25"/>
  <c r="BA312" i="24"/>
  <c r="AT120" i="24"/>
  <c r="AK151" i="24"/>
  <c r="AN151" i="24"/>
  <c r="AS17" i="25"/>
  <c r="AK287" i="24"/>
  <c r="AN287" i="24"/>
  <c r="AK159" i="24"/>
  <c r="AN159" i="24"/>
  <c r="BI159" i="24" s="1"/>
  <c r="AT283" i="24"/>
  <c r="AT128" i="24"/>
  <c r="AF38" i="25"/>
  <c r="AE38" i="25"/>
  <c r="AF35" i="25"/>
  <c r="AE35" i="25"/>
  <c r="AK92" i="24"/>
  <c r="AN92" i="24"/>
  <c r="AS190" i="24"/>
  <c r="BL190" i="24"/>
  <c r="AQ190" i="24"/>
  <c r="BJ190" i="24"/>
  <c r="BH190" i="24"/>
  <c r="BU190" i="24"/>
  <c r="BW190" i="24"/>
  <c r="AX190" i="24"/>
  <c r="AV56" i="24"/>
  <c r="AT56" i="24"/>
  <c r="AS225" i="25"/>
  <c r="AF27" i="25"/>
  <c r="AE27" i="25"/>
  <c r="AK277" i="24"/>
  <c r="AN277" i="24"/>
  <c r="AF64" i="25"/>
  <c r="AE64" i="25"/>
  <c r="AN187" i="24"/>
  <c r="BI187" i="24" s="1"/>
  <c r="AK187" i="24"/>
  <c r="AX92" i="25"/>
  <c r="AW92" i="25"/>
  <c r="AT129" i="24"/>
  <c r="AT235" i="24"/>
  <c r="AK268" i="24"/>
  <c r="AN268" i="24"/>
  <c r="BI268" i="24" s="1"/>
  <c r="AV18" i="24"/>
  <c r="AT18" i="24"/>
  <c r="AF172" i="25"/>
  <c r="AE172" i="25"/>
  <c r="AV20" i="24"/>
  <c r="AT20" i="24"/>
  <c r="AV30" i="24"/>
  <c r="AT30" i="24"/>
  <c r="BA181" i="24"/>
  <c r="AS123" i="25"/>
  <c r="BA315" i="24"/>
  <c r="AT259" i="24"/>
  <c r="AS200" i="25"/>
  <c r="AF51" i="25"/>
  <c r="AE51" i="25"/>
  <c r="AF304" i="25"/>
  <c r="AE304" i="25"/>
  <c r="AK204" i="24"/>
  <c r="AN204" i="24"/>
  <c r="AK138" i="24"/>
  <c r="AN138" i="24"/>
  <c r="BI138" i="24" s="1"/>
  <c r="AN81" i="24"/>
  <c r="AK81" i="24"/>
  <c r="BA115" i="24"/>
  <c r="AF78" i="25"/>
  <c r="AE78" i="25"/>
  <c r="AN131" i="24"/>
  <c r="BI131" i="24" s="1"/>
  <c r="AK131" i="24"/>
  <c r="BA288" i="24"/>
  <c r="AF52" i="25"/>
  <c r="AE52" i="25"/>
  <c r="AS57" i="25"/>
  <c r="AF126" i="25"/>
  <c r="AE126" i="25"/>
  <c r="AN69" i="24"/>
  <c r="AK69" i="24"/>
  <c r="AF309" i="25"/>
  <c r="AE309" i="25"/>
  <c r="AW173" i="25"/>
  <c r="AX173" i="25"/>
  <c r="AF23" i="25"/>
  <c r="AE23" i="25"/>
  <c r="AM201" i="25"/>
  <c r="BG201" i="25" s="1"/>
  <c r="AJ201" i="25"/>
  <c r="AX21" i="25"/>
  <c r="AW21" i="25"/>
  <c r="BA143" i="24"/>
  <c r="BA169" i="24"/>
  <c r="AJ71" i="25"/>
  <c r="AM71" i="25"/>
  <c r="AJ87" i="25"/>
  <c r="AM87" i="25"/>
  <c r="BG87" i="25" s="1"/>
  <c r="AK305" i="24"/>
  <c r="AN305" i="24"/>
  <c r="AS220" i="25"/>
  <c r="AF316" i="25"/>
  <c r="AE316" i="25"/>
  <c r="AS79" i="25"/>
  <c r="BA307" i="24"/>
  <c r="BA255" i="24"/>
  <c r="BA309" i="24"/>
  <c r="AN246" i="24"/>
  <c r="BI246" i="24" s="1"/>
  <c r="AK246" i="24"/>
  <c r="AS195" i="25"/>
  <c r="AS137" i="25"/>
  <c r="AF72" i="25"/>
  <c r="AE72" i="25"/>
  <c r="AF75" i="25"/>
  <c r="AE75" i="25"/>
  <c r="AX71" i="25"/>
  <c r="AW71" i="25"/>
  <c r="AJ30" i="25"/>
  <c r="AM30" i="25"/>
  <c r="AF242" i="25"/>
  <c r="AE242" i="25"/>
  <c r="BA275" i="24"/>
  <c r="BA194" i="24"/>
  <c r="AS39" i="25"/>
  <c r="AS49" i="25"/>
  <c r="BA254" i="24"/>
  <c r="BA172" i="24"/>
  <c r="AK221" i="24"/>
  <c r="AN221" i="24"/>
  <c r="BI221" i="24" s="1"/>
  <c r="BL264" i="24"/>
  <c r="AS264" i="24"/>
  <c r="AU264" i="24" s="1"/>
  <c r="BB264" i="24" s="1"/>
  <c r="AQ264" i="24"/>
  <c r="BJ264" i="24"/>
  <c r="AT258" i="24"/>
  <c r="AF224" i="25"/>
  <c r="AE224" i="25"/>
  <c r="BA262" i="24"/>
  <c r="AF263" i="25"/>
  <c r="AE263" i="25"/>
  <c r="BA163" i="24"/>
  <c r="AN154" i="24"/>
  <c r="BI154" i="24" s="1"/>
  <c r="AK154" i="24"/>
  <c r="AN75" i="24"/>
  <c r="AK75" i="24"/>
  <c r="BA303" i="24"/>
  <c r="AM267" i="25"/>
  <c r="AJ267" i="25"/>
  <c r="AK232" i="24"/>
  <c r="AN232" i="24"/>
  <c r="AT280" i="24"/>
  <c r="AS191" i="25"/>
  <c r="AN273" i="24"/>
  <c r="AK273" i="24"/>
  <c r="AS230" i="25"/>
  <c r="AN168" i="24"/>
  <c r="AK168" i="24"/>
  <c r="AK147" i="24"/>
  <c r="AN147" i="24"/>
  <c r="BI147" i="24" s="1"/>
  <c r="AR110" i="25"/>
  <c r="BJ110" i="25"/>
  <c r="BH110" i="25"/>
  <c r="AP110" i="25"/>
  <c r="BU110" i="25"/>
  <c r="BW110" i="25"/>
  <c r="BF110" i="25"/>
  <c r="AK60" i="24"/>
  <c r="AN60" i="24"/>
  <c r="AN192" i="24"/>
  <c r="BI192" i="24" s="1"/>
  <c r="AK192" i="24"/>
  <c r="AV24" i="24"/>
  <c r="AT24" i="24"/>
  <c r="AV54" i="24"/>
  <c r="AT54" i="24"/>
  <c r="AK67" i="24"/>
  <c r="AN67" i="24"/>
  <c r="AF24" i="25"/>
  <c r="AE24" i="25"/>
  <c r="AS187" i="25"/>
  <c r="AF48" i="25"/>
  <c r="AE48" i="25"/>
  <c r="AF152" i="25"/>
  <c r="AE152" i="25"/>
  <c r="AS125" i="25"/>
  <c r="AK78" i="24"/>
  <c r="AN78" i="24"/>
  <c r="BI78" i="24" s="1"/>
  <c r="AX82" i="25"/>
  <c r="AW82" i="25"/>
  <c r="AN242" i="24"/>
  <c r="AK242" i="24"/>
  <c r="AS111" i="25"/>
  <c r="AF222" i="25"/>
  <c r="AE222" i="25"/>
  <c r="AF253" i="25"/>
  <c r="AE253" i="25"/>
  <c r="BI195" i="24" l="1"/>
  <c r="CE195" i="24"/>
  <c r="BI175" i="24"/>
  <c r="CE175" i="24"/>
  <c r="BG267" i="25"/>
  <c r="CE267" i="25"/>
  <c r="BI270" i="24"/>
  <c r="BL270" i="24" s="1"/>
  <c r="CE270" i="24"/>
  <c r="BI150" i="24"/>
  <c r="BL150" i="24" s="1"/>
  <c r="CE150" i="24"/>
  <c r="BI118" i="24"/>
  <c r="BL118" i="24" s="1"/>
  <c r="CE118" i="24"/>
  <c r="BG113" i="25"/>
  <c r="BJ113" i="25" s="1"/>
  <c r="CE113" i="25"/>
  <c r="AX155" i="24"/>
  <c r="BI155" i="24"/>
  <c r="BL155" i="24" s="1"/>
  <c r="CE277" i="24"/>
  <c r="BI277" i="24"/>
  <c r="BL277" i="24" s="1"/>
  <c r="CE287" i="24"/>
  <c r="BI287" i="24"/>
  <c r="BL287" i="24" s="1"/>
  <c r="AX267" i="24"/>
  <c r="BI267" i="24"/>
  <c r="BL267" i="24" s="1"/>
  <c r="CE302" i="24"/>
  <c r="BI302" i="24"/>
  <c r="BL302" i="24" s="1"/>
  <c r="BH259" i="24"/>
  <c r="BI259" i="24"/>
  <c r="BL259" i="24" s="1"/>
  <c r="CE139" i="24"/>
  <c r="BI139" i="24"/>
  <c r="BL139" i="24" s="1"/>
  <c r="CE250" i="24"/>
  <c r="BI250" i="24"/>
  <c r="CE161" i="25"/>
  <c r="BG161" i="25"/>
  <c r="BJ161" i="25" s="1"/>
  <c r="BU123" i="24"/>
  <c r="BI123" i="24"/>
  <c r="BL123" i="24" s="1"/>
  <c r="CE170" i="25"/>
  <c r="BG170" i="25"/>
  <c r="BJ170" i="25" s="1"/>
  <c r="CE310" i="24"/>
  <c r="BI310" i="24"/>
  <c r="BL310" i="24" s="1"/>
  <c r="BH279" i="24"/>
  <c r="BI279" i="24"/>
  <c r="BL279" i="24" s="1"/>
  <c r="AX282" i="24"/>
  <c r="BI282" i="24"/>
  <c r="BL282" i="24" s="1"/>
  <c r="CE305" i="25"/>
  <c r="BG305" i="25"/>
  <c r="BJ305" i="25" s="1"/>
  <c r="CE174" i="25"/>
  <c r="BG174" i="25"/>
  <c r="BJ174" i="25" s="1"/>
  <c r="AX235" i="24"/>
  <c r="BI235" i="24"/>
  <c r="BL235" i="24" s="1"/>
  <c r="AX129" i="24"/>
  <c r="BI129" i="24"/>
  <c r="BL129" i="24" s="1"/>
  <c r="BU153" i="24"/>
  <c r="BI153" i="24"/>
  <c r="BL153" i="24" s="1"/>
  <c r="BU224" i="24"/>
  <c r="BI224" i="24"/>
  <c r="BL224" i="24" s="1"/>
  <c r="CE168" i="24"/>
  <c r="BI168" i="24"/>
  <c r="BL168" i="24" s="1"/>
  <c r="AX247" i="24"/>
  <c r="BI247" i="24"/>
  <c r="BL247" i="24" s="1"/>
  <c r="BU283" i="24"/>
  <c r="BI283" i="24"/>
  <c r="BL283" i="24" s="1"/>
  <c r="AX269" i="24"/>
  <c r="BI269" i="24"/>
  <c r="BL269" i="24" s="1"/>
  <c r="CE157" i="24"/>
  <c r="BI157" i="24"/>
  <c r="BL157" i="24" s="1"/>
  <c r="BU114" i="24"/>
  <c r="BI114" i="24"/>
  <c r="BL114" i="24" s="1"/>
  <c r="CE185" i="24"/>
  <c r="BI185" i="24"/>
  <c r="BL185" i="24" s="1"/>
  <c r="AX219" i="24"/>
  <c r="BI219" i="24"/>
  <c r="BL219" i="24" s="1"/>
  <c r="BW228" i="24"/>
  <c r="BI228" i="24"/>
  <c r="BL228" i="24" s="1"/>
  <c r="CE292" i="25"/>
  <c r="BG292" i="25"/>
  <c r="BJ292" i="25" s="1"/>
  <c r="CE186" i="25"/>
  <c r="BG186" i="25"/>
  <c r="BJ186" i="25" s="1"/>
  <c r="CE186" i="24"/>
  <c r="BI186" i="24"/>
  <c r="BL186" i="24" s="1"/>
  <c r="CE304" i="24"/>
  <c r="BI304" i="24"/>
  <c r="BL304" i="24" s="1"/>
  <c r="BW130" i="24"/>
  <c r="BI130" i="24"/>
  <c r="BL130" i="24" s="1"/>
  <c r="CE161" i="24"/>
  <c r="BI161" i="24"/>
  <c r="BL161" i="24" s="1"/>
  <c r="CE283" i="25"/>
  <c r="BG283" i="25"/>
  <c r="BJ283" i="25" s="1"/>
  <c r="CE173" i="25"/>
  <c r="BG173" i="25"/>
  <c r="BJ173" i="25" s="1"/>
  <c r="CE209" i="24"/>
  <c r="BI209" i="24"/>
  <c r="BL209" i="24" s="1"/>
  <c r="CE199" i="24"/>
  <c r="BI199" i="24"/>
  <c r="BL199" i="24" s="1"/>
  <c r="BW271" i="24"/>
  <c r="BI271" i="24"/>
  <c r="BL271" i="24" s="1"/>
  <c r="BH248" i="24"/>
  <c r="BI248" i="24"/>
  <c r="BL248" i="24" s="1"/>
  <c r="AX280" i="24"/>
  <c r="BI280" i="24"/>
  <c r="BL280" i="24" s="1"/>
  <c r="BU232" i="24"/>
  <c r="BI232" i="24"/>
  <c r="BL232" i="24" s="1"/>
  <c r="CE306" i="25"/>
  <c r="BG306" i="25"/>
  <c r="BJ306" i="25" s="1"/>
  <c r="CE165" i="24"/>
  <c r="BI165" i="24"/>
  <c r="BL165" i="24" s="1"/>
  <c r="CE205" i="24"/>
  <c r="BI205" i="24"/>
  <c r="BL205" i="24" s="1"/>
  <c r="CE177" i="25"/>
  <c r="BG177" i="25"/>
  <c r="BJ177" i="25" s="1"/>
  <c r="CE202" i="24"/>
  <c r="BI202" i="24"/>
  <c r="BL202" i="24" s="1"/>
  <c r="CE156" i="24"/>
  <c r="BI156" i="24"/>
  <c r="BL156" i="24" s="1"/>
  <c r="CE151" i="24"/>
  <c r="BI151" i="24"/>
  <c r="BL151" i="24" s="1"/>
  <c r="CE173" i="24"/>
  <c r="BI173" i="24"/>
  <c r="BL173" i="24" s="1"/>
  <c r="AX258" i="24"/>
  <c r="BI258" i="24"/>
  <c r="BL258" i="24" s="1"/>
  <c r="AX263" i="24"/>
  <c r="BI263" i="24"/>
  <c r="BL263" i="24" s="1"/>
  <c r="AX243" i="24"/>
  <c r="BI243" i="24"/>
  <c r="BL243" i="24" s="1"/>
  <c r="CE206" i="24"/>
  <c r="BI206" i="24"/>
  <c r="BL206" i="24" s="1"/>
  <c r="CE189" i="25"/>
  <c r="BG189" i="25"/>
  <c r="BJ189" i="25" s="1"/>
  <c r="CE180" i="24"/>
  <c r="BI180" i="24"/>
  <c r="BL180" i="24" s="1"/>
  <c r="AX305" i="24"/>
  <c r="BI305" i="24"/>
  <c r="BL305" i="24" s="1"/>
  <c r="BH237" i="24"/>
  <c r="BI237" i="24"/>
  <c r="BL237" i="24" s="1"/>
  <c r="AX249" i="24"/>
  <c r="BI249" i="24"/>
  <c r="BL249" i="24" s="1"/>
  <c r="CE210" i="24"/>
  <c r="BI210" i="24"/>
  <c r="BL210" i="24" s="1"/>
  <c r="AX152" i="24"/>
  <c r="BI152" i="24"/>
  <c r="BL152" i="24" s="1"/>
  <c r="BH295" i="24"/>
  <c r="BI295" i="24"/>
  <c r="BL295" i="24" s="1"/>
  <c r="BU301" i="24"/>
  <c r="BI301" i="24"/>
  <c r="BL301" i="24" s="1"/>
  <c r="CE201" i="24"/>
  <c r="BI201" i="24"/>
  <c r="BL201" i="24" s="1"/>
  <c r="BU112" i="24"/>
  <c r="BI112" i="24"/>
  <c r="BL112" i="24" s="1"/>
  <c r="BW261" i="24"/>
  <c r="BI261" i="24"/>
  <c r="BL261" i="24" s="1"/>
  <c r="CE204" i="24"/>
  <c r="BI204" i="24"/>
  <c r="BL204" i="24" s="1"/>
  <c r="BW121" i="24"/>
  <c r="BI121" i="24"/>
  <c r="BL121" i="24" s="1"/>
  <c r="CE170" i="24"/>
  <c r="BI170" i="24"/>
  <c r="BL170" i="24" s="1"/>
  <c r="CE135" i="24"/>
  <c r="BI135" i="24"/>
  <c r="BL135" i="24" s="1"/>
  <c r="CE200" i="24"/>
  <c r="BI200" i="24"/>
  <c r="BL200" i="24" s="1"/>
  <c r="BW128" i="24"/>
  <c r="BI128" i="24"/>
  <c r="BL128" i="24" s="1"/>
  <c r="CE203" i="24"/>
  <c r="BI203" i="24"/>
  <c r="BL203" i="24" s="1"/>
  <c r="CE166" i="24"/>
  <c r="BI166" i="24"/>
  <c r="BL166" i="24" s="1"/>
  <c r="BH148" i="24"/>
  <c r="BI148" i="24"/>
  <c r="BL148" i="24" s="1"/>
  <c r="AX145" i="24"/>
  <c r="BI145" i="24"/>
  <c r="BL145" i="24" s="1"/>
  <c r="AX298" i="24"/>
  <c r="BI298" i="24"/>
  <c r="BL298" i="24" s="1"/>
  <c r="CE179" i="24"/>
  <c r="BI179" i="24"/>
  <c r="BL179" i="24" s="1"/>
  <c r="CE275" i="24"/>
  <c r="BI275" i="24"/>
  <c r="BL275" i="24" s="1"/>
  <c r="CE190" i="25"/>
  <c r="BG190" i="25"/>
  <c r="BJ190" i="25" s="1"/>
  <c r="AX273" i="24"/>
  <c r="BI273" i="24"/>
  <c r="BL273" i="24" s="1"/>
  <c r="BU133" i="24"/>
  <c r="BI133" i="24"/>
  <c r="BL133" i="24" s="1"/>
  <c r="BU120" i="24"/>
  <c r="BI120" i="24"/>
  <c r="BL120" i="24" s="1"/>
  <c r="CE147" i="25"/>
  <c r="BG147" i="25"/>
  <c r="BJ147" i="25" s="1"/>
  <c r="CE111" i="24"/>
  <c r="BI111" i="24"/>
  <c r="BL111" i="24" s="1"/>
  <c r="CE163" i="24"/>
  <c r="BI163" i="24"/>
  <c r="BL163" i="24" s="1"/>
  <c r="CE192" i="25"/>
  <c r="BG192" i="25"/>
  <c r="BJ192" i="25" s="1"/>
  <c r="CE127" i="24"/>
  <c r="BI127" i="24"/>
  <c r="BL127" i="24" s="1"/>
  <c r="BU266" i="24"/>
  <c r="BI266" i="24"/>
  <c r="BL266" i="24" s="1"/>
  <c r="CE137" i="24"/>
  <c r="BI137" i="24"/>
  <c r="BL137" i="24" s="1"/>
  <c r="AX281" i="24"/>
  <c r="BI281" i="24"/>
  <c r="BL281" i="24" s="1"/>
  <c r="CE182" i="24"/>
  <c r="BI182" i="24"/>
  <c r="BL182" i="24" s="1"/>
  <c r="AX253" i="24"/>
  <c r="BI253" i="24"/>
  <c r="BL253" i="24" s="1"/>
  <c r="BU274" i="24"/>
  <c r="BI274" i="24"/>
  <c r="BL274" i="24" s="1"/>
  <c r="CE193" i="24"/>
  <c r="BI193" i="24"/>
  <c r="BL193" i="24" s="1"/>
  <c r="CE306" i="24"/>
  <c r="BI306" i="24"/>
  <c r="BL306" i="24" s="1"/>
  <c r="CE242" i="24"/>
  <c r="BI242" i="24"/>
  <c r="BL242" i="24" s="1"/>
  <c r="BW240" i="24"/>
  <c r="BI240" i="24"/>
  <c r="BL240" i="24" s="1"/>
  <c r="CE178" i="24"/>
  <c r="BI178" i="24"/>
  <c r="BL178" i="24" s="1"/>
  <c r="CE208" i="24"/>
  <c r="BI208" i="24"/>
  <c r="BL208" i="24" s="1"/>
  <c r="CE307" i="24"/>
  <c r="BI307" i="24"/>
  <c r="BL307" i="24" s="1"/>
  <c r="AX125" i="24"/>
  <c r="BI125" i="24"/>
  <c r="BL125" i="24" s="1"/>
  <c r="BU59" i="24"/>
  <c r="BI59" i="24"/>
  <c r="BL59" i="24" s="1"/>
  <c r="AX12" i="24"/>
  <c r="BI12" i="24"/>
  <c r="BL12" i="24" s="1"/>
  <c r="BU103" i="24"/>
  <c r="BI103" i="24"/>
  <c r="BL103" i="24" s="1"/>
  <c r="CE74" i="24"/>
  <c r="BI74" i="24"/>
  <c r="BL74" i="24" s="1"/>
  <c r="BU52" i="24"/>
  <c r="BI52" i="24"/>
  <c r="BL52" i="24" s="1"/>
  <c r="BU72" i="24"/>
  <c r="BI72" i="24"/>
  <c r="BL72" i="24" s="1"/>
  <c r="BU27" i="24"/>
  <c r="BI27" i="24"/>
  <c r="BL27" i="24" s="1"/>
  <c r="BU38" i="24"/>
  <c r="BI38" i="24"/>
  <c r="BL38" i="24" s="1"/>
  <c r="BU91" i="24"/>
  <c r="BI91" i="24"/>
  <c r="BL91" i="24" s="1"/>
  <c r="BU18" i="24"/>
  <c r="BI18" i="24"/>
  <c r="BL18" i="24" s="1"/>
  <c r="BU73" i="24"/>
  <c r="BI73" i="24"/>
  <c r="BL73" i="24" s="1"/>
  <c r="BU39" i="24"/>
  <c r="BI39" i="24"/>
  <c r="BL39" i="24" s="1"/>
  <c r="AX17" i="24"/>
  <c r="BI17" i="24"/>
  <c r="BU83" i="24"/>
  <c r="BI83" i="24"/>
  <c r="BL83" i="24" s="1"/>
  <c r="BU31" i="24"/>
  <c r="BI31" i="24"/>
  <c r="BL31" i="24" s="1"/>
  <c r="BH34" i="24"/>
  <c r="BI34" i="24"/>
  <c r="BL34" i="24" s="1"/>
  <c r="BU98" i="24"/>
  <c r="BI98" i="24"/>
  <c r="BL98" i="24" s="1"/>
  <c r="AX19" i="24"/>
  <c r="BI19" i="24"/>
  <c r="BL19" i="24" s="1"/>
  <c r="BU33" i="24"/>
  <c r="BI33" i="24"/>
  <c r="BL33" i="24" s="1"/>
  <c r="BU90" i="24"/>
  <c r="BI90" i="24"/>
  <c r="BL90" i="24" s="1"/>
  <c r="BW37" i="24"/>
  <c r="BI37" i="24"/>
  <c r="BL37" i="24" s="1"/>
  <c r="CE79" i="24"/>
  <c r="BI79" i="24"/>
  <c r="BL79" i="24" s="1"/>
  <c r="CE71" i="25"/>
  <c r="BG71" i="25"/>
  <c r="BJ71" i="25" s="1"/>
  <c r="BU60" i="24"/>
  <c r="BI60" i="24"/>
  <c r="BL60" i="24" s="1"/>
  <c r="BU75" i="24"/>
  <c r="BI75" i="24"/>
  <c r="BL75" i="24" s="1"/>
  <c r="CE30" i="25"/>
  <c r="BG30" i="25"/>
  <c r="BJ30" i="25" s="1"/>
  <c r="BU100" i="24"/>
  <c r="BI100" i="24"/>
  <c r="BL100" i="24" s="1"/>
  <c r="BU99" i="24"/>
  <c r="BI99" i="24"/>
  <c r="BL99" i="24" s="1"/>
  <c r="BU80" i="24"/>
  <c r="BI80" i="24"/>
  <c r="BL80" i="24" s="1"/>
  <c r="CE82" i="25"/>
  <c r="BG82" i="25"/>
  <c r="BJ82" i="25" s="1"/>
  <c r="BH51" i="24"/>
  <c r="BI51" i="24"/>
  <c r="BL51" i="24" s="1"/>
  <c r="BU13" i="24"/>
  <c r="BI13" i="24"/>
  <c r="BL13" i="24" s="1"/>
  <c r="BW54" i="24"/>
  <c r="BI54" i="24"/>
  <c r="BL54" i="24" s="1"/>
  <c r="BH20" i="24"/>
  <c r="BI20" i="24"/>
  <c r="BL20" i="24" s="1"/>
  <c r="BW58" i="24"/>
  <c r="BI58" i="24"/>
  <c r="BL58" i="24" s="1"/>
  <c r="BW9" i="24"/>
  <c r="BI9" i="24"/>
  <c r="BL9" i="24" s="1"/>
  <c r="BU70" i="24"/>
  <c r="BI70" i="24"/>
  <c r="BL70" i="24" s="1"/>
  <c r="BU63" i="24"/>
  <c r="BI63" i="24"/>
  <c r="BL63" i="24" s="1"/>
  <c r="BU65" i="24"/>
  <c r="BI65" i="24"/>
  <c r="BL65" i="24" s="1"/>
  <c r="BU69" i="24"/>
  <c r="BI69" i="24"/>
  <c r="BL69" i="24" s="1"/>
  <c r="CE92" i="24"/>
  <c r="BI92" i="24"/>
  <c r="BL92" i="24" s="1"/>
  <c r="BH32" i="24"/>
  <c r="BI32" i="24"/>
  <c r="BL32" i="24" s="1"/>
  <c r="CE102" i="24"/>
  <c r="BI102" i="24"/>
  <c r="BL102" i="24" s="1"/>
  <c r="BU49" i="24"/>
  <c r="BI49" i="24"/>
  <c r="BL49" i="24" s="1"/>
  <c r="BU97" i="24"/>
  <c r="BI97" i="24"/>
  <c r="BL97" i="24" s="1"/>
  <c r="BU89" i="24"/>
  <c r="BI89" i="24"/>
  <c r="BL89" i="24" s="1"/>
  <c r="CE14" i="25"/>
  <c r="BG14" i="25"/>
  <c r="BJ14" i="25" s="1"/>
  <c r="BU96" i="24"/>
  <c r="BI96" i="24"/>
  <c r="BL96" i="24" s="1"/>
  <c r="BU29" i="24"/>
  <c r="BI29" i="24"/>
  <c r="BL29" i="24" s="1"/>
  <c r="BU48" i="24"/>
  <c r="BI48" i="24"/>
  <c r="BL48" i="24" s="1"/>
  <c r="BU81" i="24"/>
  <c r="BI81" i="24"/>
  <c r="BL81" i="24" s="1"/>
  <c r="BU28" i="24"/>
  <c r="BI28" i="24"/>
  <c r="BL28" i="24" s="1"/>
  <c r="BU87" i="24"/>
  <c r="BI87" i="24"/>
  <c r="BL87" i="24" s="1"/>
  <c r="BU93" i="24"/>
  <c r="BI93" i="24"/>
  <c r="BL93" i="24" s="1"/>
  <c r="BU94" i="24"/>
  <c r="BI94" i="24"/>
  <c r="BL94" i="24" s="1"/>
  <c r="BW26" i="24"/>
  <c r="BI26" i="24"/>
  <c r="BL26" i="24" s="1"/>
  <c r="CE92" i="25"/>
  <c r="BG92" i="25"/>
  <c r="BJ92" i="25" s="1"/>
  <c r="BU86" i="24"/>
  <c r="BI86" i="24"/>
  <c r="BL86" i="24" s="1"/>
  <c r="BU67" i="24"/>
  <c r="BI67" i="24"/>
  <c r="BL67" i="24" s="1"/>
  <c r="BU85" i="24"/>
  <c r="BI85" i="24"/>
  <c r="BL85" i="24" s="1"/>
  <c r="BU84" i="24"/>
  <c r="BI84" i="24"/>
  <c r="BL84" i="24" s="1"/>
  <c r="BU76" i="24"/>
  <c r="BI76" i="24"/>
  <c r="BL76" i="24" s="1"/>
  <c r="BU40" i="24"/>
  <c r="BI40" i="24"/>
  <c r="BL40" i="24" s="1"/>
  <c r="BU10" i="24"/>
  <c r="BI10" i="24"/>
  <c r="BL10" i="24" s="1"/>
  <c r="BU43" i="24"/>
  <c r="BI43" i="24"/>
  <c r="BL43" i="24" s="1"/>
  <c r="BU46" i="24"/>
  <c r="BI46" i="24"/>
  <c r="BL46" i="24" s="1"/>
  <c r="BW57" i="24"/>
  <c r="BI57" i="24"/>
  <c r="BL57" i="24" s="1"/>
  <c r="CE89" i="25"/>
  <c r="BG89" i="25"/>
  <c r="BJ89" i="25" s="1"/>
  <c r="BU36" i="24"/>
  <c r="BI36" i="24"/>
  <c r="BL36" i="24" s="1"/>
  <c r="BU68" i="24"/>
  <c r="BI68" i="24"/>
  <c r="BL68" i="24" s="1"/>
  <c r="BU42" i="24"/>
  <c r="BI42" i="24"/>
  <c r="BL42" i="24" s="1"/>
  <c r="BW8" i="24"/>
  <c r="BI8" i="24"/>
  <c r="BL8" i="24" s="1"/>
  <c r="BU105" i="24"/>
  <c r="BI105" i="24"/>
  <c r="BL105" i="24" s="1"/>
  <c r="BU56" i="24"/>
  <c r="BI56" i="24"/>
  <c r="BL56" i="24" s="1"/>
  <c r="CE6" i="25"/>
  <c r="BG6" i="25"/>
  <c r="BJ6" i="25" s="1"/>
  <c r="BU104" i="24"/>
  <c r="BI104" i="24"/>
  <c r="BL104" i="24" s="1"/>
  <c r="BU16" i="24"/>
  <c r="BI16" i="24"/>
  <c r="BL16" i="24" s="1"/>
  <c r="BU53" i="24"/>
  <c r="BI53" i="24"/>
  <c r="BL53" i="24" s="1"/>
  <c r="BU64" i="24"/>
  <c r="BI64" i="24"/>
  <c r="BL64" i="24" s="1"/>
  <c r="BU71" i="24"/>
  <c r="BI71" i="24"/>
  <c r="BL71" i="24" s="1"/>
  <c r="BU11" i="24"/>
  <c r="BI11" i="24"/>
  <c r="BL11" i="24" s="1"/>
  <c r="BU15" i="24"/>
  <c r="BI15" i="24"/>
  <c r="BL15" i="24" s="1"/>
  <c r="BU25" i="24"/>
  <c r="BI25" i="24"/>
  <c r="BL25" i="24" s="1"/>
  <c r="BU82" i="24"/>
  <c r="BI82" i="24"/>
  <c r="BL82" i="24" s="1"/>
  <c r="BU88" i="24"/>
  <c r="BI88" i="24"/>
  <c r="BL88" i="24" s="1"/>
  <c r="BU50" i="24"/>
  <c r="BI50" i="24"/>
  <c r="BL50" i="24" s="1"/>
  <c r="BU24" i="24"/>
  <c r="BI24" i="24"/>
  <c r="BL24" i="24" s="1"/>
  <c r="BU47" i="24"/>
  <c r="BI47" i="24"/>
  <c r="BL47" i="24" s="1"/>
  <c r="CE21" i="25"/>
  <c r="BG21" i="25"/>
  <c r="BJ21" i="25" s="1"/>
  <c r="BU95" i="24"/>
  <c r="BI95" i="24"/>
  <c r="BL95" i="24" s="1"/>
  <c r="BU77" i="24"/>
  <c r="BI77" i="24"/>
  <c r="BL77" i="24" s="1"/>
  <c r="AX35" i="24"/>
  <c r="BI35" i="24"/>
  <c r="BL35" i="24" s="1"/>
  <c r="CE62" i="25"/>
  <c r="BG62" i="25"/>
  <c r="BJ62" i="25" s="1"/>
  <c r="BH238" i="24"/>
  <c r="CE238" i="24"/>
  <c r="BU23" i="24"/>
  <c r="CE23" i="24"/>
  <c r="BW30" i="24"/>
  <c r="CE30" i="24"/>
  <c r="AM280" i="25"/>
  <c r="AR280" i="25" s="1"/>
  <c r="AX126" i="24"/>
  <c r="CE126" i="24"/>
  <c r="BU78" i="24"/>
  <c r="CE78" i="24"/>
  <c r="BU62" i="24"/>
  <c r="CE62" i="24"/>
  <c r="BU61" i="24"/>
  <c r="CE61" i="24"/>
  <c r="BU284" i="24"/>
  <c r="CE284" i="24"/>
  <c r="AX117" i="24"/>
  <c r="CE117" i="24"/>
  <c r="BU14" i="24"/>
  <c r="CE14" i="24"/>
  <c r="AX225" i="24"/>
  <c r="CE225" i="24"/>
  <c r="BW297" i="24"/>
  <c r="CE297" i="24"/>
  <c r="BU66" i="24"/>
  <c r="CE66" i="24"/>
  <c r="AX6" i="24"/>
  <c r="CE6" i="24"/>
  <c r="BW218" i="24"/>
  <c r="CE218" i="24"/>
  <c r="BU37" i="24"/>
  <c r="BU30" i="24"/>
  <c r="BU102" i="24"/>
  <c r="BU19" i="24"/>
  <c r="BU79" i="24"/>
  <c r="BU92" i="24"/>
  <c r="BU57" i="24"/>
  <c r="BU74" i="24"/>
  <c r="BU17" i="24"/>
  <c r="BU58" i="24"/>
  <c r="BU9" i="24"/>
  <c r="BU35" i="24"/>
  <c r="BU26" i="24"/>
  <c r="BU34" i="24"/>
  <c r="BU51" i="24"/>
  <c r="BU54" i="24"/>
  <c r="BU20" i="24"/>
  <c r="BU8" i="24"/>
  <c r="BU6" i="24"/>
  <c r="BU12" i="24"/>
  <c r="BU32" i="24"/>
  <c r="AM11" i="25"/>
  <c r="CE87" i="24"/>
  <c r="CE97" i="24"/>
  <c r="AP206" i="25"/>
  <c r="CE206" i="25"/>
  <c r="CE73" i="24"/>
  <c r="AX56" i="24"/>
  <c r="CE56" i="24"/>
  <c r="AP198" i="25"/>
  <c r="CE198" i="25"/>
  <c r="BW299" i="24"/>
  <c r="CE299" i="24"/>
  <c r="CE80" i="24"/>
  <c r="CE88" i="24"/>
  <c r="CE104" i="24"/>
  <c r="AP204" i="25"/>
  <c r="CE204" i="25"/>
  <c r="CE81" i="24"/>
  <c r="CE98" i="24"/>
  <c r="AM96" i="25"/>
  <c r="BG96" i="25" s="1"/>
  <c r="CE103" i="24"/>
  <c r="B48" i="2"/>
  <c r="D48" i="2" s="1"/>
  <c r="AP199" i="25"/>
  <c r="CE199" i="25"/>
  <c r="AP201" i="25"/>
  <c r="CE201" i="25"/>
  <c r="AM104" i="25"/>
  <c r="CE105" i="24"/>
  <c r="BH290" i="24"/>
  <c r="CE290" i="24"/>
  <c r="AM258" i="25"/>
  <c r="BW281" i="24"/>
  <c r="AM154" i="25"/>
  <c r="BG154" i="25" s="1"/>
  <c r="AM97" i="25"/>
  <c r="BU125" i="24"/>
  <c r="BW125" i="24"/>
  <c r="BH125" i="24"/>
  <c r="AJ154" i="25"/>
  <c r="BH224" i="24"/>
  <c r="AJ29" i="25"/>
  <c r="AM179" i="25"/>
  <c r="BG179" i="25" s="1"/>
  <c r="AX224" i="24"/>
  <c r="BW224" i="24"/>
  <c r="AM265" i="25"/>
  <c r="AX20" i="24"/>
  <c r="BH123" i="24"/>
  <c r="AX123" i="24"/>
  <c r="BW123" i="24"/>
  <c r="BH112" i="24"/>
  <c r="AX112" i="24"/>
  <c r="BW112" i="24"/>
  <c r="AJ291" i="25"/>
  <c r="BU219" i="24"/>
  <c r="AX51" i="24"/>
  <c r="BW280" i="24"/>
  <c r="AX33" i="24"/>
  <c r="AX58" i="24"/>
  <c r="BH228" i="24"/>
  <c r="BW284" i="24"/>
  <c r="BW235" i="24"/>
  <c r="AX218" i="24"/>
  <c r="BU259" i="24"/>
  <c r="AX259" i="24"/>
  <c r="BW152" i="24"/>
  <c r="BU152" i="24"/>
  <c r="BW20" i="24"/>
  <c r="AJ28" i="25"/>
  <c r="BW51" i="24"/>
  <c r="BH152" i="24"/>
  <c r="BW24" i="24"/>
  <c r="BH24" i="24"/>
  <c r="BH128" i="24"/>
  <c r="AX24" i="24"/>
  <c r="BW56" i="24"/>
  <c r="BH56" i="24"/>
  <c r="BH274" i="24"/>
  <c r="AX274" i="24"/>
  <c r="BW274" i="24"/>
  <c r="BH261" i="24"/>
  <c r="BH284" i="24"/>
  <c r="AX284" i="24"/>
  <c r="BU243" i="24"/>
  <c r="BW219" i="24"/>
  <c r="BH58" i="24"/>
  <c r="BW243" i="24"/>
  <c r="AX261" i="24"/>
  <c r="BU261" i="24"/>
  <c r="BH219" i="24"/>
  <c r="BH243" i="24"/>
  <c r="BW259" i="24"/>
  <c r="AW292" i="24"/>
  <c r="BD292" i="24" s="1"/>
  <c r="BW19" i="24"/>
  <c r="BW48" i="24"/>
  <c r="AX128" i="24"/>
  <c r="AX228" i="24"/>
  <c r="BH26" i="24"/>
  <c r="AX26" i="24"/>
  <c r="BU148" i="24"/>
  <c r="BU128" i="24"/>
  <c r="BU228" i="24"/>
  <c r="BH19" i="24"/>
  <c r="AJ237" i="25"/>
  <c r="AM237" i="25"/>
  <c r="BG237" i="25" s="1"/>
  <c r="BH297" i="24"/>
  <c r="BH33" i="24"/>
  <c r="AX297" i="24"/>
  <c r="BW283" i="24"/>
  <c r="BU297" i="24"/>
  <c r="BW33" i="24"/>
  <c r="BU280" i="24"/>
  <c r="BH30" i="24"/>
  <c r="BW18" i="24"/>
  <c r="BH271" i="24"/>
  <c r="AX30" i="24"/>
  <c r="BH48" i="24"/>
  <c r="AX271" i="24"/>
  <c r="AX48" i="24"/>
  <c r="BH37" i="24"/>
  <c r="BU271" i="24"/>
  <c r="BW153" i="24"/>
  <c r="BH280" i="24"/>
  <c r="BW35" i="24"/>
  <c r="S212" i="25"/>
  <c r="K212" i="25" s="1"/>
  <c r="R212" i="25"/>
  <c r="Q212" i="25"/>
  <c r="BZ212" i="25"/>
  <c r="AO212" i="25"/>
  <c r="BH153" i="24"/>
  <c r="AX153" i="24"/>
  <c r="BU298" i="24"/>
  <c r="BU258" i="24"/>
  <c r="BW298" i="24"/>
  <c r="BU130" i="24"/>
  <c r="BW148" i="24"/>
  <c r="BW129" i="24"/>
  <c r="BH298" i="24"/>
  <c r="BH18" i="24"/>
  <c r="BH218" i="24"/>
  <c r="BU218" i="24"/>
  <c r="AJ77" i="25"/>
  <c r="AM77" i="25"/>
  <c r="BU129" i="24"/>
  <c r="AX283" i="24"/>
  <c r="AX18" i="24"/>
  <c r="BH129" i="24"/>
  <c r="BH35" i="24"/>
  <c r="BH54" i="24"/>
  <c r="BW258" i="24"/>
  <c r="BU235" i="24"/>
  <c r="BH299" i="24"/>
  <c r="BU281" i="24"/>
  <c r="AX37" i="24"/>
  <c r="BH120" i="24"/>
  <c r="BU299" i="24"/>
  <c r="AX54" i="24"/>
  <c r="AX299" i="24"/>
  <c r="BH258" i="24"/>
  <c r="BH235" i="24"/>
  <c r="BW120" i="24"/>
  <c r="BH130" i="24"/>
  <c r="BH281" i="24"/>
  <c r="AX148" i="24"/>
  <c r="BH57" i="24"/>
  <c r="AX57" i="24"/>
  <c r="AS242" i="24"/>
  <c r="AU242" i="24" s="1"/>
  <c r="BB242" i="24" s="1"/>
  <c r="BJ242" i="24"/>
  <c r="AQ242" i="24"/>
  <c r="BL192" i="24"/>
  <c r="AS192" i="24"/>
  <c r="AQ192" i="24"/>
  <c r="BJ192" i="24"/>
  <c r="BH192" i="24"/>
  <c r="BU192" i="24"/>
  <c r="BW192" i="24"/>
  <c r="AX192" i="24"/>
  <c r="AJ48" i="25"/>
  <c r="AM48" i="25"/>
  <c r="BG48" i="25" s="1"/>
  <c r="AS60" i="24"/>
  <c r="BJ60" i="24"/>
  <c r="AQ60" i="24"/>
  <c r="BW60" i="24"/>
  <c r="AX60" i="24"/>
  <c r="BH60" i="24"/>
  <c r="AT110" i="25"/>
  <c r="AY110" i="25" s="1"/>
  <c r="AU110" i="25"/>
  <c r="AR267" i="25"/>
  <c r="BJ267" i="25"/>
  <c r="AP267" i="25"/>
  <c r="BH267" i="25"/>
  <c r="BU267" i="25"/>
  <c r="BW267" i="25"/>
  <c r="BF267" i="25"/>
  <c r="AM52" i="25"/>
  <c r="AJ52" i="25"/>
  <c r="AW111" i="25"/>
  <c r="AX111" i="25"/>
  <c r="AX125" i="25"/>
  <c r="AW125" i="25"/>
  <c r="AJ24" i="25"/>
  <c r="AM24" i="25"/>
  <c r="BG24" i="25" s="1"/>
  <c r="BL147" i="24"/>
  <c r="AS147" i="24"/>
  <c r="AU147" i="24" s="1"/>
  <c r="BB147" i="24" s="1"/>
  <c r="BJ147" i="24"/>
  <c r="AQ147" i="24"/>
  <c r="AX191" i="25"/>
  <c r="AW191" i="25"/>
  <c r="BL221" i="24"/>
  <c r="AS221" i="24"/>
  <c r="BJ221" i="24"/>
  <c r="AQ221" i="24"/>
  <c r="BU221" i="24"/>
  <c r="BW221" i="24"/>
  <c r="AX221" i="24"/>
  <c r="BH221" i="24"/>
  <c r="AR201" i="25"/>
  <c r="BJ201" i="25"/>
  <c r="BH201" i="25"/>
  <c r="BF201" i="25"/>
  <c r="BW201" i="25"/>
  <c r="BU201" i="25"/>
  <c r="AM309" i="25"/>
  <c r="AJ309" i="25"/>
  <c r="AM304" i="25"/>
  <c r="BG304" i="25" s="1"/>
  <c r="AJ304" i="25"/>
  <c r="BA56" i="24"/>
  <c r="AS287" i="24"/>
  <c r="AQ287" i="24"/>
  <c r="BJ287" i="24"/>
  <c r="BU287" i="24"/>
  <c r="AX287" i="24"/>
  <c r="BH287" i="24"/>
  <c r="BW287" i="24"/>
  <c r="BL174" i="24"/>
  <c r="AS174" i="24"/>
  <c r="BJ174" i="24"/>
  <c r="AQ174" i="24"/>
  <c r="AX174" i="24"/>
  <c r="BH174" i="24"/>
  <c r="BW174" i="24"/>
  <c r="BU174" i="24"/>
  <c r="AX146" i="25"/>
  <c r="AW146" i="25"/>
  <c r="AM122" i="25"/>
  <c r="BG122" i="25" s="1"/>
  <c r="AJ122" i="25"/>
  <c r="AW182" i="25"/>
  <c r="AX182" i="25"/>
  <c r="AS265" i="24"/>
  <c r="AU265" i="24" s="1"/>
  <c r="BB265" i="24" s="1"/>
  <c r="BL265" i="24"/>
  <c r="AQ265" i="24"/>
  <c r="BJ265" i="24"/>
  <c r="AJ50" i="25"/>
  <c r="AM50" i="25"/>
  <c r="BG50" i="25" s="1"/>
  <c r="AJ256" i="25"/>
  <c r="AM256" i="25"/>
  <c r="BG256" i="25" s="1"/>
  <c r="AS111" i="24"/>
  <c r="AU111" i="24" s="1"/>
  <c r="BB111" i="24" s="1"/>
  <c r="AQ111" i="24"/>
  <c r="BJ111" i="24"/>
  <c r="AS95" i="24"/>
  <c r="BJ95" i="24"/>
  <c r="AQ95" i="24"/>
  <c r="BW95" i="24"/>
  <c r="AX95" i="24"/>
  <c r="BH95" i="24"/>
  <c r="AJ205" i="25"/>
  <c r="AM205" i="25"/>
  <c r="BG205" i="25" s="1"/>
  <c r="AR13" i="25"/>
  <c r="BJ13" i="25"/>
  <c r="AP13" i="25"/>
  <c r="BH13" i="25"/>
  <c r="BF13" i="25"/>
  <c r="BU13" i="25"/>
  <c r="BW13" i="25"/>
  <c r="BA237" i="24"/>
  <c r="AM203" i="25"/>
  <c r="BG203" i="25" s="1"/>
  <c r="AJ203" i="25"/>
  <c r="BL260" i="24"/>
  <c r="AS260" i="24"/>
  <c r="AU260" i="24" s="1"/>
  <c r="BB260" i="24" s="1"/>
  <c r="BJ260" i="24"/>
  <c r="AQ260" i="24"/>
  <c r="BA35" i="24"/>
  <c r="AS139" i="24"/>
  <c r="BJ139" i="24"/>
  <c r="AQ139" i="24"/>
  <c r="BH139" i="24"/>
  <c r="BW139" i="24"/>
  <c r="BU139" i="24"/>
  <c r="AX139" i="24"/>
  <c r="AS50" i="24"/>
  <c r="BJ50" i="24"/>
  <c r="AQ50" i="24"/>
  <c r="AX50" i="24"/>
  <c r="BH50" i="24"/>
  <c r="BW50" i="24"/>
  <c r="AS141" i="24"/>
  <c r="BL141" i="24"/>
  <c r="BJ141" i="24"/>
  <c r="AQ141" i="24"/>
  <c r="AX141" i="24"/>
  <c r="BH141" i="24"/>
  <c r="BU141" i="24"/>
  <c r="BW141" i="24"/>
  <c r="AS97" i="24"/>
  <c r="BJ97" i="24"/>
  <c r="AQ97" i="24"/>
  <c r="AX97" i="24"/>
  <c r="BH97" i="24"/>
  <c r="BW97" i="24"/>
  <c r="AX140" i="25"/>
  <c r="AW140" i="25"/>
  <c r="AW205" i="25"/>
  <c r="AX205" i="25"/>
  <c r="AM98" i="25"/>
  <c r="BG98" i="25" s="1"/>
  <c r="AJ98" i="25"/>
  <c r="AS118" i="24"/>
  <c r="AQ118" i="24"/>
  <c r="BJ118" i="24"/>
  <c r="BU118" i="24"/>
  <c r="BW118" i="24"/>
  <c r="AX118" i="24"/>
  <c r="BH118" i="24"/>
  <c r="AX203" i="25"/>
  <c r="AW203" i="25"/>
  <c r="BL256" i="24"/>
  <c r="AS256" i="24"/>
  <c r="BJ256" i="24"/>
  <c r="AQ256" i="24"/>
  <c r="BH256" i="24"/>
  <c r="BU256" i="24"/>
  <c r="BW256" i="24"/>
  <c r="AX256" i="24"/>
  <c r="AR261" i="25"/>
  <c r="BJ261" i="25"/>
  <c r="BH261" i="25"/>
  <c r="AP261" i="25"/>
  <c r="BF261" i="25"/>
  <c r="BW261" i="25"/>
  <c r="BU261" i="25"/>
  <c r="AS64" i="24"/>
  <c r="BJ64" i="24"/>
  <c r="AQ64" i="24"/>
  <c r="BW64" i="24"/>
  <c r="AX64" i="24"/>
  <c r="BH64" i="24"/>
  <c r="AX76" i="25"/>
  <c r="AW76" i="25"/>
  <c r="BU249" i="24"/>
  <c r="AM165" i="25"/>
  <c r="AJ165" i="25"/>
  <c r="AS98" i="24"/>
  <c r="AQ98" i="24"/>
  <c r="BJ98" i="24"/>
  <c r="AX98" i="24"/>
  <c r="BH98" i="24"/>
  <c r="BW98" i="24"/>
  <c r="AR148" i="25"/>
  <c r="BJ148" i="25"/>
  <c r="AP148" i="25"/>
  <c r="BH148" i="25"/>
  <c r="BF148" i="25"/>
  <c r="BW148" i="25"/>
  <c r="BU148" i="25"/>
  <c r="BH260" i="24"/>
  <c r="BL289" i="24"/>
  <c r="AS289" i="24"/>
  <c r="AQ289" i="24"/>
  <c r="BJ289" i="24"/>
  <c r="BU289" i="24"/>
  <c r="BW289" i="24"/>
  <c r="AX289" i="24"/>
  <c r="BH289" i="24"/>
  <c r="BH12" i="24"/>
  <c r="BH273" i="24"/>
  <c r="BL272" i="24"/>
  <c r="AS272" i="24"/>
  <c r="AQ272" i="24"/>
  <c r="BJ272" i="24"/>
  <c r="AX272" i="24"/>
  <c r="BH272" i="24"/>
  <c r="BU272" i="24"/>
  <c r="BW272" i="24"/>
  <c r="AR283" i="25"/>
  <c r="BH283" i="25"/>
  <c r="AP283" i="25"/>
  <c r="BF283" i="25"/>
  <c r="BW283" i="25"/>
  <c r="BU283" i="25"/>
  <c r="BA125" i="24"/>
  <c r="AR170" i="25"/>
  <c r="AP170" i="25"/>
  <c r="BH170" i="25"/>
  <c r="BF170" i="25"/>
  <c r="BU170" i="25"/>
  <c r="BW170" i="25"/>
  <c r="AX141" i="25"/>
  <c r="AW141" i="25"/>
  <c r="AS135" i="24"/>
  <c r="AU135" i="24" s="1"/>
  <c r="BB135" i="24" s="1"/>
  <c r="BJ135" i="24"/>
  <c r="AQ135" i="24"/>
  <c r="AW130" i="25"/>
  <c r="AX130" i="25"/>
  <c r="AS46" i="24"/>
  <c r="BJ46" i="24"/>
  <c r="AQ46" i="24"/>
  <c r="AX46" i="24"/>
  <c r="BH46" i="24"/>
  <c r="BW46" i="24"/>
  <c r="AX15" i="25"/>
  <c r="AW15" i="25"/>
  <c r="AX74" i="25"/>
  <c r="AW74" i="25"/>
  <c r="BW238" i="24"/>
  <c r="AS89" i="24"/>
  <c r="BJ89" i="24"/>
  <c r="AQ89" i="24"/>
  <c r="AX89" i="24"/>
  <c r="BH89" i="24"/>
  <c r="BW89" i="24"/>
  <c r="BW133" i="24"/>
  <c r="AJ63" i="25"/>
  <c r="AM63" i="25"/>
  <c r="BG63" i="25" s="1"/>
  <c r="BW117" i="24"/>
  <c r="AJ66" i="25"/>
  <c r="AM66" i="25"/>
  <c r="BG66" i="25" s="1"/>
  <c r="AJ180" i="25"/>
  <c r="AM180" i="25"/>
  <c r="AM118" i="25"/>
  <c r="BG118" i="25" s="1"/>
  <c r="AJ118" i="25"/>
  <c r="AJ42" i="25"/>
  <c r="AM42" i="25"/>
  <c r="BG42" i="25" s="1"/>
  <c r="AS182" i="24"/>
  <c r="BJ182" i="24"/>
  <c r="AQ182" i="24"/>
  <c r="BU182" i="24"/>
  <c r="BW182" i="24"/>
  <c r="AX182" i="24"/>
  <c r="BH182" i="24"/>
  <c r="AS179" i="24"/>
  <c r="AQ179" i="24"/>
  <c r="BJ179" i="24"/>
  <c r="BW179" i="24"/>
  <c r="BU179" i="24"/>
  <c r="AX179" i="24"/>
  <c r="BH179" i="24"/>
  <c r="AX168" i="25"/>
  <c r="AW168" i="25"/>
  <c r="BH59" i="24"/>
  <c r="BA8" i="24"/>
  <c r="BA266" i="24"/>
  <c r="BA57" i="24"/>
  <c r="AU55" i="24"/>
  <c r="BB55" i="24" s="1"/>
  <c r="AW55" i="24"/>
  <c r="BA32" i="24"/>
  <c r="AM307" i="25"/>
  <c r="AJ307" i="25"/>
  <c r="AX169" i="25"/>
  <c r="AW169" i="25"/>
  <c r="AX138" i="25"/>
  <c r="AW138" i="25"/>
  <c r="AS219" i="24"/>
  <c r="AU219" i="24" s="1"/>
  <c r="BB219" i="24" s="1"/>
  <c r="AQ219" i="24"/>
  <c r="BJ219" i="24"/>
  <c r="AS124" i="24"/>
  <c r="BL124" i="24"/>
  <c r="BJ124" i="24"/>
  <c r="AQ124" i="24"/>
  <c r="BH124" i="24"/>
  <c r="BU124" i="24"/>
  <c r="BW124" i="24"/>
  <c r="AX124" i="24"/>
  <c r="AW37" i="25"/>
  <c r="AX37" i="25"/>
  <c r="AJ20" i="25"/>
  <c r="AM20" i="25"/>
  <c r="BG20" i="25" s="1"/>
  <c r="AJ281" i="25"/>
  <c r="AM281" i="25"/>
  <c r="BG281" i="25" s="1"/>
  <c r="BL226" i="24"/>
  <c r="AS226" i="24"/>
  <c r="BJ226" i="24"/>
  <c r="AQ226" i="24"/>
  <c r="BH226" i="24"/>
  <c r="BU226" i="24"/>
  <c r="BW226" i="24"/>
  <c r="AX226" i="24"/>
  <c r="AS200" i="24"/>
  <c r="AQ200" i="24"/>
  <c r="BJ200" i="24"/>
  <c r="BH200" i="24"/>
  <c r="BU200" i="24"/>
  <c r="BW200" i="24"/>
  <c r="AX200" i="24"/>
  <c r="AJ272" i="25"/>
  <c r="AM272" i="25"/>
  <c r="AX26" i="25"/>
  <c r="AW26" i="25"/>
  <c r="BH247" i="24"/>
  <c r="BW225" i="24"/>
  <c r="AM221" i="25"/>
  <c r="AJ221" i="25"/>
  <c r="BH242" i="24"/>
  <c r="BU295" i="24"/>
  <c r="AM58" i="25"/>
  <c r="BG58" i="25" s="1"/>
  <c r="AJ58" i="25"/>
  <c r="AM185" i="25"/>
  <c r="AJ185" i="25"/>
  <c r="AM187" i="25"/>
  <c r="BG187" i="25" s="1"/>
  <c r="AJ187" i="25"/>
  <c r="AU41" i="24"/>
  <c r="BB41" i="24" s="1"/>
  <c r="AW41" i="24"/>
  <c r="AS26" i="24"/>
  <c r="AU26" i="24" s="1"/>
  <c r="BB26" i="24" s="1"/>
  <c r="BJ26" i="24"/>
  <c r="AQ26" i="24"/>
  <c r="AS96" i="24"/>
  <c r="AQ96" i="24"/>
  <c r="BJ96" i="24"/>
  <c r="AX96" i="24"/>
  <c r="BH96" i="24"/>
  <c r="BW96" i="24"/>
  <c r="AX45" i="25"/>
  <c r="AW45" i="25"/>
  <c r="AX121" i="25"/>
  <c r="AW121" i="25"/>
  <c r="AR21" i="25"/>
  <c r="AP21" i="25"/>
  <c r="BH21" i="25"/>
  <c r="BF21" i="25"/>
  <c r="BW21" i="25"/>
  <c r="BU21" i="25"/>
  <c r="BA290" i="24"/>
  <c r="BH263" i="24"/>
  <c r="BA9" i="24"/>
  <c r="BH282" i="24"/>
  <c r="BH155" i="24"/>
  <c r="AS176" i="24"/>
  <c r="BL176" i="24"/>
  <c r="AQ176" i="24"/>
  <c r="BJ176" i="24"/>
  <c r="BW176" i="24"/>
  <c r="BU176" i="24"/>
  <c r="AX176" i="24"/>
  <c r="BH176" i="24"/>
  <c r="AS86" i="24"/>
  <c r="AQ86" i="24"/>
  <c r="BJ86" i="24"/>
  <c r="BH86" i="24"/>
  <c r="BW86" i="24"/>
  <c r="AX86" i="24"/>
  <c r="BU248" i="24"/>
  <c r="AX185" i="25"/>
  <c r="AW185" i="25"/>
  <c r="AX53" i="25"/>
  <c r="AW53" i="25"/>
  <c r="AM263" i="25"/>
  <c r="BG263" i="25" s="1"/>
  <c r="AJ263" i="25"/>
  <c r="AX39" i="25"/>
  <c r="AW39" i="25"/>
  <c r="AJ75" i="25"/>
  <c r="AM75" i="25"/>
  <c r="BG75" i="25" s="1"/>
  <c r="BA235" i="24"/>
  <c r="BA129" i="24"/>
  <c r="AM35" i="25"/>
  <c r="BG35" i="25" s="1"/>
  <c r="AJ35" i="25"/>
  <c r="AS151" i="24"/>
  <c r="BJ151" i="24"/>
  <c r="AQ151" i="24"/>
  <c r="BH151" i="24"/>
  <c r="BU151" i="24"/>
  <c r="BW151" i="24"/>
  <c r="AX151" i="24"/>
  <c r="AX10" i="25"/>
  <c r="AW10" i="25"/>
  <c r="AS18" i="24"/>
  <c r="AU18" i="24" s="1"/>
  <c r="BB18" i="24" s="1"/>
  <c r="BJ18" i="24"/>
  <c r="AQ18" i="24"/>
  <c r="AM310" i="25"/>
  <c r="AJ310" i="25"/>
  <c r="AX40" i="25"/>
  <c r="AW40" i="25"/>
  <c r="AX48" i="25"/>
  <c r="AW48" i="25"/>
  <c r="AM308" i="25"/>
  <c r="BG308" i="25" s="1"/>
  <c r="AJ308" i="25"/>
  <c r="AS296" i="24"/>
  <c r="AU296" i="24" s="1"/>
  <c r="BB296" i="24" s="1"/>
  <c r="BL296" i="24"/>
  <c r="AQ296" i="24"/>
  <c r="BJ296" i="24"/>
  <c r="BL241" i="24"/>
  <c r="AS241" i="24"/>
  <c r="BJ241" i="24"/>
  <c r="AQ241" i="24"/>
  <c r="AX241" i="24"/>
  <c r="BH241" i="24"/>
  <c r="BW241" i="24"/>
  <c r="BU241" i="24"/>
  <c r="AS262" i="24"/>
  <c r="BL262" i="24"/>
  <c r="BJ262" i="24"/>
  <c r="AQ262" i="24"/>
  <c r="AX262" i="24"/>
  <c r="BH262" i="24"/>
  <c r="BW262" i="24"/>
  <c r="BU262" i="24"/>
  <c r="AX78" i="25"/>
  <c r="AW78" i="25"/>
  <c r="AR158" i="25"/>
  <c r="BJ158" i="25"/>
  <c r="BH158" i="25"/>
  <c r="AP158" i="25"/>
  <c r="BW158" i="25"/>
  <c r="BU158" i="25"/>
  <c r="BF158" i="25"/>
  <c r="BU237" i="24"/>
  <c r="BA123" i="24"/>
  <c r="AJ103" i="25"/>
  <c r="AM103" i="25"/>
  <c r="BA284" i="24"/>
  <c r="AJ216" i="25"/>
  <c r="AM216" i="25"/>
  <c r="BG216" i="25" s="1"/>
  <c r="AS315" i="24"/>
  <c r="BL315" i="24"/>
  <c r="BJ315" i="24"/>
  <c r="AQ315" i="24"/>
  <c r="AX315" i="24"/>
  <c r="BH315" i="24"/>
  <c r="BW315" i="24"/>
  <c r="BU315" i="24"/>
  <c r="AX55" i="25"/>
  <c r="AW55" i="25"/>
  <c r="AX171" i="25"/>
  <c r="AW171" i="25"/>
  <c r="AX122" i="25"/>
  <c r="AW122" i="25"/>
  <c r="AM166" i="25"/>
  <c r="AJ166" i="25"/>
  <c r="AS73" i="24"/>
  <c r="BJ73" i="24"/>
  <c r="AQ73" i="24"/>
  <c r="BH73" i="24"/>
  <c r="BW73" i="24"/>
  <c r="AX73" i="24"/>
  <c r="AX115" i="25"/>
  <c r="AW115" i="25"/>
  <c r="AJ47" i="25"/>
  <c r="AM47" i="25"/>
  <c r="BG47" i="25" s="1"/>
  <c r="AX8" i="25"/>
  <c r="AW8" i="25"/>
  <c r="AS170" i="24"/>
  <c r="BJ170" i="24"/>
  <c r="AQ170" i="24"/>
  <c r="BW170" i="24"/>
  <c r="AX170" i="24"/>
  <c r="BH170" i="24"/>
  <c r="BU170" i="24"/>
  <c r="BH114" i="24"/>
  <c r="AT143" i="25"/>
  <c r="AY143" i="25" s="1"/>
  <c r="AU143" i="25"/>
  <c r="AJ279" i="25"/>
  <c r="AM279" i="25"/>
  <c r="AS68" i="24"/>
  <c r="AQ68" i="24"/>
  <c r="BJ68" i="24"/>
  <c r="AX68" i="24"/>
  <c r="BH68" i="24"/>
  <c r="BW68" i="24"/>
  <c r="AJ298" i="25"/>
  <c r="AM298" i="25"/>
  <c r="BG298" i="25" s="1"/>
  <c r="BA58" i="24"/>
  <c r="AR178" i="25"/>
  <c r="BJ178" i="25"/>
  <c r="AP178" i="25"/>
  <c r="BH178" i="25"/>
  <c r="BW178" i="25"/>
  <c r="BU178" i="25"/>
  <c r="BF178" i="25"/>
  <c r="AJ141" i="25"/>
  <c r="AM141" i="25"/>
  <c r="BG141" i="25" s="1"/>
  <c r="AS74" i="24"/>
  <c r="BJ74" i="24"/>
  <c r="AQ74" i="24"/>
  <c r="AX74" i="24"/>
  <c r="BH74" i="24"/>
  <c r="BW74" i="24"/>
  <c r="AS93" i="24"/>
  <c r="BJ93" i="24"/>
  <c r="AQ93" i="24"/>
  <c r="BW93" i="24"/>
  <c r="AX93" i="24"/>
  <c r="BH93" i="24"/>
  <c r="AM130" i="25"/>
  <c r="AJ130" i="25"/>
  <c r="AJ145" i="25"/>
  <c r="AM145" i="25"/>
  <c r="BG145" i="25" s="1"/>
  <c r="AX150" i="25"/>
  <c r="AW150" i="25"/>
  <c r="AX260" i="24"/>
  <c r="AS255" i="24"/>
  <c r="BL255" i="24"/>
  <c r="BJ255" i="24"/>
  <c r="AQ255" i="24"/>
  <c r="AX255" i="24"/>
  <c r="BH255" i="24"/>
  <c r="BW255" i="24"/>
  <c r="BU255" i="24"/>
  <c r="BL198" i="24"/>
  <c r="AS198" i="24"/>
  <c r="BJ198" i="24"/>
  <c r="AQ198" i="24"/>
  <c r="BU198" i="24"/>
  <c r="AX198" i="24"/>
  <c r="BH198" i="24"/>
  <c r="BW198" i="24"/>
  <c r="AX133" i="25"/>
  <c r="AW133" i="25"/>
  <c r="AS144" i="24"/>
  <c r="BL144" i="24"/>
  <c r="AQ144" i="24"/>
  <c r="BJ144" i="24"/>
  <c r="AX144" i="24"/>
  <c r="BH144" i="24"/>
  <c r="BU144" i="24"/>
  <c r="BW144" i="24"/>
  <c r="AJ73" i="25"/>
  <c r="AM73" i="25"/>
  <c r="BG73" i="25" s="1"/>
  <c r="AJ264" i="25"/>
  <c r="AM264" i="25"/>
  <c r="BG264" i="25" s="1"/>
  <c r="AS137" i="24"/>
  <c r="BJ137" i="24"/>
  <c r="AQ137" i="24"/>
  <c r="AX137" i="24"/>
  <c r="BH137" i="24"/>
  <c r="BW137" i="24"/>
  <c r="BU137" i="24"/>
  <c r="CE97" i="25"/>
  <c r="AW61" i="25"/>
  <c r="AX61" i="25"/>
  <c r="AS312" i="24"/>
  <c r="BL312" i="24"/>
  <c r="AQ312" i="24"/>
  <c r="BJ312" i="24"/>
  <c r="AX312" i="24"/>
  <c r="BH312" i="24"/>
  <c r="BU312" i="24"/>
  <c r="BW312" i="24"/>
  <c r="BA269" i="24"/>
  <c r="BW296" i="24"/>
  <c r="AS165" i="24"/>
  <c r="AQ165" i="24"/>
  <c r="BJ165" i="24"/>
  <c r="AX165" i="24"/>
  <c r="BH165" i="24"/>
  <c r="BU165" i="24"/>
  <c r="BW165" i="24"/>
  <c r="BL251" i="24"/>
  <c r="AS251" i="24"/>
  <c r="BJ251" i="24"/>
  <c r="AQ251" i="24"/>
  <c r="BW251" i="24"/>
  <c r="AX251" i="24"/>
  <c r="BH251" i="24"/>
  <c r="BU251" i="24"/>
  <c r="AM228" i="25"/>
  <c r="AJ228" i="25"/>
  <c r="AX128" i="25"/>
  <c r="AW128" i="25"/>
  <c r="AJ156" i="25"/>
  <c r="AM156" i="25"/>
  <c r="AS310" i="24"/>
  <c r="AQ310" i="24"/>
  <c r="BJ310" i="24"/>
  <c r="BW310" i="24"/>
  <c r="BU310" i="24"/>
  <c r="AX310" i="24"/>
  <c r="BH310" i="24"/>
  <c r="AR243" i="25"/>
  <c r="BJ243" i="25"/>
  <c r="AP243" i="25"/>
  <c r="BH243" i="25"/>
  <c r="BF243" i="25"/>
  <c r="BU243" i="25"/>
  <c r="BW243" i="25"/>
  <c r="BU238" i="24"/>
  <c r="BW34" i="24"/>
  <c r="AM68" i="25"/>
  <c r="BG68" i="25" s="1"/>
  <c r="AJ68" i="25"/>
  <c r="BJ34" i="25"/>
  <c r="AR34" i="25"/>
  <c r="BH34" i="25"/>
  <c r="AP34" i="25"/>
  <c r="BF34" i="25"/>
  <c r="BU34" i="25"/>
  <c r="BW34" i="25"/>
  <c r="AJ208" i="25"/>
  <c r="AM208" i="25"/>
  <c r="BG208" i="25" s="1"/>
  <c r="AX80" i="25"/>
  <c r="AW80" i="25"/>
  <c r="AW73" i="25"/>
  <c r="AX73" i="25"/>
  <c r="BA243" i="24"/>
  <c r="BA153" i="24"/>
  <c r="BH117" i="24"/>
  <c r="AR247" i="25"/>
  <c r="BJ247" i="25"/>
  <c r="AP247" i="25"/>
  <c r="BH247" i="25"/>
  <c r="BF247" i="25"/>
  <c r="BU247" i="25"/>
  <c r="BW247" i="25"/>
  <c r="AS185" i="24"/>
  <c r="BJ185" i="24"/>
  <c r="AQ185" i="24"/>
  <c r="BH185" i="24"/>
  <c r="BW185" i="24"/>
  <c r="BU185" i="24"/>
  <c r="AX185" i="24"/>
  <c r="AS153" i="24"/>
  <c r="AU153" i="24" s="1"/>
  <c r="BB153" i="24" s="1"/>
  <c r="BJ153" i="24"/>
  <c r="AQ153" i="24"/>
  <c r="AM86" i="25"/>
  <c r="AJ86" i="25"/>
  <c r="AW175" i="25"/>
  <c r="AX175" i="25"/>
  <c r="AR248" i="25"/>
  <c r="BJ248" i="25"/>
  <c r="BH248" i="25"/>
  <c r="AP248" i="25"/>
  <c r="BU248" i="25"/>
  <c r="BF248" i="25"/>
  <c r="BW248" i="25"/>
  <c r="AM60" i="25"/>
  <c r="AJ60" i="25"/>
  <c r="BW266" i="24"/>
  <c r="BU240" i="24"/>
  <c r="AS169" i="24"/>
  <c r="BL169" i="24"/>
  <c r="AQ169" i="24"/>
  <c r="BJ169" i="24"/>
  <c r="AX169" i="24"/>
  <c r="BH169" i="24"/>
  <c r="BW169" i="24"/>
  <c r="BU169" i="24"/>
  <c r="AX36" i="25"/>
  <c r="AW36" i="25"/>
  <c r="AS11" i="24"/>
  <c r="AQ11" i="24"/>
  <c r="BJ11" i="24"/>
  <c r="AX11" i="24"/>
  <c r="BW11" i="24"/>
  <c r="BH11" i="24"/>
  <c r="AW132" i="25"/>
  <c r="AX132" i="25"/>
  <c r="AS57" i="24"/>
  <c r="AU57" i="24" s="1"/>
  <c r="BB57" i="24" s="1"/>
  <c r="BJ57" i="24"/>
  <c r="AQ57" i="24"/>
  <c r="AR199" i="25"/>
  <c r="BJ199" i="25"/>
  <c r="BH199" i="25"/>
  <c r="BU199" i="25"/>
  <c r="BW199" i="25"/>
  <c r="BF199" i="25"/>
  <c r="BH111" i="24"/>
  <c r="BL244" i="24"/>
  <c r="AS244" i="24"/>
  <c r="AQ244" i="24"/>
  <c r="BJ244" i="24"/>
  <c r="BW244" i="24"/>
  <c r="BU244" i="24"/>
  <c r="AX244" i="24"/>
  <c r="BH244" i="24"/>
  <c r="AS243" i="24"/>
  <c r="AU243" i="24" s="1"/>
  <c r="BB243" i="24" s="1"/>
  <c r="AQ243" i="24"/>
  <c r="BJ243" i="24"/>
  <c r="BA218" i="24"/>
  <c r="AX66" i="25"/>
  <c r="AW66" i="25"/>
  <c r="AW183" i="25"/>
  <c r="AX183" i="25"/>
  <c r="BJ293" i="25"/>
  <c r="AR293" i="25"/>
  <c r="BH293" i="25"/>
  <c r="AP293" i="25"/>
  <c r="BF293" i="25"/>
  <c r="BW293" i="25"/>
  <c r="BU293" i="25"/>
  <c r="AM127" i="25"/>
  <c r="BG127" i="25" s="1"/>
  <c r="AJ127" i="25"/>
  <c r="AS254" i="24"/>
  <c r="BL254" i="24"/>
  <c r="AQ254" i="24"/>
  <c r="BJ254" i="24"/>
  <c r="AX254" i="24"/>
  <c r="BH254" i="24"/>
  <c r="BW254" i="24"/>
  <c r="BU254" i="24"/>
  <c r="BH225" i="24"/>
  <c r="AM254" i="25"/>
  <c r="BG254" i="25" s="1"/>
  <c r="AJ254" i="25"/>
  <c r="AJ196" i="25"/>
  <c r="AM196" i="25"/>
  <c r="BG196" i="25" s="1"/>
  <c r="AJ111" i="25"/>
  <c r="AM111" i="25"/>
  <c r="BA135" i="24"/>
  <c r="BH301" i="24"/>
  <c r="BJ259" i="25"/>
  <c r="AR259" i="25"/>
  <c r="AP259" i="25"/>
  <c r="BH259" i="25"/>
  <c r="BF259" i="25"/>
  <c r="BW259" i="25"/>
  <c r="BU259" i="25"/>
  <c r="AS58" i="24"/>
  <c r="AU58" i="24" s="1"/>
  <c r="BB58" i="24" s="1"/>
  <c r="BJ58" i="24"/>
  <c r="AQ58" i="24"/>
  <c r="AU101" i="24"/>
  <c r="BB101" i="24" s="1"/>
  <c r="AW101" i="24"/>
  <c r="AR255" i="25"/>
  <c r="BJ255" i="25"/>
  <c r="BH255" i="25"/>
  <c r="AP255" i="25"/>
  <c r="BW255" i="25"/>
  <c r="BU255" i="25"/>
  <c r="BF255" i="25"/>
  <c r="BW279" i="24"/>
  <c r="BW126" i="24"/>
  <c r="AJ225" i="25"/>
  <c r="AM225" i="25"/>
  <c r="BG225" i="25" s="1"/>
  <c r="AR59" i="25"/>
  <c r="BJ59" i="25"/>
  <c r="BH59" i="25"/>
  <c r="AP59" i="25"/>
  <c r="BW59" i="25"/>
  <c r="BU59" i="25"/>
  <c r="BF59" i="25"/>
  <c r="BW232" i="24"/>
  <c r="AS67" i="24"/>
  <c r="AQ67" i="24"/>
  <c r="BJ67" i="24"/>
  <c r="AX67" i="24"/>
  <c r="BH67" i="24"/>
  <c r="BW67" i="24"/>
  <c r="AJ253" i="25"/>
  <c r="AM253" i="25"/>
  <c r="BG253" i="25" s="1"/>
  <c r="AJ316" i="25"/>
  <c r="AM316" i="25"/>
  <c r="AS305" i="24"/>
  <c r="AU305" i="24" s="1"/>
  <c r="BB305" i="24" s="1"/>
  <c r="AQ305" i="24"/>
  <c r="BJ305" i="24"/>
  <c r="AJ23" i="25"/>
  <c r="AM23" i="25"/>
  <c r="BG23" i="25" s="1"/>
  <c r="AX57" i="25"/>
  <c r="AW57" i="25"/>
  <c r="AS81" i="24"/>
  <c r="AQ81" i="24"/>
  <c r="BJ81" i="24"/>
  <c r="AX81" i="24"/>
  <c r="BW81" i="24"/>
  <c r="BH81" i="24"/>
  <c r="AJ51" i="25"/>
  <c r="AM51" i="25"/>
  <c r="BG51" i="25" s="1"/>
  <c r="BA30" i="24"/>
  <c r="AJ172" i="25"/>
  <c r="AM172" i="25"/>
  <c r="BL187" i="24"/>
  <c r="AS187" i="24"/>
  <c r="BJ187" i="24"/>
  <c r="AQ187" i="24"/>
  <c r="AX187" i="24"/>
  <c r="BH187" i="24"/>
  <c r="BW187" i="24"/>
  <c r="BU187" i="24"/>
  <c r="AS247" i="24"/>
  <c r="AU247" i="24" s="1"/>
  <c r="BB247" i="24" s="1"/>
  <c r="BJ247" i="24"/>
  <c r="AQ247" i="24"/>
  <c r="AM207" i="25"/>
  <c r="BG207" i="25" s="1"/>
  <c r="AJ207" i="25"/>
  <c r="AX152" i="25"/>
  <c r="AW152" i="25"/>
  <c r="BA51" i="24"/>
  <c r="AJ140" i="25"/>
  <c r="AM140" i="25"/>
  <c r="BG140" i="25" s="1"/>
  <c r="BL189" i="24"/>
  <c r="AS189" i="24"/>
  <c r="AQ189" i="24"/>
  <c r="BJ189" i="24"/>
  <c r="BH189" i="24"/>
  <c r="BU189" i="24"/>
  <c r="BW189" i="24"/>
  <c r="AX189" i="24"/>
  <c r="AS121" i="24"/>
  <c r="AU121" i="24" s="1"/>
  <c r="BB121" i="24" s="1"/>
  <c r="AQ121" i="24"/>
  <c r="BJ121" i="24"/>
  <c r="AX52" i="25"/>
  <c r="AW52" i="25"/>
  <c r="AR189" i="25"/>
  <c r="BH189" i="25"/>
  <c r="AP189" i="25"/>
  <c r="BF189" i="25"/>
  <c r="BW189" i="25"/>
  <c r="BU189" i="25"/>
  <c r="BW237" i="24"/>
  <c r="AS82" i="24"/>
  <c r="BJ82" i="24"/>
  <c r="AQ82" i="24"/>
  <c r="AX82" i="24"/>
  <c r="BH82" i="24"/>
  <c r="BW82" i="24"/>
  <c r="AW64" i="25"/>
  <c r="AX64" i="25"/>
  <c r="BA297" i="24"/>
  <c r="AJ151" i="25"/>
  <c r="AM151" i="25"/>
  <c r="AX38" i="25"/>
  <c r="AW38" i="25"/>
  <c r="AS31" i="24"/>
  <c r="BJ31" i="24"/>
  <c r="AQ31" i="24"/>
  <c r="AX31" i="24"/>
  <c r="BH31" i="24"/>
  <c r="BW31" i="24"/>
  <c r="AS157" i="24"/>
  <c r="BJ157" i="24"/>
  <c r="AQ157" i="24"/>
  <c r="AX157" i="24"/>
  <c r="BH157" i="24"/>
  <c r="BU157" i="24"/>
  <c r="BW157" i="24"/>
  <c r="AR186" i="25"/>
  <c r="BH186" i="25"/>
  <c r="AP186" i="25"/>
  <c r="BF186" i="25"/>
  <c r="BU186" i="25"/>
  <c r="BW186" i="25"/>
  <c r="AW207" i="25"/>
  <c r="AX207" i="25"/>
  <c r="AX22" i="25"/>
  <c r="AW22" i="25"/>
  <c r="AX153" i="25"/>
  <c r="AW153" i="25"/>
  <c r="AS207" i="24"/>
  <c r="BL207" i="24"/>
  <c r="BJ207" i="24"/>
  <c r="AQ207" i="24"/>
  <c r="AX207" i="24"/>
  <c r="BH207" i="24"/>
  <c r="BU207" i="24"/>
  <c r="BW207" i="24"/>
  <c r="AU119" i="24"/>
  <c r="BB119" i="24" s="1"/>
  <c r="AW119" i="24"/>
  <c r="AS76" i="24"/>
  <c r="BJ76" i="24"/>
  <c r="AQ76" i="24"/>
  <c r="BW76" i="24"/>
  <c r="AX76" i="24"/>
  <c r="BH76" i="24"/>
  <c r="AJ188" i="25"/>
  <c r="AM188" i="25"/>
  <c r="BG188" i="25" s="1"/>
  <c r="AR296" i="25"/>
  <c r="BJ296" i="25"/>
  <c r="AP296" i="25"/>
  <c r="BH296" i="25"/>
  <c r="BF296" i="25"/>
  <c r="BW296" i="25"/>
  <c r="BU296" i="25"/>
  <c r="AX114" i="24"/>
  <c r="BL143" i="24"/>
  <c r="AS143" i="24"/>
  <c r="AQ143" i="24"/>
  <c r="BJ143" i="24"/>
  <c r="AX143" i="24"/>
  <c r="BH143" i="24"/>
  <c r="BW143" i="24"/>
  <c r="BU143" i="24"/>
  <c r="AM101" i="25"/>
  <c r="BG101" i="25" s="1"/>
  <c r="AJ101" i="25"/>
  <c r="BU147" i="24"/>
  <c r="BL297" i="24"/>
  <c r="AS297" i="24"/>
  <c r="AU297" i="24" s="1"/>
  <c r="BB297" i="24" s="1"/>
  <c r="AQ297" i="24"/>
  <c r="BJ297" i="24"/>
  <c r="AX83" i="25"/>
  <c r="AW83" i="25"/>
  <c r="AM157" i="25"/>
  <c r="BG157" i="25" s="1"/>
  <c r="AJ157" i="25"/>
  <c r="BH249" i="24"/>
  <c r="AX166" i="25"/>
  <c r="AW166" i="25"/>
  <c r="AS227" i="24"/>
  <c r="BL227" i="24"/>
  <c r="AQ227" i="24"/>
  <c r="BJ227" i="24"/>
  <c r="BH227" i="24"/>
  <c r="BW227" i="24"/>
  <c r="AX227" i="24"/>
  <c r="BU227" i="24"/>
  <c r="AS10" i="24"/>
  <c r="BJ10" i="24"/>
  <c r="AQ10" i="24"/>
  <c r="AX10" i="24"/>
  <c r="BW10" i="24"/>
  <c r="BH10" i="24"/>
  <c r="AX47" i="25"/>
  <c r="AW47" i="25"/>
  <c r="AR306" i="25"/>
  <c r="BH306" i="25"/>
  <c r="AP306" i="25"/>
  <c r="BU306" i="25"/>
  <c r="BW306" i="25"/>
  <c r="BF306" i="25"/>
  <c r="BA37" i="24"/>
  <c r="AS94" i="24"/>
  <c r="BJ94" i="24"/>
  <c r="AQ94" i="24"/>
  <c r="AX94" i="24"/>
  <c r="BH94" i="24"/>
  <c r="BW94" i="24"/>
  <c r="AX101" i="25"/>
  <c r="AW101" i="25"/>
  <c r="AM61" i="25"/>
  <c r="BG61" i="25" s="1"/>
  <c r="AJ61" i="25"/>
  <c r="AS152" i="24"/>
  <c r="AU152" i="24" s="1"/>
  <c r="BB152" i="24" s="1"/>
  <c r="BJ152" i="24"/>
  <c r="AQ152" i="24"/>
  <c r="AS23" i="24"/>
  <c r="BL23" i="24"/>
  <c r="BJ23" i="24"/>
  <c r="AQ23" i="24"/>
  <c r="AX23" i="24"/>
  <c r="BH23" i="24"/>
  <c r="BW23" i="24"/>
  <c r="BH296" i="24"/>
  <c r="AS205" i="24"/>
  <c r="AQ205" i="24"/>
  <c r="BJ205" i="24"/>
  <c r="BW205" i="24"/>
  <c r="AX205" i="24"/>
  <c r="BH205" i="24"/>
  <c r="BU205" i="24"/>
  <c r="AS298" i="24"/>
  <c r="AU298" i="24" s="1"/>
  <c r="BB298" i="24" s="1"/>
  <c r="BJ298" i="24"/>
  <c r="AQ298" i="24"/>
  <c r="AU44" i="24"/>
  <c r="BB44" i="24" s="1"/>
  <c r="AW44" i="24"/>
  <c r="AR177" i="25"/>
  <c r="BH177" i="25"/>
  <c r="AP177" i="25"/>
  <c r="BF177" i="25"/>
  <c r="BW177" i="25"/>
  <c r="BU177" i="25"/>
  <c r="AS72" i="24"/>
  <c r="AQ72" i="24"/>
  <c r="BJ72" i="24"/>
  <c r="AX72" i="24"/>
  <c r="BH72" i="24"/>
  <c r="BW72" i="24"/>
  <c r="AM181" i="25"/>
  <c r="AJ181" i="25"/>
  <c r="AU257" i="24"/>
  <c r="BB257" i="24" s="1"/>
  <c r="AW257" i="24"/>
  <c r="BA133" i="24"/>
  <c r="AM44" i="25"/>
  <c r="BG44" i="25" s="1"/>
  <c r="AJ44" i="25"/>
  <c r="BA281" i="24"/>
  <c r="AM183" i="25"/>
  <c r="AJ183" i="25"/>
  <c r="AS281" i="24"/>
  <c r="AU281" i="24" s="1"/>
  <c r="BB281" i="24" s="1"/>
  <c r="AQ281" i="24"/>
  <c r="BJ281" i="24"/>
  <c r="AU21" i="24"/>
  <c r="BB21" i="24" s="1"/>
  <c r="AW21" i="24"/>
  <c r="AX59" i="24"/>
  <c r="AR173" i="25"/>
  <c r="BH173" i="25"/>
  <c r="AP173" i="25"/>
  <c r="BF173" i="25"/>
  <c r="BW173" i="25"/>
  <c r="BU173" i="25"/>
  <c r="BJ275" i="25"/>
  <c r="AR275" i="25"/>
  <c r="AP275" i="25"/>
  <c r="BH275" i="25"/>
  <c r="BF275" i="25"/>
  <c r="BU275" i="25"/>
  <c r="BW275" i="25"/>
  <c r="BA261" i="24"/>
  <c r="BW265" i="24"/>
  <c r="AS33" i="24"/>
  <c r="AU33" i="24" s="1"/>
  <c r="BB33" i="24" s="1"/>
  <c r="BJ33" i="24"/>
  <c r="AQ33" i="24"/>
  <c r="AJ70" i="25"/>
  <c r="AM70" i="25"/>
  <c r="BG70" i="25" s="1"/>
  <c r="BA305" i="24"/>
  <c r="AX118" i="25"/>
  <c r="AW118" i="25"/>
  <c r="BL217" i="24"/>
  <c r="AS217" i="24"/>
  <c r="BJ217" i="24"/>
  <c r="AQ217" i="24"/>
  <c r="AX217" i="24"/>
  <c r="BH217" i="24"/>
  <c r="BW217" i="24"/>
  <c r="BU217" i="24"/>
  <c r="AM274" i="25"/>
  <c r="AJ274" i="25"/>
  <c r="AJ136" i="25"/>
  <c r="AM136" i="25"/>
  <c r="BG136" i="25" s="1"/>
  <c r="AW124" i="25"/>
  <c r="AX124" i="25"/>
  <c r="AS116" i="24"/>
  <c r="BL116" i="24"/>
  <c r="AQ116" i="24"/>
  <c r="BJ116" i="24"/>
  <c r="AX116" i="24"/>
  <c r="BH116" i="24"/>
  <c r="BU116" i="24"/>
  <c r="BW116" i="24"/>
  <c r="AX43" i="25"/>
  <c r="AW43" i="25"/>
  <c r="BL300" i="24"/>
  <c r="AS300" i="24"/>
  <c r="BJ300" i="24"/>
  <c r="AQ300" i="24"/>
  <c r="AX300" i="24"/>
  <c r="BH300" i="24"/>
  <c r="BW300" i="24"/>
  <c r="BU300" i="24"/>
  <c r="BL252" i="24"/>
  <c r="AS252" i="24"/>
  <c r="AQ252" i="24"/>
  <c r="BJ252" i="24"/>
  <c r="BH252" i="24"/>
  <c r="BW252" i="24"/>
  <c r="BU252" i="24"/>
  <c r="AX252" i="24"/>
  <c r="BA242" i="24"/>
  <c r="BL30" i="24"/>
  <c r="AS30" i="24"/>
  <c r="AU30" i="24" s="1"/>
  <c r="BB30" i="24" s="1"/>
  <c r="BJ30" i="24"/>
  <c r="AQ30" i="24"/>
  <c r="AJ202" i="25"/>
  <c r="AM202" i="25"/>
  <c r="BG202" i="25" s="1"/>
  <c r="BL167" i="24"/>
  <c r="AS167" i="24"/>
  <c r="AQ167" i="24"/>
  <c r="BJ167" i="24"/>
  <c r="BW167" i="24"/>
  <c r="AX167" i="24"/>
  <c r="BH167" i="24"/>
  <c r="BU167" i="24"/>
  <c r="BL299" i="24"/>
  <c r="AS299" i="24"/>
  <c r="AU299" i="24" s="1"/>
  <c r="BB299" i="24" s="1"/>
  <c r="AQ299" i="24"/>
  <c r="BJ299" i="24"/>
  <c r="AX46" i="25"/>
  <c r="AW46" i="25"/>
  <c r="AX102" i="25"/>
  <c r="AW102" i="25"/>
  <c r="BW135" i="24"/>
  <c r="AS248" i="24"/>
  <c r="AU248" i="24" s="1"/>
  <c r="BB248" i="24" s="1"/>
  <c r="BJ248" i="24"/>
  <c r="AQ248" i="24"/>
  <c r="BH121" i="24"/>
  <c r="AW9" i="25"/>
  <c r="AX9" i="25"/>
  <c r="AM49" i="25"/>
  <c r="BG49" i="25" s="1"/>
  <c r="AJ49" i="25"/>
  <c r="AS125" i="24"/>
  <c r="AU125" i="24" s="1"/>
  <c r="BB125" i="24" s="1"/>
  <c r="AQ125" i="24"/>
  <c r="BJ125" i="24"/>
  <c r="AM79" i="25"/>
  <c r="AJ79" i="25"/>
  <c r="AS29" i="24"/>
  <c r="BJ29" i="24"/>
  <c r="AQ29" i="24"/>
  <c r="BH29" i="24"/>
  <c r="BW29" i="24"/>
  <c r="AX29" i="24"/>
  <c r="BW290" i="24"/>
  <c r="BA145" i="24"/>
  <c r="AR155" i="25"/>
  <c r="BJ155" i="25"/>
  <c r="AP155" i="25"/>
  <c r="BH155" i="25"/>
  <c r="BF155" i="25"/>
  <c r="BU155" i="25"/>
  <c r="BW155" i="25"/>
  <c r="BH17" i="24"/>
  <c r="BW17" i="24"/>
  <c r="BH267" i="24"/>
  <c r="BH253" i="24"/>
  <c r="AS271" i="24"/>
  <c r="AU271" i="24" s="1"/>
  <c r="BB271" i="24" s="1"/>
  <c r="AQ271" i="24"/>
  <c r="BJ271" i="24"/>
  <c r="AJ146" i="25"/>
  <c r="AM146" i="25"/>
  <c r="BG146" i="25" s="1"/>
  <c r="BL78" i="24"/>
  <c r="AS78" i="24"/>
  <c r="BJ78" i="24"/>
  <c r="AQ78" i="24"/>
  <c r="BH78" i="24"/>
  <c r="BW78" i="24"/>
  <c r="AX78" i="24"/>
  <c r="AJ224" i="25"/>
  <c r="AM224" i="25"/>
  <c r="BG224" i="25" s="1"/>
  <c r="AW49" i="25"/>
  <c r="AX49" i="25"/>
  <c r="AJ242" i="25"/>
  <c r="AM242" i="25"/>
  <c r="AS75" i="24"/>
  <c r="BJ75" i="24"/>
  <c r="AQ75" i="24"/>
  <c r="AX75" i="24"/>
  <c r="BW75" i="24"/>
  <c r="BH75" i="24"/>
  <c r="AR30" i="25"/>
  <c r="AP30" i="25"/>
  <c r="BH30" i="25"/>
  <c r="BU30" i="25"/>
  <c r="BW30" i="25"/>
  <c r="BF30" i="25"/>
  <c r="BL246" i="24"/>
  <c r="AS246" i="24"/>
  <c r="BJ246" i="24"/>
  <c r="AQ246" i="24"/>
  <c r="BH246" i="24"/>
  <c r="BU246" i="24"/>
  <c r="BW246" i="24"/>
  <c r="AX246" i="24"/>
  <c r="BL138" i="24"/>
  <c r="AS138" i="24"/>
  <c r="BJ138" i="24"/>
  <c r="AQ138" i="24"/>
  <c r="BU138" i="24"/>
  <c r="AX138" i="24"/>
  <c r="BH138" i="24"/>
  <c r="BW138" i="24"/>
  <c r="BA20" i="24"/>
  <c r="AM38" i="25"/>
  <c r="BG38" i="25" s="1"/>
  <c r="AJ38" i="25"/>
  <c r="BA152" i="24"/>
  <c r="AJ171" i="25"/>
  <c r="AM171" i="25"/>
  <c r="AS283" i="24"/>
  <c r="AU283" i="24" s="1"/>
  <c r="BB283" i="24" s="1"/>
  <c r="AQ283" i="24"/>
  <c r="BJ283" i="24"/>
  <c r="AS120" i="24"/>
  <c r="AU120" i="24" s="1"/>
  <c r="BB120" i="24" s="1"/>
  <c r="AQ120" i="24"/>
  <c r="BJ120" i="24"/>
  <c r="AJ134" i="25"/>
  <c r="AM134" i="25"/>
  <c r="BG134" i="25" s="1"/>
  <c r="AX24" i="25"/>
  <c r="AW24" i="25"/>
  <c r="AS16" i="24"/>
  <c r="BJ16" i="24"/>
  <c r="AQ16" i="24"/>
  <c r="AX16" i="24"/>
  <c r="BH16" i="24"/>
  <c r="BW16" i="24"/>
  <c r="AS36" i="24"/>
  <c r="BJ36" i="24"/>
  <c r="AQ36" i="24"/>
  <c r="BH36" i="24"/>
  <c r="BW36" i="24"/>
  <c r="AX36" i="24"/>
  <c r="AX72" i="25"/>
  <c r="AW72" i="25"/>
  <c r="AS269" i="24"/>
  <c r="AU269" i="24" s="1"/>
  <c r="BB269" i="24" s="1"/>
  <c r="AQ269" i="24"/>
  <c r="BJ269" i="24"/>
  <c r="AS28" i="24"/>
  <c r="AU28" i="24" s="1"/>
  <c r="BB28" i="24" s="1"/>
  <c r="BJ28" i="24"/>
  <c r="AQ28" i="24"/>
  <c r="AJ142" i="25"/>
  <c r="AM142" i="25"/>
  <c r="BG142" i="25" s="1"/>
  <c r="AX126" i="25"/>
  <c r="AW126" i="25"/>
  <c r="AX51" i="25"/>
  <c r="AW51" i="25"/>
  <c r="BL309" i="24"/>
  <c r="AS309" i="24"/>
  <c r="BJ309" i="24"/>
  <c r="AQ309" i="24"/>
  <c r="AX309" i="24"/>
  <c r="BH309" i="24"/>
  <c r="BU309" i="24"/>
  <c r="BW309" i="24"/>
  <c r="AX27" i="25"/>
  <c r="AW27" i="25"/>
  <c r="AS88" i="24"/>
  <c r="AQ88" i="24"/>
  <c r="BJ88" i="24"/>
  <c r="BW88" i="24"/>
  <c r="AX88" i="24"/>
  <c r="BH88" i="24"/>
  <c r="AX35" i="25"/>
  <c r="AW35" i="25"/>
  <c r="AS180" i="24"/>
  <c r="BJ180" i="24"/>
  <c r="AQ180" i="24"/>
  <c r="BW180" i="24"/>
  <c r="BU180" i="24"/>
  <c r="AX180" i="24"/>
  <c r="BH180" i="24"/>
  <c r="AU7" i="24"/>
  <c r="BB7" i="24" s="1"/>
  <c r="AW7" i="24"/>
  <c r="AM139" i="25"/>
  <c r="BG139" i="25" s="1"/>
  <c r="AJ139" i="25"/>
  <c r="AS259" i="24"/>
  <c r="AU259" i="24" s="1"/>
  <c r="BB259" i="24" s="1"/>
  <c r="BJ259" i="24"/>
  <c r="AQ259" i="24"/>
  <c r="AX56" i="25"/>
  <c r="AW56" i="25"/>
  <c r="AJ84" i="25"/>
  <c r="AM84" i="25"/>
  <c r="BG84" i="25" s="1"/>
  <c r="AU160" i="24"/>
  <c r="BB160" i="24" s="1"/>
  <c r="AW160" i="24"/>
  <c r="AJ76" i="25"/>
  <c r="AM76" i="25"/>
  <c r="BG76" i="25" s="1"/>
  <c r="AJ278" i="25"/>
  <c r="AM278" i="25"/>
  <c r="BG278" i="25" s="1"/>
  <c r="BH28" i="24"/>
  <c r="AS293" i="24"/>
  <c r="BL293" i="24"/>
  <c r="BJ293" i="24"/>
  <c r="AQ293" i="24"/>
  <c r="BH293" i="24"/>
  <c r="BU293" i="24"/>
  <c r="BW293" i="24"/>
  <c r="AX293" i="24"/>
  <c r="AJ268" i="25"/>
  <c r="AM268" i="25"/>
  <c r="AS184" i="24"/>
  <c r="BL184" i="24"/>
  <c r="BJ184" i="24"/>
  <c r="AQ184" i="24"/>
  <c r="AX184" i="24"/>
  <c r="BH184" i="24"/>
  <c r="BU184" i="24"/>
  <c r="BW184" i="24"/>
  <c r="AS133" i="24"/>
  <c r="AU133" i="24" s="1"/>
  <c r="BB133" i="24" s="1"/>
  <c r="AQ133" i="24"/>
  <c r="BJ133" i="24"/>
  <c r="AM315" i="25"/>
  <c r="BG315" i="25" s="1"/>
  <c r="AJ315" i="25"/>
  <c r="AS313" i="24"/>
  <c r="BL313" i="24"/>
  <c r="BJ313" i="24"/>
  <c r="AQ313" i="24"/>
  <c r="BU313" i="24"/>
  <c r="BW313" i="24"/>
  <c r="AX313" i="24"/>
  <c r="BH313" i="24"/>
  <c r="AW16" i="25"/>
  <c r="AX16" i="25"/>
  <c r="BL158" i="24"/>
  <c r="AS158" i="24"/>
  <c r="BJ158" i="24"/>
  <c r="AQ158" i="24"/>
  <c r="AX158" i="24"/>
  <c r="BH158" i="24"/>
  <c r="BU158" i="24"/>
  <c r="BW158" i="24"/>
  <c r="BA48" i="24"/>
  <c r="AM223" i="25"/>
  <c r="AJ223" i="25"/>
  <c r="AS115" i="24"/>
  <c r="BL115" i="24"/>
  <c r="AQ115" i="24"/>
  <c r="BJ115" i="24"/>
  <c r="AX115" i="24"/>
  <c r="BH115" i="24"/>
  <c r="BU115" i="24"/>
  <c r="BW115" i="24"/>
  <c r="BW147" i="24"/>
  <c r="AX117" i="25"/>
  <c r="AW117" i="25"/>
  <c r="BJ167" i="25"/>
  <c r="AR167" i="25"/>
  <c r="AP167" i="25"/>
  <c r="BH167" i="25"/>
  <c r="BW167" i="25"/>
  <c r="BU167" i="25"/>
  <c r="BF167" i="25"/>
  <c r="AS12" i="24"/>
  <c r="AU12" i="24" s="1"/>
  <c r="BB12" i="24" s="1"/>
  <c r="AQ12" i="24"/>
  <c r="BJ12" i="24"/>
  <c r="AR204" i="25"/>
  <c r="BJ204" i="25"/>
  <c r="BH204" i="25"/>
  <c r="BF204" i="25"/>
  <c r="BW204" i="25"/>
  <c r="BU204" i="25"/>
  <c r="AS130" i="24"/>
  <c r="AU130" i="24" s="1"/>
  <c r="BB130" i="24" s="1"/>
  <c r="AQ130" i="24"/>
  <c r="BJ130" i="24"/>
  <c r="AS103" i="24"/>
  <c r="BJ103" i="24"/>
  <c r="AQ103" i="24"/>
  <c r="AX103" i="24"/>
  <c r="BH103" i="24"/>
  <c r="BW103" i="24"/>
  <c r="AJ81" i="25"/>
  <c r="AM81" i="25"/>
  <c r="AS228" i="24"/>
  <c r="AU228" i="24" s="1"/>
  <c r="BB228" i="24" s="1"/>
  <c r="BJ228" i="24"/>
  <c r="AQ228" i="24"/>
  <c r="AS35" i="24"/>
  <c r="AU35" i="24" s="1"/>
  <c r="BB35" i="24" s="1"/>
  <c r="BJ35" i="24"/>
  <c r="AQ35" i="24"/>
  <c r="AM25" i="25"/>
  <c r="BG25" i="25" s="1"/>
  <c r="AJ25" i="25"/>
  <c r="AJ285" i="25"/>
  <c r="AM285" i="25"/>
  <c r="BG285" i="25" s="1"/>
  <c r="AM241" i="25"/>
  <c r="BG241" i="25" s="1"/>
  <c r="AJ241" i="25"/>
  <c r="AW188" i="25"/>
  <c r="AX188" i="25"/>
  <c r="BA260" i="24"/>
  <c r="AW209" i="25"/>
  <c r="AX209" i="25"/>
  <c r="AS270" i="24"/>
  <c r="AQ270" i="24"/>
  <c r="BJ270" i="24"/>
  <c r="AX270" i="24"/>
  <c r="BH270" i="24"/>
  <c r="BW270" i="24"/>
  <c r="BU270" i="24"/>
  <c r="BA12" i="24"/>
  <c r="AS145" i="24"/>
  <c r="AU145" i="24" s="1"/>
  <c r="BB145" i="24" s="1"/>
  <c r="BJ145" i="24"/>
  <c r="AQ145" i="24"/>
  <c r="BA273" i="24"/>
  <c r="AM288" i="25"/>
  <c r="BG288" i="25" s="1"/>
  <c r="AJ288" i="25"/>
  <c r="AS123" i="24"/>
  <c r="AU123" i="24" s="1"/>
  <c r="BB123" i="24" s="1"/>
  <c r="BJ123" i="24"/>
  <c r="AQ123" i="24"/>
  <c r="AR273" i="25"/>
  <c r="BJ273" i="25"/>
  <c r="AP273" i="25"/>
  <c r="BH273" i="25"/>
  <c r="BF273" i="25"/>
  <c r="BU273" i="25"/>
  <c r="BW273" i="25"/>
  <c r="AJ299" i="25"/>
  <c r="AM299" i="25"/>
  <c r="BG299" i="25" s="1"/>
  <c r="BU269" i="24"/>
  <c r="AS43" i="24"/>
  <c r="BJ43" i="24"/>
  <c r="AQ43" i="24"/>
  <c r="AX43" i="24"/>
  <c r="BH43" i="24"/>
  <c r="BW43" i="24"/>
  <c r="AW165" i="25"/>
  <c r="AX165" i="25"/>
  <c r="AS47" i="24"/>
  <c r="BJ47" i="24"/>
  <c r="AQ47" i="24"/>
  <c r="AX47" i="24"/>
  <c r="BH47" i="24"/>
  <c r="BW47" i="24"/>
  <c r="AS278" i="24"/>
  <c r="BL278" i="24"/>
  <c r="BJ278" i="24"/>
  <c r="AQ278" i="24"/>
  <c r="BW278" i="24"/>
  <c r="BU278" i="24"/>
  <c r="AX278" i="24"/>
  <c r="BH278" i="24"/>
  <c r="AR29" i="25"/>
  <c r="BJ29" i="25"/>
  <c r="BH29" i="25"/>
  <c r="AP29" i="25"/>
  <c r="BF29" i="25"/>
  <c r="BW29" i="25"/>
  <c r="BU29" i="25"/>
  <c r="AM164" i="25"/>
  <c r="AJ164" i="25"/>
  <c r="AM175" i="25"/>
  <c r="AJ175" i="25"/>
  <c r="AW105" i="25"/>
  <c r="B126" i="2" s="1"/>
  <c r="E33" i="1" s="1"/>
  <c r="AX105" i="25"/>
  <c r="B136" i="2" s="1"/>
  <c r="L33" i="1" s="1"/>
  <c r="BL194" i="24"/>
  <c r="AS194" i="24"/>
  <c r="BJ194" i="24"/>
  <c r="AQ194" i="24"/>
  <c r="AX194" i="24"/>
  <c r="BH194" i="24"/>
  <c r="BW194" i="24"/>
  <c r="BU194" i="24"/>
  <c r="BA271" i="24"/>
  <c r="BA33" i="24"/>
  <c r="BH6" i="24"/>
  <c r="BW6" i="24"/>
  <c r="AJ245" i="25"/>
  <c r="AM245" i="25"/>
  <c r="AJ234" i="25"/>
  <c r="AM234" i="25"/>
  <c r="BG234" i="25" s="1"/>
  <c r="AS202" i="24"/>
  <c r="AQ202" i="24"/>
  <c r="BJ202" i="24"/>
  <c r="BU202" i="24"/>
  <c r="AX202" i="24"/>
  <c r="BH202" i="24"/>
  <c r="BW202" i="24"/>
  <c r="AR206" i="25"/>
  <c r="BJ206" i="25"/>
  <c r="BH206" i="25"/>
  <c r="BF206" i="25"/>
  <c r="BW206" i="25"/>
  <c r="BU206" i="25"/>
  <c r="AM270" i="25"/>
  <c r="AJ270" i="25"/>
  <c r="AS240" i="24"/>
  <c r="AU240" i="24" s="1"/>
  <c r="BB240" i="24" s="1"/>
  <c r="BJ240" i="24"/>
  <c r="AQ240" i="24"/>
  <c r="AM138" i="25"/>
  <c r="AJ138" i="25"/>
  <c r="AS295" i="24"/>
  <c r="AU295" i="24" s="1"/>
  <c r="BB295" i="24" s="1"/>
  <c r="BJ295" i="24"/>
  <c r="AQ295" i="24"/>
  <c r="AS27" i="24"/>
  <c r="BJ27" i="24"/>
  <c r="AQ27" i="24"/>
  <c r="BH27" i="24"/>
  <c r="BW27" i="24"/>
  <c r="AX27" i="24"/>
  <c r="AS54" i="24"/>
  <c r="AU54" i="24" s="1"/>
  <c r="BB54" i="24" s="1"/>
  <c r="BJ54" i="24"/>
  <c r="AQ54" i="24"/>
  <c r="AX7" i="25"/>
  <c r="AW7" i="25"/>
  <c r="AX156" i="25"/>
  <c r="AW156" i="25"/>
  <c r="BA59" i="24"/>
  <c r="AX68" i="25"/>
  <c r="AW68" i="25"/>
  <c r="BL146" i="24"/>
  <c r="AS146" i="24"/>
  <c r="BJ146" i="24"/>
  <c r="AQ146" i="24"/>
  <c r="BW146" i="24"/>
  <c r="AX146" i="24"/>
  <c r="BH146" i="24"/>
  <c r="BU146" i="24"/>
  <c r="AJ287" i="25"/>
  <c r="AM287" i="25"/>
  <c r="BU265" i="24"/>
  <c r="AX135" i="25"/>
  <c r="AW135" i="25"/>
  <c r="AS20" i="24"/>
  <c r="AU20" i="24" s="1"/>
  <c r="BB20" i="24" s="1"/>
  <c r="BJ20" i="24"/>
  <c r="AQ20" i="24"/>
  <c r="AM251" i="25"/>
  <c r="BG251" i="25" s="1"/>
  <c r="AJ251" i="25"/>
  <c r="AM46" i="25"/>
  <c r="BG46" i="25" s="1"/>
  <c r="AJ46" i="25"/>
  <c r="AX111" i="24"/>
  <c r="AW264" i="24"/>
  <c r="AR305" i="25"/>
  <c r="AP305" i="25"/>
  <c r="BH305" i="25"/>
  <c r="BU305" i="25"/>
  <c r="BW305" i="25"/>
  <c r="BF305" i="25"/>
  <c r="AR190" i="25"/>
  <c r="BH190" i="25"/>
  <c r="AP190" i="25"/>
  <c r="BW190" i="25"/>
  <c r="BF190" i="25"/>
  <c r="BU190" i="25"/>
  <c r="AX41" i="25"/>
  <c r="AW41" i="25"/>
  <c r="BA247" i="24"/>
  <c r="AJ312" i="25"/>
  <c r="AM312" i="25"/>
  <c r="BG312" i="25" s="1"/>
  <c r="AX242" i="24"/>
  <c r="AJ99" i="25"/>
  <c r="AM99" i="25"/>
  <c r="AJ120" i="25"/>
  <c r="AM120" i="25"/>
  <c r="BG120" i="25" s="1"/>
  <c r="AS56" i="24"/>
  <c r="AU56" i="24" s="1"/>
  <c r="BB56" i="24" s="1"/>
  <c r="BJ56" i="24"/>
  <c r="AQ56" i="24"/>
  <c r="BU135" i="24"/>
  <c r="AX301" i="24"/>
  <c r="AM230" i="25"/>
  <c r="BG230" i="25" s="1"/>
  <c r="AJ230" i="25"/>
  <c r="AX20" i="25"/>
  <c r="AW20" i="25"/>
  <c r="AS171" i="24"/>
  <c r="BL171" i="24"/>
  <c r="AQ171" i="24"/>
  <c r="BJ171" i="24"/>
  <c r="BH171" i="24"/>
  <c r="BW171" i="24"/>
  <c r="BU171" i="24"/>
  <c r="AX171" i="24"/>
  <c r="AJ137" i="25"/>
  <c r="AM137" i="25"/>
  <c r="BG137" i="25" s="1"/>
  <c r="AR89" i="25"/>
  <c r="AP89" i="25"/>
  <c r="BH89" i="25"/>
  <c r="BF89" i="25"/>
  <c r="BU89" i="25"/>
  <c r="BW89" i="25"/>
  <c r="BL197" i="24"/>
  <c r="AS197" i="24"/>
  <c r="BJ197" i="24"/>
  <c r="AQ197" i="24"/>
  <c r="BH197" i="24"/>
  <c r="BU197" i="24"/>
  <c r="BW197" i="24"/>
  <c r="AX197" i="24"/>
  <c r="AS104" i="24"/>
  <c r="BJ104" i="24"/>
  <c r="AQ104" i="24"/>
  <c r="AX104" i="24"/>
  <c r="BW104" i="24"/>
  <c r="BH104" i="24"/>
  <c r="AS275" i="24"/>
  <c r="AQ275" i="24"/>
  <c r="BJ275" i="24"/>
  <c r="AX275" i="24"/>
  <c r="BH275" i="24"/>
  <c r="BW275" i="24"/>
  <c r="BU275" i="24"/>
  <c r="BH126" i="24"/>
  <c r="BU290" i="24"/>
  <c r="BW145" i="24"/>
  <c r="BA263" i="24"/>
  <c r="AX67" i="25"/>
  <c r="AW67" i="25"/>
  <c r="AM17" i="25"/>
  <c r="BG17" i="25" s="1"/>
  <c r="AJ17" i="25"/>
  <c r="BA282" i="24"/>
  <c r="BA155" i="24"/>
  <c r="AJ236" i="25"/>
  <c r="AM236" i="25"/>
  <c r="BG236" i="25" s="1"/>
  <c r="AX248" i="24"/>
  <c r="AW187" i="25"/>
  <c r="AX187" i="25"/>
  <c r="AS168" i="24"/>
  <c r="AQ168" i="24"/>
  <c r="BJ168" i="24"/>
  <c r="BU168" i="24"/>
  <c r="AX168" i="24"/>
  <c r="BH168" i="24"/>
  <c r="BW168" i="24"/>
  <c r="AM72" i="25"/>
  <c r="AJ72" i="25"/>
  <c r="AJ222" i="25"/>
  <c r="AM222" i="25"/>
  <c r="BG222" i="25" s="1"/>
  <c r="BJ28" i="25"/>
  <c r="AR28" i="25"/>
  <c r="BH28" i="25"/>
  <c r="AP28" i="25"/>
  <c r="BF28" i="25"/>
  <c r="BW28" i="25"/>
  <c r="BU28" i="25"/>
  <c r="AS273" i="24"/>
  <c r="AU273" i="24" s="1"/>
  <c r="BB273" i="24" s="1"/>
  <c r="AQ273" i="24"/>
  <c r="BJ273" i="24"/>
  <c r="AS232" i="24"/>
  <c r="AU232" i="24" s="1"/>
  <c r="BB232" i="24" s="1"/>
  <c r="BJ232" i="24"/>
  <c r="AQ232" i="24"/>
  <c r="AR87" i="25"/>
  <c r="BJ87" i="25"/>
  <c r="BH87" i="25"/>
  <c r="AP87" i="25"/>
  <c r="BF87" i="25"/>
  <c r="BW87" i="25"/>
  <c r="BU87" i="25"/>
  <c r="AS69" i="24"/>
  <c r="BJ69" i="24"/>
  <c r="AQ69" i="24"/>
  <c r="BH69" i="24"/>
  <c r="BW69" i="24"/>
  <c r="AX69" i="24"/>
  <c r="BL131" i="24"/>
  <c r="AS131" i="24"/>
  <c r="BJ131" i="24"/>
  <c r="AQ131" i="24"/>
  <c r="BH131" i="24"/>
  <c r="BW131" i="24"/>
  <c r="BU131" i="24"/>
  <c r="AX131" i="24"/>
  <c r="BL268" i="24"/>
  <c r="AS268" i="24"/>
  <c r="AQ268" i="24"/>
  <c r="BJ268" i="24"/>
  <c r="AX268" i="24"/>
  <c r="BH268" i="24"/>
  <c r="BW268" i="24"/>
  <c r="BU268" i="24"/>
  <c r="AJ64" i="25"/>
  <c r="AM64" i="25"/>
  <c r="BH283" i="24"/>
  <c r="BL159" i="24"/>
  <c r="AS159" i="24"/>
  <c r="AQ159" i="24"/>
  <c r="BJ159" i="24"/>
  <c r="BW159" i="24"/>
  <c r="AX159" i="24"/>
  <c r="BH159" i="24"/>
  <c r="BU159" i="24"/>
  <c r="AX120" i="24"/>
  <c r="BL238" i="24"/>
  <c r="AS238" i="24"/>
  <c r="AU238" i="24" s="1"/>
  <c r="BB238" i="24" s="1"/>
  <c r="AQ238" i="24"/>
  <c r="BJ238" i="24"/>
  <c r="AS129" i="24"/>
  <c r="AU129" i="24" s="1"/>
  <c r="BB129" i="24" s="1"/>
  <c r="AQ129" i="24"/>
  <c r="BJ129" i="24"/>
  <c r="AM56" i="25"/>
  <c r="AJ56" i="25"/>
  <c r="AS267" i="24"/>
  <c r="AU267" i="24" s="1"/>
  <c r="BB267" i="24" s="1"/>
  <c r="AQ267" i="24"/>
  <c r="BJ267" i="24"/>
  <c r="AS206" i="24"/>
  <c r="BJ206" i="24"/>
  <c r="AQ206" i="24"/>
  <c r="BH206" i="24"/>
  <c r="BW206" i="24"/>
  <c r="BU206" i="24"/>
  <c r="AX206" i="24"/>
  <c r="AS280" i="24"/>
  <c r="AU280" i="24" s="1"/>
  <c r="BB280" i="24" s="1"/>
  <c r="BJ280" i="24"/>
  <c r="AQ280" i="24"/>
  <c r="AS302" i="24"/>
  <c r="BJ302" i="24"/>
  <c r="AQ302" i="24"/>
  <c r="BW302" i="24"/>
  <c r="BU302" i="24"/>
  <c r="AX302" i="24"/>
  <c r="BH302" i="24"/>
  <c r="AJ219" i="25"/>
  <c r="AM219" i="25"/>
  <c r="BL14" i="24"/>
  <c r="AS14" i="24"/>
  <c r="BJ14" i="24"/>
  <c r="AQ14" i="24"/>
  <c r="AX14" i="24"/>
  <c r="BH14" i="24"/>
  <c r="BW14" i="24"/>
  <c r="BL245" i="24"/>
  <c r="AS245" i="24"/>
  <c r="AQ245" i="24"/>
  <c r="BJ245" i="24"/>
  <c r="AX245" i="24"/>
  <c r="BH245" i="24"/>
  <c r="BW245" i="24"/>
  <c r="BU245" i="24"/>
  <c r="AJ16" i="25"/>
  <c r="AM16" i="25"/>
  <c r="BG16" i="25" s="1"/>
  <c r="AM302" i="25"/>
  <c r="AJ302" i="25"/>
  <c r="AX28" i="24"/>
  <c r="AX50" i="25"/>
  <c r="AW50" i="25"/>
  <c r="AS24" i="24"/>
  <c r="AU24" i="24" s="1"/>
  <c r="BB24" i="24" s="1"/>
  <c r="BJ24" i="24"/>
  <c r="AQ24" i="24"/>
  <c r="AS186" i="24"/>
  <c r="AQ186" i="24"/>
  <c r="BJ186" i="24"/>
  <c r="BW186" i="24"/>
  <c r="BU186" i="24"/>
  <c r="AX186" i="24"/>
  <c r="BH186" i="24"/>
  <c r="BA114" i="24"/>
  <c r="AM133" i="25"/>
  <c r="BG133" i="25" s="1"/>
  <c r="AJ133" i="25"/>
  <c r="AS173" i="24"/>
  <c r="BJ173" i="24"/>
  <c r="AQ173" i="24"/>
  <c r="BU173" i="24"/>
  <c r="BW173" i="24"/>
  <c r="AX173" i="24"/>
  <c r="BH173" i="24"/>
  <c r="AX130" i="24"/>
  <c r="BH147" i="24"/>
  <c r="BA274" i="24"/>
  <c r="AJ197" i="25"/>
  <c r="AM197" i="25"/>
  <c r="AS285" i="24"/>
  <c r="BL285" i="24"/>
  <c r="AQ285" i="24"/>
  <c r="BJ285" i="24"/>
  <c r="BH285" i="24"/>
  <c r="BU285" i="24"/>
  <c r="BW285" i="24"/>
  <c r="AX285" i="24"/>
  <c r="AS172" i="24"/>
  <c r="BL172" i="24"/>
  <c r="AQ172" i="24"/>
  <c r="BJ172" i="24"/>
  <c r="AX172" i="24"/>
  <c r="BH172" i="24"/>
  <c r="BW172" i="24"/>
  <c r="BU172" i="24"/>
  <c r="BW260" i="24"/>
  <c r="AX98" i="25"/>
  <c r="AW98" i="25"/>
  <c r="AS161" i="24"/>
  <c r="BJ161" i="24"/>
  <c r="AQ161" i="24"/>
  <c r="BH161" i="24"/>
  <c r="BW161" i="24"/>
  <c r="BU161" i="24"/>
  <c r="AX161" i="24"/>
  <c r="AM163" i="25"/>
  <c r="AJ163" i="25"/>
  <c r="AS8" i="24"/>
  <c r="AU8" i="24" s="1"/>
  <c r="BB8" i="24" s="1"/>
  <c r="BJ8" i="24"/>
  <c r="AQ8" i="24"/>
  <c r="AR238" i="25"/>
  <c r="BJ238" i="25"/>
  <c r="AP238" i="25"/>
  <c r="BH238" i="25"/>
  <c r="BU238" i="25"/>
  <c r="BW238" i="25"/>
  <c r="BF238" i="25"/>
  <c r="AS266" i="24"/>
  <c r="AU266" i="24" s="1"/>
  <c r="BB266" i="24" s="1"/>
  <c r="BJ266" i="24"/>
  <c r="AQ266" i="24"/>
  <c r="BW273" i="24"/>
  <c r="AW157" i="25"/>
  <c r="AX157" i="25"/>
  <c r="AR314" i="25"/>
  <c r="BJ314" i="25"/>
  <c r="AP314" i="25"/>
  <c r="BH314" i="25"/>
  <c r="BF314" i="25"/>
  <c r="BU314" i="25"/>
  <c r="BW314" i="25"/>
  <c r="AJ250" i="25"/>
  <c r="AM250" i="25"/>
  <c r="BG250" i="25" s="1"/>
  <c r="BW269" i="24"/>
  <c r="AX296" i="24"/>
  <c r="AJ88" i="25"/>
  <c r="AM88" i="25"/>
  <c r="AX193" i="25"/>
  <c r="AW193" i="25"/>
  <c r="BL117" i="24"/>
  <c r="AS117" i="24"/>
  <c r="AU117" i="24" s="1"/>
  <c r="BB117" i="24" s="1"/>
  <c r="BJ117" i="24"/>
  <c r="AQ117" i="24"/>
  <c r="AX65" i="25"/>
  <c r="AW65" i="25"/>
  <c r="BL286" i="24"/>
  <c r="AS286" i="24"/>
  <c r="AQ286" i="24"/>
  <c r="BJ286" i="24"/>
  <c r="AX286" i="24"/>
  <c r="BH286" i="24"/>
  <c r="BU286" i="24"/>
  <c r="BW286" i="24"/>
  <c r="AJ36" i="25"/>
  <c r="AM36" i="25"/>
  <c r="BG36" i="25" s="1"/>
  <c r="AX163" i="25"/>
  <c r="AW163" i="25"/>
  <c r="AR246" i="25"/>
  <c r="BJ246" i="25"/>
  <c r="AP246" i="25"/>
  <c r="BH246" i="25"/>
  <c r="BF246" i="25"/>
  <c r="BW246" i="25"/>
  <c r="BU246" i="25"/>
  <c r="AS279" i="24"/>
  <c r="AU279" i="24" s="1"/>
  <c r="BB279" i="24" s="1"/>
  <c r="BJ279" i="24"/>
  <c r="AQ279" i="24"/>
  <c r="AS19" i="24"/>
  <c r="AU19" i="24" s="1"/>
  <c r="BB19" i="24" s="1"/>
  <c r="BJ19" i="24"/>
  <c r="AQ19" i="24"/>
  <c r="AJ290" i="25"/>
  <c r="AM290" i="25"/>
  <c r="BG290" i="25" s="1"/>
  <c r="BA117" i="24"/>
  <c r="AW88" i="25"/>
  <c r="AX88" i="25"/>
  <c r="AM226" i="25"/>
  <c r="BG226" i="25" s="1"/>
  <c r="AJ226" i="25"/>
  <c r="AX164" i="25"/>
  <c r="AW164" i="25"/>
  <c r="AX19" i="25"/>
  <c r="AW19" i="25"/>
  <c r="AJ294" i="25"/>
  <c r="AM294" i="25"/>
  <c r="AJ26" i="25"/>
  <c r="AM26" i="25"/>
  <c r="BG26" i="25" s="1"/>
  <c r="AX8" i="24"/>
  <c r="BH240" i="24"/>
  <c r="AS229" i="24"/>
  <c r="BL229" i="24"/>
  <c r="BJ229" i="24"/>
  <c r="AQ229" i="24"/>
  <c r="BW229" i="24"/>
  <c r="BU229" i="24"/>
  <c r="AX229" i="24"/>
  <c r="BH229" i="24"/>
  <c r="AS288" i="24"/>
  <c r="BL288" i="24"/>
  <c r="BJ288" i="24"/>
  <c r="AQ288" i="24"/>
  <c r="AX288" i="24"/>
  <c r="BH288" i="24"/>
  <c r="BU288" i="24"/>
  <c r="BW288" i="24"/>
  <c r="BW32" i="24"/>
  <c r="AW208" i="25"/>
  <c r="AX208" i="25"/>
  <c r="AJ162" i="25"/>
  <c r="AM162" i="25"/>
  <c r="AS282" i="24"/>
  <c r="AU282" i="24" s="1"/>
  <c r="BB282" i="24" s="1"/>
  <c r="BJ282" i="24"/>
  <c r="AQ282" i="24"/>
  <c r="AS253" i="24"/>
  <c r="AU253" i="24" s="1"/>
  <c r="BB253" i="24" s="1"/>
  <c r="AQ253" i="24"/>
  <c r="BJ253" i="24"/>
  <c r="BA111" i="24"/>
  <c r="AS91" i="24"/>
  <c r="AQ91" i="24"/>
  <c r="BJ91" i="24"/>
  <c r="AX91" i="24"/>
  <c r="BH91" i="24"/>
  <c r="BW91" i="24"/>
  <c r="AS231" i="24"/>
  <c r="BL231" i="24"/>
  <c r="AQ231" i="24"/>
  <c r="BJ231" i="24"/>
  <c r="BH231" i="24"/>
  <c r="BU231" i="24"/>
  <c r="BW231" i="24"/>
  <c r="AX231" i="24"/>
  <c r="BW305" i="24"/>
  <c r="AX180" i="25"/>
  <c r="AW180" i="25"/>
  <c r="AX100" i="25"/>
  <c r="AW100" i="25"/>
  <c r="AR292" i="25"/>
  <c r="BH292" i="25"/>
  <c r="AP292" i="25"/>
  <c r="BU292" i="25"/>
  <c r="BW292" i="25"/>
  <c r="BF292" i="25"/>
  <c r="AS150" i="24"/>
  <c r="AQ150" i="24"/>
  <c r="BJ150" i="24"/>
  <c r="AX150" i="24"/>
  <c r="BH150" i="24"/>
  <c r="BW150" i="24"/>
  <c r="BU150" i="24"/>
  <c r="AJ289" i="25"/>
  <c r="AM289" i="25"/>
  <c r="BG289" i="25" s="1"/>
  <c r="AS201" i="24"/>
  <c r="BJ201" i="24"/>
  <c r="AQ201" i="24"/>
  <c r="BW201" i="24"/>
  <c r="AX201" i="24"/>
  <c r="BH201" i="24"/>
  <c r="BU201" i="24"/>
  <c r="AS39" i="24"/>
  <c r="BJ39" i="24"/>
  <c r="AQ39" i="24"/>
  <c r="AX39" i="24"/>
  <c r="BH39" i="24"/>
  <c r="BW39" i="24"/>
  <c r="AJ33" i="25"/>
  <c r="AM33" i="25"/>
  <c r="BG33" i="25" s="1"/>
  <c r="AS90" i="24"/>
  <c r="BJ90" i="24"/>
  <c r="AQ90" i="24"/>
  <c r="AX90" i="24"/>
  <c r="BH90" i="24"/>
  <c r="BW90" i="24"/>
  <c r="BA225" i="24"/>
  <c r="AS195" i="24"/>
  <c r="BL195" i="24"/>
  <c r="BJ195" i="24"/>
  <c r="AQ195" i="24"/>
  <c r="BH195" i="24"/>
  <c r="BU195" i="24"/>
  <c r="BW195" i="24"/>
  <c r="AX195" i="24"/>
  <c r="AJ116" i="25"/>
  <c r="AM116" i="25"/>
  <c r="AX295" i="24"/>
  <c r="AJ159" i="25"/>
  <c r="AM159" i="25"/>
  <c r="AS188" i="24"/>
  <c r="BL188" i="24"/>
  <c r="BJ188" i="24"/>
  <c r="AQ188" i="24"/>
  <c r="BH188" i="24"/>
  <c r="BU188" i="24"/>
  <c r="BW188" i="24"/>
  <c r="AX188" i="24"/>
  <c r="BL164" i="24"/>
  <c r="AS164" i="24"/>
  <c r="BJ164" i="24"/>
  <c r="AQ164" i="24"/>
  <c r="AX164" i="24"/>
  <c r="BH164" i="24"/>
  <c r="BW164" i="24"/>
  <c r="BU164" i="24"/>
  <c r="AJ53" i="25"/>
  <c r="AM53" i="25"/>
  <c r="BG53" i="25" s="1"/>
  <c r="AS155" i="24"/>
  <c r="AU155" i="24" s="1"/>
  <c r="BB155" i="24" s="1"/>
  <c r="BJ155" i="24"/>
  <c r="AQ155" i="24"/>
  <c r="AS37" i="24"/>
  <c r="AU37" i="24" s="1"/>
  <c r="BB37" i="24" s="1"/>
  <c r="BJ37" i="24"/>
  <c r="AQ37" i="24"/>
  <c r="BA301" i="24"/>
  <c r="AX121" i="24"/>
  <c r="AX93" i="25"/>
  <c r="AW93" i="25"/>
  <c r="AJ39" i="25"/>
  <c r="AM39" i="25"/>
  <c r="BG39" i="25" s="1"/>
  <c r="AR6" i="25"/>
  <c r="BH6" i="25"/>
  <c r="AP6" i="25"/>
  <c r="BF6" i="25"/>
  <c r="BW6" i="25"/>
  <c r="BU6" i="25"/>
  <c r="AX33" i="25"/>
  <c r="AW33" i="25"/>
  <c r="AX279" i="24"/>
  <c r="AM123" i="25"/>
  <c r="BG123" i="25" s="1"/>
  <c r="AJ123" i="25"/>
  <c r="BA17" i="24"/>
  <c r="AS316" i="24"/>
  <c r="BL316" i="24"/>
  <c r="BJ316" i="24"/>
  <c r="AQ316" i="24"/>
  <c r="AX316" i="24"/>
  <c r="BH316" i="24"/>
  <c r="BW316" i="24"/>
  <c r="BU316" i="24"/>
  <c r="AS199" i="24"/>
  <c r="AQ199" i="24"/>
  <c r="BJ199" i="24"/>
  <c r="AX199" i="24"/>
  <c r="BH199" i="24"/>
  <c r="BW199" i="24"/>
  <c r="BU199" i="24"/>
  <c r="BU282" i="24"/>
  <c r="AW142" i="24"/>
  <c r="AJ10" i="25"/>
  <c r="AM10" i="25"/>
  <c r="BA248" i="24"/>
  <c r="BH232" i="24"/>
  <c r="AS48" i="24"/>
  <c r="AU48" i="24" s="1"/>
  <c r="BB48" i="24" s="1"/>
  <c r="BJ48" i="24"/>
  <c r="AQ48" i="24"/>
  <c r="AJ40" i="25"/>
  <c r="AM40" i="25"/>
  <c r="BG40" i="25" s="1"/>
  <c r="AS154" i="24"/>
  <c r="BL154" i="24"/>
  <c r="BJ154" i="24"/>
  <c r="AQ154" i="24"/>
  <c r="AX154" i="24"/>
  <c r="BH154" i="24"/>
  <c r="BW154" i="24"/>
  <c r="BU154" i="24"/>
  <c r="AX79" i="25"/>
  <c r="AW79" i="25"/>
  <c r="AS204" i="24"/>
  <c r="BJ204" i="24"/>
  <c r="AQ204" i="24"/>
  <c r="AX204" i="24"/>
  <c r="BH204" i="24"/>
  <c r="BU204" i="24"/>
  <c r="BW204" i="24"/>
  <c r="BA259" i="24"/>
  <c r="AS277" i="24"/>
  <c r="BJ277" i="24"/>
  <c r="AQ277" i="24"/>
  <c r="AX277" i="24"/>
  <c r="BH277" i="24"/>
  <c r="BU277" i="24"/>
  <c r="BW277" i="24"/>
  <c r="AM27" i="25"/>
  <c r="AJ27" i="25"/>
  <c r="AU190" i="24"/>
  <c r="BB190" i="24" s="1"/>
  <c r="AW190" i="24"/>
  <c r="AW17" i="25"/>
  <c r="AX17" i="25"/>
  <c r="AS59" i="24"/>
  <c r="AU59" i="24" s="1"/>
  <c r="BB59" i="24" s="1"/>
  <c r="BJ59" i="24"/>
  <c r="AQ59" i="24"/>
  <c r="AJ149" i="25"/>
  <c r="AM149" i="25"/>
  <c r="BG149" i="25" s="1"/>
  <c r="AM153" i="25"/>
  <c r="AJ153" i="25"/>
  <c r="AJ182" i="25"/>
  <c r="AM182" i="25"/>
  <c r="AR147" i="25"/>
  <c r="AP147" i="25"/>
  <c r="BH147" i="25"/>
  <c r="BW147" i="25"/>
  <c r="BU147" i="25"/>
  <c r="BF147" i="25"/>
  <c r="AW23" i="25"/>
  <c r="AX23" i="25"/>
  <c r="AM233" i="25"/>
  <c r="BG233" i="25" s="1"/>
  <c r="AJ233" i="25"/>
  <c r="AS166" i="24"/>
  <c r="AQ166" i="24"/>
  <c r="BJ166" i="24"/>
  <c r="BW166" i="24"/>
  <c r="BU166" i="24"/>
  <c r="AX166" i="24"/>
  <c r="BH166" i="24"/>
  <c r="AS84" i="24"/>
  <c r="AQ84" i="24"/>
  <c r="BJ84" i="24"/>
  <c r="BW84" i="24"/>
  <c r="AX84" i="24"/>
  <c r="BH84" i="24"/>
  <c r="AM117" i="25"/>
  <c r="AJ117" i="25"/>
  <c r="AM69" i="25"/>
  <c r="BG69" i="25" s="1"/>
  <c r="AJ69" i="25"/>
  <c r="AW134" i="25"/>
  <c r="AX134" i="25"/>
  <c r="AJ271" i="25"/>
  <c r="AM271" i="25"/>
  <c r="BG271" i="25" s="1"/>
  <c r="BJ232" i="25"/>
  <c r="AR232" i="25"/>
  <c r="AP232" i="25"/>
  <c r="BH232" i="25"/>
  <c r="BF232" i="25"/>
  <c r="BW232" i="25"/>
  <c r="BU232" i="25"/>
  <c r="AS49" i="24"/>
  <c r="BJ49" i="24"/>
  <c r="AQ49" i="24"/>
  <c r="AX49" i="24"/>
  <c r="BH49" i="24"/>
  <c r="BW49" i="24"/>
  <c r="AM119" i="25"/>
  <c r="BG119" i="25" s="1"/>
  <c r="AJ119" i="25"/>
  <c r="AJ150" i="25"/>
  <c r="AM150" i="25"/>
  <c r="BG150" i="25" s="1"/>
  <c r="AU294" i="24"/>
  <c r="BB294" i="24" s="1"/>
  <c r="AW294" i="24"/>
  <c r="BA219" i="24"/>
  <c r="AX194" i="25"/>
  <c r="AW194" i="25"/>
  <c r="AX103" i="25"/>
  <c r="AW103" i="25"/>
  <c r="AX139" i="25"/>
  <c r="AW139" i="25"/>
  <c r="BA130" i="24"/>
  <c r="AX147" i="24"/>
  <c r="AS34" i="24"/>
  <c r="AU34" i="24" s="1"/>
  <c r="BB34" i="24" s="1"/>
  <c r="BJ34" i="24"/>
  <c r="AQ34" i="24"/>
  <c r="BA249" i="24"/>
  <c r="AM85" i="25"/>
  <c r="BG85" i="25" s="1"/>
  <c r="AJ85" i="25"/>
  <c r="AR161" i="25"/>
  <c r="BH161" i="25"/>
  <c r="AP161" i="25"/>
  <c r="BF161" i="25"/>
  <c r="BW161" i="25"/>
  <c r="BU161" i="25"/>
  <c r="AU162" i="24"/>
  <c r="BB162" i="24" s="1"/>
  <c r="AW162" i="24"/>
  <c r="AS52" i="24"/>
  <c r="AQ52" i="24"/>
  <c r="BJ52" i="24"/>
  <c r="AX52" i="24"/>
  <c r="BH52" i="24"/>
  <c r="BW52" i="24"/>
  <c r="BU260" i="24"/>
  <c r="AM210" i="25"/>
  <c r="BG210" i="25" s="1"/>
  <c r="AJ210" i="25"/>
  <c r="AS80" i="24"/>
  <c r="BJ80" i="24"/>
  <c r="AQ80" i="24"/>
  <c r="BW80" i="24"/>
  <c r="AX80" i="24"/>
  <c r="BH80" i="24"/>
  <c r="AT129" i="25"/>
  <c r="AY129" i="25" s="1"/>
  <c r="AU129" i="25"/>
  <c r="BA296" i="24"/>
  <c r="AM313" i="25"/>
  <c r="AJ313" i="25"/>
  <c r="AR94" i="25"/>
  <c r="BJ94" i="25"/>
  <c r="BH94" i="25"/>
  <c r="AP94" i="25"/>
  <c r="BU94" i="25"/>
  <c r="BF94" i="25"/>
  <c r="BW94" i="25"/>
  <c r="AX197" i="25"/>
  <c r="AW197" i="25"/>
  <c r="AJ301" i="25"/>
  <c r="AM301" i="25"/>
  <c r="BG301" i="25" s="1"/>
  <c r="AW145" i="25"/>
  <c r="AX145" i="25"/>
  <c r="AJ284" i="25"/>
  <c r="AM284" i="25"/>
  <c r="BJ262" i="25"/>
  <c r="AR262" i="25"/>
  <c r="BH262" i="25"/>
  <c r="AP262" i="25"/>
  <c r="BW262" i="25"/>
  <c r="BU262" i="25"/>
  <c r="BF262" i="25"/>
  <c r="AX238" i="24"/>
  <c r="AJ169" i="25"/>
  <c r="AM169" i="25"/>
  <c r="AS263" i="24"/>
  <c r="AU263" i="24" s="1"/>
  <c r="BB263" i="24" s="1"/>
  <c r="BJ263" i="24"/>
  <c r="AQ263" i="24"/>
  <c r="BJ276" i="25"/>
  <c r="AR276" i="25"/>
  <c r="BH276" i="25"/>
  <c r="AP276" i="25"/>
  <c r="BW276" i="25"/>
  <c r="BU276" i="25"/>
  <c r="BF276" i="25"/>
  <c r="AJ295" i="25"/>
  <c r="AM295" i="25"/>
  <c r="BH133" i="24"/>
  <c r="AU191" i="24"/>
  <c r="BB191" i="24" s="1"/>
  <c r="AW191" i="24"/>
  <c r="AS38" i="24"/>
  <c r="BJ38" i="24"/>
  <c r="AQ38" i="24"/>
  <c r="AX38" i="24"/>
  <c r="BW38" i="24"/>
  <c r="BH38" i="24"/>
  <c r="AR114" i="25"/>
  <c r="BJ114" i="25"/>
  <c r="BH114" i="25"/>
  <c r="AP114" i="25"/>
  <c r="BW114" i="25"/>
  <c r="BU114" i="25"/>
  <c r="BF114" i="25"/>
  <c r="AW236" i="24"/>
  <c r="AR113" i="25"/>
  <c r="AP113" i="25"/>
  <c r="BH113" i="25"/>
  <c r="BF113" i="25"/>
  <c r="BW113" i="25"/>
  <c r="BU113" i="25"/>
  <c r="AM41" i="25"/>
  <c r="BG41" i="25" s="1"/>
  <c r="AJ41" i="25"/>
  <c r="BH8" i="24"/>
  <c r="AW22" i="24"/>
  <c r="BH266" i="24"/>
  <c r="BH265" i="24"/>
  <c r="AX181" i="25"/>
  <c r="AW181" i="25"/>
  <c r="AJ277" i="25"/>
  <c r="AM277" i="25"/>
  <c r="BG277" i="25" s="1"/>
  <c r="AX44" i="25"/>
  <c r="AW44" i="25"/>
  <c r="BU305" i="24"/>
  <c r="AW86" i="25"/>
  <c r="AX86" i="25"/>
  <c r="AJ121" i="25"/>
  <c r="AM121" i="25"/>
  <c r="BU247" i="24"/>
  <c r="AW60" i="25"/>
  <c r="AX60" i="25"/>
  <c r="AS112" i="24"/>
  <c r="AU112" i="24" s="1"/>
  <c r="BB112" i="24" s="1"/>
  <c r="AQ112" i="24"/>
  <c r="BJ112" i="24"/>
  <c r="AM67" i="25"/>
  <c r="BG67" i="25" s="1"/>
  <c r="AJ67" i="25"/>
  <c r="AX91" i="25"/>
  <c r="AW91" i="25"/>
  <c r="AS105" i="24"/>
  <c r="BJ105" i="24"/>
  <c r="AQ105" i="24"/>
  <c r="AX105" i="24"/>
  <c r="BH105" i="24"/>
  <c r="BW105" i="24"/>
  <c r="BW242" i="24"/>
  <c r="BA295" i="24"/>
  <c r="AJ12" i="25"/>
  <c r="AM12" i="25"/>
  <c r="BG12" i="25" s="1"/>
  <c r="AR32" i="25"/>
  <c r="BJ32" i="25"/>
  <c r="AP32" i="25"/>
  <c r="BH32" i="25"/>
  <c r="BW32" i="25"/>
  <c r="BU32" i="25"/>
  <c r="BF32" i="25"/>
  <c r="AS209" i="24"/>
  <c r="BJ209" i="24"/>
  <c r="AQ209" i="24"/>
  <c r="AX209" i="24"/>
  <c r="BH209" i="24"/>
  <c r="BU209" i="24"/>
  <c r="BW209" i="24"/>
  <c r="BW301" i="24"/>
  <c r="BA121" i="24"/>
  <c r="AM191" i="25"/>
  <c r="AJ191" i="25"/>
  <c r="AJ195" i="25"/>
  <c r="AM195" i="25"/>
  <c r="BL276" i="24"/>
  <c r="AS276" i="24"/>
  <c r="AQ276" i="24"/>
  <c r="BJ276" i="24"/>
  <c r="BU276" i="24"/>
  <c r="BW276" i="24"/>
  <c r="AX276" i="24"/>
  <c r="BH276" i="24"/>
  <c r="AR174" i="25"/>
  <c r="AP174" i="25"/>
  <c r="BH174" i="25"/>
  <c r="BW174" i="25"/>
  <c r="BU174" i="25"/>
  <c r="BF174" i="25"/>
  <c r="BU145" i="24"/>
  <c r="AW132" i="24"/>
  <c r="BW263" i="24"/>
  <c r="BH9" i="24"/>
  <c r="BA267" i="24"/>
  <c r="BA253" i="24"/>
  <c r="AX58" i="25"/>
  <c r="AW58" i="25"/>
  <c r="AX232" i="24"/>
  <c r="AS284" i="24"/>
  <c r="AU284" i="24" s="1"/>
  <c r="BB284" i="24" s="1"/>
  <c r="BL284" i="24"/>
  <c r="AQ284" i="24"/>
  <c r="BJ284" i="24"/>
  <c r="AJ152" i="25"/>
  <c r="AM152" i="25"/>
  <c r="AX195" i="25"/>
  <c r="AW195" i="25"/>
  <c r="AR71" i="25"/>
  <c r="BH71" i="25"/>
  <c r="AP71" i="25"/>
  <c r="BF71" i="25"/>
  <c r="BW71" i="25"/>
  <c r="BU71" i="25"/>
  <c r="AJ126" i="25"/>
  <c r="AM126" i="25"/>
  <c r="BG126" i="25" s="1"/>
  <c r="AM78" i="25"/>
  <c r="BG78" i="25" s="1"/>
  <c r="AJ78" i="25"/>
  <c r="AW200" i="25"/>
  <c r="AX200" i="25"/>
  <c r="AX123" i="25"/>
  <c r="AW123" i="25"/>
  <c r="BA18" i="24"/>
  <c r="AS92" i="24"/>
  <c r="BJ92" i="24"/>
  <c r="AQ92" i="24"/>
  <c r="BH92" i="24"/>
  <c r="BW92" i="24"/>
  <c r="AX92" i="24"/>
  <c r="BA120" i="24"/>
  <c r="BL314" i="24"/>
  <c r="AS314" i="24"/>
  <c r="AQ314" i="24"/>
  <c r="BJ314" i="24"/>
  <c r="BH314" i="24"/>
  <c r="BW314" i="24"/>
  <c r="BU314" i="24"/>
  <c r="AX314" i="24"/>
  <c r="AS237" i="24"/>
  <c r="AU237" i="24" s="1"/>
  <c r="BB237" i="24" s="1"/>
  <c r="BJ237" i="24"/>
  <c r="AQ237" i="24"/>
  <c r="AM22" i="25"/>
  <c r="AJ22" i="25"/>
  <c r="AS32" i="24"/>
  <c r="AU32" i="24" s="1"/>
  <c r="BB32" i="24" s="1"/>
  <c r="AQ32" i="24"/>
  <c r="BJ32" i="24"/>
  <c r="AS66" i="24"/>
  <c r="BL66" i="24"/>
  <c r="AQ66" i="24"/>
  <c r="BJ66" i="24"/>
  <c r="BW66" i="24"/>
  <c r="AX66" i="24"/>
  <c r="BH66" i="24"/>
  <c r="BA298" i="24"/>
  <c r="AJ115" i="25"/>
  <c r="AM115" i="25"/>
  <c r="AR198" i="25"/>
  <c r="BJ198" i="25"/>
  <c r="BH198" i="25"/>
  <c r="BF198" i="25"/>
  <c r="BW198" i="25"/>
  <c r="BU198" i="25"/>
  <c r="AW75" i="25"/>
  <c r="AX75" i="25"/>
  <c r="AS178" i="24"/>
  <c r="AQ178" i="24"/>
  <c r="BJ178" i="24"/>
  <c r="BW178" i="24"/>
  <c r="BU178" i="24"/>
  <c r="AX178" i="24"/>
  <c r="BH178" i="24"/>
  <c r="AS53" i="24"/>
  <c r="AQ53" i="24"/>
  <c r="BJ53" i="24"/>
  <c r="AX53" i="24"/>
  <c r="BH53" i="24"/>
  <c r="BW53" i="24"/>
  <c r="AS65" i="24"/>
  <c r="AQ65" i="24"/>
  <c r="BJ65" i="24"/>
  <c r="BW65" i="24"/>
  <c r="AX65" i="24"/>
  <c r="BH65" i="24"/>
  <c r="AS77" i="24"/>
  <c r="BJ77" i="24"/>
  <c r="AQ77" i="24"/>
  <c r="AX77" i="24"/>
  <c r="BW77" i="24"/>
  <c r="BH77" i="24"/>
  <c r="AX237" i="24"/>
  <c r="AJ160" i="25"/>
  <c r="AM160" i="25"/>
  <c r="AX172" i="25"/>
  <c r="AW172" i="25"/>
  <c r="AS85" i="24"/>
  <c r="BJ85" i="24"/>
  <c r="AQ85" i="24"/>
  <c r="AX85" i="24"/>
  <c r="BW85" i="24"/>
  <c r="BH85" i="24"/>
  <c r="AS291" i="24"/>
  <c r="BL291" i="24"/>
  <c r="BJ291" i="24"/>
  <c r="AQ291" i="24"/>
  <c r="BU291" i="24"/>
  <c r="BW291" i="24"/>
  <c r="AX291" i="24"/>
  <c r="BH291" i="24"/>
  <c r="AJ303" i="25"/>
  <c r="AM303" i="25"/>
  <c r="AS114" i="24"/>
  <c r="AU114" i="24" s="1"/>
  <c r="BB114" i="24" s="1"/>
  <c r="BJ114" i="24"/>
  <c r="AQ114" i="24"/>
  <c r="AJ83" i="25"/>
  <c r="AM83" i="25"/>
  <c r="BG83" i="25" s="1"/>
  <c r="BA28" i="24"/>
  <c r="AS87" i="24"/>
  <c r="AQ87" i="24"/>
  <c r="BJ87" i="24"/>
  <c r="BH87" i="24"/>
  <c r="BW87" i="24"/>
  <c r="AX87" i="24"/>
  <c r="AM260" i="25"/>
  <c r="BG260" i="25" s="1"/>
  <c r="AJ260" i="25"/>
  <c r="AS148" i="24"/>
  <c r="AU148" i="24" s="1"/>
  <c r="BB148" i="24" s="1"/>
  <c r="BJ148" i="24"/>
  <c r="AQ148" i="24"/>
  <c r="AS163" i="24"/>
  <c r="AQ163" i="24"/>
  <c r="BJ163" i="24"/>
  <c r="AX163" i="24"/>
  <c r="BH163" i="24"/>
  <c r="BU163" i="24"/>
  <c r="BW163" i="24"/>
  <c r="AS308" i="24"/>
  <c r="BL308" i="24"/>
  <c r="BJ308" i="24"/>
  <c r="AQ308" i="24"/>
  <c r="BU308" i="24"/>
  <c r="AX308" i="24"/>
  <c r="BH308" i="24"/>
  <c r="BW308" i="24"/>
  <c r="AS304" i="24"/>
  <c r="BJ304" i="24"/>
  <c r="AQ304" i="24"/>
  <c r="AX304" i="24"/>
  <c r="BH304" i="24"/>
  <c r="BU304" i="24"/>
  <c r="BW304" i="24"/>
  <c r="AX160" i="25"/>
  <c r="AW160" i="25"/>
  <c r="BL140" i="24"/>
  <c r="AS140" i="24"/>
  <c r="BJ140" i="24"/>
  <c r="AQ140" i="24"/>
  <c r="BU140" i="24"/>
  <c r="BW140" i="24"/>
  <c r="AX140" i="24"/>
  <c r="BH140" i="24"/>
  <c r="BW114" i="24"/>
  <c r="BL136" i="24"/>
  <c r="AS136" i="24"/>
  <c r="BJ136" i="24"/>
  <c r="AQ136" i="24"/>
  <c r="BW136" i="24"/>
  <c r="BU136" i="24"/>
  <c r="AX136" i="24"/>
  <c r="BH136" i="24"/>
  <c r="AS222" i="24"/>
  <c r="BL222" i="24"/>
  <c r="AQ222" i="24"/>
  <c r="BJ222" i="24"/>
  <c r="BW222" i="24"/>
  <c r="BU222" i="24"/>
  <c r="AX222" i="24"/>
  <c r="BH222" i="24"/>
  <c r="AX84" i="25"/>
  <c r="AW84" i="25"/>
  <c r="AS9" i="24"/>
  <c r="AU9" i="24" s="1"/>
  <c r="BB9" i="24" s="1"/>
  <c r="BJ9" i="24"/>
  <c r="AQ9" i="24"/>
  <c r="AJ112" i="25"/>
  <c r="AM112" i="25"/>
  <c r="AS100" i="24"/>
  <c r="BJ100" i="24"/>
  <c r="AQ100" i="24"/>
  <c r="AX100" i="24"/>
  <c r="BW100" i="24"/>
  <c r="BH100" i="24"/>
  <c r="AS99" i="24"/>
  <c r="AQ99" i="24"/>
  <c r="BJ99" i="24"/>
  <c r="BH99" i="24"/>
  <c r="BW99" i="24"/>
  <c r="AX99" i="24"/>
  <c r="AS71" i="24"/>
  <c r="BJ71" i="24"/>
  <c r="AQ71" i="24"/>
  <c r="AX71" i="24"/>
  <c r="BH71" i="24"/>
  <c r="BW71" i="24"/>
  <c r="BL134" i="24"/>
  <c r="AS134" i="24"/>
  <c r="BJ134" i="24"/>
  <c r="AQ134" i="24"/>
  <c r="AX134" i="24"/>
  <c r="BH134" i="24"/>
  <c r="BW134" i="24"/>
  <c r="BU134" i="24"/>
  <c r="AX119" i="25"/>
  <c r="AW119" i="25"/>
  <c r="AJ65" i="25"/>
  <c r="AM65" i="25"/>
  <c r="AS258" i="24"/>
  <c r="AU258" i="24" s="1"/>
  <c r="BB258" i="24" s="1"/>
  <c r="AQ258" i="24"/>
  <c r="BJ258" i="24"/>
  <c r="BL122" i="24"/>
  <c r="AS122" i="24"/>
  <c r="BJ122" i="24"/>
  <c r="AQ122" i="24"/>
  <c r="AX122" i="24"/>
  <c r="BH122" i="24"/>
  <c r="BW122" i="24"/>
  <c r="BU122" i="24"/>
  <c r="AJ252" i="25"/>
  <c r="AM252" i="25"/>
  <c r="BG252" i="25" s="1"/>
  <c r="BJ95" i="25"/>
  <c r="AR95" i="25"/>
  <c r="BH95" i="25"/>
  <c r="AP95" i="25"/>
  <c r="BF95" i="25"/>
  <c r="BU95" i="25"/>
  <c r="BW95" i="25"/>
  <c r="AM144" i="25"/>
  <c r="BG144" i="25" s="1"/>
  <c r="AJ144" i="25"/>
  <c r="BL181" i="24"/>
  <c r="AS181" i="24"/>
  <c r="AQ181" i="24"/>
  <c r="BJ181" i="24"/>
  <c r="AX181" i="24"/>
  <c r="BH181" i="24"/>
  <c r="BW181" i="24"/>
  <c r="BU181" i="24"/>
  <c r="BU273" i="24"/>
  <c r="AJ249" i="25"/>
  <c r="AM249" i="25"/>
  <c r="BG249" i="25" s="1"/>
  <c r="AM176" i="25"/>
  <c r="AJ176" i="25"/>
  <c r="AJ218" i="25"/>
  <c r="AM218" i="25"/>
  <c r="BH269" i="24"/>
  <c r="AX85" i="25"/>
  <c r="AW85" i="25"/>
  <c r="AR82" i="25"/>
  <c r="AP82" i="25"/>
  <c r="BH82" i="25"/>
  <c r="BF82" i="25"/>
  <c r="BU82" i="25"/>
  <c r="BW82" i="25"/>
  <c r="AS51" i="24"/>
  <c r="AU51" i="24" s="1"/>
  <c r="BB51" i="24" s="1"/>
  <c r="BJ51" i="24"/>
  <c r="AQ51" i="24"/>
  <c r="AX25" i="25"/>
  <c r="AW25" i="25"/>
  <c r="AS311" i="24"/>
  <c r="BL311" i="24"/>
  <c r="BJ311" i="24"/>
  <c r="AQ311" i="24"/>
  <c r="AX311" i="24"/>
  <c r="BH311" i="24"/>
  <c r="BU311" i="24"/>
  <c r="BW311" i="24"/>
  <c r="AS239" i="24"/>
  <c r="BL239" i="24"/>
  <c r="BJ239" i="24"/>
  <c r="AQ239" i="24"/>
  <c r="AX239" i="24"/>
  <c r="BH239" i="24"/>
  <c r="BW239" i="24"/>
  <c r="BU239" i="24"/>
  <c r="BA238" i="24"/>
  <c r="BA6" i="24"/>
  <c r="AX34" i="24"/>
  <c r="AM231" i="25"/>
  <c r="BG231" i="25" s="1"/>
  <c r="AJ231" i="25"/>
  <c r="AJ132" i="25"/>
  <c r="AM132" i="25"/>
  <c r="BL290" i="24"/>
  <c r="AS290" i="24"/>
  <c r="AU290" i="24" s="1"/>
  <c r="BB290" i="24" s="1"/>
  <c r="BJ290" i="24"/>
  <c r="AQ290" i="24"/>
  <c r="AM18" i="25"/>
  <c r="BG18" i="25" s="1"/>
  <c r="AJ18" i="25"/>
  <c r="AM37" i="25"/>
  <c r="BG37" i="25" s="1"/>
  <c r="AJ37" i="25"/>
  <c r="AM235" i="25"/>
  <c r="AJ235" i="25"/>
  <c r="AS13" i="24"/>
  <c r="BJ13" i="24"/>
  <c r="AQ13" i="24"/>
  <c r="AX13" i="24"/>
  <c r="BH13" i="24"/>
  <c r="BW13" i="24"/>
  <c r="AJ100" i="25"/>
  <c r="AM100" i="25"/>
  <c r="BW59" i="24"/>
  <c r="AS70" i="24"/>
  <c r="BJ70" i="24"/>
  <c r="AQ70" i="24"/>
  <c r="BW70" i="24"/>
  <c r="AX70" i="24"/>
  <c r="BH70" i="24"/>
  <c r="AX240" i="24"/>
  <c r="AM227" i="25"/>
  <c r="BG227" i="25" s="1"/>
  <c r="AJ227" i="25"/>
  <c r="AX265" i="24"/>
  <c r="AX32" i="24"/>
  <c r="BL113" i="24"/>
  <c r="AS113" i="24"/>
  <c r="BJ113" i="24"/>
  <c r="AQ113" i="24"/>
  <c r="BH113" i="24"/>
  <c r="BW113" i="24"/>
  <c r="BU113" i="24"/>
  <c r="AX113" i="24"/>
  <c r="AM54" i="25"/>
  <c r="BG54" i="25" s="1"/>
  <c r="AJ54" i="25"/>
  <c r="AR31" i="25"/>
  <c r="BJ31" i="25"/>
  <c r="AP31" i="25"/>
  <c r="BH31" i="25"/>
  <c r="BF31" i="25"/>
  <c r="BW31" i="25"/>
  <c r="BU31" i="25"/>
  <c r="BU111" i="24"/>
  <c r="AR291" i="25"/>
  <c r="BJ291" i="25"/>
  <c r="BH291" i="25"/>
  <c r="AP291" i="25"/>
  <c r="BF291" i="25"/>
  <c r="BU291" i="25"/>
  <c r="BW291" i="25"/>
  <c r="AR62" i="25"/>
  <c r="AP62" i="25"/>
  <c r="BH62" i="25"/>
  <c r="BW62" i="25"/>
  <c r="BU62" i="25"/>
  <c r="BF62" i="25"/>
  <c r="AJ93" i="25"/>
  <c r="AM93" i="25"/>
  <c r="BG93" i="25" s="1"/>
  <c r="AM9" i="25"/>
  <c r="BG9" i="25" s="1"/>
  <c r="AJ9" i="25"/>
  <c r="BL183" i="24"/>
  <c r="AS183" i="24"/>
  <c r="BJ183" i="24"/>
  <c r="AQ183" i="24"/>
  <c r="BH183" i="24"/>
  <c r="BU183" i="24"/>
  <c r="BW183" i="24"/>
  <c r="AX183" i="24"/>
  <c r="BL218" i="24"/>
  <c r="AS218" i="24"/>
  <c r="AU218" i="24" s="1"/>
  <c r="BB218" i="24" s="1"/>
  <c r="BJ218" i="24"/>
  <c r="AQ218" i="24"/>
  <c r="AM45" i="25"/>
  <c r="AJ45" i="25"/>
  <c r="AM300" i="25"/>
  <c r="AJ300" i="25"/>
  <c r="AS63" i="24"/>
  <c r="BJ63" i="24"/>
  <c r="AQ63" i="24"/>
  <c r="AX63" i="24"/>
  <c r="BH63" i="24"/>
  <c r="BW63" i="24"/>
  <c r="BW247" i="24"/>
  <c r="AS307" i="24"/>
  <c r="AQ307" i="24"/>
  <c r="BJ307" i="24"/>
  <c r="AX307" i="24"/>
  <c r="BH307" i="24"/>
  <c r="BU307" i="24"/>
  <c r="BW307" i="24"/>
  <c r="AR14" i="25"/>
  <c r="BH14" i="25"/>
  <c r="AP14" i="25"/>
  <c r="BW14" i="25"/>
  <c r="BU14" i="25"/>
  <c r="BF14" i="25"/>
  <c r="AS15" i="24"/>
  <c r="BJ15" i="24"/>
  <c r="AQ15" i="24"/>
  <c r="AX15" i="24"/>
  <c r="BH15" i="24"/>
  <c r="BW15" i="24"/>
  <c r="BU242" i="24"/>
  <c r="AJ269" i="25"/>
  <c r="AM269" i="25"/>
  <c r="AX162" i="25"/>
  <c r="AW162" i="25"/>
  <c r="AS61" i="24"/>
  <c r="BL61" i="24"/>
  <c r="AQ61" i="24"/>
  <c r="BJ61" i="24"/>
  <c r="AX61" i="24"/>
  <c r="BW61" i="24"/>
  <c r="BH61" i="24"/>
  <c r="BH135" i="24"/>
  <c r="AX70" i="25"/>
  <c r="AW70" i="25"/>
  <c r="AS79" i="24"/>
  <c r="AQ79" i="24"/>
  <c r="BJ79" i="24"/>
  <c r="BW79" i="24"/>
  <c r="AX79" i="24"/>
  <c r="BH79" i="24"/>
  <c r="AU233" i="24"/>
  <c r="BB233" i="24" s="1"/>
  <c r="AW233" i="24"/>
  <c r="AS220" i="24"/>
  <c r="BL220" i="24"/>
  <c r="BJ220" i="24"/>
  <c r="AQ220" i="24"/>
  <c r="AX220" i="24"/>
  <c r="BH220" i="24"/>
  <c r="BW220" i="24"/>
  <c r="BU220" i="24"/>
  <c r="AJ220" i="25"/>
  <c r="AM220" i="25"/>
  <c r="BG220" i="25" s="1"/>
  <c r="BL230" i="24"/>
  <c r="AS230" i="24"/>
  <c r="BJ230" i="24"/>
  <c r="AQ230" i="24"/>
  <c r="BW230" i="24"/>
  <c r="BU230" i="24"/>
  <c r="AX230" i="24"/>
  <c r="BH230" i="24"/>
  <c r="AJ200" i="25"/>
  <c r="AM200" i="25"/>
  <c r="BG200" i="25" s="1"/>
  <c r="BA279" i="24"/>
  <c r="BA126" i="24"/>
  <c r="AX290" i="24"/>
  <c r="AW116" i="25"/>
  <c r="AX116" i="25"/>
  <c r="BU263" i="24"/>
  <c r="BU267" i="24"/>
  <c r="BU155" i="24"/>
  <c r="AX99" i="25"/>
  <c r="AW99" i="25"/>
  <c r="BW253" i="24"/>
  <c r="AS193" i="24"/>
  <c r="AQ193" i="24"/>
  <c r="BJ193" i="24"/>
  <c r="AX193" i="24"/>
  <c r="BH193" i="24"/>
  <c r="BW193" i="24"/>
  <c r="BU193" i="24"/>
  <c r="AS224" i="24"/>
  <c r="AU224" i="24" s="1"/>
  <c r="BB224" i="24" s="1"/>
  <c r="AQ224" i="24"/>
  <c r="BJ224" i="24"/>
  <c r="AX159" i="25"/>
  <c r="AW159" i="25"/>
  <c r="BW248" i="24"/>
  <c r="AS235" i="24"/>
  <c r="AU235" i="24" s="1"/>
  <c r="BB235" i="24" s="1"/>
  <c r="AQ235" i="24"/>
  <c r="BJ235" i="24"/>
  <c r="AW120" i="25"/>
  <c r="AX120" i="25"/>
  <c r="AS261" i="24"/>
  <c r="AU261" i="24" s="1"/>
  <c r="BB261" i="24" s="1"/>
  <c r="AQ261" i="24"/>
  <c r="BJ261" i="24"/>
  <c r="BJ131" i="25"/>
  <c r="AR131" i="25"/>
  <c r="BH131" i="25"/>
  <c r="AP131" i="25"/>
  <c r="BF131" i="25"/>
  <c r="BW131" i="25"/>
  <c r="BU131" i="25"/>
  <c r="BA258" i="24"/>
  <c r="BA54" i="24"/>
  <c r="BA24" i="24"/>
  <c r="BA280" i="24"/>
  <c r="AW137" i="25"/>
  <c r="AX137" i="25"/>
  <c r="BA128" i="24"/>
  <c r="BA283" i="24"/>
  <c r="AJ55" i="25"/>
  <c r="AM55" i="25"/>
  <c r="AJ217" i="25"/>
  <c r="AM217" i="25"/>
  <c r="BG217" i="25" s="1"/>
  <c r="BA228" i="24"/>
  <c r="AR282" i="25"/>
  <c r="BJ282" i="25"/>
  <c r="AP282" i="25"/>
  <c r="BH282" i="25"/>
  <c r="BF282" i="25"/>
  <c r="BW282" i="25"/>
  <c r="BU282" i="25"/>
  <c r="AS102" i="24"/>
  <c r="BJ102" i="24"/>
  <c r="AQ102" i="24"/>
  <c r="AX102" i="24"/>
  <c r="BW102" i="24"/>
  <c r="BH102" i="24"/>
  <c r="AS249" i="24"/>
  <c r="AU249" i="24" s="1"/>
  <c r="BB249" i="24" s="1"/>
  <c r="BJ249" i="24"/>
  <c r="AQ249" i="24"/>
  <c r="BH280" i="25"/>
  <c r="BF280" i="25"/>
  <c r="BU280" i="25"/>
  <c r="BW280" i="25"/>
  <c r="AS203" i="24"/>
  <c r="BJ203" i="24"/>
  <c r="AQ203" i="24"/>
  <c r="BU203" i="24"/>
  <c r="BW203" i="24"/>
  <c r="AX203" i="24"/>
  <c r="BH203" i="24"/>
  <c r="AJ8" i="25"/>
  <c r="AM8" i="25"/>
  <c r="BG8" i="25" s="1"/>
  <c r="BA19" i="24"/>
  <c r="AS208" i="24"/>
  <c r="AQ208" i="24"/>
  <c r="BJ208" i="24"/>
  <c r="AX208" i="24"/>
  <c r="BH208" i="24"/>
  <c r="BW208" i="24"/>
  <c r="BU208" i="24"/>
  <c r="AM194" i="25"/>
  <c r="AJ194" i="25"/>
  <c r="BA299" i="24"/>
  <c r="AJ297" i="25"/>
  <c r="AM297" i="25"/>
  <c r="BG297" i="25" s="1"/>
  <c r="AX149" i="25"/>
  <c r="AW149" i="25"/>
  <c r="AM184" i="25"/>
  <c r="AJ184" i="25"/>
  <c r="BA26" i="24"/>
  <c r="AS306" i="24"/>
  <c r="BJ306" i="24"/>
  <c r="AQ306" i="24"/>
  <c r="AX306" i="24"/>
  <c r="BH306" i="24"/>
  <c r="BU306" i="24"/>
  <c r="BW306" i="24"/>
  <c r="BA148" i="24"/>
  <c r="AJ286" i="25"/>
  <c r="AM286" i="25"/>
  <c r="BW28" i="24"/>
  <c r="AS40" i="24"/>
  <c r="BJ40" i="24"/>
  <c r="AQ40" i="24"/>
  <c r="AX40" i="24"/>
  <c r="BH40" i="24"/>
  <c r="BW40" i="24"/>
  <c r="BA112" i="24"/>
  <c r="AX142" i="25"/>
  <c r="AW142" i="25"/>
  <c r="BL250" i="24"/>
  <c r="AS250" i="24"/>
  <c r="AQ250" i="24"/>
  <c r="BJ250" i="24"/>
  <c r="BW250" i="24"/>
  <c r="AX250" i="24"/>
  <c r="BH250" i="24"/>
  <c r="BU250" i="24"/>
  <c r="AM209" i="25"/>
  <c r="BG209" i="25" s="1"/>
  <c r="AJ209" i="25"/>
  <c r="AX151" i="25"/>
  <c r="AW151" i="25"/>
  <c r="BA147" i="24"/>
  <c r="AX184" i="25"/>
  <c r="AW184" i="25"/>
  <c r="AX69" i="25"/>
  <c r="AW69" i="25"/>
  <c r="BL225" i="24"/>
  <c r="AS225" i="24"/>
  <c r="AU225" i="24" s="1"/>
  <c r="BB225" i="24" s="1"/>
  <c r="AQ225" i="24"/>
  <c r="BJ225" i="24"/>
  <c r="AR192" i="25"/>
  <c r="AP192" i="25"/>
  <c r="BH192" i="25"/>
  <c r="BF192" i="25"/>
  <c r="BW192" i="25"/>
  <c r="BU192" i="25"/>
  <c r="AU45" i="24"/>
  <c r="BB45" i="24" s="1"/>
  <c r="AW45" i="24"/>
  <c r="BW249" i="24"/>
  <c r="AJ193" i="25"/>
  <c r="AM193" i="25"/>
  <c r="BG193" i="25" s="1"/>
  <c r="AJ128" i="25"/>
  <c r="AM128" i="25"/>
  <c r="BG128" i="25" s="1"/>
  <c r="BL177" i="24"/>
  <c r="AS177" i="24"/>
  <c r="BJ177" i="24"/>
  <c r="AQ177" i="24"/>
  <c r="BH177" i="24"/>
  <c r="BU177" i="24"/>
  <c r="BW177" i="24"/>
  <c r="AX177" i="24"/>
  <c r="AS127" i="24"/>
  <c r="BJ127" i="24"/>
  <c r="AQ127" i="24"/>
  <c r="BW127" i="24"/>
  <c r="BU127" i="24"/>
  <c r="AX127" i="24"/>
  <c r="BH127" i="24"/>
  <c r="AM105" i="25"/>
  <c r="BG105" i="25" s="1"/>
  <c r="AJ105" i="25"/>
  <c r="AJ15" i="25"/>
  <c r="AM15" i="25"/>
  <c r="BG15" i="25" s="1"/>
  <c r="AJ74" i="25"/>
  <c r="AM74" i="25"/>
  <c r="AS210" i="24"/>
  <c r="BJ210" i="24"/>
  <c r="AQ210" i="24"/>
  <c r="BU210" i="24"/>
  <c r="AX210" i="24"/>
  <c r="BH210" i="24"/>
  <c r="BW210" i="24"/>
  <c r="AS42" i="24"/>
  <c r="BJ42" i="24"/>
  <c r="AQ42" i="24"/>
  <c r="AX42" i="24"/>
  <c r="BH42" i="24"/>
  <c r="BW42" i="24"/>
  <c r="BW12" i="24"/>
  <c r="AM80" i="25"/>
  <c r="AJ80" i="25"/>
  <c r="AS6" i="24"/>
  <c r="AU6" i="24" s="1"/>
  <c r="BB6" i="24" s="1"/>
  <c r="BL6" i="24"/>
  <c r="BJ6" i="24"/>
  <c r="AQ6" i="24"/>
  <c r="AS223" i="24"/>
  <c r="BL223" i="24"/>
  <c r="BJ223" i="24"/>
  <c r="AQ223" i="24"/>
  <c r="AX223" i="24"/>
  <c r="BH223" i="24"/>
  <c r="BW223" i="24"/>
  <c r="BU223" i="24"/>
  <c r="BU296" i="24"/>
  <c r="AX81" i="25"/>
  <c r="AW81" i="25"/>
  <c r="AM311" i="25"/>
  <c r="AJ311" i="25"/>
  <c r="AJ7" i="25"/>
  <c r="AM7" i="25"/>
  <c r="BG7" i="25" s="1"/>
  <c r="BL149" i="24"/>
  <c r="AS149" i="24"/>
  <c r="BJ149" i="24"/>
  <c r="AQ149" i="24"/>
  <c r="BH149" i="24"/>
  <c r="BU149" i="24"/>
  <c r="BW149" i="24"/>
  <c r="AX149" i="24"/>
  <c r="AM19" i="25"/>
  <c r="BG19" i="25" s="1"/>
  <c r="AJ19" i="25"/>
  <c r="AM168" i="25"/>
  <c r="AJ168" i="25"/>
  <c r="BA34" i="24"/>
  <c r="AX210" i="25"/>
  <c r="AW210" i="25"/>
  <c r="AR229" i="25"/>
  <c r="BJ229" i="25"/>
  <c r="BH229" i="25"/>
  <c r="AP229" i="25"/>
  <c r="BF229" i="25"/>
  <c r="BU229" i="25"/>
  <c r="BW229" i="25"/>
  <c r="AJ135" i="25"/>
  <c r="AM135" i="25"/>
  <c r="AX144" i="25"/>
  <c r="AW144" i="25"/>
  <c r="AM90" i="25"/>
  <c r="AJ90" i="25"/>
  <c r="AX176" i="25"/>
  <c r="AW176" i="25"/>
  <c r="AX133" i="24"/>
  <c r="BU117" i="24"/>
  <c r="AS301" i="24"/>
  <c r="AU301" i="24" s="1"/>
  <c r="BB301" i="24" s="1"/>
  <c r="AQ301" i="24"/>
  <c r="BJ301" i="24"/>
  <c r="AS196" i="24"/>
  <c r="BL196" i="24"/>
  <c r="BJ196" i="24"/>
  <c r="AQ196" i="24"/>
  <c r="BH196" i="24"/>
  <c r="BU196" i="24"/>
  <c r="BW196" i="24"/>
  <c r="AX196" i="24"/>
  <c r="AJ124" i="25"/>
  <c r="AM124" i="25"/>
  <c r="BG124" i="25" s="1"/>
  <c r="BA224" i="24"/>
  <c r="AJ266" i="25"/>
  <c r="AM266" i="25"/>
  <c r="BG266" i="25" s="1"/>
  <c r="AX266" i="24"/>
  <c r="AJ43" i="25"/>
  <c r="AM43" i="25"/>
  <c r="BG43" i="25" s="1"/>
  <c r="BA240" i="24"/>
  <c r="AR240" i="25"/>
  <c r="BJ240" i="25"/>
  <c r="BH240" i="25"/>
  <c r="AP240" i="25"/>
  <c r="BF240" i="25"/>
  <c r="BW240" i="25"/>
  <c r="BU240" i="25"/>
  <c r="BL62" i="24"/>
  <c r="AS62" i="24"/>
  <c r="AQ62" i="24"/>
  <c r="BJ62" i="24"/>
  <c r="AX62" i="24"/>
  <c r="BW62" i="24"/>
  <c r="BH62" i="24"/>
  <c r="AJ91" i="25"/>
  <c r="AM91" i="25"/>
  <c r="BG91" i="25" s="1"/>
  <c r="BA265" i="24"/>
  <c r="AX18" i="25"/>
  <c r="AW18" i="25"/>
  <c r="AS156" i="24"/>
  <c r="BJ156" i="24"/>
  <c r="AQ156" i="24"/>
  <c r="BH156" i="24"/>
  <c r="BU156" i="24"/>
  <c r="BW156" i="24"/>
  <c r="AX156" i="24"/>
  <c r="AW90" i="25"/>
  <c r="AX90" i="25"/>
  <c r="AW112" i="25"/>
  <c r="AX112" i="25"/>
  <c r="AJ102" i="25"/>
  <c r="AM102" i="25"/>
  <c r="BG102" i="25" s="1"/>
  <c r="BW111" i="24"/>
  <c r="AW63" i="25"/>
  <c r="AX63" i="25"/>
  <c r="BH305" i="24"/>
  <c r="AJ239" i="25"/>
  <c r="AM239" i="25"/>
  <c r="BG239" i="25" s="1"/>
  <c r="AW42" i="25"/>
  <c r="AX42" i="25"/>
  <c r="BL303" i="24"/>
  <c r="AS303" i="24"/>
  <c r="BJ303" i="24"/>
  <c r="AQ303" i="24"/>
  <c r="AX303" i="24"/>
  <c r="BH303" i="24"/>
  <c r="BW303" i="24"/>
  <c r="BU303" i="24"/>
  <c r="AS274" i="24"/>
  <c r="AU274" i="24" s="1"/>
  <c r="BB274" i="24" s="1"/>
  <c r="AQ274" i="24"/>
  <c r="BJ274" i="24"/>
  <c r="AJ244" i="25"/>
  <c r="AM244" i="25"/>
  <c r="BG244" i="25" s="1"/>
  <c r="BU225" i="24"/>
  <c r="BW295" i="24"/>
  <c r="AS126" i="24"/>
  <c r="AU126" i="24" s="1"/>
  <c r="BB126" i="24" s="1"/>
  <c r="BL126" i="24"/>
  <c r="BJ126" i="24"/>
  <c r="AQ126" i="24"/>
  <c r="AX54" i="25"/>
  <c r="AW54" i="25"/>
  <c r="AS17" i="24"/>
  <c r="AU17" i="24" s="1"/>
  <c r="BB17" i="24" s="1"/>
  <c r="BL17" i="24"/>
  <c r="BJ17" i="24"/>
  <c r="AQ17" i="24"/>
  <c r="AX135" i="24"/>
  <c r="AJ125" i="25"/>
  <c r="AM125" i="25"/>
  <c r="BU121" i="24"/>
  <c r="AS175" i="24"/>
  <c r="BL175" i="24"/>
  <c r="AQ175" i="24"/>
  <c r="BJ175" i="24"/>
  <c r="BW175" i="24"/>
  <c r="BU175" i="24"/>
  <c r="AX175" i="24"/>
  <c r="BH175" i="24"/>
  <c r="BL234" i="24"/>
  <c r="AS234" i="24"/>
  <c r="AQ234" i="24"/>
  <c r="BJ234" i="24"/>
  <c r="AX234" i="24"/>
  <c r="BH234" i="24"/>
  <c r="BU234" i="24"/>
  <c r="BW234" i="24"/>
  <c r="AS83" i="24"/>
  <c r="BJ83" i="24"/>
  <c r="AQ83" i="24"/>
  <c r="AX83" i="24"/>
  <c r="BW83" i="24"/>
  <c r="BH83" i="24"/>
  <c r="AX136" i="25"/>
  <c r="AW136" i="25"/>
  <c r="AM57" i="25"/>
  <c r="AJ57" i="25"/>
  <c r="AX127" i="25"/>
  <c r="AW127" i="25"/>
  <c r="BU279" i="24"/>
  <c r="BU126" i="24"/>
  <c r="BH145" i="24"/>
  <c r="AS25" i="24"/>
  <c r="AQ25" i="24"/>
  <c r="BJ25" i="24"/>
  <c r="BW25" i="24"/>
  <c r="AX25" i="24"/>
  <c r="BH25" i="24"/>
  <c r="AX9" i="24"/>
  <c r="AR92" i="25"/>
  <c r="AP92" i="25"/>
  <c r="BH92" i="25"/>
  <c r="BF92" i="25"/>
  <c r="BU92" i="25"/>
  <c r="BW92" i="25"/>
  <c r="BW267" i="24"/>
  <c r="BW282" i="24"/>
  <c r="BW155" i="24"/>
  <c r="AX196" i="25"/>
  <c r="AW196" i="25"/>
  <c r="BU253" i="24"/>
  <c r="AW12" i="25"/>
  <c r="AX12" i="25"/>
  <c r="AR257" i="25"/>
  <c r="BJ257" i="25"/>
  <c r="BH257" i="25"/>
  <c r="AP257" i="25"/>
  <c r="BW257" i="25"/>
  <c r="BU257" i="25"/>
  <c r="BF257" i="25"/>
  <c r="BA232" i="24"/>
  <c r="AX202" i="25"/>
  <c r="AW202" i="25"/>
  <c r="AS128" i="24"/>
  <c r="AU128" i="24" s="1"/>
  <c r="BB128" i="24" s="1"/>
  <c r="AQ128" i="24"/>
  <c r="BJ128" i="24"/>
  <c r="AP280" i="25" l="1"/>
  <c r="BG57" i="25"/>
  <c r="CE57" i="25"/>
  <c r="BG112" i="25"/>
  <c r="CE112" i="25"/>
  <c r="BG219" i="25"/>
  <c r="BJ219" i="25" s="1"/>
  <c r="CE219" i="25"/>
  <c r="CE270" i="25"/>
  <c r="BG270" i="25"/>
  <c r="BJ270" i="25" s="1"/>
  <c r="CE274" i="25"/>
  <c r="BG274" i="25"/>
  <c r="BJ274" i="25" s="1"/>
  <c r="AP194" i="25"/>
  <c r="BG194" i="25"/>
  <c r="BJ194" i="25" s="1"/>
  <c r="CE313" i="25"/>
  <c r="BG313" i="25"/>
  <c r="BJ313" i="25" s="1"/>
  <c r="CE116" i="25"/>
  <c r="BG116" i="25"/>
  <c r="BJ116" i="25" s="1"/>
  <c r="CE287" i="25"/>
  <c r="BG287" i="25"/>
  <c r="BJ287" i="25" s="1"/>
  <c r="CE228" i="25"/>
  <c r="BG228" i="25"/>
  <c r="BJ228" i="25" s="1"/>
  <c r="CE307" i="25"/>
  <c r="BG307" i="25"/>
  <c r="BJ307" i="25" s="1"/>
  <c r="CE316" i="25"/>
  <c r="BG316" i="25"/>
  <c r="BJ316" i="25" s="1"/>
  <c r="CE184" i="25"/>
  <c r="BG184" i="25"/>
  <c r="BJ184" i="25" s="1"/>
  <c r="CE182" i="25"/>
  <c r="BG182" i="25"/>
  <c r="BJ182" i="25" s="1"/>
  <c r="CE175" i="25"/>
  <c r="BG175" i="25"/>
  <c r="CE152" i="25"/>
  <c r="BG152" i="25"/>
  <c r="BJ152" i="25" s="1"/>
  <c r="CE164" i="25"/>
  <c r="BG164" i="25"/>
  <c r="BJ164" i="25" s="1"/>
  <c r="CE221" i="25"/>
  <c r="BG221" i="25"/>
  <c r="BJ221" i="25" s="1"/>
  <c r="BH265" i="25"/>
  <c r="BG265" i="25"/>
  <c r="BJ265" i="25" s="1"/>
  <c r="CE125" i="25"/>
  <c r="BG125" i="25"/>
  <c r="BJ125" i="25" s="1"/>
  <c r="CE300" i="25"/>
  <c r="BG300" i="25"/>
  <c r="BJ300" i="25" s="1"/>
  <c r="CE160" i="25"/>
  <c r="BG160" i="25"/>
  <c r="BJ160" i="25" s="1"/>
  <c r="CE163" i="25"/>
  <c r="BG163" i="25"/>
  <c r="BJ163" i="25" s="1"/>
  <c r="CE302" i="25"/>
  <c r="BG302" i="25"/>
  <c r="BJ302" i="25" s="1"/>
  <c r="CE309" i="25"/>
  <c r="BG309" i="25"/>
  <c r="BJ309" i="25" s="1"/>
  <c r="CE153" i="25"/>
  <c r="BG153" i="25"/>
  <c r="BJ153" i="25" s="1"/>
  <c r="CE235" i="25"/>
  <c r="BG235" i="25"/>
  <c r="BJ235" i="25" s="1"/>
  <c r="CE218" i="25"/>
  <c r="BG218" i="25"/>
  <c r="BJ218" i="25" s="1"/>
  <c r="CE156" i="25"/>
  <c r="BG156" i="25"/>
  <c r="BJ156" i="25" s="1"/>
  <c r="CE135" i="25"/>
  <c r="BG135" i="25"/>
  <c r="BJ135" i="25" s="1"/>
  <c r="AP195" i="25"/>
  <c r="BG195" i="25"/>
  <c r="BJ195" i="25" s="1"/>
  <c r="CE284" i="25"/>
  <c r="BG284" i="25"/>
  <c r="BJ284" i="25" s="1"/>
  <c r="CE245" i="25"/>
  <c r="BG245" i="25"/>
  <c r="BJ245" i="25" s="1"/>
  <c r="CE172" i="25"/>
  <c r="BG172" i="25"/>
  <c r="BJ172" i="25" s="1"/>
  <c r="CE180" i="25"/>
  <c r="BG180" i="25"/>
  <c r="BJ180" i="25" s="1"/>
  <c r="CE130" i="25"/>
  <c r="BG130" i="25"/>
  <c r="BJ130" i="25" s="1"/>
  <c r="CE151" i="25"/>
  <c r="BG151" i="25"/>
  <c r="BJ151" i="25" s="1"/>
  <c r="CE168" i="25"/>
  <c r="BG168" i="25"/>
  <c r="BJ168" i="25" s="1"/>
  <c r="CE269" i="25"/>
  <c r="BG269" i="25"/>
  <c r="BJ269" i="25" s="1"/>
  <c r="CE295" i="25"/>
  <c r="BG295" i="25"/>
  <c r="BJ295" i="25" s="1"/>
  <c r="CE159" i="25"/>
  <c r="BG159" i="25"/>
  <c r="BJ159" i="25" s="1"/>
  <c r="CE162" i="25"/>
  <c r="BG162" i="25"/>
  <c r="BJ162" i="25" s="1"/>
  <c r="CE138" i="25"/>
  <c r="BG138" i="25"/>
  <c r="BJ138" i="25" s="1"/>
  <c r="CE183" i="25"/>
  <c r="BG183" i="25"/>
  <c r="BJ183" i="25" s="1"/>
  <c r="CE279" i="25"/>
  <c r="BG279" i="25"/>
  <c r="CE310" i="25"/>
  <c r="BG310" i="25"/>
  <c r="BJ310" i="25" s="1"/>
  <c r="CE272" i="25"/>
  <c r="BG272" i="25"/>
  <c r="BJ272" i="25" s="1"/>
  <c r="CE280" i="25"/>
  <c r="BG280" i="25"/>
  <c r="BJ280" i="25" s="1"/>
  <c r="CE268" i="25"/>
  <c r="BG268" i="25"/>
  <c r="BJ268" i="25" s="1"/>
  <c r="CE242" i="25"/>
  <c r="BG242" i="25"/>
  <c r="BJ242" i="25" s="1"/>
  <c r="CE286" i="25"/>
  <c r="BG286" i="25"/>
  <c r="BJ286" i="25" s="1"/>
  <c r="CE223" i="25"/>
  <c r="BG223" i="25"/>
  <c r="BJ223" i="25" s="1"/>
  <c r="CE165" i="25"/>
  <c r="BG165" i="25"/>
  <c r="BJ165" i="25" s="1"/>
  <c r="BF258" i="25"/>
  <c r="BG258" i="25"/>
  <c r="BJ258" i="25" s="1"/>
  <c r="CE176" i="25"/>
  <c r="BG176" i="25"/>
  <c r="BJ176" i="25" s="1"/>
  <c r="CE115" i="25"/>
  <c r="BG115" i="25"/>
  <c r="BJ115" i="25" s="1"/>
  <c r="CE169" i="25"/>
  <c r="BG169" i="25"/>
  <c r="BJ169" i="25" s="1"/>
  <c r="CE117" i="25"/>
  <c r="BG117" i="25"/>
  <c r="BJ117" i="25" s="1"/>
  <c r="CE294" i="25"/>
  <c r="BG294" i="25"/>
  <c r="BJ294" i="25" s="1"/>
  <c r="AP197" i="25"/>
  <c r="BG197" i="25"/>
  <c r="BJ197" i="25" s="1"/>
  <c r="CE185" i="25"/>
  <c r="BG185" i="25"/>
  <c r="BJ185" i="25" s="1"/>
  <c r="CE171" i="25"/>
  <c r="BG171" i="25"/>
  <c r="BJ171" i="25" s="1"/>
  <c r="CE121" i="25"/>
  <c r="BG121" i="25"/>
  <c r="BJ121" i="25" s="1"/>
  <c r="CE132" i="25"/>
  <c r="BG132" i="25"/>
  <c r="BJ132" i="25" s="1"/>
  <c r="CE181" i="25"/>
  <c r="BG181" i="25"/>
  <c r="BJ181" i="25" s="1"/>
  <c r="CE311" i="25"/>
  <c r="BG311" i="25"/>
  <c r="BJ311" i="25" s="1"/>
  <c r="CE303" i="25"/>
  <c r="BG303" i="25"/>
  <c r="BJ303" i="25" s="1"/>
  <c r="CE191" i="25"/>
  <c r="BG191" i="25"/>
  <c r="BJ191" i="25" s="1"/>
  <c r="CE111" i="25"/>
  <c r="BG111" i="25"/>
  <c r="BJ111" i="25" s="1"/>
  <c r="CE166" i="25"/>
  <c r="BG166" i="25"/>
  <c r="BJ166" i="25" s="1"/>
  <c r="CE74" i="25"/>
  <c r="BG74" i="25"/>
  <c r="BJ74" i="25" s="1"/>
  <c r="CE88" i="25"/>
  <c r="BG88" i="25"/>
  <c r="BJ88" i="25" s="1"/>
  <c r="CE64" i="25"/>
  <c r="BG64" i="25"/>
  <c r="BJ64" i="25" s="1"/>
  <c r="CE86" i="25"/>
  <c r="BG86" i="25"/>
  <c r="BJ86" i="25" s="1"/>
  <c r="BU11" i="25"/>
  <c r="BG11" i="25"/>
  <c r="BJ11" i="25" s="1"/>
  <c r="CE45" i="25"/>
  <c r="BG45" i="25"/>
  <c r="BJ45" i="25" s="1"/>
  <c r="CE72" i="25"/>
  <c r="BG72" i="25"/>
  <c r="BJ72" i="25" s="1"/>
  <c r="CE60" i="25"/>
  <c r="BG60" i="25"/>
  <c r="BJ60" i="25" s="1"/>
  <c r="CE79" i="25"/>
  <c r="BG79" i="25"/>
  <c r="BJ79" i="25" s="1"/>
  <c r="CE55" i="25"/>
  <c r="BG55" i="25"/>
  <c r="BJ55" i="25" s="1"/>
  <c r="AP100" i="25"/>
  <c r="BG100" i="25"/>
  <c r="BJ100" i="25" s="1"/>
  <c r="CE65" i="25"/>
  <c r="BG65" i="25"/>
  <c r="BJ65" i="25" s="1"/>
  <c r="AP97" i="25"/>
  <c r="BG97" i="25"/>
  <c r="BJ97" i="25" s="1"/>
  <c r="CE56" i="25"/>
  <c r="BG56" i="25"/>
  <c r="BJ56" i="25" s="1"/>
  <c r="CE81" i="25"/>
  <c r="BG81" i="25"/>
  <c r="BJ81" i="25" s="1"/>
  <c r="CE77" i="25"/>
  <c r="BG77" i="25"/>
  <c r="BJ77" i="25" s="1"/>
  <c r="CE27" i="25"/>
  <c r="BG27" i="25"/>
  <c r="BJ27" i="25" s="1"/>
  <c r="CE10" i="25"/>
  <c r="BG10" i="25"/>
  <c r="BJ10" i="25" s="1"/>
  <c r="AP99" i="25"/>
  <c r="BG99" i="25"/>
  <c r="BJ99" i="25" s="1"/>
  <c r="CE80" i="25"/>
  <c r="BG80" i="25"/>
  <c r="BJ80" i="25" s="1"/>
  <c r="CE90" i="25"/>
  <c r="BG90" i="25"/>
  <c r="BJ90" i="25" s="1"/>
  <c r="CE22" i="25"/>
  <c r="BG22" i="25"/>
  <c r="BJ22" i="25" s="1"/>
  <c r="AP103" i="25"/>
  <c r="BG103" i="25"/>
  <c r="BJ103" i="25" s="1"/>
  <c r="CE52" i="25"/>
  <c r="BG52" i="25"/>
  <c r="BJ52" i="25" s="1"/>
  <c r="BG104" i="25"/>
  <c r="BJ104" i="25" s="1"/>
  <c r="BH11" i="25"/>
  <c r="AP11" i="25"/>
  <c r="AR11" i="25"/>
  <c r="AT11" i="25" s="1"/>
  <c r="AY11" i="25" s="1"/>
  <c r="BW11" i="25"/>
  <c r="BF11" i="25"/>
  <c r="BW96" i="25"/>
  <c r="CE96" i="25"/>
  <c r="AP205" i="25"/>
  <c r="CE205" i="25"/>
  <c r="AP200" i="25"/>
  <c r="CE200" i="25"/>
  <c r="AP193" i="25"/>
  <c r="CE193" i="25"/>
  <c r="BU96" i="25"/>
  <c r="AP96" i="25"/>
  <c r="BH96" i="25"/>
  <c r="BJ96" i="25"/>
  <c r="AR96" i="25"/>
  <c r="AU96" i="25" s="1"/>
  <c r="BF96" i="25"/>
  <c r="AP101" i="25"/>
  <c r="CE101" i="25"/>
  <c r="AP98" i="25"/>
  <c r="CE98" i="25"/>
  <c r="AP179" i="25"/>
  <c r="CE179" i="25"/>
  <c r="AP203" i="25"/>
  <c r="CE203" i="25"/>
  <c r="AP104" i="25"/>
  <c r="CE104" i="25"/>
  <c r="AP202" i="25"/>
  <c r="CE202" i="25"/>
  <c r="BF104" i="25"/>
  <c r="BH104" i="25"/>
  <c r="AR104" i="25"/>
  <c r="AU104" i="25" s="1"/>
  <c r="BW104" i="25"/>
  <c r="BU104" i="25"/>
  <c r="BW154" i="25"/>
  <c r="CE154" i="25"/>
  <c r="BU258" i="25"/>
  <c r="AP258" i="25"/>
  <c r="AP196" i="25"/>
  <c r="CE196" i="25"/>
  <c r="BU97" i="25"/>
  <c r="BW97" i="25"/>
  <c r="BH97" i="25"/>
  <c r="AP105" i="25"/>
  <c r="B19" i="29" s="1"/>
  <c r="CE105" i="25"/>
  <c r="AR97" i="25"/>
  <c r="AT97" i="25" s="1"/>
  <c r="AY97" i="25" s="1"/>
  <c r="BF97" i="25"/>
  <c r="BW258" i="25"/>
  <c r="BH258" i="25"/>
  <c r="AR258" i="25"/>
  <c r="AU258" i="25" s="1"/>
  <c r="AP207" i="25"/>
  <c r="CE207" i="25"/>
  <c r="AP209" i="25"/>
  <c r="CE209" i="25"/>
  <c r="BF154" i="25"/>
  <c r="BH179" i="25"/>
  <c r="BH154" i="25"/>
  <c r="BJ179" i="25"/>
  <c r="AP154" i="25"/>
  <c r="AR179" i="25"/>
  <c r="AU179" i="25" s="1"/>
  <c r="BJ154" i="25"/>
  <c r="AR154" i="25"/>
  <c r="AT154" i="25" s="1"/>
  <c r="AY154" i="25" s="1"/>
  <c r="BU179" i="25"/>
  <c r="BW179" i="25"/>
  <c r="BU154" i="25"/>
  <c r="BF179" i="25"/>
  <c r="BE292" i="24"/>
  <c r="BT292" i="24" s="1"/>
  <c r="AW147" i="24"/>
  <c r="BE147" i="24" s="1"/>
  <c r="BT147" i="24" s="1"/>
  <c r="AW219" i="24"/>
  <c r="AY219" i="24" s="1"/>
  <c r="AZ219" i="24" s="1"/>
  <c r="AP208" i="25"/>
  <c r="CE208" i="25"/>
  <c r="BW265" i="25"/>
  <c r="AW283" i="24"/>
  <c r="AY283" i="24" s="1"/>
  <c r="AZ283" i="24" s="1"/>
  <c r="AW260" i="24"/>
  <c r="BD260" i="24" s="1"/>
  <c r="AW240" i="24"/>
  <c r="BD240" i="24" s="1"/>
  <c r="AR265" i="25"/>
  <c r="AT265" i="25" s="1"/>
  <c r="AW18" i="24"/>
  <c r="BE18" i="24" s="1"/>
  <c r="BT18" i="24" s="1"/>
  <c r="BU265" i="25"/>
  <c r="AW242" i="24"/>
  <c r="AY242" i="24" s="1"/>
  <c r="AZ242" i="24" s="1"/>
  <c r="BF265" i="25"/>
  <c r="AP265" i="25"/>
  <c r="AW19" i="24"/>
  <c r="BD19" i="24" s="1"/>
  <c r="AW135" i="24"/>
  <c r="BD135" i="24" s="1"/>
  <c r="AW120" i="24"/>
  <c r="AY120" i="24" s="1"/>
  <c r="AZ120" i="24" s="1"/>
  <c r="AW259" i="24"/>
  <c r="BD259" i="24" s="1"/>
  <c r="AY292" i="24"/>
  <c r="AZ292" i="24" s="1"/>
  <c r="AP102" i="25"/>
  <c r="CE102" i="25"/>
  <c r="AW121" i="24"/>
  <c r="AY121" i="24" s="1"/>
  <c r="AZ121" i="24" s="1"/>
  <c r="AW265" i="24"/>
  <c r="AY265" i="24" s="1"/>
  <c r="AZ265" i="24" s="1"/>
  <c r="AW279" i="24"/>
  <c r="BE279" i="24" s="1"/>
  <c r="BT279" i="24" s="1"/>
  <c r="AW111" i="24"/>
  <c r="BD111" i="24" s="1"/>
  <c r="AW296" i="24"/>
  <c r="AY296" i="24" s="1"/>
  <c r="AZ296" i="24" s="1"/>
  <c r="AW26" i="24"/>
  <c r="AY26" i="24" s="1"/>
  <c r="AZ26" i="24" s="1"/>
  <c r="BF237" i="25"/>
  <c r="AR237" i="25"/>
  <c r="BJ237" i="25"/>
  <c r="AP237" i="25"/>
  <c r="BH237" i="25"/>
  <c r="BU237" i="25"/>
  <c r="BW237" i="25"/>
  <c r="V212" i="25"/>
  <c r="X212" i="25" s="1"/>
  <c r="AD212" i="25"/>
  <c r="W212" i="25"/>
  <c r="Z212" i="25" s="1"/>
  <c r="AA212" i="25" s="1"/>
  <c r="AB212" i="25" s="1"/>
  <c r="AI212" i="25" s="1"/>
  <c r="AW34" i="24"/>
  <c r="AY34" i="24" s="1"/>
  <c r="AZ34" i="24" s="1"/>
  <c r="AW152" i="24"/>
  <c r="AY152" i="24" s="1"/>
  <c r="AZ152" i="24" s="1"/>
  <c r="AP210" i="25"/>
  <c r="CE210" i="25"/>
  <c r="BH77" i="25"/>
  <c r="AP77" i="25"/>
  <c r="BF77" i="25"/>
  <c r="BW77" i="25"/>
  <c r="BU77" i="25"/>
  <c r="AR77" i="25"/>
  <c r="AW112" i="24"/>
  <c r="AY112" i="24" s="1"/>
  <c r="AZ112" i="24" s="1"/>
  <c r="AW253" i="24"/>
  <c r="BE253" i="24" s="1"/>
  <c r="BT253" i="24" s="1"/>
  <c r="AW224" i="24"/>
  <c r="BE224" i="24" s="1"/>
  <c r="BT224" i="24" s="1"/>
  <c r="AW247" i="24"/>
  <c r="AY247" i="24" s="1"/>
  <c r="AZ247" i="24" s="1"/>
  <c r="AW28" i="24"/>
  <c r="BE28" i="24" s="1"/>
  <c r="BT28" i="24" s="1"/>
  <c r="AW33" i="24"/>
  <c r="BD33" i="24" s="1"/>
  <c r="L15" i="1"/>
  <c r="AW117" i="24"/>
  <c r="AY117" i="24" s="1"/>
  <c r="AZ117" i="24" s="1"/>
  <c r="AW248" i="24"/>
  <c r="BD248" i="24" s="1"/>
  <c r="AW299" i="24"/>
  <c r="AY299" i="24" s="1"/>
  <c r="AZ299" i="24" s="1"/>
  <c r="AW298" i="24"/>
  <c r="BE298" i="24" s="1"/>
  <c r="BT298" i="24" s="1"/>
  <c r="AW232" i="24"/>
  <c r="BE232" i="24" s="1"/>
  <c r="BT232" i="24" s="1"/>
  <c r="AW228" i="24"/>
  <c r="BE228" i="24" s="1"/>
  <c r="BT228" i="24" s="1"/>
  <c r="AW280" i="24"/>
  <c r="BE280" i="24" s="1"/>
  <c r="BT280" i="24" s="1"/>
  <c r="AW54" i="24"/>
  <c r="BE54" i="24" s="1"/>
  <c r="BT54" i="24" s="1"/>
  <c r="AW6" i="24"/>
  <c r="BD6" i="24" s="1"/>
  <c r="AW12" i="24"/>
  <c r="BE12" i="24" s="1"/>
  <c r="BT12" i="24" s="1"/>
  <c r="AW148" i="24"/>
  <c r="BE148" i="24" s="1"/>
  <c r="BT148" i="24" s="1"/>
  <c r="AW295" i="24"/>
  <c r="AY295" i="24" s="1"/>
  <c r="AZ295" i="24" s="1"/>
  <c r="AW20" i="24"/>
  <c r="BE20" i="24" s="1"/>
  <c r="BT20" i="24" s="1"/>
  <c r="AW238" i="24"/>
  <c r="AY238" i="24" s="1"/>
  <c r="AZ238" i="24" s="1"/>
  <c r="AW130" i="24"/>
  <c r="AY130" i="24" s="1"/>
  <c r="AZ130" i="24" s="1"/>
  <c r="AW24" i="24"/>
  <c r="BE24" i="24" s="1"/>
  <c r="BT24" i="24" s="1"/>
  <c r="AW282" i="24"/>
  <c r="BE282" i="24" s="1"/>
  <c r="BT282" i="24" s="1"/>
  <c r="AW305" i="24"/>
  <c r="BE305" i="24" s="1"/>
  <c r="BT305" i="24" s="1"/>
  <c r="AW58" i="24"/>
  <c r="BD58" i="24" s="1"/>
  <c r="AR193" i="25"/>
  <c r="BJ193" i="25"/>
  <c r="BH193" i="25"/>
  <c r="BW193" i="25"/>
  <c r="BU193" i="25"/>
  <c r="BF193" i="25"/>
  <c r="AU25" i="24"/>
  <c r="BB25" i="24" s="1"/>
  <c r="AW25" i="24"/>
  <c r="BJ239" i="25"/>
  <c r="AR239" i="25"/>
  <c r="BH239" i="25"/>
  <c r="AP239" i="25"/>
  <c r="BW239" i="25"/>
  <c r="BU239" i="25"/>
  <c r="BF239" i="25"/>
  <c r="AR102" i="25"/>
  <c r="BJ102" i="25"/>
  <c r="BH102" i="25"/>
  <c r="BF102" i="25"/>
  <c r="BW102" i="25"/>
  <c r="BU102" i="25"/>
  <c r="AR90" i="25"/>
  <c r="BH90" i="25"/>
  <c r="AP90" i="25"/>
  <c r="BF90" i="25"/>
  <c r="BW90" i="25"/>
  <c r="BU90" i="25"/>
  <c r="AR19" i="25"/>
  <c r="BJ19" i="25"/>
  <c r="BH19" i="25"/>
  <c r="AP19" i="25"/>
  <c r="BW19" i="25"/>
  <c r="BU19" i="25"/>
  <c r="BF19" i="25"/>
  <c r="AR15" i="25"/>
  <c r="BJ15" i="25"/>
  <c r="BH15" i="25"/>
  <c r="AP15" i="25"/>
  <c r="BF15" i="25"/>
  <c r="BU15" i="25"/>
  <c r="BW15" i="25"/>
  <c r="AU63" i="24"/>
  <c r="BB63" i="24" s="1"/>
  <c r="AW63" i="24"/>
  <c r="AR18" i="25"/>
  <c r="BJ18" i="25"/>
  <c r="BH18" i="25"/>
  <c r="AP18" i="25"/>
  <c r="BF18" i="25"/>
  <c r="BW18" i="25"/>
  <c r="BU18" i="25"/>
  <c r="AR231" i="25"/>
  <c r="BJ231" i="25"/>
  <c r="BH231" i="25"/>
  <c r="AP231" i="25"/>
  <c r="BF231" i="25"/>
  <c r="BU231" i="25"/>
  <c r="BW231" i="25"/>
  <c r="AR249" i="25"/>
  <c r="BJ249" i="25"/>
  <c r="BH249" i="25"/>
  <c r="AP249" i="25"/>
  <c r="BF249" i="25"/>
  <c r="BU249" i="25"/>
  <c r="BW249" i="25"/>
  <c r="BJ43" i="25"/>
  <c r="AR43" i="25"/>
  <c r="BH43" i="25"/>
  <c r="AP43" i="25"/>
  <c r="BF43" i="25"/>
  <c r="BW43" i="25"/>
  <c r="BU43" i="25"/>
  <c r="AR124" i="25"/>
  <c r="BJ124" i="25"/>
  <c r="BH124" i="25"/>
  <c r="AP124" i="25"/>
  <c r="BF124" i="25"/>
  <c r="BW124" i="25"/>
  <c r="BU124" i="25"/>
  <c r="AR8" i="25"/>
  <c r="BJ8" i="25"/>
  <c r="BH8" i="25"/>
  <c r="AP8" i="25"/>
  <c r="BF8" i="25"/>
  <c r="BW8" i="25"/>
  <c r="BU8" i="25"/>
  <c r="AU203" i="24"/>
  <c r="BB203" i="24" s="1"/>
  <c r="AW203" i="24"/>
  <c r="AT280" i="25"/>
  <c r="AU280" i="25"/>
  <c r="AW258" i="24"/>
  <c r="AT131" i="25"/>
  <c r="AY131" i="25" s="1"/>
  <c r="AU131" i="25"/>
  <c r="AU220" i="24"/>
  <c r="BB220" i="24" s="1"/>
  <c r="AW220" i="24"/>
  <c r="AU181" i="24"/>
  <c r="BB181" i="24" s="1"/>
  <c r="AW181" i="24"/>
  <c r="AU100" i="24"/>
  <c r="BB100" i="24" s="1"/>
  <c r="AW100" i="24"/>
  <c r="AR22" i="25"/>
  <c r="BH22" i="25"/>
  <c r="AP22" i="25"/>
  <c r="BF22" i="25"/>
  <c r="BW22" i="25"/>
  <c r="BU22" i="25"/>
  <c r="AU92" i="24"/>
  <c r="BB92" i="24" s="1"/>
  <c r="AW92" i="24"/>
  <c r="AU209" i="24"/>
  <c r="BB209" i="24" s="1"/>
  <c r="AW209" i="24"/>
  <c r="AR12" i="25"/>
  <c r="BJ12" i="25"/>
  <c r="BH12" i="25"/>
  <c r="AP12" i="25"/>
  <c r="BF12" i="25"/>
  <c r="BW12" i="25"/>
  <c r="BU12" i="25"/>
  <c r="AT113" i="25"/>
  <c r="AY113" i="25" s="1"/>
  <c r="AU113" i="25"/>
  <c r="AT114" i="25"/>
  <c r="AY114" i="25" s="1"/>
  <c r="AU114" i="25"/>
  <c r="AU38" i="24"/>
  <c r="BB38" i="24" s="1"/>
  <c r="AW38" i="24"/>
  <c r="AU52" i="24"/>
  <c r="BB52" i="24" s="1"/>
  <c r="AW52" i="24"/>
  <c r="AR119" i="25"/>
  <c r="BJ119" i="25"/>
  <c r="BH119" i="25"/>
  <c r="AP119" i="25"/>
  <c r="BU119" i="25"/>
  <c r="BF119" i="25"/>
  <c r="BW119" i="25"/>
  <c r="AT232" i="25"/>
  <c r="AU232" i="25"/>
  <c r="AR27" i="25"/>
  <c r="BH27" i="25"/>
  <c r="AP27" i="25"/>
  <c r="BW27" i="25"/>
  <c r="BU27" i="25"/>
  <c r="BF27" i="25"/>
  <c r="AR53" i="25"/>
  <c r="BJ53" i="25"/>
  <c r="BH53" i="25"/>
  <c r="AP53" i="25"/>
  <c r="BF53" i="25"/>
  <c r="BU53" i="25"/>
  <c r="BW53" i="25"/>
  <c r="AU164" i="24"/>
  <c r="BB164" i="24" s="1"/>
  <c r="AW164" i="24"/>
  <c r="AW225" i="24"/>
  <c r="AU90" i="24"/>
  <c r="BB90" i="24" s="1"/>
  <c r="AW90" i="24"/>
  <c r="AR36" i="25"/>
  <c r="BJ36" i="25"/>
  <c r="BH36" i="25"/>
  <c r="AP36" i="25"/>
  <c r="BF36" i="25"/>
  <c r="BW36" i="25"/>
  <c r="BU36" i="25"/>
  <c r="AU286" i="24"/>
  <c r="BB286" i="24" s="1"/>
  <c r="AW286" i="24"/>
  <c r="AT238" i="25"/>
  <c r="AU238" i="25"/>
  <c r="AR16" i="25"/>
  <c r="BJ16" i="25"/>
  <c r="BH16" i="25"/>
  <c r="AP16" i="25"/>
  <c r="BW16" i="25"/>
  <c r="BU16" i="25"/>
  <c r="BF16" i="25"/>
  <c r="AU245" i="24"/>
  <c r="BB245" i="24" s="1"/>
  <c r="AW245" i="24"/>
  <c r="BJ222" i="25"/>
  <c r="AR222" i="25"/>
  <c r="BH222" i="25"/>
  <c r="AP222" i="25"/>
  <c r="BU222" i="25"/>
  <c r="BF222" i="25"/>
  <c r="BW222" i="25"/>
  <c r="AR241" i="25"/>
  <c r="BJ241" i="25"/>
  <c r="BH241" i="25"/>
  <c r="AP241" i="25"/>
  <c r="BF241" i="25"/>
  <c r="BU241" i="25"/>
  <c r="BW241" i="25"/>
  <c r="AU103" i="24"/>
  <c r="BB103" i="24" s="1"/>
  <c r="AW103" i="24"/>
  <c r="AU36" i="24"/>
  <c r="BB36" i="24" s="1"/>
  <c r="AW36" i="24"/>
  <c r="AU138" i="24"/>
  <c r="BB138" i="24" s="1"/>
  <c r="AW138" i="24"/>
  <c r="AU246" i="24"/>
  <c r="BB246" i="24" s="1"/>
  <c r="AW246" i="24"/>
  <c r="AT30" i="25"/>
  <c r="AY30" i="25" s="1"/>
  <c r="AU30" i="25"/>
  <c r="AU78" i="24"/>
  <c r="BB78" i="24" s="1"/>
  <c r="AW78" i="24"/>
  <c r="AU116" i="24"/>
  <c r="BB116" i="24" s="1"/>
  <c r="AW116" i="24"/>
  <c r="AR274" i="25"/>
  <c r="BH274" i="25"/>
  <c r="AP274" i="25"/>
  <c r="BF274" i="25"/>
  <c r="BU274" i="25"/>
  <c r="BW274" i="25"/>
  <c r="AW261" i="24"/>
  <c r="AT275" i="25"/>
  <c r="AU275" i="25"/>
  <c r="AT173" i="25"/>
  <c r="AY173" i="25" s="1"/>
  <c r="AU173" i="25"/>
  <c r="AW133" i="24"/>
  <c r="AW37" i="24"/>
  <c r="AR188" i="25"/>
  <c r="BJ188" i="25"/>
  <c r="BH188" i="25"/>
  <c r="AP188" i="25"/>
  <c r="BU188" i="25"/>
  <c r="BW188" i="25"/>
  <c r="BF188" i="25"/>
  <c r="AR207" i="25"/>
  <c r="BJ207" i="25"/>
  <c r="BH207" i="25"/>
  <c r="BF207" i="25"/>
  <c r="BW207" i="25"/>
  <c r="BU207" i="25"/>
  <c r="AR23" i="25"/>
  <c r="BJ23" i="25"/>
  <c r="BH23" i="25"/>
  <c r="AP23" i="25"/>
  <c r="BW23" i="25"/>
  <c r="BU23" i="25"/>
  <c r="BF23" i="25"/>
  <c r="AU254" i="24"/>
  <c r="BB254" i="24" s="1"/>
  <c r="AW254" i="24"/>
  <c r="AW218" i="24"/>
  <c r="AR86" i="25"/>
  <c r="BH86" i="25"/>
  <c r="AP86" i="25"/>
  <c r="BU86" i="25"/>
  <c r="BF86" i="25"/>
  <c r="BW86" i="25"/>
  <c r="AW153" i="24"/>
  <c r="AU255" i="24"/>
  <c r="BB255" i="24" s="1"/>
  <c r="AW255" i="24"/>
  <c r="AU93" i="24"/>
  <c r="BB93" i="24" s="1"/>
  <c r="AW93" i="24"/>
  <c r="AU74" i="24"/>
  <c r="BB74" i="24" s="1"/>
  <c r="AW74" i="24"/>
  <c r="AU73" i="24"/>
  <c r="BB73" i="24" s="1"/>
  <c r="AW73" i="24"/>
  <c r="AU241" i="24"/>
  <c r="BB241" i="24" s="1"/>
  <c r="AW241" i="24"/>
  <c r="AR310" i="25"/>
  <c r="BH310" i="25"/>
  <c r="AP310" i="25"/>
  <c r="BF310" i="25"/>
  <c r="BW310" i="25"/>
  <c r="BU310" i="25"/>
  <c r="AW235" i="24"/>
  <c r="AR263" i="25"/>
  <c r="BJ263" i="25"/>
  <c r="BH263" i="25"/>
  <c r="AP263" i="25"/>
  <c r="BW263" i="25"/>
  <c r="BU263" i="25"/>
  <c r="BF263" i="25"/>
  <c r="AR20" i="25"/>
  <c r="BJ20" i="25"/>
  <c r="BH20" i="25"/>
  <c r="AP20" i="25"/>
  <c r="BU20" i="25"/>
  <c r="BW20" i="25"/>
  <c r="BF20" i="25"/>
  <c r="AW57" i="24"/>
  <c r="AU179" i="24"/>
  <c r="BB179" i="24" s="1"/>
  <c r="AW179" i="24"/>
  <c r="AT13" i="25"/>
  <c r="AY13" i="25" s="1"/>
  <c r="AU13" i="25"/>
  <c r="AR256" i="25"/>
  <c r="BJ256" i="25"/>
  <c r="BH256" i="25"/>
  <c r="AP256" i="25"/>
  <c r="BF256" i="25"/>
  <c r="BW256" i="25"/>
  <c r="BU256" i="25"/>
  <c r="AR24" i="25"/>
  <c r="BJ24" i="25"/>
  <c r="BH24" i="25"/>
  <c r="AP24" i="25"/>
  <c r="BW24" i="25"/>
  <c r="BU24" i="25"/>
  <c r="BF24" i="25"/>
  <c r="AU234" i="24"/>
  <c r="BB234" i="24" s="1"/>
  <c r="AW234" i="24"/>
  <c r="AR7" i="25"/>
  <c r="BJ7" i="25"/>
  <c r="BH7" i="25"/>
  <c r="AP7" i="25"/>
  <c r="BW7" i="25"/>
  <c r="BU7" i="25"/>
  <c r="BF7" i="25"/>
  <c r="AU177" i="24"/>
  <c r="BB177" i="24" s="1"/>
  <c r="AW177" i="24"/>
  <c r="AU40" i="24"/>
  <c r="BB40" i="24" s="1"/>
  <c r="AW40" i="24"/>
  <c r="BG292" i="24"/>
  <c r="BS292" i="24"/>
  <c r="BE233" i="24"/>
  <c r="BT233" i="24" s="1"/>
  <c r="BD233" i="24"/>
  <c r="AY233" i="24"/>
  <c r="AZ233" i="24" s="1"/>
  <c r="AU79" i="24"/>
  <c r="BB79" i="24" s="1"/>
  <c r="AW79" i="24"/>
  <c r="AR300" i="25"/>
  <c r="BH300" i="25"/>
  <c r="AP300" i="25"/>
  <c r="BF300" i="25"/>
  <c r="BW300" i="25"/>
  <c r="BU300" i="25"/>
  <c r="AR9" i="25"/>
  <c r="BJ9" i="25"/>
  <c r="BH9" i="25"/>
  <c r="AP9" i="25"/>
  <c r="BF9" i="25"/>
  <c r="BU9" i="25"/>
  <c r="BW9" i="25"/>
  <c r="AT291" i="25"/>
  <c r="AU291" i="25"/>
  <c r="AR227" i="25"/>
  <c r="BJ227" i="25"/>
  <c r="BH227" i="25"/>
  <c r="AP227" i="25"/>
  <c r="BW227" i="25"/>
  <c r="BF227" i="25"/>
  <c r="BU227" i="25"/>
  <c r="AR235" i="25"/>
  <c r="BH235" i="25"/>
  <c r="AP235" i="25"/>
  <c r="BF235" i="25"/>
  <c r="BW235" i="25"/>
  <c r="BU235" i="25"/>
  <c r="AT95" i="25"/>
  <c r="AY95" i="25" s="1"/>
  <c r="AU95" i="25"/>
  <c r="AR65" i="25"/>
  <c r="BH65" i="25"/>
  <c r="AP65" i="25"/>
  <c r="BW65" i="25"/>
  <c r="BU65" i="25"/>
  <c r="BF65" i="25"/>
  <c r="AR112" i="25"/>
  <c r="BJ112" i="25"/>
  <c r="BH112" i="25"/>
  <c r="AP112" i="25"/>
  <c r="BF112" i="25"/>
  <c r="BW112" i="25"/>
  <c r="BU112" i="25"/>
  <c r="AU136" i="24"/>
  <c r="BB136" i="24" s="1"/>
  <c r="AW136" i="24"/>
  <c r="AR303" i="25"/>
  <c r="BH303" i="25"/>
  <c r="AP303" i="25"/>
  <c r="BW303" i="25"/>
  <c r="BU303" i="25"/>
  <c r="BF303" i="25"/>
  <c r="AR160" i="25"/>
  <c r="BH160" i="25"/>
  <c r="AP160" i="25"/>
  <c r="BF160" i="25"/>
  <c r="BU160" i="25"/>
  <c r="BW160" i="25"/>
  <c r="AU66" i="24"/>
  <c r="BB66" i="24" s="1"/>
  <c r="AW66" i="24"/>
  <c r="AR195" i="25"/>
  <c r="BH195" i="25"/>
  <c r="BF195" i="25"/>
  <c r="BW195" i="25"/>
  <c r="BU195" i="25"/>
  <c r="Y12" i="2"/>
  <c r="Y15" i="2" s="1"/>
  <c r="Y16" i="2" s="1"/>
  <c r="Y17" i="2" s="1"/>
  <c r="B4" i="29" s="1"/>
  <c r="AR67" i="25"/>
  <c r="BJ67" i="25"/>
  <c r="BH67" i="25"/>
  <c r="AP67" i="25"/>
  <c r="BW67" i="25"/>
  <c r="BU67" i="25"/>
  <c r="BF67" i="25"/>
  <c r="AR41" i="25"/>
  <c r="BJ41" i="25"/>
  <c r="BH41" i="25"/>
  <c r="AP41" i="25"/>
  <c r="BU41" i="25"/>
  <c r="BW41" i="25"/>
  <c r="BF41" i="25"/>
  <c r="BD236" i="24"/>
  <c r="AY236" i="24"/>
  <c r="AZ236" i="24" s="1"/>
  <c r="BE236" i="24"/>
  <c r="BT236" i="24" s="1"/>
  <c r="AR313" i="25"/>
  <c r="BH313" i="25"/>
  <c r="AP313" i="25"/>
  <c r="BU313" i="25"/>
  <c r="BW313" i="25"/>
  <c r="BF313" i="25"/>
  <c r="AR40" i="25"/>
  <c r="BJ40" i="25"/>
  <c r="BH40" i="25"/>
  <c r="AP40" i="25"/>
  <c r="BU40" i="25"/>
  <c r="BW40" i="25"/>
  <c r="BF40" i="25"/>
  <c r="AU188" i="24"/>
  <c r="BB188" i="24" s="1"/>
  <c r="AW188" i="24"/>
  <c r="AR33" i="25"/>
  <c r="BJ33" i="25"/>
  <c r="BH33" i="25"/>
  <c r="AP33" i="25"/>
  <c r="BU33" i="25"/>
  <c r="BW33" i="25"/>
  <c r="BF33" i="25"/>
  <c r="AR294" i="25"/>
  <c r="BH294" i="25"/>
  <c r="AP294" i="25"/>
  <c r="BF294" i="25"/>
  <c r="BW294" i="25"/>
  <c r="BU294" i="25"/>
  <c r="BJ250" i="25"/>
  <c r="AR250" i="25"/>
  <c r="BH250" i="25"/>
  <c r="AP250" i="25"/>
  <c r="BF250" i="25"/>
  <c r="BU250" i="25"/>
  <c r="BW250" i="25"/>
  <c r="AT314" i="25"/>
  <c r="AU314" i="25"/>
  <c r="AW114" i="24"/>
  <c r="AU186" i="24"/>
  <c r="BB186" i="24" s="1"/>
  <c r="AW186" i="24"/>
  <c r="AU14" i="24"/>
  <c r="BB14" i="24" s="1"/>
  <c r="AW14" i="24"/>
  <c r="AU206" i="24"/>
  <c r="BB206" i="24" s="1"/>
  <c r="AW206" i="24"/>
  <c r="AR56" i="25"/>
  <c r="BH56" i="25"/>
  <c r="AP56" i="25"/>
  <c r="BW56" i="25"/>
  <c r="BU56" i="25"/>
  <c r="BF56" i="25"/>
  <c r="AU159" i="24"/>
  <c r="BB159" i="24" s="1"/>
  <c r="AW159" i="24"/>
  <c r="AR17" i="25"/>
  <c r="BJ17" i="25"/>
  <c r="BH17" i="25"/>
  <c r="AP17" i="25"/>
  <c r="BU17" i="25"/>
  <c r="BF17" i="25"/>
  <c r="BW17" i="25"/>
  <c r="AU104" i="24"/>
  <c r="BB104" i="24" s="1"/>
  <c r="AW104" i="24"/>
  <c r="AU197" i="24"/>
  <c r="BB197" i="24" s="1"/>
  <c r="AW197" i="24"/>
  <c r="AT89" i="25"/>
  <c r="AY89" i="25" s="1"/>
  <c r="AU89" i="25"/>
  <c r="AR312" i="25"/>
  <c r="BJ312" i="25"/>
  <c r="BH312" i="25"/>
  <c r="AP312" i="25"/>
  <c r="BF312" i="25"/>
  <c r="BW312" i="25"/>
  <c r="BU312" i="25"/>
  <c r="AU202" i="24"/>
  <c r="BB202" i="24" s="1"/>
  <c r="AW202" i="24"/>
  <c r="AR175" i="25"/>
  <c r="BJ175" i="25"/>
  <c r="BH175" i="25"/>
  <c r="AP175" i="25"/>
  <c r="BF175" i="25"/>
  <c r="BU175" i="25"/>
  <c r="BW175" i="25"/>
  <c r="AU47" i="24"/>
  <c r="BB47" i="24" s="1"/>
  <c r="AW47" i="24"/>
  <c r="AR285" i="25"/>
  <c r="BJ285" i="25"/>
  <c r="BH285" i="25"/>
  <c r="AP285" i="25"/>
  <c r="BF285" i="25"/>
  <c r="BW285" i="25"/>
  <c r="BU285" i="25"/>
  <c r="AU184" i="24"/>
  <c r="BB184" i="24" s="1"/>
  <c r="AW184" i="24"/>
  <c r="AY160" i="24"/>
  <c r="AZ160" i="24" s="1"/>
  <c r="BD160" i="24"/>
  <c r="BE160" i="24"/>
  <c r="BT160" i="24" s="1"/>
  <c r="AU88" i="24"/>
  <c r="BB88" i="24" s="1"/>
  <c r="AW88" i="24"/>
  <c r="AU16" i="24"/>
  <c r="BB16" i="24" s="1"/>
  <c r="AW16" i="24"/>
  <c r="AR171" i="25"/>
  <c r="BH171" i="25"/>
  <c r="AP171" i="25"/>
  <c r="BF171" i="25"/>
  <c r="BW171" i="25"/>
  <c r="BU171" i="25"/>
  <c r="AR49" i="25"/>
  <c r="BJ49" i="25"/>
  <c r="BH49" i="25"/>
  <c r="AP49" i="25"/>
  <c r="BF49" i="25"/>
  <c r="BW49" i="25"/>
  <c r="BU49" i="25"/>
  <c r="AR183" i="25"/>
  <c r="BH183" i="25"/>
  <c r="AP183" i="25"/>
  <c r="BF183" i="25"/>
  <c r="BW183" i="25"/>
  <c r="BU183" i="25"/>
  <c r="AY257" i="24"/>
  <c r="AZ257" i="24" s="1"/>
  <c r="BD257" i="24"/>
  <c r="BE257" i="24"/>
  <c r="BT257" i="24" s="1"/>
  <c r="BE119" i="24"/>
  <c r="BT119" i="24" s="1"/>
  <c r="AY119" i="24"/>
  <c r="AZ119" i="24" s="1"/>
  <c r="BD119" i="24"/>
  <c r="AW30" i="24"/>
  <c r="AR253" i="25"/>
  <c r="BJ253" i="25"/>
  <c r="BH253" i="25"/>
  <c r="AP253" i="25"/>
  <c r="BF253" i="25"/>
  <c r="BW253" i="25"/>
  <c r="BU253" i="25"/>
  <c r="AU67" i="24"/>
  <c r="BB67" i="24" s="1"/>
  <c r="AW67" i="24"/>
  <c r="AT34" i="25"/>
  <c r="AY34" i="25" s="1"/>
  <c r="AU34" i="25"/>
  <c r="AU137" i="24"/>
  <c r="BB137" i="24" s="1"/>
  <c r="AW137" i="24"/>
  <c r="AR141" i="25"/>
  <c r="BJ141" i="25"/>
  <c r="BH141" i="25"/>
  <c r="AP141" i="25"/>
  <c r="BW141" i="25"/>
  <c r="BU141" i="25"/>
  <c r="BF141" i="25"/>
  <c r="AT178" i="25"/>
  <c r="AY178" i="25" s="1"/>
  <c r="AU178" i="25"/>
  <c r="BB143" i="25"/>
  <c r="BS143" i="25" s="1"/>
  <c r="BC143" i="25"/>
  <c r="BT143" i="25" s="1"/>
  <c r="BA143" i="25"/>
  <c r="AW284" i="24"/>
  <c r="AU262" i="24"/>
  <c r="BB262" i="24" s="1"/>
  <c r="AW262" i="24"/>
  <c r="BE41" i="24"/>
  <c r="BT41" i="24" s="1"/>
  <c r="AY41" i="24"/>
  <c r="AZ41" i="24" s="1"/>
  <c r="BD41" i="24"/>
  <c r="BJ58" i="25"/>
  <c r="AR58" i="25"/>
  <c r="BH58" i="25"/>
  <c r="AP58" i="25"/>
  <c r="BW58" i="25"/>
  <c r="BF58" i="25"/>
  <c r="BU58" i="25"/>
  <c r="AR307" i="25"/>
  <c r="BH307" i="25"/>
  <c r="AP307" i="25"/>
  <c r="BU307" i="25"/>
  <c r="BW307" i="25"/>
  <c r="BF307" i="25"/>
  <c r="AR42" i="25"/>
  <c r="BJ42" i="25"/>
  <c r="BH42" i="25"/>
  <c r="AP42" i="25"/>
  <c r="BF42" i="25"/>
  <c r="BW42" i="25"/>
  <c r="BU42" i="25"/>
  <c r="AU46" i="24"/>
  <c r="BB46" i="24" s="1"/>
  <c r="AW46" i="24"/>
  <c r="AW237" i="24"/>
  <c r="AR205" i="25"/>
  <c r="BJ205" i="25"/>
  <c r="BH205" i="25"/>
  <c r="BF205" i="25"/>
  <c r="BW205" i="25"/>
  <c r="BU205" i="25"/>
  <c r="AR309" i="25"/>
  <c r="BH309" i="25"/>
  <c r="AP309" i="25"/>
  <c r="BF309" i="25"/>
  <c r="BU309" i="25"/>
  <c r="BW309" i="25"/>
  <c r="AU196" i="24"/>
  <c r="BB196" i="24" s="1"/>
  <c r="AW196" i="24"/>
  <c r="AU83" i="24"/>
  <c r="BB83" i="24" s="1"/>
  <c r="AW83" i="24"/>
  <c r="AU175" i="24"/>
  <c r="BB175" i="24" s="1"/>
  <c r="AW175" i="24"/>
  <c r="AR80" i="25"/>
  <c r="BH80" i="25"/>
  <c r="AP80" i="25"/>
  <c r="BF80" i="25"/>
  <c r="BU80" i="25"/>
  <c r="BW80" i="25"/>
  <c r="AR105" i="25"/>
  <c r="BJ105" i="25"/>
  <c r="BH105" i="25"/>
  <c r="BW105" i="25"/>
  <c r="BU105" i="25"/>
  <c r="BF105" i="25"/>
  <c r="BE45" i="24"/>
  <c r="BT45" i="24" s="1"/>
  <c r="BD45" i="24"/>
  <c r="AY45" i="24"/>
  <c r="AZ45" i="24" s="1"/>
  <c r="AR184" i="25"/>
  <c r="BH184" i="25"/>
  <c r="AP184" i="25"/>
  <c r="BF184" i="25"/>
  <c r="BU184" i="25"/>
  <c r="BW184" i="25"/>
  <c r="AW126" i="24"/>
  <c r="AR269" i="25"/>
  <c r="BH269" i="25"/>
  <c r="AP269" i="25"/>
  <c r="BF269" i="25"/>
  <c r="BW269" i="25"/>
  <c r="BU269" i="25"/>
  <c r="AR93" i="25"/>
  <c r="BJ93" i="25"/>
  <c r="BH93" i="25"/>
  <c r="AP93" i="25"/>
  <c r="BU93" i="25"/>
  <c r="BW93" i="25"/>
  <c r="BF93" i="25"/>
  <c r="AT62" i="25"/>
  <c r="AY62" i="25" s="1"/>
  <c r="AU62" i="25"/>
  <c r="AT31" i="25"/>
  <c r="AY31" i="25" s="1"/>
  <c r="AU31" i="25"/>
  <c r="AR218" i="25"/>
  <c r="BH218" i="25"/>
  <c r="AP218" i="25"/>
  <c r="BW218" i="25"/>
  <c r="BF218" i="25"/>
  <c r="BU218" i="25"/>
  <c r="AU222" i="24"/>
  <c r="BB222" i="24" s="1"/>
  <c r="AW222" i="24"/>
  <c r="AU140" i="24"/>
  <c r="BB140" i="24" s="1"/>
  <c r="AW140" i="24"/>
  <c r="AU77" i="24"/>
  <c r="BB77" i="24" s="1"/>
  <c r="AW77" i="24"/>
  <c r="AU53" i="24"/>
  <c r="BB53" i="24" s="1"/>
  <c r="AW53" i="24"/>
  <c r="AR121" i="25"/>
  <c r="BH121" i="25"/>
  <c r="AP121" i="25"/>
  <c r="BF121" i="25"/>
  <c r="BU121" i="25"/>
  <c r="BW121" i="25"/>
  <c r="AY162" i="24"/>
  <c r="AZ162" i="24" s="1"/>
  <c r="BD162" i="24"/>
  <c r="BE162" i="24"/>
  <c r="BT162" i="24" s="1"/>
  <c r="AT161" i="25"/>
  <c r="AY161" i="25" s="1"/>
  <c r="AU161" i="25"/>
  <c r="AU49" i="24"/>
  <c r="BB49" i="24" s="1"/>
  <c r="AW49" i="24"/>
  <c r="AR233" i="25"/>
  <c r="BJ233" i="25"/>
  <c r="BH233" i="25"/>
  <c r="AP233" i="25"/>
  <c r="BF233" i="25"/>
  <c r="BU233" i="25"/>
  <c r="BW233" i="25"/>
  <c r="AR153" i="25"/>
  <c r="BH153" i="25"/>
  <c r="AP153" i="25"/>
  <c r="BF153" i="25"/>
  <c r="BW153" i="25"/>
  <c r="BU153" i="25"/>
  <c r="AR10" i="25"/>
  <c r="BH10" i="25"/>
  <c r="AP10" i="25"/>
  <c r="BF10" i="25"/>
  <c r="BU10" i="25"/>
  <c r="BW10" i="25"/>
  <c r="AR123" i="25"/>
  <c r="BJ123" i="25"/>
  <c r="BH123" i="25"/>
  <c r="AP123" i="25"/>
  <c r="BF123" i="25"/>
  <c r="BU123" i="25"/>
  <c r="BW123" i="25"/>
  <c r="AR159" i="25"/>
  <c r="BH159" i="25"/>
  <c r="AP159" i="25"/>
  <c r="BU159" i="25"/>
  <c r="BW159" i="25"/>
  <c r="BF159" i="25"/>
  <c r="AU39" i="24"/>
  <c r="BB39" i="24" s="1"/>
  <c r="AW39" i="24"/>
  <c r="AU173" i="24"/>
  <c r="BB173" i="24" s="1"/>
  <c r="AW173" i="24"/>
  <c r="AR236" i="25"/>
  <c r="BJ236" i="25"/>
  <c r="BH236" i="25"/>
  <c r="AP236" i="25"/>
  <c r="BF236" i="25"/>
  <c r="BU236" i="25"/>
  <c r="BW236" i="25"/>
  <c r="AU275" i="24"/>
  <c r="BB275" i="24" s="1"/>
  <c r="AW275" i="24"/>
  <c r="AR137" i="25"/>
  <c r="BJ137" i="25"/>
  <c r="BH137" i="25"/>
  <c r="AP137" i="25"/>
  <c r="BF137" i="25"/>
  <c r="BW137" i="25"/>
  <c r="BU137" i="25"/>
  <c r="AR230" i="25"/>
  <c r="BJ230" i="25"/>
  <c r="BH230" i="25"/>
  <c r="AP230" i="25"/>
  <c r="BF230" i="25"/>
  <c r="BW230" i="25"/>
  <c r="BU230" i="25"/>
  <c r="AR46" i="25"/>
  <c r="BJ46" i="25"/>
  <c r="BH46" i="25"/>
  <c r="AP46" i="25"/>
  <c r="BF46" i="25"/>
  <c r="BW46" i="25"/>
  <c r="BU46" i="25"/>
  <c r="AT206" i="25"/>
  <c r="AY206" i="25" s="1"/>
  <c r="AU206" i="25"/>
  <c r="AT29" i="25"/>
  <c r="AY29" i="25" s="1"/>
  <c r="AU29" i="25"/>
  <c r="AU278" i="24"/>
  <c r="BB278" i="24" s="1"/>
  <c r="AW278" i="24"/>
  <c r="AU313" i="24"/>
  <c r="BB313" i="24" s="1"/>
  <c r="AW313" i="24"/>
  <c r="AR268" i="25"/>
  <c r="BH268" i="25"/>
  <c r="AP268" i="25"/>
  <c r="BW268" i="25"/>
  <c r="BU268" i="25"/>
  <c r="BF268" i="25"/>
  <c r="AR242" i="25"/>
  <c r="BH242" i="25"/>
  <c r="AP242" i="25"/>
  <c r="BF242" i="25"/>
  <c r="BU242" i="25"/>
  <c r="BW242" i="25"/>
  <c r="AR146" i="25"/>
  <c r="BJ146" i="25"/>
  <c r="BH146" i="25"/>
  <c r="AP146" i="25"/>
  <c r="BF146" i="25"/>
  <c r="BU146" i="25"/>
  <c r="BW146" i="25"/>
  <c r="AR79" i="25"/>
  <c r="BH79" i="25"/>
  <c r="AP79" i="25"/>
  <c r="BW79" i="25"/>
  <c r="BU79" i="25"/>
  <c r="BF79" i="25"/>
  <c r="BE21" i="24"/>
  <c r="BT21" i="24" s="1"/>
  <c r="AY21" i="24"/>
  <c r="AZ21" i="24" s="1"/>
  <c r="BD21" i="24"/>
  <c r="AU10" i="24"/>
  <c r="BB10" i="24" s="1"/>
  <c r="AW10" i="24"/>
  <c r="AU207" i="24"/>
  <c r="BB207" i="24" s="1"/>
  <c r="AW207" i="24"/>
  <c r="AU157" i="24"/>
  <c r="BB157" i="24" s="1"/>
  <c r="AW157" i="24"/>
  <c r="AU31" i="24"/>
  <c r="BB31" i="24" s="1"/>
  <c r="AW31" i="24"/>
  <c r="AT59" i="25"/>
  <c r="AY59" i="25" s="1"/>
  <c r="AU59" i="25"/>
  <c r="AR111" i="25"/>
  <c r="BH111" i="25"/>
  <c r="AP111" i="25"/>
  <c r="BF111" i="25"/>
  <c r="BU111" i="25"/>
  <c r="BW111" i="25"/>
  <c r="AR127" i="25"/>
  <c r="BJ127" i="25"/>
  <c r="BH127" i="25"/>
  <c r="AP127" i="25"/>
  <c r="BF127" i="25"/>
  <c r="BW127" i="25"/>
  <c r="BU127" i="25"/>
  <c r="AU11" i="24"/>
  <c r="BB11" i="24" s="1"/>
  <c r="AW11" i="24"/>
  <c r="AT248" i="25"/>
  <c r="AU248" i="25"/>
  <c r="AR208" i="25"/>
  <c r="BJ208" i="25"/>
  <c r="BH208" i="25"/>
  <c r="BU208" i="25"/>
  <c r="BW208" i="25"/>
  <c r="BF208" i="25"/>
  <c r="AR264" i="25"/>
  <c r="BJ264" i="25"/>
  <c r="BH264" i="25"/>
  <c r="AP264" i="25"/>
  <c r="BF264" i="25"/>
  <c r="BU264" i="25"/>
  <c r="BW264" i="25"/>
  <c r="AR166" i="25"/>
  <c r="BH166" i="25"/>
  <c r="AP166" i="25"/>
  <c r="BF166" i="25"/>
  <c r="BW166" i="25"/>
  <c r="BU166" i="25"/>
  <c r="AR103" i="25"/>
  <c r="BH103" i="25"/>
  <c r="BW103" i="25"/>
  <c r="BU103" i="25"/>
  <c r="BF103" i="25"/>
  <c r="AR35" i="25"/>
  <c r="BJ35" i="25"/>
  <c r="BH35" i="25"/>
  <c r="AP35" i="25"/>
  <c r="BW35" i="25"/>
  <c r="BU35" i="25"/>
  <c r="BF35" i="25"/>
  <c r="AR75" i="25"/>
  <c r="BJ75" i="25"/>
  <c r="BH75" i="25"/>
  <c r="AP75" i="25"/>
  <c r="BU75" i="25"/>
  <c r="BF75" i="25"/>
  <c r="BW75" i="25"/>
  <c r="AW266" i="24"/>
  <c r="AR63" i="25"/>
  <c r="BJ63" i="25"/>
  <c r="BH63" i="25"/>
  <c r="AP63" i="25"/>
  <c r="BF63" i="25"/>
  <c r="BW63" i="25"/>
  <c r="BU63" i="25"/>
  <c r="AT170" i="25"/>
  <c r="AY170" i="25" s="1"/>
  <c r="AU170" i="25"/>
  <c r="AR165" i="25"/>
  <c r="BH165" i="25"/>
  <c r="AP165" i="25"/>
  <c r="BU165" i="25"/>
  <c r="BW165" i="25"/>
  <c r="BF165" i="25"/>
  <c r="AU118" i="24"/>
  <c r="BB118" i="24" s="1"/>
  <c r="AW118" i="24"/>
  <c r="AU139" i="24"/>
  <c r="BB139" i="24" s="1"/>
  <c r="AW139" i="24"/>
  <c r="AU95" i="24"/>
  <c r="BB95" i="24" s="1"/>
  <c r="AW95" i="24"/>
  <c r="AR50" i="25"/>
  <c r="BJ50" i="25"/>
  <c r="BH50" i="25"/>
  <c r="AP50" i="25"/>
  <c r="BW50" i="25"/>
  <c r="BU50" i="25"/>
  <c r="BF50" i="25"/>
  <c r="AW56" i="24"/>
  <c r="AT267" i="25"/>
  <c r="AU267" i="25"/>
  <c r="AU303" i="24"/>
  <c r="BB303" i="24" s="1"/>
  <c r="AW303" i="24"/>
  <c r="AU127" i="24"/>
  <c r="BB127" i="24" s="1"/>
  <c r="AW127" i="24"/>
  <c r="AU250" i="24"/>
  <c r="BB250" i="24" s="1"/>
  <c r="AW250" i="24"/>
  <c r="AR286" i="25"/>
  <c r="BH286" i="25"/>
  <c r="AP286" i="25"/>
  <c r="BU286" i="25"/>
  <c r="BF286" i="25"/>
  <c r="BW286" i="25"/>
  <c r="AT257" i="25"/>
  <c r="AU257" i="25"/>
  <c r="AU42" i="24"/>
  <c r="BB42" i="24" s="1"/>
  <c r="AW42" i="24"/>
  <c r="BJ128" i="25"/>
  <c r="AR128" i="25"/>
  <c r="BH128" i="25"/>
  <c r="AP128" i="25"/>
  <c r="BF128" i="25"/>
  <c r="BU128" i="25"/>
  <c r="BW128" i="25"/>
  <c r="AR209" i="25"/>
  <c r="BJ209" i="25"/>
  <c r="BH209" i="25"/>
  <c r="BU209" i="25"/>
  <c r="BW209" i="25"/>
  <c r="BF209" i="25"/>
  <c r="AR217" i="25"/>
  <c r="BJ217" i="25"/>
  <c r="BH217" i="25"/>
  <c r="AP217" i="25"/>
  <c r="BF217" i="25"/>
  <c r="BW217" i="25"/>
  <c r="BU217" i="25"/>
  <c r="AU70" i="24"/>
  <c r="BB70" i="24" s="1"/>
  <c r="AW70" i="24"/>
  <c r="AR252" i="25"/>
  <c r="BJ252" i="25"/>
  <c r="BH252" i="25"/>
  <c r="AP252" i="25"/>
  <c r="BF252" i="25"/>
  <c r="BU252" i="25"/>
  <c r="BW252" i="25"/>
  <c r="AU122" i="24"/>
  <c r="BB122" i="24" s="1"/>
  <c r="AW122" i="24"/>
  <c r="AU87" i="24"/>
  <c r="BB87" i="24" s="1"/>
  <c r="AW87" i="24"/>
  <c r="AR83" i="25"/>
  <c r="BJ83" i="25"/>
  <c r="BH83" i="25"/>
  <c r="AP83" i="25"/>
  <c r="BF83" i="25"/>
  <c r="BW83" i="25"/>
  <c r="BU83" i="25"/>
  <c r="AU314" i="24"/>
  <c r="BB314" i="24" s="1"/>
  <c r="AW314" i="24"/>
  <c r="AR152" i="25"/>
  <c r="BH152" i="25"/>
  <c r="AP152" i="25"/>
  <c r="BF152" i="25"/>
  <c r="BU152" i="25"/>
  <c r="BW152" i="25"/>
  <c r="AR277" i="25"/>
  <c r="BJ277" i="25"/>
  <c r="BH277" i="25"/>
  <c r="AP277" i="25"/>
  <c r="BW277" i="25"/>
  <c r="BU277" i="25"/>
  <c r="BF277" i="25"/>
  <c r="AY191" i="24"/>
  <c r="AZ191" i="24" s="1"/>
  <c r="BE191" i="24"/>
  <c r="BT191" i="24" s="1"/>
  <c r="BD191" i="24"/>
  <c r="BD294" i="24"/>
  <c r="AY294" i="24"/>
  <c r="AZ294" i="24" s="1"/>
  <c r="BE294" i="24"/>
  <c r="BT294" i="24" s="1"/>
  <c r="BJ271" i="25"/>
  <c r="AR271" i="25"/>
  <c r="BH271" i="25"/>
  <c r="AP271" i="25"/>
  <c r="BF271" i="25"/>
  <c r="BU271" i="25"/>
  <c r="BW271" i="25"/>
  <c r="AT147" i="25"/>
  <c r="AY147" i="25" s="1"/>
  <c r="AU147" i="25"/>
  <c r="AR149" i="25"/>
  <c r="BJ149" i="25"/>
  <c r="BH149" i="25"/>
  <c r="AP149" i="25"/>
  <c r="BF149" i="25"/>
  <c r="BW149" i="25"/>
  <c r="BU149" i="25"/>
  <c r="AU201" i="24"/>
  <c r="BB201" i="24" s="1"/>
  <c r="AW201" i="24"/>
  <c r="AU231" i="24"/>
  <c r="BB231" i="24" s="1"/>
  <c r="AW231" i="24"/>
  <c r="AU91" i="24"/>
  <c r="BB91" i="24" s="1"/>
  <c r="AW91" i="24"/>
  <c r="AU288" i="24"/>
  <c r="BB288" i="24" s="1"/>
  <c r="AW288" i="24"/>
  <c r="AU229" i="24"/>
  <c r="BB229" i="24" s="1"/>
  <c r="AW229" i="24"/>
  <c r="AU172" i="24"/>
  <c r="BB172" i="24" s="1"/>
  <c r="AW172" i="24"/>
  <c r="AU285" i="24"/>
  <c r="BB285" i="24" s="1"/>
  <c r="AW285" i="24"/>
  <c r="AR219" i="25"/>
  <c r="BH219" i="25"/>
  <c r="AP219" i="25"/>
  <c r="BF219" i="25"/>
  <c r="BW219" i="25"/>
  <c r="BU219" i="25"/>
  <c r="AU302" i="24"/>
  <c r="BB302" i="24" s="1"/>
  <c r="AW302" i="24"/>
  <c r="AR120" i="25"/>
  <c r="BJ120" i="25"/>
  <c r="BH120" i="25"/>
  <c r="AP120" i="25"/>
  <c r="BW120" i="25"/>
  <c r="BF120" i="25"/>
  <c r="BU120" i="25"/>
  <c r="AR234" i="25"/>
  <c r="BJ234" i="25"/>
  <c r="BH234" i="25"/>
  <c r="AP234" i="25"/>
  <c r="BF234" i="25"/>
  <c r="BW234" i="25"/>
  <c r="BU234" i="25"/>
  <c r="AU194" i="24"/>
  <c r="BB194" i="24" s="1"/>
  <c r="AW194" i="24"/>
  <c r="AR164" i="25"/>
  <c r="BH164" i="25"/>
  <c r="AP164" i="25"/>
  <c r="BW164" i="25"/>
  <c r="BU164" i="25"/>
  <c r="BF164" i="25"/>
  <c r="AT204" i="25"/>
  <c r="AY204" i="25" s="1"/>
  <c r="AU204" i="25"/>
  <c r="AU115" i="24"/>
  <c r="BB115" i="24" s="1"/>
  <c r="AW115" i="24"/>
  <c r="AU293" i="24"/>
  <c r="BB293" i="24" s="1"/>
  <c r="AW293" i="24"/>
  <c r="BJ84" i="25"/>
  <c r="AR84" i="25"/>
  <c r="BH84" i="25"/>
  <c r="AP84" i="25"/>
  <c r="BU84" i="25"/>
  <c r="BF84" i="25"/>
  <c r="BW84" i="25"/>
  <c r="AR61" i="25"/>
  <c r="BJ61" i="25"/>
  <c r="BH61" i="25"/>
  <c r="AP61" i="25"/>
  <c r="BF61" i="25"/>
  <c r="BU61" i="25"/>
  <c r="BW61" i="25"/>
  <c r="AR157" i="25"/>
  <c r="BJ157" i="25"/>
  <c r="BH157" i="25"/>
  <c r="AP157" i="25"/>
  <c r="BU157" i="25"/>
  <c r="BW157" i="25"/>
  <c r="BF157" i="25"/>
  <c r="AT186" i="25"/>
  <c r="AY186" i="25" s="1"/>
  <c r="AU186" i="25"/>
  <c r="AW297" i="24"/>
  <c r="AW51" i="24"/>
  <c r="AR51" i="25"/>
  <c r="BJ51" i="25"/>
  <c r="BH51" i="25"/>
  <c r="AP51" i="25"/>
  <c r="BU51" i="25"/>
  <c r="BW51" i="25"/>
  <c r="BF51" i="25"/>
  <c r="AT259" i="25"/>
  <c r="AU259" i="25"/>
  <c r="AU244" i="24"/>
  <c r="BB244" i="24" s="1"/>
  <c r="AW244" i="24"/>
  <c r="AT199" i="25"/>
  <c r="AY199" i="25" s="1"/>
  <c r="AU199" i="25"/>
  <c r="AR60" i="25"/>
  <c r="BH60" i="25"/>
  <c r="AP60" i="25"/>
  <c r="BU60" i="25"/>
  <c r="BF60" i="25"/>
  <c r="BW60" i="25"/>
  <c r="AT247" i="25"/>
  <c r="AU247" i="25"/>
  <c r="AW243" i="24"/>
  <c r="AU251" i="24"/>
  <c r="BB251" i="24" s="1"/>
  <c r="AW251" i="24"/>
  <c r="AU165" i="24"/>
  <c r="BB165" i="24" s="1"/>
  <c r="AW165" i="24"/>
  <c r="AW9" i="24"/>
  <c r="AU96" i="24"/>
  <c r="BB96" i="24" s="1"/>
  <c r="AW96" i="24"/>
  <c r="AW32" i="24"/>
  <c r="AT283" i="25"/>
  <c r="AU283" i="25"/>
  <c r="AU272" i="24"/>
  <c r="BB272" i="24" s="1"/>
  <c r="AW272" i="24"/>
  <c r="AU97" i="24"/>
  <c r="BB97" i="24" s="1"/>
  <c r="AW97" i="24"/>
  <c r="AU141" i="24"/>
  <c r="BB141" i="24" s="1"/>
  <c r="AW141" i="24"/>
  <c r="AU50" i="24"/>
  <c r="BB50" i="24" s="1"/>
  <c r="AW50" i="24"/>
  <c r="AR52" i="25"/>
  <c r="BH52" i="25"/>
  <c r="AP52" i="25"/>
  <c r="BF52" i="25"/>
  <c r="BW52" i="25"/>
  <c r="BU52" i="25"/>
  <c r="BA110" i="25"/>
  <c r="BC110" i="25"/>
  <c r="BT110" i="25" s="1"/>
  <c r="BB110" i="25"/>
  <c r="BS110" i="25" s="1"/>
  <c r="AT192" i="25"/>
  <c r="AY192" i="25" s="1"/>
  <c r="AU192" i="25"/>
  <c r="AU223" i="24"/>
  <c r="BB223" i="24" s="1"/>
  <c r="AW223" i="24"/>
  <c r="AR194" i="25"/>
  <c r="BH194" i="25"/>
  <c r="CE194" i="25"/>
  <c r="BW194" i="25"/>
  <c r="BU194" i="25"/>
  <c r="BF194" i="25"/>
  <c r="AT282" i="25"/>
  <c r="AU282" i="25"/>
  <c r="AW128" i="24"/>
  <c r="AR45" i="25"/>
  <c r="BH45" i="25"/>
  <c r="AP45" i="25"/>
  <c r="BF45" i="25"/>
  <c r="BW45" i="25"/>
  <c r="BU45" i="25"/>
  <c r="AR37" i="25"/>
  <c r="BJ37" i="25"/>
  <c r="BH37" i="25"/>
  <c r="AP37" i="25"/>
  <c r="BF37" i="25"/>
  <c r="BU37" i="25"/>
  <c r="BW37" i="25"/>
  <c r="AR144" i="25"/>
  <c r="BJ144" i="25"/>
  <c r="BH144" i="25"/>
  <c r="AP144" i="25"/>
  <c r="BF144" i="25"/>
  <c r="BW144" i="25"/>
  <c r="BU144" i="25"/>
  <c r="AU65" i="24"/>
  <c r="BB65" i="24" s="1"/>
  <c r="AW65" i="24"/>
  <c r="AT92" i="25"/>
  <c r="AY92" i="25" s="1"/>
  <c r="AU92" i="25"/>
  <c r="AR125" i="25"/>
  <c r="BH125" i="25"/>
  <c r="AP125" i="25"/>
  <c r="BF125" i="25"/>
  <c r="BU125" i="25"/>
  <c r="BW125" i="25"/>
  <c r="AR244" i="25"/>
  <c r="BJ244" i="25"/>
  <c r="BH244" i="25"/>
  <c r="AP244" i="25"/>
  <c r="BU244" i="25"/>
  <c r="BW244" i="25"/>
  <c r="BF244" i="25"/>
  <c r="AR91" i="25"/>
  <c r="BJ91" i="25"/>
  <c r="BH91" i="25"/>
  <c r="AP91" i="25"/>
  <c r="BF91" i="25"/>
  <c r="BW91" i="25"/>
  <c r="BU91" i="25"/>
  <c r="BJ266" i="25"/>
  <c r="AR266" i="25"/>
  <c r="BH266" i="25"/>
  <c r="AP266" i="25"/>
  <c r="BU266" i="25"/>
  <c r="BF266" i="25"/>
  <c r="BW266" i="25"/>
  <c r="AR135" i="25"/>
  <c r="BH135" i="25"/>
  <c r="AP135" i="25"/>
  <c r="BU135" i="25"/>
  <c r="BW135" i="25"/>
  <c r="BF135" i="25"/>
  <c r="AR311" i="25"/>
  <c r="BH311" i="25"/>
  <c r="AP311" i="25"/>
  <c r="BW311" i="25"/>
  <c r="BU311" i="25"/>
  <c r="BF311" i="25"/>
  <c r="AU210" i="24"/>
  <c r="BB210" i="24" s="1"/>
  <c r="AW210" i="24"/>
  <c r="AU208" i="24"/>
  <c r="BB208" i="24" s="1"/>
  <c r="AW208" i="24"/>
  <c r="AU102" i="24"/>
  <c r="BB102" i="24" s="1"/>
  <c r="AW102" i="24"/>
  <c r="AU193" i="24"/>
  <c r="BB193" i="24" s="1"/>
  <c r="AW193" i="24"/>
  <c r="AU15" i="24"/>
  <c r="BB15" i="24" s="1"/>
  <c r="AW15" i="24"/>
  <c r="AT14" i="25"/>
  <c r="AY14" i="25" s="1"/>
  <c r="AU14" i="25"/>
  <c r="AU307" i="24"/>
  <c r="BB307" i="24" s="1"/>
  <c r="AW307" i="24"/>
  <c r="AU113" i="24"/>
  <c r="BB113" i="24" s="1"/>
  <c r="AW113" i="24"/>
  <c r="AR132" i="25"/>
  <c r="BH132" i="25"/>
  <c r="AP132" i="25"/>
  <c r="BF132" i="25"/>
  <c r="BW132" i="25"/>
  <c r="BU132" i="25"/>
  <c r="AU239" i="24"/>
  <c r="BB239" i="24" s="1"/>
  <c r="AW239" i="24"/>
  <c r="AU311" i="24"/>
  <c r="BB311" i="24" s="1"/>
  <c r="AW311" i="24"/>
  <c r="AT82" i="25"/>
  <c r="AY82" i="25" s="1"/>
  <c r="AU82" i="25"/>
  <c r="AU134" i="24"/>
  <c r="BB134" i="24" s="1"/>
  <c r="AW134" i="24"/>
  <c r="AU71" i="24"/>
  <c r="BB71" i="24" s="1"/>
  <c r="AW71" i="24"/>
  <c r="AR260" i="25"/>
  <c r="BJ260" i="25"/>
  <c r="BH260" i="25"/>
  <c r="AP260" i="25"/>
  <c r="BF260" i="25"/>
  <c r="BU260" i="25"/>
  <c r="BW260" i="25"/>
  <c r="AU291" i="24"/>
  <c r="BB291" i="24" s="1"/>
  <c r="AW291" i="24"/>
  <c r="AU85" i="24"/>
  <c r="BB85" i="24" s="1"/>
  <c r="AW85" i="24"/>
  <c r="AU178" i="24"/>
  <c r="BB178" i="24" s="1"/>
  <c r="AW178" i="24"/>
  <c r="AW267" i="24"/>
  <c r="AU105" i="24"/>
  <c r="BB105" i="24" s="1"/>
  <c r="B150" i="2" s="1"/>
  <c r="B151" i="2" s="1"/>
  <c r="E29" i="1" s="1"/>
  <c r="AW105" i="24"/>
  <c r="AR169" i="25"/>
  <c r="BH169" i="25"/>
  <c r="AP169" i="25"/>
  <c r="BF169" i="25"/>
  <c r="BW169" i="25"/>
  <c r="BU169" i="25"/>
  <c r="AT262" i="25"/>
  <c r="AU262" i="25"/>
  <c r="AR301" i="25"/>
  <c r="BJ301" i="25"/>
  <c r="BH301" i="25"/>
  <c r="AP301" i="25"/>
  <c r="BF301" i="25"/>
  <c r="BW301" i="25"/>
  <c r="BU301" i="25"/>
  <c r="BC129" i="25"/>
  <c r="BT129" i="25" s="1"/>
  <c r="BB129" i="25"/>
  <c r="BS129" i="25" s="1"/>
  <c r="BA129" i="25"/>
  <c r="AR85" i="25"/>
  <c r="BJ85" i="25"/>
  <c r="BH85" i="25"/>
  <c r="AP85" i="25"/>
  <c r="BU85" i="25"/>
  <c r="BF85" i="25"/>
  <c r="BW85" i="25"/>
  <c r="AR69" i="25"/>
  <c r="BJ69" i="25"/>
  <c r="BH69" i="25"/>
  <c r="AP69" i="25"/>
  <c r="BF69" i="25"/>
  <c r="BW69" i="25"/>
  <c r="BU69" i="25"/>
  <c r="BE190" i="24"/>
  <c r="BT190" i="24" s="1"/>
  <c r="BD190" i="24"/>
  <c r="AY190" i="24"/>
  <c r="AZ190" i="24" s="1"/>
  <c r="AU204" i="24"/>
  <c r="BB204" i="24" s="1"/>
  <c r="AW204" i="24"/>
  <c r="BE142" i="24"/>
  <c r="BT142" i="24" s="1"/>
  <c r="BD142" i="24"/>
  <c r="AY142" i="24"/>
  <c r="AZ142" i="24" s="1"/>
  <c r="AU199" i="24"/>
  <c r="BB199" i="24" s="1"/>
  <c r="AW199" i="24"/>
  <c r="AR289" i="25"/>
  <c r="BJ289" i="25"/>
  <c r="BH289" i="25"/>
  <c r="AP289" i="25"/>
  <c r="BW289" i="25"/>
  <c r="BU289" i="25"/>
  <c r="BF289" i="25"/>
  <c r="AT292" i="25"/>
  <c r="AU292" i="25"/>
  <c r="AR290" i="25"/>
  <c r="BJ290" i="25"/>
  <c r="BH290" i="25"/>
  <c r="AP290" i="25"/>
  <c r="BU290" i="25"/>
  <c r="BF290" i="25"/>
  <c r="BW290" i="25"/>
  <c r="AT246" i="25"/>
  <c r="AU246" i="25"/>
  <c r="AR197" i="25"/>
  <c r="BH197" i="25"/>
  <c r="BW197" i="25"/>
  <c r="BU197" i="25"/>
  <c r="BF197" i="25"/>
  <c r="AR72" i="25"/>
  <c r="BH72" i="25"/>
  <c r="AP72" i="25"/>
  <c r="BW72" i="25"/>
  <c r="BU72" i="25"/>
  <c r="BF72" i="25"/>
  <c r="AU168" i="24"/>
  <c r="BB168" i="24" s="1"/>
  <c r="AW168" i="24"/>
  <c r="AR251" i="25"/>
  <c r="BJ251" i="25"/>
  <c r="BH251" i="25"/>
  <c r="AP251" i="25"/>
  <c r="BF251" i="25"/>
  <c r="BW251" i="25"/>
  <c r="BU251" i="25"/>
  <c r="AR270" i="25"/>
  <c r="BH270" i="25"/>
  <c r="AP270" i="25"/>
  <c r="BU270" i="25"/>
  <c r="BW270" i="25"/>
  <c r="BF270" i="25"/>
  <c r="AW271" i="24"/>
  <c r="AU43" i="24"/>
  <c r="BB43" i="24" s="1"/>
  <c r="AW43" i="24"/>
  <c r="AR25" i="25"/>
  <c r="BJ25" i="25"/>
  <c r="BH25" i="25"/>
  <c r="AP25" i="25"/>
  <c r="BW25" i="25"/>
  <c r="BF25" i="25"/>
  <c r="BU25" i="25"/>
  <c r="AU309" i="24"/>
  <c r="BB309" i="24" s="1"/>
  <c r="AW309" i="24"/>
  <c r="AR142" i="25"/>
  <c r="BJ142" i="25"/>
  <c r="BH142" i="25"/>
  <c r="AP142" i="25"/>
  <c r="BF142" i="25"/>
  <c r="BU142" i="25"/>
  <c r="BW142" i="25"/>
  <c r="AT155" i="25"/>
  <c r="AY155" i="25" s="1"/>
  <c r="AU155" i="25"/>
  <c r="AU167" i="24"/>
  <c r="BB167" i="24" s="1"/>
  <c r="AW167" i="24"/>
  <c r="AU252" i="24"/>
  <c r="BB252" i="24" s="1"/>
  <c r="AW252" i="24"/>
  <c r="AU300" i="24"/>
  <c r="BB300" i="24" s="1"/>
  <c r="AW300" i="24"/>
  <c r="AW281" i="24"/>
  <c r="AR181" i="25"/>
  <c r="BH181" i="25"/>
  <c r="AP181" i="25"/>
  <c r="BU181" i="25"/>
  <c r="BW181" i="25"/>
  <c r="BF181" i="25"/>
  <c r="AU72" i="24"/>
  <c r="BB72" i="24" s="1"/>
  <c r="AW72" i="24"/>
  <c r="AT177" i="25"/>
  <c r="AY177" i="25" s="1"/>
  <c r="AU177" i="25"/>
  <c r="AU205" i="24"/>
  <c r="BB205" i="24" s="1"/>
  <c r="AW205" i="24"/>
  <c r="AU227" i="24"/>
  <c r="BB227" i="24" s="1"/>
  <c r="AW227" i="24"/>
  <c r="AU187" i="24"/>
  <c r="BB187" i="24" s="1"/>
  <c r="AW187" i="24"/>
  <c r="AU81" i="24"/>
  <c r="BB81" i="24" s="1"/>
  <c r="AW81" i="24"/>
  <c r="BJ225" i="25"/>
  <c r="AR225" i="25"/>
  <c r="BH225" i="25"/>
  <c r="AP225" i="25"/>
  <c r="BF225" i="25"/>
  <c r="BW225" i="25"/>
  <c r="BU225" i="25"/>
  <c r="AR196" i="25"/>
  <c r="BJ196" i="25"/>
  <c r="BH196" i="25"/>
  <c r="BF196" i="25"/>
  <c r="BW196" i="25"/>
  <c r="BU196" i="25"/>
  <c r="AU185" i="24"/>
  <c r="BB185" i="24" s="1"/>
  <c r="AW185" i="24"/>
  <c r="AR68" i="25"/>
  <c r="BJ68" i="25"/>
  <c r="BH68" i="25"/>
  <c r="AP68" i="25"/>
  <c r="BW68" i="25"/>
  <c r="BU68" i="25"/>
  <c r="BF68" i="25"/>
  <c r="AU310" i="24"/>
  <c r="BB310" i="24" s="1"/>
  <c r="AW310" i="24"/>
  <c r="AR228" i="25"/>
  <c r="BH228" i="25"/>
  <c r="AP228" i="25"/>
  <c r="BU228" i="25"/>
  <c r="BW228" i="25"/>
  <c r="BF228" i="25"/>
  <c r="AR73" i="25"/>
  <c r="BJ73" i="25"/>
  <c r="BH73" i="25"/>
  <c r="AP73" i="25"/>
  <c r="BF73" i="25"/>
  <c r="BW73" i="25"/>
  <c r="BU73" i="25"/>
  <c r="AR298" i="25"/>
  <c r="BJ298" i="25"/>
  <c r="BH298" i="25"/>
  <c r="AP298" i="25"/>
  <c r="BF298" i="25"/>
  <c r="BU298" i="25"/>
  <c r="BW298" i="25"/>
  <c r="AR47" i="25"/>
  <c r="BJ47" i="25"/>
  <c r="BH47" i="25"/>
  <c r="AP47" i="25"/>
  <c r="BF47" i="25"/>
  <c r="BU47" i="25"/>
  <c r="BW47" i="25"/>
  <c r="AR187" i="25"/>
  <c r="BJ187" i="25"/>
  <c r="BH187" i="25"/>
  <c r="AP187" i="25"/>
  <c r="BW187" i="25"/>
  <c r="BF187" i="25"/>
  <c r="BU187" i="25"/>
  <c r="AR272" i="25"/>
  <c r="BH272" i="25"/>
  <c r="AP272" i="25"/>
  <c r="BF272" i="25"/>
  <c r="BW272" i="25"/>
  <c r="BU272" i="25"/>
  <c r="AU226" i="24"/>
  <c r="BB226" i="24" s="1"/>
  <c r="AW226" i="24"/>
  <c r="AW8" i="24"/>
  <c r="AR118" i="25"/>
  <c r="BJ118" i="25"/>
  <c r="BH118" i="25"/>
  <c r="AP118" i="25"/>
  <c r="BF118" i="25"/>
  <c r="BW118" i="25"/>
  <c r="BU118" i="25"/>
  <c r="AR98" i="25"/>
  <c r="BJ98" i="25"/>
  <c r="BH98" i="25"/>
  <c r="BW98" i="25"/>
  <c r="BU98" i="25"/>
  <c r="BF98" i="25"/>
  <c r="AR122" i="25"/>
  <c r="BJ122" i="25"/>
  <c r="BH122" i="25"/>
  <c r="AP122" i="25"/>
  <c r="BF122" i="25"/>
  <c r="BU122" i="25"/>
  <c r="BW122" i="25"/>
  <c r="AU60" i="24"/>
  <c r="BB60" i="24" s="1"/>
  <c r="AW60" i="24"/>
  <c r="AT240" i="25"/>
  <c r="AU240" i="25"/>
  <c r="AR74" i="25"/>
  <c r="BH74" i="25"/>
  <c r="AP74" i="25"/>
  <c r="BF74" i="25"/>
  <c r="BU74" i="25"/>
  <c r="BW74" i="25"/>
  <c r="AU306" i="24"/>
  <c r="BB306" i="24" s="1"/>
  <c r="AW306" i="24"/>
  <c r="AR55" i="25"/>
  <c r="BH55" i="25"/>
  <c r="AP55" i="25"/>
  <c r="BF55" i="25"/>
  <c r="BW55" i="25"/>
  <c r="BU55" i="25"/>
  <c r="AR200" i="25"/>
  <c r="BJ200" i="25"/>
  <c r="BH200" i="25"/>
  <c r="BF200" i="25"/>
  <c r="BU200" i="25"/>
  <c r="BW200" i="25"/>
  <c r="AU230" i="24"/>
  <c r="BB230" i="24" s="1"/>
  <c r="AW230" i="24"/>
  <c r="AR54" i="25"/>
  <c r="BJ54" i="25"/>
  <c r="BH54" i="25"/>
  <c r="AP54" i="25"/>
  <c r="BF54" i="25"/>
  <c r="BW54" i="25"/>
  <c r="BU54" i="25"/>
  <c r="AU99" i="24"/>
  <c r="BB99" i="24" s="1"/>
  <c r="AW99" i="24"/>
  <c r="AT198" i="25"/>
  <c r="AY198" i="25" s="1"/>
  <c r="AU198" i="25"/>
  <c r="AR78" i="25"/>
  <c r="BJ78" i="25"/>
  <c r="BH78" i="25"/>
  <c r="AP78" i="25"/>
  <c r="BF78" i="25"/>
  <c r="BW78" i="25"/>
  <c r="BU78" i="25"/>
  <c r="AR191" i="25"/>
  <c r="BH191" i="25"/>
  <c r="AP191" i="25"/>
  <c r="BF191" i="25"/>
  <c r="BU191" i="25"/>
  <c r="BW191" i="25"/>
  <c r="BD22" i="24"/>
  <c r="AY22" i="24"/>
  <c r="AZ22" i="24" s="1"/>
  <c r="BE22" i="24"/>
  <c r="BT22" i="24" s="1"/>
  <c r="AU80" i="24"/>
  <c r="BB80" i="24" s="1"/>
  <c r="AW80" i="24"/>
  <c r="BJ150" i="25"/>
  <c r="AR150" i="25"/>
  <c r="BH150" i="25"/>
  <c r="AP150" i="25"/>
  <c r="BF150" i="25"/>
  <c r="BU150" i="25"/>
  <c r="BW150" i="25"/>
  <c r="AU84" i="24"/>
  <c r="BB84" i="24" s="1"/>
  <c r="AW84" i="24"/>
  <c r="AU166" i="24"/>
  <c r="BB166" i="24" s="1"/>
  <c r="AW166" i="24"/>
  <c r="AU316" i="24"/>
  <c r="BB316" i="24" s="1"/>
  <c r="AW316" i="24"/>
  <c r="AR116" i="25"/>
  <c r="BH116" i="25"/>
  <c r="AP116" i="25"/>
  <c r="BW116" i="25"/>
  <c r="BF116" i="25"/>
  <c r="BU116" i="25"/>
  <c r="AU150" i="24"/>
  <c r="BB150" i="24" s="1"/>
  <c r="AW150" i="24"/>
  <c r="AR226" i="25"/>
  <c r="BJ226" i="25"/>
  <c r="BH226" i="25"/>
  <c r="AP226" i="25"/>
  <c r="BU226" i="25"/>
  <c r="BW226" i="25"/>
  <c r="BF226" i="25"/>
  <c r="AR88" i="25"/>
  <c r="BH88" i="25"/>
  <c r="AP88" i="25"/>
  <c r="BW88" i="25"/>
  <c r="BU88" i="25"/>
  <c r="BF88" i="25"/>
  <c r="AR302" i="25"/>
  <c r="BH302" i="25"/>
  <c r="AP302" i="25"/>
  <c r="BW302" i="25"/>
  <c r="BF302" i="25"/>
  <c r="BU302" i="25"/>
  <c r="AR64" i="25"/>
  <c r="BH64" i="25"/>
  <c r="AP64" i="25"/>
  <c r="BF64" i="25"/>
  <c r="BW64" i="25"/>
  <c r="BU64" i="25"/>
  <c r="AU268" i="24"/>
  <c r="BB268" i="24" s="1"/>
  <c r="AW268" i="24"/>
  <c r="AW155" i="24"/>
  <c r="AU171" i="24"/>
  <c r="BB171" i="24" s="1"/>
  <c r="AW171" i="24"/>
  <c r="AT190" i="25"/>
  <c r="AY190" i="25" s="1"/>
  <c r="AU190" i="25"/>
  <c r="AT305" i="25"/>
  <c r="AU305" i="25"/>
  <c r="AW59" i="24"/>
  <c r="AR245" i="25"/>
  <c r="BH245" i="25"/>
  <c r="AP245" i="25"/>
  <c r="BF245" i="25"/>
  <c r="BW245" i="25"/>
  <c r="BU245" i="25"/>
  <c r="AR288" i="25"/>
  <c r="BJ288" i="25"/>
  <c r="BH288" i="25"/>
  <c r="AP288" i="25"/>
  <c r="BF288" i="25"/>
  <c r="BW288" i="25"/>
  <c r="BU288" i="25"/>
  <c r="AR223" i="25"/>
  <c r="BH223" i="25"/>
  <c r="AP223" i="25"/>
  <c r="BF223" i="25"/>
  <c r="BW223" i="25"/>
  <c r="BU223" i="25"/>
  <c r="AR315" i="25"/>
  <c r="BJ315" i="25"/>
  <c r="BH315" i="25"/>
  <c r="AP315" i="25"/>
  <c r="BU315" i="25"/>
  <c r="BW315" i="25"/>
  <c r="BF315" i="25"/>
  <c r="AR278" i="25"/>
  <c r="BJ278" i="25"/>
  <c r="BH278" i="25"/>
  <c r="AP278" i="25"/>
  <c r="BF278" i="25"/>
  <c r="BW278" i="25"/>
  <c r="BU278" i="25"/>
  <c r="BJ139" i="25"/>
  <c r="AR139" i="25"/>
  <c r="BH139" i="25"/>
  <c r="AP139" i="25"/>
  <c r="BU139" i="25"/>
  <c r="BW139" i="25"/>
  <c r="BF139" i="25"/>
  <c r="AR136" i="25"/>
  <c r="BJ136" i="25"/>
  <c r="BH136" i="25"/>
  <c r="AP136" i="25"/>
  <c r="BF136" i="25"/>
  <c r="BW136" i="25"/>
  <c r="BU136" i="25"/>
  <c r="AU23" i="24"/>
  <c r="BB23" i="24" s="1"/>
  <c r="AW23" i="24"/>
  <c r="AU94" i="24"/>
  <c r="BB94" i="24" s="1"/>
  <c r="AW94" i="24"/>
  <c r="AU189" i="24"/>
  <c r="BB189" i="24" s="1"/>
  <c r="AW189" i="24"/>
  <c r="AT243" i="25"/>
  <c r="AU243" i="25"/>
  <c r="AU144" i="24"/>
  <c r="BB144" i="24" s="1"/>
  <c r="AW144" i="24"/>
  <c r="AR145" i="25"/>
  <c r="BJ145" i="25"/>
  <c r="BH145" i="25"/>
  <c r="AP145" i="25"/>
  <c r="BW145" i="25"/>
  <c r="BU145" i="25"/>
  <c r="BF145" i="25"/>
  <c r="AU170" i="24"/>
  <c r="BB170" i="24" s="1"/>
  <c r="AW170" i="24"/>
  <c r="AU315" i="24"/>
  <c r="BB315" i="24" s="1"/>
  <c r="AW315" i="24"/>
  <c r="AW123" i="24"/>
  <c r="AT21" i="25"/>
  <c r="AY21" i="25" s="1"/>
  <c r="AU21" i="25"/>
  <c r="AR221" i="25"/>
  <c r="BH221" i="25"/>
  <c r="AP221" i="25"/>
  <c r="BU221" i="25"/>
  <c r="BW221" i="25"/>
  <c r="BF221" i="25"/>
  <c r="AU200" i="24"/>
  <c r="BB200" i="24" s="1"/>
  <c r="AW200" i="24"/>
  <c r="AU124" i="24"/>
  <c r="BB124" i="24" s="1"/>
  <c r="AW124" i="24"/>
  <c r="BE55" i="24"/>
  <c r="BT55" i="24" s="1"/>
  <c r="BD55" i="24"/>
  <c r="AY55" i="24"/>
  <c r="AZ55" i="24" s="1"/>
  <c r="AR180" i="25"/>
  <c r="BH180" i="25"/>
  <c r="AP180" i="25"/>
  <c r="BU180" i="25"/>
  <c r="BW180" i="25"/>
  <c r="BF180" i="25"/>
  <c r="AU89" i="24"/>
  <c r="BB89" i="24" s="1"/>
  <c r="AW89" i="24"/>
  <c r="AW125" i="24"/>
  <c r="AU256" i="24"/>
  <c r="BB256" i="24" s="1"/>
  <c r="AW256" i="24"/>
  <c r="AW35" i="24"/>
  <c r="AR203" i="25"/>
  <c r="BJ203" i="25"/>
  <c r="BH203" i="25"/>
  <c r="BF203" i="25"/>
  <c r="BW203" i="25"/>
  <c r="BU203" i="25"/>
  <c r="AU62" i="24"/>
  <c r="BB62" i="24" s="1"/>
  <c r="AW62" i="24"/>
  <c r="AR168" i="25"/>
  <c r="BH168" i="25"/>
  <c r="AP168" i="25"/>
  <c r="BF168" i="25"/>
  <c r="BW168" i="25"/>
  <c r="BU168" i="25"/>
  <c r="AR297" i="25"/>
  <c r="BJ297" i="25"/>
  <c r="BH297" i="25"/>
  <c r="AP297" i="25"/>
  <c r="BW297" i="25"/>
  <c r="BF297" i="25"/>
  <c r="BU297" i="25"/>
  <c r="AU61" i="24"/>
  <c r="BB61" i="24" s="1"/>
  <c r="AW61" i="24"/>
  <c r="AU183" i="24"/>
  <c r="BB183" i="24" s="1"/>
  <c r="AW183" i="24"/>
  <c r="AR100" i="25"/>
  <c r="BH100" i="25"/>
  <c r="BW100" i="25"/>
  <c r="BF100" i="25"/>
  <c r="BU100" i="25"/>
  <c r="AU13" i="24"/>
  <c r="BB13" i="24" s="1"/>
  <c r="AW13" i="24"/>
  <c r="AR176" i="25"/>
  <c r="BH176" i="25"/>
  <c r="AP176" i="25"/>
  <c r="BF176" i="25"/>
  <c r="BU176" i="25"/>
  <c r="BW176" i="25"/>
  <c r="AU304" i="24"/>
  <c r="BB304" i="24" s="1"/>
  <c r="AW304" i="24"/>
  <c r="AU308" i="24"/>
  <c r="BB308" i="24" s="1"/>
  <c r="AW308" i="24"/>
  <c r="AU163" i="24"/>
  <c r="BB163" i="24" s="1"/>
  <c r="AW163" i="24"/>
  <c r="AR115" i="25"/>
  <c r="BH115" i="25"/>
  <c r="AP115" i="25"/>
  <c r="BW115" i="25"/>
  <c r="BF115" i="25"/>
  <c r="BU115" i="25"/>
  <c r="AR126" i="25"/>
  <c r="BJ126" i="25"/>
  <c r="BH126" i="25"/>
  <c r="AP126" i="25"/>
  <c r="BU126" i="25"/>
  <c r="BW126" i="25"/>
  <c r="BF126" i="25"/>
  <c r="AT71" i="25"/>
  <c r="AY71" i="25" s="1"/>
  <c r="AU71" i="25"/>
  <c r="AU276" i="24"/>
  <c r="BB276" i="24" s="1"/>
  <c r="AW276" i="24"/>
  <c r="AR295" i="25"/>
  <c r="BH295" i="25"/>
  <c r="AP295" i="25"/>
  <c r="BF295" i="25"/>
  <c r="BW295" i="25"/>
  <c r="BU295" i="25"/>
  <c r="AT276" i="25"/>
  <c r="AU276" i="25"/>
  <c r="AR284" i="25"/>
  <c r="BH284" i="25"/>
  <c r="AP284" i="25"/>
  <c r="BW284" i="25"/>
  <c r="BU284" i="25"/>
  <c r="BF284" i="25"/>
  <c r="AW249" i="24"/>
  <c r="AR117" i="25"/>
  <c r="BH117" i="25"/>
  <c r="AP117" i="25"/>
  <c r="BW117" i="25"/>
  <c r="BU117" i="25"/>
  <c r="BF117" i="25"/>
  <c r="AT6" i="25"/>
  <c r="AY6" i="25" s="1"/>
  <c r="AU6" i="25"/>
  <c r="AU195" i="24"/>
  <c r="BB195" i="24" s="1"/>
  <c r="AW195" i="24"/>
  <c r="AR162" i="25"/>
  <c r="BH162" i="25"/>
  <c r="AP162" i="25"/>
  <c r="BU162" i="25"/>
  <c r="BF162" i="25"/>
  <c r="BW162" i="25"/>
  <c r="AU161" i="24"/>
  <c r="BB161" i="24" s="1"/>
  <c r="AW161" i="24"/>
  <c r="AR133" i="25"/>
  <c r="BJ133" i="25"/>
  <c r="BH133" i="25"/>
  <c r="AP133" i="25"/>
  <c r="BF133" i="25"/>
  <c r="BU133" i="25"/>
  <c r="BW133" i="25"/>
  <c r="AU131" i="24"/>
  <c r="BB131" i="24" s="1"/>
  <c r="AW131" i="24"/>
  <c r="AT87" i="25"/>
  <c r="AY87" i="25" s="1"/>
  <c r="AU87" i="25"/>
  <c r="AT28" i="25"/>
  <c r="AY28" i="25" s="1"/>
  <c r="AU28" i="25"/>
  <c r="AW263" i="24"/>
  <c r="AR99" i="25"/>
  <c r="BH99" i="25"/>
  <c r="BU99" i="25"/>
  <c r="BF99" i="25"/>
  <c r="BW99" i="25"/>
  <c r="AY264" i="24"/>
  <c r="AZ264" i="24" s="1"/>
  <c r="BD264" i="24"/>
  <c r="BE264" i="24"/>
  <c r="BT264" i="24" s="1"/>
  <c r="AR287" i="25"/>
  <c r="BH287" i="25"/>
  <c r="AP287" i="25"/>
  <c r="BU287" i="25"/>
  <c r="BF287" i="25"/>
  <c r="BW287" i="25"/>
  <c r="AU146" i="24"/>
  <c r="BB146" i="24" s="1"/>
  <c r="AW146" i="24"/>
  <c r="AR138" i="25"/>
  <c r="BH138" i="25"/>
  <c r="AP138" i="25"/>
  <c r="BF138" i="25"/>
  <c r="BW138" i="25"/>
  <c r="BU138" i="25"/>
  <c r="AU270" i="24"/>
  <c r="BB270" i="24" s="1"/>
  <c r="AW270" i="24"/>
  <c r="AT167" i="25"/>
  <c r="AY167" i="25" s="1"/>
  <c r="AU167" i="25"/>
  <c r="AU158" i="24"/>
  <c r="BB158" i="24" s="1"/>
  <c r="AW158" i="24"/>
  <c r="AY7" i="24"/>
  <c r="AZ7" i="24" s="1"/>
  <c r="BE7" i="24"/>
  <c r="BT7" i="24" s="1"/>
  <c r="BD7" i="24"/>
  <c r="AU180" i="24"/>
  <c r="BB180" i="24" s="1"/>
  <c r="AW180" i="24"/>
  <c r="AW145" i="24"/>
  <c r="AU29" i="24"/>
  <c r="BB29" i="24" s="1"/>
  <c r="AW29" i="24"/>
  <c r="AR202" i="25"/>
  <c r="BJ202" i="25"/>
  <c r="BH202" i="25"/>
  <c r="BF202" i="25"/>
  <c r="BW202" i="25"/>
  <c r="BU202" i="25"/>
  <c r="AR44" i="25"/>
  <c r="BJ44" i="25"/>
  <c r="BH44" i="25"/>
  <c r="AP44" i="25"/>
  <c r="BW44" i="25"/>
  <c r="BU44" i="25"/>
  <c r="BF44" i="25"/>
  <c r="AT306" i="25"/>
  <c r="AU306" i="25"/>
  <c r="BJ101" i="25"/>
  <c r="AR101" i="25"/>
  <c r="BH101" i="25"/>
  <c r="BF101" i="25"/>
  <c r="BW101" i="25"/>
  <c r="BU101" i="25"/>
  <c r="AU143" i="24"/>
  <c r="BB143" i="24" s="1"/>
  <c r="AW143" i="24"/>
  <c r="AU82" i="24"/>
  <c r="BB82" i="24" s="1"/>
  <c r="AW82" i="24"/>
  <c r="AR172" i="25"/>
  <c r="BH172" i="25"/>
  <c r="AP172" i="25"/>
  <c r="BF172" i="25"/>
  <c r="BW172" i="25"/>
  <c r="BU172" i="25"/>
  <c r="AR316" i="25"/>
  <c r="BH316" i="25"/>
  <c r="AP316" i="25"/>
  <c r="BF316" i="25"/>
  <c r="BU316" i="25"/>
  <c r="BW316" i="25"/>
  <c r="AT255" i="25"/>
  <c r="AU255" i="25"/>
  <c r="AU169" i="24"/>
  <c r="BB169" i="24" s="1"/>
  <c r="AW169" i="24"/>
  <c r="AR156" i="25"/>
  <c r="BH156" i="25"/>
  <c r="AP156" i="25"/>
  <c r="BU156" i="25"/>
  <c r="BW156" i="25"/>
  <c r="BF156" i="25"/>
  <c r="AU68" i="24"/>
  <c r="BB68" i="24" s="1"/>
  <c r="AW68" i="24"/>
  <c r="AR216" i="25"/>
  <c r="BJ216" i="25"/>
  <c r="BH216" i="25"/>
  <c r="AP216" i="25"/>
  <c r="BF216" i="25"/>
  <c r="BW216" i="25"/>
  <c r="BU216" i="25"/>
  <c r="AT158" i="25"/>
  <c r="AY158" i="25" s="1"/>
  <c r="AU158" i="25"/>
  <c r="AW129" i="24"/>
  <c r="AU86" i="24"/>
  <c r="BB86" i="24" s="1"/>
  <c r="AW86" i="24"/>
  <c r="AW290" i="24"/>
  <c r="AR185" i="25"/>
  <c r="BH185" i="25"/>
  <c r="AP185" i="25"/>
  <c r="BF185" i="25"/>
  <c r="BW185" i="25"/>
  <c r="BU185" i="25"/>
  <c r="AR281" i="25"/>
  <c r="BJ281" i="25"/>
  <c r="BH281" i="25"/>
  <c r="AP281" i="25"/>
  <c r="BU281" i="25"/>
  <c r="BW281" i="25"/>
  <c r="BF281" i="25"/>
  <c r="AU289" i="24"/>
  <c r="BB289" i="24" s="1"/>
  <c r="AW289" i="24"/>
  <c r="AU64" i="24"/>
  <c r="BB64" i="24" s="1"/>
  <c r="AW64" i="24"/>
  <c r="AT261" i="25"/>
  <c r="AU261" i="25"/>
  <c r="AU174" i="24"/>
  <c r="BB174" i="24" s="1"/>
  <c r="AW174" i="24"/>
  <c r="AU221" i="24"/>
  <c r="BB221" i="24" s="1"/>
  <c r="AW221" i="24"/>
  <c r="AR48" i="25"/>
  <c r="BJ48" i="25"/>
  <c r="BH48" i="25"/>
  <c r="AP48" i="25"/>
  <c r="BF48" i="25"/>
  <c r="BU48" i="25"/>
  <c r="BW48" i="25"/>
  <c r="AU192" i="24"/>
  <c r="BB192" i="24" s="1"/>
  <c r="AW192" i="24"/>
  <c r="AT229" i="25"/>
  <c r="AU229" i="25"/>
  <c r="AU156" i="24"/>
  <c r="BB156" i="24" s="1"/>
  <c r="AW156" i="24"/>
  <c r="AR57" i="25"/>
  <c r="BJ57" i="25"/>
  <c r="BH57" i="25"/>
  <c r="AP57" i="25"/>
  <c r="BF57" i="25"/>
  <c r="BU57" i="25"/>
  <c r="BW57" i="25"/>
  <c r="AU149" i="24"/>
  <c r="BB149" i="24" s="1"/>
  <c r="AW149" i="24"/>
  <c r="AR220" i="25"/>
  <c r="BJ220" i="25"/>
  <c r="BH220" i="25"/>
  <c r="AP220" i="25"/>
  <c r="BF220" i="25"/>
  <c r="BW220" i="25"/>
  <c r="BU220" i="25"/>
  <c r="BE132" i="24"/>
  <c r="BT132" i="24" s="1"/>
  <c r="BD132" i="24"/>
  <c r="AY132" i="24"/>
  <c r="AZ132" i="24" s="1"/>
  <c r="AT174" i="25"/>
  <c r="AY174" i="25" s="1"/>
  <c r="AU174" i="25"/>
  <c r="AT32" i="25"/>
  <c r="AY32" i="25" s="1"/>
  <c r="AU32" i="25"/>
  <c r="AT94" i="25"/>
  <c r="AY94" i="25" s="1"/>
  <c r="AU94" i="25"/>
  <c r="AR210" i="25"/>
  <c r="BJ210" i="25"/>
  <c r="BH210" i="25"/>
  <c r="BF210" i="25"/>
  <c r="BU210" i="25"/>
  <c r="BW210" i="25"/>
  <c r="AR182" i="25"/>
  <c r="BH182" i="25"/>
  <c r="AP182" i="25"/>
  <c r="BF182" i="25"/>
  <c r="BW182" i="25"/>
  <c r="BU182" i="25"/>
  <c r="AU277" i="24"/>
  <c r="BB277" i="24" s="1"/>
  <c r="AW277" i="24"/>
  <c r="AU154" i="24"/>
  <c r="BB154" i="24" s="1"/>
  <c r="AW154" i="24"/>
  <c r="AW17" i="24"/>
  <c r="BJ39" i="25"/>
  <c r="AR39" i="25"/>
  <c r="BH39" i="25"/>
  <c r="AP39" i="25"/>
  <c r="BF39" i="25"/>
  <c r="BU39" i="25"/>
  <c r="BW39" i="25"/>
  <c r="AW301" i="24"/>
  <c r="AR26" i="25"/>
  <c r="BJ26" i="25"/>
  <c r="BH26" i="25"/>
  <c r="AP26" i="25"/>
  <c r="BF26" i="25"/>
  <c r="BW26" i="25"/>
  <c r="BU26" i="25"/>
  <c r="AR163" i="25"/>
  <c r="BH163" i="25"/>
  <c r="AP163" i="25"/>
  <c r="BU163" i="25"/>
  <c r="BW163" i="25"/>
  <c r="BF163" i="25"/>
  <c r="AW274" i="24"/>
  <c r="AU69" i="24"/>
  <c r="BB69" i="24" s="1"/>
  <c r="AW69" i="24"/>
  <c r="AU27" i="24"/>
  <c r="BB27" i="24" s="1"/>
  <c r="AW27" i="24"/>
  <c r="AR299" i="25"/>
  <c r="BJ299" i="25"/>
  <c r="BH299" i="25"/>
  <c r="AP299" i="25"/>
  <c r="BU299" i="25"/>
  <c r="BF299" i="25"/>
  <c r="BW299" i="25"/>
  <c r="AT273" i="25"/>
  <c r="AU273" i="25"/>
  <c r="AW273" i="24"/>
  <c r="AR81" i="25"/>
  <c r="BH81" i="25"/>
  <c r="AP81" i="25"/>
  <c r="BF81" i="25"/>
  <c r="BW81" i="25"/>
  <c r="BU81" i="25"/>
  <c r="AW48" i="24"/>
  <c r="BJ76" i="25"/>
  <c r="AR76" i="25"/>
  <c r="BH76" i="25"/>
  <c r="AP76" i="25"/>
  <c r="BF76" i="25"/>
  <c r="BU76" i="25"/>
  <c r="BW76" i="25"/>
  <c r="AR134" i="25"/>
  <c r="BJ134" i="25"/>
  <c r="BH134" i="25"/>
  <c r="AP134" i="25"/>
  <c r="BW134" i="25"/>
  <c r="BU134" i="25"/>
  <c r="BF134" i="25"/>
  <c r="AR38" i="25"/>
  <c r="BJ38" i="25"/>
  <c r="BH38" i="25"/>
  <c r="AP38" i="25"/>
  <c r="BF38" i="25"/>
  <c r="BW38" i="25"/>
  <c r="BU38" i="25"/>
  <c r="AU75" i="24"/>
  <c r="BB75" i="24" s="1"/>
  <c r="AW75" i="24"/>
  <c r="AR224" i="25"/>
  <c r="BJ224" i="25"/>
  <c r="BH224" i="25"/>
  <c r="AP224" i="25"/>
  <c r="BU224" i="25"/>
  <c r="BW224" i="25"/>
  <c r="BF224" i="25"/>
  <c r="AU217" i="24"/>
  <c r="BB217" i="24" s="1"/>
  <c r="AW217" i="24"/>
  <c r="AR70" i="25"/>
  <c r="BJ70" i="25"/>
  <c r="BH70" i="25"/>
  <c r="AP70" i="25"/>
  <c r="BF70" i="25"/>
  <c r="BW70" i="25"/>
  <c r="BU70" i="25"/>
  <c r="BD44" i="24"/>
  <c r="BE44" i="24"/>
  <c r="BT44" i="24" s="1"/>
  <c r="AY44" i="24"/>
  <c r="AZ44" i="24" s="1"/>
  <c r="AT296" i="25"/>
  <c r="AU296" i="25"/>
  <c r="AU76" i="24"/>
  <c r="BB76" i="24" s="1"/>
  <c r="AW76" i="24"/>
  <c r="AR151" i="25"/>
  <c r="BH151" i="25"/>
  <c r="AP151" i="25"/>
  <c r="BF151" i="25"/>
  <c r="BU151" i="25"/>
  <c r="BW151" i="25"/>
  <c r="AT189" i="25"/>
  <c r="AY189" i="25" s="1"/>
  <c r="AU189" i="25"/>
  <c r="AR140" i="25"/>
  <c r="BJ140" i="25"/>
  <c r="BH140" i="25"/>
  <c r="AP140" i="25"/>
  <c r="BF140" i="25"/>
  <c r="BU140" i="25"/>
  <c r="BW140" i="25"/>
  <c r="BE101" i="24"/>
  <c r="BT101" i="24" s="1"/>
  <c r="BD101" i="24"/>
  <c r="AY101" i="24"/>
  <c r="AZ101" i="24" s="1"/>
  <c r="AR254" i="25"/>
  <c r="BJ254" i="25"/>
  <c r="BH254" i="25"/>
  <c r="AP254" i="25"/>
  <c r="BF254" i="25"/>
  <c r="BW254" i="25"/>
  <c r="BU254" i="25"/>
  <c r="AT293" i="25"/>
  <c r="AU293" i="25"/>
  <c r="AW269" i="24"/>
  <c r="AU312" i="24"/>
  <c r="BB312" i="24" s="1"/>
  <c r="AW312" i="24"/>
  <c r="AU198" i="24"/>
  <c r="BB198" i="24" s="1"/>
  <c r="AW198" i="24"/>
  <c r="AR130" i="25"/>
  <c r="BH130" i="25"/>
  <c r="AP130" i="25"/>
  <c r="BF130" i="25"/>
  <c r="BU130" i="25"/>
  <c r="BW130" i="25"/>
  <c r="AR279" i="25"/>
  <c r="BJ279" i="25"/>
  <c r="BH279" i="25"/>
  <c r="AP279" i="25"/>
  <c r="BF279" i="25"/>
  <c r="BU279" i="25"/>
  <c r="BW279" i="25"/>
  <c r="AR308" i="25"/>
  <c r="BJ308" i="25"/>
  <c r="BH308" i="25"/>
  <c r="AP308" i="25"/>
  <c r="BW308" i="25"/>
  <c r="BU308" i="25"/>
  <c r="BF308" i="25"/>
  <c r="AU151" i="24"/>
  <c r="BB151" i="24" s="1"/>
  <c r="AW151" i="24"/>
  <c r="AU176" i="24"/>
  <c r="BB176" i="24" s="1"/>
  <c r="AW176" i="24"/>
  <c r="AU182" i="24"/>
  <c r="BB182" i="24" s="1"/>
  <c r="AW182" i="24"/>
  <c r="BJ66" i="25"/>
  <c r="AR66" i="25"/>
  <c r="BH66" i="25"/>
  <c r="AP66" i="25"/>
  <c r="BF66" i="25"/>
  <c r="BU66" i="25"/>
  <c r="BW66" i="25"/>
  <c r="AT148" i="25"/>
  <c r="AY148" i="25" s="1"/>
  <c r="AU148" i="25"/>
  <c r="AU98" i="24"/>
  <c r="BB98" i="24" s="1"/>
  <c r="AW98" i="24"/>
  <c r="AU287" i="24"/>
  <c r="BB287" i="24" s="1"/>
  <c r="AW287" i="24"/>
  <c r="AR304" i="25"/>
  <c r="BJ304" i="25"/>
  <c r="BH304" i="25"/>
  <c r="AP304" i="25"/>
  <c r="BW304" i="25"/>
  <c r="BU304" i="25"/>
  <c r="BF304" i="25"/>
  <c r="AT201" i="25"/>
  <c r="AY201" i="25" s="1"/>
  <c r="AU201" i="25"/>
  <c r="E84" i="1" l="1"/>
  <c r="E85" i="1" s="1"/>
  <c r="AU11" i="25"/>
  <c r="AT104" i="25"/>
  <c r="AY104" i="25" s="1"/>
  <c r="AT96" i="25"/>
  <c r="AY96" i="25" s="1"/>
  <c r="AT258" i="25"/>
  <c r="BD12" i="24"/>
  <c r="BG12" i="24" s="1"/>
  <c r="BM12" i="24" s="1"/>
  <c r="AU97" i="25"/>
  <c r="BB97" i="25" s="1"/>
  <c r="BS97" i="25" s="1"/>
  <c r="BE240" i="24"/>
  <c r="BT240" i="24" s="1"/>
  <c r="BD283" i="24"/>
  <c r="BS283" i="24" s="1"/>
  <c r="BD147" i="24"/>
  <c r="BG147" i="24" s="1"/>
  <c r="AY147" i="24"/>
  <c r="AZ147" i="24" s="1"/>
  <c r="BX292" i="24"/>
  <c r="AT179" i="25"/>
  <c r="AY179" i="25" s="1"/>
  <c r="AU265" i="25"/>
  <c r="BB265" i="25" s="1"/>
  <c r="BS265" i="25" s="1"/>
  <c r="BD18" i="24"/>
  <c r="BS18" i="24" s="1"/>
  <c r="BV18" i="24" s="1"/>
  <c r="BX18" i="24" s="1"/>
  <c r="AU154" i="25"/>
  <c r="BB154" i="25" s="1"/>
  <c r="BS154" i="25" s="1"/>
  <c r="BE259" i="24"/>
  <c r="BT259" i="24" s="1"/>
  <c r="BE283" i="24"/>
  <c r="BT283" i="24" s="1"/>
  <c r="BD219" i="24"/>
  <c r="BG219" i="24" s="1"/>
  <c r="BE219" i="24"/>
  <c r="BT219" i="24" s="1"/>
  <c r="BE260" i="24"/>
  <c r="BT260" i="24" s="1"/>
  <c r="BE265" i="24"/>
  <c r="BT265" i="24" s="1"/>
  <c r="AY260" i="24"/>
  <c r="AZ260" i="24" s="1"/>
  <c r="BD265" i="24"/>
  <c r="BG265" i="24" s="1"/>
  <c r="AY12" i="24"/>
  <c r="AZ12" i="24" s="1"/>
  <c r="BE111" i="24"/>
  <c r="BT111" i="24" s="1"/>
  <c r="AY111" i="24"/>
  <c r="AZ111" i="24" s="1"/>
  <c r="BE120" i="24"/>
  <c r="BT120" i="24" s="1"/>
  <c r="AY305" i="24"/>
  <c r="AZ305" i="24" s="1"/>
  <c r="BD120" i="24"/>
  <c r="BS120" i="24" s="1"/>
  <c r="AY18" i="24"/>
  <c r="AZ18" i="24" s="1"/>
  <c r="AY259" i="24"/>
  <c r="AZ259" i="24" s="1"/>
  <c r="AY240" i="24"/>
  <c r="AZ240" i="24" s="1"/>
  <c r="BE242" i="24"/>
  <c r="BT242" i="24" s="1"/>
  <c r="BD242" i="24"/>
  <c r="BG242" i="24" s="1"/>
  <c r="BE135" i="24"/>
  <c r="BT135" i="24" s="1"/>
  <c r="AY135" i="24"/>
  <c r="AZ135" i="24" s="1"/>
  <c r="BD295" i="24"/>
  <c r="BG295" i="24" s="1"/>
  <c r="BE295" i="24"/>
  <c r="BT295" i="24" s="1"/>
  <c r="BD298" i="24"/>
  <c r="BG298" i="24" s="1"/>
  <c r="AY298" i="24"/>
  <c r="AZ298" i="24" s="1"/>
  <c r="BE26" i="24"/>
  <c r="BT26" i="24" s="1"/>
  <c r="BD112" i="24"/>
  <c r="BG112" i="24" s="1"/>
  <c r="AY248" i="24"/>
  <c r="AZ248" i="24" s="1"/>
  <c r="BD121" i="24"/>
  <c r="BS121" i="24" s="1"/>
  <c r="BE121" i="24"/>
  <c r="BT121" i="24" s="1"/>
  <c r="BD34" i="24"/>
  <c r="BG34" i="24" s="1"/>
  <c r="BM34" i="24" s="1"/>
  <c r="AY19" i="24"/>
  <c r="AZ19" i="24" s="1"/>
  <c r="BE247" i="24"/>
  <c r="BT247" i="24" s="1"/>
  <c r="BE19" i="24"/>
  <c r="BT19" i="24" s="1"/>
  <c r="AY279" i="24"/>
  <c r="AZ279" i="24" s="1"/>
  <c r="BD279" i="24"/>
  <c r="BG279" i="24" s="1"/>
  <c r="BE117" i="24"/>
  <c r="BT117" i="24" s="1"/>
  <c r="BD253" i="24"/>
  <c r="BG253" i="24" s="1"/>
  <c r="AY253" i="24"/>
  <c r="AZ253" i="24" s="1"/>
  <c r="BE296" i="24"/>
  <c r="BT296" i="24" s="1"/>
  <c r="BD296" i="24"/>
  <c r="BG296" i="24" s="1"/>
  <c r="BD26" i="24"/>
  <c r="BS26" i="24" s="1"/>
  <c r="AY228" i="24"/>
  <c r="AZ228" i="24" s="1"/>
  <c r="BD20" i="24"/>
  <c r="BG20" i="24" s="1"/>
  <c r="BM20" i="24" s="1"/>
  <c r="BD247" i="24"/>
  <c r="BG247" i="24" s="1"/>
  <c r="BD232" i="24"/>
  <c r="BG232" i="24" s="1"/>
  <c r="AY232" i="24"/>
  <c r="AZ232" i="24" s="1"/>
  <c r="AY20" i="24"/>
  <c r="AZ20" i="24" s="1"/>
  <c r="BE34" i="24"/>
  <c r="BT34" i="24" s="1"/>
  <c r="BD228" i="24"/>
  <c r="BS228" i="24" s="1"/>
  <c r="BX228" i="24" s="1"/>
  <c r="BE130" i="24"/>
  <c r="BT130" i="24" s="1"/>
  <c r="BD130" i="24"/>
  <c r="BG130" i="24" s="1"/>
  <c r="BD28" i="24"/>
  <c r="BS28" i="24" s="1"/>
  <c r="BV28" i="24" s="1"/>
  <c r="BX28" i="24" s="1"/>
  <c r="BD238" i="24"/>
  <c r="BG238" i="24" s="1"/>
  <c r="AY280" i="24"/>
  <c r="AZ280" i="24" s="1"/>
  <c r="AY28" i="24"/>
  <c r="AZ28" i="24" s="1"/>
  <c r="BE238" i="24"/>
  <c r="BT238" i="24" s="1"/>
  <c r="AY33" i="24"/>
  <c r="AZ33" i="24" s="1"/>
  <c r="BD280" i="24"/>
  <c r="BG280" i="24" s="1"/>
  <c r="AY6" i="24"/>
  <c r="AZ6" i="24" s="1"/>
  <c r="BE152" i="24"/>
  <c r="BT152" i="24" s="1"/>
  <c r="BD152" i="24"/>
  <c r="BS152" i="24" s="1"/>
  <c r="AY282" i="24"/>
  <c r="AZ282" i="24" s="1"/>
  <c r="AT237" i="25"/>
  <c r="AU237" i="25"/>
  <c r="AS212" i="25"/>
  <c r="AF212" i="25"/>
  <c r="AE212" i="25"/>
  <c r="BD282" i="24"/>
  <c r="BG282" i="24" s="1"/>
  <c r="BE6" i="24"/>
  <c r="BT6" i="24" s="1"/>
  <c r="BE112" i="24"/>
  <c r="BT112" i="24" s="1"/>
  <c r="AY224" i="24"/>
  <c r="AZ224" i="24" s="1"/>
  <c r="BD117" i="24"/>
  <c r="BG117" i="24" s="1"/>
  <c r="BD224" i="24"/>
  <c r="BS224" i="24" s="1"/>
  <c r="BX224" i="24" s="1"/>
  <c r="BE58" i="24"/>
  <c r="BT58" i="24" s="1"/>
  <c r="BD299" i="24"/>
  <c r="BG299" i="24" s="1"/>
  <c r="BD148" i="24"/>
  <c r="BG148" i="24" s="1"/>
  <c r="AY58" i="24"/>
  <c r="AZ58" i="24" s="1"/>
  <c r="AY148" i="24"/>
  <c r="AZ148" i="24" s="1"/>
  <c r="BE33" i="24"/>
  <c r="BT33" i="24" s="1"/>
  <c r="BE248" i="24"/>
  <c r="BT248" i="24" s="1"/>
  <c r="AT77" i="25"/>
  <c r="AY77" i="25" s="1"/>
  <c r="AU77" i="25"/>
  <c r="BE299" i="24"/>
  <c r="BT299" i="24" s="1"/>
  <c r="BD54" i="24"/>
  <c r="BG54" i="24" s="1"/>
  <c r="BM54" i="24" s="1"/>
  <c r="AY24" i="24"/>
  <c r="AZ24" i="24" s="1"/>
  <c r="AY54" i="24"/>
  <c r="AZ54" i="24" s="1"/>
  <c r="BD24" i="24"/>
  <c r="BG24" i="24" s="1"/>
  <c r="BM24" i="24" s="1"/>
  <c r="BD305" i="24"/>
  <c r="BG305" i="24" s="1"/>
  <c r="BE269" i="24"/>
  <c r="BT269" i="24" s="1"/>
  <c r="AY269" i="24"/>
  <c r="AZ269" i="24" s="1"/>
  <c r="BD269" i="24"/>
  <c r="AT163" i="25"/>
  <c r="AY163" i="25" s="1"/>
  <c r="AU163" i="25"/>
  <c r="AT66" i="25"/>
  <c r="AY66" i="25" s="1"/>
  <c r="AU66" i="25"/>
  <c r="AT130" i="25"/>
  <c r="AY130" i="25" s="1"/>
  <c r="AU130" i="25"/>
  <c r="AT140" i="25"/>
  <c r="AY140" i="25" s="1"/>
  <c r="AU140" i="25"/>
  <c r="BB296" i="25"/>
  <c r="BS296" i="25" s="1"/>
  <c r="BA296" i="25"/>
  <c r="BC296" i="25"/>
  <c r="BT296" i="25" s="1"/>
  <c r="AT224" i="25"/>
  <c r="AU224" i="25"/>
  <c r="AT134" i="25"/>
  <c r="AY134" i="25" s="1"/>
  <c r="AU134" i="25"/>
  <c r="AT26" i="25"/>
  <c r="AY26" i="25" s="1"/>
  <c r="AU26" i="25"/>
  <c r="BE154" i="24"/>
  <c r="BT154" i="24" s="1"/>
  <c r="AY154" i="24"/>
  <c r="AZ154" i="24" s="1"/>
  <c r="BD154" i="24"/>
  <c r="AT220" i="25"/>
  <c r="AU220" i="25"/>
  <c r="L16" i="1"/>
  <c r="BE169" i="24"/>
  <c r="BT169" i="24" s="1"/>
  <c r="BD169" i="24"/>
  <c r="AY169" i="24"/>
  <c r="AZ169" i="24" s="1"/>
  <c r="AT101" i="25"/>
  <c r="AY101" i="25" s="1"/>
  <c r="AU101" i="25"/>
  <c r="AY29" i="24"/>
  <c r="AZ29" i="24" s="1"/>
  <c r="BD29" i="24"/>
  <c r="BE29" i="24"/>
  <c r="BT29" i="24" s="1"/>
  <c r="AT133" i="25"/>
  <c r="AY133" i="25" s="1"/>
  <c r="AU133" i="25"/>
  <c r="AT297" i="25"/>
  <c r="AU297" i="25"/>
  <c r="BD144" i="24"/>
  <c r="BE144" i="24"/>
  <c r="BT144" i="24" s="1"/>
  <c r="AY144" i="24"/>
  <c r="AZ144" i="24" s="1"/>
  <c r="AT139" i="25"/>
  <c r="AY139" i="25" s="1"/>
  <c r="AU139" i="25"/>
  <c r="AT278" i="25"/>
  <c r="AU278" i="25"/>
  <c r="AT315" i="25"/>
  <c r="AU315" i="25"/>
  <c r="BD171" i="24"/>
  <c r="AY171" i="24"/>
  <c r="AZ171" i="24" s="1"/>
  <c r="BE171" i="24"/>
  <c r="BT171" i="24" s="1"/>
  <c r="BD316" i="24"/>
  <c r="BE316" i="24"/>
  <c r="BT316" i="24" s="1"/>
  <c r="AY316" i="24"/>
  <c r="AZ316" i="24" s="1"/>
  <c r="BB198" i="25"/>
  <c r="BS198" i="25" s="1"/>
  <c r="BC198" i="25"/>
  <c r="BT198" i="25" s="1"/>
  <c r="BA198" i="25"/>
  <c r="BD99" i="24"/>
  <c r="AY99" i="24"/>
  <c r="AZ99" i="24" s="1"/>
  <c r="BE99" i="24"/>
  <c r="BT99" i="24" s="1"/>
  <c r="BD306" i="24"/>
  <c r="BE306" i="24"/>
  <c r="BT306" i="24" s="1"/>
  <c r="AY306" i="24"/>
  <c r="AZ306" i="24" s="1"/>
  <c r="AT118" i="25"/>
  <c r="AY118" i="25" s="1"/>
  <c r="AU118" i="25"/>
  <c r="BD310" i="24"/>
  <c r="AY310" i="24"/>
  <c r="AZ310" i="24" s="1"/>
  <c r="BE310" i="24"/>
  <c r="BT310" i="24" s="1"/>
  <c r="AT68" i="25"/>
  <c r="AY68" i="25" s="1"/>
  <c r="AU68" i="25"/>
  <c r="BC177" i="25"/>
  <c r="BT177" i="25" s="1"/>
  <c r="BA177" i="25"/>
  <c r="BB177" i="25"/>
  <c r="BS177" i="25" s="1"/>
  <c r="BA292" i="25"/>
  <c r="BC292" i="25"/>
  <c r="BT292" i="25" s="1"/>
  <c r="BB292" i="25"/>
  <c r="BS292" i="25" s="1"/>
  <c r="AT289" i="25"/>
  <c r="AU289" i="25"/>
  <c r="BG142" i="24"/>
  <c r="BS142" i="24"/>
  <c r="BX142" i="24" s="1"/>
  <c r="AT85" i="25"/>
  <c r="AY85" i="25" s="1"/>
  <c r="AU85" i="25"/>
  <c r="BE105" i="24"/>
  <c r="BT105" i="24" s="1"/>
  <c r="AY105" i="24"/>
  <c r="AZ105" i="24" s="1"/>
  <c r="BD105" i="24"/>
  <c r="BE311" i="24"/>
  <c r="BT311" i="24" s="1"/>
  <c r="AY311" i="24"/>
  <c r="AZ311" i="24" s="1"/>
  <c r="BD311" i="24"/>
  <c r="AT244" i="25"/>
  <c r="AU244" i="25"/>
  <c r="AT60" i="25"/>
  <c r="AY60" i="25" s="1"/>
  <c r="AU60" i="25"/>
  <c r="BD51" i="24"/>
  <c r="AY51" i="24"/>
  <c r="AZ51" i="24" s="1"/>
  <c r="BE51" i="24"/>
  <c r="BT51" i="24" s="1"/>
  <c r="AT157" i="25"/>
  <c r="AY157" i="25" s="1"/>
  <c r="AU157" i="25"/>
  <c r="BD285" i="24"/>
  <c r="AY285" i="24"/>
  <c r="AZ285" i="24" s="1"/>
  <c r="BE285" i="24"/>
  <c r="BT285" i="24" s="1"/>
  <c r="BA257" i="25"/>
  <c r="BC257" i="25"/>
  <c r="BT257" i="25" s="1"/>
  <c r="BB257" i="25"/>
  <c r="BS257" i="25" s="1"/>
  <c r="AT286" i="25"/>
  <c r="AU286" i="25"/>
  <c r="AT264" i="25"/>
  <c r="AU264" i="25"/>
  <c r="BA248" i="25"/>
  <c r="BC248" i="25"/>
  <c r="BT248" i="25" s="1"/>
  <c r="BB248" i="25"/>
  <c r="BS248" i="25" s="1"/>
  <c r="AY31" i="24"/>
  <c r="AZ31" i="24" s="1"/>
  <c r="BE31" i="24"/>
  <c r="BT31" i="24" s="1"/>
  <c r="BD31" i="24"/>
  <c r="AY10" i="24"/>
  <c r="AZ10" i="24" s="1"/>
  <c r="BD10" i="24"/>
  <c r="BE10" i="24"/>
  <c r="BT10" i="24" s="1"/>
  <c r="AY313" i="24"/>
  <c r="AZ313" i="24" s="1"/>
  <c r="BD313" i="24"/>
  <c r="BE313" i="24"/>
  <c r="BT313" i="24" s="1"/>
  <c r="BD140" i="24"/>
  <c r="AY140" i="24"/>
  <c r="AZ140" i="24" s="1"/>
  <c r="BE140" i="24"/>
  <c r="BT140" i="24" s="1"/>
  <c r="BS45" i="24"/>
  <c r="BV45" i="24" s="1"/>
  <c r="BX45" i="24" s="1"/>
  <c r="BG45" i="24"/>
  <c r="BM45" i="24" s="1"/>
  <c r="AT307" i="25"/>
  <c r="AU307" i="25"/>
  <c r="BE143" i="25"/>
  <c r="BR143" i="25"/>
  <c r="BX143" i="25" s="1"/>
  <c r="BG119" i="24"/>
  <c r="BS119" i="24"/>
  <c r="BX119" i="24" s="1"/>
  <c r="AT183" i="25"/>
  <c r="AY183" i="25" s="1"/>
  <c r="AU183" i="25"/>
  <c r="BE16" i="24"/>
  <c r="BT16" i="24" s="1"/>
  <c r="BD16" i="24"/>
  <c r="AY16" i="24"/>
  <c r="AZ16" i="24" s="1"/>
  <c r="BG160" i="24"/>
  <c r="BS160" i="24"/>
  <c r="BX160" i="24" s="1"/>
  <c r="AY104" i="24"/>
  <c r="AZ104" i="24" s="1"/>
  <c r="BD104" i="24"/>
  <c r="BE104" i="24"/>
  <c r="BT104" i="24" s="1"/>
  <c r="AT65" i="25"/>
  <c r="AY65" i="25" s="1"/>
  <c r="AU65" i="25"/>
  <c r="BE40" i="24"/>
  <c r="BT40" i="24" s="1"/>
  <c r="AY40" i="24"/>
  <c r="AZ40" i="24" s="1"/>
  <c r="BD40" i="24"/>
  <c r="BE234" i="24"/>
  <c r="BT234" i="24" s="1"/>
  <c r="BD234" i="24"/>
  <c r="AY234" i="24"/>
  <c r="AZ234" i="24" s="1"/>
  <c r="AT20" i="25"/>
  <c r="AY20" i="25" s="1"/>
  <c r="AU20" i="25"/>
  <c r="BD73" i="24"/>
  <c r="AY73" i="24"/>
  <c r="AZ73" i="24" s="1"/>
  <c r="BE73" i="24"/>
  <c r="BT73" i="24" s="1"/>
  <c r="BC173" i="25"/>
  <c r="BT173" i="25" s="1"/>
  <c r="BB173" i="25"/>
  <c r="BS173" i="25" s="1"/>
  <c r="BA173" i="25"/>
  <c r="BE103" i="24"/>
  <c r="BT103" i="24" s="1"/>
  <c r="BD103" i="24"/>
  <c r="AY103" i="24"/>
  <c r="AZ103" i="24" s="1"/>
  <c r="AT241" i="25"/>
  <c r="AU241" i="25"/>
  <c r="BE100" i="24"/>
  <c r="BT100" i="24" s="1"/>
  <c r="BD100" i="24"/>
  <c r="AY100" i="24"/>
  <c r="AZ100" i="24" s="1"/>
  <c r="BC104" i="25"/>
  <c r="BT104" i="25" s="1"/>
  <c r="BA104" i="25"/>
  <c r="BB104" i="25"/>
  <c r="BS104" i="25" s="1"/>
  <c r="BE151" i="24"/>
  <c r="BT151" i="24" s="1"/>
  <c r="BD151" i="24"/>
  <c r="AY151" i="24"/>
  <c r="AZ151" i="24" s="1"/>
  <c r="AT308" i="25"/>
  <c r="AU308" i="25"/>
  <c r="AT279" i="25"/>
  <c r="AU279" i="25"/>
  <c r="BD75" i="24"/>
  <c r="AY75" i="24"/>
  <c r="AZ75" i="24" s="1"/>
  <c r="BE75" i="24"/>
  <c r="BT75" i="24" s="1"/>
  <c r="AT38" i="25"/>
  <c r="AY38" i="25" s="1"/>
  <c r="AU38" i="25"/>
  <c r="AY48" i="24"/>
  <c r="AZ48" i="24" s="1"/>
  <c r="BE48" i="24"/>
  <c r="BT48" i="24" s="1"/>
  <c r="BD48" i="24"/>
  <c r="AT81" i="25"/>
  <c r="AY81" i="25" s="1"/>
  <c r="AU81" i="25"/>
  <c r="BE129" i="24"/>
  <c r="BT129" i="24" s="1"/>
  <c r="BD129" i="24"/>
  <c r="AY129" i="24"/>
  <c r="AZ129" i="24" s="1"/>
  <c r="BD263" i="24"/>
  <c r="AY263" i="24"/>
  <c r="AZ263" i="24" s="1"/>
  <c r="BE263" i="24"/>
  <c r="BT263" i="24" s="1"/>
  <c r="BD195" i="24"/>
  <c r="AY195" i="24"/>
  <c r="AZ195" i="24" s="1"/>
  <c r="BE195" i="24"/>
  <c r="BT195" i="24" s="1"/>
  <c r="BA276" i="25"/>
  <c r="BB276" i="25"/>
  <c r="BS276" i="25" s="1"/>
  <c r="BC276" i="25"/>
  <c r="BT276" i="25" s="1"/>
  <c r="AT295" i="25"/>
  <c r="AU295" i="25"/>
  <c r="AT115" i="25"/>
  <c r="AY115" i="25" s="1"/>
  <c r="AU115" i="25"/>
  <c r="BE61" i="24"/>
  <c r="BT61" i="24" s="1"/>
  <c r="BD61" i="24"/>
  <c r="AY61" i="24"/>
  <c r="AZ61" i="24" s="1"/>
  <c r="AY62" i="24"/>
  <c r="AZ62" i="24" s="1"/>
  <c r="BE62" i="24"/>
  <c r="BT62" i="24" s="1"/>
  <c r="BD62" i="24"/>
  <c r="BE256" i="24"/>
  <c r="BT256" i="24" s="1"/>
  <c r="AY256" i="24"/>
  <c r="AZ256" i="24" s="1"/>
  <c r="BD256" i="24"/>
  <c r="BS55" i="24"/>
  <c r="BV55" i="24" s="1"/>
  <c r="BX55" i="24" s="1"/>
  <c r="BG55" i="24"/>
  <c r="BM55" i="24" s="1"/>
  <c r="AT288" i="25"/>
  <c r="AU288" i="25"/>
  <c r="AT245" i="25"/>
  <c r="AU245" i="25"/>
  <c r="BG111" i="24"/>
  <c r="BS111" i="24"/>
  <c r="BD8" i="24"/>
  <c r="BE8" i="24"/>
  <c r="BT8" i="24" s="1"/>
  <c r="AY8" i="24"/>
  <c r="AZ8" i="24" s="1"/>
  <c r="AT187" i="25"/>
  <c r="AY187" i="25" s="1"/>
  <c r="AU187" i="25"/>
  <c r="BD185" i="24"/>
  <c r="AY185" i="24"/>
  <c r="AZ185" i="24" s="1"/>
  <c r="BE185" i="24"/>
  <c r="BT185" i="24" s="1"/>
  <c r="AT225" i="25"/>
  <c r="AU225" i="25"/>
  <c r="BE252" i="24"/>
  <c r="BT252" i="24" s="1"/>
  <c r="AY252" i="24"/>
  <c r="AZ252" i="24" s="1"/>
  <c r="BD252" i="24"/>
  <c r="AY271" i="24"/>
  <c r="AZ271" i="24" s="1"/>
  <c r="BD271" i="24"/>
  <c r="BE271" i="24"/>
  <c r="BT271" i="24" s="1"/>
  <c r="AT270" i="25"/>
  <c r="AU270" i="25"/>
  <c r="AT251" i="25"/>
  <c r="AU251" i="25"/>
  <c r="AT197" i="25"/>
  <c r="AY197" i="25" s="1"/>
  <c r="AU197" i="25"/>
  <c r="BG190" i="24"/>
  <c r="BS190" i="24"/>
  <c r="BX190" i="24" s="1"/>
  <c r="AT69" i="25"/>
  <c r="AY69" i="25" s="1"/>
  <c r="AU69" i="25"/>
  <c r="BE71" i="24"/>
  <c r="BT71" i="24" s="1"/>
  <c r="AY71" i="24"/>
  <c r="AZ71" i="24" s="1"/>
  <c r="BD71" i="24"/>
  <c r="AT266" i="25"/>
  <c r="AU266" i="25"/>
  <c r="AT91" i="25"/>
  <c r="AY91" i="25" s="1"/>
  <c r="AU91" i="25"/>
  <c r="BC92" i="25"/>
  <c r="BT92" i="25" s="1"/>
  <c r="BB92" i="25"/>
  <c r="BS92" i="25" s="1"/>
  <c r="BA92" i="25"/>
  <c r="BE128" i="24"/>
  <c r="BT128" i="24" s="1"/>
  <c r="BD128" i="24"/>
  <c r="AY128" i="24"/>
  <c r="AZ128" i="24" s="1"/>
  <c r="BE32" i="24"/>
  <c r="BT32" i="24" s="1"/>
  <c r="BD32" i="24"/>
  <c r="AY32" i="24"/>
  <c r="AZ32" i="24" s="1"/>
  <c r="BA199" i="25"/>
  <c r="BB199" i="25"/>
  <c r="BS199" i="25" s="1"/>
  <c r="BC199" i="25"/>
  <c r="BT199" i="25" s="1"/>
  <c r="BE91" i="24"/>
  <c r="BT91" i="24" s="1"/>
  <c r="BD91" i="24"/>
  <c r="AY91" i="24"/>
  <c r="AZ91" i="24" s="1"/>
  <c r="AT149" i="25"/>
  <c r="AY149" i="25" s="1"/>
  <c r="AU149" i="25"/>
  <c r="AT271" i="25"/>
  <c r="AU271" i="25"/>
  <c r="AT152" i="25"/>
  <c r="AY152" i="25" s="1"/>
  <c r="AU152" i="25"/>
  <c r="BE122" i="24"/>
  <c r="BT122" i="24" s="1"/>
  <c r="BD122" i="24"/>
  <c r="AY122" i="24"/>
  <c r="AZ122" i="24" s="1"/>
  <c r="AT252" i="25"/>
  <c r="AU252" i="25"/>
  <c r="BE56" i="24"/>
  <c r="BT56" i="24" s="1"/>
  <c r="AY56" i="24"/>
  <c r="AZ56" i="24" s="1"/>
  <c r="BD56" i="24"/>
  <c r="AT166" i="25"/>
  <c r="AY166" i="25" s="1"/>
  <c r="AU166" i="25"/>
  <c r="BG162" i="24"/>
  <c r="BS162" i="24"/>
  <c r="BX162" i="24" s="1"/>
  <c r="BC31" i="25"/>
  <c r="BT31" i="25" s="1"/>
  <c r="BB31" i="25"/>
  <c r="BS31" i="25" s="1"/>
  <c r="BA31" i="25"/>
  <c r="BE83" i="24"/>
  <c r="BT83" i="24" s="1"/>
  <c r="BD83" i="24"/>
  <c r="AY83" i="24"/>
  <c r="AZ83" i="24" s="1"/>
  <c r="AT309" i="25"/>
  <c r="AU309" i="25"/>
  <c r="AT205" i="25"/>
  <c r="AY205" i="25" s="1"/>
  <c r="AU205" i="25"/>
  <c r="AT58" i="25"/>
  <c r="AY58" i="25" s="1"/>
  <c r="AU58" i="25"/>
  <c r="BD137" i="24"/>
  <c r="BE137" i="24"/>
  <c r="BT137" i="24" s="1"/>
  <c r="AY137" i="24"/>
  <c r="AZ137" i="24" s="1"/>
  <c r="BG257" i="24"/>
  <c r="BS257" i="24"/>
  <c r="BX257" i="24" s="1"/>
  <c r="AT17" i="25"/>
  <c r="AY17" i="25" s="1"/>
  <c r="AU17" i="25"/>
  <c r="BD14" i="24"/>
  <c r="BE14" i="24"/>
  <c r="BT14" i="24" s="1"/>
  <c r="AY14" i="24"/>
  <c r="AZ14" i="24" s="1"/>
  <c r="AT41" i="25"/>
  <c r="AY41" i="25" s="1"/>
  <c r="AU41" i="25"/>
  <c r="AT67" i="25"/>
  <c r="AY67" i="25" s="1"/>
  <c r="AU67" i="25"/>
  <c r="AT303" i="25"/>
  <c r="AU303" i="25"/>
  <c r="BA95" i="25"/>
  <c r="BC95" i="25"/>
  <c r="BT95" i="25" s="1"/>
  <c r="BB95" i="25"/>
  <c r="BS95" i="25" s="1"/>
  <c r="AT235" i="25"/>
  <c r="AU235" i="25"/>
  <c r="BG233" i="24"/>
  <c r="BS233" i="24"/>
  <c r="BX233" i="24" s="1"/>
  <c r="BE57" i="24"/>
  <c r="BT57" i="24" s="1"/>
  <c r="BD57" i="24"/>
  <c r="AY57" i="24"/>
  <c r="AZ57" i="24" s="1"/>
  <c r="BE255" i="24"/>
  <c r="BT255" i="24" s="1"/>
  <c r="BD255" i="24"/>
  <c r="AY255" i="24"/>
  <c r="AZ255" i="24" s="1"/>
  <c r="AY218" i="24"/>
  <c r="AZ218" i="24" s="1"/>
  <c r="BD218" i="24"/>
  <c r="BE218" i="24"/>
  <c r="BT218" i="24" s="1"/>
  <c r="AY138" i="24"/>
  <c r="AZ138" i="24" s="1"/>
  <c r="BE138" i="24"/>
  <c r="BT138" i="24" s="1"/>
  <c r="BD138" i="24"/>
  <c r="BE90" i="24"/>
  <c r="BT90" i="24" s="1"/>
  <c r="AY90" i="24"/>
  <c r="AZ90" i="24" s="1"/>
  <c r="BD90" i="24"/>
  <c r="BD38" i="24"/>
  <c r="BE38" i="24"/>
  <c r="BT38" i="24" s="1"/>
  <c r="AY38" i="24"/>
  <c r="AZ38" i="24" s="1"/>
  <c r="BE258" i="24"/>
  <c r="BT258" i="24" s="1"/>
  <c r="BD258" i="24"/>
  <c r="AY258" i="24"/>
  <c r="AZ258" i="24" s="1"/>
  <c r="AT124" i="25"/>
  <c r="AY124" i="25" s="1"/>
  <c r="AU124" i="25"/>
  <c r="AT193" i="25"/>
  <c r="AY193" i="25" s="1"/>
  <c r="AU193" i="25"/>
  <c r="BA201" i="25"/>
  <c r="BB201" i="25"/>
  <c r="BS201" i="25" s="1"/>
  <c r="BC201" i="25"/>
  <c r="BT201" i="25" s="1"/>
  <c r="AY182" i="24"/>
  <c r="AZ182" i="24" s="1"/>
  <c r="BE182" i="24"/>
  <c r="BT182" i="24" s="1"/>
  <c r="BD182" i="24"/>
  <c r="BD198" i="24"/>
  <c r="BE198" i="24"/>
  <c r="BT198" i="24" s="1"/>
  <c r="AY198" i="24"/>
  <c r="AZ198" i="24" s="1"/>
  <c r="BC189" i="25"/>
  <c r="BT189" i="25" s="1"/>
  <c r="BA189" i="25"/>
  <c r="BB189" i="25"/>
  <c r="BS189" i="25" s="1"/>
  <c r="AT151" i="25"/>
  <c r="AY151" i="25" s="1"/>
  <c r="AU151" i="25"/>
  <c r="BD273" i="24"/>
  <c r="AY273" i="24"/>
  <c r="AZ273" i="24" s="1"/>
  <c r="BE273" i="24"/>
  <c r="BT273" i="24" s="1"/>
  <c r="BA32" i="25"/>
  <c r="BB32" i="25"/>
  <c r="BS32" i="25" s="1"/>
  <c r="BC32" i="25"/>
  <c r="BT32" i="25" s="1"/>
  <c r="BG132" i="24"/>
  <c r="BS132" i="24"/>
  <c r="BX132" i="24" s="1"/>
  <c r="AT57" i="25"/>
  <c r="AY57" i="25" s="1"/>
  <c r="AU57" i="25"/>
  <c r="AY192" i="24"/>
  <c r="AZ192" i="24" s="1"/>
  <c r="BD192" i="24"/>
  <c r="BE192" i="24"/>
  <c r="BT192" i="24" s="1"/>
  <c r="AT48" i="25"/>
  <c r="AY48" i="25" s="1"/>
  <c r="AU48" i="25"/>
  <c r="BA158" i="25"/>
  <c r="BB158" i="25"/>
  <c r="BS158" i="25" s="1"/>
  <c r="BC158" i="25"/>
  <c r="BT158" i="25" s="1"/>
  <c r="AT216" i="25"/>
  <c r="AU216" i="25"/>
  <c r="BE143" i="24"/>
  <c r="BT143" i="24" s="1"/>
  <c r="BD143" i="24"/>
  <c r="AY143" i="24"/>
  <c r="AZ143" i="24" s="1"/>
  <c r="BD145" i="24"/>
  <c r="AY145" i="24"/>
  <c r="AZ145" i="24" s="1"/>
  <c r="BE145" i="24"/>
  <c r="BT145" i="24" s="1"/>
  <c r="AY158" i="24"/>
  <c r="AZ158" i="24" s="1"/>
  <c r="BD158" i="24"/>
  <c r="BE158" i="24"/>
  <c r="BT158" i="24" s="1"/>
  <c r="AT138" i="25"/>
  <c r="AY138" i="25" s="1"/>
  <c r="AU138" i="25"/>
  <c r="AT287" i="25"/>
  <c r="AU287" i="25"/>
  <c r="BC28" i="25"/>
  <c r="BT28" i="25" s="1"/>
  <c r="BA28" i="25"/>
  <c r="BB28" i="25"/>
  <c r="BS28" i="25" s="1"/>
  <c r="BE161" i="24"/>
  <c r="BT161" i="24" s="1"/>
  <c r="BD161" i="24"/>
  <c r="AY161" i="24"/>
  <c r="AZ161" i="24" s="1"/>
  <c r="BE276" i="24"/>
  <c r="BT276" i="24" s="1"/>
  <c r="BD276" i="24"/>
  <c r="AY276" i="24"/>
  <c r="AZ276" i="24" s="1"/>
  <c r="AT176" i="25"/>
  <c r="AY176" i="25" s="1"/>
  <c r="AU176" i="25"/>
  <c r="AT100" i="25"/>
  <c r="AY100" i="25" s="1"/>
  <c r="AU100" i="25"/>
  <c r="BD123" i="24"/>
  <c r="AY123" i="24"/>
  <c r="AZ123" i="24" s="1"/>
  <c r="BE123" i="24"/>
  <c r="BT123" i="24" s="1"/>
  <c r="AT136" i="25"/>
  <c r="AY136" i="25" s="1"/>
  <c r="AU136" i="25"/>
  <c r="AT302" i="25"/>
  <c r="AU302" i="25"/>
  <c r="BE166" i="24"/>
  <c r="BT166" i="24" s="1"/>
  <c r="BD166" i="24"/>
  <c r="AY166" i="24"/>
  <c r="AZ166" i="24" s="1"/>
  <c r="BG22" i="24"/>
  <c r="BM22" i="24" s="1"/>
  <c r="BS22" i="24"/>
  <c r="BV22" i="24" s="1"/>
  <c r="BX22" i="24" s="1"/>
  <c r="AT191" i="25"/>
  <c r="AY191" i="25" s="1"/>
  <c r="AU191" i="25"/>
  <c r="AT78" i="25"/>
  <c r="AY78" i="25" s="1"/>
  <c r="AU78" i="25"/>
  <c r="BE226" i="24"/>
  <c r="BT226" i="24" s="1"/>
  <c r="BD226" i="24"/>
  <c r="AY226" i="24"/>
  <c r="AZ226" i="24" s="1"/>
  <c r="AT272" i="25"/>
  <c r="AU272" i="25"/>
  <c r="BD72" i="24"/>
  <c r="BE72" i="24"/>
  <c r="BT72" i="24" s="1"/>
  <c r="AY72" i="24"/>
  <c r="AZ72" i="24" s="1"/>
  <c r="AT181" i="25"/>
  <c r="AY181" i="25" s="1"/>
  <c r="AU181" i="25"/>
  <c r="BE204" i="24"/>
  <c r="BT204" i="24" s="1"/>
  <c r="AY204" i="24"/>
  <c r="AZ204" i="24" s="1"/>
  <c r="BD204" i="24"/>
  <c r="BE129" i="25"/>
  <c r="BR129" i="25"/>
  <c r="BX129" i="25" s="1"/>
  <c r="BD85" i="24"/>
  <c r="BE85" i="24"/>
  <c r="BT85" i="24" s="1"/>
  <c r="AY85" i="24"/>
  <c r="AZ85" i="24" s="1"/>
  <c r="AY239" i="24"/>
  <c r="AZ239" i="24" s="1"/>
  <c r="BD239" i="24"/>
  <c r="BE239" i="24"/>
  <c r="BT239" i="24" s="1"/>
  <c r="BB282" i="25"/>
  <c r="BS282" i="25" s="1"/>
  <c r="BC282" i="25"/>
  <c r="BT282" i="25" s="1"/>
  <c r="BA282" i="25"/>
  <c r="AT194" i="25"/>
  <c r="AY194" i="25" s="1"/>
  <c r="AU194" i="25"/>
  <c r="BE50" i="24"/>
  <c r="BT50" i="24" s="1"/>
  <c r="BD50" i="24"/>
  <c r="AY50" i="24"/>
  <c r="AZ50" i="24" s="1"/>
  <c r="BG58" i="24"/>
  <c r="BM58" i="24" s="1"/>
  <c r="BS58" i="24"/>
  <c r="BE165" i="24"/>
  <c r="BT165" i="24" s="1"/>
  <c r="BD165" i="24"/>
  <c r="AY165" i="24"/>
  <c r="AZ165" i="24" s="1"/>
  <c r="BG260" i="24"/>
  <c r="BS260" i="24"/>
  <c r="BE172" i="24"/>
  <c r="BT172" i="24" s="1"/>
  <c r="BD172" i="24"/>
  <c r="AY172" i="24"/>
  <c r="AZ172" i="24" s="1"/>
  <c r="BA147" i="25"/>
  <c r="BC147" i="25"/>
  <c r="BT147" i="25" s="1"/>
  <c r="BB147" i="25"/>
  <c r="BS147" i="25" s="1"/>
  <c r="AY70" i="24"/>
  <c r="AZ70" i="24" s="1"/>
  <c r="BE70" i="24"/>
  <c r="BT70" i="24" s="1"/>
  <c r="BD70" i="24"/>
  <c r="AT128" i="25"/>
  <c r="AY128" i="25" s="1"/>
  <c r="AU128" i="25"/>
  <c r="AY250" i="24"/>
  <c r="AZ250" i="24" s="1"/>
  <c r="BD250" i="24"/>
  <c r="BE250" i="24"/>
  <c r="BT250" i="24" s="1"/>
  <c r="AT50" i="25"/>
  <c r="AY50" i="25" s="1"/>
  <c r="AU50" i="25"/>
  <c r="AT165" i="25"/>
  <c r="AY165" i="25" s="1"/>
  <c r="AU165" i="25"/>
  <c r="AT111" i="25"/>
  <c r="AY111" i="25" s="1"/>
  <c r="AU111" i="25"/>
  <c r="BD157" i="24"/>
  <c r="AY157" i="24"/>
  <c r="AZ157" i="24" s="1"/>
  <c r="BE157" i="24"/>
  <c r="BT157" i="24" s="1"/>
  <c r="BS33" i="24"/>
  <c r="BG33" i="24"/>
  <c r="BM33" i="24" s="1"/>
  <c r="AY53" i="24"/>
  <c r="AZ53" i="24" s="1"/>
  <c r="BD53" i="24"/>
  <c r="BE53" i="24"/>
  <c r="BT53" i="24" s="1"/>
  <c r="BE222" i="24"/>
  <c r="BT222" i="24" s="1"/>
  <c r="BD222" i="24"/>
  <c r="AY222" i="24"/>
  <c r="AZ222" i="24" s="1"/>
  <c r="AT269" i="25"/>
  <c r="AU269" i="25"/>
  <c r="BA258" i="25"/>
  <c r="BC258" i="25"/>
  <c r="BT258" i="25" s="1"/>
  <c r="BB258" i="25"/>
  <c r="BS258" i="25" s="1"/>
  <c r="BE237" i="24"/>
  <c r="BT237" i="24" s="1"/>
  <c r="BD237" i="24"/>
  <c r="AY237" i="24"/>
  <c r="AZ237" i="24" s="1"/>
  <c r="BD184" i="24"/>
  <c r="AY184" i="24"/>
  <c r="AZ184" i="24" s="1"/>
  <c r="BE184" i="24"/>
  <c r="BT184" i="24" s="1"/>
  <c r="AT312" i="25"/>
  <c r="AU312" i="25"/>
  <c r="BG236" i="24"/>
  <c r="BS236" i="24"/>
  <c r="BX236" i="24" s="1"/>
  <c r="AN110" i="29"/>
  <c r="AN84" i="29"/>
  <c r="AN340" i="29"/>
  <c r="AN42" i="29"/>
  <c r="AN412" i="29"/>
  <c r="AN567" i="29"/>
  <c r="AN341" i="29"/>
  <c r="AN140" i="29"/>
  <c r="AN80" i="29"/>
  <c r="AN105" i="29"/>
  <c r="AN22" i="29"/>
  <c r="AN211" i="29"/>
  <c r="AN370" i="29"/>
  <c r="AN69" i="29"/>
  <c r="AN429" i="29"/>
  <c r="AN147" i="29"/>
  <c r="AN363" i="29"/>
  <c r="AN210" i="29"/>
  <c r="AN400" i="29"/>
  <c r="AN307" i="29"/>
  <c r="AN338" i="29"/>
  <c r="AN372" i="29"/>
  <c r="AN364" i="29"/>
  <c r="AN230" i="29"/>
  <c r="AN458" i="29"/>
  <c r="AN117" i="29"/>
  <c r="AN127" i="29"/>
  <c r="AN179" i="29"/>
  <c r="AN104" i="29"/>
  <c r="AN474" i="29"/>
  <c r="AN506" i="29"/>
  <c r="AN337" i="29"/>
  <c r="AN570" i="29"/>
  <c r="AN376" i="29"/>
  <c r="AN598" i="29"/>
  <c r="AN142" i="29"/>
  <c r="AN390" i="29"/>
  <c r="AN182" i="29"/>
  <c r="AN449" i="29"/>
  <c r="AN468" i="29"/>
  <c r="AN382" i="29"/>
  <c r="AN378" i="29"/>
  <c r="AN298" i="29"/>
  <c r="AN260" i="29"/>
  <c r="AN208" i="29"/>
  <c r="AN18" i="29"/>
  <c r="AN490" i="29"/>
  <c r="AN202" i="29"/>
  <c r="AN295" i="29"/>
  <c r="AN52" i="29"/>
  <c r="AN242" i="29"/>
  <c r="AN134" i="29"/>
  <c r="AN359" i="29"/>
  <c r="AN160" i="29"/>
  <c r="AN143" i="29"/>
  <c r="AN346" i="29"/>
  <c r="AN539" i="29"/>
  <c r="AN92" i="29"/>
  <c r="AN233" i="29"/>
  <c r="AN173" i="29"/>
  <c r="AN309" i="29"/>
  <c r="AN314" i="29"/>
  <c r="AN188" i="29"/>
  <c r="AN377" i="29"/>
  <c r="AN484" i="29"/>
  <c r="AN83" i="29"/>
  <c r="AN284" i="29"/>
  <c r="AN47" i="29"/>
  <c r="AN120" i="29"/>
  <c r="AN281" i="29"/>
  <c r="AN574" i="29"/>
  <c r="AN78" i="29"/>
  <c r="AN247" i="29"/>
  <c r="AN183" i="29"/>
  <c r="AN322" i="29"/>
  <c r="AN456" i="29"/>
  <c r="AN555" i="29"/>
  <c r="AN129" i="29"/>
  <c r="AN518" i="29"/>
  <c r="AN315" i="29"/>
  <c r="AN251" i="29"/>
  <c r="AN166" i="29"/>
  <c r="AN493" i="29"/>
  <c r="AN496" i="29"/>
  <c r="AN556" i="29"/>
  <c r="AN375" i="29"/>
  <c r="AN583" i="29"/>
  <c r="AN389" i="29"/>
  <c r="AN392" i="29"/>
  <c r="AN273" i="29"/>
  <c r="AN24" i="29"/>
  <c r="AN286" i="29"/>
  <c r="AN514" i="29"/>
  <c r="AN157" i="29"/>
  <c r="AN20" i="29"/>
  <c r="AN422" i="29"/>
  <c r="AN145" i="29"/>
  <c r="AN297" i="29"/>
  <c r="AN584" i="29"/>
  <c r="AN523" i="29"/>
  <c r="AN151" i="29"/>
  <c r="AN99" i="29"/>
  <c r="AN536" i="29"/>
  <c r="AN332" i="29"/>
  <c r="AN531" i="29"/>
  <c r="AN321" i="29"/>
  <c r="AN229" i="29"/>
  <c r="AN215" i="29"/>
  <c r="AN339" i="29"/>
  <c r="AN218" i="29"/>
  <c r="AN398" i="29"/>
  <c r="AN141" i="29"/>
  <c r="AN528" i="29"/>
  <c r="AN582" i="29"/>
  <c r="AN111" i="29"/>
  <c r="AN473" i="29"/>
  <c r="AN571" i="29"/>
  <c r="AN303" i="29"/>
  <c r="AN479" i="29"/>
  <c r="AN256" i="29"/>
  <c r="AN14" i="29"/>
  <c r="AN154" i="29"/>
  <c r="AN373" i="29"/>
  <c r="AN228" i="29"/>
  <c r="AN35" i="29"/>
  <c r="AN121" i="29"/>
  <c r="AN472" i="29"/>
  <c r="AN445" i="29"/>
  <c r="AN77" i="29"/>
  <c r="AN452" i="29"/>
  <c r="AN194" i="29"/>
  <c r="AN601" i="29"/>
  <c r="AN447" i="29"/>
  <c r="D53" i="29"/>
  <c r="AN552" i="29"/>
  <c r="AN465" i="29"/>
  <c r="AN500" i="29"/>
  <c r="AN395" i="29"/>
  <c r="AN53" i="29"/>
  <c r="AN437" i="29"/>
  <c r="AN236" i="29"/>
  <c r="AN90" i="29"/>
  <c r="AN521" i="29"/>
  <c r="AN100" i="29"/>
  <c r="AN426" i="29"/>
  <c r="AN214" i="29"/>
  <c r="AN257" i="29"/>
  <c r="AN595" i="29"/>
  <c r="AN207" i="29"/>
  <c r="AN65" i="29"/>
  <c r="AN439" i="29"/>
  <c r="AN393" i="29"/>
  <c r="AN149" i="29"/>
  <c r="AN51" i="29"/>
  <c r="AN608" i="29"/>
  <c r="AN109" i="29"/>
  <c r="AN540" i="29"/>
  <c r="AN312" i="29"/>
  <c r="AN119" i="29"/>
  <c r="AN324" i="29"/>
  <c r="AN171" i="29"/>
  <c r="AN313" i="29"/>
  <c r="AN510" i="29"/>
  <c r="AN88" i="29"/>
  <c r="AN448" i="29"/>
  <c r="AN199" i="29"/>
  <c r="AN204" i="29"/>
  <c r="AN195" i="29"/>
  <c r="AN290" i="29"/>
  <c r="AN58" i="29"/>
  <c r="AN471" i="29"/>
  <c r="AN124" i="29"/>
  <c r="AN71" i="29"/>
  <c r="AN593" i="29"/>
  <c r="AN212" i="29"/>
  <c r="AN351" i="29"/>
  <c r="AN287" i="29"/>
  <c r="AN130" i="29"/>
  <c r="AN326" i="29"/>
  <c r="AN282" i="29"/>
  <c r="AN40" i="29"/>
  <c r="AN79" i="29"/>
  <c r="AN75" i="29"/>
  <c r="AN562" i="29"/>
  <c r="AN483" i="29"/>
  <c r="AN244" i="29"/>
  <c r="AN74" i="29"/>
  <c r="AN348" i="29"/>
  <c r="AN402" i="29"/>
  <c r="AN453" i="29"/>
  <c r="AN544" i="29"/>
  <c r="AN423" i="29"/>
  <c r="AN133" i="29"/>
  <c r="AN275" i="29"/>
  <c r="AN161" i="29"/>
  <c r="AN522" i="29"/>
  <c r="AN362" i="29"/>
  <c r="AN153" i="29"/>
  <c r="AN385" i="29"/>
  <c r="AN569" i="29"/>
  <c r="AN425" i="29"/>
  <c r="AN308" i="29"/>
  <c r="AN168" i="29"/>
  <c r="AN401" i="29"/>
  <c r="AN512" i="29"/>
  <c r="AN611" i="29"/>
  <c r="AN489" i="29"/>
  <c r="AN146" i="29"/>
  <c r="AN155" i="29"/>
  <c r="AN97" i="29"/>
  <c r="AN397" i="29"/>
  <c r="AN366" i="29"/>
  <c r="AN499" i="29"/>
  <c r="AN566" i="29"/>
  <c r="AN356" i="29"/>
  <c r="AN114" i="29"/>
  <c r="AN561" i="29"/>
  <c r="AN37" i="29"/>
  <c r="AN361" i="29"/>
  <c r="AN158" i="29"/>
  <c r="AN461" i="29"/>
  <c r="AN463" i="29"/>
  <c r="AN277" i="29"/>
  <c r="AN421" i="29"/>
  <c r="AN477" i="29"/>
  <c r="AN217" i="29"/>
  <c r="AN379" i="29"/>
  <c r="AN311" i="29"/>
  <c r="AN543" i="29"/>
  <c r="AN403" i="29"/>
  <c r="AN513" i="29"/>
  <c r="AN600" i="29"/>
  <c r="AN538" i="29"/>
  <c r="AN252" i="29"/>
  <c r="AN466" i="29"/>
  <c r="AN305" i="29"/>
  <c r="AN118" i="29"/>
  <c r="AN219" i="29"/>
  <c r="AN156" i="29"/>
  <c r="AN504" i="29"/>
  <c r="AN176" i="29"/>
  <c r="AN554" i="29"/>
  <c r="AN443" i="29"/>
  <c r="AN93" i="29"/>
  <c r="AN516" i="29"/>
  <c r="AN594" i="29"/>
  <c r="AN102" i="29"/>
  <c r="AN301" i="29"/>
  <c r="AN581" i="29"/>
  <c r="AN193" i="29"/>
  <c r="AN138" i="29"/>
  <c r="AN509" i="29"/>
  <c r="AN368" i="29"/>
  <c r="AN492" i="29"/>
  <c r="AN591" i="29"/>
  <c r="AN547" i="29"/>
  <c r="AN497" i="29"/>
  <c r="AN272" i="29"/>
  <c r="AN98" i="29"/>
  <c r="AN405" i="29"/>
  <c r="AN316" i="29"/>
  <c r="AN450" i="29"/>
  <c r="AN533" i="29"/>
  <c r="AN592" i="29"/>
  <c r="AN196" i="29"/>
  <c r="AN502" i="29"/>
  <c r="AN613" i="29"/>
  <c r="AN565" i="29"/>
  <c r="AN165" i="29"/>
  <c r="AN68" i="29"/>
  <c r="AN442" i="29"/>
  <c r="AN299" i="29"/>
  <c r="AN276" i="29"/>
  <c r="AN407" i="29"/>
  <c r="AN384" i="29"/>
  <c r="AN498" i="29"/>
  <c r="AN529" i="29"/>
  <c r="AN525" i="29"/>
  <c r="AN292" i="29"/>
  <c r="AN328" i="29"/>
  <c r="AN419" i="29"/>
  <c r="AN285" i="29"/>
  <c r="AN144" i="29"/>
  <c r="AN269" i="29"/>
  <c r="AN136" i="29"/>
  <c r="AN60" i="29"/>
  <c r="AN191" i="29"/>
  <c r="AN122" i="29"/>
  <c r="AN441" i="29"/>
  <c r="AN446" i="29"/>
  <c r="AN475" i="29"/>
  <c r="AN187" i="29"/>
  <c r="AN225" i="29"/>
  <c r="AN383" i="29"/>
  <c r="AN94" i="29"/>
  <c r="AN221" i="29"/>
  <c r="AN245" i="29"/>
  <c r="AN125" i="29"/>
  <c r="AN414" i="29"/>
  <c r="AN262" i="29"/>
  <c r="AN507" i="29"/>
  <c r="AN15" i="29"/>
  <c r="AN576" i="29"/>
  <c r="AN95" i="29"/>
  <c r="AN310" i="29"/>
  <c r="AN81" i="29"/>
  <c r="AN289" i="29"/>
  <c r="AN551" i="29"/>
  <c r="AN39" i="29"/>
  <c r="AN455" i="29"/>
  <c r="AN335" i="29"/>
  <c r="AN517" i="29"/>
  <c r="AN226" i="29"/>
  <c r="AN478" i="29"/>
  <c r="AN91" i="29"/>
  <c r="AN573" i="29"/>
  <c r="AN17" i="29"/>
  <c r="AN135" i="29"/>
  <c r="AN530" i="29"/>
  <c r="AN381" i="29"/>
  <c r="AN255" i="29"/>
  <c r="AN550" i="29"/>
  <c r="AN541" i="29"/>
  <c r="AN469" i="29"/>
  <c r="AN388" i="29"/>
  <c r="AN190" i="29"/>
  <c r="AN482" i="29"/>
  <c r="AN588" i="29"/>
  <c r="AN411" i="29"/>
  <c r="AN67" i="29"/>
  <c r="AN563" i="29"/>
  <c r="AN444" i="29"/>
  <c r="AN612" i="29"/>
  <c r="AN462" i="29"/>
  <c r="AN416" i="29"/>
  <c r="AN163" i="29"/>
  <c r="AN329" i="29"/>
  <c r="AN511" i="29"/>
  <c r="AN49" i="29"/>
  <c r="AN181" i="29"/>
  <c r="AN334" i="29"/>
  <c r="AN336" i="29"/>
  <c r="AN535" i="29"/>
  <c r="AN410" i="29"/>
  <c r="AN568" i="29"/>
  <c r="AN440" i="29"/>
  <c r="AN123" i="29"/>
  <c r="AN607" i="29"/>
  <c r="AN220" i="29"/>
  <c r="AN86" i="29"/>
  <c r="AN380" i="29"/>
  <c r="AN265" i="29"/>
  <c r="AN150" i="29"/>
  <c r="AN70" i="29"/>
  <c r="AN586" i="29"/>
  <c r="AN31" i="29"/>
  <c r="AN50" i="29"/>
  <c r="AN451" i="29"/>
  <c r="AN13" i="29"/>
  <c r="AN243" i="29"/>
  <c r="AN231" i="29"/>
  <c r="AN198" i="29"/>
  <c r="AN596" i="29"/>
  <c r="AN355" i="29"/>
  <c r="AN250" i="29"/>
  <c r="AN476" i="29"/>
  <c r="AN209" i="29"/>
  <c r="AN253" i="29"/>
  <c r="AN302" i="29"/>
  <c r="AN103" i="29"/>
  <c r="AN327" i="29"/>
  <c r="AN280" i="29"/>
  <c r="AN494" i="29"/>
  <c r="AN542" i="29"/>
  <c r="AN527" i="29"/>
  <c r="AN44" i="29"/>
  <c r="AN491" i="29"/>
  <c r="AN294" i="29"/>
  <c r="AN557" i="29"/>
  <c r="AN213" i="29"/>
  <c r="AN330" i="29"/>
  <c r="AN467" i="29"/>
  <c r="AN16" i="29"/>
  <c r="AN116" i="29"/>
  <c r="AN128" i="29"/>
  <c r="AN259" i="29"/>
  <c r="AN152" i="29"/>
  <c r="AN386" i="29"/>
  <c r="AN246" i="29"/>
  <c r="AN267" i="29"/>
  <c r="AN200" i="29"/>
  <c r="AN434" i="29"/>
  <c r="AN464" i="29"/>
  <c r="AN216" i="29"/>
  <c r="AN61" i="29"/>
  <c r="AN201" i="29"/>
  <c r="AN89" i="29"/>
  <c r="AN409" i="29"/>
  <c r="AN63" i="29"/>
  <c r="AN283" i="29"/>
  <c r="AN33" i="29"/>
  <c r="AN353" i="29"/>
  <c r="AN43" i="29"/>
  <c r="AN258" i="29"/>
  <c r="AN488" i="29"/>
  <c r="AN180" i="29"/>
  <c r="AN534" i="29"/>
  <c r="AN345" i="29"/>
  <c r="AN432" i="29"/>
  <c r="AN358" i="29"/>
  <c r="AN577" i="29"/>
  <c r="AN532" i="29"/>
  <c r="AN609" i="29"/>
  <c r="AN278" i="29"/>
  <c r="AN46" i="29"/>
  <c r="AN501" i="29"/>
  <c r="AN170" i="29"/>
  <c r="AN599" i="29"/>
  <c r="AN205" i="29"/>
  <c r="AN288" i="29"/>
  <c r="AN323" i="29"/>
  <c r="AN519" i="29"/>
  <c r="AN408" i="29"/>
  <c r="AN343" i="29"/>
  <c r="AN487" i="29"/>
  <c r="AN264" i="29"/>
  <c r="AN604" i="29"/>
  <c r="AN537" i="29"/>
  <c r="AN418" i="29"/>
  <c r="AN238" i="29"/>
  <c r="AN430" i="29"/>
  <c r="AN106" i="29"/>
  <c r="AN406" i="29"/>
  <c r="AN549" i="29"/>
  <c r="AN606" i="29"/>
  <c r="AN605" i="29"/>
  <c r="AN428" i="29"/>
  <c r="AN223" i="29"/>
  <c r="AN300" i="29"/>
  <c r="AN174" i="29"/>
  <c r="AN126" i="29"/>
  <c r="AN271" i="29"/>
  <c r="AN508" i="29"/>
  <c r="AN460" i="29"/>
  <c r="AN32" i="29"/>
  <c r="AN178" i="29"/>
  <c r="AN177" i="29"/>
  <c r="AN270" i="29"/>
  <c r="AN113" i="29"/>
  <c r="AN480" i="29"/>
  <c r="AN222" i="29"/>
  <c r="AN64" i="29"/>
  <c r="AN505" i="29"/>
  <c r="AN189" i="29"/>
  <c r="AN26" i="29"/>
  <c r="AN331" i="29"/>
  <c r="AN572" i="29"/>
  <c r="AN268" i="29"/>
  <c r="AN107" i="29"/>
  <c r="AN55" i="29"/>
  <c r="AN587" i="29"/>
  <c r="AN62" i="29"/>
  <c r="AN21" i="29"/>
  <c r="AN325" i="29"/>
  <c r="AN431" i="29"/>
  <c r="AN354" i="29"/>
  <c r="AN585" i="29"/>
  <c r="AN28" i="29"/>
  <c r="AN48" i="29"/>
  <c r="AN357" i="29"/>
  <c r="AN317" i="29"/>
  <c r="AN559" i="29"/>
  <c r="AN224" i="29"/>
  <c r="AN342" i="29"/>
  <c r="AN578" i="29"/>
  <c r="AN296" i="29"/>
  <c r="AN319" i="29"/>
  <c r="AN396" i="29"/>
  <c r="AN76" i="29"/>
  <c r="AN548" i="29"/>
  <c r="AN234" i="29"/>
  <c r="AN304" i="29"/>
  <c r="AN391" i="29"/>
  <c r="AN115" i="29"/>
  <c r="AN371" i="29"/>
  <c r="AN318" i="29"/>
  <c r="AN87" i="29"/>
  <c r="AN427" i="29"/>
  <c r="AN436" i="29"/>
  <c r="AN503" i="29"/>
  <c r="AN352" i="29"/>
  <c r="AN85" i="29"/>
  <c r="AN349" i="29"/>
  <c r="AN185" i="29"/>
  <c r="AN415" i="29"/>
  <c r="AN424" i="29"/>
  <c r="AN545" i="29"/>
  <c r="AN404" i="29"/>
  <c r="AN203" i="29"/>
  <c r="AN263" i="29"/>
  <c r="AN186" i="29"/>
  <c r="AN344" i="29"/>
  <c r="AN481" i="29"/>
  <c r="AN306" i="29"/>
  <c r="AN589" i="29"/>
  <c r="AN112" i="29"/>
  <c r="AN293" i="29"/>
  <c r="AN36" i="29"/>
  <c r="AN365" i="29"/>
  <c r="AN131" i="29"/>
  <c r="AN45" i="29"/>
  <c r="AN164" i="29"/>
  <c r="AN29" i="29"/>
  <c r="AN526" i="29"/>
  <c r="AN417" i="29"/>
  <c r="AN30" i="29"/>
  <c r="AN239" i="29"/>
  <c r="AN546" i="29"/>
  <c r="AN240" i="29"/>
  <c r="AN132" i="29"/>
  <c r="AN162" i="29"/>
  <c r="AN347" i="29"/>
  <c r="AN248" i="29"/>
  <c r="AN394" i="29"/>
  <c r="AN387" i="29"/>
  <c r="AN575" i="29"/>
  <c r="AN82" i="29"/>
  <c r="AN27" i="29"/>
  <c r="AN369" i="29"/>
  <c r="AN435" i="29"/>
  <c r="AN515" i="29"/>
  <c r="AN520" i="29"/>
  <c r="AN597" i="29"/>
  <c r="AN232" i="29"/>
  <c r="AM601" i="29"/>
  <c r="AN274" i="29"/>
  <c r="AN41" i="29"/>
  <c r="AN254" i="29"/>
  <c r="AN603" i="29"/>
  <c r="AN192" i="29"/>
  <c r="AN580" i="29"/>
  <c r="AN56" i="29"/>
  <c r="AN227" i="29"/>
  <c r="AN108" i="29"/>
  <c r="AN249" i="29"/>
  <c r="AN25" i="29"/>
  <c r="AN470" i="29"/>
  <c r="AN175" i="29"/>
  <c r="AN438" i="29"/>
  <c r="AN374" i="29"/>
  <c r="AN139" i="29"/>
  <c r="AN167" i="29"/>
  <c r="AN495" i="29"/>
  <c r="AN485" i="29"/>
  <c r="AN558" i="29"/>
  <c r="AN241" i="29"/>
  <c r="AN413" i="29"/>
  <c r="AN360" i="29"/>
  <c r="AN524" i="29"/>
  <c r="AN59" i="29"/>
  <c r="AN197" i="29"/>
  <c r="AN159" i="29"/>
  <c r="AN454" i="29"/>
  <c r="AN610" i="29"/>
  <c r="AN486" i="29"/>
  <c r="AN459" i="29"/>
  <c r="AN457" i="29"/>
  <c r="AN261" i="29"/>
  <c r="AN399" i="29"/>
  <c r="AN433" i="29"/>
  <c r="AN73" i="29"/>
  <c r="AN66" i="29"/>
  <c r="AN169" i="29"/>
  <c r="AN564" i="29"/>
  <c r="AN23" i="29"/>
  <c r="AN206" i="29"/>
  <c r="AN279" i="29"/>
  <c r="AN320" i="29"/>
  <c r="AN367" i="29"/>
  <c r="AN560" i="29"/>
  <c r="AN57" i="29"/>
  <c r="AN137" i="29"/>
  <c r="AN172" i="29"/>
  <c r="AN291" i="29"/>
  <c r="AN72" i="29"/>
  <c r="AN350" i="29"/>
  <c r="AM24" i="29"/>
  <c r="AN420" i="29"/>
  <c r="AN553" i="29"/>
  <c r="AM456" i="29"/>
  <c r="AN96" i="29"/>
  <c r="AN38" i="29"/>
  <c r="AN602" i="29"/>
  <c r="AN34" i="29"/>
  <c r="AN590" i="29"/>
  <c r="AN101" i="29"/>
  <c r="AM138" i="29"/>
  <c r="AM87" i="29"/>
  <c r="AM79" i="29"/>
  <c r="AM594" i="29"/>
  <c r="AN184" i="29"/>
  <c r="AN266" i="29"/>
  <c r="AN54" i="29"/>
  <c r="AM169" i="29"/>
  <c r="AM38" i="29"/>
  <c r="AN333" i="29"/>
  <c r="AN148" i="29"/>
  <c r="AN235" i="29"/>
  <c r="AN579" i="29"/>
  <c r="AN237" i="29"/>
  <c r="AN19" i="29"/>
  <c r="AM257" i="29"/>
  <c r="AM183" i="29"/>
  <c r="AM414" i="29"/>
  <c r="AM245" i="29"/>
  <c r="AM253" i="29"/>
  <c r="AM262" i="29"/>
  <c r="AM348" i="29"/>
  <c r="AM325" i="29"/>
  <c r="AM80" i="29"/>
  <c r="AM260" i="29"/>
  <c r="AM600" i="29"/>
  <c r="AM402" i="29"/>
  <c r="AM337" i="29"/>
  <c r="AM37" i="29"/>
  <c r="AM585" i="29"/>
  <c r="AM455" i="29"/>
  <c r="AM91" i="29"/>
  <c r="AM565" i="29"/>
  <c r="AM341" i="29"/>
  <c r="AM267" i="29"/>
  <c r="AM206" i="29"/>
  <c r="AM373" i="29"/>
  <c r="AM336" i="29"/>
  <c r="AM514" i="29"/>
  <c r="AM167" i="29"/>
  <c r="AM581" i="29"/>
  <c r="AM294" i="29"/>
  <c r="AM593" i="29"/>
  <c r="AM582" i="29"/>
  <c r="AM207" i="29"/>
  <c r="AM295" i="29"/>
  <c r="AM88" i="29"/>
  <c r="AM118" i="29"/>
  <c r="AM200" i="29"/>
  <c r="AM518" i="29"/>
  <c r="AM381" i="29"/>
  <c r="AM292" i="29"/>
  <c r="AM17" i="29"/>
  <c r="AM307" i="29"/>
  <c r="AM469" i="29"/>
  <c r="AM85" i="29"/>
  <c r="AM235" i="29"/>
  <c r="AM353" i="29"/>
  <c r="AM544" i="29"/>
  <c r="AM357" i="29"/>
  <c r="AM483" i="29"/>
  <c r="AM149" i="29"/>
  <c r="AM606" i="29"/>
  <c r="AM501" i="29"/>
  <c r="AM371" i="29"/>
  <c r="AM50" i="29"/>
  <c r="AM250" i="29"/>
  <c r="AM51" i="29"/>
  <c r="AM26" i="29"/>
  <c r="AM145" i="29"/>
  <c r="AM258" i="29"/>
  <c r="AM537" i="29"/>
  <c r="AM435" i="29"/>
  <c r="AM33" i="29"/>
  <c r="AM443" i="29"/>
  <c r="AM82" i="29"/>
  <c r="AM338" i="29"/>
  <c r="AM468" i="29"/>
  <c r="AM81" i="29"/>
  <c r="AM135" i="29"/>
  <c r="AM173" i="29"/>
  <c r="AM179" i="29"/>
  <c r="AM302" i="29"/>
  <c r="AM403" i="29"/>
  <c r="AM549" i="29"/>
  <c r="AM573" i="29"/>
  <c r="AM444" i="29"/>
  <c r="AM157" i="29"/>
  <c r="AM531" i="29"/>
  <c r="AM566" i="29"/>
  <c r="AM313" i="29"/>
  <c r="AM163" i="29"/>
  <c r="AM155" i="29"/>
  <c r="AM119" i="29"/>
  <c r="AM584" i="29"/>
  <c r="AM524" i="29"/>
  <c r="AM147" i="29"/>
  <c r="AM252" i="29"/>
  <c r="AM528" i="29"/>
  <c r="AM533" i="29"/>
  <c r="AM596" i="29"/>
  <c r="AM416" i="29"/>
  <c r="AM309" i="29"/>
  <c r="AM297" i="29"/>
  <c r="AM199" i="29"/>
  <c r="AM407" i="29"/>
  <c r="AM28" i="29"/>
  <c r="AM370" i="29"/>
  <c r="AM327" i="29"/>
  <c r="AM507" i="29"/>
  <c r="AM568" i="29"/>
  <c r="AM406" i="29"/>
  <c r="AM420" i="29"/>
  <c r="AM264" i="29"/>
  <c r="AM521" i="29"/>
  <c r="AM117" i="29"/>
  <c r="AM233" i="29"/>
  <c r="AM525" i="29"/>
  <c r="AM542" i="29"/>
  <c r="AM426" i="29"/>
  <c r="AM410" i="29"/>
  <c r="AM612" i="29"/>
  <c r="AM89" i="29"/>
  <c r="AM43" i="29"/>
  <c r="AM256" i="29"/>
  <c r="AM58" i="29"/>
  <c r="AM355" i="29"/>
  <c r="AM432" i="29"/>
  <c r="AM449" i="29"/>
  <c r="AM436" i="29"/>
  <c r="AM369" i="29"/>
  <c r="AM174" i="29"/>
  <c r="AO174" i="29" s="1"/>
  <c r="AM324" i="29"/>
  <c r="AM471" i="29"/>
  <c r="AM62" i="29"/>
  <c r="AM75" i="29"/>
  <c r="AM527" i="29"/>
  <c r="AM137" i="29"/>
  <c r="AM496" i="29"/>
  <c r="AM570" i="29"/>
  <c r="AM221" i="29"/>
  <c r="AM447" i="29"/>
  <c r="AM474" i="29"/>
  <c r="AM195" i="29"/>
  <c r="AM121" i="29"/>
  <c r="AM18" i="29"/>
  <c r="AM576" i="29"/>
  <c r="AM396" i="29"/>
  <c r="AM178" i="29"/>
  <c r="AM319" i="29"/>
  <c r="AM554" i="29"/>
  <c r="AM434" i="29"/>
  <c r="AM289" i="29"/>
  <c r="AM220" i="29"/>
  <c r="AM442" i="29"/>
  <c r="AM288" i="29"/>
  <c r="AM486" i="29"/>
  <c r="AM42" i="29"/>
  <c r="AM405" i="29"/>
  <c r="AM298" i="29"/>
  <c r="AM67" i="29"/>
  <c r="AM40" i="29"/>
  <c r="AM413" i="29"/>
  <c r="AM128" i="29"/>
  <c r="AM315" i="29"/>
  <c r="AM346" i="29"/>
  <c r="AM422" i="29"/>
  <c r="AM504" i="29"/>
  <c r="AM70" i="29"/>
  <c r="AM588" i="29"/>
  <c r="AM401" i="29"/>
  <c r="AM239" i="29"/>
  <c r="AM113" i="29"/>
  <c r="AM209" i="29"/>
  <c r="AM532" i="29"/>
  <c r="AM124" i="29"/>
  <c r="AM605" i="29"/>
  <c r="AM237" i="29"/>
  <c r="AM388" i="29"/>
  <c r="AM564" i="29"/>
  <c r="AM386" i="29"/>
  <c r="AM229" i="29"/>
  <c r="AM34" i="29"/>
  <c r="AM509" i="29"/>
  <c r="AM127" i="29"/>
  <c r="AM299" i="29"/>
  <c r="AM598" i="29"/>
  <c r="AM59" i="29"/>
  <c r="AM515" i="29"/>
  <c r="AM31" i="29"/>
  <c r="AM270" i="29"/>
  <c r="AM526" i="29"/>
  <c r="AM142" i="29"/>
  <c r="AM177" i="29"/>
  <c r="AM150" i="29"/>
  <c r="AM383" i="29"/>
  <c r="AM130" i="29"/>
  <c r="AM55" i="29"/>
  <c r="AM74" i="29"/>
  <c r="AM552" i="29"/>
  <c r="AM83" i="29"/>
  <c r="AM326" i="29"/>
  <c r="AM441" i="29"/>
  <c r="AM78" i="29"/>
  <c r="AO78" i="29" s="1"/>
  <c r="AM517" i="29"/>
  <c r="AM30" i="29"/>
  <c r="AM428" i="29"/>
  <c r="AM66" i="29"/>
  <c r="AM273" i="29"/>
  <c r="AM387" i="29"/>
  <c r="AM345" i="29"/>
  <c r="AM433" i="29"/>
  <c r="AM361" i="29"/>
  <c r="AM478" i="29"/>
  <c r="AM571" i="29"/>
  <c r="AM84" i="29"/>
  <c r="AM546" i="29"/>
  <c r="AM359" i="29"/>
  <c r="AM409" i="29"/>
  <c r="AM144" i="29"/>
  <c r="AM92" i="29"/>
  <c r="AM574" i="29"/>
  <c r="AM248" i="29"/>
  <c r="AM379" i="29"/>
  <c r="AM21" i="29"/>
  <c r="AM57" i="29"/>
  <c r="AM440" i="29"/>
  <c r="AM586" i="29"/>
  <c r="AM363" i="29"/>
  <c r="AM201" i="29"/>
  <c r="AM166" i="29"/>
  <c r="AM153" i="29"/>
  <c r="AM109" i="29"/>
  <c r="AM247" i="29"/>
  <c r="AM214" i="29"/>
  <c r="AM103" i="29"/>
  <c r="AM421" i="29"/>
  <c r="AM193" i="29"/>
  <c r="AM96" i="29"/>
  <c r="AM535" i="29"/>
  <c r="AM107" i="29"/>
  <c r="AM204" i="29"/>
  <c r="AM219" i="29"/>
  <c r="AM610" i="29"/>
  <c r="AM602" i="29"/>
  <c r="AM251" i="29"/>
  <c r="AM491" i="29"/>
  <c r="AM222" i="29"/>
  <c r="AM98" i="29"/>
  <c r="AM226" i="29"/>
  <c r="AM587" i="29"/>
  <c r="AM259" i="29"/>
  <c r="AM331" i="29"/>
  <c r="AM304" i="29"/>
  <c r="AM133" i="29"/>
  <c r="AM424" i="29"/>
  <c r="AM249" i="29"/>
  <c r="AM378" i="29"/>
  <c r="AM301" i="29"/>
  <c r="AM29" i="29"/>
  <c r="AM213" i="29"/>
  <c r="AM599" i="29"/>
  <c r="AM477" i="29"/>
  <c r="AM172" i="29"/>
  <c r="AM340" i="29"/>
  <c r="AM461" i="29"/>
  <c r="AM241" i="29"/>
  <c r="AM347" i="29"/>
  <c r="AM557" i="29"/>
  <c r="AM140" i="29"/>
  <c r="AM108" i="29"/>
  <c r="AM583" i="29"/>
  <c r="AM384" i="29"/>
  <c r="AM165" i="29"/>
  <c r="AM100" i="29"/>
  <c r="AM349" i="29"/>
  <c r="AM16" i="29"/>
  <c r="AM69" i="29"/>
  <c r="AM61" i="29"/>
  <c r="AM52" i="29"/>
  <c r="AM454" i="29"/>
  <c r="AM282" i="29"/>
  <c r="AM577" i="29"/>
  <c r="AM342" i="29"/>
  <c r="AM321" i="29"/>
  <c r="AM255" i="29"/>
  <c r="AM408" i="29"/>
  <c r="AM437" i="29"/>
  <c r="AM306" i="29"/>
  <c r="AM272" i="29"/>
  <c r="AM39" i="29"/>
  <c r="AM448" i="29"/>
  <c r="AM364" i="29"/>
  <c r="AM65" i="29"/>
  <c r="AM508" i="29"/>
  <c r="AM71" i="29"/>
  <c r="AM122" i="29"/>
  <c r="AM366" i="29"/>
  <c r="AM446" i="29"/>
  <c r="AM139" i="29"/>
  <c r="AM350" i="29"/>
  <c r="AM333" i="29"/>
  <c r="AM329" i="29"/>
  <c r="AM277" i="29"/>
  <c r="AM607" i="29"/>
  <c r="AM330" i="29"/>
  <c r="AM368" i="29"/>
  <c r="AM305" i="29"/>
  <c r="AM529" i="29"/>
  <c r="AM48" i="29"/>
  <c r="AM317" i="29"/>
  <c r="AM360" i="29"/>
  <c r="AM498" i="29"/>
  <c r="AM102" i="29"/>
  <c r="AM591" i="29"/>
  <c r="AM466" i="29"/>
  <c r="AM300" i="29"/>
  <c r="AM271" i="29"/>
  <c r="AM392" i="29"/>
  <c r="AM161" i="29"/>
  <c r="AM284" i="29"/>
  <c r="AM398" i="29"/>
  <c r="AM320" i="29"/>
  <c r="AM19" i="29"/>
  <c r="AM372" i="29"/>
  <c r="AM460" i="29"/>
  <c r="AM41" i="29"/>
  <c r="AM534" i="29"/>
  <c r="AM194" i="29"/>
  <c r="AM223" i="29"/>
  <c r="AM563" i="29"/>
  <c r="AM513" i="29"/>
  <c r="AM427" i="29"/>
  <c r="AM285" i="29"/>
  <c r="AM356" i="29"/>
  <c r="AM208" i="29"/>
  <c r="AM323" i="29"/>
  <c r="AM597" i="29"/>
  <c r="AM389" i="29"/>
  <c r="AM411" i="29"/>
  <c r="AM519" i="29"/>
  <c r="AM603" i="29"/>
  <c r="AM211" i="29"/>
  <c r="AM90" i="29"/>
  <c r="AM510" i="29"/>
  <c r="AM203" i="29"/>
  <c r="AM185" i="29"/>
  <c r="AM192" i="29"/>
  <c r="AM198" i="29"/>
  <c r="AM592" i="29"/>
  <c r="AM290" i="29"/>
  <c r="AM125" i="29"/>
  <c r="AM225" i="29"/>
  <c r="AM114" i="29"/>
  <c r="AM431" i="29"/>
  <c r="AM328" i="29"/>
  <c r="AO328" i="29" s="1"/>
  <c r="AM246" i="29"/>
  <c r="AM425" i="29"/>
  <c r="AM286" i="29"/>
  <c r="AM429" i="29"/>
  <c r="AM358" i="29"/>
  <c r="AM291" i="29"/>
  <c r="AM473" i="29"/>
  <c r="AM261" i="29"/>
  <c r="AM27" i="29"/>
  <c r="AM562" i="29"/>
  <c r="AM126" i="29"/>
  <c r="AM457" i="29"/>
  <c r="AM269" i="29"/>
  <c r="AM93" i="29"/>
  <c r="AM63" i="29"/>
  <c r="AM106" i="29"/>
  <c r="AM391" i="29"/>
  <c r="AM287" i="29"/>
  <c r="AM548" i="29"/>
  <c r="AM216" i="29"/>
  <c r="AM20" i="29"/>
  <c r="AM604" i="29"/>
  <c r="AM268" i="29"/>
  <c r="AM472" i="29"/>
  <c r="AM45" i="29"/>
  <c r="AM215" i="29"/>
  <c r="AM116" i="29"/>
  <c r="AM160" i="29"/>
  <c r="AM72" i="29"/>
  <c r="AM112" i="29"/>
  <c r="AM380" i="29"/>
  <c r="AM276" i="29"/>
  <c r="AM111" i="29"/>
  <c r="AM575" i="29"/>
  <c r="AM495" i="29"/>
  <c r="AM240" i="29"/>
  <c r="AM23" i="29"/>
  <c r="AM311" i="29"/>
  <c r="AM234" i="29"/>
  <c r="AM205" i="29"/>
  <c r="AM217" i="29"/>
  <c r="AM202" i="29"/>
  <c r="AM430" i="29"/>
  <c r="AM499" i="29"/>
  <c r="AM68" i="29"/>
  <c r="AM191" i="29"/>
  <c r="AM190" i="29"/>
  <c r="AM503" i="29"/>
  <c r="AM56" i="29"/>
  <c r="AM485" i="29"/>
  <c r="AM385" i="29"/>
  <c r="AM458" i="29"/>
  <c r="AM451" i="29"/>
  <c r="AM488" i="29"/>
  <c r="AM608" i="29"/>
  <c r="AM556" i="29"/>
  <c r="AM154" i="29"/>
  <c r="AM32" i="29"/>
  <c r="AM210" i="29"/>
  <c r="AM555" i="29"/>
  <c r="AM15" i="29"/>
  <c r="AM578" i="29"/>
  <c r="AM572" i="29"/>
  <c r="AM450" i="29"/>
  <c r="AM558" i="29"/>
  <c r="AM171" i="29"/>
  <c r="AM335" i="29"/>
  <c r="AM376" i="29"/>
  <c r="AM312" i="29"/>
  <c r="AM162" i="29"/>
  <c r="AM580" i="29"/>
  <c r="AM77" i="29"/>
  <c r="AM522" i="29"/>
  <c r="AM569" i="29"/>
  <c r="AM115" i="29"/>
  <c r="AM278" i="29"/>
  <c r="AM439" i="29"/>
  <c r="AM101" i="29"/>
  <c r="AM540" i="29"/>
  <c r="AM232" i="29"/>
  <c r="AM344" i="29"/>
  <c r="AM417" i="29"/>
  <c r="AM352" i="29"/>
  <c r="AM470" i="29"/>
  <c r="AM561" i="29"/>
  <c r="AM547" i="29"/>
  <c r="AM86" i="29"/>
  <c r="AM242" i="29"/>
  <c r="AM502" i="29"/>
  <c r="AM375" i="29"/>
  <c r="AM143" i="29"/>
  <c r="AM551" i="29"/>
  <c r="AM156" i="29"/>
  <c r="AM334" i="29"/>
  <c r="AM197" i="29"/>
  <c r="AM281" i="29"/>
  <c r="AM279" i="29"/>
  <c r="AM438" i="29"/>
  <c r="AM560" i="29"/>
  <c r="AM354" i="29"/>
  <c r="AM467" i="29"/>
  <c r="AM164" i="29"/>
  <c r="AM332" i="29"/>
  <c r="AM459" i="29"/>
  <c r="AM318" i="29"/>
  <c r="AM182" i="29"/>
  <c r="AM158" i="29"/>
  <c r="AM482" i="29"/>
  <c r="AM545" i="29"/>
  <c r="AM516" i="29"/>
  <c r="AM280" i="29"/>
  <c r="AM339" i="29"/>
  <c r="AM76" i="29"/>
  <c r="AM14" i="29"/>
  <c r="AM224" i="29"/>
  <c r="AM196" i="29"/>
  <c r="AM94" i="29"/>
  <c r="AM399" i="29"/>
  <c r="AM543" i="29"/>
  <c r="AM129" i="29"/>
  <c r="AM283" i="29"/>
  <c r="AM539" i="29"/>
  <c r="AM404" i="29"/>
  <c r="AM343" i="29"/>
  <c r="AM296" i="29"/>
  <c r="AM490" i="29"/>
  <c r="AM308" i="29"/>
  <c r="AM322" i="29"/>
  <c r="AM275" i="29"/>
  <c r="AM99" i="29"/>
  <c r="AM25" i="29"/>
  <c r="AM132" i="29"/>
  <c r="AM188" i="29"/>
  <c r="AM238" i="29"/>
  <c r="AM134" i="29"/>
  <c r="AM494" i="29"/>
  <c r="AM227" i="29"/>
  <c r="AM419" i="29"/>
  <c r="AM266" i="29"/>
  <c r="AM487" i="29"/>
  <c r="AM303" i="29"/>
  <c r="AM189" i="29"/>
  <c r="AM595" i="29"/>
  <c r="AM512" i="29"/>
  <c r="AM505" i="29"/>
  <c r="AM362" i="29"/>
  <c r="AM541" i="29"/>
  <c r="AM351" i="29"/>
  <c r="AM462" i="29"/>
  <c r="AM520" i="29"/>
  <c r="AM148" i="29"/>
  <c r="AM445" i="29"/>
  <c r="AM131" i="29"/>
  <c r="AM13" i="29"/>
  <c r="AM35" i="29"/>
  <c r="AM184" i="29"/>
  <c r="AM274" i="29"/>
  <c r="AM365" i="29"/>
  <c r="AM44" i="29"/>
  <c r="AM53" i="29"/>
  <c r="AM236" i="29"/>
  <c r="AM530" i="29"/>
  <c r="AM479" i="29"/>
  <c r="AM64" i="29"/>
  <c r="AM314" i="29"/>
  <c r="AM400" i="29"/>
  <c r="AM484" i="29"/>
  <c r="AM151" i="29"/>
  <c r="AM590" i="29"/>
  <c r="AM228" i="29"/>
  <c r="AM104" i="29"/>
  <c r="AM123" i="29"/>
  <c r="AM170" i="29"/>
  <c r="AM60" i="29"/>
  <c r="AO60" i="29" s="1"/>
  <c r="AM212" i="29"/>
  <c r="AM475" i="29"/>
  <c r="AM175" i="29"/>
  <c r="AM481" i="29"/>
  <c r="AM254" i="29"/>
  <c r="AM367" i="29"/>
  <c r="AM382" i="29"/>
  <c r="AM243" i="29"/>
  <c r="AM230" i="29"/>
  <c r="AM493" i="29"/>
  <c r="AM464" i="29"/>
  <c r="AO464" i="29" s="1"/>
  <c r="AM310" i="29"/>
  <c r="AM423" i="29"/>
  <c r="AM589" i="29"/>
  <c r="AM397" i="29"/>
  <c r="AM293" i="29"/>
  <c r="AM538" i="29"/>
  <c r="AM47" i="29"/>
  <c r="AM231" i="29"/>
  <c r="AM176" i="29"/>
  <c r="AM550" i="29"/>
  <c r="AM22" i="29"/>
  <c r="AM567" i="29"/>
  <c r="AM480" i="29"/>
  <c r="AM46" i="29"/>
  <c r="AM613" i="29"/>
  <c r="AM95" i="29"/>
  <c r="AM159" i="29"/>
  <c r="AM316" i="29"/>
  <c r="AM412" i="29"/>
  <c r="AM465" i="29"/>
  <c r="AM374" i="29"/>
  <c r="AM168" i="29"/>
  <c r="AM390" i="29"/>
  <c r="AM553" i="29"/>
  <c r="AM263" i="29"/>
  <c r="AM186" i="29"/>
  <c r="AM146" i="29"/>
  <c r="AM506" i="29"/>
  <c r="AM136" i="29"/>
  <c r="AM609" i="29"/>
  <c r="AM500" i="29"/>
  <c r="AM110" i="29"/>
  <c r="AM97" i="29"/>
  <c r="AO97" i="29" s="1"/>
  <c r="AM395" i="29"/>
  <c r="AM180" i="29"/>
  <c r="AM453" i="29"/>
  <c r="AM187" i="29"/>
  <c r="AM418" i="29"/>
  <c r="AM393" i="29"/>
  <c r="AM120" i="29"/>
  <c r="AM476" i="29"/>
  <c r="AM559" i="29"/>
  <c r="AM73" i="29"/>
  <c r="AM492" i="29"/>
  <c r="AM489" i="29"/>
  <c r="AM579" i="29"/>
  <c r="AM218" i="29"/>
  <c r="AM152" i="29"/>
  <c r="AM265" i="29"/>
  <c r="AM244" i="29"/>
  <c r="AM415" i="29"/>
  <c r="AM49" i="29"/>
  <c r="AM497" i="29"/>
  <c r="AM141" i="29"/>
  <c r="AM54" i="29"/>
  <c r="AM463" i="29"/>
  <c r="AM394" i="29"/>
  <c r="AM105" i="29"/>
  <c r="AM377" i="29"/>
  <c r="AP114" i="29"/>
  <c r="AQ114" i="29" s="1"/>
  <c r="AR114" i="29" s="1"/>
  <c r="AP204" i="29"/>
  <c r="AQ204" i="29" s="1"/>
  <c r="AR204" i="29" s="1"/>
  <c r="AP132" i="29"/>
  <c r="AQ132" i="29" s="1"/>
  <c r="AR132" i="29" s="1"/>
  <c r="AP255" i="29"/>
  <c r="AQ255" i="29" s="1"/>
  <c r="AR255" i="29" s="1"/>
  <c r="AP290" i="29"/>
  <c r="AQ290" i="29" s="1"/>
  <c r="AR290" i="29" s="1"/>
  <c r="AP330" i="29"/>
  <c r="AQ330" i="29" s="1"/>
  <c r="AR330" i="29" s="1"/>
  <c r="AP306" i="29"/>
  <c r="AQ306" i="29" s="1"/>
  <c r="AR306" i="29" s="1"/>
  <c r="AP84" i="29"/>
  <c r="AQ84" i="29" s="1"/>
  <c r="AR84" i="29" s="1"/>
  <c r="AP167" i="29"/>
  <c r="AQ167" i="29" s="1"/>
  <c r="AR167" i="29" s="1"/>
  <c r="AP459" i="29"/>
  <c r="AQ459" i="29" s="1"/>
  <c r="AR459" i="29" s="1"/>
  <c r="AP599" i="29"/>
  <c r="AQ599" i="29" s="1"/>
  <c r="AR599" i="29" s="1"/>
  <c r="AP520" i="29"/>
  <c r="AQ520" i="29" s="1"/>
  <c r="AR520" i="29" s="1"/>
  <c r="AP237" i="29"/>
  <c r="AQ237" i="29" s="1"/>
  <c r="AR237" i="29" s="1"/>
  <c r="AP175" i="29"/>
  <c r="AQ175" i="29" s="1"/>
  <c r="AR175" i="29" s="1"/>
  <c r="AP311" i="29"/>
  <c r="AQ311" i="29" s="1"/>
  <c r="AR311" i="29" s="1"/>
  <c r="AP557" i="29"/>
  <c r="AQ557" i="29" s="1"/>
  <c r="AR557" i="29" s="1"/>
  <c r="AP293" i="29"/>
  <c r="AQ293" i="29" s="1"/>
  <c r="AR293" i="29" s="1"/>
  <c r="AP450" i="29"/>
  <c r="AQ450" i="29" s="1"/>
  <c r="AR450" i="29" s="1"/>
  <c r="AP308" i="29"/>
  <c r="AQ308" i="29" s="1"/>
  <c r="AR308" i="29" s="1"/>
  <c r="AP417" i="29"/>
  <c r="AQ417" i="29" s="1"/>
  <c r="AR417" i="29" s="1"/>
  <c r="AP586" i="29"/>
  <c r="AQ586" i="29" s="1"/>
  <c r="AR586" i="29" s="1"/>
  <c r="AP488" i="29"/>
  <c r="AQ488" i="29" s="1"/>
  <c r="AR488" i="29" s="1"/>
  <c r="AM611" i="29"/>
  <c r="AP86" i="29"/>
  <c r="AQ86" i="29" s="1"/>
  <c r="AR86" i="29" s="1"/>
  <c r="AP213" i="29"/>
  <c r="AQ213" i="29" s="1"/>
  <c r="AR213" i="29" s="1"/>
  <c r="AP54" i="29"/>
  <c r="AQ54" i="29" s="1"/>
  <c r="AR54" i="29" s="1"/>
  <c r="AP233" i="29"/>
  <c r="AQ233" i="29" s="1"/>
  <c r="AR233" i="29" s="1"/>
  <c r="AP593" i="29"/>
  <c r="AQ593" i="29" s="1"/>
  <c r="AR593" i="29" s="1"/>
  <c r="AP502" i="29"/>
  <c r="AQ502" i="29" s="1"/>
  <c r="AR502" i="29" s="1"/>
  <c r="AP195" i="29"/>
  <c r="AQ195" i="29" s="1"/>
  <c r="AR195" i="29" s="1"/>
  <c r="AP168" i="29"/>
  <c r="AQ168" i="29" s="1"/>
  <c r="AR168" i="29" s="1"/>
  <c r="AP82" i="29"/>
  <c r="AQ82" i="29" s="1"/>
  <c r="AR82" i="29" s="1"/>
  <c r="AP321" i="29"/>
  <c r="AQ321" i="29" s="1"/>
  <c r="AR321" i="29" s="1"/>
  <c r="AP382" i="29"/>
  <c r="AQ382" i="29" s="1"/>
  <c r="AR382" i="29" s="1"/>
  <c r="AP253" i="29"/>
  <c r="AQ253" i="29" s="1"/>
  <c r="AR253" i="29" s="1"/>
  <c r="AP294" i="29"/>
  <c r="AQ294" i="29" s="1"/>
  <c r="AR294" i="29" s="1"/>
  <c r="AP567" i="29"/>
  <c r="AQ567" i="29" s="1"/>
  <c r="AR567" i="29" s="1"/>
  <c r="AP236" i="29"/>
  <c r="AQ236" i="29" s="1"/>
  <c r="AR236" i="29" s="1"/>
  <c r="AP507" i="29"/>
  <c r="AQ507" i="29" s="1"/>
  <c r="AR507" i="29" s="1"/>
  <c r="AP198" i="29"/>
  <c r="AQ198" i="29" s="1"/>
  <c r="AR198" i="29" s="1"/>
  <c r="AP367" i="29"/>
  <c r="AQ367" i="29" s="1"/>
  <c r="AR367" i="29" s="1"/>
  <c r="AP98" i="29"/>
  <c r="AQ98" i="29" s="1"/>
  <c r="AR98" i="29" s="1"/>
  <c r="AP383" i="29"/>
  <c r="AQ383" i="29" s="1"/>
  <c r="AR383" i="29" s="1"/>
  <c r="AP454" i="29"/>
  <c r="AQ454" i="29" s="1"/>
  <c r="AR454" i="29" s="1"/>
  <c r="AP379" i="29"/>
  <c r="AQ379" i="29" s="1"/>
  <c r="AR379" i="29" s="1"/>
  <c r="AM452" i="29"/>
  <c r="AO452" i="29" s="1"/>
  <c r="AP349" i="29"/>
  <c r="AQ349" i="29" s="1"/>
  <c r="AR349" i="29" s="1"/>
  <c r="AP248" i="29"/>
  <c r="AQ248" i="29" s="1"/>
  <c r="AR248" i="29" s="1"/>
  <c r="AP577" i="29"/>
  <c r="AQ577" i="29" s="1"/>
  <c r="AR577" i="29" s="1"/>
  <c r="AP281" i="29"/>
  <c r="AQ281" i="29" s="1"/>
  <c r="AR281" i="29" s="1"/>
  <c r="AP485" i="29"/>
  <c r="AQ485" i="29" s="1"/>
  <c r="AR485" i="29" s="1"/>
  <c r="AP572" i="29"/>
  <c r="AQ572" i="29" s="1"/>
  <c r="AR572" i="29" s="1"/>
  <c r="AP201" i="29"/>
  <c r="AQ201" i="29" s="1"/>
  <c r="AR201" i="29" s="1"/>
  <c r="AM36" i="29"/>
  <c r="AP282" i="29"/>
  <c r="AQ282" i="29" s="1"/>
  <c r="AR282" i="29" s="1"/>
  <c r="AP468" i="29"/>
  <c r="AQ468" i="29" s="1"/>
  <c r="AR468" i="29" s="1"/>
  <c r="AP476" i="29"/>
  <c r="AQ476" i="29" s="1"/>
  <c r="AR476" i="29" s="1"/>
  <c r="AP340" i="29"/>
  <c r="AQ340" i="29" s="1"/>
  <c r="AR340" i="29" s="1"/>
  <c r="AP522" i="29"/>
  <c r="AQ522" i="29" s="1"/>
  <c r="AR522" i="29" s="1"/>
  <c r="AP243" i="29"/>
  <c r="AQ243" i="29" s="1"/>
  <c r="AR243" i="29" s="1"/>
  <c r="AP221" i="29"/>
  <c r="AQ221" i="29" s="1"/>
  <c r="AR221" i="29" s="1"/>
  <c r="AP176" i="29"/>
  <c r="AQ176" i="29" s="1"/>
  <c r="AR176" i="29" s="1"/>
  <c r="AP75" i="29"/>
  <c r="AQ75" i="29" s="1"/>
  <c r="AR75" i="29" s="1"/>
  <c r="AP527" i="29"/>
  <c r="AQ527" i="29" s="1"/>
  <c r="AR527" i="29" s="1"/>
  <c r="AP52" i="29"/>
  <c r="AQ52" i="29" s="1"/>
  <c r="AR52" i="29" s="1"/>
  <c r="AP24" i="29"/>
  <c r="AQ24" i="29" s="1"/>
  <c r="AR24" i="29" s="1"/>
  <c r="AP418" i="29"/>
  <c r="AQ418" i="29" s="1"/>
  <c r="AR418" i="29" s="1"/>
  <c r="AP179" i="29"/>
  <c r="AQ179" i="29" s="1"/>
  <c r="AR179" i="29" s="1"/>
  <c r="AP324" i="29"/>
  <c r="AQ324" i="29" s="1"/>
  <c r="AR324" i="29" s="1"/>
  <c r="AP590" i="29"/>
  <c r="AQ590" i="29" s="1"/>
  <c r="AR590" i="29" s="1"/>
  <c r="AP85" i="29"/>
  <c r="AQ85" i="29" s="1"/>
  <c r="AR85" i="29" s="1"/>
  <c r="AP223" i="29"/>
  <c r="AQ223" i="29" s="1"/>
  <c r="AR223" i="29" s="1"/>
  <c r="AP436" i="29"/>
  <c r="AQ436" i="29" s="1"/>
  <c r="AR436" i="29" s="1"/>
  <c r="AP441" i="29"/>
  <c r="AQ441" i="29" s="1"/>
  <c r="AR441" i="29" s="1"/>
  <c r="AP414" i="29"/>
  <c r="AQ414" i="29" s="1"/>
  <c r="AR414" i="29" s="1"/>
  <c r="AP26" i="29"/>
  <c r="AQ26" i="29" s="1"/>
  <c r="AR26" i="29" s="1"/>
  <c r="AP581" i="29"/>
  <c r="AQ581" i="29" s="1"/>
  <c r="AR581" i="29" s="1"/>
  <c r="AP105" i="29"/>
  <c r="AQ105" i="29" s="1"/>
  <c r="AR105" i="29" s="1"/>
  <c r="AP53" i="29"/>
  <c r="AQ53" i="29" s="1"/>
  <c r="AR53" i="29" s="1"/>
  <c r="AP451" i="29"/>
  <c r="AQ451" i="29" s="1"/>
  <c r="AR451" i="29" s="1"/>
  <c r="AP541" i="29"/>
  <c r="AQ541" i="29" s="1"/>
  <c r="AR541" i="29" s="1"/>
  <c r="AP58" i="29"/>
  <c r="AQ58" i="29" s="1"/>
  <c r="AR58" i="29" s="1"/>
  <c r="AP474" i="29"/>
  <c r="AQ474" i="29" s="1"/>
  <c r="AR474" i="29" s="1"/>
  <c r="AP192" i="29"/>
  <c r="AQ192" i="29" s="1"/>
  <c r="AR192" i="29" s="1"/>
  <c r="AP299" i="29"/>
  <c r="AQ299" i="29" s="1"/>
  <c r="AR299" i="29" s="1"/>
  <c r="AP466" i="29"/>
  <c r="AQ466" i="29" s="1"/>
  <c r="AR466" i="29" s="1"/>
  <c r="AP111" i="29"/>
  <c r="AQ111" i="29" s="1"/>
  <c r="AR111" i="29" s="1"/>
  <c r="AP524" i="29"/>
  <c r="AQ524" i="29" s="1"/>
  <c r="AR524" i="29" s="1"/>
  <c r="AP160" i="29"/>
  <c r="AQ160" i="29" s="1"/>
  <c r="AR160" i="29" s="1"/>
  <c r="AP226" i="29"/>
  <c r="AQ226" i="29" s="1"/>
  <c r="AR226" i="29" s="1"/>
  <c r="AM511" i="29"/>
  <c r="AP554" i="29"/>
  <c r="AQ554" i="29" s="1"/>
  <c r="AR554" i="29" s="1"/>
  <c r="AP212" i="29"/>
  <c r="AQ212" i="29" s="1"/>
  <c r="AR212" i="29" s="1"/>
  <c r="AP467" i="29"/>
  <c r="AQ467" i="29" s="1"/>
  <c r="AR467" i="29" s="1"/>
  <c r="AP180" i="29"/>
  <c r="AQ180" i="29" s="1"/>
  <c r="AR180" i="29" s="1"/>
  <c r="AP309" i="29"/>
  <c r="AQ309" i="29" s="1"/>
  <c r="AR309" i="29" s="1"/>
  <c r="AP410" i="29"/>
  <c r="AQ410" i="29" s="1"/>
  <c r="AR410" i="29" s="1"/>
  <c r="AP288" i="29"/>
  <c r="AQ288" i="29" s="1"/>
  <c r="AR288" i="29" s="1"/>
  <c r="AP380" i="29"/>
  <c r="AQ380" i="29" s="1"/>
  <c r="AR380" i="29" s="1"/>
  <c r="AP603" i="29"/>
  <c r="AQ603" i="29" s="1"/>
  <c r="AR603" i="29" s="1"/>
  <c r="AP206" i="29"/>
  <c r="AQ206" i="29" s="1"/>
  <c r="AR206" i="29" s="1"/>
  <c r="AP392" i="29"/>
  <c r="AQ392" i="29" s="1"/>
  <c r="AR392" i="29" s="1"/>
  <c r="AP481" i="29"/>
  <c r="AQ481" i="29" s="1"/>
  <c r="AR481" i="29" s="1"/>
  <c r="AP109" i="29"/>
  <c r="AQ109" i="29" s="1"/>
  <c r="AR109" i="29" s="1"/>
  <c r="AP208" i="29"/>
  <c r="AQ208" i="29" s="1"/>
  <c r="AR208" i="29" s="1"/>
  <c r="AP218" i="29"/>
  <c r="AQ218" i="29" s="1"/>
  <c r="AR218" i="29" s="1"/>
  <c r="AP222" i="29"/>
  <c r="AQ222" i="29" s="1"/>
  <c r="AR222" i="29" s="1"/>
  <c r="AP352" i="29"/>
  <c r="AQ352" i="29" s="1"/>
  <c r="AR352" i="29" s="1"/>
  <c r="AP302" i="29"/>
  <c r="AQ302" i="29" s="1"/>
  <c r="AR302" i="29" s="1"/>
  <c r="AP122" i="29"/>
  <c r="AQ122" i="29" s="1"/>
  <c r="AR122" i="29" s="1"/>
  <c r="AP35" i="29"/>
  <c r="AQ35" i="29" s="1"/>
  <c r="AR35" i="29" s="1"/>
  <c r="AP545" i="29"/>
  <c r="AQ545" i="29" s="1"/>
  <c r="AR545" i="29" s="1"/>
  <c r="AP36" i="29"/>
  <c r="AQ36" i="29" s="1"/>
  <c r="AR36" i="29" s="1"/>
  <c r="D52" i="29"/>
  <c r="D54" i="29" s="1"/>
  <c r="AM536" i="29"/>
  <c r="AP153" i="29"/>
  <c r="AQ153" i="29" s="1"/>
  <c r="AR153" i="29" s="1"/>
  <c r="AP187" i="29"/>
  <c r="AQ187" i="29" s="1"/>
  <c r="AR187" i="29" s="1"/>
  <c r="AP144" i="29"/>
  <c r="AQ144" i="29" s="1"/>
  <c r="AR144" i="29" s="1"/>
  <c r="AP210" i="29"/>
  <c r="AQ210" i="29" s="1"/>
  <c r="AR210" i="29" s="1"/>
  <c r="AP214" i="29"/>
  <c r="AQ214" i="29" s="1"/>
  <c r="AR214" i="29" s="1"/>
  <c r="AP518" i="29"/>
  <c r="AQ518" i="29" s="1"/>
  <c r="AR518" i="29" s="1"/>
  <c r="AP351" i="29"/>
  <c r="AQ351" i="29" s="1"/>
  <c r="AR351" i="29" s="1"/>
  <c r="AP194" i="29"/>
  <c r="AQ194" i="29" s="1"/>
  <c r="AR194" i="29" s="1"/>
  <c r="AP163" i="29"/>
  <c r="AQ163" i="29" s="1"/>
  <c r="AR163" i="29" s="1"/>
  <c r="AP61" i="29"/>
  <c r="AQ61" i="29" s="1"/>
  <c r="AR61" i="29" s="1"/>
  <c r="AP430" i="29"/>
  <c r="AQ430" i="29" s="1"/>
  <c r="AR430" i="29" s="1"/>
  <c r="AP139" i="29"/>
  <c r="AQ139" i="29" s="1"/>
  <c r="AR139" i="29" s="1"/>
  <c r="AP182" i="29"/>
  <c r="AQ182" i="29" s="1"/>
  <c r="AR182" i="29" s="1"/>
  <c r="AP534" i="29"/>
  <c r="AQ534" i="29" s="1"/>
  <c r="AR534" i="29" s="1"/>
  <c r="AP137" i="29"/>
  <c r="AQ137" i="29" s="1"/>
  <c r="AR137" i="29" s="1"/>
  <c r="AP536" i="29"/>
  <c r="AQ536" i="29" s="1"/>
  <c r="AR536" i="29" s="1"/>
  <c r="AP186" i="29"/>
  <c r="AQ186" i="29" s="1"/>
  <c r="AR186" i="29" s="1"/>
  <c r="AP568" i="29"/>
  <c r="AQ568" i="29" s="1"/>
  <c r="AR568" i="29" s="1"/>
  <c r="AP583" i="29"/>
  <c r="AQ583" i="29" s="1"/>
  <c r="AR583" i="29" s="1"/>
  <c r="AP66" i="29"/>
  <c r="AQ66" i="29" s="1"/>
  <c r="AR66" i="29" s="1"/>
  <c r="AP125" i="29"/>
  <c r="AQ125" i="29" s="1"/>
  <c r="AR125" i="29" s="1"/>
  <c r="AP147" i="29"/>
  <c r="AQ147" i="29" s="1"/>
  <c r="AR147" i="29" s="1"/>
  <c r="AP197" i="29"/>
  <c r="AQ197" i="29" s="1"/>
  <c r="AR197" i="29" s="1"/>
  <c r="AP291" i="29"/>
  <c r="AQ291" i="29" s="1"/>
  <c r="AR291" i="29" s="1"/>
  <c r="AP491" i="29"/>
  <c r="AQ491" i="29" s="1"/>
  <c r="AR491" i="29" s="1"/>
  <c r="AP217" i="29"/>
  <c r="AQ217" i="29" s="1"/>
  <c r="AR217" i="29" s="1"/>
  <c r="AP32" i="29"/>
  <c r="AQ32" i="29" s="1"/>
  <c r="AR32" i="29" s="1"/>
  <c r="AP56" i="29"/>
  <c r="AQ56" i="29" s="1"/>
  <c r="AR56" i="29" s="1"/>
  <c r="AP134" i="29"/>
  <c r="AQ134" i="29" s="1"/>
  <c r="AR134" i="29" s="1"/>
  <c r="AP13" i="29"/>
  <c r="AQ13" i="29" s="1"/>
  <c r="AR13" i="29" s="1"/>
  <c r="AP356" i="29"/>
  <c r="AQ356" i="29" s="1"/>
  <c r="AR356" i="29" s="1"/>
  <c r="AP34" i="29"/>
  <c r="AQ34" i="29" s="1"/>
  <c r="AR34" i="29" s="1"/>
  <c r="AP475" i="29"/>
  <c r="AQ475" i="29" s="1"/>
  <c r="AR475" i="29" s="1"/>
  <c r="AP270" i="29"/>
  <c r="AQ270" i="29" s="1"/>
  <c r="AR270" i="29" s="1"/>
  <c r="AP357" i="29"/>
  <c r="AQ357" i="29" s="1"/>
  <c r="AR357" i="29" s="1"/>
  <c r="AP50" i="29"/>
  <c r="AQ50" i="29" s="1"/>
  <c r="AR50" i="29" s="1"/>
  <c r="AP447" i="29"/>
  <c r="AQ447" i="29" s="1"/>
  <c r="AR447" i="29" s="1"/>
  <c r="AP483" i="29"/>
  <c r="AQ483" i="29" s="1"/>
  <c r="AR483" i="29" s="1"/>
  <c r="AP533" i="29"/>
  <c r="AQ533" i="29" s="1"/>
  <c r="AR533" i="29" s="1"/>
  <c r="AP136" i="29"/>
  <c r="AQ136" i="29" s="1"/>
  <c r="AR136" i="29" s="1"/>
  <c r="AP15" i="29"/>
  <c r="AQ15" i="29" s="1"/>
  <c r="AR15" i="29" s="1"/>
  <c r="AP543" i="29"/>
  <c r="AQ543" i="29" s="1"/>
  <c r="AR543" i="29" s="1"/>
  <c r="AP78" i="29"/>
  <c r="AQ78" i="29" s="1"/>
  <c r="AR78" i="29" s="1"/>
  <c r="AP336" i="29"/>
  <c r="AQ336" i="29" s="1"/>
  <c r="AR336" i="29" s="1"/>
  <c r="AM181" i="29"/>
  <c r="AM523" i="29"/>
  <c r="AP347" i="29"/>
  <c r="AQ347" i="29" s="1"/>
  <c r="AR347" i="29" s="1"/>
  <c r="AP610" i="29"/>
  <c r="AQ610" i="29" s="1"/>
  <c r="AR610" i="29" s="1"/>
  <c r="AP241" i="29"/>
  <c r="AQ241" i="29" s="1"/>
  <c r="AR241" i="29" s="1"/>
  <c r="AP96" i="29"/>
  <c r="AQ96" i="29" s="1"/>
  <c r="AR96" i="29" s="1"/>
  <c r="AP280" i="29"/>
  <c r="AQ280" i="29" s="1"/>
  <c r="AR280" i="29" s="1"/>
  <c r="AP440" i="29"/>
  <c r="AQ440" i="29" s="1"/>
  <c r="AR440" i="29" s="1"/>
  <c r="AP33" i="29"/>
  <c r="AQ33" i="29" s="1"/>
  <c r="AR33" i="29" s="1"/>
  <c r="AP434" i="29"/>
  <c r="AQ434" i="29" s="1"/>
  <c r="AR434" i="29" s="1"/>
  <c r="AP276" i="29"/>
  <c r="AQ276" i="29" s="1"/>
  <c r="AR276" i="29" s="1"/>
  <c r="AP322" i="29"/>
  <c r="AQ322" i="29" s="1"/>
  <c r="AR322" i="29" s="1"/>
  <c r="AP133" i="29"/>
  <c r="AQ133" i="29" s="1"/>
  <c r="AR133" i="29" s="1"/>
  <c r="AP227" i="29"/>
  <c r="AQ227" i="29" s="1"/>
  <c r="AR227" i="29" s="1"/>
  <c r="AP516" i="29"/>
  <c r="AQ516" i="29" s="1"/>
  <c r="AR516" i="29" s="1"/>
  <c r="AP360" i="29"/>
  <c r="AQ360" i="29" s="1"/>
  <c r="AR360" i="29" s="1"/>
  <c r="AP131" i="29"/>
  <c r="AQ131" i="29" s="1"/>
  <c r="AR131" i="29" s="1"/>
  <c r="AP44" i="29"/>
  <c r="AQ44" i="29" s="1"/>
  <c r="AR44" i="29" s="1"/>
  <c r="AP224" i="29"/>
  <c r="AQ224" i="29" s="1"/>
  <c r="AR224" i="29" s="1"/>
  <c r="AP539" i="29"/>
  <c r="AQ539" i="29" s="1"/>
  <c r="AR539" i="29" s="1"/>
  <c r="AP207" i="29"/>
  <c r="AQ207" i="29" s="1"/>
  <c r="AR207" i="29" s="1"/>
  <c r="AP424" i="29"/>
  <c r="AQ424" i="29" s="1"/>
  <c r="AR424" i="29" s="1"/>
  <c r="AP529" i="29"/>
  <c r="AQ529" i="29" s="1"/>
  <c r="AR529" i="29" s="1"/>
  <c r="AP129" i="29"/>
  <c r="AQ129" i="29" s="1"/>
  <c r="AR129" i="29" s="1"/>
  <c r="AP613" i="29"/>
  <c r="AQ613" i="29" s="1"/>
  <c r="AR613" i="29" s="1"/>
  <c r="AP265" i="29"/>
  <c r="AQ265" i="29" s="1"/>
  <c r="AR265" i="29" s="1"/>
  <c r="AP433" i="29"/>
  <c r="AQ433" i="29" s="1"/>
  <c r="AR433" i="29" s="1"/>
  <c r="AP505" i="29"/>
  <c r="AQ505" i="29" s="1"/>
  <c r="AR505" i="29" s="1"/>
  <c r="AP57" i="29"/>
  <c r="AQ57" i="29" s="1"/>
  <c r="AR57" i="29" s="1"/>
  <c r="AP178" i="29"/>
  <c r="AQ178" i="29" s="1"/>
  <c r="AR178" i="29" s="1"/>
  <c r="AP277" i="29"/>
  <c r="AQ277" i="29" s="1"/>
  <c r="AR277" i="29" s="1"/>
  <c r="AP200" i="29"/>
  <c r="AQ200" i="29" s="1"/>
  <c r="AR200" i="29" s="1"/>
  <c r="AP449" i="29"/>
  <c r="AQ449" i="29" s="1"/>
  <c r="AR449" i="29" s="1"/>
  <c r="AP113" i="29"/>
  <c r="AQ113" i="29" s="1"/>
  <c r="AR113" i="29" s="1"/>
  <c r="AP73" i="29"/>
  <c r="AQ73" i="29" s="1"/>
  <c r="AR73" i="29" s="1"/>
  <c r="AP59" i="29"/>
  <c r="AQ59" i="29" s="1"/>
  <c r="AR59" i="29" s="1"/>
  <c r="AP540" i="29"/>
  <c r="AQ540" i="29" s="1"/>
  <c r="AR540" i="29" s="1"/>
  <c r="AP92" i="29"/>
  <c r="AQ92" i="29" s="1"/>
  <c r="AR92" i="29" s="1"/>
  <c r="AP335" i="29"/>
  <c r="AQ335" i="29" s="1"/>
  <c r="AR335" i="29" s="1"/>
  <c r="AP251" i="29"/>
  <c r="AQ251" i="29" s="1"/>
  <c r="AR251" i="29" s="1"/>
  <c r="AP438" i="29"/>
  <c r="AQ438" i="29" s="1"/>
  <c r="AR438" i="29" s="1"/>
  <c r="AP108" i="29"/>
  <c r="AQ108" i="29" s="1"/>
  <c r="AR108" i="29" s="1"/>
  <c r="AP183" i="29"/>
  <c r="AQ183" i="29" s="1"/>
  <c r="AR183" i="29" s="1"/>
  <c r="AP283" i="29"/>
  <c r="AQ283" i="29" s="1"/>
  <c r="AR283" i="29" s="1"/>
  <c r="AP170" i="29"/>
  <c r="AQ170" i="29" s="1"/>
  <c r="AR170" i="29" s="1"/>
  <c r="AP530" i="29"/>
  <c r="AQ530" i="29" s="1"/>
  <c r="AR530" i="29" s="1"/>
  <c r="AP388" i="29"/>
  <c r="AQ388" i="29" s="1"/>
  <c r="AR388" i="29" s="1"/>
  <c r="AP18" i="29"/>
  <c r="AQ18" i="29" s="1"/>
  <c r="AR18" i="29" s="1"/>
  <c r="AP284" i="29"/>
  <c r="AQ284" i="29" s="1"/>
  <c r="AR284" i="29" s="1"/>
  <c r="AP307" i="29"/>
  <c r="AQ307" i="29" s="1"/>
  <c r="AR307" i="29" s="1"/>
  <c r="AP310" i="29"/>
  <c r="AQ310" i="29" s="1"/>
  <c r="AR310" i="29" s="1"/>
  <c r="AP273" i="29"/>
  <c r="AQ273" i="29" s="1"/>
  <c r="AR273" i="29" s="1"/>
  <c r="AP215" i="29"/>
  <c r="AQ215" i="29" s="1"/>
  <c r="AR215" i="29" s="1"/>
  <c r="AP582" i="29"/>
  <c r="AQ582" i="29" s="1"/>
  <c r="AR582" i="29" s="1"/>
  <c r="AP478" i="29"/>
  <c r="AQ478" i="29" s="1"/>
  <c r="AR478" i="29" s="1"/>
  <c r="AP67" i="29"/>
  <c r="AQ67" i="29" s="1"/>
  <c r="AR67" i="29" s="1"/>
  <c r="AP546" i="29"/>
  <c r="AQ546" i="29" s="1"/>
  <c r="AR546" i="29" s="1"/>
  <c r="AP551" i="29"/>
  <c r="AQ551" i="29" s="1"/>
  <c r="AR551" i="29" s="1"/>
  <c r="AP46" i="29"/>
  <c r="AQ46" i="29" s="1"/>
  <c r="AR46" i="29" s="1"/>
  <c r="AP161" i="29"/>
  <c r="AQ161" i="29" s="1"/>
  <c r="AR161" i="29" s="1"/>
  <c r="AP393" i="29"/>
  <c r="AQ393" i="29" s="1"/>
  <c r="AR393" i="29" s="1"/>
  <c r="AP193" i="29"/>
  <c r="AQ193" i="29" s="1"/>
  <c r="AR193" i="29" s="1"/>
  <c r="AP526" i="29"/>
  <c r="AQ526" i="29" s="1"/>
  <c r="AR526" i="29" s="1"/>
  <c r="AP239" i="29"/>
  <c r="AQ239" i="29" s="1"/>
  <c r="AR239" i="29" s="1"/>
  <c r="AP37" i="29"/>
  <c r="AQ37" i="29" s="1"/>
  <c r="AR37" i="29" s="1"/>
  <c r="AP523" i="29"/>
  <c r="AQ523" i="29" s="1"/>
  <c r="AR523" i="29" s="1"/>
  <c r="AP40" i="29"/>
  <c r="AQ40" i="29" s="1"/>
  <c r="AR40" i="29" s="1"/>
  <c r="AP370" i="29"/>
  <c r="AQ370" i="29" s="1"/>
  <c r="AR370" i="29" s="1"/>
  <c r="AP188" i="29"/>
  <c r="AQ188" i="29" s="1"/>
  <c r="AR188" i="29" s="1"/>
  <c r="AP72" i="29"/>
  <c r="AQ72" i="29" s="1"/>
  <c r="AR72" i="29" s="1"/>
  <c r="AP547" i="29"/>
  <c r="AQ547" i="29" s="1"/>
  <c r="AR547" i="29" s="1"/>
  <c r="AP445" i="29"/>
  <c r="AQ445" i="29" s="1"/>
  <c r="AR445" i="29" s="1"/>
  <c r="AP573" i="29"/>
  <c r="AQ573" i="29" s="1"/>
  <c r="AR573" i="29" s="1"/>
  <c r="AP456" i="29"/>
  <c r="AQ456" i="29" s="1"/>
  <c r="AR456" i="29" s="1"/>
  <c r="AP318" i="29"/>
  <c r="AQ318" i="29" s="1"/>
  <c r="AR318" i="29" s="1"/>
  <c r="AP298" i="29"/>
  <c r="AQ298" i="29" s="1"/>
  <c r="AR298" i="29" s="1"/>
  <c r="AP49" i="29"/>
  <c r="AQ49" i="29" s="1"/>
  <c r="AR49" i="29" s="1"/>
  <c r="AP446" i="29"/>
  <c r="AQ446" i="29" s="1"/>
  <c r="AR446" i="29" s="1"/>
  <c r="AP189" i="29"/>
  <c r="AQ189" i="29" s="1"/>
  <c r="AR189" i="29" s="1"/>
  <c r="AP70" i="29"/>
  <c r="AQ70" i="29" s="1"/>
  <c r="AR70" i="29" s="1"/>
  <c r="AP531" i="29"/>
  <c r="AQ531" i="29" s="1"/>
  <c r="AR531" i="29" s="1"/>
  <c r="AP329" i="29"/>
  <c r="AQ329" i="29" s="1"/>
  <c r="AR329" i="29" s="1"/>
  <c r="AP240" i="29"/>
  <c r="AQ240" i="29" s="1"/>
  <c r="AR240" i="29" s="1"/>
  <c r="AP146" i="29"/>
  <c r="AQ146" i="29" s="1"/>
  <c r="AR146" i="29" s="1"/>
  <c r="AP320" i="29"/>
  <c r="AQ320" i="29" s="1"/>
  <c r="AR320" i="29" s="1"/>
  <c r="AP448" i="29"/>
  <c r="AQ448" i="29" s="1"/>
  <c r="AR448" i="29" s="1"/>
  <c r="AP39" i="29"/>
  <c r="AQ39" i="29" s="1"/>
  <c r="AR39" i="29" s="1"/>
  <c r="AP381" i="29"/>
  <c r="AQ381" i="29" s="1"/>
  <c r="AR381" i="29" s="1"/>
  <c r="AP138" i="29"/>
  <c r="AQ138" i="29" s="1"/>
  <c r="AR138" i="29" s="1"/>
  <c r="AP313" i="29"/>
  <c r="AQ313" i="29" s="1"/>
  <c r="AR313" i="29" s="1"/>
  <c r="AP558" i="29"/>
  <c r="AQ558" i="29" s="1"/>
  <c r="AR558" i="29" s="1"/>
  <c r="AP415" i="29"/>
  <c r="AQ415" i="29" s="1"/>
  <c r="AR415" i="29" s="1"/>
  <c r="AP519" i="29"/>
  <c r="AQ519" i="29" s="1"/>
  <c r="AR519" i="29" s="1"/>
  <c r="AP257" i="29"/>
  <c r="AQ257" i="29" s="1"/>
  <c r="AR257" i="29" s="1"/>
  <c r="AP225" i="29"/>
  <c r="AQ225" i="29" s="1"/>
  <c r="AR225" i="29" s="1"/>
  <c r="AP235" i="29"/>
  <c r="AQ235" i="29" s="1"/>
  <c r="AR235" i="29" s="1"/>
  <c r="AP559" i="29"/>
  <c r="AQ559" i="29" s="1"/>
  <c r="AR559" i="29" s="1"/>
  <c r="AP597" i="29"/>
  <c r="AQ597" i="29" s="1"/>
  <c r="AR597" i="29" s="1"/>
  <c r="AP171" i="29"/>
  <c r="AQ171" i="29" s="1"/>
  <c r="AR171" i="29" s="1"/>
  <c r="AP65" i="29"/>
  <c r="AQ65" i="29" s="1"/>
  <c r="AR65" i="29" s="1"/>
  <c r="AP141" i="29"/>
  <c r="AQ141" i="29" s="1"/>
  <c r="AR141" i="29" s="1"/>
  <c r="AP107" i="29"/>
  <c r="AQ107" i="29" s="1"/>
  <c r="AR107" i="29" s="1"/>
  <c r="AP348" i="29"/>
  <c r="AQ348" i="29" s="1"/>
  <c r="AR348" i="29" s="1"/>
  <c r="AP71" i="29"/>
  <c r="AQ71" i="29" s="1"/>
  <c r="AR71" i="29" s="1"/>
  <c r="AP428" i="29"/>
  <c r="AQ428" i="29" s="1"/>
  <c r="AR428" i="29" s="1"/>
  <c r="AP337" i="29"/>
  <c r="AQ337" i="29" s="1"/>
  <c r="AR337" i="29" s="1"/>
  <c r="AP538" i="29"/>
  <c r="AQ538" i="29" s="1"/>
  <c r="AR538" i="29" s="1"/>
  <c r="AP552" i="29"/>
  <c r="AQ552" i="29" s="1"/>
  <c r="AR552" i="29" s="1"/>
  <c r="AP115" i="29"/>
  <c r="AQ115" i="29" s="1"/>
  <c r="AR115" i="29" s="1"/>
  <c r="AP396" i="29"/>
  <c r="AQ396" i="29" s="1"/>
  <c r="AR396" i="29" s="1"/>
  <c r="AP574" i="29"/>
  <c r="AQ574" i="29" s="1"/>
  <c r="AR574" i="29" s="1"/>
  <c r="AP423" i="29"/>
  <c r="AQ423" i="29" s="1"/>
  <c r="AR423" i="29" s="1"/>
  <c r="AP354" i="29"/>
  <c r="AQ354" i="29" s="1"/>
  <c r="AR354" i="29" s="1"/>
  <c r="AP358" i="29"/>
  <c r="AQ358" i="29" s="1"/>
  <c r="AR358" i="29" s="1"/>
  <c r="AP612" i="29"/>
  <c r="AQ612" i="29" s="1"/>
  <c r="AR612" i="29" s="1"/>
  <c r="AP94" i="29"/>
  <c r="AQ94" i="29" s="1"/>
  <c r="AR94" i="29" s="1"/>
  <c r="AP196" i="29"/>
  <c r="AQ196" i="29" s="1"/>
  <c r="AR196" i="29" s="1"/>
  <c r="AP611" i="29"/>
  <c r="AQ611" i="29" s="1"/>
  <c r="AR611" i="29" s="1"/>
  <c r="AP262" i="29"/>
  <c r="AQ262" i="29" s="1"/>
  <c r="AR262" i="29" s="1"/>
  <c r="AP267" i="29"/>
  <c r="AQ267" i="29" s="1"/>
  <c r="AR267" i="29" s="1"/>
  <c r="AP595" i="29"/>
  <c r="AQ595" i="29" s="1"/>
  <c r="AR595" i="29" s="1"/>
  <c r="AP405" i="29"/>
  <c r="AQ405" i="29" s="1"/>
  <c r="AR405" i="29" s="1"/>
  <c r="AP231" i="29"/>
  <c r="AQ231" i="29" s="1"/>
  <c r="AR231" i="29" s="1"/>
  <c r="AP490" i="29"/>
  <c r="AQ490" i="29" s="1"/>
  <c r="AR490" i="29" s="1"/>
  <c r="AP461" i="29"/>
  <c r="AQ461" i="29" s="1"/>
  <c r="AR461" i="29" s="1"/>
  <c r="AP355" i="29"/>
  <c r="AQ355" i="29" s="1"/>
  <c r="AR355" i="29" s="1"/>
  <c r="AP435" i="29"/>
  <c r="AQ435" i="29" s="1"/>
  <c r="AR435" i="29" s="1"/>
  <c r="AP442" i="29"/>
  <c r="AQ442" i="29" s="1"/>
  <c r="AR442" i="29" s="1"/>
  <c r="AP106" i="29"/>
  <c r="AQ106" i="29" s="1"/>
  <c r="AR106" i="29" s="1"/>
  <c r="AP157" i="29"/>
  <c r="AQ157" i="29" s="1"/>
  <c r="AR157" i="29" s="1"/>
  <c r="AP101" i="29"/>
  <c r="AQ101" i="29" s="1"/>
  <c r="AR101" i="29" s="1"/>
  <c r="AP350" i="29"/>
  <c r="AQ350" i="29" s="1"/>
  <c r="AR350" i="29" s="1"/>
  <c r="AP130" i="29"/>
  <c r="AQ130" i="29" s="1"/>
  <c r="AR130" i="29" s="1"/>
  <c r="AP47" i="29"/>
  <c r="AQ47" i="29" s="1"/>
  <c r="AR47" i="29" s="1"/>
  <c r="AP173" i="29"/>
  <c r="AQ173" i="29" s="1"/>
  <c r="AR173" i="29" s="1"/>
  <c r="AP589" i="29"/>
  <c r="AQ589" i="29" s="1"/>
  <c r="AR589" i="29" s="1"/>
  <c r="AP17" i="29"/>
  <c r="AQ17" i="29" s="1"/>
  <c r="AR17" i="29" s="1"/>
  <c r="AP604" i="29"/>
  <c r="AQ604" i="29" s="1"/>
  <c r="AR604" i="29" s="1"/>
  <c r="AP104" i="29"/>
  <c r="AQ104" i="29" s="1"/>
  <c r="AR104" i="29" s="1"/>
  <c r="AP376" i="29"/>
  <c r="AQ376" i="29" s="1"/>
  <c r="AR376" i="29" s="1"/>
  <c r="AP498" i="29"/>
  <c r="AQ498" i="29" s="1"/>
  <c r="AR498" i="29" s="1"/>
  <c r="AP608" i="29"/>
  <c r="AQ608" i="29" s="1"/>
  <c r="AR608" i="29" s="1"/>
  <c r="AP334" i="29"/>
  <c r="AQ334" i="29" s="1"/>
  <c r="AR334" i="29" s="1"/>
  <c r="AP135" i="29"/>
  <c r="AQ135" i="29" s="1"/>
  <c r="AR135" i="29" s="1"/>
  <c r="AP166" i="29"/>
  <c r="AQ166" i="29" s="1"/>
  <c r="AR166" i="29" s="1"/>
  <c r="AP81" i="29"/>
  <c r="AQ81" i="29" s="1"/>
  <c r="AR81" i="29" s="1"/>
  <c r="AP169" i="29"/>
  <c r="AQ169" i="29" s="1"/>
  <c r="AR169" i="29" s="1"/>
  <c r="AP570" i="29"/>
  <c r="AQ570" i="29" s="1"/>
  <c r="AR570" i="29" s="1"/>
  <c r="AP158" i="29"/>
  <c r="AQ158" i="29" s="1"/>
  <c r="AR158" i="29" s="1"/>
  <c r="AP261" i="29"/>
  <c r="AQ261" i="29" s="1"/>
  <c r="AR261" i="29" s="1"/>
  <c r="AP317" i="29"/>
  <c r="AQ317" i="29" s="1"/>
  <c r="AR317" i="29" s="1"/>
  <c r="AP344" i="29"/>
  <c r="AQ344" i="29" s="1"/>
  <c r="AR344" i="29" s="1"/>
  <c r="AP301" i="29"/>
  <c r="AQ301" i="29" s="1"/>
  <c r="AR301" i="29" s="1"/>
  <c r="AP342" i="29"/>
  <c r="AQ342" i="29" s="1"/>
  <c r="AR342" i="29" s="1"/>
  <c r="AP278" i="29"/>
  <c r="AQ278" i="29" s="1"/>
  <c r="AR278" i="29" s="1"/>
  <c r="AP292" i="29"/>
  <c r="AQ292" i="29" s="1"/>
  <c r="AR292" i="29" s="1"/>
  <c r="AP398" i="29"/>
  <c r="AQ398" i="29" s="1"/>
  <c r="AR398" i="29" s="1"/>
  <c r="AP31" i="29"/>
  <c r="AQ31" i="29" s="1"/>
  <c r="AR31" i="29" s="1"/>
  <c r="AP90" i="29"/>
  <c r="AQ90" i="29" s="1"/>
  <c r="AR90" i="29" s="1"/>
  <c r="AP28" i="29"/>
  <c r="AQ28" i="29" s="1"/>
  <c r="AR28" i="29" s="1"/>
  <c r="AP544" i="29"/>
  <c r="AQ544" i="29" s="1"/>
  <c r="AR544" i="29" s="1"/>
  <c r="AP245" i="29"/>
  <c r="AQ245" i="29" s="1"/>
  <c r="AR245" i="29" s="1"/>
  <c r="AP19" i="29"/>
  <c r="AQ19" i="29" s="1"/>
  <c r="AR19" i="29" s="1"/>
  <c r="AP25" i="29"/>
  <c r="AQ25" i="29" s="1"/>
  <c r="AR25" i="29" s="1"/>
  <c r="AP124" i="29"/>
  <c r="AQ124" i="29" s="1"/>
  <c r="AR124" i="29" s="1"/>
  <c r="AP68" i="29"/>
  <c r="AQ68" i="29" s="1"/>
  <c r="AR68" i="29" s="1"/>
  <c r="AP140" i="29"/>
  <c r="AQ140" i="29" s="1"/>
  <c r="AR140" i="29" s="1"/>
  <c r="AP332" i="29"/>
  <c r="AQ332" i="29" s="1"/>
  <c r="AR332" i="29" s="1"/>
  <c r="AP203" i="29"/>
  <c r="AQ203" i="29" s="1"/>
  <c r="AR203" i="29" s="1"/>
  <c r="AP88" i="29"/>
  <c r="AQ88" i="29" s="1"/>
  <c r="AR88" i="29" s="1"/>
  <c r="AP494" i="29"/>
  <c r="AQ494" i="29" s="1"/>
  <c r="AR494" i="29" s="1"/>
  <c r="AP63" i="29"/>
  <c r="AQ63" i="29" s="1"/>
  <c r="AR63" i="29" s="1"/>
  <c r="AP87" i="29"/>
  <c r="AQ87" i="29" s="1"/>
  <c r="AR87" i="29" s="1"/>
  <c r="AP29" i="29"/>
  <c r="AQ29" i="29" s="1"/>
  <c r="AR29" i="29" s="1"/>
  <c r="AP605" i="29"/>
  <c r="AQ605" i="29" s="1"/>
  <c r="AR605" i="29" s="1"/>
  <c r="AP585" i="29"/>
  <c r="AQ585" i="29" s="1"/>
  <c r="AR585" i="29" s="1"/>
  <c r="AP346" i="29"/>
  <c r="AQ346" i="29" s="1"/>
  <c r="AR346" i="29" s="1"/>
  <c r="AP601" i="29"/>
  <c r="AQ601" i="29" s="1"/>
  <c r="AR601" i="29" s="1"/>
  <c r="AP202" i="29"/>
  <c r="AQ202" i="29" s="1"/>
  <c r="AR202" i="29" s="1"/>
  <c r="AP432" i="29"/>
  <c r="AQ432" i="29" s="1"/>
  <c r="AR432" i="29" s="1"/>
  <c r="AP496" i="29"/>
  <c r="AQ496" i="29" s="1"/>
  <c r="AR496" i="29" s="1"/>
  <c r="AP229" i="29"/>
  <c r="AQ229" i="29" s="1"/>
  <c r="AR229" i="29" s="1"/>
  <c r="AP561" i="29"/>
  <c r="AQ561" i="29" s="1"/>
  <c r="AR561" i="29" s="1"/>
  <c r="AP521" i="29"/>
  <c r="AQ521" i="29" s="1"/>
  <c r="AR521" i="29" s="1"/>
  <c r="AP254" i="29"/>
  <c r="AQ254" i="29" s="1"/>
  <c r="AR254" i="29" s="1"/>
  <c r="AP487" i="29"/>
  <c r="AQ487" i="29" s="1"/>
  <c r="AR487" i="29" s="1"/>
  <c r="AP560" i="29"/>
  <c r="AQ560" i="29" s="1"/>
  <c r="AR560" i="29" s="1"/>
  <c r="AP575" i="29"/>
  <c r="AQ575" i="29" s="1"/>
  <c r="AR575" i="29" s="1"/>
  <c r="AP462" i="29"/>
  <c r="AQ462" i="29" s="1"/>
  <c r="AR462" i="29" s="1"/>
  <c r="AP305" i="29"/>
  <c r="AQ305" i="29" s="1"/>
  <c r="AR305" i="29" s="1"/>
  <c r="AP151" i="29"/>
  <c r="AQ151" i="29" s="1"/>
  <c r="AR151" i="29" s="1"/>
  <c r="AP287" i="29"/>
  <c r="AQ287" i="29" s="1"/>
  <c r="AR287" i="29" s="1"/>
  <c r="AP588" i="29"/>
  <c r="AQ588" i="29" s="1"/>
  <c r="AR588" i="29" s="1"/>
  <c r="AP319" i="29"/>
  <c r="AQ319" i="29" s="1"/>
  <c r="AR319" i="29" s="1"/>
  <c r="AP279" i="29"/>
  <c r="AQ279" i="29" s="1"/>
  <c r="AR279" i="29" s="1"/>
  <c r="AP437" i="29"/>
  <c r="AQ437" i="29" s="1"/>
  <c r="AR437" i="29" s="1"/>
  <c r="AP100" i="29"/>
  <c r="AQ100" i="29" s="1"/>
  <c r="AR100" i="29" s="1"/>
  <c r="AP500" i="29"/>
  <c r="AQ500" i="29" s="1"/>
  <c r="AR500" i="29" s="1"/>
  <c r="AP400" i="29"/>
  <c r="AQ400" i="29" s="1"/>
  <c r="AR400" i="29" s="1"/>
  <c r="AP495" i="29"/>
  <c r="AQ495" i="29" s="1"/>
  <c r="AR495" i="29" s="1"/>
  <c r="AP569" i="29"/>
  <c r="AQ569" i="29" s="1"/>
  <c r="AR569" i="29" s="1"/>
  <c r="AP411" i="29"/>
  <c r="AQ411" i="29" s="1"/>
  <c r="AR411" i="29" s="1"/>
  <c r="AP439" i="29"/>
  <c r="AQ439" i="29" s="1"/>
  <c r="AR439" i="29" s="1"/>
  <c r="AP409" i="29"/>
  <c r="AQ409" i="29" s="1"/>
  <c r="AR409" i="29" s="1"/>
  <c r="AP41" i="29"/>
  <c r="AQ41" i="29" s="1"/>
  <c r="AR41" i="29" s="1"/>
  <c r="AP247" i="29"/>
  <c r="AQ247" i="29" s="1"/>
  <c r="AR247" i="29" s="1"/>
  <c r="AP562" i="29"/>
  <c r="AQ562" i="29" s="1"/>
  <c r="AR562" i="29" s="1"/>
  <c r="AP42" i="29"/>
  <c r="AQ42" i="29" s="1"/>
  <c r="AR42" i="29" s="1"/>
  <c r="AP60" i="29"/>
  <c r="AQ60" i="29" s="1"/>
  <c r="AR60" i="29" s="1"/>
  <c r="AP579" i="29"/>
  <c r="AQ579" i="29" s="1"/>
  <c r="AR579" i="29" s="1"/>
  <c r="AP359" i="29"/>
  <c r="AQ359" i="29" s="1"/>
  <c r="AR359" i="29" s="1"/>
  <c r="AP578" i="29"/>
  <c r="AQ578" i="29" s="1"/>
  <c r="AR578" i="29" s="1"/>
  <c r="AP260" i="29"/>
  <c r="AQ260" i="29" s="1"/>
  <c r="AR260" i="29" s="1"/>
  <c r="AP20" i="29"/>
  <c r="AQ20" i="29" s="1"/>
  <c r="AR20" i="29" s="1"/>
  <c r="AP43" i="29"/>
  <c r="AQ43" i="29" s="1"/>
  <c r="AR43" i="29" s="1"/>
  <c r="AP484" i="29"/>
  <c r="AQ484" i="29" s="1"/>
  <c r="AR484" i="29" s="1"/>
  <c r="AP457" i="29"/>
  <c r="AQ457" i="29" s="1"/>
  <c r="AR457" i="29" s="1"/>
  <c r="AP413" i="29"/>
  <c r="AQ413" i="29" s="1"/>
  <c r="AR413" i="29" s="1"/>
  <c r="AP91" i="29"/>
  <c r="AQ91" i="29" s="1"/>
  <c r="AR91" i="29" s="1"/>
  <c r="AP150" i="29"/>
  <c r="AQ150" i="29" s="1"/>
  <c r="AR150" i="29" s="1"/>
  <c r="AP238" i="29"/>
  <c r="AQ238" i="29" s="1"/>
  <c r="AR238" i="29" s="1"/>
  <c r="AP374" i="29"/>
  <c r="AQ374" i="29" s="1"/>
  <c r="AR374" i="29" s="1"/>
  <c r="AP564" i="29"/>
  <c r="AQ564" i="29" s="1"/>
  <c r="AR564" i="29" s="1"/>
  <c r="AP327" i="29"/>
  <c r="AQ327" i="29" s="1"/>
  <c r="AR327" i="29" s="1"/>
  <c r="AP263" i="29"/>
  <c r="AQ263" i="29" s="1"/>
  <c r="AR263" i="29" s="1"/>
  <c r="AP315" i="29"/>
  <c r="AQ315" i="29" s="1"/>
  <c r="AR315" i="29" s="1"/>
  <c r="AP492" i="29"/>
  <c r="AQ492" i="29" s="1"/>
  <c r="AR492" i="29" s="1"/>
  <c r="AP325" i="29"/>
  <c r="AQ325" i="29" s="1"/>
  <c r="AR325" i="29" s="1"/>
  <c r="AP339" i="29"/>
  <c r="AQ339" i="29" s="1"/>
  <c r="AR339" i="29" s="1"/>
  <c r="AP256" i="29"/>
  <c r="AQ256" i="29" s="1"/>
  <c r="AR256" i="29" s="1"/>
  <c r="AP542" i="29"/>
  <c r="AQ542" i="29" s="1"/>
  <c r="AR542" i="29" s="1"/>
  <c r="AP164" i="29"/>
  <c r="AQ164" i="29" s="1"/>
  <c r="AR164" i="29" s="1"/>
  <c r="AP386" i="29"/>
  <c r="AQ386" i="29" s="1"/>
  <c r="AR386" i="29" s="1"/>
  <c r="AP470" i="29"/>
  <c r="AQ470" i="29" s="1"/>
  <c r="AR470" i="29" s="1"/>
  <c r="AP312" i="29"/>
  <c r="AQ312" i="29" s="1"/>
  <c r="AR312" i="29" s="1"/>
  <c r="AP295" i="29"/>
  <c r="AQ295" i="29" s="1"/>
  <c r="AR295" i="29" s="1"/>
  <c r="AP116" i="29"/>
  <c r="AQ116" i="29" s="1"/>
  <c r="AR116" i="29" s="1"/>
  <c r="AP482" i="29"/>
  <c r="AQ482" i="29" s="1"/>
  <c r="AR482" i="29" s="1"/>
  <c r="AP83" i="29"/>
  <c r="AQ83" i="29" s="1"/>
  <c r="AR83" i="29" s="1"/>
  <c r="AP285" i="29"/>
  <c r="AQ285" i="29" s="1"/>
  <c r="AR285" i="29" s="1"/>
  <c r="AP128" i="29"/>
  <c r="AQ128" i="29" s="1"/>
  <c r="AR128" i="29" s="1"/>
  <c r="AP272" i="29"/>
  <c r="AQ272" i="29" s="1"/>
  <c r="AR272" i="29" s="1"/>
  <c r="AP97" i="29"/>
  <c r="AQ97" i="29" s="1"/>
  <c r="AR97" i="29" s="1"/>
  <c r="AP422" i="29"/>
  <c r="AQ422" i="29" s="1"/>
  <c r="AR422" i="29" s="1"/>
  <c r="AP556" i="29"/>
  <c r="AQ556" i="29" s="1"/>
  <c r="AR556" i="29" s="1"/>
  <c r="AP252" i="29"/>
  <c r="AQ252" i="29" s="1"/>
  <c r="AR252" i="29" s="1"/>
  <c r="AP244" i="29"/>
  <c r="AQ244" i="29" s="1"/>
  <c r="AR244" i="29" s="1"/>
  <c r="AP452" i="29"/>
  <c r="AQ452" i="29" s="1"/>
  <c r="AR452" i="29" s="1"/>
  <c r="AP21" i="29"/>
  <c r="AQ21" i="29" s="1"/>
  <c r="AR21" i="29" s="1"/>
  <c r="AP30" i="29"/>
  <c r="AQ30" i="29" s="1"/>
  <c r="AR30" i="29" s="1"/>
  <c r="AP102" i="29"/>
  <c r="AQ102" i="29" s="1"/>
  <c r="AR102" i="29" s="1"/>
  <c r="AP580" i="29"/>
  <c r="AQ580" i="29" s="1"/>
  <c r="AR580" i="29" s="1"/>
  <c r="AP268" i="29"/>
  <c r="AQ268" i="29" s="1"/>
  <c r="AR268" i="29" s="1"/>
  <c r="AP460" i="29"/>
  <c r="AQ460" i="29" s="1"/>
  <c r="AR460" i="29" s="1"/>
  <c r="AP497" i="29"/>
  <c r="AQ497" i="29" s="1"/>
  <c r="AR497" i="29" s="1"/>
  <c r="AP345" i="29"/>
  <c r="AQ345" i="29" s="1"/>
  <c r="AR345" i="29" s="1"/>
  <c r="AP220" i="29"/>
  <c r="AQ220" i="29" s="1"/>
  <c r="AR220" i="29" s="1"/>
  <c r="AP609" i="29"/>
  <c r="AQ609" i="29" s="1"/>
  <c r="AR609" i="29" s="1"/>
  <c r="AP504" i="29"/>
  <c r="AQ504" i="29" s="1"/>
  <c r="AR504" i="29" s="1"/>
  <c r="AP512" i="29"/>
  <c r="AQ512" i="29" s="1"/>
  <c r="AR512" i="29" s="1"/>
  <c r="AP587" i="29"/>
  <c r="AQ587" i="29" s="1"/>
  <c r="AR587" i="29" s="1"/>
  <c r="AP443" i="29"/>
  <c r="AQ443" i="29" s="1"/>
  <c r="AR443" i="29" s="1"/>
  <c r="AP506" i="29"/>
  <c r="AQ506" i="29" s="1"/>
  <c r="AR506" i="29" s="1"/>
  <c r="AP16" i="29"/>
  <c r="AQ16" i="29" s="1"/>
  <c r="AR16" i="29" s="1"/>
  <c r="AP112" i="29"/>
  <c r="AQ112" i="29" s="1"/>
  <c r="AR112" i="29" s="1"/>
  <c r="AP387" i="29"/>
  <c r="AQ387" i="29" s="1"/>
  <c r="AR387" i="29" s="1"/>
  <c r="AP148" i="29"/>
  <c r="AQ148" i="29" s="1"/>
  <c r="AR148" i="29" s="1"/>
  <c r="AP373" i="29"/>
  <c r="AQ373" i="29" s="1"/>
  <c r="AR373" i="29" s="1"/>
  <c r="AP420" i="29"/>
  <c r="AQ420" i="29" s="1"/>
  <c r="AR420" i="29" s="1"/>
  <c r="AP145" i="29"/>
  <c r="AQ145" i="29" s="1"/>
  <c r="AR145" i="29" s="1"/>
  <c r="AP246" i="29"/>
  <c r="AQ246" i="29" s="1"/>
  <c r="AR246" i="29" s="1"/>
  <c r="AP174" i="29"/>
  <c r="AQ174" i="29" s="1"/>
  <c r="AR174" i="29" s="1"/>
  <c r="AP421" i="29"/>
  <c r="AQ421" i="29" s="1"/>
  <c r="AR421" i="29" s="1"/>
  <c r="AP80" i="29"/>
  <c r="AQ80" i="29" s="1"/>
  <c r="AR80" i="29" s="1"/>
  <c r="AP403" i="29"/>
  <c r="AQ403" i="29" s="1"/>
  <c r="AR403" i="29" s="1"/>
  <c r="AP509" i="29"/>
  <c r="AQ509" i="29" s="1"/>
  <c r="AR509" i="29" s="1"/>
  <c r="AP477" i="29"/>
  <c r="AQ477" i="29" s="1"/>
  <c r="AR477" i="29" s="1"/>
  <c r="AP479" i="29"/>
  <c r="AQ479" i="29" s="1"/>
  <c r="AR479" i="29" s="1"/>
  <c r="AP566" i="29"/>
  <c r="AQ566" i="29" s="1"/>
  <c r="AR566" i="29" s="1"/>
  <c r="AP172" i="29"/>
  <c r="AQ172" i="29" s="1"/>
  <c r="AR172" i="29" s="1"/>
  <c r="AP471" i="29"/>
  <c r="AQ471" i="29" s="1"/>
  <c r="AR471" i="29" s="1"/>
  <c r="AP553" i="29"/>
  <c r="AQ553" i="29" s="1"/>
  <c r="AR553" i="29" s="1"/>
  <c r="AP121" i="29"/>
  <c r="AQ121" i="29" s="1"/>
  <c r="AR121" i="29" s="1"/>
  <c r="AP363" i="29"/>
  <c r="AQ363" i="29" s="1"/>
  <c r="AR363" i="29" s="1"/>
  <c r="AP549" i="29"/>
  <c r="AQ549" i="29" s="1"/>
  <c r="AR549" i="29" s="1"/>
  <c r="AP274" i="29"/>
  <c r="AQ274" i="29" s="1"/>
  <c r="AR274" i="29" s="1"/>
  <c r="AP425" i="29"/>
  <c r="AQ425" i="29" s="1"/>
  <c r="AR425" i="29" s="1"/>
  <c r="AP316" i="29"/>
  <c r="AQ316" i="29" s="1"/>
  <c r="AR316" i="29" s="1"/>
  <c r="AP343" i="29"/>
  <c r="AQ343" i="29" s="1"/>
  <c r="AR343" i="29" s="1"/>
  <c r="AP508" i="29"/>
  <c r="AQ508" i="29" s="1"/>
  <c r="AR508" i="29" s="1"/>
  <c r="AP366" i="29"/>
  <c r="AQ366" i="29" s="1"/>
  <c r="AR366" i="29" s="1"/>
  <c r="AP297" i="29"/>
  <c r="AQ297" i="29" s="1"/>
  <c r="AR297" i="29" s="1"/>
  <c r="AP48" i="29"/>
  <c r="AQ48" i="29" s="1"/>
  <c r="AR48" i="29" s="1"/>
  <c r="AP142" i="29"/>
  <c r="AQ142" i="29" s="1"/>
  <c r="AR142" i="29" s="1"/>
  <c r="AP127" i="29"/>
  <c r="AQ127" i="29" s="1"/>
  <c r="AR127" i="29" s="1"/>
  <c r="AP408" i="29"/>
  <c r="AQ408" i="29" s="1"/>
  <c r="AR408" i="29" s="1"/>
  <c r="AP511" i="29"/>
  <c r="AQ511" i="29" s="1"/>
  <c r="AR511" i="29" s="1"/>
  <c r="AP69" i="29"/>
  <c r="AQ69" i="29" s="1"/>
  <c r="AR69" i="29" s="1"/>
  <c r="AP205" i="29"/>
  <c r="AQ205" i="29" s="1"/>
  <c r="AR205" i="29" s="1"/>
  <c r="AP377" i="29"/>
  <c r="AQ377" i="29" s="1"/>
  <c r="AR377" i="29" s="1"/>
  <c r="AP93" i="29"/>
  <c r="AQ93" i="29" s="1"/>
  <c r="AR93" i="29" s="1"/>
  <c r="AP331" i="29"/>
  <c r="AQ331" i="29" s="1"/>
  <c r="AR331" i="29" s="1"/>
  <c r="AP76" i="29"/>
  <c r="AQ76" i="29" s="1"/>
  <c r="AR76" i="29" s="1"/>
  <c r="AP395" i="29"/>
  <c r="AQ395" i="29" s="1"/>
  <c r="AR395" i="29" s="1"/>
  <c r="AP14" i="29"/>
  <c r="AQ14" i="29" s="1"/>
  <c r="AR14" i="29" s="1"/>
  <c r="AP602" i="29"/>
  <c r="AQ602" i="29" s="1"/>
  <c r="AR602" i="29" s="1"/>
  <c r="AP242" i="29"/>
  <c r="AQ242" i="29" s="1"/>
  <c r="AR242" i="29" s="1"/>
  <c r="AP230" i="29"/>
  <c r="AQ230" i="29" s="1"/>
  <c r="AR230" i="29" s="1"/>
  <c r="AP486" i="29"/>
  <c r="AQ486" i="29" s="1"/>
  <c r="AR486" i="29" s="1"/>
  <c r="AP23" i="29"/>
  <c r="AQ23" i="29" s="1"/>
  <c r="AR23" i="29" s="1"/>
  <c r="AP211" i="29"/>
  <c r="AQ211" i="29" s="1"/>
  <c r="AR211" i="29" s="1"/>
  <c r="AP453" i="29"/>
  <c r="AQ453" i="29" s="1"/>
  <c r="AR453" i="29" s="1"/>
  <c r="AP528" i="29"/>
  <c r="AQ528" i="29" s="1"/>
  <c r="AR528" i="29" s="1"/>
  <c r="AP77" i="29"/>
  <c r="AQ77" i="29" s="1"/>
  <c r="AR77" i="29" s="1"/>
  <c r="AP271" i="29"/>
  <c r="AQ271" i="29" s="1"/>
  <c r="AR271" i="29" s="1"/>
  <c r="AP385" i="29"/>
  <c r="AQ385" i="29" s="1"/>
  <c r="AR385" i="29" s="1"/>
  <c r="AP232" i="29"/>
  <c r="AQ232" i="29" s="1"/>
  <c r="AR232" i="29" s="1"/>
  <c r="AP74" i="29"/>
  <c r="AQ74" i="29" s="1"/>
  <c r="AR74" i="29" s="1"/>
  <c r="AP384" i="29"/>
  <c r="AQ384" i="29" s="1"/>
  <c r="AR384" i="29" s="1"/>
  <c r="AP514" i="29"/>
  <c r="AQ514" i="29" s="1"/>
  <c r="AR514" i="29" s="1"/>
  <c r="AP427" i="29"/>
  <c r="AQ427" i="29" s="1"/>
  <c r="AR427" i="29" s="1"/>
  <c r="AP328" i="29"/>
  <c r="AQ328" i="29" s="1"/>
  <c r="AR328" i="29" s="1"/>
  <c r="AP517" i="29"/>
  <c r="AQ517" i="29" s="1"/>
  <c r="AR517" i="29" s="1"/>
  <c r="AP404" i="29"/>
  <c r="AQ404" i="29" s="1"/>
  <c r="AR404" i="29" s="1"/>
  <c r="AP389" i="29"/>
  <c r="AQ389" i="29" s="1"/>
  <c r="AR389" i="29" s="1"/>
  <c r="AP372" i="29"/>
  <c r="AQ372" i="29" s="1"/>
  <c r="AR372" i="29" s="1"/>
  <c r="AP300" i="29"/>
  <c r="AQ300" i="29" s="1"/>
  <c r="AR300" i="29" s="1"/>
  <c r="AP493" i="29"/>
  <c r="AQ493" i="29" s="1"/>
  <c r="AR493" i="29" s="1"/>
  <c r="AP219" i="29"/>
  <c r="AQ219" i="29" s="1"/>
  <c r="AR219" i="29" s="1"/>
  <c r="AP123" i="29"/>
  <c r="AQ123" i="29" s="1"/>
  <c r="AR123" i="29" s="1"/>
  <c r="AP22" i="29"/>
  <c r="AQ22" i="29" s="1"/>
  <c r="AR22" i="29" s="1"/>
  <c r="AP431" i="29"/>
  <c r="AQ431" i="29" s="1"/>
  <c r="AR431" i="29" s="1"/>
  <c r="AP156" i="29"/>
  <c r="AQ156" i="29" s="1"/>
  <c r="AR156" i="29" s="1"/>
  <c r="AP472" i="29"/>
  <c r="AQ472" i="29" s="1"/>
  <c r="AR472" i="29" s="1"/>
  <c r="AP364" i="29"/>
  <c r="AQ364" i="29" s="1"/>
  <c r="AR364" i="29" s="1"/>
  <c r="AP489" i="29"/>
  <c r="AQ489" i="29" s="1"/>
  <c r="AR489" i="29" s="1"/>
  <c r="AP444" i="29"/>
  <c r="AQ444" i="29" s="1"/>
  <c r="AR444" i="29" s="1"/>
  <c r="AP209" i="29"/>
  <c r="AQ209" i="29" s="1"/>
  <c r="AR209" i="29" s="1"/>
  <c r="AP304" i="29"/>
  <c r="AQ304" i="29" s="1"/>
  <c r="AR304" i="29" s="1"/>
  <c r="AP537" i="29"/>
  <c r="AQ537" i="29" s="1"/>
  <c r="AR537" i="29" s="1"/>
  <c r="AP264" i="29"/>
  <c r="AQ264" i="29" s="1"/>
  <c r="AR264" i="29" s="1"/>
  <c r="AP79" i="29"/>
  <c r="AQ79" i="29" s="1"/>
  <c r="AR79" i="29" s="1"/>
  <c r="AP473" i="29"/>
  <c r="AQ473" i="29" s="1"/>
  <c r="AR473" i="29" s="1"/>
  <c r="AP532" i="29"/>
  <c r="AQ532" i="29" s="1"/>
  <c r="AR532" i="29" s="1"/>
  <c r="AP592" i="29"/>
  <c r="AQ592" i="29" s="1"/>
  <c r="AR592" i="29" s="1"/>
  <c r="AP399" i="29"/>
  <c r="AQ399" i="29" s="1"/>
  <c r="AR399" i="29" s="1"/>
  <c r="AP362" i="29"/>
  <c r="AQ362" i="29" s="1"/>
  <c r="AR362" i="29" s="1"/>
  <c r="AP390" i="29"/>
  <c r="AQ390" i="29" s="1"/>
  <c r="AR390" i="29" s="1"/>
  <c r="AP64" i="29"/>
  <c r="AQ64" i="29" s="1"/>
  <c r="AR64" i="29" s="1"/>
  <c r="AP314" i="29"/>
  <c r="AQ314" i="29" s="1"/>
  <c r="AR314" i="29" s="1"/>
  <c r="AP576" i="29"/>
  <c r="AQ576" i="29" s="1"/>
  <c r="AR576" i="29" s="1"/>
  <c r="AP45" i="29"/>
  <c r="AQ45" i="29" s="1"/>
  <c r="AR45" i="29" s="1"/>
  <c r="AP391" i="29"/>
  <c r="AQ391" i="29" s="1"/>
  <c r="AR391" i="29" s="1"/>
  <c r="AP368" i="29"/>
  <c r="AQ368" i="29" s="1"/>
  <c r="AR368" i="29" s="1"/>
  <c r="AP118" i="29"/>
  <c r="AQ118" i="29" s="1"/>
  <c r="AR118" i="29" s="1"/>
  <c r="AP296" i="29"/>
  <c r="AQ296" i="29" s="1"/>
  <c r="AR296" i="29" s="1"/>
  <c r="AP177" i="29"/>
  <c r="AQ177" i="29" s="1"/>
  <c r="AR177" i="29" s="1"/>
  <c r="AP375" i="29"/>
  <c r="AQ375" i="29" s="1"/>
  <c r="AR375" i="29" s="1"/>
  <c r="AP563" i="29"/>
  <c r="AQ563" i="29" s="1"/>
  <c r="AR563" i="29" s="1"/>
  <c r="AP89" i="29"/>
  <c r="AQ89" i="29" s="1"/>
  <c r="AR89" i="29" s="1"/>
  <c r="AP465" i="29"/>
  <c r="AQ465" i="29" s="1"/>
  <c r="AR465" i="29" s="1"/>
  <c r="AP234" i="29"/>
  <c r="AQ234" i="29" s="1"/>
  <c r="AR234" i="29" s="1"/>
  <c r="AP397" i="29"/>
  <c r="AQ397" i="29" s="1"/>
  <c r="AR397" i="29" s="1"/>
  <c r="AP591" i="29"/>
  <c r="AQ591" i="29" s="1"/>
  <c r="AR591" i="29" s="1"/>
  <c r="AP338" i="29"/>
  <c r="AQ338" i="29" s="1"/>
  <c r="AR338" i="29" s="1"/>
  <c r="AP190" i="29"/>
  <c r="AQ190" i="29" s="1"/>
  <c r="AR190" i="29" s="1"/>
  <c r="AP269" i="29"/>
  <c r="AQ269" i="29" s="1"/>
  <c r="AR269" i="29" s="1"/>
  <c r="AP600" i="29"/>
  <c r="AQ600" i="29" s="1"/>
  <c r="AR600" i="29" s="1"/>
  <c r="AP250" i="29"/>
  <c r="AQ250" i="29" s="1"/>
  <c r="AR250" i="29" s="1"/>
  <c r="AP378" i="29"/>
  <c r="AQ378" i="29" s="1"/>
  <c r="AR378" i="29" s="1"/>
  <c r="AP361" i="29"/>
  <c r="AQ361" i="29" s="1"/>
  <c r="AR361" i="29" s="1"/>
  <c r="AP249" i="29"/>
  <c r="AQ249" i="29" s="1"/>
  <c r="AR249" i="29" s="1"/>
  <c r="AP407" i="29"/>
  <c r="AQ407" i="29" s="1"/>
  <c r="AR407" i="29" s="1"/>
  <c r="AP323" i="29"/>
  <c r="AQ323" i="29" s="1"/>
  <c r="AR323" i="29" s="1"/>
  <c r="AP184" i="29"/>
  <c r="AQ184" i="29" s="1"/>
  <c r="AR184" i="29" s="1"/>
  <c r="AP458" i="29"/>
  <c r="AQ458" i="29" s="1"/>
  <c r="AR458" i="29" s="1"/>
  <c r="AP120" i="29"/>
  <c r="AQ120" i="29" s="1"/>
  <c r="AR120" i="29" s="1"/>
  <c r="AP38" i="29"/>
  <c r="AQ38" i="29" s="1"/>
  <c r="AR38" i="29" s="1"/>
  <c r="AP119" i="29"/>
  <c r="AQ119" i="29" s="1"/>
  <c r="AR119" i="29" s="1"/>
  <c r="AP303" i="29"/>
  <c r="AQ303" i="29" s="1"/>
  <c r="AR303" i="29" s="1"/>
  <c r="AP266" i="29"/>
  <c r="AQ266" i="29" s="1"/>
  <c r="AR266" i="29" s="1"/>
  <c r="AP27" i="29"/>
  <c r="AQ27" i="29" s="1"/>
  <c r="AR27" i="29" s="1"/>
  <c r="AP416" i="29"/>
  <c r="AQ416" i="29" s="1"/>
  <c r="AR416" i="29" s="1"/>
  <c r="AP463" i="29"/>
  <c r="AQ463" i="29" s="1"/>
  <c r="AR463" i="29" s="1"/>
  <c r="AP584" i="29"/>
  <c r="AQ584" i="29" s="1"/>
  <c r="AR584" i="29" s="1"/>
  <c r="AP149" i="29"/>
  <c r="AQ149" i="29" s="1"/>
  <c r="AR149" i="29" s="1"/>
  <c r="AP503" i="29"/>
  <c r="AQ503" i="29" s="1"/>
  <c r="AR503" i="29" s="1"/>
  <c r="AP464" i="29"/>
  <c r="AQ464" i="29" s="1"/>
  <c r="AR464" i="29" s="1"/>
  <c r="AP199" i="29"/>
  <c r="AQ199" i="29" s="1"/>
  <c r="AR199" i="29" s="1"/>
  <c r="AP341" i="29"/>
  <c r="AQ341" i="29" s="1"/>
  <c r="AR341" i="29" s="1"/>
  <c r="AP165" i="29"/>
  <c r="AQ165" i="29" s="1"/>
  <c r="AR165" i="29" s="1"/>
  <c r="AP426" i="29"/>
  <c r="AQ426" i="29" s="1"/>
  <c r="AR426" i="29" s="1"/>
  <c r="AP103" i="29"/>
  <c r="AQ103" i="29" s="1"/>
  <c r="AR103" i="29" s="1"/>
  <c r="AP110" i="29"/>
  <c r="AQ110" i="29" s="1"/>
  <c r="AR110" i="29" s="1"/>
  <c r="AP159" i="29"/>
  <c r="AQ159" i="29" s="1"/>
  <c r="AR159" i="29" s="1"/>
  <c r="AP469" i="29"/>
  <c r="AQ469" i="29" s="1"/>
  <c r="AR469" i="29" s="1"/>
  <c r="AP152" i="29"/>
  <c r="AQ152" i="29" s="1"/>
  <c r="AR152" i="29" s="1"/>
  <c r="AP185" i="29"/>
  <c r="AQ185" i="29" s="1"/>
  <c r="AR185" i="29" s="1"/>
  <c r="AP594" i="29"/>
  <c r="AQ594" i="29" s="1"/>
  <c r="AR594" i="29" s="1"/>
  <c r="AP181" i="29"/>
  <c r="AQ181" i="29" s="1"/>
  <c r="AR181" i="29" s="1"/>
  <c r="AP155" i="29"/>
  <c r="AQ155" i="29" s="1"/>
  <c r="AR155" i="29" s="1"/>
  <c r="AP369" i="29"/>
  <c r="AQ369" i="29" s="1"/>
  <c r="AR369" i="29" s="1"/>
  <c r="AP394" i="29"/>
  <c r="AQ394" i="29" s="1"/>
  <c r="AR394" i="29" s="1"/>
  <c r="AP607" i="29"/>
  <c r="AQ607" i="29" s="1"/>
  <c r="AR607" i="29" s="1"/>
  <c r="AP333" i="29"/>
  <c r="AQ333" i="29" s="1"/>
  <c r="AR333" i="29" s="1"/>
  <c r="AP401" i="29"/>
  <c r="AQ401" i="29" s="1"/>
  <c r="AR401" i="29" s="1"/>
  <c r="AP429" i="29"/>
  <c r="AQ429" i="29" s="1"/>
  <c r="AR429" i="29" s="1"/>
  <c r="AP258" i="29"/>
  <c r="AQ258" i="29" s="1"/>
  <c r="AR258" i="29" s="1"/>
  <c r="AP606" i="29"/>
  <c r="AQ606" i="29" s="1"/>
  <c r="AR606" i="29" s="1"/>
  <c r="AP62" i="29"/>
  <c r="AQ62" i="29" s="1"/>
  <c r="AR62" i="29" s="1"/>
  <c r="AP548" i="29"/>
  <c r="AQ548" i="29" s="1"/>
  <c r="AR548" i="29" s="1"/>
  <c r="AP154" i="29"/>
  <c r="AQ154" i="29" s="1"/>
  <c r="AR154" i="29" s="1"/>
  <c r="AP275" i="29"/>
  <c r="AQ275" i="29" s="1"/>
  <c r="AR275" i="29" s="1"/>
  <c r="AP216" i="29"/>
  <c r="AQ216" i="29" s="1"/>
  <c r="AR216" i="29" s="1"/>
  <c r="AP326" i="29"/>
  <c r="AQ326" i="29" s="1"/>
  <c r="AR326" i="29" s="1"/>
  <c r="AP513" i="29"/>
  <c r="AQ513" i="29" s="1"/>
  <c r="AR513" i="29" s="1"/>
  <c r="AP419" i="29"/>
  <c r="AQ419" i="29" s="1"/>
  <c r="AR419" i="29" s="1"/>
  <c r="AP499" i="29"/>
  <c r="AQ499" i="29" s="1"/>
  <c r="AR499" i="29" s="1"/>
  <c r="AP353" i="29"/>
  <c r="AQ353" i="29" s="1"/>
  <c r="AR353" i="29" s="1"/>
  <c r="AP55" i="29"/>
  <c r="AQ55" i="29" s="1"/>
  <c r="AR55" i="29" s="1"/>
  <c r="AP455" i="29"/>
  <c r="AQ455" i="29" s="1"/>
  <c r="AR455" i="29" s="1"/>
  <c r="AP555" i="29"/>
  <c r="AQ555" i="29" s="1"/>
  <c r="AR555" i="29" s="1"/>
  <c r="AP565" i="29"/>
  <c r="AQ565" i="29" s="1"/>
  <c r="AR565" i="29" s="1"/>
  <c r="AP550" i="29"/>
  <c r="AQ550" i="29" s="1"/>
  <c r="AR550" i="29" s="1"/>
  <c r="AP535" i="29"/>
  <c r="AQ535" i="29" s="1"/>
  <c r="AR535" i="29" s="1"/>
  <c r="AP406" i="29"/>
  <c r="AQ406" i="29" s="1"/>
  <c r="AR406" i="29" s="1"/>
  <c r="AP596" i="29"/>
  <c r="AQ596" i="29" s="1"/>
  <c r="AR596" i="29" s="1"/>
  <c r="AP162" i="29"/>
  <c r="AQ162" i="29" s="1"/>
  <c r="AR162" i="29" s="1"/>
  <c r="AP571" i="29"/>
  <c r="AQ571" i="29" s="1"/>
  <c r="AR571" i="29" s="1"/>
  <c r="AP515" i="29"/>
  <c r="AQ515" i="29" s="1"/>
  <c r="AR515" i="29" s="1"/>
  <c r="AP480" i="29"/>
  <c r="AQ480" i="29" s="1"/>
  <c r="AR480" i="29" s="1"/>
  <c r="AP126" i="29"/>
  <c r="AQ126" i="29" s="1"/>
  <c r="AR126" i="29" s="1"/>
  <c r="AP501" i="29"/>
  <c r="AQ501" i="29" s="1"/>
  <c r="AR501" i="29" s="1"/>
  <c r="AP289" i="29"/>
  <c r="AQ289" i="29" s="1"/>
  <c r="AR289" i="29" s="1"/>
  <c r="AP402" i="29"/>
  <c r="AQ402" i="29" s="1"/>
  <c r="AR402" i="29" s="1"/>
  <c r="AP228" i="29"/>
  <c r="AQ228" i="29" s="1"/>
  <c r="AR228" i="29" s="1"/>
  <c r="AP259" i="29"/>
  <c r="AQ259" i="29" s="1"/>
  <c r="AR259" i="29" s="1"/>
  <c r="AP598" i="29"/>
  <c r="AQ598" i="29" s="1"/>
  <c r="AR598" i="29" s="1"/>
  <c r="AP371" i="29"/>
  <c r="AQ371" i="29" s="1"/>
  <c r="AR371" i="29" s="1"/>
  <c r="AP510" i="29"/>
  <c r="AQ510" i="29" s="1"/>
  <c r="AR510" i="29" s="1"/>
  <c r="AP51" i="29"/>
  <c r="AQ51" i="29" s="1"/>
  <c r="AR51" i="29" s="1"/>
  <c r="AP95" i="29"/>
  <c r="AQ95" i="29" s="1"/>
  <c r="AR95" i="29" s="1"/>
  <c r="AP365" i="29"/>
  <c r="AQ365" i="29" s="1"/>
  <c r="AR365" i="29" s="1"/>
  <c r="AP286" i="29"/>
  <c r="AQ286" i="29" s="1"/>
  <c r="AR286" i="29" s="1"/>
  <c r="AP117" i="29"/>
  <c r="AQ117" i="29" s="1"/>
  <c r="AR117" i="29" s="1"/>
  <c r="AP99" i="29"/>
  <c r="AQ99" i="29" s="1"/>
  <c r="AR99" i="29" s="1"/>
  <c r="D55" i="29"/>
  <c r="D56" i="29" s="1"/>
  <c r="D57" i="29" s="1"/>
  <c r="AP191" i="29"/>
  <c r="AQ191" i="29" s="1"/>
  <c r="AR191" i="29" s="1"/>
  <c r="AP412" i="29"/>
  <c r="AQ412" i="29" s="1"/>
  <c r="AR412" i="29" s="1"/>
  <c r="AP525" i="29"/>
  <c r="AQ525" i="29" s="1"/>
  <c r="AR525" i="29" s="1"/>
  <c r="AP143" i="29"/>
  <c r="AQ143" i="29" s="1"/>
  <c r="AR143" i="29" s="1"/>
  <c r="AT195" i="25"/>
  <c r="AY195" i="25" s="1"/>
  <c r="AU195" i="25"/>
  <c r="AT160" i="25"/>
  <c r="AY160" i="25" s="1"/>
  <c r="AU160" i="25"/>
  <c r="AT227" i="25"/>
  <c r="AU227" i="25"/>
  <c r="BY292" i="24"/>
  <c r="CA292" i="24" s="1"/>
  <c r="BM292" i="24"/>
  <c r="BN292" i="24" s="1"/>
  <c r="BE254" i="24"/>
  <c r="BT254" i="24" s="1"/>
  <c r="BD254" i="24"/>
  <c r="AY254" i="24"/>
  <c r="AZ254" i="24" s="1"/>
  <c r="BD37" i="24"/>
  <c r="AY37" i="24"/>
  <c r="AZ37" i="24" s="1"/>
  <c r="BE37" i="24"/>
  <c r="BT37" i="24" s="1"/>
  <c r="BB275" i="25"/>
  <c r="BS275" i="25" s="1"/>
  <c r="BC275" i="25"/>
  <c r="BT275" i="25" s="1"/>
  <c r="BA275" i="25"/>
  <c r="BE245" i="24"/>
  <c r="BT245" i="24" s="1"/>
  <c r="AY245" i="24"/>
  <c r="AZ245" i="24" s="1"/>
  <c r="BD245" i="24"/>
  <c r="AT16" i="25"/>
  <c r="AY16" i="25" s="1"/>
  <c r="AU16" i="25"/>
  <c r="BB232" i="25"/>
  <c r="BS232" i="25" s="1"/>
  <c r="BC232" i="25"/>
  <c r="BT232" i="25" s="1"/>
  <c r="BA232" i="25"/>
  <c r="AT119" i="25"/>
  <c r="AY119" i="25" s="1"/>
  <c r="AU119" i="25"/>
  <c r="BE220" i="24"/>
  <c r="BT220" i="24" s="1"/>
  <c r="AY220" i="24"/>
  <c r="AZ220" i="24" s="1"/>
  <c r="BD220" i="24"/>
  <c r="BS19" i="24"/>
  <c r="BG19" i="24"/>
  <c r="BM19" i="24" s="1"/>
  <c r="AT304" i="25"/>
  <c r="AU304" i="25"/>
  <c r="AT299" i="25"/>
  <c r="AU299" i="25"/>
  <c r="AT182" i="25"/>
  <c r="AY182" i="25" s="1"/>
  <c r="AU182" i="25"/>
  <c r="BC261" i="25"/>
  <c r="BT261" i="25" s="1"/>
  <c r="BB261" i="25"/>
  <c r="BS261" i="25" s="1"/>
  <c r="BA261" i="25"/>
  <c r="AT281" i="25"/>
  <c r="AU281" i="25"/>
  <c r="AT185" i="25"/>
  <c r="AY185" i="25" s="1"/>
  <c r="AU185" i="25"/>
  <c r="BC179" i="25"/>
  <c r="BT179" i="25" s="1"/>
  <c r="BA179" i="25"/>
  <c r="BB179" i="25"/>
  <c r="BS179" i="25" s="1"/>
  <c r="AY146" i="24"/>
  <c r="AZ146" i="24" s="1"/>
  <c r="BE146" i="24"/>
  <c r="BT146" i="24" s="1"/>
  <c r="BD146" i="24"/>
  <c r="BB6" i="25"/>
  <c r="BS6" i="25" s="1"/>
  <c r="BA6" i="25"/>
  <c r="BC6" i="25"/>
  <c r="BT6" i="25" s="1"/>
  <c r="BE163" i="24"/>
  <c r="BT163" i="24" s="1"/>
  <c r="BD163" i="24"/>
  <c r="AY163" i="24"/>
  <c r="AZ163" i="24" s="1"/>
  <c r="BD13" i="24"/>
  <c r="AY13" i="24"/>
  <c r="AZ13" i="24" s="1"/>
  <c r="BE13" i="24"/>
  <c r="BT13" i="24" s="1"/>
  <c r="BE124" i="24"/>
  <c r="BT124" i="24" s="1"/>
  <c r="BD124" i="24"/>
  <c r="AY124" i="24"/>
  <c r="AZ124" i="24" s="1"/>
  <c r="BE315" i="24"/>
  <c r="BT315" i="24" s="1"/>
  <c r="BD315" i="24"/>
  <c r="AY315" i="24"/>
  <c r="AZ315" i="24" s="1"/>
  <c r="BB243" i="25"/>
  <c r="BS243" i="25" s="1"/>
  <c r="BA243" i="25"/>
  <c r="BC243" i="25"/>
  <c r="BT243" i="25" s="1"/>
  <c r="BE94" i="24"/>
  <c r="BT94" i="24" s="1"/>
  <c r="AY94" i="24"/>
  <c r="AZ94" i="24" s="1"/>
  <c r="BD94" i="24"/>
  <c r="BD59" i="24"/>
  <c r="BE59" i="24"/>
  <c r="BT59" i="24" s="1"/>
  <c r="AY59" i="24"/>
  <c r="AZ59" i="24" s="1"/>
  <c r="BE150" i="24"/>
  <c r="BT150" i="24" s="1"/>
  <c r="BD150" i="24"/>
  <c r="AY150" i="24"/>
  <c r="AZ150" i="24" s="1"/>
  <c r="AT54" i="25"/>
  <c r="AY54" i="25" s="1"/>
  <c r="AU54" i="25"/>
  <c r="BE60" i="24"/>
  <c r="BT60" i="24" s="1"/>
  <c r="BD60" i="24"/>
  <c r="AY60" i="24"/>
  <c r="AZ60" i="24" s="1"/>
  <c r="AT196" i="25"/>
  <c r="AY196" i="25" s="1"/>
  <c r="AU196" i="25"/>
  <c r="BD227" i="24"/>
  <c r="AY227" i="24"/>
  <c r="AZ227" i="24" s="1"/>
  <c r="BE227" i="24"/>
  <c r="BT227" i="24" s="1"/>
  <c r="BD281" i="24"/>
  <c r="AY281" i="24"/>
  <c r="AZ281" i="24" s="1"/>
  <c r="BE281" i="24"/>
  <c r="BT281" i="24" s="1"/>
  <c r="BD167" i="24"/>
  <c r="BE167" i="24"/>
  <c r="BT167" i="24" s="1"/>
  <c r="AY167" i="24"/>
  <c r="AZ167" i="24" s="1"/>
  <c r="AT301" i="25"/>
  <c r="AU301" i="25"/>
  <c r="BE267" i="24"/>
  <c r="BT267" i="24" s="1"/>
  <c r="BD267" i="24"/>
  <c r="AY267" i="24"/>
  <c r="AZ267" i="24" s="1"/>
  <c r="BD134" i="24"/>
  <c r="AY134" i="24"/>
  <c r="AZ134" i="24" s="1"/>
  <c r="BE134" i="24"/>
  <c r="BT134" i="24" s="1"/>
  <c r="BE307" i="24"/>
  <c r="BT307" i="24" s="1"/>
  <c r="BD307" i="24"/>
  <c r="AY307" i="24"/>
  <c r="AZ307" i="24" s="1"/>
  <c r="AY210" i="24"/>
  <c r="AZ210" i="24" s="1"/>
  <c r="BD210" i="24"/>
  <c r="BE210" i="24"/>
  <c r="BT210" i="24" s="1"/>
  <c r="AT311" i="25"/>
  <c r="AU311" i="25"/>
  <c r="AT135" i="25"/>
  <c r="AY135" i="25" s="1"/>
  <c r="AU135" i="25"/>
  <c r="BE272" i="24"/>
  <c r="BT272" i="24" s="1"/>
  <c r="BD272" i="24"/>
  <c r="AY272" i="24"/>
  <c r="AZ272" i="24" s="1"/>
  <c r="BD96" i="24"/>
  <c r="BE96" i="24"/>
  <c r="BT96" i="24" s="1"/>
  <c r="AY96" i="24"/>
  <c r="AZ96" i="24" s="1"/>
  <c r="AY244" i="24"/>
  <c r="AZ244" i="24" s="1"/>
  <c r="BE244" i="24"/>
  <c r="BT244" i="24" s="1"/>
  <c r="BD244" i="24"/>
  <c r="BD297" i="24"/>
  <c r="AY297" i="24"/>
  <c r="AZ297" i="24" s="1"/>
  <c r="BE297" i="24"/>
  <c r="BT297" i="24" s="1"/>
  <c r="BE115" i="24"/>
  <c r="BT115" i="24" s="1"/>
  <c r="BD115" i="24"/>
  <c r="AY115" i="24"/>
  <c r="AZ115" i="24" s="1"/>
  <c r="AT164" i="25"/>
  <c r="AY164" i="25" s="1"/>
  <c r="AU164" i="25"/>
  <c r="AY231" i="24"/>
  <c r="AZ231" i="24" s="1"/>
  <c r="BD231" i="24"/>
  <c r="BE231" i="24"/>
  <c r="BT231" i="24" s="1"/>
  <c r="AY314" i="24"/>
  <c r="AZ314" i="24" s="1"/>
  <c r="BD314" i="24"/>
  <c r="BE314" i="24"/>
  <c r="BT314" i="24" s="1"/>
  <c r="BE303" i="24"/>
  <c r="BT303" i="24" s="1"/>
  <c r="BD303" i="24"/>
  <c r="AY303" i="24"/>
  <c r="AZ303" i="24" s="1"/>
  <c r="AY95" i="24"/>
  <c r="AZ95" i="24" s="1"/>
  <c r="BE95" i="24"/>
  <c r="BT95" i="24" s="1"/>
  <c r="BD95" i="24"/>
  <c r="AT103" i="25"/>
  <c r="AY103" i="25" s="1"/>
  <c r="AU103" i="25"/>
  <c r="AY11" i="24"/>
  <c r="AZ11" i="24" s="1"/>
  <c r="BE11" i="24"/>
  <c r="BT11" i="24" s="1"/>
  <c r="BD11" i="24"/>
  <c r="AT127" i="25"/>
  <c r="AY127" i="25" s="1"/>
  <c r="AU127" i="25"/>
  <c r="BA59" i="25"/>
  <c r="BC59" i="25"/>
  <c r="BT59" i="25" s="1"/>
  <c r="BB59" i="25"/>
  <c r="BS59" i="25" s="1"/>
  <c r="BG21" i="24"/>
  <c r="BM21" i="24" s="1"/>
  <c r="BS21" i="24"/>
  <c r="BV21" i="24" s="1"/>
  <c r="BX21" i="24" s="1"/>
  <c r="AT242" i="25"/>
  <c r="AU242" i="25"/>
  <c r="BE39" i="24"/>
  <c r="BT39" i="24" s="1"/>
  <c r="AY39" i="24"/>
  <c r="AZ39" i="24" s="1"/>
  <c r="BD39" i="24"/>
  <c r="AT153" i="25"/>
  <c r="AY153" i="25" s="1"/>
  <c r="AU153" i="25"/>
  <c r="AT233" i="25"/>
  <c r="AU233" i="25"/>
  <c r="AT218" i="25"/>
  <c r="AU218" i="25"/>
  <c r="BA62" i="25"/>
  <c r="BC62" i="25"/>
  <c r="BT62" i="25" s="1"/>
  <c r="BB62" i="25"/>
  <c r="BS62" i="25" s="1"/>
  <c r="AT93" i="25"/>
  <c r="AY93" i="25" s="1"/>
  <c r="AU93" i="25"/>
  <c r="BS41" i="24"/>
  <c r="BV41" i="24" s="1"/>
  <c r="BX41" i="24" s="1"/>
  <c r="BG41" i="24"/>
  <c r="BM41" i="24" s="1"/>
  <c r="BE262" i="24"/>
  <c r="BT262" i="24" s="1"/>
  <c r="BD262" i="24"/>
  <c r="AY262" i="24"/>
  <c r="AZ262" i="24" s="1"/>
  <c r="BG135" i="24"/>
  <c r="BS135" i="24"/>
  <c r="AT49" i="25"/>
  <c r="AY49" i="25" s="1"/>
  <c r="AU49" i="25"/>
  <c r="AT285" i="25"/>
  <c r="AU285" i="25"/>
  <c r="BD186" i="24"/>
  <c r="AY186" i="24"/>
  <c r="AZ186" i="24" s="1"/>
  <c r="BE186" i="24"/>
  <c r="BT186" i="24" s="1"/>
  <c r="AT300" i="25"/>
  <c r="AU300" i="25"/>
  <c r="AT263" i="25"/>
  <c r="AU263" i="25"/>
  <c r="AT310" i="25"/>
  <c r="AU310" i="25"/>
  <c r="AT274" i="25"/>
  <c r="AU274" i="25"/>
  <c r="BD78" i="24"/>
  <c r="AY78" i="24"/>
  <c r="AZ78" i="24" s="1"/>
  <c r="BE78" i="24"/>
  <c r="BT78" i="24" s="1"/>
  <c r="AY36" i="24"/>
  <c r="AZ36" i="24" s="1"/>
  <c r="BD36" i="24"/>
  <c r="BE36" i="24"/>
  <c r="BT36" i="24" s="1"/>
  <c r="AY225" i="24"/>
  <c r="AZ225" i="24" s="1"/>
  <c r="BD225" i="24"/>
  <c r="BE225" i="24"/>
  <c r="BT225" i="24" s="1"/>
  <c r="BC114" i="25"/>
  <c r="BT114" i="25" s="1"/>
  <c r="BB114" i="25"/>
  <c r="BS114" i="25" s="1"/>
  <c r="BA114" i="25"/>
  <c r="BD92" i="24"/>
  <c r="AY92" i="24"/>
  <c r="AZ92" i="24" s="1"/>
  <c r="BE92" i="24"/>
  <c r="BT92" i="24" s="1"/>
  <c r="BA280" i="25"/>
  <c r="BC280" i="25"/>
  <c r="BT280" i="25" s="1"/>
  <c r="BB280" i="25"/>
  <c r="BS280" i="25" s="1"/>
  <c r="AT249" i="25"/>
  <c r="AU249" i="25"/>
  <c r="AT18" i="25"/>
  <c r="AY18" i="25" s="1"/>
  <c r="AU18" i="25"/>
  <c r="BB273" i="25"/>
  <c r="BS273" i="25" s="1"/>
  <c r="BA273" i="25"/>
  <c r="BC273" i="25"/>
  <c r="BT273" i="25" s="1"/>
  <c r="BD277" i="24"/>
  <c r="BE277" i="24"/>
  <c r="BT277" i="24" s="1"/>
  <c r="AY277" i="24"/>
  <c r="AZ277" i="24" s="1"/>
  <c r="AT210" i="25"/>
  <c r="AY210" i="25" s="1"/>
  <c r="AU210" i="25"/>
  <c r="BE68" i="24"/>
  <c r="BT68" i="24" s="1"/>
  <c r="BD68" i="24"/>
  <c r="AY68" i="24"/>
  <c r="AZ68" i="24" s="1"/>
  <c r="AY287" i="24"/>
  <c r="AZ287" i="24" s="1"/>
  <c r="BD287" i="24"/>
  <c r="BE287" i="24"/>
  <c r="BT287" i="24" s="1"/>
  <c r="BE312" i="24"/>
  <c r="BT312" i="24" s="1"/>
  <c r="BD312" i="24"/>
  <c r="AY312" i="24"/>
  <c r="AZ312" i="24" s="1"/>
  <c r="BC293" i="25"/>
  <c r="BT293" i="25" s="1"/>
  <c r="BA293" i="25"/>
  <c r="BB293" i="25"/>
  <c r="BS293" i="25" s="1"/>
  <c r="AT254" i="25"/>
  <c r="AU254" i="25"/>
  <c r="AT39" i="25"/>
  <c r="AY39" i="25" s="1"/>
  <c r="AU39" i="25"/>
  <c r="BC229" i="25"/>
  <c r="BT229" i="25" s="1"/>
  <c r="BB229" i="25"/>
  <c r="BS229" i="25" s="1"/>
  <c r="BA229" i="25"/>
  <c r="BD221" i="24"/>
  <c r="AY221" i="24"/>
  <c r="AZ221" i="24" s="1"/>
  <c r="BE221" i="24"/>
  <c r="BT221" i="24" s="1"/>
  <c r="AT156" i="25"/>
  <c r="AY156" i="25" s="1"/>
  <c r="AU156" i="25"/>
  <c r="BA255" i="25"/>
  <c r="BB255" i="25"/>
  <c r="BS255" i="25" s="1"/>
  <c r="BC255" i="25"/>
  <c r="BT255" i="25" s="1"/>
  <c r="AT316" i="25"/>
  <c r="AU316" i="25"/>
  <c r="AT172" i="25"/>
  <c r="AY172" i="25" s="1"/>
  <c r="AU172" i="25"/>
  <c r="BA306" i="25"/>
  <c r="BC306" i="25"/>
  <c r="BT306" i="25" s="1"/>
  <c r="BB306" i="25"/>
  <c r="BS306" i="25" s="1"/>
  <c r="AT99" i="25"/>
  <c r="AY99" i="25" s="1"/>
  <c r="AU99" i="25"/>
  <c r="BB87" i="25"/>
  <c r="BS87" i="25" s="1"/>
  <c r="BA87" i="25"/>
  <c r="BC87" i="25"/>
  <c r="BT87" i="25" s="1"/>
  <c r="AT162" i="25"/>
  <c r="AY162" i="25" s="1"/>
  <c r="AU162" i="25"/>
  <c r="AT117" i="25"/>
  <c r="AY117" i="25" s="1"/>
  <c r="AU117" i="25"/>
  <c r="AY125" i="24"/>
  <c r="AZ125" i="24" s="1"/>
  <c r="BD125" i="24"/>
  <c r="BE125" i="24"/>
  <c r="BT125" i="24" s="1"/>
  <c r="BA305" i="25"/>
  <c r="BC305" i="25"/>
  <c r="BT305" i="25" s="1"/>
  <c r="BB305" i="25"/>
  <c r="BS305" i="25" s="1"/>
  <c r="AT88" i="25"/>
  <c r="AY88" i="25" s="1"/>
  <c r="AU88" i="25"/>
  <c r="AT226" i="25"/>
  <c r="AU226" i="25"/>
  <c r="BE84" i="24"/>
  <c r="BT84" i="24" s="1"/>
  <c r="BD84" i="24"/>
  <c r="AY84" i="24"/>
  <c r="AZ84" i="24" s="1"/>
  <c r="BE80" i="24"/>
  <c r="BT80" i="24" s="1"/>
  <c r="BD80" i="24"/>
  <c r="AY80" i="24"/>
  <c r="AZ80" i="24" s="1"/>
  <c r="AT25" i="25"/>
  <c r="AY25" i="25" s="1"/>
  <c r="AU25" i="25"/>
  <c r="BC246" i="25"/>
  <c r="BT246" i="25" s="1"/>
  <c r="BA246" i="25"/>
  <c r="BB246" i="25"/>
  <c r="BS246" i="25" s="1"/>
  <c r="AT290" i="25"/>
  <c r="AU290" i="25"/>
  <c r="BC262" i="25"/>
  <c r="BT262" i="25" s="1"/>
  <c r="BB262" i="25"/>
  <c r="BS262" i="25" s="1"/>
  <c r="BA262" i="25"/>
  <c r="AT169" i="25"/>
  <c r="AY169" i="25" s="1"/>
  <c r="AU169" i="25"/>
  <c r="AY291" i="24"/>
  <c r="AZ291" i="24" s="1"/>
  <c r="BE291" i="24"/>
  <c r="BT291" i="24" s="1"/>
  <c r="BD291" i="24"/>
  <c r="AT260" i="25"/>
  <c r="AU260" i="25"/>
  <c r="AY102" i="24"/>
  <c r="AZ102" i="24" s="1"/>
  <c r="BD102" i="24"/>
  <c r="BE102" i="24"/>
  <c r="BT102" i="24" s="1"/>
  <c r="BE223" i="24"/>
  <c r="BT223" i="24" s="1"/>
  <c r="AY223" i="24"/>
  <c r="AZ223" i="24" s="1"/>
  <c r="BD223" i="24"/>
  <c r="AT52" i="25"/>
  <c r="AY52" i="25" s="1"/>
  <c r="AU52" i="25"/>
  <c r="BE141" i="24"/>
  <c r="BT141" i="24" s="1"/>
  <c r="AY141" i="24"/>
  <c r="AZ141" i="24" s="1"/>
  <c r="BD141" i="24"/>
  <c r="BD251" i="24"/>
  <c r="BE251" i="24"/>
  <c r="BT251" i="24" s="1"/>
  <c r="AY251" i="24"/>
  <c r="AZ251" i="24" s="1"/>
  <c r="BA186" i="25"/>
  <c r="BC186" i="25"/>
  <c r="BT186" i="25" s="1"/>
  <c r="BB186" i="25"/>
  <c r="BS186" i="25" s="1"/>
  <c r="AT120" i="25"/>
  <c r="AY120" i="25" s="1"/>
  <c r="AU120" i="25"/>
  <c r="BD302" i="24"/>
  <c r="AY302" i="24"/>
  <c r="AZ302" i="24" s="1"/>
  <c r="BE302" i="24"/>
  <c r="BT302" i="24" s="1"/>
  <c r="AT219" i="25"/>
  <c r="AU219" i="25"/>
  <c r="AT217" i="25"/>
  <c r="AU217" i="25"/>
  <c r="AT209" i="25"/>
  <c r="AY209" i="25" s="1"/>
  <c r="AU209" i="25"/>
  <c r="BD127" i="24"/>
  <c r="AY127" i="24"/>
  <c r="AZ127" i="24" s="1"/>
  <c r="BE127" i="24"/>
  <c r="BT127" i="24" s="1"/>
  <c r="BB170" i="25"/>
  <c r="BS170" i="25" s="1"/>
  <c r="BA170" i="25"/>
  <c r="BC170" i="25"/>
  <c r="BT170" i="25" s="1"/>
  <c r="AT63" i="25"/>
  <c r="AY63" i="25" s="1"/>
  <c r="AU63" i="25"/>
  <c r="BE207" i="24"/>
  <c r="BT207" i="24" s="1"/>
  <c r="BD207" i="24"/>
  <c r="AY207" i="24"/>
  <c r="AZ207" i="24" s="1"/>
  <c r="AT79" i="25"/>
  <c r="AY79" i="25" s="1"/>
  <c r="AU79" i="25"/>
  <c r="AT146" i="25"/>
  <c r="AY146" i="25" s="1"/>
  <c r="AU146" i="25"/>
  <c r="BB206" i="25"/>
  <c r="BS206" i="25" s="1"/>
  <c r="BA206" i="25"/>
  <c r="BC206" i="25"/>
  <c r="BT206" i="25" s="1"/>
  <c r="AT137" i="25"/>
  <c r="AY137" i="25" s="1"/>
  <c r="AU137" i="25"/>
  <c r="AY173" i="24"/>
  <c r="AZ173" i="24" s="1"/>
  <c r="BE173" i="24"/>
  <c r="BT173" i="24" s="1"/>
  <c r="BD173" i="24"/>
  <c r="AT159" i="25"/>
  <c r="AY159" i="25" s="1"/>
  <c r="AU159" i="25"/>
  <c r="AT10" i="25"/>
  <c r="AY10" i="25" s="1"/>
  <c r="AU10" i="25"/>
  <c r="AY49" i="24"/>
  <c r="AZ49" i="24" s="1"/>
  <c r="BD49" i="24"/>
  <c r="BE49" i="24"/>
  <c r="BT49" i="24" s="1"/>
  <c r="AT121" i="25"/>
  <c r="AY121" i="25" s="1"/>
  <c r="AU121" i="25"/>
  <c r="BD77" i="24"/>
  <c r="BE77" i="24"/>
  <c r="BT77" i="24" s="1"/>
  <c r="AY77" i="24"/>
  <c r="AZ77" i="24" s="1"/>
  <c r="BS6" i="24"/>
  <c r="BG6" i="24"/>
  <c r="BM6" i="24" s="1"/>
  <c r="AY196" i="24"/>
  <c r="AZ196" i="24" s="1"/>
  <c r="BD196" i="24"/>
  <c r="BE196" i="24"/>
  <c r="BT196" i="24" s="1"/>
  <c r="BA178" i="25"/>
  <c r="BB178" i="25"/>
  <c r="BS178" i="25" s="1"/>
  <c r="BC178" i="25"/>
  <c r="BT178" i="25" s="1"/>
  <c r="AT141" i="25"/>
  <c r="AY141" i="25" s="1"/>
  <c r="AU141" i="25"/>
  <c r="BA34" i="25"/>
  <c r="BC34" i="25"/>
  <c r="BT34" i="25" s="1"/>
  <c r="BB34" i="25"/>
  <c r="BS34" i="25" s="1"/>
  <c r="BE67" i="24"/>
  <c r="BT67" i="24" s="1"/>
  <c r="BD67" i="24"/>
  <c r="AY67" i="24"/>
  <c r="AZ67" i="24" s="1"/>
  <c r="AT253" i="25"/>
  <c r="AU253" i="25"/>
  <c r="AY88" i="24"/>
  <c r="AZ88" i="24" s="1"/>
  <c r="BE88" i="24"/>
  <c r="BT88" i="24" s="1"/>
  <c r="BD88" i="24"/>
  <c r="BB89" i="25"/>
  <c r="BS89" i="25" s="1"/>
  <c r="BA89" i="25"/>
  <c r="BC89" i="25"/>
  <c r="BT89" i="25" s="1"/>
  <c r="AT294" i="25"/>
  <c r="AU294" i="25"/>
  <c r="BS248" i="24"/>
  <c r="BG248" i="24"/>
  <c r="AT40" i="25"/>
  <c r="AY40" i="25" s="1"/>
  <c r="AU40" i="25"/>
  <c r="BA291" i="25"/>
  <c r="BC291" i="25"/>
  <c r="BT291" i="25" s="1"/>
  <c r="BB291" i="25"/>
  <c r="BS291" i="25" s="1"/>
  <c r="AT9" i="25"/>
  <c r="AY9" i="25" s="1"/>
  <c r="AU9" i="25"/>
  <c r="AT24" i="25"/>
  <c r="AY24" i="25" s="1"/>
  <c r="AU24" i="25"/>
  <c r="BE235" i="24"/>
  <c r="BT235" i="24" s="1"/>
  <c r="BD235" i="24"/>
  <c r="AY235" i="24"/>
  <c r="AZ235" i="24" s="1"/>
  <c r="BE241" i="24"/>
  <c r="BT241" i="24" s="1"/>
  <c r="AY241" i="24"/>
  <c r="AZ241" i="24" s="1"/>
  <c r="BD241" i="24"/>
  <c r="BE74" i="24"/>
  <c r="BT74" i="24" s="1"/>
  <c r="BD74" i="24"/>
  <c r="AY74" i="24"/>
  <c r="AZ74" i="24" s="1"/>
  <c r="BA97" i="25"/>
  <c r="BC97" i="25"/>
  <c r="BT97" i="25" s="1"/>
  <c r="BD261" i="24"/>
  <c r="AY261" i="24"/>
  <c r="AZ261" i="24" s="1"/>
  <c r="BE261" i="24"/>
  <c r="BT261" i="24" s="1"/>
  <c r="BE116" i="24"/>
  <c r="BT116" i="24" s="1"/>
  <c r="BD116" i="24"/>
  <c r="AY116" i="24"/>
  <c r="AZ116" i="24" s="1"/>
  <c r="AT222" i="25"/>
  <c r="AU222" i="25"/>
  <c r="BA238" i="25"/>
  <c r="BC238" i="25"/>
  <c r="BT238" i="25" s="1"/>
  <c r="BB238" i="25"/>
  <c r="BS238" i="25" s="1"/>
  <c r="BD164" i="24"/>
  <c r="BE164" i="24"/>
  <c r="BT164" i="24" s="1"/>
  <c r="AY164" i="24"/>
  <c r="AZ164" i="24" s="1"/>
  <c r="AT53" i="25"/>
  <c r="AY53" i="25" s="1"/>
  <c r="AU53" i="25"/>
  <c r="AT22" i="25"/>
  <c r="AY22" i="25" s="1"/>
  <c r="AU22" i="25"/>
  <c r="AT231" i="25"/>
  <c r="AU231" i="25"/>
  <c r="AT90" i="25"/>
  <c r="AY90" i="25" s="1"/>
  <c r="AU90" i="25"/>
  <c r="BE98" i="24"/>
  <c r="BT98" i="24" s="1"/>
  <c r="BD98" i="24"/>
  <c r="AY98" i="24"/>
  <c r="AZ98" i="24" s="1"/>
  <c r="BD69" i="24"/>
  <c r="AY69" i="24"/>
  <c r="AZ69" i="24" s="1"/>
  <c r="BE69" i="24"/>
  <c r="BT69" i="24" s="1"/>
  <c r="BC94" i="25"/>
  <c r="BT94" i="25" s="1"/>
  <c r="BB94" i="25"/>
  <c r="BS94" i="25" s="1"/>
  <c r="BA94" i="25"/>
  <c r="AY149" i="24"/>
  <c r="AZ149" i="24" s="1"/>
  <c r="BD149" i="24"/>
  <c r="BE149" i="24"/>
  <c r="BT149" i="24" s="1"/>
  <c r="AY64" i="24"/>
  <c r="AZ64" i="24" s="1"/>
  <c r="BE64" i="24"/>
  <c r="BT64" i="24" s="1"/>
  <c r="BD64" i="24"/>
  <c r="AY82" i="24"/>
  <c r="AZ82" i="24" s="1"/>
  <c r="BD82" i="24"/>
  <c r="BE82" i="24"/>
  <c r="BT82" i="24" s="1"/>
  <c r="AY180" i="24"/>
  <c r="AZ180" i="24" s="1"/>
  <c r="BD180" i="24"/>
  <c r="BE180" i="24"/>
  <c r="BT180" i="24" s="1"/>
  <c r="BA167" i="25"/>
  <c r="BC167" i="25"/>
  <c r="BT167" i="25" s="1"/>
  <c r="BB167" i="25"/>
  <c r="BS167" i="25" s="1"/>
  <c r="BG264" i="24"/>
  <c r="BS264" i="24"/>
  <c r="BX264" i="24" s="1"/>
  <c r="BE308" i="24"/>
  <c r="BT308" i="24" s="1"/>
  <c r="AY308" i="24"/>
  <c r="AZ308" i="24" s="1"/>
  <c r="BD308" i="24"/>
  <c r="AT203" i="25"/>
  <c r="AY203" i="25" s="1"/>
  <c r="AU203" i="25"/>
  <c r="BE200" i="24"/>
  <c r="BT200" i="24" s="1"/>
  <c r="AY200" i="24"/>
  <c r="AZ200" i="24" s="1"/>
  <c r="BD200" i="24"/>
  <c r="AT221" i="25"/>
  <c r="AU221" i="25"/>
  <c r="BD170" i="24"/>
  <c r="BE170" i="24"/>
  <c r="BT170" i="24" s="1"/>
  <c r="AY170" i="24"/>
  <c r="AZ170" i="24" s="1"/>
  <c r="BE23" i="24"/>
  <c r="BT23" i="24" s="1"/>
  <c r="BD23" i="24"/>
  <c r="AY23" i="24"/>
  <c r="AZ23" i="24" s="1"/>
  <c r="AY155" i="24"/>
  <c r="AZ155" i="24" s="1"/>
  <c r="BD155" i="24"/>
  <c r="BE155" i="24"/>
  <c r="BT155" i="24" s="1"/>
  <c r="AT116" i="25"/>
  <c r="AY116" i="25" s="1"/>
  <c r="AU116" i="25"/>
  <c r="AT74" i="25"/>
  <c r="AY74" i="25" s="1"/>
  <c r="AU74" i="25"/>
  <c r="AT47" i="25"/>
  <c r="AY47" i="25" s="1"/>
  <c r="AU47" i="25"/>
  <c r="AT298" i="25"/>
  <c r="AU298" i="25"/>
  <c r="BD81" i="24"/>
  <c r="AY81" i="24"/>
  <c r="AZ81" i="24" s="1"/>
  <c r="BE81" i="24"/>
  <c r="BT81" i="24" s="1"/>
  <c r="BB155" i="25"/>
  <c r="BS155" i="25" s="1"/>
  <c r="BC155" i="25"/>
  <c r="BT155" i="25" s="1"/>
  <c r="BA155" i="25"/>
  <c r="AT142" i="25"/>
  <c r="AY142" i="25" s="1"/>
  <c r="AU142" i="25"/>
  <c r="BD43" i="24"/>
  <c r="BE43" i="24"/>
  <c r="BT43" i="24" s="1"/>
  <c r="AY43" i="24"/>
  <c r="AZ43" i="24" s="1"/>
  <c r="BD199" i="24"/>
  <c r="BE199" i="24"/>
  <c r="BT199" i="24" s="1"/>
  <c r="AY199" i="24"/>
  <c r="AZ199" i="24" s="1"/>
  <c r="AY178" i="24"/>
  <c r="AZ178" i="24" s="1"/>
  <c r="BE178" i="24"/>
  <c r="BT178" i="24" s="1"/>
  <c r="BD178" i="24"/>
  <c r="AT132" i="25"/>
  <c r="AY132" i="25" s="1"/>
  <c r="AU132" i="25"/>
  <c r="BA14" i="25"/>
  <c r="BC14" i="25"/>
  <c r="BT14" i="25" s="1"/>
  <c r="BB14" i="25"/>
  <c r="BS14" i="25" s="1"/>
  <c r="AT45" i="25"/>
  <c r="AY45" i="25" s="1"/>
  <c r="AU45" i="25"/>
  <c r="BA192" i="25"/>
  <c r="BC192" i="25"/>
  <c r="BT192" i="25" s="1"/>
  <c r="BB192" i="25"/>
  <c r="BS192" i="25" s="1"/>
  <c r="BC283" i="25"/>
  <c r="BT283" i="25" s="1"/>
  <c r="BA283" i="25"/>
  <c r="BB283" i="25"/>
  <c r="BS283" i="25" s="1"/>
  <c r="BE9" i="24"/>
  <c r="BT9" i="24" s="1"/>
  <c r="AY9" i="24"/>
  <c r="AZ9" i="24" s="1"/>
  <c r="BD9" i="24"/>
  <c r="AT84" i="25"/>
  <c r="AY84" i="25" s="1"/>
  <c r="AU84" i="25"/>
  <c r="BB204" i="25"/>
  <c r="BS204" i="25" s="1"/>
  <c r="BA204" i="25"/>
  <c r="BC204" i="25"/>
  <c r="BT204" i="25" s="1"/>
  <c r="BE194" i="24"/>
  <c r="BT194" i="24" s="1"/>
  <c r="BD194" i="24"/>
  <c r="AY194" i="24"/>
  <c r="AZ194" i="24" s="1"/>
  <c r="AT234" i="25"/>
  <c r="AU234" i="25"/>
  <c r="BE229" i="24"/>
  <c r="BT229" i="24" s="1"/>
  <c r="BD229" i="24"/>
  <c r="AY229" i="24"/>
  <c r="AZ229" i="24" s="1"/>
  <c r="AY201" i="24"/>
  <c r="AZ201" i="24" s="1"/>
  <c r="BE201" i="24"/>
  <c r="BT201" i="24" s="1"/>
  <c r="BD201" i="24"/>
  <c r="BG191" i="24"/>
  <c r="BS191" i="24"/>
  <c r="BX191" i="24" s="1"/>
  <c r="AT83" i="25"/>
  <c r="AY83" i="25" s="1"/>
  <c r="AU83" i="25"/>
  <c r="BE42" i="24"/>
  <c r="BT42" i="24" s="1"/>
  <c r="AY42" i="24"/>
  <c r="AZ42" i="24" s="1"/>
  <c r="BD42" i="24"/>
  <c r="BE139" i="24"/>
  <c r="BT139" i="24" s="1"/>
  <c r="BD139" i="24"/>
  <c r="AY139" i="24"/>
  <c r="AZ139" i="24" s="1"/>
  <c r="AT35" i="25"/>
  <c r="AY35" i="25" s="1"/>
  <c r="AU35" i="25"/>
  <c r="AY278" i="24"/>
  <c r="AZ278" i="24" s="1"/>
  <c r="BE278" i="24"/>
  <c r="BT278" i="24" s="1"/>
  <c r="BD278" i="24"/>
  <c r="AT230" i="25"/>
  <c r="AU230" i="25"/>
  <c r="BE275" i="24"/>
  <c r="BT275" i="24" s="1"/>
  <c r="AY275" i="24"/>
  <c r="AZ275" i="24" s="1"/>
  <c r="BD275" i="24"/>
  <c r="AT236" i="25"/>
  <c r="AU236" i="25"/>
  <c r="AT123" i="25"/>
  <c r="AY123" i="25" s="1"/>
  <c r="AU123" i="25"/>
  <c r="BE126" i="24"/>
  <c r="BT126" i="24" s="1"/>
  <c r="AY126" i="24"/>
  <c r="AZ126" i="24" s="1"/>
  <c r="BD126" i="24"/>
  <c r="BE284" i="24"/>
  <c r="BT284" i="24" s="1"/>
  <c r="AY284" i="24"/>
  <c r="AZ284" i="24" s="1"/>
  <c r="BD284" i="24"/>
  <c r="BD30" i="24"/>
  <c r="AY30" i="24"/>
  <c r="AZ30" i="24" s="1"/>
  <c r="BE30" i="24"/>
  <c r="BT30" i="24" s="1"/>
  <c r="AY114" i="24"/>
  <c r="AZ114" i="24" s="1"/>
  <c r="BE114" i="24"/>
  <c r="BT114" i="24" s="1"/>
  <c r="BD114" i="24"/>
  <c r="AT250" i="25"/>
  <c r="AU250" i="25"/>
  <c r="AT33" i="25"/>
  <c r="AY33" i="25" s="1"/>
  <c r="AU33" i="25"/>
  <c r="BD136" i="24"/>
  <c r="AY136" i="24"/>
  <c r="AZ136" i="24" s="1"/>
  <c r="BE136" i="24"/>
  <c r="BT136" i="24" s="1"/>
  <c r="AT112" i="25"/>
  <c r="AY112" i="25" s="1"/>
  <c r="AU112" i="25"/>
  <c r="BD177" i="24"/>
  <c r="AY177" i="24"/>
  <c r="AZ177" i="24" s="1"/>
  <c r="BE177" i="24"/>
  <c r="BT177" i="24" s="1"/>
  <c r="AT7" i="25"/>
  <c r="AY7" i="25" s="1"/>
  <c r="AU7" i="25"/>
  <c r="AT256" i="25"/>
  <c r="AU256" i="25"/>
  <c r="BA30" i="25"/>
  <c r="BB30" i="25"/>
  <c r="BS30" i="25" s="1"/>
  <c r="BC30" i="25"/>
  <c r="BT30" i="25" s="1"/>
  <c r="BA113" i="25"/>
  <c r="BC113" i="25"/>
  <c r="BT113" i="25" s="1"/>
  <c r="BB113" i="25"/>
  <c r="BS113" i="25" s="1"/>
  <c r="AY203" i="24"/>
  <c r="AZ203" i="24" s="1"/>
  <c r="BD203" i="24"/>
  <c r="BE203" i="24"/>
  <c r="BT203" i="24" s="1"/>
  <c r="AT8" i="25"/>
  <c r="AY8" i="25" s="1"/>
  <c r="AU8" i="25"/>
  <c r="BE63" i="24"/>
  <c r="BT63" i="24" s="1"/>
  <c r="BD63" i="24"/>
  <c r="AY63" i="24"/>
  <c r="AZ63" i="24" s="1"/>
  <c r="AT15" i="25"/>
  <c r="AY15" i="25" s="1"/>
  <c r="AU15" i="25"/>
  <c r="AT239" i="25"/>
  <c r="AU239" i="25"/>
  <c r="BD76" i="24"/>
  <c r="BE76" i="24"/>
  <c r="BT76" i="24" s="1"/>
  <c r="AY76" i="24"/>
  <c r="AZ76" i="24" s="1"/>
  <c r="BG44" i="24"/>
  <c r="BM44" i="24" s="1"/>
  <c r="BS44" i="24"/>
  <c r="BV44" i="24" s="1"/>
  <c r="BX44" i="24" s="1"/>
  <c r="AT70" i="25"/>
  <c r="AY70" i="25" s="1"/>
  <c r="AU70" i="25"/>
  <c r="AT76" i="25"/>
  <c r="AY76" i="25" s="1"/>
  <c r="AU76" i="25"/>
  <c r="BE27" i="24"/>
  <c r="BT27" i="24" s="1"/>
  <c r="AY27" i="24"/>
  <c r="AZ27" i="24" s="1"/>
  <c r="BD27" i="24"/>
  <c r="BD301" i="24"/>
  <c r="BE301" i="24"/>
  <c r="BT301" i="24" s="1"/>
  <c r="AY301" i="24"/>
  <c r="AZ301" i="24" s="1"/>
  <c r="BE17" i="24"/>
  <c r="BT17" i="24" s="1"/>
  <c r="BD17" i="24"/>
  <c r="AY17" i="24"/>
  <c r="AZ17" i="24" s="1"/>
  <c r="BE156" i="24"/>
  <c r="BT156" i="24" s="1"/>
  <c r="BD156" i="24"/>
  <c r="AY156" i="24"/>
  <c r="AZ156" i="24" s="1"/>
  <c r="AY174" i="24"/>
  <c r="AZ174" i="24" s="1"/>
  <c r="BE174" i="24"/>
  <c r="BT174" i="24" s="1"/>
  <c r="BD174" i="24"/>
  <c r="BE290" i="24"/>
  <c r="BT290" i="24" s="1"/>
  <c r="AY290" i="24"/>
  <c r="AZ290" i="24" s="1"/>
  <c r="BD290" i="24"/>
  <c r="AT202" i="25"/>
  <c r="AY202" i="25" s="1"/>
  <c r="AU202" i="25"/>
  <c r="BD131" i="24"/>
  <c r="AY131" i="24"/>
  <c r="AZ131" i="24" s="1"/>
  <c r="BE131" i="24"/>
  <c r="BT131" i="24" s="1"/>
  <c r="AY249" i="24"/>
  <c r="AZ249" i="24" s="1"/>
  <c r="BE249" i="24"/>
  <c r="BT249" i="24" s="1"/>
  <c r="BD249" i="24"/>
  <c r="BD183" i="24"/>
  <c r="AY183" i="24"/>
  <c r="AZ183" i="24" s="1"/>
  <c r="BE183" i="24"/>
  <c r="BT183" i="24" s="1"/>
  <c r="BE35" i="24"/>
  <c r="BT35" i="24" s="1"/>
  <c r="BD35" i="24"/>
  <c r="AY35" i="24"/>
  <c r="AZ35" i="24" s="1"/>
  <c r="BE89" i="24"/>
  <c r="BT89" i="24" s="1"/>
  <c r="BD89" i="24"/>
  <c r="AY89" i="24"/>
  <c r="AZ89" i="24" s="1"/>
  <c r="AT180" i="25"/>
  <c r="AY180" i="25" s="1"/>
  <c r="AU180" i="25"/>
  <c r="BC21" i="25"/>
  <c r="BT21" i="25" s="1"/>
  <c r="BB21" i="25"/>
  <c r="BS21" i="25" s="1"/>
  <c r="BA21" i="25"/>
  <c r="AT223" i="25"/>
  <c r="AU223" i="25"/>
  <c r="BB190" i="25"/>
  <c r="BS190" i="25" s="1"/>
  <c r="BC190" i="25"/>
  <c r="BT190" i="25" s="1"/>
  <c r="BA190" i="25"/>
  <c r="BE268" i="24"/>
  <c r="BT268" i="24" s="1"/>
  <c r="BD268" i="24"/>
  <c r="AY268" i="24"/>
  <c r="AZ268" i="24" s="1"/>
  <c r="AT64" i="25"/>
  <c r="AY64" i="25" s="1"/>
  <c r="AU64" i="25"/>
  <c r="AT200" i="25"/>
  <c r="AY200" i="25" s="1"/>
  <c r="AU200" i="25"/>
  <c r="AT55" i="25"/>
  <c r="AY55" i="25" s="1"/>
  <c r="AU55" i="25"/>
  <c r="AT122" i="25"/>
  <c r="AY122" i="25" s="1"/>
  <c r="AU122" i="25"/>
  <c r="AT73" i="25"/>
  <c r="AY73" i="25" s="1"/>
  <c r="AU73" i="25"/>
  <c r="AY205" i="24"/>
  <c r="AZ205" i="24" s="1"/>
  <c r="BE205" i="24"/>
  <c r="BT205" i="24" s="1"/>
  <c r="BD205" i="24"/>
  <c r="BE309" i="24"/>
  <c r="BT309" i="24" s="1"/>
  <c r="AY309" i="24"/>
  <c r="AZ309" i="24" s="1"/>
  <c r="BD309" i="24"/>
  <c r="AT72" i="25"/>
  <c r="AY72" i="25" s="1"/>
  <c r="AU72" i="25"/>
  <c r="BG259" i="24"/>
  <c r="BS259" i="24"/>
  <c r="BC82" i="25"/>
  <c r="BT82" i="25" s="1"/>
  <c r="BB82" i="25"/>
  <c r="BS82" i="25" s="1"/>
  <c r="BA82" i="25"/>
  <c r="BE193" i="24"/>
  <c r="BT193" i="24" s="1"/>
  <c r="BD193" i="24"/>
  <c r="AY193" i="24"/>
  <c r="AZ193" i="24" s="1"/>
  <c r="AT125" i="25"/>
  <c r="AY125" i="25" s="1"/>
  <c r="AU125" i="25"/>
  <c r="BE65" i="24"/>
  <c r="BT65" i="24" s="1"/>
  <c r="BD65" i="24"/>
  <c r="AY65" i="24"/>
  <c r="AZ65" i="24" s="1"/>
  <c r="AT37" i="25"/>
  <c r="AY37" i="25" s="1"/>
  <c r="AU37" i="25"/>
  <c r="BE110" i="25"/>
  <c r="BR110" i="25"/>
  <c r="BX110" i="25" s="1"/>
  <c r="BD97" i="24"/>
  <c r="BE97" i="24"/>
  <c r="BT97" i="24" s="1"/>
  <c r="AY97" i="24"/>
  <c r="AZ97" i="24" s="1"/>
  <c r="AY243" i="24"/>
  <c r="AZ243" i="24" s="1"/>
  <c r="BD243" i="24"/>
  <c r="BE243" i="24"/>
  <c r="BT243" i="24" s="1"/>
  <c r="BA259" i="25"/>
  <c r="BB259" i="25"/>
  <c r="BS259" i="25" s="1"/>
  <c r="BC259" i="25"/>
  <c r="BT259" i="25" s="1"/>
  <c r="BG294" i="24"/>
  <c r="BS294" i="24"/>
  <c r="BX294" i="24" s="1"/>
  <c r="AT277" i="25"/>
  <c r="AU277" i="25"/>
  <c r="BD87" i="24"/>
  <c r="AY87" i="24"/>
  <c r="AZ87" i="24" s="1"/>
  <c r="BE87" i="24"/>
  <c r="BT87" i="24" s="1"/>
  <c r="AT75" i="25"/>
  <c r="AY75" i="25" s="1"/>
  <c r="AU75" i="25"/>
  <c r="AT268" i="25"/>
  <c r="AU268" i="25"/>
  <c r="AT46" i="25"/>
  <c r="AY46" i="25" s="1"/>
  <c r="AU46" i="25"/>
  <c r="BA161" i="25"/>
  <c r="BC161" i="25"/>
  <c r="BT161" i="25" s="1"/>
  <c r="BB161" i="25"/>
  <c r="BS161" i="25" s="1"/>
  <c r="AT184" i="25"/>
  <c r="AY184" i="25" s="1"/>
  <c r="AU184" i="25"/>
  <c r="AT80" i="25"/>
  <c r="AY80" i="25" s="1"/>
  <c r="AU80" i="25"/>
  <c r="BE46" i="24"/>
  <c r="BT46" i="24" s="1"/>
  <c r="AY46" i="24"/>
  <c r="AZ46" i="24" s="1"/>
  <c r="BD46" i="24"/>
  <c r="BE47" i="24"/>
  <c r="BT47" i="24" s="1"/>
  <c r="BD47" i="24"/>
  <c r="AY47" i="24"/>
  <c r="AZ47" i="24" s="1"/>
  <c r="AT175" i="25"/>
  <c r="AY175" i="25" s="1"/>
  <c r="AU175" i="25"/>
  <c r="BE197" i="24"/>
  <c r="BT197" i="24" s="1"/>
  <c r="BD197" i="24"/>
  <c r="AY197" i="24"/>
  <c r="AZ197" i="24" s="1"/>
  <c r="AY159" i="24"/>
  <c r="AZ159" i="24" s="1"/>
  <c r="BD159" i="24"/>
  <c r="BE159" i="24"/>
  <c r="BT159" i="24" s="1"/>
  <c r="AT56" i="25"/>
  <c r="AY56" i="25" s="1"/>
  <c r="AU56" i="25"/>
  <c r="BC314" i="25"/>
  <c r="BT314" i="25" s="1"/>
  <c r="BB314" i="25"/>
  <c r="BS314" i="25" s="1"/>
  <c r="BA314" i="25"/>
  <c r="AT313" i="25"/>
  <c r="AU313" i="25"/>
  <c r="BE79" i="24"/>
  <c r="BT79" i="24" s="1"/>
  <c r="BD79" i="24"/>
  <c r="AY79" i="24"/>
  <c r="AZ79" i="24" s="1"/>
  <c r="BC13" i="25"/>
  <c r="BT13" i="25" s="1"/>
  <c r="BB13" i="25"/>
  <c r="BS13" i="25" s="1"/>
  <c r="BA13" i="25"/>
  <c r="AY93" i="24"/>
  <c r="AZ93" i="24" s="1"/>
  <c r="BE93" i="24"/>
  <c r="BT93" i="24" s="1"/>
  <c r="BD93" i="24"/>
  <c r="AT23" i="25"/>
  <c r="AY23" i="25" s="1"/>
  <c r="AU23" i="25"/>
  <c r="AT207" i="25"/>
  <c r="AY207" i="25" s="1"/>
  <c r="AU207" i="25"/>
  <c r="BD286" i="24"/>
  <c r="AY286" i="24"/>
  <c r="AZ286" i="24" s="1"/>
  <c r="BE286" i="24"/>
  <c r="BT286" i="24" s="1"/>
  <c r="AT36" i="25"/>
  <c r="AY36" i="25" s="1"/>
  <c r="AU36" i="25"/>
  <c r="AT27" i="25"/>
  <c r="AY27" i="25" s="1"/>
  <c r="AU27" i="25"/>
  <c r="BE52" i="24"/>
  <c r="BT52" i="24" s="1"/>
  <c r="AY52" i="24"/>
  <c r="AZ52" i="24" s="1"/>
  <c r="BD52" i="24"/>
  <c r="AT12" i="25"/>
  <c r="AY12" i="25" s="1"/>
  <c r="AU12" i="25"/>
  <c r="BE181" i="24"/>
  <c r="BT181" i="24" s="1"/>
  <c r="BD181" i="24"/>
  <c r="AY181" i="24"/>
  <c r="AZ181" i="24" s="1"/>
  <c r="AT19" i="25"/>
  <c r="AY19" i="25" s="1"/>
  <c r="AU19" i="25"/>
  <c r="BC148" i="25"/>
  <c r="BT148" i="25" s="1"/>
  <c r="BA148" i="25"/>
  <c r="BB148" i="25"/>
  <c r="BS148" i="25" s="1"/>
  <c r="BD176" i="24"/>
  <c r="AY176" i="24"/>
  <c r="AZ176" i="24" s="1"/>
  <c r="BE176" i="24"/>
  <c r="BT176" i="24" s="1"/>
  <c r="BG101" i="24"/>
  <c r="BM101" i="24" s="1"/>
  <c r="BS101" i="24"/>
  <c r="BV101" i="24" s="1"/>
  <c r="BX101" i="24" s="1"/>
  <c r="BE217" i="24"/>
  <c r="BT217" i="24" s="1"/>
  <c r="BD217" i="24"/>
  <c r="AY217" i="24"/>
  <c r="AZ217" i="24" s="1"/>
  <c r="BD274" i="24"/>
  <c r="AY274" i="24"/>
  <c r="AZ274" i="24" s="1"/>
  <c r="BE274" i="24"/>
  <c r="BT274" i="24" s="1"/>
  <c r="BA174" i="25"/>
  <c r="BB174" i="25"/>
  <c r="BS174" i="25" s="1"/>
  <c r="BC174" i="25"/>
  <c r="BT174" i="25" s="1"/>
  <c r="BD289" i="24"/>
  <c r="AY289" i="24"/>
  <c r="AZ289" i="24" s="1"/>
  <c r="BE289" i="24"/>
  <c r="BT289" i="24" s="1"/>
  <c r="BE86" i="24"/>
  <c r="BT86" i="24" s="1"/>
  <c r="BD86" i="24"/>
  <c r="AY86" i="24"/>
  <c r="AZ86" i="24" s="1"/>
  <c r="AT44" i="25"/>
  <c r="AY44" i="25" s="1"/>
  <c r="AU44" i="25"/>
  <c r="BS7" i="24"/>
  <c r="BV7" i="24" s="1"/>
  <c r="BX7" i="24" s="1"/>
  <c r="BG7" i="24"/>
  <c r="BM7" i="24" s="1"/>
  <c r="BD270" i="24"/>
  <c r="BE270" i="24"/>
  <c r="BT270" i="24" s="1"/>
  <c r="AY270" i="24"/>
  <c r="AZ270" i="24" s="1"/>
  <c r="AT284" i="25"/>
  <c r="AU284" i="25"/>
  <c r="BC71" i="25"/>
  <c r="BT71" i="25" s="1"/>
  <c r="BB71" i="25"/>
  <c r="BS71" i="25" s="1"/>
  <c r="BA71" i="25"/>
  <c r="AT126" i="25"/>
  <c r="AY126" i="25" s="1"/>
  <c r="AU126" i="25"/>
  <c r="AY304" i="24"/>
  <c r="AZ304" i="24" s="1"/>
  <c r="BE304" i="24"/>
  <c r="BT304" i="24" s="1"/>
  <c r="BD304" i="24"/>
  <c r="AT168" i="25"/>
  <c r="AY168" i="25" s="1"/>
  <c r="AU168" i="25"/>
  <c r="BA96" i="25"/>
  <c r="BB96" i="25"/>
  <c r="BS96" i="25" s="1"/>
  <c r="BC96" i="25"/>
  <c r="BT96" i="25" s="1"/>
  <c r="AT145" i="25"/>
  <c r="AY145" i="25" s="1"/>
  <c r="AU145" i="25"/>
  <c r="BE189" i="24"/>
  <c r="BT189" i="24" s="1"/>
  <c r="AY189" i="24"/>
  <c r="AZ189" i="24" s="1"/>
  <c r="BD189" i="24"/>
  <c r="AT150" i="25"/>
  <c r="AY150" i="25" s="1"/>
  <c r="AU150" i="25"/>
  <c r="AY230" i="24"/>
  <c r="AZ230" i="24" s="1"/>
  <c r="BE230" i="24"/>
  <c r="BT230" i="24" s="1"/>
  <c r="BD230" i="24"/>
  <c r="BA240" i="25"/>
  <c r="BC240" i="25"/>
  <c r="BT240" i="25" s="1"/>
  <c r="BB240" i="25"/>
  <c r="BS240" i="25" s="1"/>
  <c r="AT98" i="25"/>
  <c r="AY98" i="25" s="1"/>
  <c r="AU98" i="25"/>
  <c r="AT228" i="25"/>
  <c r="AU228" i="25"/>
  <c r="BE187" i="24"/>
  <c r="BT187" i="24" s="1"/>
  <c r="AY187" i="24"/>
  <c r="AZ187" i="24" s="1"/>
  <c r="BD187" i="24"/>
  <c r="BD300" i="24"/>
  <c r="BE300" i="24"/>
  <c r="BT300" i="24" s="1"/>
  <c r="AY300" i="24"/>
  <c r="AZ300" i="24" s="1"/>
  <c r="AY168" i="24"/>
  <c r="AZ168" i="24" s="1"/>
  <c r="BE168" i="24"/>
  <c r="BT168" i="24" s="1"/>
  <c r="BD168" i="24"/>
  <c r="BD113" i="24"/>
  <c r="AY113" i="24"/>
  <c r="AZ113" i="24" s="1"/>
  <c r="BE113" i="24"/>
  <c r="BT113" i="24" s="1"/>
  <c r="BE15" i="24"/>
  <c r="BT15" i="24" s="1"/>
  <c r="BD15" i="24"/>
  <c r="AY15" i="24"/>
  <c r="AZ15" i="24" s="1"/>
  <c r="BE208" i="24"/>
  <c r="BT208" i="24" s="1"/>
  <c r="BD208" i="24"/>
  <c r="AY208" i="24"/>
  <c r="AZ208" i="24" s="1"/>
  <c r="AT144" i="25"/>
  <c r="AY144" i="25" s="1"/>
  <c r="AU144" i="25"/>
  <c r="BB247" i="25"/>
  <c r="BS247" i="25" s="1"/>
  <c r="BA247" i="25"/>
  <c r="BC247" i="25"/>
  <c r="BT247" i="25" s="1"/>
  <c r="AT51" i="25"/>
  <c r="AY51" i="25" s="1"/>
  <c r="AU51" i="25"/>
  <c r="AT61" i="25"/>
  <c r="AY61" i="25" s="1"/>
  <c r="AU61" i="25"/>
  <c r="AY293" i="24"/>
  <c r="AZ293" i="24" s="1"/>
  <c r="BD293" i="24"/>
  <c r="BE293" i="24"/>
  <c r="BT293" i="24" s="1"/>
  <c r="BE288" i="24"/>
  <c r="BT288" i="24" s="1"/>
  <c r="AY288" i="24"/>
  <c r="AZ288" i="24" s="1"/>
  <c r="BD288" i="24"/>
  <c r="BC267" i="25"/>
  <c r="BT267" i="25" s="1"/>
  <c r="BB267" i="25"/>
  <c r="BS267" i="25" s="1"/>
  <c r="BA267" i="25"/>
  <c r="BE118" i="24"/>
  <c r="BT118" i="24" s="1"/>
  <c r="BD118" i="24"/>
  <c r="AY118" i="24"/>
  <c r="AZ118" i="24" s="1"/>
  <c r="BE266" i="24"/>
  <c r="BT266" i="24" s="1"/>
  <c r="AY266" i="24"/>
  <c r="AZ266" i="24" s="1"/>
  <c r="BD266" i="24"/>
  <c r="AT208" i="25"/>
  <c r="AY208" i="25" s="1"/>
  <c r="AU208" i="25"/>
  <c r="BB29" i="25"/>
  <c r="BS29" i="25" s="1"/>
  <c r="BC29" i="25"/>
  <c r="BT29" i="25" s="1"/>
  <c r="BA29" i="25"/>
  <c r="AT105" i="25"/>
  <c r="B140" i="2"/>
  <c r="B130" i="2"/>
  <c r="AU105" i="25"/>
  <c r="BD175" i="24"/>
  <c r="AY175" i="24"/>
  <c r="AZ175" i="24" s="1"/>
  <c r="BE175" i="24"/>
  <c r="BT175" i="24" s="1"/>
  <c r="AT42" i="25"/>
  <c r="AY42" i="25" s="1"/>
  <c r="AU42" i="25"/>
  <c r="AT171" i="25"/>
  <c r="AY171" i="25" s="1"/>
  <c r="AU171" i="25"/>
  <c r="AY202" i="24"/>
  <c r="AZ202" i="24" s="1"/>
  <c r="BE202" i="24"/>
  <c r="BT202" i="24" s="1"/>
  <c r="BD202" i="24"/>
  <c r="BD206" i="24"/>
  <c r="AY206" i="24"/>
  <c r="AZ206" i="24" s="1"/>
  <c r="BE206" i="24"/>
  <c r="BT206" i="24" s="1"/>
  <c r="AY188" i="24"/>
  <c r="AZ188" i="24" s="1"/>
  <c r="BD188" i="24"/>
  <c r="BE188" i="24"/>
  <c r="BT188" i="24" s="1"/>
  <c r="AY66" i="24"/>
  <c r="AZ66" i="24" s="1"/>
  <c r="BE66" i="24"/>
  <c r="BT66" i="24" s="1"/>
  <c r="BD66" i="24"/>
  <c r="BE179" i="24"/>
  <c r="BT179" i="24" s="1"/>
  <c r="BD179" i="24"/>
  <c r="AY179" i="24"/>
  <c r="AZ179" i="24" s="1"/>
  <c r="BD153" i="24"/>
  <c r="AY153" i="24"/>
  <c r="AZ153" i="24" s="1"/>
  <c r="BE153" i="24"/>
  <c r="BT153" i="24" s="1"/>
  <c r="AT86" i="25"/>
  <c r="AY86" i="25" s="1"/>
  <c r="AU86" i="25"/>
  <c r="BA11" i="25"/>
  <c r="BB11" i="25"/>
  <c r="BS11" i="25" s="1"/>
  <c r="BC11" i="25"/>
  <c r="BT11" i="25" s="1"/>
  <c r="AT188" i="25"/>
  <c r="AY188" i="25" s="1"/>
  <c r="AU188" i="25"/>
  <c r="BE133" i="24"/>
  <c r="BT133" i="24" s="1"/>
  <c r="BD133" i="24"/>
  <c r="AY133" i="24"/>
  <c r="AZ133" i="24" s="1"/>
  <c r="AY246" i="24"/>
  <c r="AZ246" i="24" s="1"/>
  <c r="BD246" i="24"/>
  <c r="BE246" i="24"/>
  <c r="BT246" i="24" s="1"/>
  <c r="AY209" i="24"/>
  <c r="AZ209" i="24" s="1"/>
  <c r="BE209" i="24"/>
  <c r="BT209" i="24" s="1"/>
  <c r="BD209" i="24"/>
  <c r="BB131" i="25"/>
  <c r="BS131" i="25" s="1"/>
  <c r="BC131" i="25"/>
  <c r="BT131" i="25" s="1"/>
  <c r="BA131" i="25"/>
  <c r="AT43" i="25"/>
  <c r="AY43" i="25" s="1"/>
  <c r="AU43" i="25"/>
  <c r="BG240" i="24"/>
  <c r="BS240" i="24"/>
  <c r="AT102" i="25"/>
  <c r="AY102" i="25" s="1"/>
  <c r="AU102" i="25"/>
  <c r="AY25" i="24"/>
  <c r="AZ25" i="24" s="1"/>
  <c r="BD25" i="24"/>
  <c r="BE25" i="24"/>
  <c r="BT25" i="24" s="1"/>
  <c r="AO193" i="29" l="1"/>
  <c r="AO124" i="29"/>
  <c r="AO189" i="29"/>
  <c r="AO61" i="29"/>
  <c r="AO599" i="29"/>
  <c r="AO285" i="29"/>
  <c r="AO537" i="29"/>
  <c r="AO238" i="29"/>
  <c r="AO58" i="29"/>
  <c r="BG152" i="24"/>
  <c r="AO509" i="29"/>
  <c r="AO437" i="29"/>
  <c r="AO18" i="29"/>
  <c r="AO155" i="29"/>
  <c r="AO442" i="29"/>
  <c r="AO110" i="29"/>
  <c r="AO231" i="29"/>
  <c r="U231" i="29" s="1"/>
  <c r="AO323" i="29"/>
  <c r="AO541" i="29"/>
  <c r="AO544" i="29"/>
  <c r="AO352" i="29"/>
  <c r="AO508" i="29"/>
  <c r="AO521" i="29"/>
  <c r="U521" i="29" s="1"/>
  <c r="BX240" i="24"/>
  <c r="AO63" i="29"/>
  <c r="U63" i="29" s="1"/>
  <c r="AO584" i="29"/>
  <c r="V584" i="29" s="1"/>
  <c r="AO380" i="29"/>
  <c r="V380" i="29" s="1"/>
  <c r="AO591" i="29"/>
  <c r="U591" i="29" s="1"/>
  <c r="AO576" i="29"/>
  <c r="V576" i="29" s="1"/>
  <c r="AO163" i="29"/>
  <c r="V163" i="29" s="1"/>
  <c r="AO485" i="29"/>
  <c r="U485" i="29" s="1"/>
  <c r="AO478" i="29"/>
  <c r="U478" i="29" s="1"/>
  <c r="AO304" i="29"/>
  <c r="U304" i="29" s="1"/>
  <c r="BG120" i="24"/>
  <c r="BY120" i="24" s="1"/>
  <c r="CA120" i="24" s="1"/>
  <c r="CB120" i="24" s="1"/>
  <c r="BC265" i="25"/>
  <c r="BT265" i="25" s="1"/>
  <c r="BA265" i="25"/>
  <c r="BE265" i="25" s="1"/>
  <c r="AO271" i="29"/>
  <c r="U271" i="29" s="1"/>
  <c r="AO566" i="29"/>
  <c r="V566" i="29" s="1"/>
  <c r="AO181" i="29"/>
  <c r="U181" i="29" s="1"/>
  <c r="AO261" i="29"/>
  <c r="V261" i="29" s="1"/>
  <c r="AO279" i="29"/>
  <c r="V279" i="29" s="1"/>
  <c r="AO59" i="29"/>
  <c r="U59" i="29" s="1"/>
  <c r="AO253" i="29"/>
  <c r="V253" i="29" s="1"/>
  <c r="AO393" i="29"/>
  <c r="U393" i="29" s="1"/>
  <c r="AO64" i="29"/>
  <c r="V64" i="29" s="1"/>
  <c r="AO445" i="29"/>
  <c r="U445" i="29" s="1"/>
  <c r="AO551" i="29"/>
  <c r="U551" i="29" s="1"/>
  <c r="AO66" i="29"/>
  <c r="U66" i="29" s="1"/>
  <c r="AO337" i="29"/>
  <c r="U337" i="29" s="1"/>
  <c r="AO606" i="29"/>
  <c r="V606" i="29" s="1"/>
  <c r="AO363" i="29"/>
  <c r="U363" i="29" s="1"/>
  <c r="AO483" i="29"/>
  <c r="V483" i="29" s="1"/>
  <c r="AO223" i="29"/>
  <c r="V223" i="29" s="1"/>
  <c r="AO137" i="29"/>
  <c r="V137" i="29" s="1"/>
  <c r="AO225" i="29"/>
  <c r="V225" i="29" s="1"/>
  <c r="AO602" i="29"/>
  <c r="U602" i="29" s="1"/>
  <c r="AO113" i="29"/>
  <c r="V113" i="29" s="1"/>
  <c r="AO371" i="29"/>
  <c r="U371" i="29" s="1"/>
  <c r="AO536" i="29"/>
  <c r="U536" i="29" s="1"/>
  <c r="AO248" i="29"/>
  <c r="V248" i="29" s="1"/>
  <c r="AO74" i="29"/>
  <c r="U74" i="29" s="1"/>
  <c r="AO46" i="29"/>
  <c r="U46" i="29" s="1"/>
  <c r="AO212" i="29"/>
  <c r="U212" i="29" s="1"/>
  <c r="AO148" i="29"/>
  <c r="V148" i="29" s="1"/>
  <c r="AO24" i="29"/>
  <c r="V24" i="29" s="1"/>
  <c r="AO206" i="29"/>
  <c r="U206" i="29" s="1"/>
  <c r="AO374" i="29"/>
  <c r="U374" i="29" s="1"/>
  <c r="AO85" i="29"/>
  <c r="V85" i="29" s="1"/>
  <c r="AO159" i="29"/>
  <c r="U159" i="29" s="1"/>
  <c r="BG283" i="24"/>
  <c r="BY283" i="24" s="1"/>
  <c r="CA283" i="24" s="1"/>
  <c r="CB283" i="24" s="1"/>
  <c r="CB292" i="24"/>
  <c r="CF292" i="24"/>
  <c r="BS12" i="24"/>
  <c r="BV12" i="24" s="1"/>
  <c r="BX12" i="24" s="1"/>
  <c r="BS219" i="24"/>
  <c r="BX219" i="24" s="1"/>
  <c r="AO106" i="29"/>
  <c r="U106" i="29" s="1"/>
  <c r="BS147" i="24"/>
  <c r="BX147" i="24" s="1"/>
  <c r="BS242" i="24"/>
  <c r="BX242" i="24" s="1"/>
  <c r="BX260" i="24"/>
  <c r="BG18" i="24"/>
  <c r="BM18" i="24" s="1"/>
  <c r="BY18" i="24" s="1"/>
  <c r="CA18" i="24" s="1"/>
  <c r="CB18" i="24" s="1"/>
  <c r="BS34" i="24"/>
  <c r="BV34" i="24" s="1"/>
  <c r="BX34" i="24" s="1"/>
  <c r="BA154" i="25"/>
  <c r="BE154" i="25" s="1"/>
  <c r="BC154" i="25"/>
  <c r="BT154" i="25" s="1"/>
  <c r="BS265" i="24"/>
  <c r="BX265" i="24" s="1"/>
  <c r="BX259" i="24"/>
  <c r="BX283" i="24"/>
  <c r="BG121" i="24"/>
  <c r="BM121" i="24" s="1"/>
  <c r="BN121" i="24" s="1"/>
  <c r="BX120" i="24"/>
  <c r="BV26" i="24"/>
  <c r="BX26" i="24" s="1"/>
  <c r="BX111" i="24"/>
  <c r="AO49" i="29"/>
  <c r="V49" i="29" s="1"/>
  <c r="AO397" i="29"/>
  <c r="U397" i="29" s="1"/>
  <c r="AO510" i="29"/>
  <c r="U510" i="29" s="1"/>
  <c r="AO194" i="29"/>
  <c r="V194" i="29" s="1"/>
  <c r="AO284" i="29"/>
  <c r="V284" i="29" s="1"/>
  <c r="AO454" i="29"/>
  <c r="U454" i="29" s="1"/>
  <c r="AO384" i="29"/>
  <c r="U384" i="29" s="1"/>
  <c r="AO340" i="29"/>
  <c r="U340" i="29" s="1"/>
  <c r="AO98" i="29"/>
  <c r="V98" i="29" s="1"/>
  <c r="AO107" i="29"/>
  <c r="V107" i="29" s="1"/>
  <c r="AO127" i="29"/>
  <c r="U127" i="29" s="1"/>
  <c r="AO289" i="29"/>
  <c r="V289" i="29" s="1"/>
  <c r="BX152" i="24"/>
  <c r="AO73" i="29"/>
  <c r="V73" i="29" s="1"/>
  <c r="AO22" i="29"/>
  <c r="U22" i="29" s="1"/>
  <c r="AO367" i="29"/>
  <c r="U367" i="29" s="1"/>
  <c r="AO123" i="29"/>
  <c r="V123" i="29" s="1"/>
  <c r="AO470" i="29"/>
  <c r="U470" i="29" s="1"/>
  <c r="AO161" i="29"/>
  <c r="U161" i="29" s="1"/>
  <c r="AO222" i="29"/>
  <c r="V222" i="29" s="1"/>
  <c r="AO379" i="29"/>
  <c r="V379" i="29" s="1"/>
  <c r="AO298" i="29"/>
  <c r="U298" i="29" s="1"/>
  <c r="AO257" i="29"/>
  <c r="U257" i="29" s="1"/>
  <c r="AO417" i="29"/>
  <c r="V417" i="29" s="1"/>
  <c r="AO603" i="29"/>
  <c r="V603" i="29" s="1"/>
  <c r="AO229" i="29"/>
  <c r="U229" i="29" s="1"/>
  <c r="AO471" i="29"/>
  <c r="U471" i="29" s="1"/>
  <c r="AO152" i="29"/>
  <c r="U152" i="29" s="1"/>
  <c r="AO590" i="29"/>
  <c r="U590" i="29" s="1"/>
  <c r="AO558" i="29"/>
  <c r="U558" i="29" s="1"/>
  <c r="AO111" i="29"/>
  <c r="V111" i="29" s="1"/>
  <c r="AO391" i="29"/>
  <c r="U391" i="29" s="1"/>
  <c r="AO557" i="29"/>
  <c r="V557" i="29" s="1"/>
  <c r="AO361" i="29"/>
  <c r="U361" i="29" s="1"/>
  <c r="AO515" i="29"/>
  <c r="V515" i="29" s="1"/>
  <c r="AO233" i="29"/>
  <c r="U233" i="29" s="1"/>
  <c r="AO327" i="29"/>
  <c r="U327" i="29" s="1"/>
  <c r="AO596" i="29"/>
  <c r="U596" i="29" s="1"/>
  <c r="AO373" i="29"/>
  <c r="V373" i="29" s="1"/>
  <c r="AO54" i="29"/>
  <c r="U54" i="29" s="1"/>
  <c r="AO613" i="29"/>
  <c r="U613" i="29" s="1"/>
  <c r="AO493" i="29"/>
  <c r="V493" i="29" s="1"/>
  <c r="AO475" i="29"/>
  <c r="V475" i="29" s="1"/>
  <c r="AO53" i="29"/>
  <c r="U53" i="29" s="1"/>
  <c r="AO322" i="29"/>
  <c r="V322" i="29" s="1"/>
  <c r="AO242" i="29"/>
  <c r="V242" i="29" s="1"/>
  <c r="AO205" i="29"/>
  <c r="U205" i="29" s="1"/>
  <c r="AO19" i="29"/>
  <c r="V19" i="29" s="1"/>
  <c r="AO466" i="29"/>
  <c r="U466" i="29" s="1"/>
  <c r="AO586" i="29"/>
  <c r="U586" i="29" s="1"/>
  <c r="AO144" i="29"/>
  <c r="V144" i="29" s="1"/>
  <c r="AO43" i="29"/>
  <c r="U43" i="29" s="1"/>
  <c r="BS130" i="24"/>
  <c r="BY130" i="24" s="1"/>
  <c r="CA130" i="24" s="1"/>
  <c r="CB130" i="24" s="1"/>
  <c r="BX135" i="24"/>
  <c r="AO168" i="29"/>
  <c r="U168" i="29" s="1"/>
  <c r="AO608" i="29"/>
  <c r="V608" i="29" s="1"/>
  <c r="AO563" i="29"/>
  <c r="U563" i="29" s="1"/>
  <c r="AO577" i="29"/>
  <c r="U577" i="29" s="1"/>
  <c r="AO598" i="29"/>
  <c r="V598" i="29" s="1"/>
  <c r="AO443" i="29"/>
  <c r="U443" i="29" s="1"/>
  <c r="AO293" i="29"/>
  <c r="U293" i="29" s="1"/>
  <c r="AO400" i="29"/>
  <c r="U400" i="29" s="1"/>
  <c r="AO578" i="29"/>
  <c r="U578" i="29" s="1"/>
  <c r="AO604" i="29"/>
  <c r="U604" i="29" s="1"/>
  <c r="AO203" i="29"/>
  <c r="U203" i="29" s="1"/>
  <c r="AO326" i="29"/>
  <c r="V326" i="29" s="1"/>
  <c r="BX121" i="24"/>
  <c r="BS232" i="24"/>
  <c r="BX232" i="24" s="1"/>
  <c r="BS295" i="24"/>
  <c r="BX295" i="24" s="1"/>
  <c r="BS253" i="24"/>
  <c r="BX253" i="24" s="1"/>
  <c r="BV6" i="24"/>
  <c r="BX6" i="24" s="1"/>
  <c r="BS238" i="24"/>
  <c r="BX238" i="24" s="1"/>
  <c r="BS298" i="24"/>
  <c r="BX298" i="24" s="1"/>
  <c r="BS296" i="24"/>
  <c r="BX296" i="24" s="1"/>
  <c r="BS305" i="24"/>
  <c r="BX305" i="24" s="1"/>
  <c r="BS280" i="24"/>
  <c r="BX280" i="24" s="1"/>
  <c r="BS112" i="24"/>
  <c r="BX112" i="24" s="1"/>
  <c r="BG28" i="24"/>
  <c r="BM28" i="24" s="1"/>
  <c r="BY28" i="24" s="1"/>
  <c r="CA28" i="24" s="1"/>
  <c r="CB28" i="24" s="1"/>
  <c r="AO105" i="29"/>
  <c r="V105" i="29" s="1"/>
  <c r="AO511" i="29"/>
  <c r="V511" i="29" s="1"/>
  <c r="AO412" i="29"/>
  <c r="V412" i="29" s="1"/>
  <c r="AO555" i="29"/>
  <c r="V555" i="29" s="1"/>
  <c r="AO499" i="29"/>
  <c r="U499" i="29" s="1"/>
  <c r="AO208" i="29"/>
  <c r="U208" i="29" s="1"/>
  <c r="AO71" i="29"/>
  <c r="U71" i="29" s="1"/>
  <c r="AO118" i="29"/>
  <c r="U118" i="29" s="1"/>
  <c r="AO186" i="29"/>
  <c r="V186" i="29" s="1"/>
  <c r="AO316" i="29"/>
  <c r="V316" i="29" s="1"/>
  <c r="AO104" i="29"/>
  <c r="V104" i="29" s="1"/>
  <c r="AO35" i="29"/>
  <c r="U35" i="29" s="1"/>
  <c r="AO571" i="29"/>
  <c r="V571" i="29" s="1"/>
  <c r="AO428" i="29"/>
  <c r="U428" i="29" s="1"/>
  <c r="AO309" i="29"/>
  <c r="U309" i="29" s="1"/>
  <c r="AO514" i="29"/>
  <c r="V514" i="29" s="1"/>
  <c r="AO362" i="29"/>
  <c r="V362" i="29" s="1"/>
  <c r="AO438" i="29"/>
  <c r="U438" i="29" s="1"/>
  <c r="AO32" i="29"/>
  <c r="V32" i="29" s="1"/>
  <c r="AO48" i="29"/>
  <c r="U48" i="29" s="1"/>
  <c r="AO319" i="29"/>
  <c r="V319" i="29" s="1"/>
  <c r="AO447" i="29"/>
  <c r="V447" i="29" s="1"/>
  <c r="AO507" i="29"/>
  <c r="V507" i="29" s="1"/>
  <c r="AO120" i="29"/>
  <c r="V120" i="29" s="1"/>
  <c r="AO553" i="29"/>
  <c r="U553" i="29" s="1"/>
  <c r="AO236" i="29"/>
  <c r="U236" i="29" s="1"/>
  <c r="AO505" i="29"/>
  <c r="U505" i="29" s="1"/>
  <c r="AO246" i="29"/>
  <c r="V246" i="29" s="1"/>
  <c r="AO529" i="29"/>
  <c r="V529" i="29" s="1"/>
  <c r="AO486" i="29"/>
  <c r="U486" i="29" s="1"/>
  <c r="AO338" i="29"/>
  <c r="V338" i="29" s="1"/>
  <c r="AO17" i="29"/>
  <c r="U17" i="29" s="1"/>
  <c r="AO207" i="29"/>
  <c r="V207" i="29" s="1"/>
  <c r="AO390" i="29"/>
  <c r="V390" i="29" s="1"/>
  <c r="AO151" i="29"/>
  <c r="U151" i="29" s="1"/>
  <c r="AO512" i="29"/>
  <c r="U512" i="29" s="1"/>
  <c r="AO494" i="29"/>
  <c r="U494" i="29" s="1"/>
  <c r="AO339" i="29"/>
  <c r="U339" i="29" s="1"/>
  <c r="AO556" i="29"/>
  <c r="V556" i="29" s="1"/>
  <c r="AO448" i="29"/>
  <c r="V448" i="29" s="1"/>
  <c r="AO349" i="29"/>
  <c r="V349" i="29" s="1"/>
  <c r="AO239" i="29"/>
  <c r="U239" i="29" s="1"/>
  <c r="AO370" i="29"/>
  <c r="U370" i="29" s="1"/>
  <c r="AO418" i="29"/>
  <c r="U418" i="29" s="1"/>
  <c r="AO609" i="29"/>
  <c r="V609" i="29" s="1"/>
  <c r="AO543" i="29"/>
  <c r="U543" i="29" s="1"/>
  <c r="AO540" i="29"/>
  <c r="V540" i="29" s="1"/>
  <c r="AO580" i="29"/>
  <c r="U580" i="29" s="1"/>
  <c r="AO368" i="29"/>
  <c r="U368" i="29" s="1"/>
  <c r="AO39" i="29"/>
  <c r="U39" i="29" s="1"/>
  <c r="AO587" i="29"/>
  <c r="V587" i="29" s="1"/>
  <c r="AO388" i="29"/>
  <c r="U388" i="29" s="1"/>
  <c r="AO413" i="29"/>
  <c r="U413" i="29" s="1"/>
  <c r="AO89" i="29"/>
  <c r="V89" i="29" s="1"/>
  <c r="AO250" i="29"/>
  <c r="U250" i="29" s="1"/>
  <c r="AO402" i="29"/>
  <c r="U402" i="29" s="1"/>
  <c r="AO136" i="29"/>
  <c r="U136" i="29" s="1"/>
  <c r="AO365" i="29"/>
  <c r="V365" i="29" s="1"/>
  <c r="AO516" i="29"/>
  <c r="U516" i="29" s="1"/>
  <c r="AO334" i="29"/>
  <c r="U334" i="29" s="1"/>
  <c r="AO488" i="29"/>
  <c r="V488" i="29" s="1"/>
  <c r="AO597" i="29"/>
  <c r="U597" i="29" s="1"/>
  <c r="AO330" i="29"/>
  <c r="V330" i="29" s="1"/>
  <c r="AO165" i="29"/>
  <c r="V165" i="29" s="1"/>
  <c r="AO461" i="29"/>
  <c r="U461" i="29" s="1"/>
  <c r="AO57" i="29"/>
  <c r="U57" i="29" s="1"/>
  <c r="AO359" i="29"/>
  <c r="U359" i="29" s="1"/>
  <c r="AO387" i="29"/>
  <c r="V387" i="29" s="1"/>
  <c r="AO40" i="29"/>
  <c r="U40" i="29" s="1"/>
  <c r="AO220" i="29"/>
  <c r="U220" i="29" s="1"/>
  <c r="AO612" i="29"/>
  <c r="U612" i="29" s="1"/>
  <c r="AO50" i="29"/>
  <c r="V50" i="29" s="1"/>
  <c r="BV19" i="24"/>
  <c r="BX19" i="24" s="1"/>
  <c r="BS279" i="24"/>
  <c r="BX279" i="24" s="1"/>
  <c r="BS299" i="24"/>
  <c r="BX299" i="24" s="1"/>
  <c r="AO354" i="29"/>
  <c r="U354" i="29" s="1"/>
  <c r="AO376" i="29"/>
  <c r="U376" i="29" s="1"/>
  <c r="AO216" i="29"/>
  <c r="V216" i="29" s="1"/>
  <c r="AO125" i="29"/>
  <c r="U125" i="29" s="1"/>
  <c r="AO244" i="29"/>
  <c r="V244" i="29" s="1"/>
  <c r="AO395" i="29"/>
  <c r="U395" i="29" s="1"/>
  <c r="AO550" i="29"/>
  <c r="U550" i="29" s="1"/>
  <c r="AO254" i="29"/>
  <c r="V254" i="29" s="1"/>
  <c r="AO266" i="29"/>
  <c r="V266" i="29" s="1"/>
  <c r="AO25" i="29"/>
  <c r="V25" i="29" s="1"/>
  <c r="AO404" i="29"/>
  <c r="U404" i="29" s="1"/>
  <c r="AO210" i="29"/>
  <c r="V210" i="29" s="1"/>
  <c r="AO275" i="29"/>
  <c r="U275" i="29" s="1"/>
  <c r="AO502" i="29"/>
  <c r="V502" i="29" s="1"/>
  <c r="AO154" i="29"/>
  <c r="V154" i="29" s="1"/>
  <c r="AO217" i="29"/>
  <c r="U217" i="29" s="1"/>
  <c r="AO503" i="29"/>
  <c r="U503" i="29" s="1"/>
  <c r="AO342" i="29"/>
  <c r="U342" i="29" s="1"/>
  <c r="AO347" i="29"/>
  <c r="V347" i="29" s="1"/>
  <c r="AO259" i="29"/>
  <c r="U259" i="29" s="1"/>
  <c r="AO103" i="29"/>
  <c r="V103" i="29" s="1"/>
  <c r="AO433" i="29"/>
  <c r="V433" i="29" s="1"/>
  <c r="AO117" i="29"/>
  <c r="V117" i="29" s="1"/>
  <c r="AO582" i="29"/>
  <c r="U582" i="29" s="1"/>
  <c r="AO308" i="29"/>
  <c r="U308" i="29" s="1"/>
  <c r="AO268" i="29"/>
  <c r="U268" i="29" s="1"/>
  <c r="AO480" i="29"/>
  <c r="V480" i="29" s="1"/>
  <c r="AO112" i="29"/>
  <c r="V112" i="29" s="1"/>
  <c r="AO272" i="29"/>
  <c r="U272" i="29" s="1"/>
  <c r="AO378" i="29"/>
  <c r="U378" i="29" s="1"/>
  <c r="AO358" i="29"/>
  <c r="U358" i="29" s="1"/>
  <c r="BG26" i="24"/>
  <c r="BM26" i="24" s="1"/>
  <c r="BN26" i="24" s="1"/>
  <c r="AO86" i="29"/>
  <c r="V86" i="29" s="1"/>
  <c r="AO190" i="29"/>
  <c r="U190" i="29" s="1"/>
  <c r="AO185" i="29"/>
  <c r="V185" i="29" s="1"/>
  <c r="AO219" i="29"/>
  <c r="V219" i="29" s="1"/>
  <c r="AO409" i="29"/>
  <c r="U409" i="29" s="1"/>
  <c r="AO593" i="29"/>
  <c r="U593" i="29" s="1"/>
  <c r="AO267" i="29"/>
  <c r="U267" i="29" s="1"/>
  <c r="AO79" i="29"/>
  <c r="U79" i="29" s="1"/>
  <c r="BS148" i="24"/>
  <c r="BX148" i="24" s="1"/>
  <c r="BS282" i="24"/>
  <c r="BX282" i="24" s="1"/>
  <c r="BS54" i="24"/>
  <c r="BV54" i="24" s="1"/>
  <c r="BX54" i="24" s="1"/>
  <c r="BS247" i="24"/>
  <c r="BX247" i="24" s="1"/>
  <c r="BG228" i="24"/>
  <c r="BM228" i="24" s="1"/>
  <c r="BN228" i="24" s="1"/>
  <c r="BS20" i="24"/>
  <c r="BV20" i="24" s="1"/>
  <c r="BX20" i="24" s="1"/>
  <c r="BX248" i="24"/>
  <c r="AO141" i="29"/>
  <c r="U141" i="29" s="1"/>
  <c r="AO230" i="29"/>
  <c r="V230" i="29" s="1"/>
  <c r="AO44" i="29"/>
  <c r="U44" i="29" s="1"/>
  <c r="AO332" i="29"/>
  <c r="V332" i="29" s="1"/>
  <c r="AO389" i="29"/>
  <c r="V389" i="29" s="1"/>
  <c r="AO320" i="29"/>
  <c r="U320" i="29" s="1"/>
  <c r="AO446" i="29"/>
  <c r="U446" i="29" s="1"/>
  <c r="AO100" i="29"/>
  <c r="V100" i="29" s="1"/>
  <c r="AO301" i="29"/>
  <c r="V301" i="29" s="1"/>
  <c r="AO214" i="29"/>
  <c r="U214" i="29" s="1"/>
  <c r="AO440" i="29"/>
  <c r="V440" i="29" s="1"/>
  <c r="AO345" i="29"/>
  <c r="U345" i="29" s="1"/>
  <c r="AO381" i="29"/>
  <c r="V381" i="29" s="1"/>
  <c r="AO243" i="29"/>
  <c r="U243" i="29" s="1"/>
  <c r="AO164" i="29"/>
  <c r="V164" i="29" s="1"/>
  <c r="AO547" i="29"/>
  <c r="V547" i="29" s="1"/>
  <c r="AO291" i="29"/>
  <c r="V291" i="29" s="1"/>
  <c r="AO114" i="29"/>
  <c r="U114" i="29" s="1"/>
  <c r="AO299" i="29"/>
  <c r="U299" i="29" s="1"/>
  <c r="AO237" i="29"/>
  <c r="U237" i="29" s="1"/>
  <c r="AO588" i="29"/>
  <c r="V588" i="29" s="1"/>
  <c r="AO407" i="29"/>
  <c r="U407" i="29" s="1"/>
  <c r="AO252" i="29"/>
  <c r="V252" i="29" s="1"/>
  <c r="AO600" i="29"/>
  <c r="U600" i="29" s="1"/>
  <c r="AO465" i="29"/>
  <c r="V465" i="29" s="1"/>
  <c r="AO274" i="29"/>
  <c r="U274" i="29" s="1"/>
  <c r="AO122" i="29"/>
  <c r="V122" i="29" s="1"/>
  <c r="AO306" i="29"/>
  <c r="U306" i="29" s="1"/>
  <c r="AO273" i="29"/>
  <c r="U273" i="29" s="1"/>
  <c r="AO83" i="29"/>
  <c r="U83" i="29" s="1"/>
  <c r="AO70" i="29"/>
  <c r="V70" i="29" s="1"/>
  <c r="AO410" i="29"/>
  <c r="V410" i="29" s="1"/>
  <c r="AO147" i="29"/>
  <c r="V147" i="29" s="1"/>
  <c r="AO183" i="29"/>
  <c r="V183" i="29" s="1"/>
  <c r="AO377" i="29"/>
  <c r="U377" i="29" s="1"/>
  <c r="AO146" i="29"/>
  <c r="V146" i="29" s="1"/>
  <c r="AO351" i="29"/>
  <c r="V351" i="29" s="1"/>
  <c r="AO132" i="29"/>
  <c r="V132" i="29" s="1"/>
  <c r="AO343" i="29"/>
  <c r="V343" i="29" s="1"/>
  <c r="AO52" i="29"/>
  <c r="V52" i="29" s="1"/>
  <c r="AO424" i="29"/>
  <c r="U424" i="29" s="1"/>
  <c r="AO84" i="29"/>
  <c r="V84" i="29" s="1"/>
  <c r="AO526" i="29"/>
  <c r="V526" i="29" s="1"/>
  <c r="AO504" i="29"/>
  <c r="V504" i="29" s="1"/>
  <c r="AO434" i="29"/>
  <c r="V434" i="29" s="1"/>
  <c r="AO195" i="29"/>
  <c r="V195" i="29" s="1"/>
  <c r="AO297" i="29"/>
  <c r="V297" i="29" s="1"/>
  <c r="AO501" i="29"/>
  <c r="U501" i="29" s="1"/>
  <c r="AO167" i="29"/>
  <c r="U167" i="29" s="1"/>
  <c r="AO559" i="29"/>
  <c r="V559" i="29" s="1"/>
  <c r="AO423" i="29"/>
  <c r="U423" i="29" s="1"/>
  <c r="AO116" i="29"/>
  <c r="V116" i="29" s="1"/>
  <c r="AO548" i="29"/>
  <c r="U548" i="29" s="1"/>
  <c r="AO108" i="29"/>
  <c r="V108" i="29" s="1"/>
  <c r="AO166" i="29"/>
  <c r="V166" i="29" s="1"/>
  <c r="AO270" i="29"/>
  <c r="V270" i="29" s="1"/>
  <c r="AO422" i="29"/>
  <c r="V422" i="29" s="1"/>
  <c r="AO325" i="29"/>
  <c r="V325" i="29" s="1"/>
  <c r="AO265" i="29"/>
  <c r="V265" i="29" s="1"/>
  <c r="AO569" i="29"/>
  <c r="V569" i="29" s="1"/>
  <c r="AO202" i="29"/>
  <c r="V202" i="29" s="1"/>
  <c r="AO562" i="29"/>
  <c r="V562" i="29" s="1"/>
  <c r="AO592" i="29"/>
  <c r="U592" i="29" s="1"/>
  <c r="AO140" i="29"/>
  <c r="V140" i="29" s="1"/>
  <c r="AO346" i="29"/>
  <c r="U346" i="29" s="1"/>
  <c r="AO468" i="29"/>
  <c r="U468" i="29" s="1"/>
  <c r="AO95" i="29"/>
  <c r="U95" i="29" s="1"/>
  <c r="AO283" i="29"/>
  <c r="U283" i="29" s="1"/>
  <c r="AO27" i="29"/>
  <c r="U27" i="29" s="1"/>
  <c r="AO198" i="29"/>
  <c r="V198" i="29" s="1"/>
  <c r="AO427" i="29"/>
  <c r="U427" i="29" s="1"/>
  <c r="AO350" i="29"/>
  <c r="V350" i="29" s="1"/>
  <c r="AO321" i="29"/>
  <c r="U321" i="29" s="1"/>
  <c r="AO331" i="29"/>
  <c r="U331" i="29" s="1"/>
  <c r="AO421" i="29"/>
  <c r="V421" i="29" s="1"/>
  <c r="AO92" i="29"/>
  <c r="V92" i="29" s="1"/>
  <c r="AO517" i="29"/>
  <c r="U517" i="29" s="1"/>
  <c r="AO130" i="29"/>
  <c r="V130" i="29" s="1"/>
  <c r="AO315" i="29"/>
  <c r="V315" i="29" s="1"/>
  <c r="AO221" i="29"/>
  <c r="V221" i="29" s="1"/>
  <c r="AO324" i="29"/>
  <c r="V324" i="29" s="1"/>
  <c r="AO256" i="29"/>
  <c r="U256" i="29" s="1"/>
  <c r="AO38" i="29"/>
  <c r="V38" i="29" s="1"/>
  <c r="AO91" i="29"/>
  <c r="V91" i="29" s="1"/>
  <c r="BV33" i="24"/>
  <c r="BX33" i="24" s="1"/>
  <c r="BS24" i="24"/>
  <c r="BV24" i="24" s="1"/>
  <c r="BX24" i="24" s="1"/>
  <c r="AO414" i="29"/>
  <c r="U414" i="29" s="1"/>
  <c r="AO235" i="29"/>
  <c r="U235" i="29" s="1"/>
  <c r="AO138" i="29"/>
  <c r="U138" i="29" s="1"/>
  <c r="AO102" i="29"/>
  <c r="U102" i="29" s="1"/>
  <c r="AO177" i="29"/>
  <c r="V177" i="29" s="1"/>
  <c r="AO492" i="29"/>
  <c r="V492" i="29" s="1"/>
  <c r="AO453" i="29"/>
  <c r="V453" i="29" s="1"/>
  <c r="AO506" i="29"/>
  <c r="U506" i="29" s="1"/>
  <c r="AO567" i="29"/>
  <c r="U567" i="29" s="1"/>
  <c r="AO314" i="29"/>
  <c r="V314" i="29" s="1"/>
  <c r="AO462" i="29"/>
  <c r="U462" i="29" s="1"/>
  <c r="AO303" i="29"/>
  <c r="U303" i="29" s="1"/>
  <c r="AO188" i="29"/>
  <c r="U188" i="29" s="1"/>
  <c r="AO94" i="29"/>
  <c r="U94" i="29" s="1"/>
  <c r="AO467" i="29"/>
  <c r="U467" i="29" s="1"/>
  <c r="AO156" i="29"/>
  <c r="V156" i="29" s="1"/>
  <c r="AO439" i="29"/>
  <c r="V439" i="29" s="1"/>
  <c r="AO312" i="29"/>
  <c r="V312" i="29" s="1"/>
  <c r="AO15" i="29"/>
  <c r="V15" i="29" s="1"/>
  <c r="AO451" i="29"/>
  <c r="U451" i="29" s="1"/>
  <c r="AO68" i="29"/>
  <c r="U68" i="29" s="1"/>
  <c r="AO23" i="29"/>
  <c r="V23" i="29" s="1"/>
  <c r="AO20" i="29"/>
  <c r="U20" i="29" s="1"/>
  <c r="AO21" i="29"/>
  <c r="U21" i="29" s="1"/>
  <c r="AO546" i="29"/>
  <c r="U546" i="29" s="1"/>
  <c r="AO121" i="29"/>
  <c r="V121" i="29" s="1"/>
  <c r="AO527" i="29"/>
  <c r="V527" i="29" s="1"/>
  <c r="AO449" i="29"/>
  <c r="V449" i="29" s="1"/>
  <c r="AO199" i="29"/>
  <c r="V199" i="29" s="1"/>
  <c r="AO200" i="29"/>
  <c r="V200" i="29" s="1"/>
  <c r="BV58" i="24"/>
  <c r="BX58" i="24" s="1"/>
  <c r="AO204" i="29"/>
  <c r="V204" i="29" s="1"/>
  <c r="AO415" i="29"/>
  <c r="U415" i="29" s="1"/>
  <c r="AO180" i="29"/>
  <c r="V180" i="29" s="1"/>
  <c r="AO482" i="29"/>
  <c r="U482" i="29" s="1"/>
  <c r="AO278" i="29"/>
  <c r="V278" i="29" s="1"/>
  <c r="AO240" i="29"/>
  <c r="V240" i="29" s="1"/>
  <c r="AO160" i="29"/>
  <c r="U160" i="29" s="1"/>
  <c r="AO457" i="29"/>
  <c r="U457" i="29" s="1"/>
  <c r="AO429" i="29"/>
  <c r="V429" i="29" s="1"/>
  <c r="AO90" i="29"/>
  <c r="V90" i="29" s="1"/>
  <c r="AO534" i="29"/>
  <c r="V534" i="29" s="1"/>
  <c r="AO360" i="29"/>
  <c r="V360" i="29" s="1"/>
  <c r="AO277" i="29"/>
  <c r="V277" i="29" s="1"/>
  <c r="AO583" i="29"/>
  <c r="V583" i="29" s="1"/>
  <c r="AO172" i="29"/>
  <c r="V172" i="29" s="1"/>
  <c r="AO535" i="29"/>
  <c r="U535" i="29" s="1"/>
  <c r="AO153" i="29"/>
  <c r="V153" i="29" s="1"/>
  <c r="AO552" i="29"/>
  <c r="U552" i="29" s="1"/>
  <c r="AO75" i="29"/>
  <c r="V75" i="29" s="1"/>
  <c r="AO524" i="29"/>
  <c r="V524" i="29" s="1"/>
  <c r="AO157" i="29"/>
  <c r="V157" i="29" s="1"/>
  <c r="AO135" i="29"/>
  <c r="U135" i="29" s="1"/>
  <c r="AO489" i="29"/>
  <c r="V489" i="29" s="1"/>
  <c r="AO490" i="29"/>
  <c r="V490" i="29" s="1"/>
  <c r="AO611" i="29"/>
  <c r="V611" i="29" s="1"/>
  <c r="AO479" i="29"/>
  <c r="U479" i="29" s="1"/>
  <c r="AO143" i="29"/>
  <c r="V143" i="29" s="1"/>
  <c r="AO335" i="29"/>
  <c r="V335" i="29" s="1"/>
  <c r="AO385" i="29"/>
  <c r="U385" i="29" s="1"/>
  <c r="AO430" i="29"/>
  <c r="V430" i="29" s="1"/>
  <c r="AO356" i="29"/>
  <c r="V356" i="29" s="1"/>
  <c r="AO317" i="29"/>
  <c r="U317" i="29" s="1"/>
  <c r="AO408" i="29"/>
  <c r="U408" i="29" s="1"/>
  <c r="AO96" i="29"/>
  <c r="U96" i="29" s="1"/>
  <c r="AO474" i="29"/>
  <c r="V474" i="29" s="1"/>
  <c r="AO62" i="29"/>
  <c r="U62" i="29" s="1"/>
  <c r="AO542" i="29"/>
  <c r="V542" i="29" s="1"/>
  <c r="AO455" i="29"/>
  <c r="V455" i="29" s="1"/>
  <c r="AO191" i="29"/>
  <c r="U191" i="29" s="1"/>
  <c r="AO476" i="29"/>
  <c r="U476" i="29" s="1"/>
  <c r="AO481" i="29"/>
  <c r="U481" i="29" s="1"/>
  <c r="AO530" i="29"/>
  <c r="V530" i="29" s="1"/>
  <c r="AO13" i="29"/>
  <c r="V13" i="29" s="1"/>
  <c r="AO99" i="29"/>
  <c r="V99" i="29" s="1"/>
  <c r="AO182" i="29"/>
  <c r="U182" i="29" s="1"/>
  <c r="AO375" i="29"/>
  <c r="V375" i="29" s="1"/>
  <c r="AO575" i="29"/>
  <c r="U575" i="29" s="1"/>
  <c r="AO333" i="29"/>
  <c r="U333" i="29" s="1"/>
  <c r="AO65" i="29"/>
  <c r="U65" i="29" s="1"/>
  <c r="AO69" i="29"/>
  <c r="U69" i="29" s="1"/>
  <c r="AO574" i="29"/>
  <c r="V574" i="29" s="1"/>
  <c r="AO209" i="29"/>
  <c r="V209" i="29" s="1"/>
  <c r="AO525" i="29"/>
  <c r="V525" i="29" s="1"/>
  <c r="AO416" i="29"/>
  <c r="U416" i="29" s="1"/>
  <c r="AO119" i="29"/>
  <c r="V119" i="29" s="1"/>
  <c r="AO336" i="29"/>
  <c r="V336" i="29" s="1"/>
  <c r="AO398" i="29"/>
  <c r="V398" i="29" s="1"/>
  <c r="AO341" i="29"/>
  <c r="V341" i="29" s="1"/>
  <c r="AO463" i="29"/>
  <c r="V463" i="29" s="1"/>
  <c r="AO131" i="29"/>
  <c r="U131" i="29" s="1"/>
  <c r="AO227" i="29"/>
  <c r="U227" i="29" s="1"/>
  <c r="AO76" i="29"/>
  <c r="U76" i="29" s="1"/>
  <c r="AO318" i="29"/>
  <c r="V318" i="29" s="1"/>
  <c r="AO344" i="29"/>
  <c r="U344" i="29" s="1"/>
  <c r="AO56" i="29"/>
  <c r="V56" i="29" s="1"/>
  <c r="AO45" i="29"/>
  <c r="V45" i="29" s="1"/>
  <c r="AO519" i="29"/>
  <c r="U519" i="29" s="1"/>
  <c r="AO372" i="29"/>
  <c r="U372" i="29" s="1"/>
  <c r="AO300" i="29"/>
  <c r="U300" i="29" s="1"/>
  <c r="AO364" i="29"/>
  <c r="U364" i="29" s="1"/>
  <c r="AO16" i="29"/>
  <c r="U16" i="29" s="1"/>
  <c r="AO178" i="29"/>
  <c r="U178" i="29" s="1"/>
  <c r="AO518" i="29"/>
  <c r="V518" i="29" s="1"/>
  <c r="AO218" i="29"/>
  <c r="V218" i="29" s="1"/>
  <c r="AO129" i="29"/>
  <c r="U129" i="29" s="1"/>
  <c r="AO459" i="29"/>
  <c r="V459" i="29" s="1"/>
  <c r="AO281" i="29"/>
  <c r="U281" i="29" s="1"/>
  <c r="AO232" i="29"/>
  <c r="V232" i="29" s="1"/>
  <c r="AO450" i="29"/>
  <c r="V450" i="29" s="1"/>
  <c r="AO472" i="29"/>
  <c r="U472" i="29" s="1"/>
  <c r="AO513" i="29"/>
  <c r="V513" i="29" s="1"/>
  <c r="AO139" i="29"/>
  <c r="V139" i="29" s="1"/>
  <c r="AO383" i="29"/>
  <c r="V383" i="29" s="1"/>
  <c r="AO564" i="29"/>
  <c r="V564" i="29" s="1"/>
  <c r="AO396" i="29"/>
  <c r="U396" i="29" s="1"/>
  <c r="AO533" i="29"/>
  <c r="V533" i="29" s="1"/>
  <c r="AO403" i="29"/>
  <c r="U403" i="29" s="1"/>
  <c r="AO357" i="29"/>
  <c r="V357" i="29" s="1"/>
  <c r="AO292" i="29"/>
  <c r="U292" i="29" s="1"/>
  <c r="AO594" i="29"/>
  <c r="V594" i="29" s="1"/>
  <c r="BB237" i="25"/>
  <c r="BS237" i="25" s="1"/>
  <c r="BA237" i="25"/>
  <c r="BC237" i="25"/>
  <c r="BT237" i="25" s="1"/>
  <c r="AO169" i="29"/>
  <c r="U169" i="29" s="1"/>
  <c r="AO67" i="29"/>
  <c r="U67" i="29" s="1"/>
  <c r="AO435" i="29"/>
  <c r="U435" i="29" s="1"/>
  <c r="AO34" i="29"/>
  <c r="U34" i="29" s="1"/>
  <c r="AO554" i="29"/>
  <c r="U554" i="29" s="1"/>
  <c r="AO81" i="29"/>
  <c r="U81" i="29" s="1"/>
  <c r="AO549" i="29"/>
  <c r="U549" i="29" s="1"/>
  <c r="AO37" i="29"/>
  <c r="V37" i="29" s="1"/>
  <c r="AO51" i="29"/>
  <c r="U51" i="29" s="1"/>
  <c r="AO313" i="29"/>
  <c r="U313" i="29" s="1"/>
  <c r="AO264" i="29"/>
  <c r="V264" i="29" s="1"/>
  <c r="AO353" i="29"/>
  <c r="V353" i="29" s="1"/>
  <c r="AO294" i="29"/>
  <c r="V294" i="29" s="1"/>
  <c r="BS117" i="24"/>
  <c r="BX117" i="24" s="1"/>
  <c r="AJ212" i="25"/>
  <c r="AM212" i="25"/>
  <c r="AX212" i="25"/>
  <c r="AW212" i="25"/>
  <c r="AO187" i="29"/>
  <c r="V187" i="29" s="1"/>
  <c r="AO520" i="29"/>
  <c r="V520" i="29" s="1"/>
  <c r="AO101" i="29"/>
  <c r="U101" i="29" s="1"/>
  <c r="AO311" i="29"/>
  <c r="U311" i="29" s="1"/>
  <c r="AO93" i="29"/>
  <c r="U93" i="29" s="1"/>
  <c r="AO366" i="29"/>
  <c r="V366" i="29" s="1"/>
  <c r="AO282" i="29"/>
  <c r="U282" i="29" s="1"/>
  <c r="AO179" i="29"/>
  <c r="V179" i="29" s="1"/>
  <c r="AO87" i="29"/>
  <c r="U87" i="29" s="1"/>
  <c r="AO456" i="29"/>
  <c r="U456" i="29" s="1"/>
  <c r="BG224" i="24"/>
  <c r="BY224" i="24" s="1"/>
  <c r="CA224" i="24" s="1"/>
  <c r="AO523" i="29"/>
  <c r="V523" i="29" s="1"/>
  <c r="AO296" i="29"/>
  <c r="V296" i="29" s="1"/>
  <c r="AO269" i="29"/>
  <c r="U269" i="29" s="1"/>
  <c r="AO498" i="29"/>
  <c r="V498" i="29" s="1"/>
  <c r="AO607" i="29"/>
  <c r="U607" i="29" s="1"/>
  <c r="AO109" i="29"/>
  <c r="V109" i="29" s="1"/>
  <c r="AO142" i="29"/>
  <c r="V142" i="29" s="1"/>
  <c r="AO605" i="29"/>
  <c r="U605" i="29" s="1"/>
  <c r="AO420" i="29"/>
  <c r="U420" i="29" s="1"/>
  <c r="AO173" i="29"/>
  <c r="V173" i="29" s="1"/>
  <c r="AO565" i="29"/>
  <c r="V565" i="29" s="1"/>
  <c r="AO260" i="29"/>
  <c r="V260" i="29" s="1"/>
  <c r="AO158" i="29"/>
  <c r="V158" i="29" s="1"/>
  <c r="AO560" i="29"/>
  <c r="V560" i="29" s="1"/>
  <c r="AO115" i="29"/>
  <c r="V115" i="29" s="1"/>
  <c r="AO286" i="29"/>
  <c r="V286" i="29" s="1"/>
  <c r="AO211" i="29"/>
  <c r="U211" i="29" s="1"/>
  <c r="AO532" i="29"/>
  <c r="V532" i="29" s="1"/>
  <c r="AO405" i="29"/>
  <c r="U405" i="29" s="1"/>
  <c r="AO355" i="29"/>
  <c r="U355" i="29" s="1"/>
  <c r="AO444" i="29"/>
  <c r="V444" i="29" s="1"/>
  <c r="AO258" i="29"/>
  <c r="U258" i="29" s="1"/>
  <c r="AO469" i="29"/>
  <c r="U469" i="29" s="1"/>
  <c r="AO88" i="29"/>
  <c r="V88" i="29" s="1"/>
  <c r="AO36" i="29"/>
  <c r="U36" i="29" s="1"/>
  <c r="AO394" i="29"/>
  <c r="U394" i="29" s="1"/>
  <c r="AO263" i="29"/>
  <c r="U263" i="29" s="1"/>
  <c r="AO228" i="29"/>
  <c r="U228" i="29" s="1"/>
  <c r="AO215" i="29"/>
  <c r="U215" i="29" s="1"/>
  <c r="AO460" i="29"/>
  <c r="V460" i="29" s="1"/>
  <c r="AO201" i="29"/>
  <c r="V201" i="29" s="1"/>
  <c r="AO30" i="29"/>
  <c r="U30" i="29" s="1"/>
  <c r="AO55" i="29"/>
  <c r="V55" i="29" s="1"/>
  <c r="AO31" i="29"/>
  <c r="V31" i="29" s="1"/>
  <c r="AO42" i="29"/>
  <c r="U42" i="29" s="1"/>
  <c r="AO573" i="29"/>
  <c r="V573" i="29" s="1"/>
  <c r="AO307" i="29"/>
  <c r="U307" i="29" s="1"/>
  <c r="AO348" i="29"/>
  <c r="V348" i="29" s="1"/>
  <c r="AO175" i="29"/>
  <c r="U175" i="29" s="1"/>
  <c r="AO522" i="29"/>
  <c r="V522" i="29" s="1"/>
  <c r="AO213" i="29"/>
  <c r="V213" i="29" s="1"/>
  <c r="AO386" i="29"/>
  <c r="U386" i="29" s="1"/>
  <c r="AO26" i="29"/>
  <c r="V26" i="29" s="1"/>
  <c r="AO262" i="29"/>
  <c r="U262" i="29" s="1"/>
  <c r="AO47" i="29"/>
  <c r="U47" i="29" s="1"/>
  <c r="AO192" i="29"/>
  <c r="V192" i="29" s="1"/>
  <c r="AO305" i="29"/>
  <c r="V305" i="29" s="1"/>
  <c r="AO610" i="29"/>
  <c r="V610" i="29" s="1"/>
  <c r="AO288" i="29"/>
  <c r="U288" i="29" s="1"/>
  <c r="AO82" i="29"/>
  <c r="V82" i="29" s="1"/>
  <c r="AO595" i="29"/>
  <c r="V595" i="29" s="1"/>
  <c r="AO134" i="29"/>
  <c r="U134" i="29" s="1"/>
  <c r="AO280" i="29"/>
  <c r="V280" i="29" s="1"/>
  <c r="AO473" i="29"/>
  <c r="U473" i="29" s="1"/>
  <c r="AO241" i="29"/>
  <c r="U241" i="29" s="1"/>
  <c r="AO401" i="29"/>
  <c r="V401" i="29" s="1"/>
  <c r="AO496" i="29"/>
  <c r="U496" i="29" s="1"/>
  <c r="AO28" i="29"/>
  <c r="U28" i="29" s="1"/>
  <c r="AO601" i="29"/>
  <c r="U601" i="29" s="1"/>
  <c r="AO500" i="29"/>
  <c r="V500" i="29" s="1"/>
  <c r="AO77" i="29"/>
  <c r="U77" i="29" s="1"/>
  <c r="AO276" i="29"/>
  <c r="U276" i="29" s="1"/>
  <c r="AO411" i="29"/>
  <c r="U411" i="29" s="1"/>
  <c r="AO29" i="29"/>
  <c r="U29" i="29" s="1"/>
  <c r="AO128" i="29"/>
  <c r="V128" i="29" s="1"/>
  <c r="AO570" i="29"/>
  <c r="U570" i="29" s="1"/>
  <c r="AO579" i="29"/>
  <c r="U579" i="29" s="1"/>
  <c r="AO538" i="29"/>
  <c r="U538" i="29" s="1"/>
  <c r="AO484" i="29"/>
  <c r="U484" i="29" s="1"/>
  <c r="AO197" i="29"/>
  <c r="U197" i="29" s="1"/>
  <c r="AO572" i="29"/>
  <c r="U572" i="29" s="1"/>
  <c r="AO234" i="29"/>
  <c r="V234" i="29" s="1"/>
  <c r="AO431" i="29"/>
  <c r="V431" i="29" s="1"/>
  <c r="AO441" i="29"/>
  <c r="V441" i="29" s="1"/>
  <c r="AO150" i="29"/>
  <c r="V150" i="29" s="1"/>
  <c r="AO369" i="29"/>
  <c r="V369" i="29" s="1"/>
  <c r="AO528" i="29"/>
  <c r="V528" i="29" s="1"/>
  <c r="AO302" i="29"/>
  <c r="U302" i="29" s="1"/>
  <c r="AO245" i="29"/>
  <c r="V245" i="29" s="1"/>
  <c r="AO497" i="29"/>
  <c r="U497" i="29" s="1"/>
  <c r="AO399" i="29"/>
  <c r="U399" i="29" s="1"/>
  <c r="AO162" i="29"/>
  <c r="U162" i="29" s="1"/>
  <c r="AO226" i="29"/>
  <c r="V226" i="29" s="1"/>
  <c r="AO247" i="29"/>
  <c r="U247" i="29" s="1"/>
  <c r="AO436" i="29"/>
  <c r="U436" i="29" s="1"/>
  <c r="AO33" i="29"/>
  <c r="V33" i="29" s="1"/>
  <c r="AO382" i="29"/>
  <c r="V382" i="29" s="1"/>
  <c r="AO170" i="29"/>
  <c r="V170" i="29" s="1"/>
  <c r="AO545" i="29"/>
  <c r="U545" i="29" s="1"/>
  <c r="AO561" i="29"/>
  <c r="V561" i="29" s="1"/>
  <c r="AO72" i="29"/>
  <c r="V72" i="29" s="1"/>
  <c r="AO249" i="29"/>
  <c r="U249" i="29" s="1"/>
  <c r="AO531" i="29"/>
  <c r="V531" i="29" s="1"/>
  <c r="AO581" i="29"/>
  <c r="U581" i="29" s="1"/>
  <c r="AO589" i="29"/>
  <c r="U589" i="29" s="1"/>
  <c r="AO184" i="29"/>
  <c r="U184" i="29" s="1"/>
  <c r="AO487" i="29"/>
  <c r="U487" i="29" s="1"/>
  <c r="AO196" i="29"/>
  <c r="U196" i="29" s="1"/>
  <c r="AO458" i="29"/>
  <c r="U458" i="29" s="1"/>
  <c r="AO432" i="29"/>
  <c r="V432" i="29" s="1"/>
  <c r="AO426" i="29"/>
  <c r="V426" i="29" s="1"/>
  <c r="AO406" i="29"/>
  <c r="V406" i="29" s="1"/>
  <c r="AO80" i="29"/>
  <c r="U80" i="29" s="1"/>
  <c r="AO224" i="29"/>
  <c r="U224" i="29" s="1"/>
  <c r="AO495" i="29"/>
  <c r="V495" i="29" s="1"/>
  <c r="AO126" i="29"/>
  <c r="U126" i="29" s="1"/>
  <c r="AO290" i="29"/>
  <c r="V290" i="29" s="1"/>
  <c r="AO41" i="29"/>
  <c r="V41" i="29" s="1"/>
  <c r="AO392" i="29"/>
  <c r="U392" i="29" s="1"/>
  <c r="AO329" i="29"/>
  <c r="U329" i="29" s="1"/>
  <c r="AO477" i="29"/>
  <c r="U477" i="29" s="1"/>
  <c r="AO133" i="29"/>
  <c r="V133" i="29" s="1"/>
  <c r="AO491" i="29"/>
  <c r="U491" i="29" s="1"/>
  <c r="AO568" i="29"/>
  <c r="V568" i="29" s="1"/>
  <c r="AO176" i="29"/>
  <c r="U176" i="29" s="1"/>
  <c r="AO310" i="29"/>
  <c r="V310" i="29" s="1"/>
  <c r="AO419" i="29"/>
  <c r="U419" i="29" s="1"/>
  <c r="AO539" i="29"/>
  <c r="U539" i="29" s="1"/>
  <c r="AO14" i="29"/>
  <c r="U14" i="29" s="1"/>
  <c r="AO171" i="29"/>
  <c r="U171" i="29" s="1"/>
  <c r="AO287" i="29"/>
  <c r="V287" i="29" s="1"/>
  <c r="AO425" i="29"/>
  <c r="U425" i="29" s="1"/>
  <c r="AO255" i="29"/>
  <c r="V255" i="29" s="1"/>
  <c r="AO251" i="29"/>
  <c r="V251" i="29" s="1"/>
  <c r="AO145" i="29"/>
  <c r="V145" i="29" s="1"/>
  <c r="AO149" i="29"/>
  <c r="V149" i="29" s="1"/>
  <c r="AO295" i="29"/>
  <c r="U295" i="29" s="1"/>
  <c r="BB77" i="25"/>
  <c r="BS77" i="25" s="1"/>
  <c r="BA77" i="25"/>
  <c r="BC77" i="25"/>
  <c r="BT77" i="25" s="1"/>
  <c r="BS25" i="24"/>
  <c r="BV25" i="24" s="1"/>
  <c r="BX25" i="24" s="1"/>
  <c r="BG25" i="24"/>
  <c r="BM25" i="24" s="1"/>
  <c r="BG133" i="24"/>
  <c r="BS133" i="24"/>
  <c r="BX133" i="24" s="1"/>
  <c r="BC175" i="25"/>
  <c r="BT175" i="25" s="1"/>
  <c r="BA175" i="25"/>
  <c r="BB175" i="25"/>
  <c r="BS175" i="25" s="1"/>
  <c r="BA64" i="25"/>
  <c r="BB64" i="25"/>
  <c r="BS64" i="25" s="1"/>
  <c r="BC64" i="25"/>
  <c r="BT64" i="25" s="1"/>
  <c r="BB171" i="25"/>
  <c r="BS171" i="25" s="1"/>
  <c r="BA171" i="25"/>
  <c r="BC171" i="25"/>
  <c r="BT171" i="25" s="1"/>
  <c r="BR240" i="25"/>
  <c r="BX240" i="25" s="1"/>
  <c r="BE240" i="25"/>
  <c r="BG189" i="24"/>
  <c r="BS189" i="24"/>
  <c r="BX189" i="24" s="1"/>
  <c r="BG93" i="24"/>
  <c r="BM93" i="24" s="1"/>
  <c r="BS93" i="24"/>
  <c r="BV93" i="24" s="1"/>
  <c r="BX93" i="24" s="1"/>
  <c r="BC73" i="25"/>
  <c r="BT73" i="25" s="1"/>
  <c r="BA73" i="25"/>
  <c r="BB73" i="25"/>
  <c r="BS73" i="25" s="1"/>
  <c r="BS268" i="24"/>
  <c r="BX268" i="24" s="1"/>
  <c r="BG268" i="24"/>
  <c r="BR21" i="25"/>
  <c r="BV21" i="25" s="1"/>
  <c r="BX21" i="25" s="1"/>
  <c r="BE21" i="25"/>
  <c r="BK21" i="25" s="1"/>
  <c r="BN44" i="24"/>
  <c r="BY44" i="24"/>
  <c r="CA44" i="24" s="1"/>
  <c r="CB44" i="24" s="1"/>
  <c r="BB8" i="25"/>
  <c r="BS8" i="25" s="1"/>
  <c r="BA8" i="25"/>
  <c r="BC8" i="25"/>
  <c r="BT8" i="25" s="1"/>
  <c r="BG42" i="24"/>
  <c r="BM42" i="24" s="1"/>
  <c r="BS42" i="24"/>
  <c r="BV42" i="24" s="1"/>
  <c r="BX42" i="24" s="1"/>
  <c r="BY191" i="24"/>
  <c r="CA191" i="24" s="1"/>
  <c r="BM191" i="24"/>
  <c r="BN191" i="24" s="1"/>
  <c r="BA234" i="25"/>
  <c r="BC234" i="25"/>
  <c r="BT234" i="25" s="1"/>
  <c r="BB234" i="25"/>
  <c r="BS234" i="25" s="1"/>
  <c r="BB84" i="25"/>
  <c r="BS84" i="25" s="1"/>
  <c r="BC84" i="25"/>
  <c r="BT84" i="25" s="1"/>
  <c r="BA84" i="25"/>
  <c r="BS43" i="24"/>
  <c r="BV43" i="24" s="1"/>
  <c r="BX43" i="24" s="1"/>
  <c r="BG43" i="24"/>
  <c r="BM43" i="24" s="1"/>
  <c r="BC116" i="25"/>
  <c r="BT116" i="25" s="1"/>
  <c r="BB116" i="25"/>
  <c r="BS116" i="25" s="1"/>
  <c r="BA116" i="25"/>
  <c r="BG116" i="24"/>
  <c r="BS116" i="24"/>
  <c r="BX116" i="24" s="1"/>
  <c r="BE34" i="25"/>
  <c r="BK34" i="25" s="1"/>
  <c r="BR34" i="25"/>
  <c r="BV34" i="25" s="1"/>
  <c r="BX34" i="25" s="1"/>
  <c r="BG196" i="24"/>
  <c r="BS196" i="24"/>
  <c r="BX196" i="24" s="1"/>
  <c r="BG173" i="24"/>
  <c r="BS173" i="24"/>
  <c r="BX173" i="24" s="1"/>
  <c r="BB146" i="25"/>
  <c r="BS146" i="25" s="1"/>
  <c r="BC146" i="25"/>
  <c r="BT146" i="25" s="1"/>
  <c r="BA146" i="25"/>
  <c r="BC63" i="25"/>
  <c r="BT63" i="25" s="1"/>
  <c r="BB63" i="25"/>
  <c r="BS63" i="25" s="1"/>
  <c r="BA63" i="25"/>
  <c r="BA52" i="25"/>
  <c r="BB52" i="25"/>
  <c r="BS52" i="25" s="1"/>
  <c r="BC52" i="25"/>
  <c r="BT52" i="25" s="1"/>
  <c r="BB290" i="25"/>
  <c r="BS290" i="25" s="1"/>
  <c r="BC290" i="25"/>
  <c r="BT290" i="25" s="1"/>
  <c r="BA290" i="25"/>
  <c r="BG125" i="24"/>
  <c r="BS125" i="24"/>
  <c r="BX125" i="24" s="1"/>
  <c r="BS221" i="24"/>
  <c r="BX221" i="24" s="1"/>
  <c r="BG221" i="24"/>
  <c r="BB249" i="25"/>
  <c r="BS249" i="25" s="1"/>
  <c r="BA249" i="25"/>
  <c r="BC249" i="25"/>
  <c r="BT249" i="25" s="1"/>
  <c r="BE114" i="25"/>
  <c r="BR114" i="25"/>
  <c r="BX114" i="25" s="1"/>
  <c r="BB300" i="25"/>
  <c r="BS300" i="25" s="1"/>
  <c r="BA300" i="25"/>
  <c r="BC300" i="25"/>
  <c r="BT300" i="25" s="1"/>
  <c r="BG186" i="24"/>
  <c r="BS186" i="24"/>
  <c r="BX186" i="24" s="1"/>
  <c r="BA153" i="25"/>
  <c r="BB153" i="25"/>
  <c r="BS153" i="25" s="1"/>
  <c r="BC153" i="25"/>
  <c r="BT153" i="25" s="1"/>
  <c r="BN21" i="24"/>
  <c r="BY21" i="24"/>
  <c r="CA21" i="24" s="1"/>
  <c r="BG267" i="24"/>
  <c r="BS267" i="24"/>
  <c r="BX267" i="24" s="1"/>
  <c r="BG281" i="24"/>
  <c r="BS281" i="24"/>
  <c r="BX281" i="24" s="1"/>
  <c r="BS94" i="24"/>
  <c r="BV94" i="24" s="1"/>
  <c r="BX94" i="24" s="1"/>
  <c r="BG94" i="24"/>
  <c r="BM94" i="24" s="1"/>
  <c r="BS13" i="24"/>
  <c r="BV13" i="24" s="1"/>
  <c r="BX13" i="24" s="1"/>
  <c r="BG13" i="24"/>
  <c r="BM13" i="24" s="1"/>
  <c r="BA281" i="25"/>
  <c r="BC281" i="25"/>
  <c r="BT281" i="25" s="1"/>
  <c r="BB281" i="25"/>
  <c r="BS281" i="25" s="1"/>
  <c r="BG220" i="24"/>
  <c r="BS220" i="24"/>
  <c r="BX220" i="24" s="1"/>
  <c r="BE275" i="25"/>
  <c r="BR275" i="25"/>
  <c r="BX275" i="25" s="1"/>
  <c r="BA160" i="25"/>
  <c r="BB160" i="25"/>
  <c r="BS160" i="25" s="1"/>
  <c r="BC160" i="25"/>
  <c r="BT160" i="25" s="1"/>
  <c r="U452" i="29"/>
  <c r="V452" i="29"/>
  <c r="U97" i="29"/>
  <c r="V97" i="29"/>
  <c r="V285" i="29"/>
  <c r="U285" i="29"/>
  <c r="V599" i="29"/>
  <c r="U599" i="29"/>
  <c r="V193" i="29"/>
  <c r="U193" i="29"/>
  <c r="U58" i="29"/>
  <c r="V58" i="29"/>
  <c r="AO585" i="29"/>
  <c r="BG222" i="24"/>
  <c r="BS222" i="24"/>
  <c r="BX222" i="24" s="1"/>
  <c r="BS70" i="24"/>
  <c r="BV70" i="24" s="1"/>
  <c r="BX70" i="24" s="1"/>
  <c r="BG70" i="24"/>
  <c r="BM70" i="24" s="1"/>
  <c r="BE282" i="25"/>
  <c r="BR282" i="25"/>
  <c r="BX282" i="25" s="1"/>
  <c r="BB302" i="25"/>
  <c r="BS302" i="25" s="1"/>
  <c r="BC302" i="25"/>
  <c r="BT302" i="25" s="1"/>
  <c r="BA302" i="25"/>
  <c r="BB176" i="25"/>
  <c r="BS176" i="25" s="1"/>
  <c r="BC176" i="25"/>
  <c r="BT176" i="25" s="1"/>
  <c r="BA176" i="25"/>
  <c r="BG158" i="24"/>
  <c r="BS158" i="24"/>
  <c r="BX158" i="24" s="1"/>
  <c r="BR201" i="25"/>
  <c r="BX201" i="25" s="1"/>
  <c r="BE201" i="25"/>
  <c r="BG90" i="24"/>
  <c r="BM90" i="24" s="1"/>
  <c r="BS90" i="24"/>
  <c r="BV90" i="24" s="1"/>
  <c r="BX90" i="24" s="1"/>
  <c r="BE95" i="25"/>
  <c r="BK95" i="25" s="1"/>
  <c r="BR95" i="25"/>
  <c r="BV95" i="25" s="1"/>
  <c r="BX95" i="25" s="1"/>
  <c r="BA41" i="25"/>
  <c r="BB41" i="25"/>
  <c r="BS41" i="25" s="1"/>
  <c r="BC41" i="25"/>
  <c r="BT41" i="25" s="1"/>
  <c r="BA17" i="25"/>
  <c r="BB17" i="25"/>
  <c r="BS17" i="25" s="1"/>
  <c r="BC17" i="25"/>
  <c r="BT17" i="25" s="1"/>
  <c r="BS56" i="24"/>
  <c r="BV56" i="24" s="1"/>
  <c r="BX56" i="24" s="1"/>
  <c r="BG56" i="24"/>
  <c r="BM56" i="24" s="1"/>
  <c r="BS91" i="24"/>
  <c r="BV91" i="24" s="1"/>
  <c r="BX91" i="24" s="1"/>
  <c r="BG91" i="24"/>
  <c r="BM91" i="24" s="1"/>
  <c r="BE92" i="25"/>
  <c r="BK92" i="25" s="1"/>
  <c r="BR92" i="25"/>
  <c r="BV92" i="25" s="1"/>
  <c r="BX92" i="25" s="1"/>
  <c r="BN24" i="24"/>
  <c r="BY190" i="24"/>
  <c r="CA190" i="24" s="1"/>
  <c r="CB190" i="24" s="1"/>
  <c r="BM190" i="24"/>
  <c r="BN190" i="24" s="1"/>
  <c r="BS40" i="24"/>
  <c r="BV40" i="24" s="1"/>
  <c r="BX40" i="24" s="1"/>
  <c r="BG40" i="24"/>
  <c r="BM40" i="24" s="1"/>
  <c r="BG140" i="24"/>
  <c r="BS140" i="24"/>
  <c r="BX140" i="24" s="1"/>
  <c r="BC286" i="25"/>
  <c r="BT286" i="25" s="1"/>
  <c r="BB286" i="25"/>
  <c r="BS286" i="25" s="1"/>
  <c r="BA286" i="25"/>
  <c r="BA60" i="25"/>
  <c r="BC60" i="25"/>
  <c r="BT60" i="25" s="1"/>
  <c r="BB60" i="25"/>
  <c r="BS60" i="25" s="1"/>
  <c r="BG310" i="24"/>
  <c r="BS310" i="24"/>
  <c r="BX310" i="24" s="1"/>
  <c r="BA101" i="25"/>
  <c r="BC101" i="25"/>
  <c r="BT101" i="25" s="1"/>
  <c r="BB101" i="25"/>
  <c r="BS101" i="25" s="1"/>
  <c r="BB26" i="25"/>
  <c r="BS26" i="25" s="1"/>
  <c r="BC26" i="25"/>
  <c r="BT26" i="25" s="1"/>
  <c r="BA26" i="25"/>
  <c r="BE296" i="25"/>
  <c r="BR296" i="25"/>
  <c r="BX296" i="25" s="1"/>
  <c r="BN34" i="24"/>
  <c r="BA51" i="25"/>
  <c r="BC51" i="25"/>
  <c r="BT51" i="25" s="1"/>
  <c r="BB51" i="25"/>
  <c r="BS51" i="25" s="1"/>
  <c r="BG113" i="24"/>
  <c r="BS113" i="24"/>
  <c r="BX113" i="24" s="1"/>
  <c r="BA150" i="25"/>
  <c r="BB150" i="25"/>
  <c r="BS150" i="25" s="1"/>
  <c r="BC150" i="25"/>
  <c r="BT150" i="25" s="1"/>
  <c r="BG181" i="24"/>
  <c r="BS181" i="24"/>
  <c r="BX181" i="24" s="1"/>
  <c r="BS87" i="24"/>
  <c r="BV87" i="24" s="1"/>
  <c r="BX87" i="24" s="1"/>
  <c r="BG87" i="24"/>
  <c r="BM87" i="24" s="1"/>
  <c r="BG118" i="24"/>
  <c r="BS118" i="24"/>
  <c r="BX118" i="24" s="1"/>
  <c r="BE247" i="25"/>
  <c r="BR247" i="25"/>
  <c r="BX247" i="25" s="1"/>
  <c r="BG168" i="24"/>
  <c r="BS168" i="24"/>
  <c r="BX168" i="24" s="1"/>
  <c r="BB12" i="25"/>
  <c r="BS12" i="25" s="1"/>
  <c r="BC12" i="25"/>
  <c r="BT12" i="25" s="1"/>
  <c r="BA12" i="25"/>
  <c r="BG47" i="24"/>
  <c r="BM47" i="24" s="1"/>
  <c r="BS47" i="24"/>
  <c r="BV47" i="24" s="1"/>
  <c r="BX47" i="24" s="1"/>
  <c r="BA46" i="25"/>
  <c r="BB46" i="25"/>
  <c r="BS46" i="25" s="1"/>
  <c r="BC46" i="25"/>
  <c r="BT46" i="25" s="1"/>
  <c r="BB75" i="25"/>
  <c r="BS75" i="25" s="1"/>
  <c r="BC75" i="25"/>
  <c r="BT75" i="25" s="1"/>
  <c r="BA75" i="25"/>
  <c r="BG243" i="24"/>
  <c r="BS243" i="24"/>
  <c r="BX243" i="24" s="1"/>
  <c r="BG249" i="24"/>
  <c r="BS249" i="24"/>
  <c r="BX249" i="24" s="1"/>
  <c r="BA7" i="25"/>
  <c r="BB7" i="25"/>
  <c r="BS7" i="25" s="1"/>
  <c r="BC7" i="25"/>
  <c r="BT7" i="25" s="1"/>
  <c r="BC112" i="25"/>
  <c r="BT112" i="25" s="1"/>
  <c r="BB112" i="25"/>
  <c r="BS112" i="25" s="1"/>
  <c r="BA112" i="25"/>
  <c r="BC250" i="25"/>
  <c r="BT250" i="25" s="1"/>
  <c r="BA250" i="25"/>
  <c r="BB250" i="25"/>
  <c r="BS250" i="25" s="1"/>
  <c r="BG126" i="24"/>
  <c r="BS126" i="24"/>
  <c r="BX126" i="24" s="1"/>
  <c r="BG275" i="24"/>
  <c r="BS275" i="24"/>
  <c r="BX275" i="24" s="1"/>
  <c r="BG81" i="24"/>
  <c r="BM81" i="24" s="1"/>
  <c r="BS81" i="24"/>
  <c r="BV81" i="24" s="1"/>
  <c r="BX81" i="24" s="1"/>
  <c r="BG200" i="24"/>
  <c r="BS200" i="24"/>
  <c r="BX200" i="24" s="1"/>
  <c r="BS180" i="24"/>
  <c r="BX180" i="24" s="1"/>
  <c r="BG180" i="24"/>
  <c r="BC294" i="25"/>
  <c r="BT294" i="25" s="1"/>
  <c r="BB294" i="25"/>
  <c r="BS294" i="25" s="1"/>
  <c r="BA294" i="25"/>
  <c r="BE186" i="25"/>
  <c r="BR186" i="25"/>
  <c r="BX186" i="25" s="1"/>
  <c r="BE131" i="25"/>
  <c r="BR131" i="25"/>
  <c r="BX131" i="25" s="1"/>
  <c r="BG246" i="24"/>
  <c r="BS246" i="24"/>
  <c r="BX246" i="24" s="1"/>
  <c r="BS66" i="24"/>
  <c r="BV66" i="24" s="1"/>
  <c r="BX66" i="24" s="1"/>
  <c r="BG66" i="24"/>
  <c r="BM66" i="24" s="1"/>
  <c r="BG293" i="24"/>
  <c r="BS293" i="24"/>
  <c r="BX293" i="24" s="1"/>
  <c r="BG15" i="24"/>
  <c r="BM15" i="24" s="1"/>
  <c r="BS15" i="24"/>
  <c r="BV15" i="24" s="1"/>
  <c r="BX15" i="24" s="1"/>
  <c r="BG230" i="24"/>
  <c r="BS230" i="24"/>
  <c r="BX230" i="24" s="1"/>
  <c r="BB168" i="25"/>
  <c r="BS168" i="25" s="1"/>
  <c r="BC168" i="25"/>
  <c r="BT168" i="25" s="1"/>
  <c r="BA168" i="25"/>
  <c r="BE174" i="25"/>
  <c r="BR174" i="25"/>
  <c r="BX174" i="25" s="1"/>
  <c r="BE314" i="25"/>
  <c r="BR314" i="25"/>
  <c r="BX314" i="25" s="1"/>
  <c r="BB184" i="25"/>
  <c r="BS184" i="25" s="1"/>
  <c r="BC184" i="25"/>
  <c r="BT184" i="25" s="1"/>
  <c r="BA184" i="25"/>
  <c r="BY294" i="24"/>
  <c r="CA294" i="24" s="1"/>
  <c r="CB294" i="24" s="1"/>
  <c r="BM294" i="24"/>
  <c r="BN294" i="24" s="1"/>
  <c r="BR82" i="25"/>
  <c r="BV82" i="25" s="1"/>
  <c r="BX82" i="25" s="1"/>
  <c r="BE82" i="25"/>
  <c r="BK82" i="25" s="1"/>
  <c r="BG309" i="24"/>
  <c r="BS309" i="24"/>
  <c r="BX309" i="24" s="1"/>
  <c r="BG35" i="24"/>
  <c r="BM35" i="24" s="1"/>
  <c r="BS35" i="24"/>
  <c r="BV35" i="24" s="1"/>
  <c r="BX35" i="24" s="1"/>
  <c r="BC202" i="25"/>
  <c r="BT202" i="25" s="1"/>
  <c r="BB202" i="25"/>
  <c r="BS202" i="25" s="1"/>
  <c r="BA202" i="25"/>
  <c r="BG174" i="24"/>
  <c r="BS174" i="24"/>
  <c r="BX174" i="24" s="1"/>
  <c r="BC142" i="25"/>
  <c r="BT142" i="25" s="1"/>
  <c r="BB142" i="25"/>
  <c r="BS142" i="25" s="1"/>
  <c r="BA142" i="25"/>
  <c r="BC298" i="25"/>
  <c r="BT298" i="25" s="1"/>
  <c r="BB298" i="25"/>
  <c r="BS298" i="25" s="1"/>
  <c r="BA298" i="25"/>
  <c r="BS23" i="24"/>
  <c r="BV23" i="24" s="1"/>
  <c r="BX23" i="24" s="1"/>
  <c r="BG23" i="24"/>
  <c r="BM23" i="24" s="1"/>
  <c r="BA22" i="25"/>
  <c r="BC22" i="25"/>
  <c r="BT22" i="25" s="1"/>
  <c r="BB22" i="25"/>
  <c r="BS22" i="25" s="1"/>
  <c r="BG74" i="24"/>
  <c r="BM74" i="24" s="1"/>
  <c r="BS74" i="24"/>
  <c r="BV74" i="24" s="1"/>
  <c r="BX74" i="24" s="1"/>
  <c r="BB253" i="25"/>
  <c r="BS253" i="25" s="1"/>
  <c r="BC253" i="25"/>
  <c r="BT253" i="25" s="1"/>
  <c r="BA253" i="25"/>
  <c r="BA141" i="25"/>
  <c r="BC141" i="25"/>
  <c r="BT141" i="25" s="1"/>
  <c r="BB141" i="25"/>
  <c r="BS141" i="25" s="1"/>
  <c r="BG127" i="24"/>
  <c r="BS127" i="24"/>
  <c r="BX127" i="24" s="1"/>
  <c r="BB162" i="25"/>
  <c r="BS162" i="25" s="1"/>
  <c r="BC162" i="25"/>
  <c r="BT162" i="25" s="1"/>
  <c r="BA162" i="25"/>
  <c r="BE229" i="25"/>
  <c r="BR229" i="25"/>
  <c r="BX229" i="25" s="1"/>
  <c r="BG312" i="24"/>
  <c r="BS312" i="24"/>
  <c r="BX312" i="24" s="1"/>
  <c r="BS68" i="24"/>
  <c r="BV68" i="24" s="1"/>
  <c r="BX68" i="24" s="1"/>
  <c r="BG68" i="24"/>
  <c r="BM68" i="24" s="1"/>
  <c r="BM282" i="24"/>
  <c r="BN282" i="24" s="1"/>
  <c r="BS36" i="24"/>
  <c r="BV36" i="24" s="1"/>
  <c r="BX36" i="24" s="1"/>
  <c r="BG36" i="24"/>
  <c r="BM36" i="24" s="1"/>
  <c r="BA285" i="25"/>
  <c r="BB285" i="25"/>
  <c r="BS285" i="25" s="1"/>
  <c r="BC285" i="25"/>
  <c r="BT285" i="25" s="1"/>
  <c r="BG262" i="24"/>
  <c r="BS262" i="24"/>
  <c r="BX262" i="24" s="1"/>
  <c r="BA103" i="25"/>
  <c r="BC103" i="25"/>
  <c r="BT103" i="25" s="1"/>
  <c r="BB103" i="25"/>
  <c r="BS103" i="25" s="1"/>
  <c r="BA164" i="25"/>
  <c r="BC164" i="25"/>
  <c r="BT164" i="25" s="1"/>
  <c r="BB164" i="25"/>
  <c r="BS164" i="25" s="1"/>
  <c r="BG297" i="24"/>
  <c r="BS297" i="24"/>
  <c r="BX297" i="24" s="1"/>
  <c r="BS96" i="24"/>
  <c r="BV96" i="24" s="1"/>
  <c r="BX96" i="24" s="1"/>
  <c r="BG96" i="24"/>
  <c r="BM96" i="24" s="1"/>
  <c r="BS60" i="24"/>
  <c r="BV60" i="24" s="1"/>
  <c r="BX60" i="24" s="1"/>
  <c r="BG60" i="24"/>
  <c r="BM60" i="24" s="1"/>
  <c r="U110" i="29"/>
  <c r="V110" i="29"/>
  <c r="V231" i="29"/>
  <c r="V464" i="29"/>
  <c r="U464" i="29"/>
  <c r="U155" i="29"/>
  <c r="V155" i="29"/>
  <c r="BE258" i="25"/>
  <c r="BR258" i="25"/>
  <c r="BX258" i="25" s="1"/>
  <c r="BA50" i="25"/>
  <c r="BB50" i="25"/>
  <c r="BS50" i="25" s="1"/>
  <c r="BC50" i="25"/>
  <c r="BT50" i="25" s="1"/>
  <c r="BR28" i="25"/>
  <c r="BV28" i="25" s="1"/>
  <c r="BX28" i="25" s="1"/>
  <c r="BE28" i="25"/>
  <c r="BK28" i="25" s="1"/>
  <c r="BA216" i="25"/>
  <c r="BB216" i="25"/>
  <c r="BS216" i="25" s="1"/>
  <c r="BC216" i="25"/>
  <c r="BT216" i="25" s="1"/>
  <c r="BG192" i="24"/>
  <c r="BS192" i="24"/>
  <c r="BX192" i="24" s="1"/>
  <c r="BE32" i="25"/>
  <c r="BK32" i="25" s="1"/>
  <c r="BR32" i="25"/>
  <c r="BV32" i="25" s="1"/>
  <c r="BX32" i="25" s="1"/>
  <c r="BA193" i="25"/>
  <c r="BB193" i="25"/>
  <c r="BS193" i="25" s="1"/>
  <c r="BC193" i="25"/>
  <c r="BT193" i="25" s="1"/>
  <c r="BG218" i="24"/>
  <c r="BS218" i="24"/>
  <c r="BX218" i="24" s="1"/>
  <c r="BM117" i="24"/>
  <c r="BN117" i="24" s="1"/>
  <c r="BA152" i="25"/>
  <c r="BB152" i="25"/>
  <c r="BS152" i="25" s="1"/>
  <c r="BC152" i="25"/>
  <c r="BT152" i="25" s="1"/>
  <c r="BS32" i="24"/>
  <c r="BV32" i="24" s="1"/>
  <c r="BX32" i="24" s="1"/>
  <c r="BG32" i="24"/>
  <c r="BM32" i="24" s="1"/>
  <c r="BB197" i="25"/>
  <c r="BS197" i="25" s="1"/>
  <c r="BC197" i="25"/>
  <c r="BT197" i="25" s="1"/>
  <c r="BA197" i="25"/>
  <c r="BG271" i="24"/>
  <c r="BS271" i="24"/>
  <c r="BX271" i="24" s="1"/>
  <c r="BC288" i="25"/>
  <c r="BT288" i="25" s="1"/>
  <c r="BB288" i="25"/>
  <c r="BS288" i="25" s="1"/>
  <c r="BA288" i="25"/>
  <c r="BS62" i="24"/>
  <c r="BV62" i="24" s="1"/>
  <c r="BX62" i="24" s="1"/>
  <c r="BG62" i="24"/>
  <c r="BM62" i="24" s="1"/>
  <c r="BC308" i="25"/>
  <c r="BT308" i="25" s="1"/>
  <c r="BB308" i="25"/>
  <c r="BS308" i="25" s="1"/>
  <c r="BA308" i="25"/>
  <c r="BS103" i="24"/>
  <c r="BV103" i="24" s="1"/>
  <c r="BX103" i="24" s="1"/>
  <c r="BG103" i="24"/>
  <c r="BM103" i="24" s="1"/>
  <c r="BS73" i="24"/>
  <c r="BV73" i="24" s="1"/>
  <c r="BX73" i="24" s="1"/>
  <c r="BG73" i="24"/>
  <c r="BM73" i="24" s="1"/>
  <c r="BY143" i="25"/>
  <c r="CA143" i="25" s="1"/>
  <c r="CB143" i="25" s="1"/>
  <c r="BL143" i="25"/>
  <c r="BK143" i="25"/>
  <c r="BG285" i="24"/>
  <c r="BS285" i="24"/>
  <c r="BX285" i="24" s="1"/>
  <c r="BE177" i="25"/>
  <c r="BR177" i="25"/>
  <c r="BX177" i="25" s="1"/>
  <c r="BG171" i="24"/>
  <c r="BS171" i="24"/>
  <c r="BX171" i="24" s="1"/>
  <c r="BB220" i="25"/>
  <c r="BS220" i="25" s="1"/>
  <c r="BC220" i="25"/>
  <c r="BT220" i="25" s="1"/>
  <c r="BA220" i="25"/>
  <c r="BA163" i="25"/>
  <c r="BC163" i="25"/>
  <c r="BT163" i="25" s="1"/>
  <c r="BB163" i="25"/>
  <c r="BS163" i="25" s="1"/>
  <c r="B138" i="2"/>
  <c r="B141" i="2"/>
  <c r="L36" i="1" s="1"/>
  <c r="BG176" i="24"/>
  <c r="BS176" i="24"/>
  <c r="BX176" i="24" s="1"/>
  <c r="BA27" i="25"/>
  <c r="BB27" i="25"/>
  <c r="BS27" i="25" s="1"/>
  <c r="BC27" i="25"/>
  <c r="BT27" i="25" s="1"/>
  <c r="BG153" i="24"/>
  <c r="BS153" i="24"/>
  <c r="BX153" i="24" s="1"/>
  <c r="BA208" i="25"/>
  <c r="BC208" i="25"/>
  <c r="BT208" i="25" s="1"/>
  <c r="BB208" i="25"/>
  <c r="BS208" i="25" s="1"/>
  <c r="BY240" i="24"/>
  <c r="CA240" i="24" s="1"/>
  <c r="CB240" i="24" s="1"/>
  <c r="BM240" i="24"/>
  <c r="BN240" i="24" s="1"/>
  <c r="BG175" i="24"/>
  <c r="BS175" i="24"/>
  <c r="BX175" i="24" s="1"/>
  <c r="BE267" i="25"/>
  <c r="BR267" i="25"/>
  <c r="BX267" i="25" s="1"/>
  <c r="BA228" i="25"/>
  <c r="BB228" i="25"/>
  <c r="BS228" i="25" s="1"/>
  <c r="BC228" i="25"/>
  <c r="BT228" i="25" s="1"/>
  <c r="BA126" i="25"/>
  <c r="BB126" i="25"/>
  <c r="BS126" i="25" s="1"/>
  <c r="BC126" i="25"/>
  <c r="BT126" i="25" s="1"/>
  <c r="BG86" i="24"/>
  <c r="BM86" i="24" s="1"/>
  <c r="BS86" i="24"/>
  <c r="BV86" i="24" s="1"/>
  <c r="BX86" i="24" s="1"/>
  <c r="BN101" i="24"/>
  <c r="BY101" i="24"/>
  <c r="CA101" i="24" s="1"/>
  <c r="BA19" i="25"/>
  <c r="BC19" i="25"/>
  <c r="BT19" i="25" s="1"/>
  <c r="BB19" i="25"/>
  <c r="BS19" i="25" s="1"/>
  <c r="BS52" i="24"/>
  <c r="BV52" i="24" s="1"/>
  <c r="BX52" i="24" s="1"/>
  <c r="BG52" i="24"/>
  <c r="BM52" i="24" s="1"/>
  <c r="BS79" i="24"/>
  <c r="BV79" i="24" s="1"/>
  <c r="BX79" i="24" s="1"/>
  <c r="BG79" i="24"/>
  <c r="BM79" i="24" s="1"/>
  <c r="BG197" i="24"/>
  <c r="BS197" i="24"/>
  <c r="BX197" i="24" s="1"/>
  <c r="BA268" i="25"/>
  <c r="BC268" i="25"/>
  <c r="BT268" i="25" s="1"/>
  <c r="BB268" i="25"/>
  <c r="BS268" i="25" s="1"/>
  <c r="BS65" i="24"/>
  <c r="BV65" i="24" s="1"/>
  <c r="BX65" i="24" s="1"/>
  <c r="BG65" i="24"/>
  <c r="BM65" i="24" s="1"/>
  <c r="BE190" i="25"/>
  <c r="BR190" i="25"/>
  <c r="BX190" i="25" s="1"/>
  <c r="BG17" i="24"/>
  <c r="BM17" i="24" s="1"/>
  <c r="BS17" i="24"/>
  <c r="BV17" i="24" s="1"/>
  <c r="BX17" i="24" s="1"/>
  <c r="BG114" i="24"/>
  <c r="BS114" i="24"/>
  <c r="BX114" i="24" s="1"/>
  <c r="BG30" i="24"/>
  <c r="BM30" i="24" s="1"/>
  <c r="BS30" i="24"/>
  <c r="BV30" i="24" s="1"/>
  <c r="BX30" i="24" s="1"/>
  <c r="BA35" i="25"/>
  <c r="BB35" i="25"/>
  <c r="BS35" i="25" s="1"/>
  <c r="BC35" i="25"/>
  <c r="BT35" i="25" s="1"/>
  <c r="BG201" i="24"/>
  <c r="BS201" i="24"/>
  <c r="BX201" i="24" s="1"/>
  <c r="BS9" i="24"/>
  <c r="BV9" i="24" s="1"/>
  <c r="BX9" i="24" s="1"/>
  <c r="BG9" i="24"/>
  <c r="BM9" i="24" s="1"/>
  <c r="BR192" i="25"/>
  <c r="BX192" i="25" s="1"/>
  <c r="BE192" i="25"/>
  <c r="BE238" i="25"/>
  <c r="BR238" i="25"/>
  <c r="BX238" i="25" s="1"/>
  <c r="BA24" i="25"/>
  <c r="BB24" i="25"/>
  <c r="BS24" i="25" s="1"/>
  <c r="BC24" i="25"/>
  <c r="BT24" i="25" s="1"/>
  <c r="BE291" i="25"/>
  <c r="BR291" i="25"/>
  <c r="BX291" i="25" s="1"/>
  <c r="BN6" i="24"/>
  <c r="BS49" i="24"/>
  <c r="BV49" i="24" s="1"/>
  <c r="BX49" i="24" s="1"/>
  <c r="BG49" i="24"/>
  <c r="BM49" i="24" s="1"/>
  <c r="BC79" i="25"/>
  <c r="BT79" i="25" s="1"/>
  <c r="BB79" i="25"/>
  <c r="BS79" i="25" s="1"/>
  <c r="BA79" i="25"/>
  <c r="BG223" i="24"/>
  <c r="BS223" i="24"/>
  <c r="BX223" i="24" s="1"/>
  <c r="BM279" i="24"/>
  <c r="BN279" i="24" s="1"/>
  <c r="BB169" i="25"/>
  <c r="BS169" i="25" s="1"/>
  <c r="BC169" i="25"/>
  <c r="BT169" i="25" s="1"/>
  <c r="BA169" i="25"/>
  <c r="BC310" i="25"/>
  <c r="BT310" i="25" s="1"/>
  <c r="BA310" i="25"/>
  <c r="BB310" i="25"/>
  <c r="BS310" i="25" s="1"/>
  <c r="BS39" i="24"/>
  <c r="BV39" i="24" s="1"/>
  <c r="BX39" i="24" s="1"/>
  <c r="BG39" i="24"/>
  <c r="BM39" i="24" s="1"/>
  <c r="BG314" i="24"/>
  <c r="BS314" i="24"/>
  <c r="BX314" i="24" s="1"/>
  <c r="BA135" i="25"/>
  <c r="BB135" i="25"/>
  <c r="BS135" i="25" s="1"/>
  <c r="BC135" i="25"/>
  <c r="BT135" i="25" s="1"/>
  <c r="BG307" i="24"/>
  <c r="BS307" i="24"/>
  <c r="BX307" i="24" s="1"/>
  <c r="BA301" i="25"/>
  <c r="BB301" i="25"/>
  <c r="BS301" i="25" s="1"/>
  <c r="BC301" i="25"/>
  <c r="BT301" i="25" s="1"/>
  <c r="BY152" i="24"/>
  <c r="CA152" i="24" s="1"/>
  <c r="CB152" i="24" s="1"/>
  <c r="BM152" i="24"/>
  <c r="BN152" i="24" s="1"/>
  <c r="BG124" i="24"/>
  <c r="BS124" i="24"/>
  <c r="BX124" i="24" s="1"/>
  <c r="BG163" i="24"/>
  <c r="BS163" i="24"/>
  <c r="BX163" i="24" s="1"/>
  <c r="BR261" i="25"/>
  <c r="BX261" i="25" s="1"/>
  <c r="BE261" i="25"/>
  <c r="BA304" i="25"/>
  <c r="BC304" i="25"/>
  <c r="BT304" i="25" s="1"/>
  <c r="BB304" i="25"/>
  <c r="BS304" i="25" s="1"/>
  <c r="BB195" i="25"/>
  <c r="BS195" i="25" s="1"/>
  <c r="BC195" i="25"/>
  <c r="BT195" i="25" s="1"/>
  <c r="BA195" i="25"/>
  <c r="U328" i="29"/>
  <c r="V328" i="29"/>
  <c r="V78" i="29"/>
  <c r="U78" i="29"/>
  <c r="V174" i="29"/>
  <c r="U174" i="29"/>
  <c r="BG184" i="24"/>
  <c r="BS184" i="24"/>
  <c r="BX184" i="24" s="1"/>
  <c r="BG157" i="24"/>
  <c r="BS157" i="24"/>
  <c r="BX157" i="24" s="1"/>
  <c r="BY260" i="24"/>
  <c r="CA260" i="24" s="1"/>
  <c r="CB260" i="24" s="1"/>
  <c r="BM260" i="24"/>
  <c r="BN260" i="24" s="1"/>
  <c r="BN58" i="24"/>
  <c r="BC272" i="25"/>
  <c r="BT272" i="25" s="1"/>
  <c r="BB272" i="25"/>
  <c r="BS272" i="25" s="1"/>
  <c r="BA272" i="25"/>
  <c r="BY22" i="24"/>
  <c r="CA22" i="24" s="1"/>
  <c r="BN22" i="24"/>
  <c r="BG123" i="24"/>
  <c r="BS123" i="24"/>
  <c r="BX123" i="24" s="1"/>
  <c r="BG198" i="24"/>
  <c r="BS198" i="24"/>
  <c r="BX198" i="24" s="1"/>
  <c r="BG258" i="24"/>
  <c r="BS258" i="24"/>
  <c r="BX258" i="24" s="1"/>
  <c r="BA303" i="25"/>
  <c r="BC303" i="25"/>
  <c r="BT303" i="25" s="1"/>
  <c r="BB303" i="25"/>
  <c r="BS303" i="25" s="1"/>
  <c r="BB205" i="25"/>
  <c r="BS205" i="25" s="1"/>
  <c r="BC205" i="25"/>
  <c r="BT205" i="25" s="1"/>
  <c r="BA205" i="25"/>
  <c r="BE31" i="25"/>
  <c r="BK31" i="25" s="1"/>
  <c r="BR31" i="25"/>
  <c r="BV31" i="25" s="1"/>
  <c r="BX31" i="25" s="1"/>
  <c r="BG71" i="24"/>
  <c r="BM71" i="24" s="1"/>
  <c r="BS71" i="24"/>
  <c r="BV71" i="24" s="1"/>
  <c r="BX71" i="24" s="1"/>
  <c r="BB295" i="25"/>
  <c r="BS295" i="25" s="1"/>
  <c r="BC295" i="25"/>
  <c r="BT295" i="25" s="1"/>
  <c r="BA295" i="25"/>
  <c r="BG195" i="24"/>
  <c r="BS195" i="24"/>
  <c r="BX195" i="24" s="1"/>
  <c r="BG129" i="24"/>
  <c r="BS129" i="24"/>
  <c r="BX129" i="24" s="1"/>
  <c r="BA38" i="25"/>
  <c r="BC38" i="25"/>
  <c r="BT38" i="25" s="1"/>
  <c r="BB38" i="25"/>
  <c r="BS38" i="25" s="1"/>
  <c r="BA20" i="25"/>
  <c r="BC20" i="25"/>
  <c r="BT20" i="25" s="1"/>
  <c r="BB20" i="25"/>
  <c r="BS20" i="25" s="1"/>
  <c r="BG104" i="24"/>
  <c r="BM104" i="24" s="1"/>
  <c r="BS104" i="24"/>
  <c r="BV104" i="24" s="1"/>
  <c r="BX104" i="24" s="1"/>
  <c r="BN20" i="24"/>
  <c r="BA307" i="25"/>
  <c r="BB307" i="25"/>
  <c r="BS307" i="25" s="1"/>
  <c r="BC307" i="25"/>
  <c r="BT307" i="25" s="1"/>
  <c r="BY142" i="24"/>
  <c r="CA142" i="24" s="1"/>
  <c r="CB142" i="24" s="1"/>
  <c r="BM142" i="24"/>
  <c r="BN142" i="24" s="1"/>
  <c r="BB315" i="25"/>
  <c r="BS315" i="25" s="1"/>
  <c r="BC315" i="25"/>
  <c r="BT315" i="25" s="1"/>
  <c r="BA315" i="25"/>
  <c r="BG144" i="24"/>
  <c r="BS144" i="24"/>
  <c r="BX144" i="24" s="1"/>
  <c r="BB133" i="25"/>
  <c r="BS133" i="25" s="1"/>
  <c r="BA133" i="25"/>
  <c r="BC133" i="25"/>
  <c r="BT133" i="25" s="1"/>
  <c r="BC134" i="25"/>
  <c r="BT134" i="25" s="1"/>
  <c r="BB134" i="25"/>
  <c r="BS134" i="25" s="1"/>
  <c r="BA134" i="25"/>
  <c r="BC140" i="25"/>
  <c r="BT140" i="25" s="1"/>
  <c r="BB140" i="25"/>
  <c r="BS140" i="25" s="1"/>
  <c r="BA140" i="25"/>
  <c r="BG304" i="24"/>
  <c r="BS304" i="24"/>
  <c r="BX304" i="24" s="1"/>
  <c r="BA70" i="25"/>
  <c r="BB70" i="25"/>
  <c r="BS70" i="25" s="1"/>
  <c r="BC70" i="25"/>
  <c r="BT70" i="25" s="1"/>
  <c r="BG206" i="24"/>
  <c r="BS206" i="24"/>
  <c r="BX206" i="24" s="1"/>
  <c r="BB61" i="25"/>
  <c r="BS61" i="25" s="1"/>
  <c r="BA61" i="25"/>
  <c r="BC61" i="25"/>
  <c r="BT61" i="25" s="1"/>
  <c r="BB145" i="25"/>
  <c r="BS145" i="25" s="1"/>
  <c r="BC145" i="25"/>
  <c r="BT145" i="25" s="1"/>
  <c r="BA145" i="25"/>
  <c r="BG286" i="24"/>
  <c r="BS286" i="24"/>
  <c r="BX286" i="24" s="1"/>
  <c r="BE13" i="25"/>
  <c r="BK13" i="25" s="1"/>
  <c r="BR13" i="25"/>
  <c r="BV13" i="25" s="1"/>
  <c r="BX13" i="25" s="1"/>
  <c r="BG46" i="24"/>
  <c r="BM46" i="24" s="1"/>
  <c r="BS46" i="24"/>
  <c r="BV46" i="24" s="1"/>
  <c r="BX46" i="24" s="1"/>
  <c r="BC122" i="25"/>
  <c r="BT122" i="25" s="1"/>
  <c r="BA122" i="25"/>
  <c r="BB122" i="25"/>
  <c r="BS122" i="25" s="1"/>
  <c r="BA180" i="25"/>
  <c r="BC180" i="25"/>
  <c r="BT180" i="25" s="1"/>
  <c r="BB180" i="25"/>
  <c r="BS180" i="25" s="1"/>
  <c r="BB76" i="25"/>
  <c r="BS76" i="25" s="1"/>
  <c r="BC76" i="25"/>
  <c r="BT76" i="25" s="1"/>
  <c r="BA76" i="25"/>
  <c r="BG76" i="24"/>
  <c r="BM76" i="24" s="1"/>
  <c r="BS76" i="24"/>
  <c r="BV76" i="24" s="1"/>
  <c r="BX76" i="24" s="1"/>
  <c r="BS203" i="24"/>
  <c r="BX203" i="24" s="1"/>
  <c r="BG203" i="24"/>
  <c r="BG284" i="24"/>
  <c r="BS284" i="24"/>
  <c r="BX284" i="24" s="1"/>
  <c r="BB230" i="25"/>
  <c r="BS230" i="25" s="1"/>
  <c r="BA230" i="25"/>
  <c r="BC230" i="25"/>
  <c r="BT230" i="25" s="1"/>
  <c r="BG194" i="24"/>
  <c r="BS194" i="24"/>
  <c r="BX194" i="24" s="1"/>
  <c r="BB45" i="25"/>
  <c r="BS45" i="25" s="1"/>
  <c r="BC45" i="25"/>
  <c r="BT45" i="25" s="1"/>
  <c r="BA45" i="25"/>
  <c r="BR14" i="25"/>
  <c r="BV14" i="25" s="1"/>
  <c r="BX14" i="25" s="1"/>
  <c r="BE14" i="25"/>
  <c r="BK14" i="25" s="1"/>
  <c r="BE155" i="25"/>
  <c r="BR155" i="25"/>
  <c r="BX155" i="25" s="1"/>
  <c r="BA47" i="25"/>
  <c r="BC47" i="25"/>
  <c r="BT47" i="25" s="1"/>
  <c r="BB47" i="25"/>
  <c r="BS47" i="25" s="1"/>
  <c r="BC203" i="25"/>
  <c r="BT203" i="25" s="1"/>
  <c r="BB203" i="25"/>
  <c r="BS203" i="25" s="1"/>
  <c r="BA203" i="25"/>
  <c r="BY264" i="24"/>
  <c r="CA264" i="24" s="1"/>
  <c r="CB264" i="24" s="1"/>
  <c r="BM264" i="24"/>
  <c r="BN264" i="24" s="1"/>
  <c r="BS82" i="24"/>
  <c r="BV82" i="24" s="1"/>
  <c r="BX82" i="24" s="1"/>
  <c r="BG82" i="24"/>
  <c r="BM82" i="24" s="1"/>
  <c r="BS69" i="24"/>
  <c r="BV69" i="24" s="1"/>
  <c r="BX69" i="24" s="1"/>
  <c r="BG69" i="24"/>
  <c r="BM69" i="24" s="1"/>
  <c r="BB53" i="25"/>
  <c r="BS53" i="25" s="1"/>
  <c r="BC53" i="25"/>
  <c r="BT53" i="25" s="1"/>
  <c r="BA53" i="25"/>
  <c r="BG241" i="24"/>
  <c r="BS241" i="24"/>
  <c r="BX241" i="24" s="1"/>
  <c r="BB137" i="25"/>
  <c r="BS137" i="25" s="1"/>
  <c r="BC137" i="25"/>
  <c r="BT137" i="25" s="1"/>
  <c r="BA137" i="25"/>
  <c r="BE170" i="25"/>
  <c r="BR170" i="25"/>
  <c r="BX170" i="25" s="1"/>
  <c r="BA209" i="25"/>
  <c r="BB209" i="25"/>
  <c r="BS209" i="25" s="1"/>
  <c r="BC209" i="25"/>
  <c r="BT209" i="25" s="1"/>
  <c r="BG302" i="24"/>
  <c r="BS302" i="24"/>
  <c r="BX302" i="24" s="1"/>
  <c r="BE246" i="25"/>
  <c r="BR246" i="25"/>
  <c r="BX246" i="25" s="1"/>
  <c r="BS84" i="24"/>
  <c r="BV84" i="24" s="1"/>
  <c r="BX84" i="24" s="1"/>
  <c r="BG84" i="24"/>
  <c r="BM84" i="24" s="1"/>
  <c r="BE305" i="25"/>
  <c r="BR305" i="25"/>
  <c r="BX305" i="25" s="1"/>
  <c r="BN54" i="24"/>
  <c r="BE306" i="25"/>
  <c r="BR306" i="25"/>
  <c r="BX306" i="25" s="1"/>
  <c r="BE255" i="25"/>
  <c r="BR255" i="25"/>
  <c r="BX255" i="25" s="1"/>
  <c r="BA254" i="25"/>
  <c r="BB254" i="25"/>
  <c r="BS254" i="25" s="1"/>
  <c r="BC254" i="25"/>
  <c r="BT254" i="25" s="1"/>
  <c r="BB210" i="25"/>
  <c r="BS210" i="25" s="1"/>
  <c r="BC210" i="25"/>
  <c r="BT210" i="25" s="1"/>
  <c r="BA210" i="25"/>
  <c r="BE273" i="25"/>
  <c r="BR273" i="25"/>
  <c r="BX273" i="25" s="1"/>
  <c r="BY41" i="24"/>
  <c r="CA41" i="24" s="1"/>
  <c r="CB41" i="24" s="1"/>
  <c r="BN41" i="24"/>
  <c r="BR62" i="25"/>
  <c r="BV62" i="25" s="1"/>
  <c r="BX62" i="25" s="1"/>
  <c r="BE62" i="25"/>
  <c r="BK62" i="25" s="1"/>
  <c r="BE59" i="25"/>
  <c r="BK59" i="25" s="1"/>
  <c r="BR59" i="25"/>
  <c r="BV59" i="25" s="1"/>
  <c r="BX59" i="25" s="1"/>
  <c r="BS95" i="24"/>
  <c r="BV95" i="24" s="1"/>
  <c r="BX95" i="24" s="1"/>
  <c r="BG95" i="24"/>
  <c r="BM95" i="24" s="1"/>
  <c r="BG244" i="24"/>
  <c r="BS244" i="24"/>
  <c r="BX244" i="24" s="1"/>
  <c r="BG272" i="24"/>
  <c r="BS272" i="24"/>
  <c r="BX272" i="24" s="1"/>
  <c r="BG227" i="24"/>
  <c r="BS227" i="24"/>
  <c r="BX227" i="24" s="1"/>
  <c r="BG59" i="24"/>
  <c r="BM59" i="24" s="1"/>
  <c r="BS59" i="24"/>
  <c r="BV59" i="24" s="1"/>
  <c r="BX59" i="24" s="1"/>
  <c r="BE179" i="25"/>
  <c r="BR179" i="25"/>
  <c r="BX179" i="25" s="1"/>
  <c r="BA16" i="25"/>
  <c r="BB16" i="25"/>
  <c r="BS16" i="25" s="1"/>
  <c r="BC16" i="25"/>
  <c r="BT16" i="25" s="1"/>
  <c r="V442" i="29"/>
  <c r="U442" i="29"/>
  <c r="U544" i="29"/>
  <c r="V544" i="29"/>
  <c r="BY236" i="24"/>
  <c r="CA236" i="24" s="1"/>
  <c r="CB236" i="24" s="1"/>
  <c r="BM236" i="24"/>
  <c r="BN236" i="24" s="1"/>
  <c r="BG53" i="24"/>
  <c r="BM53" i="24" s="1"/>
  <c r="BS53" i="24"/>
  <c r="BV53" i="24" s="1"/>
  <c r="BX53" i="24" s="1"/>
  <c r="BC111" i="25"/>
  <c r="BT111" i="25" s="1"/>
  <c r="BB111" i="25"/>
  <c r="BS111" i="25" s="1"/>
  <c r="BA111" i="25"/>
  <c r="BG85" i="24"/>
  <c r="BM85" i="24" s="1"/>
  <c r="BS85" i="24"/>
  <c r="BV85" i="24" s="1"/>
  <c r="BX85" i="24" s="1"/>
  <c r="BC181" i="25"/>
  <c r="BT181" i="25" s="1"/>
  <c r="BB181" i="25"/>
  <c r="BS181" i="25" s="1"/>
  <c r="BA181" i="25"/>
  <c r="BM148" i="24"/>
  <c r="BN148" i="24" s="1"/>
  <c r="BG276" i="24"/>
  <c r="BS276" i="24"/>
  <c r="BX276" i="24" s="1"/>
  <c r="BB287" i="25"/>
  <c r="BS287" i="25" s="1"/>
  <c r="BC287" i="25"/>
  <c r="BT287" i="25" s="1"/>
  <c r="BA287" i="25"/>
  <c r="BA57" i="25"/>
  <c r="BB57" i="25"/>
  <c r="BS57" i="25" s="1"/>
  <c r="BC57" i="25"/>
  <c r="BT57" i="25" s="1"/>
  <c r="BB151" i="25"/>
  <c r="BS151" i="25" s="1"/>
  <c r="BC151" i="25"/>
  <c r="BT151" i="25" s="1"/>
  <c r="BA151" i="25"/>
  <c r="BG182" i="24"/>
  <c r="BS182" i="24"/>
  <c r="BX182" i="24" s="1"/>
  <c r="BG138" i="24"/>
  <c r="BS138" i="24"/>
  <c r="BX138" i="24" s="1"/>
  <c r="BY233" i="24"/>
  <c r="CA233" i="24" s="1"/>
  <c r="BM233" i="24"/>
  <c r="BN233" i="24" s="1"/>
  <c r="BY257" i="24"/>
  <c r="CA257" i="24" s="1"/>
  <c r="BM257" i="24"/>
  <c r="BN257" i="24" s="1"/>
  <c r="BC252" i="25"/>
  <c r="BT252" i="25" s="1"/>
  <c r="BB252" i="25"/>
  <c r="BS252" i="25" s="1"/>
  <c r="BA252" i="25"/>
  <c r="BB271" i="25"/>
  <c r="BS271" i="25" s="1"/>
  <c r="BC271" i="25"/>
  <c r="BT271" i="25" s="1"/>
  <c r="BA271" i="25"/>
  <c r="BB91" i="25"/>
  <c r="BS91" i="25" s="1"/>
  <c r="BC91" i="25"/>
  <c r="BT91" i="25" s="1"/>
  <c r="BA91" i="25"/>
  <c r="BG185" i="24"/>
  <c r="BS185" i="24"/>
  <c r="BX185" i="24" s="1"/>
  <c r="BS8" i="24"/>
  <c r="BV8" i="24" s="1"/>
  <c r="BX8" i="24" s="1"/>
  <c r="BG8" i="24"/>
  <c r="BM8" i="24" s="1"/>
  <c r="BE173" i="25"/>
  <c r="BR173" i="25"/>
  <c r="BX173" i="25" s="1"/>
  <c r="BA183" i="25"/>
  <c r="BB183" i="25"/>
  <c r="BS183" i="25" s="1"/>
  <c r="BC183" i="25"/>
  <c r="BT183" i="25" s="1"/>
  <c r="BE248" i="25"/>
  <c r="BR248" i="25"/>
  <c r="BX248" i="25" s="1"/>
  <c r="BA157" i="25"/>
  <c r="BB157" i="25"/>
  <c r="BS157" i="25" s="1"/>
  <c r="BC157" i="25"/>
  <c r="BT157" i="25" s="1"/>
  <c r="BM265" i="24"/>
  <c r="BN265" i="24" s="1"/>
  <c r="BG105" i="24"/>
  <c r="BM105" i="24" s="1"/>
  <c r="BS105" i="24"/>
  <c r="BV105" i="24" s="1"/>
  <c r="BX105" i="24" s="1"/>
  <c r="BA289" i="25"/>
  <c r="BB289" i="25"/>
  <c r="BS289" i="25" s="1"/>
  <c r="BC289" i="25"/>
  <c r="BT289" i="25" s="1"/>
  <c r="BA118" i="25"/>
  <c r="BB118" i="25"/>
  <c r="BS118" i="25" s="1"/>
  <c r="BC118" i="25"/>
  <c r="BT118" i="25" s="1"/>
  <c r="BS99" i="24"/>
  <c r="BV99" i="24" s="1"/>
  <c r="BX99" i="24" s="1"/>
  <c r="BG99" i="24"/>
  <c r="BM99" i="24" s="1"/>
  <c r="BG269" i="24"/>
  <c r="BS269" i="24"/>
  <c r="BX269" i="24" s="1"/>
  <c r="BG274" i="24"/>
  <c r="BS274" i="24"/>
  <c r="BX274" i="24" s="1"/>
  <c r="BE11" i="25"/>
  <c r="BK11" i="25" s="1"/>
  <c r="BR11" i="25"/>
  <c r="BV11" i="25" s="1"/>
  <c r="BX11" i="25" s="1"/>
  <c r="BG179" i="24"/>
  <c r="BS179" i="24"/>
  <c r="BX179" i="24" s="1"/>
  <c r="BA105" i="25"/>
  <c r="BB105" i="25"/>
  <c r="BS105" i="25" s="1"/>
  <c r="BC105" i="25"/>
  <c r="BT105" i="25" s="1"/>
  <c r="BE29" i="25"/>
  <c r="BK29" i="25" s="1"/>
  <c r="BR29" i="25"/>
  <c r="BV29" i="25" s="1"/>
  <c r="BX29" i="25" s="1"/>
  <c r="BM295" i="24"/>
  <c r="BN295" i="24" s="1"/>
  <c r="BB144" i="25"/>
  <c r="BS144" i="25" s="1"/>
  <c r="BC144" i="25"/>
  <c r="BT144" i="25" s="1"/>
  <c r="BA144" i="25"/>
  <c r="BG209" i="24"/>
  <c r="BS209" i="24"/>
  <c r="BX209" i="24" s="1"/>
  <c r="BA86" i="25"/>
  <c r="BB86" i="25"/>
  <c r="BS86" i="25" s="1"/>
  <c r="BC86" i="25"/>
  <c r="BT86" i="25" s="1"/>
  <c r="BG202" i="24"/>
  <c r="BS202" i="24"/>
  <c r="BX202" i="24" s="1"/>
  <c r="B128" i="2"/>
  <c r="B131" i="2"/>
  <c r="E36" i="1" s="1"/>
  <c r="BG266" i="24"/>
  <c r="BS266" i="24"/>
  <c r="BX266" i="24" s="1"/>
  <c r="BG288" i="24"/>
  <c r="BS288" i="24"/>
  <c r="BX288" i="24" s="1"/>
  <c r="BA98" i="25"/>
  <c r="BB98" i="25"/>
  <c r="BS98" i="25" s="1"/>
  <c r="BC98" i="25"/>
  <c r="BT98" i="25" s="1"/>
  <c r="BR71" i="25"/>
  <c r="BV71" i="25" s="1"/>
  <c r="BX71" i="25" s="1"/>
  <c r="BE71" i="25"/>
  <c r="BK71" i="25" s="1"/>
  <c r="BG270" i="24"/>
  <c r="BS270" i="24"/>
  <c r="BX270" i="24" s="1"/>
  <c r="BA207" i="25"/>
  <c r="BC207" i="25"/>
  <c r="BT207" i="25" s="1"/>
  <c r="BB207" i="25"/>
  <c r="BS207" i="25" s="1"/>
  <c r="BA56" i="25"/>
  <c r="BB56" i="25"/>
  <c r="BS56" i="25" s="1"/>
  <c r="BC56" i="25"/>
  <c r="BT56" i="25" s="1"/>
  <c r="BG97" i="24"/>
  <c r="BM97" i="24" s="1"/>
  <c r="BS97" i="24"/>
  <c r="BV97" i="24" s="1"/>
  <c r="BX97" i="24" s="1"/>
  <c r="BB125" i="25"/>
  <c r="BS125" i="25" s="1"/>
  <c r="BC125" i="25"/>
  <c r="BT125" i="25" s="1"/>
  <c r="BA125" i="25"/>
  <c r="BG205" i="24"/>
  <c r="BS205" i="24"/>
  <c r="BX205" i="24" s="1"/>
  <c r="BS63" i="24"/>
  <c r="BV63" i="24" s="1"/>
  <c r="BX63" i="24" s="1"/>
  <c r="BG63" i="24"/>
  <c r="BM63" i="24" s="1"/>
  <c r="BE30" i="25"/>
  <c r="BK30" i="25" s="1"/>
  <c r="BR30" i="25"/>
  <c r="BV30" i="25" s="1"/>
  <c r="BX30" i="25" s="1"/>
  <c r="BG177" i="24"/>
  <c r="BS177" i="24"/>
  <c r="BX177" i="24" s="1"/>
  <c r="BS136" i="24"/>
  <c r="BX136" i="24" s="1"/>
  <c r="BG136" i="24"/>
  <c r="BC123" i="25"/>
  <c r="BT123" i="25" s="1"/>
  <c r="BB123" i="25"/>
  <c r="BS123" i="25" s="1"/>
  <c r="BA123" i="25"/>
  <c r="BA83" i="25"/>
  <c r="BB83" i="25"/>
  <c r="BS83" i="25" s="1"/>
  <c r="BC83" i="25"/>
  <c r="BT83" i="25" s="1"/>
  <c r="BB132" i="25"/>
  <c r="BS132" i="25" s="1"/>
  <c r="BA132" i="25"/>
  <c r="BC132" i="25"/>
  <c r="BT132" i="25" s="1"/>
  <c r="BG199" i="24"/>
  <c r="BS199" i="24"/>
  <c r="BX199" i="24" s="1"/>
  <c r="BG155" i="24"/>
  <c r="BS155" i="24"/>
  <c r="BX155" i="24" s="1"/>
  <c r="BG149" i="24"/>
  <c r="BS149" i="24"/>
  <c r="BX149" i="24" s="1"/>
  <c r="BB90" i="25"/>
  <c r="BS90" i="25" s="1"/>
  <c r="BC90" i="25"/>
  <c r="BT90" i="25" s="1"/>
  <c r="BA90" i="25"/>
  <c r="BC222" i="25"/>
  <c r="BT222" i="25" s="1"/>
  <c r="BB222" i="25"/>
  <c r="BS222" i="25" s="1"/>
  <c r="BA222" i="25"/>
  <c r="BG261" i="24"/>
  <c r="BS261" i="24"/>
  <c r="BX261" i="24" s="1"/>
  <c r="BA40" i="25"/>
  <c r="BB40" i="25"/>
  <c r="BS40" i="25" s="1"/>
  <c r="BC40" i="25"/>
  <c r="BT40" i="25" s="1"/>
  <c r="BE89" i="25"/>
  <c r="BK89" i="25" s="1"/>
  <c r="BR89" i="25"/>
  <c r="BV89" i="25" s="1"/>
  <c r="BX89" i="25" s="1"/>
  <c r="BG67" i="24"/>
  <c r="BM67" i="24" s="1"/>
  <c r="BS67" i="24"/>
  <c r="BV67" i="24" s="1"/>
  <c r="BX67" i="24" s="1"/>
  <c r="BB10" i="25"/>
  <c r="BS10" i="25" s="1"/>
  <c r="BA10" i="25"/>
  <c r="BC10" i="25"/>
  <c r="BT10" i="25" s="1"/>
  <c r="BB120" i="25"/>
  <c r="BS120" i="25" s="1"/>
  <c r="BC120" i="25"/>
  <c r="BT120" i="25" s="1"/>
  <c r="BA120" i="25"/>
  <c r="BG251" i="24"/>
  <c r="BS251" i="24"/>
  <c r="BX251" i="24" s="1"/>
  <c r="BM238" i="24"/>
  <c r="BN238" i="24" s="1"/>
  <c r="BE262" i="25"/>
  <c r="BR262" i="25"/>
  <c r="BX262" i="25" s="1"/>
  <c r="BA156" i="25"/>
  <c r="BB156" i="25"/>
  <c r="BS156" i="25" s="1"/>
  <c r="BC156" i="25"/>
  <c r="BT156" i="25" s="1"/>
  <c r="BE280" i="25"/>
  <c r="BR280" i="25"/>
  <c r="BX280" i="25" s="1"/>
  <c r="BM219" i="24"/>
  <c r="BN219" i="24" s="1"/>
  <c r="BA263" i="25"/>
  <c r="BB263" i="25"/>
  <c r="BS263" i="25" s="1"/>
  <c r="BC263" i="25"/>
  <c r="BT263" i="25" s="1"/>
  <c r="BA49" i="25"/>
  <c r="BB49" i="25"/>
  <c r="BS49" i="25" s="1"/>
  <c r="BC49" i="25"/>
  <c r="BT49" i="25" s="1"/>
  <c r="BA218" i="25"/>
  <c r="BC218" i="25"/>
  <c r="BT218" i="25" s="1"/>
  <c r="BB218" i="25"/>
  <c r="BS218" i="25" s="1"/>
  <c r="BC127" i="25"/>
  <c r="BT127" i="25" s="1"/>
  <c r="BB127" i="25"/>
  <c r="BS127" i="25" s="1"/>
  <c r="BA127" i="25"/>
  <c r="BM296" i="24"/>
  <c r="BN296" i="24" s="1"/>
  <c r="BG115" i="24"/>
  <c r="BS115" i="24"/>
  <c r="BX115" i="24" s="1"/>
  <c r="BC311" i="25"/>
  <c r="BT311" i="25" s="1"/>
  <c r="BB311" i="25"/>
  <c r="BS311" i="25" s="1"/>
  <c r="BA311" i="25"/>
  <c r="BC196" i="25"/>
  <c r="BT196" i="25" s="1"/>
  <c r="BB196" i="25"/>
  <c r="BS196" i="25" s="1"/>
  <c r="BA196" i="25"/>
  <c r="BB54" i="25"/>
  <c r="BS54" i="25" s="1"/>
  <c r="BA54" i="25"/>
  <c r="BC54" i="25"/>
  <c r="BT54" i="25" s="1"/>
  <c r="BE243" i="25"/>
  <c r="BR243" i="25"/>
  <c r="BX243" i="25" s="1"/>
  <c r="BB119" i="25"/>
  <c r="BS119" i="25" s="1"/>
  <c r="BC119" i="25"/>
  <c r="BT119" i="25" s="1"/>
  <c r="BA119" i="25"/>
  <c r="D58" i="29"/>
  <c r="D50" i="29" s="1"/>
  <c r="D51" i="29" s="1"/>
  <c r="D60" i="29" s="1"/>
  <c r="U60" i="29"/>
  <c r="V60" i="29"/>
  <c r="U189" i="29"/>
  <c r="V189" i="29"/>
  <c r="U238" i="29"/>
  <c r="V238" i="29"/>
  <c r="V18" i="29"/>
  <c r="U18" i="29"/>
  <c r="BG250" i="24"/>
  <c r="BS250" i="24"/>
  <c r="BX250" i="24" s="1"/>
  <c r="BS50" i="24"/>
  <c r="BV50" i="24" s="1"/>
  <c r="BX50" i="24" s="1"/>
  <c r="BG50" i="24"/>
  <c r="BM50" i="24" s="1"/>
  <c r="BM130" i="24"/>
  <c r="BN130" i="24" s="1"/>
  <c r="BN12" i="24"/>
  <c r="BM147" i="24"/>
  <c r="BN147" i="24" s="1"/>
  <c r="BG145" i="24"/>
  <c r="BS145" i="24"/>
  <c r="BX145" i="24" s="1"/>
  <c r="BG255" i="24"/>
  <c r="BS255" i="24"/>
  <c r="BX255" i="24" s="1"/>
  <c r="BA235" i="25"/>
  <c r="BB235" i="25"/>
  <c r="BS235" i="25" s="1"/>
  <c r="BC235" i="25"/>
  <c r="BT235" i="25" s="1"/>
  <c r="BC309" i="25"/>
  <c r="BT309" i="25" s="1"/>
  <c r="BB309" i="25"/>
  <c r="BS309" i="25" s="1"/>
  <c r="BA309" i="25"/>
  <c r="BC251" i="25"/>
  <c r="BT251" i="25" s="1"/>
  <c r="BA251" i="25"/>
  <c r="BB251" i="25"/>
  <c r="BS251" i="25" s="1"/>
  <c r="BG252" i="24"/>
  <c r="BS252" i="24"/>
  <c r="BX252" i="24" s="1"/>
  <c r="BN55" i="24"/>
  <c r="BY55" i="24"/>
  <c r="CA55" i="24" s="1"/>
  <c r="BG151" i="24"/>
  <c r="BS151" i="24"/>
  <c r="BX151" i="24" s="1"/>
  <c r="BR104" i="25"/>
  <c r="BV104" i="25" s="1"/>
  <c r="BX104" i="25" s="1"/>
  <c r="BE104" i="25"/>
  <c r="BK104" i="25" s="1"/>
  <c r="BA65" i="25"/>
  <c r="BB65" i="25"/>
  <c r="BS65" i="25" s="1"/>
  <c r="BC65" i="25"/>
  <c r="BT65" i="25" s="1"/>
  <c r="BN45" i="24"/>
  <c r="BY45" i="24"/>
  <c r="CA45" i="24" s="1"/>
  <c r="BS10" i="24"/>
  <c r="BV10" i="24" s="1"/>
  <c r="BX10" i="24" s="1"/>
  <c r="BG10" i="24"/>
  <c r="BM10" i="24" s="1"/>
  <c r="BA264" i="25"/>
  <c r="BC264" i="25"/>
  <c r="BT264" i="25" s="1"/>
  <c r="BB264" i="25"/>
  <c r="BS264" i="25" s="1"/>
  <c r="BE257" i="25"/>
  <c r="BR257" i="25"/>
  <c r="BX257" i="25" s="1"/>
  <c r="BA68" i="25"/>
  <c r="BC68" i="25"/>
  <c r="BT68" i="25" s="1"/>
  <c r="BB68" i="25"/>
  <c r="BS68" i="25" s="1"/>
  <c r="BE198" i="25"/>
  <c r="BR198" i="25"/>
  <c r="BX198" i="25" s="1"/>
  <c r="BG316" i="24"/>
  <c r="BS316" i="24"/>
  <c r="BX316" i="24" s="1"/>
  <c r="BA278" i="25"/>
  <c r="BB278" i="25"/>
  <c r="BS278" i="25" s="1"/>
  <c r="BC278" i="25"/>
  <c r="BT278" i="25" s="1"/>
  <c r="BC297" i="25"/>
  <c r="BT297" i="25" s="1"/>
  <c r="BB297" i="25"/>
  <c r="BS297" i="25" s="1"/>
  <c r="BA297" i="25"/>
  <c r="BG169" i="24"/>
  <c r="BS169" i="24"/>
  <c r="BX169" i="24" s="1"/>
  <c r="BS154" i="24"/>
  <c r="BX154" i="24" s="1"/>
  <c r="BG154" i="24"/>
  <c r="BA224" i="25"/>
  <c r="BC224" i="25"/>
  <c r="BT224" i="25" s="1"/>
  <c r="BB224" i="25"/>
  <c r="BS224" i="25" s="1"/>
  <c r="BY7" i="24"/>
  <c r="CA7" i="24" s="1"/>
  <c r="CB7" i="24" s="1"/>
  <c r="BN7" i="24"/>
  <c r="BB74" i="25"/>
  <c r="BS74" i="25" s="1"/>
  <c r="BC74" i="25"/>
  <c r="BT74" i="25" s="1"/>
  <c r="BA74" i="25"/>
  <c r="BG170" i="24"/>
  <c r="BS170" i="24"/>
  <c r="BX170" i="24" s="1"/>
  <c r="BM280" i="24"/>
  <c r="BN280" i="24" s="1"/>
  <c r="BE178" i="25"/>
  <c r="BR178" i="25"/>
  <c r="BX178" i="25" s="1"/>
  <c r="BG207" i="24"/>
  <c r="BS207" i="24"/>
  <c r="BX207" i="24" s="1"/>
  <c r="BA217" i="25"/>
  <c r="BB217" i="25"/>
  <c r="BS217" i="25" s="1"/>
  <c r="BC217" i="25"/>
  <c r="BT217" i="25" s="1"/>
  <c r="BG141" i="24"/>
  <c r="BS141" i="24"/>
  <c r="BX141" i="24" s="1"/>
  <c r="BA260" i="25"/>
  <c r="BC260" i="25"/>
  <c r="BT260" i="25" s="1"/>
  <c r="BB260" i="25"/>
  <c r="BS260" i="25" s="1"/>
  <c r="BA226" i="25"/>
  <c r="BC226" i="25"/>
  <c r="BT226" i="25" s="1"/>
  <c r="BB226" i="25"/>
  <c r="BS226" i="25" s="1"/>
  <c r="BR87" i="25"/>
  <c r="BV87" i="25" s="1"/>
  <c r="BX87" i="25" s="1"/>
  <c r="BE87" i="25"/>
  <c r="BK87" i="25" s="1"/>
  <c r="BA172" i="25"/>
  <c r="BC172" i="25"/>
  <c r="BT172" i="25" s="1"/>
  <c r="BB172" i="25"/>
  <c r="BS172" i="25" s="1"/>
  <c r="BG78" i="24"/>
  <c r="BM78" i="24" s="1"/>
  <c r="BS78" i="24"/>
  <c r="BV78" i="24" s="1"/>
  <c r="BX78" i="24" s="1"/>
  <c r="BA242" i="25"/>
  <c r="BC242" i="25"/>
  <c r="BT242" i="25" s="1"/>
  <c r="BB242" i="25"/>
  <c r="BS242" i="25" s="1"/>
  <c r="BG167" i="24"/>
  <c r="BS167" i="24"/>
  <c r="BX167" i="24" s="1"/>
  <c r="BE6" i="25"/>
  <c r="BK6" i="25" s="1"/>
  <c r="BR6" i="25"/>
  <c r="BV6" i="25" s="1"/>
  <c r="BX6" i="25" s="1"/>
  <c r="BC182" i="25"/>
  <c r="BT182" i="25" s="1"/>
  <c r="BB182" i="25"/>
  <c r="BS182" i="25" s="1"/>
  <c r="BA182" i="25"/>
  <c r="BN19" i="24"/>
  <c r="BG245" i="24"/>
  <c r="BS245" i="24"/>
  <c r="BX245" i="24" s="1"/>
  <c r="BG37" i="24"/>
  <c r="BM37" i="24" s="1"/>
  <c r="BS37" i="24"/>
  <c r="BV37" i="24" s="1"/>
  <c r="BX37" i="24" s="1"/>
  <c r="BC227" i="25"/>
  <c r="BT227" i="25" s="1"/>
  <c r="BB227" i="25"/>
  <c r="BS227" i="25" s="1"/>
  <c r="BA227" i="25"/>
  <c r="U323" i="29"/>
  <c r="V323" i="29"/>
  <c r="BC312" i="25"/>
  <c r="BT312" i="25" s="1"/>
  <c r="BA312" i="25"/>
  <c r="BB312" i="25"/>
  <c r="BS312" i="25" s="1"/>
  <c r="BG237" i="24"/>
  <c r="BS237" i="24"/>
  <c r="BX237" i="24" s="1"/>
  <c r="BC269" i="25"/>
  <c r="BT269" i="25" s="1"/>
  <c r="BB269" i="25"/>
  <c r="BS269" i="25" s="1"/>
  <c r="BA269" i="25"/>
  <c r="BE147" i="25"/>
  <c r="BR147" i="25"/>
  <c r="BX147" i="25" s="1"/>
  <c r="BL129" i="25"/>
  <c r="BY129" i="25"/>
  <c r="CA129" i="25" s="1"/>
  <c r="CB129" i="25" s="1"/>
  <c r="BK129" i="25"/>
  <c r="BG226" i="24"/>
  <c r="BS226" i="24"/>
  <c r="BX226" i="24" s="1"/>
  <c r="BC78" i="25"/>
  <c r="BT78" i="25" s="1"/>
  <c r="BA78" i="25"/>
  <c r="BB78" i="25"/>
  <c r="BS78" i="25" s="1"/>
  <c r="BC138" i="25"/>
  <c r="BT138" i="25" s="1"/>
  <c r="BB138" i="25"/>
  <c r="BS138" i="25" s="1"/>
  <c r="BA138" i="25"/>
  <c r="BR158" i="25"/>
  <c r="BX158" i="25" s="1"/>
  <c r="BE158" i="25"/>
  <c r="BM298" i="24"/>
  <c r="BN298" i="24" s="1"/>
  <c r="BA166" i="25"/>
  <c r="BC166" i="25"/>
  <c r="BT166" i="25" s="1"/>
  <c r="BB166" i="25"/>
  <c r="BS166" i="25" s="1"/>
  <c r="BC149" i="25"/>
  <c r="BT149" i="25" s="1"/>
  <c r="BB149" i="25"/>
  <c r="BS149" i="25" s="1"/>
  <c r="BA149" i="25"/>
  <c r="BG128" i="24"/>
  <c r="BS128" i="24"/>
  <c r="BX128" i="24" s="1"/>
  <c r="BB266" i="25"/>
  <c r="BS266" i="25" s="1"/>
  <c r="BC266" i="25"/>
  <c r="BT266" i="25" s="1"/>
  <c r="BA266" i="25"/>
  <c r="BB69" i="25"/>
  <c r="BS69" i="25" s="1"/>
  <c r="BC69" i="25"/>
  <c r="BT69" i="25" s="1"/>
  <c r="BA69" i="25"/>
  <c r="BS61" i="24"/>
  <c r="BV61" i="24" s="1"/>
  <c r="BX61" i="24" s="1"/>
  <c r="BG61" i="24"/>
  <c r="BM61" i="24" s="1"/>
  <c r="BG263" i="24"/>
  <c r="BS263" i="24"/>
  <c r="BX263" i="24" s="1"/>
  <c r="BC81" i="25"/>
  <c r="BT81" i="25" s="1"/>
  <c r="BA81" i="25"/>
  <c r="BB81" i="25"/>
  <c r="BS81" i="25" s="1"/>
  <c r="BG234" i="24"/>
  <c r="BS234" i="24"/>
  <c r="BX234" i="24" s="1"/>
  <c r="BY160" i="24"/>
  <c r="CA160" i="24" s="1"/>
  <c r="CB160" i="24" s="1"/>
  <c r="BM160" i="24"/>
  <c r="BN160" i="24" s="1"/>
  <c r="BA244" i="25"/>
  <c r="BC244" i="25"/>
  <c r="BT244" i="25" s="1"/>
  <c r="BB244" i="25"/>
  <c r="BS244" i="25" s="1"/>
  <c r="BB130" i="25"/>
  <c r="BS130" i="25" s="1"/>
  <c r="BC130" i="25"/>
  <c r="BT130" i="25" s="1"/>
  <c r="BA130" i="25"/>
  <c r="BB55" i="25"/>
  <c r="BS55" i="25" s="1"/>
  <c r="BA55" i="25"/>
  <c r="BC55" i="25"/>
  <c r="BT55" i="25" s="1"/>
  <c r="BG183" i="24"/>
  <c r="BS183" i="24"/>
  <c r="BX183" i="24" s="1"/>
  <c r="BC239" i="25"/>
  <c r="BT239" i="25" s="1"/>
  <c r="BB239" i="25"/>
  <c r="BS239" i="25" s="1"/>
  <c r="BA239" i="25"/>
  <c r="BG278" i="24"/>
  <c r="BS278" i="24"/>
  <c r="BX278" i="24" s="1"/>
  <c r="BG139" i="24"/>
  <c r="BS139" i="24"/>
  <c r="BX139" i="24" s="1"/>
  <c r="BA43" i="25"/>
  <c r="BB43" i="25"/>
  <c r="BS43" i="25" s="1"/>
  <c r="BC43" i="25"/>
  <c r="BT43" i="25" s="1"/>
  <c r="BG188" i="24"/>
  <c r="BS188" i="24"/>
  <c r="BX188" i="24" s="1"/>
  <c r="BC42" i="25"/>
  <c r="BT42" i="25" s="1"/>
  <c r="BB42" i="25"/>
  <c r="BS42" i="25" s="1"/>
  <c r="BA42" i="25"/>
  <c r="B159" i="2"/>
  <c r="AY105" i="25"/>
  <c r="BG208" i="24"/>
  <c r="BS208" i="24"/>
  <c r="BX208" i="24" s="1"/>
  <c r="BG300" i="24"/>
  <c r="BS300" i="24"/>
  <c r="BX300" i="24" s="1"/>
  <c r="BG289" i="24"/>
  <c r="BS289" i="24"/>
  <c r="BX289" i="24" s="1"/>
  <c r="BC23" i="25"/>
  <c r="BT23" i="25" s="1"/>
  <c r="BB23" i="25"/>
  <c r="BS23" i="25" s="1"/>
  <c r="BA23" i="25"/>
  <c r="BA313" i="25"/>
  <c r="BC313" i="25"/>
  <c r="BT313" i="25" s="1"/>
  <c r="BB313" i="25"/>
  <c r="BS313" i="25" s="1"/>
  <c r="BE161" i="25"/>
  <c r="BR161" i="25"/>
  <c r="BX161" i="25" s="1"/>
  <c r="BA277" i="25"/>
  <c r="BB277" i="25"/>
  <c r="BS277" i="25" s="1"/>
  <c r="BC277" i="25"/>
  <c r="BT277" i="25" s="1"/>
  <c r="BE259" i="25"/>
  <c r="BR259" i="25"/>
  <c r="BX259" i="25" s="1"/>
  <c r="BL110" i="25"/>
  <c r="BY110" i="25"/>
  <c r="CA110" i="25" s="1"/>
  <c r="CB110" i="25" s="1"/>
  <c r="BK110" i="25"/>
  <c r="BA72" i="25"/>
  <c r="BC72" i="25"/>
  <c r="BT72" i="25" s="1"/>
  <c r="BB72" i="25"/>
  <c r="BS72" i="25" s="1"/>
  <c r="BG89" i="24"/>
  <c r="BM89" i="24" s="1"/>
  <c r="BS89" i="24"/>
  <c r="BV89" i="24" s="1"/>
  <c r="BX89" i="24" s="1"/>
  <c r="BG131" i="24"/>
  <c r="BS131" i="24"/>
  <c r="BX131" i="24" s="1"/>
  <c r="BS290" i="24"/>
  <c r="BX290" i="24" s="1"/>
  <c r="BG290" i="24"/>
  <c r="BG156" i="24"/>
  <c r="BS156" i="24"/>
  <c r="BX156" i="24" s="1"/>
  <c r="BG301" i="24"/>
  <c r="BS301" i="24"/>
  <c r="BX301" i="24" s="1"/>
  <c r="BC256" i="25"/>
  <c r="BT256" i="25" s="1"/>
  <c r="BB256" i="25"/>
  <c r="BS256" i="25" s="1"/>
  <c r="BA256" i="25"/>
  <c r="BM299" i="24"/>
  <c r="BN299" i="24" s="1"/>
  <c r="BA33" i="25"/>
  <c r="BB33" i="25"/>
  <c r="BS33" i="25" s="1"/>
  <c r="BC33" i="25"/>
  <c r="BT33" i="25" s="1"/>
  <c r="BC236" i="25"/>
  <c r="BT236" i="25" s="1"/>
  <c r="BA236" i="25"/>
  <c r="BB236" i="25"/>
  <c r="BS236" i="25" s="1"/>
  <c r="BG229" i="24"/>
  <c r="BS229" i="24"/>
  <c r="BX229" i="24" s="1"/>
  <c r="BE204" i="25"/>
  <c r="BR204" i="25"/>
  <c r="BX204" i="25" s="1"/>
  <c r="BE283" i="25"/>
  <c r="BR283" i="25"/>
  <c r="BX283" i="25" s="1"/>
  <c r="BG178" i="24"/>
  <c r="BS178" i="24"/>
  <c r="BX178" i="24" s="1"/>
  <c r="BA221" i="25"/>
  <c r="BB221" i="25"/>
  <c r="BS221" i="25" s="1"/>
  <c r="BC221" i="25"/>
  <c r="BT221" i="25" s="1"/>
  <c r="BG308" i="24"/>
  <c r="BS308" i="24"/>
  <c r="BX308" i="24" s="1"/>
  <c r="BR167" i="25"/>
  <c r="BX167" i="25" s="1"/>
  <c r="BE167" i="25"/>
  <c r="BS64" i="24"/>
  <c r="BV64" i="24" s="1"/>
  <c r="BX64" i="24" s="1"/>
  <c r="BG64" i="24"/>
  <c r="BM64" i="24" s="1"/>
  <c r="BE94" i="25"/>
  <c r="BK94" i="25" s="1"/>
  <c r="BR94" i="25"/>
  <c r="BV94" i="25" s="1"/>
  <c r="BX94" i="25" s="1"/>
  <c r="BA231" i="25"/>
  <c r="BB231" i="25"/>
  <c r="BS231" i="25" s="1"/>
  <c r="BC231" i="25"/>
  <c r="BT231" i="25" s="1"/>
  <c r="BA9" i="25"/>
  <c r="BB9" i="25"/>
  <c r="BS9" i="25" s="1"/>
  <c r="BC9" i="25"/>
  <c r="BT9" i="25" s="1"/>
  <c r="BY248" i="24"/>
  <c r="CA248" i="24" s="1"/>
  <c r="CB248" i="24" s="1"/>
  <c r="BM248" i="24"/>
  <c r="BN248" i="24" s="1"/>
  <c r="BS88" i="24"/>
  <c r="BV88" i="24" s="1"/>
  <c r="BX88" i="24" s="1"/>
  <c r="BG88" i="24"/>
  <c r="BM88" i="24" s="1"/>
  <c r="BG77" i="24"/>
  <c r="BM77" i="24" s="1"/>
  <c r="BS77" i="24"/>
  <c r="BV77" i="24" s="1"/>
  <c r="BX77" i="24" s="1"/>
  <c r="BA159" i="25"/>
  <c r="BB159" i="25"/>
  <c r="BS159" i="25" s="1"/>
  <c r="BC159" i="25"/>
  <c r="BT159" i="25" s="1"/>
  <c r="BR206" i="25"/>
  <c r="BX206" i="25" s="1"/>
  <c r="BE206" i="25"/>
  <c r="BC25" i="25"/>
  <c r="BT25" i="25" s="1"/>
  <c r="BB25" i="25"/>
  <c r="BS25" i="25" s="1"/>
  <c r="BA25" i="25"/>
  <c r="BM242" i="24"/>
  <c r="BN242" i="24" s="1"/>
  <c r="BM253" i="24"/>
  <c r="BN253" i="24" s="1"/>
  <c r="BE293" i="25"/>
  <c r="BR293" i="25"/>
  <c r="BX293" i="25" s="1"/>
  <c r="BG287" i="24"/>
  <c r="BS287" i="24"/>
  <c r="BX287" i="24" s="1"/>
  <c r="BC18" i="25"/>
  <c r="BT18" i="25" s="1"/>
  <c r="BB18" i="25"/>
  <c r="BS18" i="25" s="1"/>
  <c r="BA18" i="25"/>
  <c r="BG225" i="24"/>
  <c r="BS225" i="24"/>
  <c r="BX225" i="24" s="1"/>
  <c r="BA274" i="25"/>
  <c r="BB274" i="25"/>
  <c r="BS274" i="25" s="1"/>
  <c r="BC274" i="25"/>
  <c r="BT274" i="25" s="1"/>
  <c r="BC233" i="25"/>
  <c r="BT233" i="25" s="1"/>
  <c r="BA233" i="25"/>
  <c r="BB233" i="25"/>
  <c r="BS233" i="25" s="1"/>
  <c r="BG11" i="24"/>
  <c r="BM11" i="24" s="1"/>
  <c r="BS11" i="24"/>
  <c r="BV11" i="24" s="1"/>
  <c r="BX11" i="24" s="1"/>
  <c r="BS134" i="24"/>
  <c r="BX134" i="24" s="1"/>
  <c r="BG134" i="24"/>
  <c r="BB185" i="25"/>
  <c r="BS185" i="25" s="1"/>
  <c r="BC185" i="25"/>
  <c r="BT185" i="25" s="1"/>
  <c r="BA185" i="25"/>
  <c r="BE232" i="25"/>
  <c r="BR232" i="25"/>
  <c r="BX232" i="25" s="1"/>
  <c r="V437" i="29"/>
  <c r="U437" i="29"/>
  <c r="U509" i="29"/>
  <c r="V509" i="29"/>
  <c r="U124" i="29"/>
  <c r="V124" i="29"/>
  <c r="U537" i="29"/>
  <c r="V537" i="29"/>
  <c r="BN33" i="24"/>
  <c r="BC128" i="25"/>
  <c r="BT128" i="25" s="1"/>
  <c r="BA128" i="25"/>
  <c r="BB128" i="25"/>
  <c r="BS128" i="25" s="1"/>
  <c r="BB194" i="25"/>
  <c r="BS194" i="25" s="1"/>
  <c r="BC194" i="25"/>
  <c r="BT194" i="25" s="1"/>
  <c r="BA194" i="25"/>
  <c r="BG204" i="24"/>
  <c r="BS204" i="24"/>
  <c r="BX204" i="24" s="1"/>
  <c r="BG166" i="24"/>
  <c r="BS166" i="24"/>
  <c r="BX166" i="24" s="1"/>
  <c r="BB136" i="25"/>
  <c r="BS136" i="25" s="1"/>
  <c r="BC136" i="25"/>
  <c r="BT136" i="25" s="1"/>
  <c r="BA136" i="25"/>
  <c r="BA100" i="25"/>
  <c r="BB100" i="25"/>
  <c r="BS100" i="25" s="1"/>
  <c r="BC100" i="25"/>
  <c r="BT100" i="25" s="1"/>
  <c r="BG161" i="24"/>
  <c r="BS161" i="24"/>
  <c r="BX161" i="24" s="1"/>
  <c r="BB48" i="25"/>
  <c r="BS48" i="25" s="1"/>
  <c r="BA48" i="25"/>
  <c r="BC48" i="25"/>
  <c r="BT48" i="25" s="1"/>
  <c r="BY132" i="24"/>
  <c r="CA132" i="24" s="1"/>
  <c r="BM132" i="24"/>
  <c r="BN132" i="24" s="1"/>
  <c r="BS273" i="24"/>
  <c r="BX273" i="24" s="1"/>
  <c r="BG273" i="24"/>
  <c r="BE189" i="25"/>
  <c r="BR189" i="25"/>
  <c r="BX189" i="25" s="1"/>
  <c r="BA124" i="25"/>
  <c r="BC124" i="25"/>
  <c r="BT124" i="25" s="1"/>
  <c r="BB124" i="25"/>
  <c r="BS124" i="25" s="1"/>
  <c r="BS38" i="24"/>
  <c r="BV38" i="24" s="1"/>
  <c r="BX38" i="24" s="1"/>
  <c r="BG38" i="24"/>
  <c r="BM38" i="24" s="1"/>
  <c r="BA67" i="25"/>
  <c r="BC67" i="25"/>
  <c r="BT67" i="25" s="1"/>
  <c r="BB67" i="25"/>
  <c r="BS67" i="25" s="1"/>
  <c r="BG14" i="24"/>
  <c r="BM14" i="24" s="1"/>
  <c r="BS14" i="24"/>
  <c r="BV14" i="24" s="1"/>
  <c r="BX14" i="24" s="1"/>
  <c r="BG137" i="24"/>
  <c r="BS137" i="24"/>
  <c r="BX137" i="24" s="1"/>
  <c r="BY162" i="24"/>
  <c r="CA162" i="24" s="1"/>
  <c r="BM162" i="24"/>
  <c r="BN162" i="24" s="1"/>
  <c r="BG122" i="24"/>
  <c r="BS122" i="24"/>
  <c r="BX122" i="24" s="1"/>
  <c r="BA270" i="25"/>
  <c r="BC270" i="25"/>
  <c r="BT270" i="25" s="1"/>
  <c r="BB270" i="25"/>
  <c r="BS270" i="25" s="1"/>
  <c r="BY111" i="24"/>
  <c r="CA111" i="24" s="1"/>
  <c r="BM111" i="24"/>
  <c r="BN111" i="24" s="1"/>
  <c r="BS256" i="24"/>
  <c r="BX256" i="24" s="1"/>
  <c r="BG256" i="24"/>
  <c r="BE276" i="25"/>
  <c r="BR276" i="25"/>
  <c r="BX276" i="25" s="1"/>
  <c r="BG75" i="24"/>
  <c r="BM75" i="24" s="1"/>
  <c r="BS75" i="24"/>
  <c r="BV75" i="24" s="1"/>
  <c r="BX75" i="24" s="1"/>
  <c r="BB241" i="25"/>
  <c r="BS241" i="25" s="1"/>
  <c r="BC241" i="25"/>
  <c r="BT241" i="25" s="1"/>
  <c r="BA241" i="25"/>
  <c r="BY119" i="24"/>
  <c r="CA119" i="24" s="1"/>
  <c r="BM119" i="24"/>
  <c r="BN119" i="24" s="1"/>
  <c r="BG31" i="24"/>
  <c r="BM31" i="24" s="1"/>
  <c r="BS31" i="24"/>
  <c r="BV31" i="24" s="1"/>
  <c r="BX31" i="24" s="1"/>
  <c r="BB139" i="25"/>
  <c r="BS139" i="25" s="1"/>
  <c r="BC139" i="25"/>
  <c r="BT139" i="25" s="1"/>
  <c r="BA139" i="25"/>
  <c r="BS29" i="24"/>
  <c r="BV29" i="24" s="1"/>
  <c r="BX29" i="24" s="1"/>
  <c r="BG29" i="24"/>
  <c r="BM29" i="24" s="1"/>
  <c r="BY259" i="24"/>
  <c r="CA259" i="24" s="1"/>
  <c r="CB259" i="24" s="1"/>
  <c r="BM259" i="24"/>
  <c r="BN259" i="24" s="1"/>
  <c r="BA223" i="25"/>
  <c r="BC223" i="25"/>
  <c r="BT223" i="25" s="1"/>
  <c r="BB223" i="25"/>
  <c r="BS223" i="25" s="1"/>
  <c r="BA102" i="25"/>
  <c r="BB102" i="25"/>
  <c r="BS102" i="25" s="1"/>
  <c r="BC102" i="25"/>
  <c r="BT102" i="25" s="1"/>
  <c r="BA188" i="25"/>
  <c r="BC188" i="25"/>
  <c r="BT188" i="25" s="1"/>
  <c r="BB188" i="25"/>
  <c r="BS188" i="25" s="1"/>
  <c r="BG187" i="24"/>
  <c r="BS187" i="24"/>
  <c r="BX187" i="24" s="1"/>
  <c r="BE96" i="25"/>
  <c r="BK96" i="25" s="1"/>
  <c r="BR96" i="25"/>
  <c r="BV96" i="25" s="1"/>
  <c r="BX96" i="25" s="1"/>
  <c r="BA284" i="25"/>
  <c r="BB284" i="25"/>
  <c r="BS284" i="25" s="1"/>
  <c r="BC284" i="25"/>
  <c r="BT284" i="25" s="1"/>
  <c r="BC44" i="25"/>
  <c r="BT44" i="25" s="1"/>
  <c r="BB44" i="25"/>
  <c r="BS44" i="25" s="1"/>
  <c r="BA44" i="25"/>
  <c r="BG217" i="24"/>
  <c r="BS217" i="24"/>
  <c r="BX217" i="24" s="1"/>
  <c r="BE148" i="25"/>
  <c r="BR148" i="25"/>
  <c r="BX148" i="25" s="1"/>
  <c r="BB36" i="25"/>
  <c r="BS36" i="25" s="1"/>
  <c r="BA36" i="25"/>
  <c r="BC36" i="25"/>
  <c r="BT36" i="25" s="1"/>
  <c r="BG159" i="24"/>
  <c r="BS159" i="24"/>
  <c r="BX159" i="24" s="1"/>
  <c r="BA80" i="25"/>
  <c r="BB80" i="25"/>
  <c r="BS80" i="25" s="1"/>
  <c r="BC80" i="25"/>
  <c r="BT80" i="25" s="1"/>
  <c r="BB37" i="25"/>
  <c r="BS37" i="25" s="1"/>
  <c r="BC37" i="25"/>
  <c r="BT37" i="25" s="1"/>
  <c r="BA37" i="25"/>
  <c r="BG193" i="24"/>
  <c r="BS193" i="24"/>
  <c r="BX193" i="24" s="1"/>
  <c r="BA200" i="25"/>
  <c r="BB200" i="25"/>
  <c r="BS200" i="25" s="1"/>
  <c r="BC200" i="25"/>
  <c r="BT200" i="25" s="1"/>
  <c r="BS27" i="24"/>
  <c r="BV27" i="24" s="1"/>
  <c r="BX27" i="24" s="1"/>
  <c r="BG27" i="24"/>
  <c r="BM27" i="24" s="1"/>
  <c r="BB15" i="25"/>
  <c r="BS15" i="25" s="1"/>
  <c r="BC15" i="25"/>
  <c r="BT15" i="25" s="1"/>
  <c r="BA15" i="25"/>
  <c r="BE113" i="25"/>
  <c r="BR113" i="25"/>
  <c r="BX113" i="25" s="1"/>
  <c r="BG98" i="24"/>
  <c r="BM98" i="24" s="1"/>
  <c r="BS98" i="24"/>
  <c r="BV98" i="24" s="1"/>
  <c r="BX98" i="24" s="1"/>
  <c r="BG164" i="24"/>
  <c r="BS164" i="24"/>
  <c r="BX164" i="24" s="1"/>
  <c r="BE97" i="25"/>
  <c r="BK97" i="25" s="1"/>
  <c r="BR97" i="25"/>
  <c r="BV97" i="25" s="1"/>
  <c r="BX97" i="25" s="1"/>
  <c r="BG235" i="24"/>
  <c r="BS235" i="24"/>
  <c r="BX235" i="24" s="1"/>
  <c r="BA121" i="25"/>
  <c r="BB121" i="25"/>
  <c r="BS121" i="25" s="1"/>
  <c r="BC121" i="25"/>
  <c r="BT121" i="25" s="1"/>
  <c r="BB219" i="25"/>
  <c r="BS219" i="25" s="1"/>
  <c r="BC219" i="25"/>
  <c r="BT219" i="25" s="1"/>
  <c r="BA219" i="25"/>
  <c r="BG102" i="24"/>
  <c r="BM102" i="24" s="1"/>
  <c r="BS102" i="24"/>
  <c r="BV102" i="24" s="1"/>
  <c r="BX102" i="24" s="1"/>
  <c r="BG291" i="24"/>
  <c r="BS291" i="24"/>
  <c r="BX291" i="24" s="1"/>
  <c r="BS80" i="24"/>
  <c r="BV80" i="24" s="1"/>
  <c r="BX80" i="24" s="1"/>
  <c r="BG80" i="24"/>
  <c r="BM80" i="24" s="1"/>
  <c r="BA88" i="25"/>
  <c r="BC88" i="25"/>
  <c r="BT88" i="25" s="1"/>
  <c r="BB88" i="25"/>
  <c r="BS88" i="25" s="1"/>
  <c r="BA117" i="25"/>
  <c r="BC117" i="25"/>
  <c r="BT117" i="25" s="1"/>
  <c r="BB117" i="25"/>
  <c r="BS117" i="25" s="1"/>
  <c r="BB99" i="25"/>
  <c r="BS99" i="25" s="1"/>
  <c r="BC99" i="25"/>
  <c r="BT99" i="25" s="1"/>
  <c r="BA99" i="25"/>
  <c r="BA316" i="25"/>
  <c r="BC316" i="25"/>
  <c r="BT316" i="25" s="1"/>
  <c r="BB316" i="25"/>
  <c r="BS316" i="25" s="1"/>
  <c r="BC39" i="25"/>
  <c r="BT39" i="25" s="1"/>
  <c r="BA39" i="25"/>
  <c r="BB39" i="25"/>
  <c r="BS39" i="25" s="1"/>
  <c r="BG277" i="24"/>
  <c r="BS277" i="24"/>
  <c r="BX277" i="24" s="1"/>
  <c r="BS92" i="24"/>
  <c r="BV92" i="24" s="1"/>
  <c r="BX92" i="24" s="1"/>
  <c r="BG92" i="24"/>
  <c r="BM92" i="24" s="1"/>
  <c r="BM112" i="24"/>
  <c r="BN112" i="24" s="1"/>
  <c r="BY135" i="24"/>
  <c r="CA135" i="24" s="1"/>
  <c r="BM135" i="24"/>
  <c r="BN135" i="24" s="1"/>
  <c r="BA93" i="25"/>
  <c r="BC93" i="25"/>
  <c r="BT93" i="25" s="1"/>
  <c r="BB93" i="25"/>
  <c r="BS93" i="25" s="1"/>
  <c r="BG303" i="24"/>
  <c r="BS303" i="24"/>
  <c r="BX303" i="24" s="1"/>
  <c r="BS231" i="24"/>
  <c r="BX231" i="24" s="1"/>
  <c r="BG231" i="24"/>
  <c r="BM232" i="24"/>
  <c r="BN232" i="24" s="1"/>
  <c r="BG210" i="24"/>
  <c r="E19" i="1"/>
  <c r="BS210" i="24"/>
  <c r="BX210" i="24" s="1"/>
  <c r="BM247" i="24"/>
  <c r="BN247" i="24" s="1"/>
  <c r="BG150" i="24"/>
  <c r="BS150" i="24"/>
  <c r="BX150" i="24" s="1"/>
  <c r="BM305" i="24"/>
  <c r="BN305" i="24" s="1"/>
  <c r="BG315" i="24"/>
  <c r="BS315" i="24"/>
  <c r="BX315" i="24" s="1"/>
  <c r="BG146" i="24"/>
  <c r="BS146" i="24"/>
  <c r="BX146" i="24" s="1"/>
  <c r="BB299" i="25"/>
  <c r="BS299" i="25" s="1"/>
  <c r="BC299" i="25"/>
  <c r="BT299" i="25" s="1"/>
  <c r="BA299" i="25"/>
  <c r="BG254" i="24"/>
  <c r="BS254" i="24"/>
  <c r="BX254" i="24" s="1"/>
  <c r="V541" i="29"/>
  <c r="U541" i="29"/>
  <c r="U352" i="29"/>
  <c r="V352" i="29"/>
  <c r="V508" i="29"/>
  <c r="U508" i="29"/>
  <c r="U61" i="29"/>
  <c r="V61" i="29"/>
  <c r="BA165" i="25"/>
  <c r="BC165" i="25"/>
  <c r="BT165" i="25" s="1"/>
  <c r="BB165" i="25"/>
  <c r="BS165" i="25" s="1"/>
  <c r="BG172" i="24"/>
  <c r="BS172" i="24"/>
  <c r="BX172" i="24" s="1"/>
  <c r="BG165" i="24"/>
  <c r="BS165" i="24"/>
  <c r="BX165" i="24" s="1"/>
  <c r="BG239" i="24"/>
  <c r="BS239" i="24"/>
  <c r="BX239" i="24" s="1"/>
  <c r="BS72" i="24"/>
  <c r="BV72" i="24" s="1"/>
  <c r="BX72" i="24" s="1"/>
  <c r="BG72" i="24"/>
  <c r="BM72" i="24" s="1"/>
  <c r="BC191" i="25"/>
  <c r="BT191" i="25" s="1"/>
  <c r="BA191" i="25"/>
  <c r="BB191" i="25"/>
  <c r="BS191" i="25" s="1"/>
  <c r="BG143" i="24"/>
  <c r="BS143" i="24"/>
  <c r="BX143" i="24" s="1"/>
  <c r="BS57" i="24"/>
  <c r="BV57" i="24" s="1"/>
  <c r="BX57" i="24" s="1"/>
  <c r="BG57" i="24"/>
  <c r="BM57" i="24" s="1"/>
  <c r="BA58" i="25"/>
  <c r="BB58" i="25"/>
  <c r="BS58" i="25" s="1"/>
  <c r="BC58" i="25"/>
  <c r="BT58" i="25" s="1"/>
  <c r="BS83" i="24"/>
  <c r="BV83" i="24" s="1"/>
  <c r="BX83" i="24" s="1"/>
  <c r="BG83" i="24"/>
  <c r="BM83" i="24" s="1"/>
  <c r="BR199" i="25"/>
  <c r="BX199" i="25" s="1"/>
  <c r="BE199" i="25"/>
  <c r="BB225" i="25"/>
  <c r="BS225" i="25" s="1"/>
  <c r="BA225" i="25"/>
  <c r="BC225" i="25"/>
  <c r="BT225" i="25" s="1"/>
  <c r="BB187" i="25"/>
  <c r="BS187" i="25" s="1"/>
  <c r="BC187" i="25"/>
  <c r="BT187" i="25" s="1"/>
  <c r="BA187" i="25"/>
  <c r="BA245" i="25"/>
  <c r="BC245" i="25"/>
  <c r="BT245" i="25" s="1"/>
  <c r="BB245" i="25"/>
  <c r="BS245" i="25" s="1"/>
  <c r="BC115" i="25"/>
  <c r="BT115" i="25" s="1"/>
  <c r="BB115" i="25"/>
  <c r="BS115" i="25" s="1"/>
  <c r="BA115" i="25"/>
  <c r="BS48" i="24"/>
  <c r="BV48" i="24" s="1"/>
  <c r="BX48" i="24" s="1"/>
  <c r="BG48" i="24"/>
  <c r="BM48" i="24" s="1"/>
  <c r="BB279" i="25"/>
  <c r="BS279" i="25" s="1"/>
  <c r="BC279" i="25"/>
  <c r="BT279" i="25" s="1"/>
  <c r="BA279" i="25"/>
  <c r="BS100" i="24"/>
  <c r="BV100" i="24" s="1"/>
  <c r="BX100" i="24" s="1"/>
  <c r="BG100" i="24"/>
  <c r="BM100" i="24" s="1"/>
  <c r="BS16" i="24"/>
  <c r="BV16" i="24" s="1"/>
  <c r="BX16" i="24" s="1"/>
  <c r="BG16" i="24"/>
  <c r="BM16" i="24" s="1"/>
  <c r="BG313" i="24"/>
  <c r="BS313" i="24"/>
  <c r="BX313" i="24" s="1"/>
  <c r="BS51" i="24"/>
  <c r="BV51" i="24" s="1"/>
  <c r="BX51" i="24" s="1"/>
  <c r="BG51" i="24"/>
  <c r="BM51" i="24" s="1"/>
  <c r="BG311" i="24"/>
  <c r="BS311" i="24"/>
  <c r="BX311" i="24" s="1"/>
  <c r="BB85" i="25"/>
  <c r="BS85" i="25" s="1"/>
  <c r="BC85" i="25"/>
  <c r="BT85" i="25" s="1"/>
  <c r="BA85" i="25"/>
  <c r="BE292" i="25"/>
  <c r="BR292" i="25"/>
  <c r="BX292" i="25" s="1"/>
  <c r="BG306" i="24"/>
  <c r="BS306" i="24"/>
  <c r="BX306" i="24" s="1"/>
  <c r="BB66" i="25"/>
  <c r="BS66" i="25" s="1"/>
  <c r="BA66" i="25"/>
  <c r="BC66" i="25"/>
  <c r="BT66" i="25" s="1"/>
  <c r="V521" i="29" l="1"/>
  <c r="CB224" i="24"/>
  <c r="CF224" i="24"/>
  <c r="AP212" i="25"/>
  <c r="BG212" i="25"/>
  <c r="V63" i="29"/>
  <c r="U584" i="29"/>
  <c r="AG584" i="29" s="1"/>
  <c r="U380" i="29"/>
  <c r="AG380" i="29" s="1"/>
  <c r="V591" i="29"/>
  <c r="X591" i="29" s="1"/>
  <c r="Y591" i="29" s="1"/>
  <c r="U483" i="29"/>
  <c r="W483" i="29" s="1"/>
  <c r="U576" i="29"/>
  <c r="W576" i="29" s="1"/>
  <c r="CB132" i="24"/>
  <c r="CF132" i="24"/>
  <c r="CB233" i="24"/>
  <c r="CF233" i="24"/>
  <c r="CB21" i="24"/>
  <c r="CF21" i="24"/>
  <c r="CB22" i="24"/>
  <c r="CF22" i="24"/>
  <c r="CB119" i="24"/>
  <c r="CF119" i="24"/>
  <c r="U163" i="29"/>
  <c r="AG163" i="29" s="1"/>
  <c r="CB111" i="24"/>
  <c r="CF111" i="24"/>
  <c r="V536" i="29"/>
  <c r="AH536" i="29" s="1"/>
  <c r="V551" i="29"/>
  <c r="AH551" i="29" s="1"/>
  <c r="BR265" i="25"/>
  <c r="BX265" i="25" s="1"/>
  <c r="V485" i="29"/>
  <c r="X485" i="29" s="1"/>
  <c r="Y485" i="29" s="1"/>
  <c r="V445" i="29"/>
  <c r="X445" i="29" s="1"/>
  <c r="Y445" i="29" s="1"/>
  <c r="V371" i="29"/>
  <c r="AH371" i="29" s="1"/>
  <c r="BM120" i="24"/>
  <c r="BN120" i="24" s="1"/>
  <c r="U225" i="29"/>
  <c r="AG225" i="29" s="1"/>
  <c r="V393" i="29"/>
  <c r="AH393" i="29" s="1"/>
  <c r="V478" i="29"/>
  <c r="AH478" i="29" s="1"/>
  <c r="U24" i="29"/>
  <c r="W24" i="29" s="1"/>
  <c r="V74" i="29"/>
  <c r="AH74" i="29" s="1"/>
  <c r="V304" i="29"/>
  <c r="X304" i="29" s="1"/>
  <c r="Y304" i="29" s="1"/>
  <c r="V66" i="29"/>
  <c r="AH66" i="29" s="1"/>
  <c r="V271" i="29"/>
  <c r="X271" i="29" s="1"/>
  <c r="Y271" i="29" s="1"/>
  <c r="U566" i="29"/>
  <c r="AG566" i="29" s="1"/>
  <c r="U148" i="29"/>
  <c r="W148" i="29" s="1"/>
  <c r="V212" i="29"/>
  <c r="AH212" i="29" s="1"/>
  <c r="V181" i="29"/>
  <c r="AH181" i="29" s="1"/>
  <c r="U223" i="29"/>
  <c r="AG223" i="29" s="1"/>
  <c r="U261" i="29"/>
  <c r="AG261" i="29" s="1"/>
  <c r="V59" i="29"/>
  <c r="AH59" i="29" s="1"/>
  <c r="U137" i="29"/>
  <c r="AG137" i="29" s="1"/>
  <c r="V206" i="29"/>
  <c r="AH206" i="29" s="1"/>
  <c r="U279" i="29"/>
  <c r="W279" i="29" s="1"/>
  <c r="V374" i="29"/>
  <c r="X374" i="29" s="1"/>
  <c r="Y374" i="29" s="1"/>
  <c r="U253" i="29"/>
  <c r="AG253" i="29" s="1"/>
  <c r="U113" i="29"/>
  <c r="AG113" i="29" s="1"/>
  <c r="V159" i="29"/>
  <c r="X159" i="29" s="1"/>
  <c r="Y159" i="29" s="1"/>
  <c r="V602" i="29"/>
  <c r="AH602" i="29" s="1"/>
  <c r="U248" i="29"/>
  <c r="W248" i="29" s="1"/>
  <c r="U64" i="29"/>
  <c r="W64" i="29" s="1"/>
  <c r="V337" i="29"/>
  <c r="AH337" i="29" s="1"/>
  <c r="V363" i="29"/>
  <c r="AH363" i="29" s="1"/>
  <c r="V106" i="29"/>
  <c r="AH106" i="29" s="1"/>
  <c r="U606" i="29"/>
  <c r="W606" i="29" s="1"/>
  <c r="V46" i="29"/>
  <c r="X46" i="29" s="1"/>
  <c r="Y46" i="29" s="1"/>
  <c r="BY219" i="24"/>
  <c r="CA219" i="24" s="1"/>
  <c r="CB219" i="24" s="1"/>
  <c r="BM283" i="24"/>
  <c r="BN283" i="24" s="1"/>
  <c r="BY295" i="24"/>
  <c r="CA295" i="24" s="1"/>
  <c r="CB295" i="24" s="1"/>
  <c r="U85" i="29"/>
  <c r="W85" i="29" s="1"/>
  <c r="CB257" i="24"/>
  <c r="CF257" i="24"/>
  <c r="CB101" i="24"/>
  <c r="CF101" i="24"/>
  <c r="CB191" i="24"/>
  <c r="CF191" i="24"/>
  <c r="BY147" i="24"/>
  <c r="CA147" i="24" s="1"/>
  <c r="CB147" i="24" s="1"/>
  <c r="BY12" i="24"/>
  <c r="CA12" i="24" s="1"/>
  <c r="CB12" i="24" s="1"/>
  <c r="BY242" i="24"/>
  <c r="CA242" i="24" s="1"/>
  <c r="CB242" i="24" s="1"/>
  <c r="BY121" i="24"/>
  <c r="CA121" i="24" s="1"/>
  <c r="CB121" i="24" s="1"/>
  <c r="V71" i="29"/>
  <c r="X71" i="29" s="1"/>
  <c r="Y71" i="29" s="1"/>
  <c r="BN18" i="24"/>
  <c r="U19" i="29"/>
  <c r="AG19" i="29" s="1"/>
  <c r="V604" i="29"/>
  <c r="X604" i="29" s="1"/>
  <c r="Y604" i="29" s="1"/>
  <c r="U266" i="29"/>
  <c r="W266" i="29" s="1"/>
  <c r="BR154" i="25"/>
  <c r="BX154" i="25" s="1"/>
  <c r="BY265" i="24"/>
  <c r="CA265" i="24" s="1"/>
  <c r="CB265" i="24" s="1"/>
  <c r="U603" i="29"/>
  <c r="AG603" i="29" s="1"/>
  <c r="V309" i="29"/>
  <c r="AH309" i="29" s="1"/>
  <c r="U379" i="29"/>
  <c r="W379" i="29" s="1"/>
  <c r="U338" i="29"/>
  <c r="W338" i="29" s="1"/>
  <c r="U507" i="29"/>
  <c r="AG507" i="29" s="1"/>
  <c r="BY112" i="24"/>
  <c r="CA112" i="24" s="1"/>
  <c r="CB112" i="24" s="1"/>
  <c r="U284" i="29"/>
  <c r="W284" i="29" s="1"/>
  <c r="BX130" i="24"/>
  <c r="U322" i="29"/>
  <c r="AG322" i="29" s="1"/>
  <c r="V384" i="29"/>
  <c r="AH384" i="29" s="1"/>
  <c r="V168" i="29"/>
  <c r="X168" i="29" s="1"/>
  <c r="Y168" i="29" s="1"/>
  <c r="U186" i="29"/>
  <c r="W186" i="29" s="1"/>
  <c r="U105" i="29"/>
  <c r="W105" i="29" s="1"/>
  <c r="V205" i="29"/>
  <c r="X205" i="29" s="1"/>
  <c r="Y205" i="29" s="1"/>
  <c r="U562" i="29"/>
  <c r="AG562" i="29" s="1"/>
  <c r="U198" i="29"/>
  <c r="AG198" i="29" s="1"/>
  <c r="V367" i="29"/>
  <c r="AH367" i="29" s="1"/>
  <c r="V578" i="29"/>
  <c r="AH578" i="29" s="1"/>
  <c r="U608" i="29"/>
  <c r="W608" i="29" s="1"/>
  <c r="BY6" i="24"/>
  <c r="CA6" i="24" s="1"/>
  <c r="U373" i="29"/>
  <c r="AG373" i="29" s="1"/>
  <c r="V391" i="29"/>
  <c r="AH391" i="29" s="1"/>
  <c r="V257" i="29"/>
  <c r="AH257" i="29" s="1"/>
  <c r="V22" i="29"/>
  <c r="X22" i="29" s="1"/>
  <c r="Y22" i="29" s="1"/>
  <c r="U511" i="29"/>
  <c r="W511" i="29" s="1"/>
  <c r="U417" i="29"/>
  <c r="W417" i="29" s="1"/>
  <c r="BY238" i="24"/>
  <c r="CA238" i="24" s="1"/>
  <c r="U207" i="29"/>
  <c r="AG207" i="29" s="1"/>
  <c r="U111" i="29"/>
  <c r="W111" i="29" s="1"/>
  <c r="V553" i="29"/>
  <c r="AH553" i="29" s="1"/>
  <c r="U362" i="29"/>
  <c r="W362" i="29" s="1"/>
  <c r="U343" i="29"/>
  <c r="AG343" i="29" s="1"/>
  <c r="V340" i="29"/>
  <c r="AH340" i="29" s="1"/>
  <c r="V54" i="29"/>
  <c r="AH54" i="29" s="1"/>
  <c r="BY279" i="24"/>
  <c r="CA279" i="24" s="1"/>
  <c r="CB279" i="24" s="1"/>
  <c r="U108" i="29"/>
  <c r="AG108" i="29" s="1"/>
  <c r="V358" i="29"/>
  <c r="X358" i="29" s="1"/>
  <c r="Y358" i="29" s="1"/>
  <c r="BY27" i="24"/>
  <c r="CA27" i="24" s="1"/>
  <c r="CB27" i="24" s="1"/>
  <c r="V457" i="29"/>
  <c r="AH457" i="29" s="1"/>
  <c r="V79" i="29"/>
  <c r="AH79" i="29" s="1"/>
  <c r="V370" i="29"/>
  <c r="AH370" i="29" s="1"/>
  <c r="V276" i="29"/>
  <c r="AH276" i="29" s="1"/>
  <c r="U348" i="29"/>
  <c r="AG348" i="29" s="1"/>
  <c r="BY298" i="24"/>
  <c r="CA298" i="24" s="1"/>
  <c r="CB298" i="24" s="1"/>
  <c r="V317" i="29"/>
  <c r="AH317" i="29" s="1"/>
  <c r="U252" i="29"/>
  <c r="W252" i="29" s="1"/>
  <c r="U365" i="29"/>
  <c r="W365" i="29" s="1"/>
  <c r="V203" i="29"/>
  <c r="X203" i="29" s="1"/>
  <c r="Y203" i="29" s="1"/>
  <c r="U70" i="29"/>
  <c r="AG70" i="29" s="1"/>
  <c r="U357" i="29"/>
  <c r="AG357" i="29" s="1"/>
  <c r="V258" i="29"/>
  <c r="AH258" i="29" s="1"/>
  <c r="U123" i="29"/>
  <c r="W123" i="29" s="1"/>
  <c r="BY299" i="24"/>
  <c r="CA299" i="24" s="1"/>
  <c r="U109" i="29"/>
  <c r="AG109" i="29" s="1"/>
  <c r="U560" i="29"/>
  <c r="W560" i="29" s="1"/>
  <c r="V466" i="29"/>
  <c r="X466" i="29" s="1"/>
  <c r="Y466" i="29" s="1"/>
  <c r="U107" i="29"/>
  <c r="AG107" i="29" s="1"/>
  <c r="U475" i="29"/>
  <c r="W475" i="29" s="1"/>
  <c r="CB55" i="24"/>
  <c r="B287" i="2" s="1"/>
  <c r="CF55" i="24"/>
  <c r="U115" i="29"/>
  <c r="AG115" i="29" s="1"/>
  <c r="U254" i="29"/>
  <c r="AG254" i="29" s="1"/>
  <c r="V80" i="29"/>
  <c r="AH80" i="29" s="1"/>
  <c r="V516" i="29"/>
  <c r="X516" i="29" s="1"/>
  <c r="Y516" i="29" s="1"/>
  <c r="V563" i="29"/>
  <c r="AH563" i="29" s="1"/>
  <c r="V34" i="29"/>
  <c r="X34" i="29" s="1"/>
  <c r="Y34" i="29" s="1"/>
  <c r="V408" i="29"/>
  <c r="AH408" i="29" s="1"/>
  <c r="V501" i="29"/>
  <c r="AH501" i="29" s="1"/>
  <c r="U429" i="29"/>
  <c r="AG429" i="29" s="1"/>
  <c r="U156" i="29"/>
  <c r="AG156" i="29" s="1"/>
  <c r="V151" i="29"/>
  <c r="AH151" i="29" s="1"/>
  <c r="U49" i="29"/>
  <c r="AG49" i="29" s="1"/>
  <c r="U587" i="29"/>
  <c r="AG587" i="29" s="1"/>
  <c r="V582" i="29"/>
  <c r="AH582" i="29" s="1"/>
  <c r="V217" i="29"/>
  <c r="AH217" i="29" s="1"/>
  <c r="U611" i="29"/>
  <c r="W611" i="29" s="1"/>
  <c r="V359" i="29"/>
  <c r="X359" i="29" s="1"/>
  <c r="Y359" i="29" s="1"/>
  <c r="U557" i="29"/>
  <c r="AG557" i="29" s="1"/>
  <c r="BY24" i="24"/>
  <c r="CA24" i="24" s="1"/>
  <c r="CB24" i="24" s="1"/>
  <c r="U166" i="29"/>
  <c r="AG166" i="29" s="1"/>
  <c r="U104" i="29"/>
  <c r="W104" i="29" s="1"/>
  <c r="U153" i="29"/>
  <c r="AG153" i="29" s="1"/>
  <c r="V589" i="29"/>
  <c r="X589" i="29" s="1"/>
  <c r="Y589" i="29" s="1"/>
  <c r="U98" i="29"/>
  <c r="AG98" i="29" s="1"/>
  <c r="V292" i="29"/>
  <c r="AH292" i="29" s="1"/>
  <c r="U513" i="29"/>
  <c r="W513" i="29" s="1"/>
  <c r="V613" i="29"/>
  <c r="AH613" i="29" s="1"/>
  <c r="V477" i="29"/>
  <c r="X477" i="29" s="1"/>
  <c r="Y477" i="29" s="1"/>
  <c r="U52" i="29"/>
  <c r="AG52" i="29" s="1"/>
  <c r="U204" i="29"/>
  <c r="W204" i="29" s="1"/>
  <c r="BY282" i="24"/>
  <c r="CA282" i="24" s="1"/>
  <c r="CB282" i="24" s="1"/>
  <c r="U571" i="29"/>
  <c r="AG571" i="29" s="1"/>
  <c r="V161" i="29"/>
  <c r="X161" i="29" s="1"/>
  <c r="Y161" i="29" s="1"/>
  <c r="V235" i="29"/>
  <c r="X235" i="29" s="1"/>
  <c r="Y235" i="29" s="1"/>
  <c r="U598" i="29"/>
  <c r="AG598" i="29" s="1"/>
  <c r="U144" i="29"/>
  <c r="W144" i="29" s="1"/>
  <c r="V510" i="29"/>
  <c r="X510" i="29" s="1"/>
  <c r="Y510" i="29" s="1"/>
  <c r="U515" i="29"/>
  <c r="W515" i="29" s="1"/>
  <c r="V471" i="29"/>
  <c r="AH471" i="29" s="1"/>
  <c r="BY305" i="24"/>
  <c r="CA305" i="24" s="1"/>
  <c r="V127" i="29"/>
  <c r="X127" i="29" s="1"/>
  <c r="Y127" i="29" s="1"/>
  <c r="U216" i="29"/>
  <c r="AG216" i="29" s="1"/>
  <c r="U326" i="29"/>
  <c r="AG326" i="29" s="1"/>
  <c r="BY296" i="24"/>
  <c r="CA296" i="24" s="1"/>
  <c r="CB296" i="24" s="1"/>
  <c r="U555" i="29"/>
  <c r="W555" i="29" s="1"/>
  <c r="V361" i="29"/>
  <c r="X361" i="29" s="1"/>
  <c r="Y361" i="29" s="1"/>
  <c r="V397" i="29"/>
  <c r="X397" i="29" s="1"/>
  <c r="Y397" i="29" s="1"/>
  <c r="U493" i="29"/>
  <c r="AG493" i="29" s="1"/>
  <c r="V229" i="29"/>
  <c r="X229" i="29" s="1"/>
  <c r="Y229" i="29" s="1"/>
  <c r="V35" i="29"/>
  <c r="AH35" i="29" s="1"/>
  <c r="V470" i="29"/>
  <c r="X470" i="29" s="1"/>
  <c r="Y470" i="29" s="1"/>
  <c r="V577" i="29"/>
  <c r="X577" i="29" s="1"/>
  <c r="Y577" i="29" s="1"/>
  <c r="V586" i="29"/>
  <c r="AH586" i="29" s="1"/>
  <c r="U270" i="29"/>
  <c r="AG270" i="29" s="1"/>
  <c r="U90" i="29"/>
  <c r="AG90" i="29" s="1"/>
  <c r="V241" i="29"/>
  <c r="AH241" i="29" s="1"/>
  <c r="U325" i="29"/>
  <c r="W325" i="29" s="1"/>
  <c r="V377" i="29"/>
  <c r="AH377" i="29" s="1"/>
  <c r="U532" i="29"/>
  <c r="W532" i="29" s="1"/>
  <c r="V339" i="29"/>
  <c r="X339" i="29" s="1"/>
  <c r="Y339" i="29" s="1"/>
  <c r="U194" i="29"/>
  <c r="W194" i="29" s="1"/>
  <c r="U347" i="29"/>
  <c r="AG347" i="29" s="1"/>
  <c r="V152" i="29"/>
  <c r="X152" i="29" s="1"/>
  <c r="Y152" i="29" s="1"/>
  <c r="V345" i="29"/>
  <c r="X345" i="29" s="1"/>
  <c r="Y345" i="29" s="1"/>
  <c r="V256" i="29"/>
  <c r="X256" i="29" s="1"/>
  <c r="Y256" i="29" s="1"/>
  <c r="U89" i="29"/>
  <c r="AG89" i="29" s="1"/>
  <c r="BY232" i="24"/>
  <c r="CA232" i="24" s="1"/>
  <c r="V220" i="29"/>
  <c r="AH220" i="29" s="1"/>
  <c r="U559" i="29"/>
  <c r="W559" i="29" s="1"/>
  <c r="V299" i="29"/>
  <c r="AH299" i="29" s="1"/>
  <c r="V138" i="29"/>
  <c r="X138" i="29" s="1"/>
  <c r="Y138" i="29" s="1"/>
  <c r="V462" i="29"/>
  <c r="AH462" i="29" s="1"/>
  <c r="BY280" i="24"/>
  <c r="CA280" i="24" s="1"/>
  <c r="CB280" i="24" s="1"/>
  <c r="V597" i="29"/>
  <c r="X597" i="29" s="1"/>
  <c r="Y597" i="29" s="1"/>
  <c r="U185" i="29"/>
  <c r="AG185" i="29" s="1"/>
  <c r="U332" i="29"/>
  <c r="W332" i="29" s="1"/>
  <c r="U222" i="29"/>
  <c r="AG222" i="29" s="1"/>
  <c r="U480" i="29"/>
  <c r="AG480" i="29" s="1"/>
  <c r="V443" i="29"/>
  <c r="X443" i="29" s="1"/>
  <c r="Y443" i="29" s="1"/>
  <c r="V43" i="29"/>
  <c r="AH43" i="29" s="1"/>
  <c r="V331" i="29"/>
  <c r="AH331" i="29" s="1"/>
  <c r="U526" i="29"/>
  <c r="AG526" i="29" s="1"/>
  <c r="U122" i="29"/>
  <c r="AG122" i="29" s="1"/>
  <c r="V543" i="29"/>
  <c r="X543" i="29" s="1"/>
  <c r="Y543" i="29" s="1"/>
  <c r="BY54" i="24"/>
  <c r="CA54" i="24" s="1"/>
  <c r="V53" i="29"/>
  <c r="AH53" i="29" s="1"/>
  <c r="V468" i="29"/>
  <c r="X468" i="29" s="1"/>
  <c r="Y468" i="29" s="1"/>
  <c r="V404" i="29"/>
  <c r="AH404" i="29" s="1"/>
  <c r="V233" i="29"/>
  <c r="AH233" i="29" s="1"/>
  <c r="U289" i="29"/>
  <c r="AG289" i="29" s="1"/>
  <c r="V327" i="29"/>
  <c r="AH327" i="29" s="1"/>
  <c r="V93" i="29"/>
  <c r="X93" i="29" s="1"/>
  <c r="Y93" i="29" s="1"/>
  <c r="U73" i="29"/>
  <c r="W73" i="29" s="1"/>
  <c r="U165" i="29"/>
  <c r="W165" i="29" s="1"/>
  <c r="V293" i="29"/>
  <c r="AH293" i="29" s="1"/>
  <c r="V402" i="29"/>
  <c r="AH402" i="29" s="1"/>
  <c r="V596" i="29"/>
  <c r="AH596" i="29" s="1"/>
  <c r="V590" i="29"/>
  <c r="X590" i="29" s="1"/>
  <c r="Y590" i="29" s="1"/>
  <c r="V580" i="29"/>
  <c r="AH580" i="29" s="1"/>
  <c r="BN28" i="24"/>
  <c r="V454" i="29"/>
  <c r="X454" i="29" s="1"/>
  <c r="Y454" i="29" s="1"/>
  <c r="U50" i="29"/>
  <c r="W50" i="29" s="1"/>
  <c r="U448" i="29"/>
  <c r="AG448" i="29" s="1"/>
  <c r="U556" i="29"/>
  <c r="AG556" i="29" s="1"/>
  <c r="V558" i="29"/>
  <c r="X558" i="29" s="1"/>
  <c r="Y558" i="29" s="1"/>
  <c r="V298" i="29"/>
  <c r="AH298" i="29" s="1"/>
  <c r="V400" i="29"/>
  <c r="X400" i="29" s="1"/>
  <c r="Y400" i="29" s="1"/>
  <c r="U242" i="29"/>
  <c r="AG242" i="29" s="1"/>
  <c r="BY253" i="24"/>
  <c r="CA253" i="24" s="1"/>
  <c r="CB253" i="24" s="1"/>
  <c r="V303" i="29"/>
  <c r="AH303" i="29" s="1"/>
  <c r="V503" i="29"/>
  <c r="AH503" i="29" s="1"/>
  <c r="U139" i="29"/>
  <c r="W139" i="29" s="1"/>
  <c r="V48" i="29"/>
  <c r="AH48" i="29" s="1"/>
  <c r="V308" i="29"/>
  <c r="AH308" i="29" s="1"/>
  <c r="V184" i="29"/>
  <c r="AH184" i="29" s="1"/>
  <c r="V546" i="29"/>
  <c r="X546" i="29" s="1"/>
  <c r="Y546" i="29" s="1"/>
  <c r="U246" i="29"/>
  <c r="W246" i="29" s="1"/>
  <c r="U387" i="29"/>
  <c r="W387" i="29" s="1"/>
  <c r="U610" i="29"/>
  <c r="AG610" i="29" s="1"/>
  <c r="V497" i="29"/>
  <c r="AH497" i="29" s="1"/>
  <c r="CB45" i="24"/>
  <c r="CF45" i="24"/>
  <c r="CB135" i="24"/>
  <c r="CF135" i="24"/>
  <c r="U530" i="29"/>
  <c r="W530" i="29" s="1"/>
  <c r="V96" i="29"/>
  <c r="X96" i="29" s="1"/>
  <c r="Y96" i="29" s="1"/>
  <c r="U439" i="29"/>
  <c r="AG439" i="29" s="1"/>
  <c r="U86" i="29"/>
  <c r="W86" i="29" s="1"/>
  <c r="V512" i="29"/>
  <c r="AH512" i="29" s="1"/>
  <c r="U218" i="29"/>
  <c r="AG218" i="29" s="1"/>
  <c r="U221" i="29"/>
  <c r="AG221" i="29" s="1"/>
  <c r="U350" i="29"/>
  <c r="AG350" i="29" s="1"/>
  <c r="BM224" i="24"/>
  <c r="BN224" i="24" s="1"/>
  <c r="V567" i="29"/>
  <c r="AH567" i="29" s="1"/>
  <c r="V414" i="29"/>
  <c r="AH414" i="29" s="1"/>
  <c r="U401" i="29"/>
  <c r="AG401" i="29" s="1"/>
  <c r="V214" i="29"/>
  <c r="X214" i="29" s="1"/>
  <c r="Y214" i="29" s="1"/>
  <c r="V29" i="29"/>
  <c r="AH29" i="29" s="1"/>
  <c r="U45" i="29"/>
  <c r="W45" i="29" s="1"/>
  <c r="U522" i="29"/>
  <c r="AG522" i="29" s="1"/>
  <c r="V30" i="29"/>
  <c r="AH30" i="29" s="1"/>
  <c r="V171" i="29"/>
  <c r="X171" i="29" s="1"/>
  <c r="Y171" i="29" s="1"/>
  <c r="U88" i="29"/>
  <c r="W88" i="29" s="1"/>
  <c r="V224" i="29"/>
  <c r="X224" i="29" s="1"/>
  <c r="Y224" i="29" s="1"/>
  <c r="V605" i="29"/>
  <c r="X605" i="29" s="1"/>
  <c r="Y605" i="29" s="1"/>
  <c r="V101" i="29"/>
  <c r="AH101" i="29" s="1"/>
  <c r="U234" i="29"/>
  <c r="AG234" i="29" s="1"/>
  <c r="V418" i="29"/>
  <c r="AH418" i="29" s="1"/>
  <c r="U529" i="29"/>
  <c r="AG529" i="29" s="1"/>
  <c r="U140" i="29"/>
  <c r="AG140" i="29" s="1"/>
  <c r="U133" i="29"/>
  <c r="AG133" i="29" s="1"/>
  <c r="V554" i="29"/>
  <c r="AH554" i="29" s="1"/>
  <c r="U465" i="29"/>
  <c r="AG465" i="29" s="1"/>
  <c r="U341" i="29"/>
  <c r="AG341" i="29" s="1"/>
  <c r="U291" i="29"/>
  <c r="AG291" i="29" s="1"/>
  <c r="V388" i="29"/>
  <c r="AH388" i="29" s="1"/>
  <c r="U594" i="29"/>
  <c r="W594" i="29" s="1"/>
  <c r="V552" i="29"/>
  <c r="AH552" i="29" s="1"/>
  <c r="V499" i="29"/>
  <c r="AH499" i="29" s="1"/>
  <c r="V354" i="29"/>
  <c r="X354" i="29" s="1"/>
  <c r="Y354" i="29" s="1"/>
  <c r="V334" i="29"/>
  <c r="AH334" i="29" s="1"/>
  <c r="U230" i="29"/>
  <c r="W230" i="29" s="1"/>
  <c r="V69" i="29"/>
  <c r="AH69" i="29" s="1"/>
  <c r="V479" i="29"/>
  <c r="AH479" i="29" s="1"/>
  <c r="V415" i="29"/>
  <c r="AH415" i="29" s="1"/>
  <c r="U286" i="29"/>
  <c r="W286" i="29" s="1"/>
  <c r="V167" i="29"/>
  <c r="AH167" i="29" s="1"/>
  <c r="V424" i="29"/>
  <c r="AH424" i="29" s="1"/>
  <c r="U147" i="29"/>
  <c r="AG147" i="29" s="1"/>
  <c r="U170" i="29"/>
  <c r="AG170" i="29" s="1"/>
  <c r="U294" i="29"/>
  <c r="W294" i="29" s="1"/>
  <c r="U319" i="29"/>
  <c r="W319" i="29" s="1"/>
  <c r="U25" i="29"/>
  <c r="AG25" i="29" s="1"/>
  <c r="V44" i="29"/>
  <c r="AH44" i="29" s="1"/>
  <c r="V190" i="29"/>
  <c r="X190" i="29" s="1"/>
  <c r="Y190" i="29" s="1"/>
  <c r="V376" i="29"/>
  <c r="AH376" i="29" s="1"/>
  <c r="V342" i="29"/>
  <c r="AH342" i="29" s="1"/>
  <c r="V413" i="29"/>
  <c r="AH413" i="29" s="1"/>
  <c r="V81" i="29"/>
  <c r="X81" i="29" s="1"/>
  <c r="Y81" i="29" s="1"/>
  <c r="U440" i="29"/>
  <c r="W440" i="29" s="1"/>
  <c r="U422" i="29"/>
  <c r="AG422" i="29" s="1"/>
  <c r="V428" i="29"/>
  <c r="AH428" i="29" s="1"/>
  <c r="V40" i="29"/>
  <c r="AH40" i="29" s="1"/>
  <c r="V268" i="29"/>
  <c r="AH268" i="29" s="1"/>
  <c r="U609" i="29"/>
  <c r="W609" i="29" s="1"/>
  <c r="V486" i="29"/>
  <c r="X486" i="29" s="1"/>
  <c r="Y486" i="29" s="1"/>
  <c r="V321" i="29"/>
  <c r="X321" i="29" s="1"/>
  <c r="Y321" i="29" s="1"/>
  <c r="U447" i="29"/>
  <c r="W447" i="29" s="1"/>
  <c r="U84" i="29"/>
  <c r="AG84" i="29" s="1"/>
  <c r="V208" i="29"/>
  <c r="X208" i="29" s="1"/>
  <c r="Y208" i="29" s="1"/>
  <c r="U180" i="29"/>
  <c r="W180" i="29" s="1"/>
  <c r="V274" i="29"/>
  <c r="AH274" i="29" s="1"/>
  <c r="U488" i="29"/>
  <c r="W488" i="29" s="1"/>
  <c r="V494" i="29"/>
  <c r="X494" i="29" s="1"/>
  <c r="Y494" i="29" s="1"/>
  <c r="U183" i="29"/>
  <c r="AG183" i="29" s="1"/>
  <c r="V114" i="29"/>
  <c r="AH114" i="29" s="1"/>
  <c r="U463" i="29"/>
  <c r="AG463" i="29" s="1"/>
  <c r="U474" i="29"/>
  <c r="AG474" i="29" s="1"/>
  <c r="U324" i="29"/>
  <c r="W324" i="29" s="1"/>
  <c r="V346" i="29"/>
  <c r="X346" i="29" s="1"/>
  <c r="Y346" i="29" s="1"/>
  <c r="U13" i="29"/>
  <c r="AG13" i="29" s="1"/>
  <c r="BY26" i="24"/>
  <c r="CA26" i="24" s="1"/>
  <c r="CB26" i="24" s="1"/>
  <c r="BY148" i="24"/>
  <c r="CA148" i="24" s="1"/>
  <c r="CB148" i="24" s="1"/>
  <c r="V550" i="29"/>
  <c r="X550" i="29" s="1"/>
  <c r="Y550" i="29" s="1"/>
  <c r="U406" i="29"/>
  <c r="AG406" i="29" s="1"/>
  <c r="V581" i="29"/>
  <c r="X581" i="29" s="1"/>
  <c r="Y581" i="29" s="1"/>
  <c r="U453" i="29"/>
  <c r="W453" i="29" s="1"/>
  <c r="U33" i="29"/>
  <c r="W33" i="29" s="1"/>
  <c r="V57" i="29"/>
  <c r="AH57" i="29" s="1"/>
  <c r="U187" i="29"/>
  <c r="AG187" i="29" s="1"/>
  <c r="V302" i="29"/>
  <c r="X302" i="29" s="1"/>
  <c r="Y302" i="29" s="1"/>
  <c r="V197" i="29"/>
  <c r="AH197" i="29" s="1"/>
  <c r="BY58" i="24"/>
  <c r="CA58" i="24" s="1"/>
  <c r="CB58" i="24" s="1"/>
  <c r="V239" i="29"/>
  <c r="X239" i="29" s="1"/>
  <c r="Y239" i="29" s="1"/>
  <c r="U154" i="29"/>
  <c r="AG154" i="29" s="1"/>
  <c r="U336" i="29"/>
  <c r="AG336" i="29" s="1"/>
  <c r="V333" i="29"/>
  <c r="X333" i="29" s="1"/>
  <c r="Y333" i="29" s="1"/>
  <c r="U32" i="29"/>
  <c r="W32" i="29" s="1"/>
  <c r="U412" i="29"/>
  <c r="AG412" i="29" s="1"/>
  <c r="V267" i="29"/>
  <c r="X267" i="29" s="1"/>
  <c r="Y267" i="29" s="1"/>
  <c r="U117" i="29"/>
  <c r="W117" i="29" s="1"/>
  <c r="U390" i="29"/>
  <c r="W390" i="29" s="1"/>
  <c r="V178" i="29"/>
  <c r="AH178" i="29" s="1"/>
  <c r="U130" i="29"/>
  <c r="AG130" i="29" s="1"/>
  <c r="V505" i="29"/>
  <c r="AH505" i="29" s="1"/>
  <c r="U149" i="29"/>
  <c r="AG149" i="29" s="1"/>
  <c r="V329" i="29"/>
  <c r="AH329" i="29" s="1"/>
  <c r="BY33" i="24"/>
  <c r="CA33" i="24" s="1"/>
  <c r="CB33" i="24" s="1"/>
  <c r="V535" i="29"/>
  <c r="AH535" i="29" s="1"/>
  <c r="V467" i="29"/>
  <c r="X467" i="29" s="1"/>
  <c r="Y467" i="29" s="1"/>
  <c r="U164" i="29"/>
  <c r="AG164" i="29" s="1"/>
  <c r="U100" i="29"/>
  <c r="W100" i="29" s="1"/>
  <c r="U192" i="29"/>
  <c r="W192" i="29" s="1"/>
  <c r="V472" i="29"/>
  <c r="AH472" i="29" s="1"/>
  <c r="U297" i="29"/>
  <c r="AG297" i="29" s="1"/>
  <c r="V435" i="29"/>
  <c r="X435" i="29" s="1"/>
  <c r="Y435" i="29" s="1"/>
  <c r="V20" i="29"/>
  <c r="X20" i="29" s="1"/>
  <c r="Y20" i="29" s="1"/>
  <c r="V344" i="29"/>
  <c r="AH344" i="29" s="1"/>
  <c r="U460" i="29"/>
  <c r="W460" i="29" s="1"/>
  <c r="V476" i="29"/>
  <c r="AH476" i="29" s="1"/>
  <c r="V87" i="29"/>
  <c r="X87" i="29" s="1"/>
  <c r="Y87" i="29" s="1"/>
  <c r="U264" i="29"/>
  <c r="W264" i="29" s="1"/>
  <c r="U490" i="29"/>
  <c r="W490" i="29" s="1"/>
  <c r="V39" i="29"/>
  <c r="X39" i="29" s="1"/>
  <c r="Y39" i="29" s="1"/>
  <c r="V473" i="29"/>
  <c r="X473" i="29" s="1"/>
  <c r="Y473" i="29" s="1"/>
  <c r="V118" i="29"/>
  <c r="X118" i="29" s="1"/>
  <c r="Y118" i="29" s="1"/>
  <c r="V306" i="29"/>
  <c r="AH306" i="29" s="1"/>
  <c r="U540" i="29"/>
  <c r="W540" i="29" s="1"/>
  <c r="U330" i="29"/>
  <c r="AG330" i="29" s="1"/>
  <c r="U514" i="29"/>
  <c r="AG514" i="29" s="1"/>
  <c r="V17" i="29"/>
  <c r="X17" i="29" s="1"/>
  <c r="Y17" i="29" s="1"/>
  <c r="U120" i="29"/>
  <c r="W120" i="29" s="1"/>
  <c r="BY247" i="24"/>
  <c r="CA247" i="24" s="1"/>
  <c r="CB247" i="24" s="1"/>
  <c r="U210" i="29"/>
  <c r="AG210" i="29" s="1"/>
  <c r="U574" i="29"/>
  <c r="W574" i="29" s="1"/>
  <c r="V236" i="29"/>
  <c r="X236" i="29" s="1"/>
  <c r="Y236" i="29" s="1"/>
  <c r="U349" i="29"/>
  <c r="W349" i="29" s="1"/>
  <c r="U316" i="29"/>
  <c r="W316" i="29" s="1"/>
  <c r="BY19" i="24"/>
  <c r="CA19" i="24" s="1"/>
  <c r="CB19" i="24" s="1"/>
  <c r="V461" i="29"/>
  <c r="AH461" i="29" s="1"/>
  <c r="V136" i="29"/>
  <c r="X136" i="29" s="1"/>
  <c r="Y136" i="29" s="1"/>
  <c r="V438" i="29"/>
  <c r="X438" i="29" s="1"/>
  <c r="Y438" i="29" s="1"/>
  <c r="U23" i="29"/>
  <c r="AG23" i="29" s="1"/>
  <c r="V368" i="29"/>
  <c r="AH368" i="29" s="1"/>
  <c r="V612" i="29"/>
  <c r="X612" i="29" s="1"/>
  <c r="Y612" i="29" s="1"/>
  <c r="V250" i="29"/>
  <c r="AH250" i="29" s="1"/>
  <c r="U128" i="29"/>
  <c r="W128" i="29" s="1"/>
  <c r="V125" i="29"/>
  <c r="X125" i="29" s="1"/>
  <c r="Y125" i="29" s="1"/>
  <c r="U112" i="29"/>
  <c r="W112" i="29" s="1"/>
  <c r="U277" i="29"/>
  <c r="W277" i="29" s="1"/>
  <c r="U72" i="29"/>
  <c r="W72" i="29" s="1"/>
  <c r="U146" i="29"/>
  <c r="W146" i="29" s="1"/>
  <c r="U498" i="29"/>
  <c r="AG498" i="29" s="1"/>
  <c r="U219" i="29"/>
  <c r="AG219" i="29" s="1"/>
  <c r="U150" i="29"/>
  <c r="AG150" i="29" s="1"/>
  <c r="V281" i="29"/>
  <c r="AH281" i="29" s="1"/>
  <c r="V259" i="29"/>
  <c r="AH259" i="29" s="1"/>
  <c r="U366" i="29"/>
  <c r="W366" i="29" s="1"/>
  <c r="U569" i="29"/>
  <c r="W569" i="29" s="1"/>
  <c r="V262" i="29"/>
  <c r="AH262" i="29" s="1"/>
  <c r="U116" i="29"/>
  <c r="AG116" i="29" s="1"/>
  <c r="U588" i="29"/>
  <c r="AG588" i="29" s="1"/>
  <c r="BY228" i="24"/>
  <c r="CA228" i="24" s="1"/>
  <c r="CB228" i="24" s="1"/>
  <c r="U455" i="29"/>
  <c r="W455" i="29" s="1"/>
  <c r="V320" i="29"/>
  <c r="X320" i="29" s="1"/>
  <c r="Y320" i="29" s="1"/>
  <c r="U430" i="29"/>
  <c r="AG430" i="29" s="1"/>
  <c r="U432" i="29"/>
  <c r="AG432" i="29" s="1"/>
  <c r="U240" i="29"/>
  <c r="AG240" i="29" s="1"/>
  <c r="U351" i="29"/>
  <c r="AG351" i="29" s="1"/>
  <c r="V272" i="29"/>
  <c r="AH272" i="29" s="1"/>
  <c r="U199" i="29"/>
  <c r="AG199" i="29" s="1"/>
  <c r="V538" i="29"/>
  <c r="X538" i="29" s="1"/>
  <c r="Y538" i="29" s="1"/>
  <c r="V228" i="29"/>
  <c r="AH228" i="29" s="1"/>
  <c r="U41" i="29"/>
  <c r="AG41" i="29" s="1"/>
  <c r="V135" i="29"/>
  <c r="X135" i="29" s="1"/>
  <c r="Y135" i="29" s="1"/>
  <c r="U434" i="29"/>
  <c r="AG434" i="29" s="1"/>
  <c r="U38" i="29"/>
  <c r="W38" i="29" s="1"/>
  <c r="U177" i="29"/>
  <c r="AG177" i="29" s="1"/>
  <c r="V409" i="29"/>
  <c r="AH409" i="29" s="1"/>
  <c r="V76" i="29"/>
  <c r="X76" i="29" s="1"/>
  <c r="Y76" i="29" s="1"/>
  <c r="U244" i="29"/>
  <c r="W244" i="29" s="1"/>
  <c r="U583" i="29"/>
  <c r="W583" i="29" s="1"/>
  <c r="V273" i="29"/>
  <c r="AH273" i="29" s="1"/>
  <c r="V283" i="29"/>
  <c r="X283" i="29" s="1"/>
  <c r="Y283" i="29" s="1"/>
  <c r="V169" i="29"/>
  <c r="AH169" i="29" s="1"/>
  <c r="U103" i="29"/>
  <c r="W103" i="29" s="1"/>
  <c r="U92" i="29"/>
  <c r="W92" i="29" s="1"/>
  <c r="V355" i="29"/>
  <c r="X355" i="29" s="1"/>
  <c r="Y355" i="29" s="1"/>
  <c r="V249" i="29"/>
  <c r="X249" i="29" s="1"/>
  <c r="Y249" i="29" s="1"/>
  <c r="V188" i="29"/>
  <c r="X188" i="29" s="1"/>
  <c r="Y188" i="29" s="1"/>
  <c r="U232" i="29"/>
  <c r="W232" i="29" s="1"/>
  <c r="V275" i="29"/>
  <c r="X275" i="29" s="1"/>
  <c r="Y275" i="29" s="1"/>
  <c r="BY34" i="24"/>
  <c r="CA34" i="24" s="1"/>
  <c r="CB34" i="24" s="1"/>
  <c r="U260" i="29"/>
  <c r="W260" i="29" s="1"/>
  <c r="V395" i="29"/>
  <c r="AH395" i="29" s="1"/>
  <c r="V378" i="29"/>
  <c r="AH378" i="29" s="1"/>
  <c r="V539" i="29"/>
  <c r="AH539" i="29" s="1"/>
  <c r="V403" i="29"/>
  <c r="X403" i="29" s="1"/>
  <c r="Y403" i="29" s="1"/>
  <c r="V575" i="29"/>
  <c r="AH575" i="29" s="1"/>
  <c r="V446" i="29"/>
  <c r="X446" i="29" s="1"/>
  <c r="Y446" i="29" s="1"/>
  <c r="U433" i="29"/>
  <c r="AG433" i="29" s="1"/>
  <c r="U195" i="29"/>
  <c r="W195" i="29" s="1"/>
  <c r="V407" i="29"/>
  <c r="X407" i="29" s="1"/>
  <c r="Y407" i="29" s="1"/>
  <c r="V593" i="29"/>
  <c r="AH593" i="29" s="1"/>
  <c r="V484" i="29"/>
  <c r="X484" i="29" s="1"/>
  <c r="Y484" i="29" s="1"/>
  <c r="U502" i="29"/>
  <c r="AG502" i="29" s="1"/>
  <c r="V94" i="29"/>
  <c r="AH94" i="29" s="1"/>
  <c r="BY20" i="24"/>
  <c r="CA20" i="24" s="1"/>
  <c r="CB20" i="24" s="1"/>
  <c r="V295" i="29"/>
  <c r="X295" i="29" s="1"/>
  <c r="Y295" i="29" s="1"/>
  <c r="U201" i="29"/>
  <c r="W201" i="29" s="1"/>
  <c r="U523" i="29"/>
  <c r="W523" i="29" s="1"/>
  <c r="U383" i="29"/>
  <c r="AG383" i="29" s="1"/>
  <c r="V519" i="29"/>
  <c r="AH519" i="29" s="1"/>
  <c r="V36" i="29"/>
  <c r="AH36" i="29" s="1"/>
  <c r="V469" i="29"/>
  <c r="AH469" i="29" s="1"/>
  <c r="U245" i="29"/>
  <c r="AG245" i="29" s="1"/>
  <c r="V572" i="29"/>
  <c r="X572" i="29" s="1"/>
  <c r="Y572" i="29" s="1"/>
  <c r="U305" i="29"/>
  <c r="AG305" i="29" s="1"/>
  <c r="V411" i="29"/>
  <c r="AH411" i="29" s="1"/>
  <c r="U410" i="29"/>
  <c r="AG410" i="29" s="1"/>
  <c r="V21" i="29"/>
  <c r="AH21" i="29" s="1"/>
  <c r="U518" i="29"/>
  <c r="W518" i="29" s="1"/>
  <c r="U520" i="29"/>
  <c r="W520" i="29" s="1"/>
  <c r="V592" i="29"/>
  <c r="X592" i="29" s="1"/>
  <c r="Y592" i="29" s="1"/>
  <c r="V141" i="29"/>
  <c r="AH141" i="29" s="1"/>
  <c r="V14" i="29"/>
  <c r="AH14" i="29" s="1"/>
  <c r="V481" i="29"/>
  <c r="X481" i="29" s="1"/>
  <c r="Y481" i="29" s="1"/>
  <c r="U142" i="29"/>
  <c r="AG142" i="29" s="1"/>
  <c r="U382" i="29"/>
  <c r="AG382" i="29" s="1"/>
  <c r="V506" i="29"/>
  <c r="X506" i="29" s="1"/>
  <c r="Y506" i="29" s="1"/>
  <c r="V600" i="29"/>
  <c r="AH600" i="29" s="1"/>
  <c r="U353" i="29"/>
  <c r="AG353" i="29" s="1"/>
  <c r="U547" i="29"/>
  <c r="AG547" i="29" s="1"/>
  <c r="U315" i="29"/>
  <c r="AG315" i="29" s="1"/>
  <c r="V65" i="29"/>
  <c r="X65" i="29" s="1"/>
  <c r="Y65" i="29" s="1"/>
  <c r="U398" i="29"/>
  <c r="W398" i="29" s="1"/>
  <c r="U56" i="29"/>
  <c r="AG56" i="29" s="1"/>
  <c r="V456" i="29"/>
  <c r="X456" i="29" s="1"/>
  <c r="Y456" i="29" s="1"/>
  <c r="U301" i="29"/>
  <c r="AG301" i="29" s="1"/>
  <c r="V427" i="29"/>
  <c r="X427" i="29" s="1"/>
  <c r="Y427" i="29" s="1"/>
  <c r="V175" i="29"/>
  <c r="X175" i="29" s="1"/>
  <c r="Y175" i="29" s="1"/>
  <c r="V263" i="29"/>
  <c r="AH263" i="29" s="1"/>
  <c r="U145" i="29"/>
  <c r="W145" i="29" s="1"/>
  <c r="U356" i="29"/>
  <c r="AG356" i="29" s="1"/>
  <c r="U91" i="29"/>
  <c r="AG91" i="29" s="1"/>
  <c r="V243" i="29"/>
  <c r="X243" i="29" s="1"/>
  <c r="Y243" i="29" s="1"/>
  <c r="U450" i="29"/>
  <c r="AG450" i="29" s="1"/>
  <c r="U200" i="29"/>
  <c r="AG200" i="29" s="1"/>
  <c r="U531" i="29"/>
  <c r="AG531" i="29" s="1"/>
  <c r="U179" i="29"/>
  <c r="AG179" i="29" s="1"/>
  <c r="U202" i="29"/>
  <c r="W202" i="29" s="1"/>
  <c r="U426" i="29"/>
  <c r="W426" i="29" s="1"/>
  <c r="U172" i="29"/>
  <c r="W172" i="29" s="1"/>
  <c r="V191" i="29"/>
  <c r="AH191" i="29" s="1"/>
  <c r="V77" i="29"/>
  <c r="X77" i="29" s="1"/>
  <c r="Y77" i="29" s="1"/>
  <c r="V47" i="29"/>
  <c r="X47" i="29" s="1"/>
  <c r="Y47" i="29" s="1"/>
  <c r="V27" i="29"/>
  <c r="X27" i="29" s="1"/>
  <c r="Y27" i="29" s="1"/>
  <c r="U318" i="29"/>
  <c r="W318" i="29" s="1"/>
  <c r="V307" i="29"/>
  <c r="AH307" i="29" s="1"/>
  <c r="U119" i="29"/>
  <c r="W119" i="29" s="1"/>
  <c r="V160" i="29"/>
  <c r="AH160" i="29" s="1"/>
  <c r="V67" i="29"/>
  <c r="AH67" i="29" s="1"/>
  <c r="V313" i="29"/>
  <c r="X313" i="29" s="1"/>
  <c r="Y313" i="29" s="1"/>
  <c r="V16" i="29"/>
  <c r="X16" i="29" s="1"/>
  <c r="Y16" i="29" s="1"/>
  <c r="U158" i="29"/>
  <c r="W158" i="29" s="1"/>
  <c r="V392" i="29"/>
  <c r="X392" i="29" s="1"/>
  <c r="Y392" i="29" s="1"/>
  <c r="V548" i="29"/>
  <c r="AH548" i="29" s="1"/>
  <c r="U489" i="29"/>
  <c r="W489" i="29" s="1"/>
  <c r="U280" i="29"/>
  <c r="AG280" i="29" s="1"/>
  <c r="U444" i="29"/>
  <c r="AG444" i="29" s="1"/>
  <c r="U132" i="29"/>
  <c r="AG132" i="29" s="1"/>
  <c r="V83" i="29"/>
  <c r="AH83" i="29" s="1"/>
  <c r="V607" i="29"/>
  <c r="AH607" i="29" s="1"/>
  <c r="U492" i="29"/>
  <c r="AG492" i="29" s="1"/>
  <c r="V436" i="29"/>
  <c r="AH436" i="29" s="1"/>
  <c r="U528" i="29"/>
  <c r="AG528" i="29" s="1"/>
  <c r="V517" i="29"/>
  <c r="AH517" i="29" s="1"/>
  <c r="V215" i="29"/>
  <c r="AH215" i="29" s="1"/>
  <c r="V385" i="29"/>
  <c r="X385" i="29" s="1"/>
  <c r="Y385" i="29" s="1"/>
  <c r="U157" i="29"/>
  <c r="W157" i="29" s="1"/>
  <c r="U504" i="29"/>
  <c r="W504" i="29" s="1"/>
  <c r="V458" i="29"/>
  <c r="AH458" i="29" s="1"/>
  <c r="U449" i="29"/>
  <c r="W449" i="29" s="1"/>
  <c r="V237" i="29"/>
  <c r="X237" i="29" s="1"/>
  <c r="Y237" i="29" s="1"/>
  <c r="U226" i="29"/>
  <c r="W226" i="29" s="1"/>
  <c r="V601" i="29"/>
  <c r="AH601" i="29" s="1"/>
  <c r="U595" i="29"/>
  <c r="AG595" i="29" s="1"/>
  <c r="U26" i="29"/>
  <c r="AG26" i="29" s="1"/>
  <c r="V42" i="29"/>
  <c r="AH42" i="29" s="1"/>
  <c r="U265" i="29"/>
  <c r="W265" i="29" s="1"/>
  <c r="U542" i="29"/>
  <c r="AG542" i="29" s="1"/>
  <c r="U565" i="29"/>
  <c r="W565" i="29" s="1"/>
  <c r="U381" i="29"/>
  <c r="W381" i="29" s="1"/>
  <c r="U389" i="29"/>
  <c r="W389" i="29" s="1"/>
  <c r="V396" i="29"/>
  <c r="AH396" i="29" s="1"/>
  <c r="V95" i="29"/>
  <c r="X95" i="29" s="1"/>
  <c r="Y95" i="29" s="1"/>
  <c r="V182" i="29"/>
  <c r="AH182" i="29" s="1"/>
  <c r="V579" i="29"/>
  <c r="AH579" i="29" s="1"/>
  <c r="V269" i="29"/>
  <c r="AH269" i="29" s="1"/>
  <c r="V451" i="29"/>
  <c r="AH451" i="29" s="1"/>
  <c r="V102" i="29"/>
  <c r="X102" i="29" s="1"/>
  <c r="Y102" i="29" s="1"/>
  <c r="U37" i="29"/>
  <c r="AG37" i="29" s="1"/>
  <c r="U421" i="29"/>
  <c r="AG421" i="29" s="1"/>
  <c r="V300" i="29"/>
  <c r="X300" i="29" s="1"/>
  <c r="Y300" i="29" s="1"/>
  <c r="V227" i="29"/>
  <c r="AH227" i="29" s="1"/>
  <c r="V405" i="29"/>
  <c r="X405" i="29" s="1"/>
  <c r="Y405" i="29" s="1"/>
  <c r="U290" i="29"/>
  <c r="W290" i="29" s="1"/>
  <c r="V423" i="29"/>
  <c r="AH423" i="29" s="1"/>
  <c r="U278" i="29"/>
  <c r="AG278" i="29" s="1"/>
  <c r="U525" i="29"/>
  <c r="AG525" i="29" s="1"/>
  <c r="U568" i="29"/>
  <c r="W568" i="29" s="1"/>
  <c r="V126" i="29"/>
  <c r="AH126" i="29" s="1"/>
  <c r="CB162" i="24"/>
  <c r="CF162" i="24"/>
  <c r="U524" i="29"/>
  <c r="W524" i="29" s="1"/>
  <c r="U561" i="29"/>
  <c r="W561" i="29" s="1"/>
  <c r="U255" i="29"/>
  <c r="W255" i="29" s="1"/>
  <c r="V247" i="29"/>
  <c r="AH247" i="29" s="1"/>
  <c r="V134" i="29"/>
  <c r="X134" i="29" s="1"/>
  <c r="Y134" i="29" s="1"/>
  <c r="U287" i="29"/>
  <c r="W287" i="29" s="1"/>
  <c r="U533" i="29"/>
  <c r="AG533" i="29" s="1"/>
  <c r="U573" i="29"/>
  <c r="AG573" i="29" s="1"/>
  <c r="U375" i="29"/>
  <c r="AG375" i="29" s="1"/>
  <c r="U251" i="29"/>
  <c r="AG251" i="29" s="1"/>
  <c r="V51" i="29"/>
  <c r="AH51" i="29" s="1"/>
  <c r="U310" i="29"/>
  <c r="AG310" i="29" s="1"/>
  <c r="V68" i="29"/>
  <c r="AH68" i="29" s="1"/>
  <c r="V282" i="29"/>
  <c r="AH282" i="29" s="1"/>
  <c r="U369" i="29"/>
  <c r="AG369" i="29" s="1"/>
  <c r="U500" i="29"/>
  <c r="W500" i="29" s="1"/>
  <c r="V364" i="29"/>
  <c r="AH364" i="29" s="1"/>
  <c r="V416" i="29"/>
  <c r="X416" i="29" s="1"/>
  <c r="Y416" i="29" s="1"/>
  <c r="U15" i="29"/>
  <c r="AG15" i="29" s="1"/>
  <c r="U296" i="29"/>
  <c r="W296" i="29" s="1"/>
  <c r="V386" i="29"/>
  <c r="X386" i="29" s="1"/>
  <c r="Y386" i="29" s="1"/>
  <c r="U31" i="29"/>
  <c r="W31" i="29" s="1"/>
  <c r="V491" i="29"/>
  <c r="AH491" i="29" s="1"/>
  <c r="V211" i="29"/>
  <c r="AH211" i="29" s="1"/>
  <c r="U75" i="29"/>
  <c r="AG75" i="29" s="1"/>
  <c r="U534" i="29"/>
  <c r="W534" i="29" s="1"/>
  <c r="V399" i="29"/>
  <c r="AH399" i="29" s="1"/>
  <c r="U82" i="29"/>
  <c r="AG82" i="29" s="1"/>
  <c r="V570" i="29"/>
  <c r="AH570" i="29" s="1"/>
  <c r="U459" i="29"/>
  <c r="W459" i="29" s="1"/>
  <c r="V549" i="29"/>
  <c r="AH549" i="29" s="1"/>
  <c r="U99" i="29"/>
  <c r="AG99" i="29" s="1"/>
  <c r="U527" i="29"/>
  <c r="W527" i="29" s="1"/>
  <c r="U312" i="29"/>
  <c r="AG312" i="29" s="1"/>
  <c r="U314" i="29"/>
  <c r="W314" i="29" s="1"/>
  <c r="U431" i="29"/>
  <c r="AG431" i="29" s="1"/>
  <c r="V131" i="29"/>
  <c r="X131" i="29" s="1"/>
  <c r="Y131" i="29" s="1"/>
  <c r="U55" i="29"/>
  <c r="W55" i="29" s="1"/>
  <c r="V425" i="29"/>
  <c r="AH425" i="29" s="1"/>
  <c r="V394" i="29"/>
  <c r="X394" i="29" s="1"/>
  <c r="Y394" i="29" s="1"/>
  <c r="U143" i="29"/>
  <c r="W143" i="29" s="1"/>
  <c r="V482" i="29"/>
  <c r="X482" i="29" s="1"/>
  <c r="Y482" i="29" s="1"/>
  <c r="V487" i="29"/>
  <c r="AH487" i="29" s="1"/>
  <c r="U564" i="29"/>
  <c r="W564" i="29" s="1"/>
  <c r="V419" i="29"/>
  <c r="AH419" i="29" s="1"/>
  <c r="U173" i="29"/>
  <c r="W173" i="29" s="1"/>
  <c r="V420" i="29"/>
  <c r="AH420" i="29" s="1"/>
  <c r="U121" i="29"/>
  <c r="W121" i="29" s="1"/>
  <c r="V545" i="29"/>
  <c r="X545" i="29" s="1"/>
  <c r="Y545" i="29" s="1"/>
  <c r="V28" i="29"/>
  <c r="X28" i="29" s="1"/>
  <c r="Y28" i="29" s="1"/>
  <c r="V496" i="29"/>
  <c r="AH496" i="29" s="1"/>
  <c r="U441" i="29"/>
  <c r="AG441" i="29" s="1"/>
  <c r="BY117" i="24"/>
  <c r="CA117" i="24" s="1"/>
  <c r="U213" i="29"/>
  <c r="AG213" i="29" s="1"/>
  <c r="V372" i="29"/>
  <c r="AH372" i="29" s="1"/>
  <c r="U209" i="29"/>
  <c r="W209" i="29" s="1"/>
  <c r="V62" i="29"/>
  <c r="AH62" i="29" s="1"/>
  <c r="U495" i="29"/>
  <c r="AG495" i="29" s="1"/>
  <c r="U335" i="29"/>
  <c r="AG335" i="29" s="1"/>
  <c r="U360" i="29"/>
  <c r="AG360" i="29" s="1"/>
  <c r="V196" i="29"/>
  <c r="X196" i="29" s="1"/>
  <c r="Y196" i="29" s="1"/>
  <c r="V311" i="29"/>
  <c r="AH311" i="29" s="1"/>
  <c r="V162" i="29"/>
  <c r="AH162" i="29" s="1"/>
  <c r="V288" i="29"/>
  <c r="AH288" i="29" s="1"/>
  <c r="V129" i="29"/>
  <c r="AH129" i="29" s="1"/>
  <c r="BE237" i="25"/>
  <c r="BR237" i="25"/>
  <c r="BX237" i="25" s="1"/>
  <c r="V176" i="29"/>
  <c r="X176" i="29" s="1"/>
  <c r="Y176" i="29" s="1"/>
  <c r="AR212" i="25"/>
  <c r="BJ212" i="25"/>
  <c r="CE212" i="25"/>
  <c r="BH212" i="25"/>
  <c r="BW212" i="25"/>
  <c r="BU212" i="25"/>
  <c r="BF212" i="25"/>
  <c r="BR77" i="25"/>
  <c r="BV77" i="25" s="1"/>
  <c r="BX77" i="25" s="1"/>
  <c r="BE77" i="25"/>
  <c r="BK77" i="25" s="1"/>
  <c r="CF279" i="24"/>
  <c r="AH24" i="29"/>
  <c r="X24" i="29"/>
  <c r="Y24" i="29" s="1"/>
  <c r="BN16" i="24"/>
  <c r="BY16" i="24"/>
  <c r="CA16" i="24" s="1"/>
  <c r="CB16" i="24" s="1"/>
  <c r="BE191" i="25"/>
  <c r="BR191" i="25"/>
  <c r="BX191" i="25" s="1"/>
  <c r="X455" i="29"/>
  <c r="Y455" i="29" s="1"/>
  <c r="AH455" i="29"/>
  <c r="X116" i="29"/>
  <c r="Y116" i="29" s="1"/>
  <c r="AH116" i="29"/>
  <c r="BY311" i="24"/>
  <c r="CA311" i="24" s="1"/>
  <c r="BM311" i="24"/>
  <c r="BN311" i="24" s="1"/>
  <c r="BR225" i="25"/>
  <c r="BX225" i="25" s="1"/>
  <c r="BE225" i="25"/>
  <c r="BR58" i="25"/>
  <c r="BV58" i="25" s="1"/>
  <c r="BX58" i="25" s="1"/>
  <c r="BE58" i="25"/>
  <c r="BK58" i="25" s="1"/>
  <c r="BY72" i="24"/>
  <c r="CA72" i="24" s="1"/>
  <c r="CB72" i="24" s="1"/>
  <c r="BN72" i="24"/>
  <c r="AH606" i="29"/>
  <c r="X606" i="29"/>
  <c r="Y606" i="29" s="1"/>
  <c r="AH584" i="29"/>
  <c r="X584" i="29"/>
  <c r="Y584" i="29" s="1"/>
  <c r="W355" i="29"/>
  <c r="AG355" i="29"/>
  <c r="X270" i="29"/>
  <c r="Y270" i="29" s="1"/>
  <c r="AH270" i="29"/>
  <c r="X248" i="29"/>
  <c r="Y248" i="29" s="1"/>
  <c r="AH248" i="29"/>
  <c r="X133" i="29"/>
  <c r="Y133" i="29" s="1"/>
  <c r="AH133" i="29"/>
  <c r="AG408" i="29"/>
  <c r="W408" i="29"/>
  <c r="W392" i="29"/>
  <c r="AG392" i="29"/>
  <c r="X290" i="29"/>
  <c r="Y290" i="29" s="1"/>
  <c r="AH290" i="29"/>
  <c r="AH143" i="29"/>
  <c r="X143" i="29"/>
  <c r="Y143" i="29" s="1"/>
  <c r="AG404" i="29"/>
  <c r="W404" i="29"/>
  <c r="AG35" i="29"/>
  <c r="W35" i="29"/>
  <c r="W423" i="29"/>
  <c r="AG423" i="29"/>
  <c r="X611" i="29"/>
  <c r="Y611" i="29" s="1"/>
  <c r="AH611" i="29"/>
  <c r="BY303" i="24"/>
  <c r="CA303" i="24" s="1"/>
  <c r="CB303" i="24" s="1"/>
  <c r="BM303" i="24"/>
  <c r="BN303" i="24" s="1"/>
  <c r="BY92" i="24"/>
  <c r="CA92" i="24" s="1"/>
  <c r="BN92" i="24"/>
  <c r="BN102" i="24"/>
  <c r="BY102" i="24"/>
  <c r="CA102" i="24" s="1"/>
  <c r="BY235" i="24"/>
  <c r="CA235" i="24" s="1"/>
  <c r="CB235" i="24" s="1"/>
  <c r="BM235" i="24"/>
  <c r="BN235" i="24" s="1"/>
  <c r="BY113" i="25"/>
  <c r="CA113" i="25" s="1"/>
  <c r="BL113" i="25"/>
  <c r="BK113" i="25"/>
  <c r="BE200" i="25"/>
  <c r="BR200" i="25"/>
  <c r="BX200" i="25" s="1"/>
  <c r="BE80" i="25"/>
  <c r="BK80" i="25" s="1"/>
  <c r="BR80" i="25"/>
  <c r="BV80" i="25" s="1"/>
  <c r="BX80" i="25" s="1"/>
  <c r="BE188" i="25"/>
  <c r="BR188" i="25"/>
  <c r="BX188" i="25" s="1"/>
  <c r="BL276" i="25"/>
  <c r="BY276" i="25"/>
  <c r="CA276" i="25" s="1"/>
  <c r="CB276" i="25" s="1"/>
  <c r="BK276" i="25"/>
  <c r="W257" i="29"/>
  <c r="AG257" i="29"/>
  <c r="AG118" i="29"/>
  <c r="W118" i="29"/>
  <c r="W135" i="29"/>
  <c r="AG135" i="29"/>
  <c r="AH406" i="29"/>
  <c r="X406" i="29"/>
  <c r="Y406" i="29" s="1"/>
  <c r="AG124" i="29"/>
  <c r="W124" i="29"/>
  <c r="AG66" i="29"/>
  <c r="W66" i="29"/>
  <c r="AG535" i="29"/>
  <c r="W535" i="29"/>
  <c r="AH583" i="29"/>
  <c r="X583" i="29"/>
  <c r="Y583" i="29" s="1"/>
  <c r="X277" i="29"/>
  <c r="Y277" i="29" s="1"/>
  <c r="AH277" i="29"/>
  <c r="W208" i="29"/>
  <c r="AG208" i="29"/>
  <c r="W457" i="29"/>
  <c r="AG457" i="29"/>
  <c r="W499" i="29"/>
  <c r="AG499" i="29"/>
  <c r="AH278" i="29"/>
  <c r="X278" i="29"/>
  <c r="Y278" i="29" s="1"/>
  <c r="AG482" i="29"/>
  <c r="W482" i="29"/>
  <c r="AG487" i="29"/>
  <c r="W487" i="29"/>
  <c r="X123" i="29"/>
  <c r="Y123" i="29" s="1"/>
  <c r="AH123" i="29"/>
  <c r="AH412" i="29"/>
  <c r="X412" i="29"/>
  <c r="Y412" i="29" s="1"/>
  <c r="AG415" i="29"/>
  <c r="W415" i="29"/>
  <c r="BE159" i="25"/>
  <c r="BR159" i="25"/>
  <c r="BX159" i="25" s="1"/>
  <c r="BE256" i="25"/>
  <c r="BR256" i="25"/>
  <c r="BX256" i="25" s="1"/>
  <c r="BR42" i="25"/>
  <c r="BV42" i="25" s="1"/>
  <c r="BX42" i="25" s="1"/>
  <c r="BE42" i="25"/>
  <c r="BK42" i="25" s="1"/>
  <c r="BY183" i="24"/>
  <c r="CA183" i="24" s="1"/>
  <c r="CB183" i="24" s="1"/>
  <c r="BM183" i="24"/>
  <c r="BN183" i="24" s="1"/>
  <c r="BE266" i="25"/>
  <c r="BR266" i="25"/>
  <c r="BX266" i="25" s="1"/>
  <c r="BY237" i="24"/>
  <c r="CA237" i="24" s="1"/>
  <c r="CB237" i="24" s="1"/>
  <c r="BM237" i="24"/>
  <c r="BN237" i="24" s="1"/>
  <c r="AG384" i="29"/>
  <c r="W384" i="29"/>
  <c r="AH323" i="29"/>
  <c r="X323" i="29"/>
  <c r="Y323" i="29" s="1"/>
  <c r="W303" i="29"/>
  <c r="AG303" i="29"/>
  <c r="BY37" i="24"/>
  <c r="CA37" i="24" s="1"/>
  <c r="CB37" i="24" s="1"/>
  <c r="BN37" i="24"/>
  <c r="BY78" i="24"/>
  <c r="CA78" i="24" s="1"/>
  <c r="BN78" i="24"/>
  <c r="BL198" i="25"/>
  <c r="BY198" i="25"/>
  <c r="CA198" i="25" s="1"/>
  <c r="BK198" i="25"/>
  <c r="BE264" i="25"/>
  <c r="BR264" i="25"/>
  <c r="BX264" i="25" s="1"/>
  <c r="BL104" i="25"/>
  <c r="BY104" i="25"/>
  <c r="CA104" i="25" s="1"/>
  <c r="BE235" i="25"/>
  <c r="BR235" i="25"/>
  <c r="BX235" i="25" s="1"/>
  <c r="AG456" i="29"/>
  <c r="W456" i="29"/>
  <c r="AH341" i="29"/>
  <c r="X341" i="29"/>
  <c r="Y341" i="29" s="1"/>
  <c r="X252" i="29"/>
  <c r="Y252" i="29" s="1"/>
  <c r="AH252" i="29"/>
  <c r="AG436" i="29"/>
  <c r="W436" i="29"/>
  <c r="W40" i="29"/>
  <c r="AG40" i="29"/>
  <c r="AG57" i="29"/>
  <c r="W57" i="29"/>
  <c r="AG272" i="29"/>
  <c r="W272" i="29"/>
  <c r="AH398" i="29"/>
  <c r="X398" i="29"/>
  <c r="Y398" i="29" s="1"/>
  <c r="W114" i="29"/>
  <c r="AG114" i="29"/>
  <c r="AG578" i="29"/>
  <c r="W578" i="29"/>
  <c r="AG334" i="29"/>
  <c r="W334" i="29"/>
  <c r="X490" i="29"/>
  <c r="Y490" i="29" s="1"/>
  <c r="AH490" i="29"/>
  <c r="X365" i="29"/>
  <c r="Y365" i="29" s="1"/>
  <c r="AH365" i="29"/>
  <c r="AG293" i="29"/>
  <c r="W293" i="29"/>
  <c r="AH187" i="29"/>
  <c r="X187" i="29"/>
  <c r="Y187" i="29" s="1"/>
  <c r="BE127" i="25"/>
  <c r="BR127" i="25"/>
  <c r="BX127" i="25" s="1"/>
  <c r="BR49" i="25"/>
  <c r="BV49" i="25" s="1"/>
  <c r="BX49" i="25" s="1"/>
  <c r="BE49" i="25"/>
  <c r="BK49" i="25" s="1"/>
  <c r="BY251" i="24"/>
  <c r="CA251" i="24" s="1"/>
  <c r="CB251" i="24" s="1"/>
  <c r="BM251" i="24"/>
  <c r="BN251" i="24" s="1"/>
  <c r="BY67" i="24"/>
  <c r="CA67" i="24" s="1"/>
  <c r="CB67" i="24" s="1"/>
  <c r="BN67" i="24"/>
  <c r="BE222" i="25"/>
  <c r="BR222" i="25"/>
  <c r="BX222" i="25" s="1"/>
  <c r="BY177" i="24"/>
  <c r="CA177" i="24" s="1"/>
  <c r="CB177" i="24" s="1"/>
  <c r="BM177" i="24"/>
  <c r="BN177" i="24" s="1"/>
  <c r="BR98" i="25"/>
  <c r="BV98" i="25" s="1"/>
  <c r="BX98" i="25" s="1"/>
  <c r="BE98" i="25"/>
  <c r="BK98" i="25" s="1"/>
  <c r="BY202" i="24"/>
  <c r="CA202" i="24" s="1"/>
  <c r="BM202" i="24"/>
  <c r="BN202" i="24" s="1"/>
  <c r="BE183" i="25"/>
  <c r="BR183" i="25"/>
  <c r="BX183" i="25" s="1"/>
  <c r="BE151" i="25"/>
  <c r="BR151" i="25"/>
  <c r="BX151" i="25" s="1"/>
  <c r="AG402" i="29"/>
  <c r="W402" i="29"/>
  <c r="AG544" i="29"/>
  <c r="W544" i="29"/>
  <c r="AG313" i="29"/>
  <c r="W313" i="29"/>
  <c r="AH442" i="29"/>
  <c r="X442" i="29"/>
  <c r="Y442" i="29" s="1"/>
  <c r="AH598" i="29"/>
  <c r="X598" i="29"/>
  <c r="Y598" i="29" s="1"/>
  <c r="AG409" i="29"/>
  <c r="W409" i="29"/>
  <c r="AH587" i="29"/>
  <c r="X587" i="29"/>
  <c r="Y587" i="29" s="1"/>
  <c r="AG577" i="29"/>
  <c r="W577" i="29"/>
  <c r="AG591" i="29"/>
  <c r="W591" i="29"/>
  <c r="AH185" i="29"/>
  <c r="X185" i="29"/>
  <c r="Y185" i="29" s="1"/>
  <c r="W268" i="29"/>
  <c r="AG268" i="29"/>
  <c r="AH86" i="29"/>
  <c r="X86" i="29"/>
  <c r="Y86" i="29" s="1"/>
  <c r="W543" i="29"/>
  <c r="AG543" i="29"/>
  <c r="X148" i="29"/>
  <c r="Y148" i="29" s="1"/>
  <c r="AH148" i="29"/>
  <c r="X230" i="29"/>
  <c r="Y230" i="29" s="1"/>
  <c r="AH230" i="29"/>
  <c r="X609" i="29"/>
  <c r="Y609" i="29" s="1"/>
  <c r="AH609" i="29"/>
  <c r="X511" i="29"/>
  <c r="Y511" i="29" s="1"/>
  <c r="AH511" i="29"/>
  <c r="BY95" i="24"/>
  <c r="CA95" i="24" s="1"/>
  <c r="CB95" i="24" s="1"/>
  <c r="BN95" i="24"/>
  <c r="BN84" i="24"/>
  <c r="BY84" i="24"/>
  <c r="CA84" i="24" s="1"/>
  <c r="BE47" i="25"/>
  <c r="BK47" i="25" s="1"/>
  <c r="BR47" i="25"/>
  <c r="BV47" i="25" s="1"/>
  <c r="BX47" i="25" s="1"/>
  <c r="BE180" i="25"/>
  <c r="BR180" i="25"/>
  <c r="BX180" i="25" s="1"/>
  <c r="BR61" i="25"/>
  <c r="BV61" i="25" s="1"/>
  <c r="BX61" i="25" s="1"/>
  <c r="BE61" i="25"/>
  <c r="BK61" i="25" s="1"/>
  <c r="BY304" i="24"/>
  <c r="CA304" i="24" s="1"/>
  <c r="CB304" i="24" s="1"/>
  <c r="BM304" i="24"/>
  <c r="BN304" i="24" s="1"/>
  <c r="BE133" i="25"/>
  <c r="BR133" i="25"/>
  <c r="BX133" i="25" s="1"/>
  <c r="BY31" i="25"/>
  <c r="CA31" i="25" s="1"/>
  <c r="CB31" i="25" s="1"/>
  <c r="BL31" i="25"/>
  <c r="BY258" i="24"/>
  <c r="CA258" i="24" s="1"/>
  <c r="CB258" i="24" s="1"/>
  <c r="BM258" i="24"/>
  <c r="BN258" i="24" s="1"/>
  <c r="W206" i="29"/>
  <c r="AG206" i="29"/>
  <c r="AG174" i="29"/>
  <c r="W174" i="29"/>
  <c r="AH128" i="29"/>
  <c r="X128" i="29"/>
  <c r="Y128" i="29" s="1"/>
  <c r="AH19" i="29"/>
  <c r="X19" i="29"/>
  <c r="Y19" i="29" s="1"/>
  <c r="AH328" i="29"/>
  <c r="X328" i="29"/>
  <c r="Y328" i="29" s="1"/>
  <c r="AH322" i="29"/>
  <c r="X322" i="29"/>
  <c r="Y322" i="29" s="1"/>
  <c r="W393" i="29"/>
  <c r="AG393" i="29"/>
  <c r="BY307" i="24"/>
  <c r="CA307" i="24" s="1"/>
  <c r="BM307" i="24"/>
  <c r="BN307" i="24" s="1"/>
  <c r="BL192" i="25"/>
  <c r="BY192" i="25"/>
  <c r="CA192" i="25" s="1"/>
  <c r="BK192" i="25"/>
  <c r="BE35" i="25"/>
  <c r="BK35" i="25" s="1"/>
  <c r="BR35" i="25"/>
  <c r="BV35" i="25" s="1"/>
  <c r="BX35" i="25" s="1"/>
  <c r="BY190" i="25"/>
  <c r="CA190" i="25" s="1"/>
  <c r="BL190" i="25"/>
  <c r="BK190" i="25"/>
  <c r="BN79" i="24"/>
  <c r="BY79" i="24"/>
  <c r="CA79" i="24" s="1"/>
  <c r="BE228" i="25"/>
  <c r="BR228" i="25"/>
  <c r="BX228" i="25" s="1"/>
  <c r="BY176" i="24"/>
  <c r="CA176" i="24" s="1"/>
  <c r="CB176" i="24" s="1"/>
  <c r="BM176" i="24"/>
  <c r="BN176" i="24" s="1"/>
  <c r="BE288" i="25"/>
  <c r="BR288" i="25"/>
  <c r="BX288" i="25" s="1"/>
  <c r="BN32" i="24"/>
  <c r="BY32" i="24"/>
  <c r="CA32" i="24" s="1"/>
  <c r="CB32" i="24" s="1"/>
  <c r="BY218" i="24"/>
  <c r="CA218" i="24" s="1"/>
  <c r="CB218" i="24" s="1"/>
  <c r="BM218" i="24"/>
  <c r="BN218" i="24" s="1"/>
  <c r="AG327" i="29"/>
  <c r="W327" i="29"/>
  <c r="BY15" i="24"/>
  <c r="CA15" i="24" s="1"/>
  <c r="CB15" i="24" s="1"/>
  <c r="B288" i="2" s="1"/>
  <c r="BN15" i="24"/>
  <c r="BY131" i="25"/>
  <c r="CA131" i="25" s="1"/>
  <c r="CB131" i="25" s="1"/>
  <c r="BL131" i="25"/>
  <c r="BK131" i="25"/>
  <c r="BR7" i="25"/>
  <c r="BV7" i="25" s="1"/>
  <c r="BX7" i="25" s="1"/>
  <c r="BE7" i="25"/>
  <c r="BK7" i="25" s="1"/>
  <c r="BR60" i="25"/>
  <c r="BV60" i="25" s="1"/>
  <c r="BX60" i="25" s="1"/>
  <c r="BE60" i="25"/>
  <c r="BK60" i="25" s="1"/>
  <c r="BN56" i="24"/>
  <c r="BY56" i="24"/>
  <c r="CA56" i="24" s="1"/>
  <c r="BE176" i="25"/>
  <c r="BR176" i="25"/>
  <c r="BX176" i="25" s="1"/>
  <c r="BN70" i="24"/>
  <c r="BY70" i="24"/>
  <c r="CA70" i="24" s="1"/>
  <c r="CB70" i="24" s="1"/>
  <c r="AG416" i="29"/>
  <c r="W416" i="29"/>
  <c r="AG346" i="29"/>
  <c r="W346" i="29"/>
  <c r="AH55" i="29"/>
  <c r="X55" i="29"/>
  <c r="Y55" i="29" s="1"/>
  <c r="X201" i="29"/>
  <c r="Y201" i="29" s="1"/>
  <c r="AH201" i="29"/>
  <c r="X599" i="29"/>
  <c r="Y599" i="29" s="1"/>
  <c r="AH599" i="29"/>
  <c r="W65" i="29"/>
  <c r="AG65" i="29"/>
  <c r="AH460" i="29"/>
  <c r="X460" i="29"/>
  <c r="Y460" i="29" s="1"/>
  <c r="AG425" i="29"/>
  <c r="W425" i="29"/>
  <c r="W575" i="29"/>
  <c r="AG575" i="29"/>
  <c r="W171" i="29"/>
  <c r="AG171" i="29"/>
  <c r="AG438" i="29"/>
  <c r="W438" i="29"/>
  <c r="AH99" i="29"/>
  <c r="X99" i="29"/>
  <c r="Y99" i="29" s="1"/>
  <c r="AG176" i="29"/>
  <c r="W176" i="29"/>
  <c r="AG476" i="29"/>
  <c r="W476" i="29"/>
  <c r="BY281" i="24"/>
  <c r="CA281" i="24" s="1"/>
  <c r="BM281" i="24"/>
  <c r="BN281" i="24" s="1"/>
  <c r="BE249" i="25"/>
  <c r="BR249" i="25"/>
  <c r="BX249" i="25" s="1"/>
  <c r="BY42" i="24"/>
  <c r="CA42" i="24" s="1"/>
  <c r="CB42" i="24" s="1"/>
  <c r="BN42" i="24"/>
  <c r="BY268" i="24"/>
  <c r="CA268" i="24" s="1"/>
  <c r="BM268" i="24"/>
  <c r="BN268" i="24" s="1"/>
  <c r="BY189" i="24"/>
  <c r="CA189" i="24" s="1"/>
  <c r="CB189" i="24" s="1"/>
  <c r="BM189" i="24"/>
  <c r="BN189" i="24" s="1"/>
  <c r="BR64" i="25"/>
  <c r="BV64" i="25" s="1"/>
  <c r="BX64" i="25" s="1"/>
  <c r="BE64" i="25"/>
  <c r="BK64" i="25" s="1"/>
  <c r="BY165" i="24"/>
  <c r="CA165" i="24" s="1"/>
  <c r="BM165" i="24"/>
  <c r="BN165" i="24" s="1"/>
  <c r="AH61" i="29"/>
  <c r="X61" i="29"/>
  <c r="Y61" i="29" s="1"/>
  <c r="BE115" i="25"/>
  <c r="BR115" i="25"/>
  <c r="BX115" i="25" s="1"/>
  <c r="BN100" i="24"/>
  <c r="BY100" i="24"/>
  <c r="CA100" i="24" s="1"/>
  <c r="CB100" i="24" s="1"/>
  <c r="BY172" i="24"/>
  <c r="CA172" i="24" s="1"/>
  <c r="CB172" i="24" s="1"/>
  <c r="BM172" i="24"/>
  <c r="BN172" i="24" s="1"/>
  <c r="AH210" i="29"/>
  <c r="X210" i="29"/>
  <c r="Y210" i="29" s="1"/>
  <c r="BY306" i="24"/>
  <c r="CA306" i="24" s="1"/>
  <c r="BM306" i="24"/>
  <c r="BN306" i="24" s="1"/>
  <c r="BY51" i="24"/>
  <c r="CA51" i="24" s="1"/>
  <c r="CB51" i="24" s="1"/>
  <c r="BN51" i="24"/>
  <c r="BE279" i="25"/>
  <c r="BR279" i="25"/>
  <c r="BX279" i="25" s="1"/>
  <c r="BY57" i="24"/>
  <c r="CA57" i="24" s="1"/>
  <c r="CB57" i="24" s="1"/>
  <c r="BN57" i="24"/>
  <c r="AG74" i="29"/>
  <c r="W74" i="29"/>
  <c r="W508" i="29"/>
  <c r="AG508" i="29"/>
  <c r="AH286" i="29"/>
  <c r="X286" i="29"/>
  <c r="Y286" i="29" s="1"/>
  <c r="AH560" i="29"/>
  <c r="X560" i="29"/>
  <c r="Y560" i="29" s="1"/>
  <c r="AH25" i="29"/>
  <c r="X25" i="29"/>
  <c r="Y25" i="29" s="1"/>
  <c r="BY315" i="24"/>
  <c r="CA315" i="24" s="1"/>
  <c r="BM315" i="24"/>
  <c r="BN315" i="24" s="1"/>
  <c r="BE316" i="25"/>
  <c r="BR316" i="25"/>
  <c r="BX316" i="25" s="1"/>
  <c r="BE219" i="25"/>
  <c r="BR219" i="25"/>
  <c r="BX219" i="25" s="1"/>
  <c r="BR15" i="25"/>
  <c r="BV15" i="25" s="1"/>
  <c r="BX15" i="25" s="1"/>
  <c r="BE15" i="25"/>
  <c r="BK15" i="25" s="1"/>
  <c r="BY148" i="25"/>
  <c r="CA148" i="25" s="1"/>
  <c r="CB148" i="25" s="1"/>
  <c r="BL148" i="25"/>
  <c r="BK148" i="25"/>
  <c r="BE284" i="25"/>
  <c r="BR284" i="25"/>
  <c r="BX284" i="25" s="1"/>
  <c r="BY29" i="24"/>
  <c r="CA29" i="24" s="1"/>
  <c r="CB29" i="24" s="1"/>
  <c r="BN29" i="24"/>
  <c r="BY256" i="24"/>
  <c r="CA256" i="24" s="1"/>
  <c r="BM256" i="24"/>
  <c r="BN256" i="24" s="1"/>
  <c r="BY122" i="24"/>
  <c r="CA122" i="24" s="1"/>
  <c r="CB122" i="24" s="1"/>
  <c r="BM122" i="24"/>
  <c r="BN122" i="24" s="1"/>
  <c r="BL189" i="25"/>
  <c r="BY189" i="25"/>
  <c r="CA189" i="25" s="1"/>
  <c r="BK189" i="25"/>
  <c r="BR128" i="25"/>
  <c r="BX128" i="25" s="1"/>
  <c r="BE128" i="25"/>
  <c r="AH509" i="29"/>
  <c r="X509" i="29"/>
  <c r="Y509" i="29" s="1"/>
  <c r="X52" i="29"/>
  <c r="Y52" i="29" s="1"/>
  <c r="AH52" i="29"/>
  <c r="AH90" i="29"/>
  <c r="X90" i="29"/>
  <c r="Y90" i="29" s="1"/>
  <c r="AH216" i="29"/>
  <c r="X216" i="29"/>
  <c r="Y216" i="29" s="1"/>
  <c r="W367" i="29"/>
  <c r="AG367" i="29"/>
  <c r="BE25" i="25"/>
  <c r="BK25" i="25" s="1"/>
  <c r="BR25" i="25"/>
  <c r="BV25" i="25" s="1"/>
  <c r="BX25" i="25" s="1"/>
  <c r="BR9" i="25"/>
  <c r="BV9" i="25" s="1"/>
  <c r="BX9" i="25" s="1"/>
  <c r="BE9" i="25"/>
  <c r="BK9" i="25" s="1"/>
  <c r="BY167" i="25"/>
  <c r="CA167" i="25" s="1"/>
  <c r="CB167" i="25" s="1"/>
  <c r="BL167" i="25"/>
  <c r="BK167" i="25"/>
  <c r="BY178" i="24"/>
  <c r="CA178" i="24" s="1"/>
  <c r="BM178" i="24"/>
  <c r="BN178" i="24" s="1"/>
  <c r="BR236" i="25"/>
  <c r="BX236" i="25" s="1"/>
  <c r="BE236" i="25"/>
  <c r="BY161" i="25"/>
  <c r="CA161" i="25" s="1"/>
  <c r="BL161" i="25"/>
  <c r="BK161" i="25"/>
  <c r="BY289" i="24"/>
  <c r="CA289" i="24" s="1"/>
  <c r="CB289" i="24" s="1"/>
  <c r="BM289" i="24"/>
  <c r="BN289" i="24" s="1"/>
  <c r="BY139" i="24"/>
  <c r="CA139" i="24" s="1"/>
  <c r="BM139" i="24"/>
  <c r="BN139" i="24" s="1"/>
  <c r="BE244" i="25"/>
  <c r="BR244" i="25"/>
  <c r="BX244" i="25" s="1"/>
  <c r="AH183" i="29"/>
  <c r="X183" i="29"/>
  <c r="Y183" i="29" s="1"/>
  <c r="AH200" i="29"/>
  <c r="X200" i="29"/>
  <c r="Y200" i="29" s="1"/>
  <c r="AH173" i="29"/>
  <c r="X173" i="29"/>
  <c r="Y173" i="29" s="1"/>
  <c r="W420" i="29"/>
  <c r="AG420" i="29"/>
  <c r="AH121" i="29"/>
  <c r="X121" i="29"/>
  <c r="Y121" i="29" s="1"/>
  <c r="W605" i="29"/>
  <c r="AG605" i="29"/>
  <c r="AG273" i="29"/>
  <c r="W273" i="29"/>
  <c r="AH107" i="29"/>
  <c r="X107" i="29"/>
  <c r="Y107" i="29" s="1"/>
  <c r="AG607" i="29"/>
  <c r="W607" i="29"/>
  <c r="W323" i="29"/>
  <c r="AG323" i="29"/>
  <c r="W269" i="29"/>
  <c r="AG269" i="29"/>
  <c r="W68" i="29"/>
  <c r="AG68" i="29"/>
  <c r="AH439" i="29"/>
  <c r="X439" i="29"/>
  <c r="Y439" i="29" s="1"/>
  <c r="W545" i="29"/>
  <c r="AG545" i="29"/>
  <c r="X170" i="29"/>
  <c r="Y170" i="29" s="1"/>
  <c r="AH170" i="29"/>
  <c r="X465" i="29"/>
  <c r="Y465" i="29" s="1"/>
  <c r="AH465" i="29"/>
  <c r="X49" i="29"/>
  <c r="Y49" i="29" s="1"/>
  <c r="AH49" i="29"/>
  <c r="BY6" i="25"/>
  <c r="CA6" i="25" s="1"/>
  <c r="BL6" i="25"/>
  <c r="BY10" i="24"/>
  <c r="CA10" i="24" s="1"/>
  <c r="CB10" i="24" s="1"/>
  <c r="BN10" i="24"/>
  <c r="BE251" i="25"/>
  <c r="BR251" i="25"/>
  <c r="BX251" i="25" s="1"/>
  <c r="AH588" i="29"/>
  <c r="X588" i="29"/>
  <c r="Y588" i="29" s="1"/>
  <c r="AH326" i="29"/>
  <c r="X326" i="29"/>
  <c r="Y326" i="29" s="1"/>
  <c r="AH366" i="29"/>
  <c r="X366" i="29"/>
  <c r="Y366" i="29" s="1"/>
  <c r="AH223" i="29"/>
  <c r="X223" i="29"/>
  <c r="Y223" i="29" s="1"/>
  <c r="AH238" i="29"/>
  <c r="X238" i="29"/>
  <c r="Y238" i="29" s="1"/>
  <c r="BE311" i="25"/>
  <c r="BR311" i="25"/>
  <c r="BX311" i="25" s="1"/>
  <c r="BE120" i="25"/>
  <c r="BR120" i="25"/>
  <c r="BX120" i="25" s="1"/>
  <c r="BY155" i="24"/>
  <c r="CA155" i="24" s="1"/>
  <c r="CB155" i="24" s="1"/>
  <c r="BM155" i="24"/>
  <c r="BN155" i="24" s="1"/>
  <c r="BR83" i="25"/>
  <c r="BV83" i="25" s="1"/>
  <c r="BX83" i="25" s="1"/>
  <c r="BE83" i="25"/>
  <c r="BK83" i="25" s="1"/>
  <c r="BR207" i="25"/>
  <c r="BX207" i="25" s="1"/>
  <c r="BE207" i="25"/>
  <c r="BY179" i="24"/>
  <c r="CA179" i="24" s="1"/>
  <c r="BM179" i="24"/>
  <c r="BN179" i="24" s="1"/>
  <c r="BY269" i="24"/>
  <c r="CA269" i="24" s="1"/>
  <c r="BM269" i="24"/>
  <c r="BN269" i="24" s="1"/>
  <c r="BE118" i="25"/>
  <c r="BR118" i="25"/>
  <c r="BX118" i="25" s="1"/>
  <c r="BN85" i="24"/>
  <c r="BY85" i="24"/>
  <c r="CA85" i="24" s="1"/>
  <c r="CB85" i="24" s="1"/>
  <c r="AG601" i="29"/>
  <c r="W601" i="29"/>
  <c r="AG413" i="29"/>
  <c r="W413" i="29"/>
  <c r="AH150" i="29"/>
  <c r="X150" i="29"/>
  <c r="Y150" i="29" s="1"/>
  <c r="AG308" i="29"/>
  <c r="W308" i="29"/>
  <c r="W538" i="29"/>
  <c r="AG538" i="29"/>
  <c r="BY59" i="24"/>
  <c r="CA59" i="24" s="1"/>
  <c r="CB59" i="24" s="1"/>
  <c r="BN59" i="24"/>
  <c r="BL273" i="25"/>
  <c r="BY273" i="25"/>
  <c r="CA273" i="25" s="1"/>
  <c r="CB273" i="25" s="1"/>
  <c r="BK273" i="25"/>
  <c r="BY255" i="25"/>
  <c r="CA255" i="25" s="1"/>
  <c r="CB255" i="25" s="1"/>
  <c r="BL255" i="25"/>
  <c r="BK255" i="25"/>
  <c r="BY241" i="24"/>
  <c r="CA241" i="24" s="1"/>
  <c r="BM241" i="24"/>
  <c r="BN241" i="24" s="1"/>
  <c r="BY194" i="24"/>
  <c r="CA194" i="24" s="1"/>
  <c r="CB194" i="24" s="1"/>
  <c r="BM194" i="24"/>
  <c r="BN194" i="24" s="1"/>
  <c r="BY286" i="24"/>
  <c r="CA286" i="24" s="1"/>
  <c r="BM286" i="24"/>
  <c r="BN286" i="24" s="1"/>
  <c r="BE140" i="25"/>
  <c r="BR140" i="25"/>
  <c r="BX140" i="25" s="1"/>
  <c r="BY195" i="24"/>
  <c r="CA195" i="24" s="1"/>
  <c r="BM195" i="24"/>
  <c r="BN195" i="24" s="1"/>
  <c r="BR205" i="25"/>
  <c r="BX205" i="25" s="1"/>
  <c r="BE205" i="25"/>
  <c r="BY184" i="24"/>
  <c r="CA184" i="24" s="1"/>
  <c r="CB184" i="24" s="1"/>
  <c r="BM184" i="24"/>
  <c r="BN184" i="24" s="1"/>
  <c r="W51" i="29"/>
  <c r="AG51" i="29"/>
  <c r="X533" i="29"/>
  <c r="Y533" i="29" s="1"/>
  <c r="AH533" i="29"/>
  <c r="AH174" i="29"/>
  <c r="X174" i="29"/>
  <c r="Y174" i="29" s="1"/>
  <c r="AH383" i="29"/>
  <c r="X383" i="29"/>
  <c r="Y383" i="29" s="1"/>
  <c r="AG586" i="29"/>
  <c r="W586" i="29"/>
  <c r="W29" i="29"/>
  <c r="AG29" i="29"/>
  <c r="AH448" i="29"/>
  <c r="X448" i="29"/>
  <c r="Y448" i="29" s="1"/>
  <c r="W328" i="29"/>
  <c r="AG328" i="29"/>
  <c r="W276" i="29"/>
  <c r="AG276" i="29"/>
  <c r="AH450" i="29"/>
  <c r="X450" i="29"/>
  <c r="Y450" i="29" s="1"/>
  <c r="W281" i="29"/>
  <c r="AG281" i="29"/>
  <c r="W53" i="29"/>
  <c r="AG53" i="29"/>
  <c r="W47" i="29"/>
  <c r="AG47" i="29"/>
  <c r="BY124" i="24"/>
  <c r="CA124" i="24" s="1"/>
  <c r="CB124" i="24" s="1"/>
  <c r="BM124" i="24"/>
  <c r="BN124" i="24" s="1"/>
  <c r="BE310" i="25"/>
  <c r="BR310" i="25"/>
  <c r="BX310" i="25" s="1"/>
  <c r="BY223" i="24"/>
  <c r="CA223" i="24" s="1"/>
  <c r="CB223" i="24" s="1"/>
  <c r="BM223" i="24"/>
  <c r="BN223" i="24" s="1"/>
  <c r="BN65" i="24"/>
  <c r="BY65" i="24"/>
  <c r="CA65" i="24" s="1"/>
  <c r="CB65" i="24" s="1"/>
  <c r="BR208" i="25"/>
  <c r="BX208" i="25" s="1"/>
  <c r="BE208" i="25"/>
  <c r="BY177" i="25"/>
  <c r="CA177" i="25" s="1"/>
  <c r="BL177" i="25"/>
  <c r="BK177" i="25"/>
  <c r="BN103" i="24"/>
  <c r="BY103" i="24"/>
  <c r="CA103" i="24" s="1"/>
  <c r="BL258" i="25"/>
  <c r="BY258" i="25"/>
  <c r="CA258" i="25" s="1"/>
  <c r="CB258" i="25" s="1"/>
  <c r="BK258" i="25"/>
  <c r="AH207" i="29"/>
  <c r="X207" i="29"/>
  <c r="Y207" i="29" s="1"/>
  <c r="AH338" i="29"/>
  <c r="X338" i="29"/>
  <c r="Y338" i="29" s="1"/>
  <c r="X221" i="29"/>
  <c r="Y221" i="29" s="1"/>
  <c r="AH221" i="29"/>
  <c r="AH113" i="29"/>
  <c r="X113" i="29"/>
  <c r="Y113" i="29" s="1"/>
  <c r="AG517" i="29"/>
  <c r="W517" i="29"/>
  <c r="AH421" i="29"/>
  <c r="X421" i="29"/>
  <c r="Y421" i="29" s="1"/>
  <c r="AH557" i="29"/>
  <c r="X557" i="29"/>
  <c r="Y557" i="29" s="1"/>
  <c r="AH350" i="29"/>
  <c r="X350" i="29"/>
  <c r="Y350" i="29" s="1"/>
  <c r="W427" i="29"/>
  <c r="AG427" i="29"/>
  <c r="AG27" i="29"/>
  <c r="W27" i="29"/>
  <c r="AG217" i="29"/>
  <c r="W217" i="29"/>
  <c r="AH522" i="29"/>
  <c r="X522" i="29"/>
  <c r="Y522" i="29" s="1"/>
  <c r="X318" i="29"/>
  <c r="Y318" i="29" s="1"/>
  <c r="AH318" i="29"/>
  <c r="AG227" i="29"/>
  <c r="W227" i="29"/>
  <c r="AG590" i="29"/>
  <c r="W590" i="29"/>
  <c r="AG95" i="29"/>
  <c r="W95" i="29"/>
  <c r="AG152" i="29"/>
  <c r="W152" i="29"/>
  <c r="BY297" i="24"/>
  <c r="CA297" i="24" s="1"/>
  <c r="BM297" i="24"/>
  <c r="BN297" i="24" s="1"/>
  <c r="BY262" i="24"/>
  <c r="CA262" i="24" s="1"/>
  <c r="BM262" i="24"/>
  <c r="BN262" i="24" s="1"/>
  <c r="BY68" i="24"/>
  <c r="CA68" i="24" s="1"/>
  <c r="CB68" i="24" s="1"/>
  <c r="BN68" i="24"/>
  <c r="BE298" i="25"/>
  <c r="BR298" i="25"/>
  <c r="BX298" i="25" s="1"/>
  <c r="BE184" i="25"/>
  <c r="BR184" i="25"/>
  <c r="BX184" i="25" s="1"/>
  <c r="BY200" i="24"/>
  <c r="CA200" i="24" s="1"/>
  <c r="BM200" i="24"/>
  <c r="BN200" i="24" s="1"/>
  <c r="BR250" i="25"/>
  <c r="BX250" i="25" s="1"/>
  <c r="BE250" i="25"/>
  <c r="BY168" i="24"/>
  <c r="CA168" i="24" s="1"/>
  <c r="BM168" i="24"/>
  <c r="BN168" i="24" s="1"/>
  <c r="BY181" i="24"/>
  <c r="CA181" i="24" s="1"/>
  <c r="CB181" i="24" s="1"/>
  <c r="BM181" i="24"/>
  <c r="BN181" i="24" s="1"/>
  <c r="BR51" i="25"/>
  <c r="BV51" i="25" s="1"/>
  <c r="BX51" i="25" s="1"/>
  <c r="BE51" i="25"/>
  <c r="BK51" i="25" s="1"/>
  <c r="BR286" i="25"/>
  <c r="BX286" i="25" s="1"/>
  <c r="BE286" i="25"/>
  <c r="BY95" i="25"/>
  <c r="CA95" i="25" s="1"/>
  <c r="CB95" i="25" s="1"/>
  <c r="BL95" i="25"/>
  <c r="AG295" i="29"/>
  <c r="W295" i="29"/>
  <c r="AG193" i="29"/>
  <c r="W193" i="29"/>
  <c r="W333" i="29"/>
  <c r="AG333" i="29"/>
  <c r="AG285" i="29"/>
  <c r="W285" i="29"/>
  <c r="X562" i="29"/>
  <c r="Y562" i="29" s="1"/>
  <c r="AH562" i="29"/>
  <c r="AH569" i="29"/>
  <c r="X569" i="29"/>
  <c r="Y569" i="29" s="1"/>
  <c r="AH265" i="29"/>
  <c r="X265" i="29"/>
  <c r="Y265" i="29" s="1"/>
  <c r="BY186" i="24"/>
  <c r="CA186" i="24" s="1"/>
  <c r="BM186" i="24"/>
  <c r="BN186" i="24" s="1"/>
  <c r="BY116" i="24"/>
  <c r="CA116" i="24" s="1"/>
  <c r="CB116" i="24" s="1"/>
  <c r="BM116" i="24"/>
  <c r="BN116" i="24" s="1"/>
  <c r="BL240" i="25"/>
  <c r="BY240" i="25"/>
  <c r="CA240" i="25" s="1"/>
  <c r="CB240" i="25" s="1"/>
  <c r="BK240" i="25"/>
  <c r="AH514" i="29"/>
  <c r="X514" i="29"/>
  <c r="Y514" i="29" s="1"/>
  <c r="AG309" i="29"/>
  <c r="W309" i="29"/>
  <c r="W62" i="29"/>
  <c r="AG62" i="29"/>
  <c r="AH422" i="29"/>
  <c r="X422" i="29"/>
  <c r="Y422" i="29" s="1"/>
  <c r="AH166" i="29"/>
  <c r="X166" i="29"/>
  <c r="Y166" i="29" s="1"/>
  <c r="AG477" i="29"/>
  <c r="W477" i="29"/>
  <c r="X508" i="29"/>
  <c r="Y508" i="29" s="1"/>
  <c r="AH508" i="29"/>
  <c r="X41" i="29"/>
  <c r="Y41" i="29" s="1"/>
  <c r="AH41" i="29"/>
  <c r="AH495" i="29"/>
  <c r="X495" i="29"/>
  <c r="Y495" i="29" s="1"/>
  <c r="AH335" i="29"/>
  <c r="X335" i="29"/>
  <c r="Y335" i="29" s="1"/>
  <c r="AG479" i="29"/>
  <c r="W479" i="29"/>
  <c r="W550" i="29"/>
  <c r="AG550" i="29"/>
  <c r="AH559" i="29"/>
  <c r="X559" i="29"/>
  <c r="Y559" i="29" s="1"/>
  <c r="BY254" i="24"/>
  <c r="CA254" i="24" s="1"/>
  <c r="CB254" i="24" s="1"/>
  <c r="BM254" i="24"/>
  <c r="BN254" i="24" s="1"/>
  <c r="BY210" i="24"/>
  <c r="CA210" i="24" s="1"/>
  <c r="BM210" i="24"/>
  <c r="BN210" i="24" s="1"/>
  <c r="BE99" i="25"/>
  <c r="BK99" i="25" s="1"/>
  <c r="BR99" i="25"/>
  <c r="BV99" i="25" s="1"/>
  <c r="BX99" i="25" s="1"/>
  <c r="BE88" i="25"/>
  <c r="BK88" i="25" s="1"/>
  <c r="BR88" i="25"/>
  <c r="BV88" i="25" s="1"/>
  <c r="BX88" i="25" s="1"/>
  <c r="BY97" i="25"/>
  <c r="CA97" i="25" s="1"/>
  <c r="BL97" i="25"/>
  <c r="BY193" i="24"/>
  <c r="CA193" i="24" s="1"/>
  <c r="BM193" i="24"/>
  <c r="BN193" i="24" s="1"/>
  <c r="BY159" i="24"/>
  <c r="CA159" i="24" s="1"/>
  <c r="CB159" i="24" s="1"/>
  <c r="BM159" i="24"/>
  <c r="BN159" i="24" s="1"/>
  <c r="BE241" i="25"/>
  <c r="BR241" i="25"/>
  <c r="BX241" i="25" s="1"/>
  <c r="BE67" i="25"/>
  <c r="BK67" i="25" s="1"/>
  <c r="BR67" i="25"/>
  <c r="BV67" i="25" s="1"/>
  <c r="BX67" i="25" s="1"/>
  <c r="BY273" i="24"/>
  <c r="CA273" i="24" s="1"/>
  <c r="CB273" i="24" s="1"/>
  <c r="BM273" i="24"/>
  <c r="BN273" i="24" s="1"/>
  <c r="BY161" i="24"/>
  <c r="CA161" i="24" s="1"/>
  <c r="BM161" i="24"/>
  <c r="BN161" i="24" s="1"/>
  <c r="BY166" i="24"/>
  <c r="CA166" i="24" s="1"/>
  <c r="BM166" i="24"/>
  <c r="BN166" i="24" s="1"/>
  <c r="AG80" i="29"/>
  <c r="W80" i="29"/>
  <c r="AH85" i="29"/>
  <c r="X85" i="29"/>
  <c r="Y85" i="29" s="1"/>
  <c r="AH157" i="29"/>
  <c r="X157" i="29"/>
  <c r="Y157" i="29" s="1"/>
  <c r="X426" i="29"/>
  <c r="Y426" i="29" s="1"/>
  <c r="AH426" i="29"/>
  <c r="X434" i="29"/>
  <c r="Y434" i="29" s="1"/>
  <c r="AH434" i="29"/>
  <c r="W509" i="29"/>
  <c r="AG509" i="29"/>
  <c r="AH84" i="29"/>
  <c r="X84" i="29"/>
  <c r="Y84" i="29" s="1"/>
  <c r="AH222" i="29"/>
  <c r="X222" i="29"/>
  <c r="Y222" i="29" s="1"/>
  <c r="AH360" i="29"/>
  <c r="X360" i="29"/>
  <c r="Y360" i="29" s="1"/>
  <c r="AG458" i="29"/>
  <c r="W458" i="29"/>
  <c r="W470" i="29"/>
  <c r="AG470" i="29"/>
  <c r="W196" i="29"/>
  <c r="AG196" i="29"/>
  <c r="AH351" i="29"/>
  <c r="X351" i="29"/>
  <c r="Y351" i="29" s="1"/>
  <c r="AH146" i="29"/>
  <c r="X146" i="29"/>
  <c r="Y146" i="29" s="1"/>
  <c r="W377" i="29"/>
  <c r="AG377" i="29"/>
  <c r="BY134" i="24"/>
  <c r="CA134" i="24" s="1"/>
  <c r="CB134" i="24" s="1"/>
  <c r="BM134" i="24"/>
  <c r="BN134" i="24" s="1"/>
  <c r="BY287" i="24"/>
  <c r="CA287" i="24" s="1"/>
  <c r="CB287" i="24" s="1"/>
  <c r="BM287" i="24"/>
  <c r="BN287" i="24" s="1"/>
  <c r="BY77" i="24"/>
  <c r="CA77" i="24" s="1"/>
  <c r="CB77" i="24" s="1"/>
  <c r="BN77" i="24"/>
  <c r="BY131" i="24"/>
  <c r="CA131" i="24" s="1"/>
  <c r="CB131" i="24" s="1"/>
  <c r="BM131" i="24"/>
  <c r="BN131" i="24" s="1"/>
  <c r="BE55" i="25"/>
  <c r="BK55" i="25" s="1"/>
  <c r="BR55" i="25"/>
  <c r="BV55" i="25" s="1"/>
  <c r="BX55" i="25" s="1"/>
  <c r="BY263" i="24"/>
  <c r="CA263" i="24" s="1"/>
  <c r="BM263" i="24"/>
  <c r="BN263" i="24" s="1"/>
  <c r="BE166" i="25"/>
  <c r="BR166" i="25"/>
  <c r="BX166" i="25" s="1"/>
  <c r="BE312" i="25"/>
  <c r="BR312" i="25"/>
  <c r="BX312" i="25" s="1"/>
  <c r="X260" i="29"/>
  <c r="Y260" i="29" s="1"/>
  <c r="AH260" i="29"/>
  <c r="AG235" i="29"/>
  <c r="W235" i="29"/>
  <c r="W546" i="29"/>
  <c r="AG546" i="29"/>
  <c r="W454" i="29"/>
  <c r="AG454" i="29"/>
  <c r="AH498" i="29"/>
  <c r="X498" i="29"/>
  <c r="Y498" i="29" s="1"/>
  <c r="AH561" i="29"/>
  <c r="X561" i="29"/>
  <c r="Y561" i="29" s="1"/>
  <c r="W462" i="29"/>
  <c r="AG462" i="29"/>
  <c r="AH523" i="29"/>
  <c r="X523" i="29"/>
  <c r="Y523" i="29" s="1"/>
  <c r="BY245" i="24"/>
  <c r="CA245" i="24" s="1"/>
  <c r="BM245" i="24"/>
  <c r="BN245" i="24" s="1"/>
  <c r="BE226" i="25"/>
  <c r="BR226" i="25"/>
  <c r="BX226" i="25" s="1"/>
  <c r="BE217" i="25"/>
  <c r="BR217" i="25"/>
  <c r="BX217" i="25" s="1"/>
  <c r="BY170" i="24"/>
  <c r="CA170" i="24" s="1"/>
  <c r="BM170" i="24"/>
  <c r="BN170" i="24" s="1"/>
  <c r="BE224" i="25"/>
  <c r="BR224" i="25"/>
  <c r="BX224" i="25" s="1"/>
  <c r="BY255" i="24"/>
  <c r="CA255" i="24" s="1"/>
  <c r="CB255" i="24" s="1"/>
  <c r="BM255" i="24"/>
  <c r="BN255" i="24" s="1"/>
  <c r="W87" i="29"/>
  <c r="AG87" i="29"/>
  <c r="AH294" i="29"/>
  <c r="X294" i="29"/>
  <c r="Y294" i="29" s="1"/>
  <c r="X33" i="29"/>
  <c r="Y33" i="29" s="1"/>
  <c r="AH33" i="29"/>
  <c r="W407" i="29"/>
  <c r="AG407" i="29"/>
  <c r="X137" i="29"/>
  <c r="Y137" i="29" s="1"/>
  <c r="AH137" i="29"/>
  <c r="W247" i="29"/>
  <c r="AG247" i="29"/>
  <c r="AG461" i="29"/>
  <c r="W461" i="29"/>
  <c r="AH291" i="29"/>
  <c r="X291" i="29"/>
  <c r="Y291" i="29" s="1"/>
  <c r="W311" i="29"/>
  <c r="AG311" i="29"/>
  <c r="W162" i="29"/>
  <c r="AG162" i="29"/>
  <c r="AH164" i="29"/>
  <c r="X164" i="29"/>
  <c r="Y164" i="29" s="1"/>
  <c r="AG238" i="29"/>
  <c r="W238" i="29"/>
  <c r="AG400" i="29"/>
  <c r="W400" i="29"/>
  <c r="X480" i="29"/>
  <c r="Y480" i="29" s="1"/>
  <c r="AH480" i="29"/>
  <c r="AH489" i="29"/>
  <c r="X489" i="29"/>
  <c r="Y489" i="29" s="1"/>
  <c r="BY243" i="25"/>
  <c r="CA243" i="25" s="1"/>
  <c r="CB243" i="25" s="1"/>
  <c r="BL243" i="25"/>
  <c r="BK243" i="25"/>
  <c r="BE156" i="25"/>
  <c r="BR156" i="25"/>
  <c r="BX156" i="25" s="1"/>
  <c r="BY89" i="25"/>
  <c r="CA89" i="25" s="1"/>
  <c r="BL89" i="25"/>
  <c r="BE123" i="25"/>
  <c r="BR123" i="25"/>
  <c r="BX123" i="25" s="1"/>
  <c r="BY30" i="25"/>
  <c r="CA30" i="25" s="1"/>
  <c r="BL30" i="25"/>
  <c r="BY288" i="24"/>
  <c r="CA288" i="24" s="1"/>
  <c r="BM288" i="24"/>
  <c r="BN288" i="24" s="1"/>
  <c r="BY173" i="25"/>
  <c r="CA173" i="25" s="1"/>
  <c r="BL173" i="25"/>
  <c r="BK173" i="25"/>
  <c r="BE271" i="25"/>
  <c r="BR271" i="25"/>
  <c r="BX271" i="25" s="1"/>
  <c r="BY276" i="24"/>
  <c r="CA276" i="24" s="1"/>
  <c r="BM276" i="24"/>
  <c r="BN276" i="24" s="1"/>
  <c r="BE111" i="25"/>
  <c r="BR111" i="25"/>
  <c r="BX111" i="25" s="1"/>
  <c r="W267" i="29"/>
  <c r="AG267" i="29"/>
  <c r="AG250" i="29"/>
  <c r="W250" i="29"/>
  <c r="AH528" i="29"/>
  <c r="X528" i="29"/>
  <c r="Y528" i="29" s="1"/>
  <c r="AH369" i="29"/>
  <c r="X369" i="29"/>
  <c r="Y369" i="29" s="1"/>
  <c r="X440" i="29"/>
  <c r="Y440" i="29" s="1"/>
  <c r="AH440" i="29"/>
  <c r="X301" i="29"/>
  <c r="Y301" i="29" s="1"/>
  <c r="AH301" i="29"/>
  <c r="AG39" i="29"/>
  <c r="W39" i="29"/>
  <c r="W320" i="29"/>
  <c r="AG320" i="29"/>
  <c r="X431" i="29"/>
  <c r="Y431" i="29" s="1"/>
  <c r="AH431" i="29"/>
  <c r="AH380" i="29"/>
  <c r="X380" i="29"/>
  <c r="Y380" i="29" s="1"/>
  <c r="AG572" i="29"/>
  <c r="W572" i="29"/>
  <c r="W197" i="29"/>
  <c r="AG197" i="29"/>
  <c r="AG44" i="29"/>
  <c r="W44" i="29"/>
  <c r="AG418" i="29"/>
  <c r="W418" i="29"/>
  <c r="W536" i="29"/>
  <c r="AG536" i="29"/>
  <c r="BE210" i="25"/>
  <c r="BR210" i="25"/>
  <c r="BX210" i="25" s="1"/>
  <c r="BR209" i="25"/>
  <c r="BX209" i="25" s="1"/>
  <c r="BE209" i="25"/>
  <c r="BE53" i="25"/>
  <c r="BK53" i="25" s="1"/>
  <c r="BR53" i="25"/>
  <c r="BV53" i="25" s="1"/>
  <c r="BX53" i="25" s="1"/>
  <c r="BY155" i="25"/>
  <c r="CA155" i="25" s="1"/>
  <c r="CB155" i="25" s="1"/>
  <c r="BL155" i="25"/>
  <c r="BK155" i="25"/>
  <c r="BN76" i="24"/>
  <c r="BY76" i="24"/>
  <c r="CA76" i="24" s="1"/>
  <c r="CB76" i="24" s="1"/>
  <c r="BE122" i="25"/>
  <c r="BR122" i="25"/>
  <c r="BX122" i="25" s="1"/>
  <c r="BE20" i="25"/>
  <c r="BK20" i="25" s="1"/>
  <c r="BR20" i="25"/>
  <c r="BV20" i="25" s="1"/>
  <c r="BX20" i="25" s="1"/>
  <c r="BE295" i="25"/>
  <c r="BR295" i="25"/>
  <c r="BX295" i="25" s="1"/>
  <c r="BY198" i="24"/>
  <c r="CA198" i="24" s="1"/>
  <c r="CB198" i="24" s="1"/>
  <c r="BM198" i="24"/>
  <c r="BN198" i="24" s="1"/>
  <c r="AG239" i="29"/>
  <c r="W239" i="29"/>
  <c r="AG78" i="29"/>
  <c r="W78" i="29"/>
  <c r="X347" i="29"/>
  <c r="Y347" i="29" s="1"/>
  <c r="AH347" i="29"/>
  <c r="X513" i="29"/>
  <c r="Y513" i="29" s="1"/>
  <c r="AH513" i="29"/>
  <c r="AG205" i="29"/>
  <c r="W205" i="29"/>
  <c r="BR79" i="25"/>
  <c r="BV79" i="25" s="1"/>
  <c r="BX79" i="25" s="1"/>
  <c r="BE79" i="25"/>
  <c r="BK79" i="25" s="1"/>
  <c r="BY291" i="25"/>
  <c r="CA291" i="25" s="1"/>
  <c r="CB291" i="25" s="1"/>
  <c r="BL291" i="25"/>
  <c r="BK291" i="25"/>
  <c r="BY9" i="24"/>
  <c r="CA9" i="24" s="1"/>
  <c r="CB9" i="24" s="1"/>
  <c r="BN9" i="24"/>
  <c r="BY30" i="24"/>
  <c r="CA30" i="24" s="1"/>
  <c r="BN30" i="24"/>
  <c r="BY52" i="24"/>
  <c r="CA52" i="24" s="1"/>
  <c r="CB52" i="24" s="1"/>
  <c r="BN52" i="24"/>
  <c r="BY86" i="24"/>
  <c r="CA86" i="24" s="1"/>
  <c r="CB86" i="24" s="1"/>
  <c r="BN86" i="24"/>
  <c r="BL267" i="25"/>
  <c r="BY267" i="25"/>
  <c r="CA267" i="25" s="1"/>
  <c r="CB267" i="25" s="1"/>
  <c r="BK267" i="25"/>
  <c r="BE216" i="25"/>
  <c r="BR216" i="25"/>
  <c r="BX216" i="25" s="1"/>
  <c r="AG549" i="29"/>
  <c r="W549" i="29"/>
  <c r="AG76" i="29"/>
  <c r="W76" i="29"/>
  <c r="BY35" i="24"/>
  <c r="CA35" i="24" s="1"/>
  <c r="CB35" i="24" s="1"/>
  <c r="BN35" i="24"/>
  <c r="BE168" i="25"/>
  <c r="BR168" i="25"/>
  <c r="BX168" i="25" s="1"/>
  <c r="BY293" i="24"/>
  <c r="CA293" i="24" s="1"/>
  <c r="CB293" i="24" s="1"/>
  <c r="BM293" i="24"/>
  <c r="BN293" i="24" s="1"/>
  <c r="BY186" i="25"/>
  <c r="CA186" i="25" s="1"/>
  <c r="BL186" i="25"/>
  <c r="BK186" i="25"/>
  <c r="BY249" i="24"/>
  <c r="CA249" i="24" s="1"/>
  <c r="CB249" i="24" s="1"/>
  <c r="BM249" i="24"/>
  <c r="BN249" i="24" s="1"/>
  <c r="BR46" i="25"/>
  <c r="BV46" i="25" s="1"/>
  <c r="BX46" i="25" s="1"/>
  <c r="BE46" i="25"/>
  <c r="BK46" i="25" s="1"/>
  <c r="AG468" i="29"/>
  <c r="W468" i="29"/>
  <c r="AH507" i="29"/>
  <c r="X507" i="29"/>
  <c r="Y507" i="29" s="1"/>
  <c r="AH447" i="29"/>
  <c r="X447" i="29"/>
  <c r="Y447" i="29" s="1"/>
  <c r="AH209" i="29"/>
  <c r="X209" i="29"/>
  <c r="Y209" i="29" s="1"/>
  <c r="W30" i="29"/>
  <c r="AG30" i="29"/>
  <c r="X193" i="29"/>
  <c r="Y193" i="29" s="1"/>
  <c r="AH193" i="29"/>
  <c r="AH140" i="29"/>
  <c r="X140" i="29"/>
  <c r="Y140" i="29" s="1"/>
  <c r="X285" i="29"/>
  <c r="Y285" i="29" s="1"/>
  <c r="AH285" i="29"/>
  <c r="X202" i="29"/>
  <c r="Y202" i="29" s="1"/>
  <c r="AH202" i="29"/>
  <c r="W182" i="29"/>
  <c r="AG182" i="29"/>
  <c r="AG419" i="29"/>
  <c r="W419" i="29"/>
  <c r="AG228" i="29"/>
  <c r="W228" i="29"/>
  <c r="AG159" i="29"/>
  <c r="W159" i="29"/>
  <c r="BE281" i="25"/>
  <c r="BR281" i="25"/>
  <c r="BX281" i="25" s="1"/>
  <c r="BY267" i="24"/>
  <c r="CA267" i="24" s="1"/>
  <c r="BM267" i="24"/>
  <c r="BN267" i="24" s="1"/>
  <c r="BY221" i="24"/>
  <c r="CA221" i="24" s="1"/>
  <c r="CB221" i="24" s="1"/>
  <c r="BM221" i="24"/>
  <c r="BN221" i="24" s="1"/>
  <c r="BE116" i="25"/>
  <c r="BR116" i="25"/>
  <c r="BX116" i="25" s="1"/>
  <c r="BE8" i="25"/>
  <c r="BK8" i="25" s="1"/>
  <c r="BR8" i="25"/>
  <c r="BV8" i="25" s="1"/>
  <c r="BX8" i="25" s="1"/>
  <c r="BE175" i="25"/>
  <c r="BR175" i="25"/>
  <c r="BX175" i="25" s="1"/>
  <c r="AG258" i="29"/>
  <c r="W258" i="29"/>
  <c r="BL292" i="25"/>
  <c r="BY292" i="25"/>
  <c r="CA292" i="25" s="1"/>
  <c r="CB292" i="25" s="1"/>
  <c r="BK292" i="25"/>
  <c r="BE245" i="25"/>
  <c r="BR245" i="25"/>
  <c r="BX245" i="25" s="1"/>
  <c r="BY239" i="24"/>
  <c r="CA239" i="24" s="1"/>
  <c r="CB239" i="24" s="1"/>
  <c r="BM239" i="24"/>
  <c r="BN239" i="24" s="1"/>
  <c r="W81" i="29"/>
  <c r="AG81" i="29"/>
  <c r="X108" i="29"/>
  <c r="Y108" i="29" s="1"/>
  <c r="AH108" i="29"/>
  <c r="X266" i="29"/>
  <c r="Y266" i="29" s="1"/>
  <c r="AH266" i="29"/>
  <c r="AH104" i="29"/>
  <c r="X104" i="29"/>
  <c r="Y104" i="29" s="1"/>
  <c r="BE299" i="25"/>
  <c r="BR299" i="25"/>
  <c r="BX299" i="25" s="1"/>
  <c r="BR93" i="25"/>
  <c r="BV93" i="25" s="1"/>
  <c r="BX93" i="25" s="1"/>
  <c r="BE93" i="25"/>
  <c r="BK93" i="25" s="1"/>
  <c r="BY277" i="24"/>
  <c r="CA277" i="24" s="1"/>
  <c r="CB277" i="24" s="1"/>
  <c r="BM277" i="24"/>
  <c r="BN277" i="24" s="1"/>
  <c r="BN80" i="24"/>
  <c r="BY80" i="24"/>
  <c r="CA80" i="24" s="1"/>
  <c r="BE37" i="25"/>
  <c r="BK37" i="25" s="1"/>
  <c r="BR37" i="25"/>
  <c r="BV37" i="25" s="1"/>
  <c r="BX37" i="25" s="1"/>
  <c r="BY217" i="24"/>
  <c r="CA217" i="24" s="1"/>
  <c r="BM217" i="24"/>
  <c r="BN217" i="24" s="1"/>
  <c r="BL96" i="25"/>
  <c r="BY96" i="25"/>
  <c r="CA96" i="25" s="1"/>
  <c r="BE102" i="25"/>
  <c r="BK102" i="25" s="1"/>
  <c r="BR102" i="25"/>
  <c r="BV102" i="25" s="1"/>
  <c r="BX102" i="25" s="1"/>
  <c r="BE139" i="25"/>
  <c r="BR139" i="25"/>
  <c r="BX139" i="25" s="1"/>
  <c r="BY38" i="24"/>
  <c r="CA38" i="24" s="1"/>
  <c r="CB38" i="24" s="1"/>
  <c r="BN38" i="24"/>
  <c r="AG437" i="29"/>
  <c r="W437" i="29"/>
  <c r="BE274" i="25"/>
  <c r="BR274" i="25"/>
  <c r="BX274" i="25" s="1"/>
  <c r="BN88" i="24"/>
  <c r="BY88" i="24"/>
  <c r="CA88" i="24" s="1"/>
  <c r="BY283" i="25"/>
  <c r="CA283" i="25" s="1"/>
  <c r="CB283" i="25" s="1"/>
  <c r="BL283" i="25"/>
  <c r="BK283" i="25"/>
  <c r="BY300" i="24"/>
  <c r="CA300" i="24" s="1"/>
  <c r="CB300" i="24" s="1"/>
  <c r="BM300" i="24"/>
  <c r="BN300" i="24" s="1"/>
  <c r="BY278" i="24"/>
  <c r="CA278" i="24" s="1"/>
  <c r="CB278" i="24" s="1"/>
  <c r="BM278" i="24"/>
  <c r="BN278" i="24" s="1"/>
  <c r="BY61" i="24"/>
  <c r="CA61" i="24" s="1"/>
  <c r="BN61" i="24"/>
  <c r="BR78" i="25"/>
  <c r="BV78" i="25" s="1"/>
  <c r="BX78" i="25" s="1"/>
  <c r="BE78" i="25"/>
  <c r="BK78" i="25" s="1"/>
  <c r="BY147" i="25"/>
  <c r="CA147" i="25" s="1"/>
  <c r="BL147" i="25"/>
  <c r="BK147" i="25"/>
  <c r="X531" i="29"/>
  <c r="Y531" i="29" s="1"/>
  <c r="AH531" i="29"/>
  <c r="AH410" i="29"/>
  <c r="X410" i="29"/>
  <c r="Y410" i="29" s="1"/>
  <c r="X289" i="29"/>
  <c r="Y289" i="29" s="1"/>
  <c r="AH289" i="29"/>
  <c r="W127" i="29"/>
  <c r="AG127" i="29"/>
  <c r="AH98" i="29"/>
  <c r="X98" i="29"/>
  <c r="Y98" i="29" s="1"/>
  <c r="AG510" i="29"/>
  <c r="W510" i="29"/>
  <c r="W20" i="29"/>
  <c r="AG20" i="29"/>
  <c r="AG451" i="29"/>
  <c r="W451" i="29"/>
  <c r="W94" i="29"/>
  <c r="AG94" i="29"/>
  <c r="AH382" i="29"/>
  <c r="X382" i="29"/>
  <c r="Y382" i="29" s="1"/>
  <c r="W506" i="29"/>
  <c r="AG506" i="29"/>
  <c r="BY167" i="24"/>
  <c r="CA167" i="24" s="1"/>
  <c r="CB167" i="24" s="1"/>
  <c r="BM167" i="24"/>
  <c r="BN167" i="24" s="1"/>
  <c r="BE74" i="25"/>
  <c r="BK74" i="25" s="1"/>
  <c r="BR74" i="25"/>
  <c r="BV74" i="25" s="1"/>
  <c r="BX74" i="25" s="1"/>
  <c r="BY154" i="24"/>
  <c r="CA154" i="24" s="1"/>
  <c r="CB154" i="24" s="1"/>
  <c r="BM154" i="24"/>
  <c r="BN154" i="24" s="1"/>
  <c r="BE68" i="25"/>
  <c r="BK68" i="25" s="1"/>
  <c r="BR68" i="25"/>
  <c r="BV68" i="25" s="1"/>
  <c r="BX68" i="25" s="1"/>
  <c r="BY151" i="24"/>
  <c r="CA151" i="24" s="1"/>
  <c r="BM151" i="24"/>
  <c r="BN151" i="24" s="1"/>
  <c r="BE309" i="25"/>
  <c r="BR309" i="25"/>
  <c r="BX309" i="25" s="1"/>
  <c r="BY50" i="24"/>
  <c r="CA50" i="24" s="1"/>
  <c r="CB50" i="24" s="1"/>
  <c r="BN50" i="24"/>
  <c r="AG18" i="29"/>
  <c r="W18" i="29"/>
  <c r="AH387" i="29"/>
  <c r="X387" i="29"/>
  <c r="Y387" i="29" s="1"/>
  <c r="X330" i="29"/>
  <c r="Y330" i="29" s="1"/>
  <c r="AH330" i="29"/>
  <c r="AH189" i="29"/>
  <c r="X189" i="29"/>
  <c r="Y189" i="29" s="1"/>
  <c r="AH60" i="29"/>
  <c r="X60" i="29"/>
  <c r="Y60" i="29" s="1"/>
  <c r="BE263" i="25"/>
  <c r="BR263" i="25"/>
  <c r="BX263" i="25" s="1"/>
  <c r="BR90" i="25"/>
  <c r="BV90" i="25" s="1"/>
  <c r="BX90" i="25" s="1"/>
  <c r="BE90" i="25"/>
  <c r="BK90" i="25" s="1"/>
  <c r="BY199" i="24"/>
  <c r="CA199" i="24" s="1"/>
  <c r="BM199" i="24"/>
  <c r="BN199" i="24" s="1"/>
  <c r="BN63" i="24"/>
  <c r="BY63" i="24"/>
  <c r="CA63" i="24" s="1"/>
  <c r="CB63" i="24" s="1"/>
  <c r="BN97" i="24"/>
  <c r="BY97" i="24"/>
  <c r="CA97" i="24" s="1"/>
  <c r="BY270" i="24"/>
  <c r="CA270" i="24" s="1"/>
  <c r="CB270" i="24" s="1"/>
  <c r="BM270" i="24"/>
  <c r="BN270" i="24" s="1"/>
  <c r="BR86" i="25"/>
  <c r="BV86" i="25" s="1"/>
  <c r="BX86" i="25" s="1"/>
  <c r="BE86" i="25"/>
  <c r="BK86" i="25" s="1"/>
  <c r="BY11" i="25"/>
  <c r="CA11" i="25" s="1"/>
  <c r="CB11" i="25" s="1"/>
  <c r="BL11" i="25"/>
  <c r="BE157" i="25"/>
  <c r="BR157" i="25"/>
  <c r="BX157" i="25" s="1"/>
  <c r="BN8" i="24"/>
  <c r="BY8" i="24"/>
  <c r="CA8" i="24" s="1"/>
  <c r="CB8" i="24" s="1"/>
  <c r="AG446" i="29"/>
  <c r="W446" i="29"/>
  <c r="W484" i="29"/>
  <c r="AG484" i="29"/>
  <c r="BY227" i="24"/>
  <c r="CA227" i="24" s="1"/>
  <c r="CB227" i="24" s="1"/>
  <c r="BM227" i="24"/>
  <c r="BN227" i="24" s="1"/>
  <c r="BY59" i="25"/>
  <c r="CA59" i="25" s="1"/>
  <c r="CB59" i="25" s="1"/>
  <c r="BL59" i="25"/>
  <c r="BY306" i="25"/>
  <c r="CA306" i="25" s="1"/>
  <c r="CB306" i="25" s="1"/>
  <c r="BL306" i="25"/>
  <c r="BK306" i="25"/>
  <c r="BE203" i="25"/>
  <c r="BR203" i="25"/>
  <c r="BX203" i="25" s="1"/>
  <c r="BY14" i="25"/>
  <c r="CA14" i="25" s="1"/>
  <c r="BL14" i="25"/>
  <c r="BE230" i="25"/>
  <c r="BR230" i="25"/>
  <c r="BX230" i="25" s="1"/>
  <c r="BR76" i="25"/>
  <c r="BV76" i="25" s="1"/>
  <c r="BX76" i="25" s="1"/>
  <c r="BE76" i="25"/>
  <c r="BK76" i="25" s="1"/>
  <c r="BY206" i="24"/>
  <c r="CA206" i="24" s="1"/>
  <c r="BM206" i="24"/>
  <c r="BN206" i="24" s="1"/>
  <c r="BY144" i="24"/>
  <c r="CA144" i="24" s="1"/>
  <c r="CB144" i="24" s="1"/>
  <c r="BM144" i="24"/>
  <c r="BN144" i="24" s="1"/>
  <c r="BE307" i="25"/>
  <c r="BR307" i="25"/>
  <c r="BX307" i="25" s="1"/>
  <c r="X594" i="29"/>
  <c r="Y594" i="29" s="1"/>
  <c r="AH594" i="29"/>
  <c r="AG582" i="29"/>
  <c r="W582" i="29"/>
  <c r="X82" i="29"/>
  <c r="Y82" i="29" s="1"/>
  <c r="AH82" i="29"/>
  <c r="W370" i="29"/>
  <c r="AG370" i="29"/>
  <c r="W570" i="29"/>
  <c r="AG570" i="29"/>
  <c r="AH78" i="29"/>
  <c r="X78" i="29"/>
  <c r="Y78" i="29" s="1"/>
  <c r="AH103" i="29"/>
  <c r="X103" i="29"/>
  <c r="Y103" i="29" s="1"/>
  <c r="AH139" i="29"/>
  <c r="X139" i="29"/>
  <c r="Y139" i="29" s="1"/>
  <c r="X261" i="29"/>
  <c r="Y261" i="29" s="1"/>
  <c r="AH261" i="29"/>
  <c r="AG77" i="29"/>
  <c r="W77" i="29"/>
  <c r="AH459" i="29"/>
  <c r="X459" i="29"/>
  <c r="Y459" i="29" s="1"/>
  <c r="AG494" i="29"/>
  <c r="W494" i="29"/>
  <c r="W151" i="29"/>
  <c r="AG151" i="29"/>
  <c r="W613" i="29"/>
  <c r="AG613" i="29"/>
  <c r="AH218" i="29"/>
  <c r="X218" i="29"/>
  <c r="Y218" i="29" s="1"/>
  <c r="BE304" i="25"/>
  <c r="BR304" i="25"/>
  <c r="BX304" i="25" s="1"/>
  <c r="BE135" i="25"/>
  <c r="BR135" i="25"/>
  <c r="BX135" i="25" s="1"/>
  <c r="BE169" i="25"/>
  <c r="BR169" i="25"/>
  <c r="BX169" i="25" s="1"/>
  <c r="BY153" i="24"/>
  <c r="CA153" i="24" s="1"/>
  <c r="CB153" i="24" s="1"/>
  <c r="BM153" i="24"/>
  <c r="BN153" i="24" s="1"/>
  <c r="BY285" i="24"/>
  <c r="CA285" i="24" s="1"/>
  <c r="BM285" i="24"/>
  <c r="BN285" i="24" s="1"/>
  <c r="BE308" i="25"/>
  <c r="BR308" i="25"/>
  <c r="BX308" i="25" s="1"/>
  <c r="BE193" i="25"/>
  <c r="BR193" i="25"/>
  <c r="BX193" i="25" s="1"/>
  <c r="BL28" i="25"/>
  <c r="BY28" i="25"/>
  <c r="CA28" i="25" s="1"/>
  <c r="CB28" i="25" s="1"/>
  <c r="AG262" i="29"/>
  <c r="W262" i="29"/>
  <c r="W17" i="29"/>
  <c r="AG17" i="29"/>
  <c r="AG233" i="29"/>
  <c r="W233" i="29"/>
  <c r="W178" i="29"/>
  <c r="AG178" i="29"/>
  <c r="W386" i="29"/>
  <c r="AG386" i="29"/>
  <c r="AG361" i="29"/>
  <c r="W361" i="29"/>
  <c r="AG602" i="29"/>
  <c r="W602" i="29"/>
  <c r="AG16" i="29"/>
  <c r="W16" i="29"/>
  <c r="AH529" i="29"/>
  <c r="X529" i="29"/>
  <c r="Y529" i="29" s="1"/>
  <c r="AG519" i="29"/>
  <c r="W519" i="29"/>
  <c r="W391" i="29"/>
  <c r="AG391" i="29"/>
  <c r="X56" i="29"/>
  <c r="Y56" i="29" s="1"/>
  <c r="AH56" i="29"/>
  <c r="W344" i="29"/>
  <c r="AG344" i="29"/>
  <c r="AG505" i="29"/>
  <c r="W505" i="29"/>
  <c r="W175" i="29"/>
  <c r="AG175" i="29"/>
  <c r="AG553" i="29"/>
  <c r="W553" i="29"/>
  <c r="AH463" i="29"/>
  <c r="X463" i="29"/>
  <c r="Y463" i="29" s="1"/>
  <c r="BY127" i="24"/>
  <c r="CA127" i="24" s="1"/>
  <c r="BM127" i="24"/>
  <c r="BN127" i="24" s="1"/>
  <c r="BY74" i="24"/>
  <c r="CA74" i="24" s="1"/>
  <c r="BN74" i="24"/>
  <c r="BY66" i="24"/>
  <c r="CA66" i="24" s="1"/>
  <c r="BN66" i="24"/>
  <c r="BR294" i="25"/>
  <c r="BX294" i="25" s="1"/>
  <c r="BE294" i="25"/>
  <c r="BY81" i="24"/>
  <c r="CA81" i="24" s="1"/>
  <c r="BN81" i="24"/>
  <c r="BE112" i="25"/>
  <c r="BR112" i="25"/>
  <c r="BX112" i="25" s="1"/>
  <c r="BY247" i="25"/>
  <c r="CA247" i="25" s="1"/>
  <c r="CB247" i="25" s="1"/>
  <c r="BL247" i="25"/>
  <c r="BK247" i="25"/>
  <c r="BR101" i="25"/>
  <c r="BV101" i="25" s="1"/>
  <c r="BX101" i="25" s="1"/>
  <c r="BE101" i="25"/>
  <c r="BK101" i="25" s="1"/>
  <c r="BY90" i="24"/>
  <c r="CA90" i="24" s="1"/>
  <c r="CB90" i="24" s="1"/>
  <c r="BN90" i="24"/>
  <c r="BE302" i="25"/>
  <c r="BR302" i="25"/>
  <c r="BX302" i="25" s="1"/>
  <c r="BY222" i="24"/>
  <c r="CA222" i="24" s="1"/>
  <c r="CB222" i="24" s="1"/>
  <c r="BM222" i="24"/>
  <c r="BN222" i="24" s="1"/>
  <c r="AH603" i="29"/>
  <c r="X603" i="29"/>
  <c r="Y603" i="29" s="1"/>
  <c r="AH287" i="29"/>
  <c r="X287" i="29"/>
  <c r="Y287" i="29" s="1"/>
  <c r="W485" i="29"/>
  <c r="AG485" i="29"/>
  <c r="W263" i="29"/>
  <c r="AG263" i="29"/>
  <c r="BR160" i="25"/>
  <c r="BX160" i="25" s="1"/>
  <c r="BE160" i="25"/>
  <c r="BY13" i="24"/>
  <c r="CA13" i="24" s="1"/>
  <c r="CB13" i="24" s="1"/>
  <c r="BN13" i="24"/>
  <c r="BE300" i="25"/>
  <c r="BR300" i="25"/>
  <c r="BX300" i="25" s="1"/>
  <c r="BE52" i="25"/>
  <c r="BK52" i="25" s="1"/>
  <c r="BR52" i="25"/>
  <c r="BV52" i="25" s="1"/>
  <c r="BX52" i="25" s="1"/>
  <c r="BY173" i="24"/>
  <c r="CA173" i="24" s="1"/>
  <c r="BM173" i="24"/>
  <c r="BN173" i="24" s="1"/>
  <c r="BR73" i="25"/>
  <c r="BV73" i="25" s="1"/>
  <c r="BX73" i="25" s="1"/>
  <c r="BE73" i="25"/>
  <c r="BK73" i="25" s="1"/>
  <c r="BE85" i="25"/>
  <c r="BK85" i="25" s="1"/>
  <c r="BR85" i="25"/>
  <c r="BV85" i="25" s="1"/>
  <c r="BX85" i="25" s="1"/>
  <c r="X568" i="29"/>
  <c r="Y568" i="29" s="1"/>
  <c r="AH568" i="29"/>
  <c r="X474" i="29"/>
  <c r="Y474" i="29" s="1"/>
  <c r="AH474" i="29"/>
  <c r="AH532" i="29"/>
  <c r="X532" i="29"/>
  <c r="Y532" i="29" s="1"/>
  <c r="AG428" i="29"/>
  <c r="W428" i="29"/>
  <c r="AG96" i="29"/>
  <c r="W96" i="29"/>
  <c r="W329" i="29"/>
  <c r="AG329" i="29"/>
  <c r="AH356" i="29"/>
  <c r="X356" i="29"/>
  <c r="Y356" i="29" s="1"/>
  <c r="W126" i="29"/>
  <c r="AG126" i="29"/>
  <c r="AH430" i="29"/>
  <c r="X430" i="29"/>
  <c r="Y430" i="29" s="1"/>
  <c r="AH115" i="29"/>
  <c r="X115" i="29"/>
  <c r="Y115" i="29" s="1"/>
  <c r="AH158" i="29"/>
  <c r="X158" i="29"/>
  <c r="Y158" i="29" s="1"/>
  <c r="AH316" i="29"/>
  <c r="X316" i="29"/>
  <c r="Y316" i="29" s="1"/>
  <c r="AH244" i="29"/>
  <c r="X244" i="29"/>
  <c r="Y244" i="29" s="1"/>
  <c r="BY164" i="24"/>
  <c r="CA164" i="24" s="1"/>
  <c r="CB164" i="24" s="1"/>
  <c r="BM164" i="24"/>
  <c r="BN164" i="24" s="1"/>
  <c r="BN27" i="24"/>
  <c r="BE44" i="25"/>
  <c r="BK44" i="25" s="1"/>
  <c r="BR44" i="25"/>
  <c r="BV44" i="25" s="1"/>
  <c r="BX44" i="25" s="1"/>
  <c r="BY204" i="24"/>
  <c r="CA204" i="24" s="1"/>
  <c r="BM204" i="24"/>
  <c r="BN204" i="24" s="1"/>
  <c r="AH91" i="29"/>
  <c r="X91" i="29"/>
  <c r="Y91" i="29" s="1"/>
  <c r="AG501" i="29"/>
  <c r="W501" i="29"/>
  <c r="X524" i="29"/>
  <c r="Y524" i="29" s="1"/>
  <c r="AH524" i="29"/>
  <c r="AH432" i="29"/>
  <c r="X432" i="29"/>
  <c r="Y432" i="29" s="1"/>
  <c r="AG298" i="29"/>
  <c r="W298" i="29"/>
  <c r="AH526" i="29"/>
  <c r="X526" i="29"/>
  <c r="Y526" i="29" s="1"/>
  <c r="AH379" i="29"/>
  <c r="X379" i="29"/>
  <c r="Y379" i="29" s="1"/>
  <c r="AG424" i="29"/>
  <c r="W424" i="29"/>
  <c r="AH437" i="29"/>
  <c r="X437" i="29"/>
  <c r="Y437" i="29" s="1"/>
  <c r="AG161" i="29"/>
  <c r="W161" i="29"/>
  <c r="AG125" i="29"/>
  <c r="W125" i="29"/>
  <c r="W160" i="29"/>
  <c r="AG160" i="29"/>
  <c r="AH555" i="29"/>
  <c r="X555" i="29"/>
  <c r="Y555" i="29" s="1"/>
  <c r="AG551" i="29"/>
  <c r="W551" i="29"/>
  <c r="AH343" i="29"/>
  <c r="X343" i="29"/>
  <c r="Y343" i="29" s="1"/>
  <c r="W184" i="29"/>
  <c r="AG184" i="29"/>
  <c r="AG589" i="29"/>
  <c r="W589" i="29"/>
  <c r="AH180" i="29"/>
  <c r="X180" i="29"/>
  <c r="Y180" i="29" s="1"/>
  <c r="W181" i="29"/>
  <c r="AG181" i="29"/>
  <c r="BL293" i="25"/>
  <c r="BY293" i="25"/>
  <c r="CA293" i="25" s="1"/>
  <c r="CB293" i="25" s="1"/>
  <c r="BK293" i="25"/>
  <c r="BL206" i="25"/>
  <c r="BY206" i="25"/>
  <c r="CA206" i="25" s="1"/>
  <c r="BK206" i="25"/>
  <c r="BE231" i="25"/>
  <c r="BR231" i="25"/>
  <c r="BX231" i="25" s="1"/>
  <c r="BY308" i="24"/>
  <c r="CA308" i="24" s="1"/>
  <c r="BM308" i="24"/>
  <c r="BN308" i="24" s="1"/>
  <c r="BY301" i="24"/>
  <c r="CA301" i="24" s="1"/>
  <c r="BM301" i="24"/>
  <c r="BN301" i="24" s="1"/>
  <c r="BN89" i="24"/>
  <c r="BY89" i="24"/>
  <c r="CA89" i="24" s="1"/>
  <c r="CB89" i="24" s="1"/>
  <c r="BY259" i="25"/>
  <c r="CA259" i="25" s="1"/>
  <c r="CB259" i="25" s="1"/>
  <c r="BL259" i="25"/>
  <c r="BK259" i="25"/>
  <c r="BE313" i="25"/>
  <c r="BR313" i="25"/>
  <c r="BX313" i="25" s="1"/>
  <c r="BY188" i="24"/>
  <c r="CA188" i="24" s="1"/>
  <c r="CB188" i="24" s="1"/>
  <c r="BM188" i="24"/>
  <c r="BN188" i="24" s="1"/>
  <c r="BR239" i="25"/>
  <c r="BX239" i="25" s="1"/>
  <c r="BE239" i="25"/>
  <c r="BE130" i="25"/>
  <c r="BR130" i="25"/>
  <c r="BX130" i="25" s="1"/>
  <c r="BY128" i="24"/>
  <c r="CA128" i="24" s="1"/>
  <c r="CB128" i="24" s="1"/>
  <c r="BM128" i="24"/>
  <c r="BN128" i="24" s="1"/>
  <c r="BE269" i="25"/>
  <c r="BR269" i="25"/>
  <c r="BX269" i="25" s="1"/>
  <c r="AH449" i="29"/>
  <c r="X449" i="29"/>
  <c r="Y449" i="29" s="1"/>
  <c r="W249" i="29"/>
  <c r="AG249" i="29"/>
  <c r="X225" i="29"/>
  <c r="Y225" i="29" s="1"/>
  <c r="AH225" i="29"/>
  <c r="AH72" i="29"/>
  <c r="X72" i="29"/>
  <c r="Y72" i="29" s="1"/>
  <c r="AH156" i="29"/>
  <c r="X156" i="29"/>
  <c r="Y156" i="29" s="1"/>
  <c r="BE227" i="25"/>
  <c r="BR227" i="25"/>
  <c r="BX227" i="25" s="1"/>
  <c r="BY207" i="24"/>
  <c r="CA207" i="24" s="1"/>
  <c r="CB207" i="24" s="1"/>
  <c r="BM207" i="24"/>
  <c r="BN207" i="24" s="1"/>
  <c r="BE278" i="25"/>
  <c r="BR278" i="25"/>
  <c r="BX278" i="25" s="1"/>
  <c r="BY145" i="24"/>
  <c r="CA145" i="24" s="1"/>
  <c r="CB145" i="24" s="1"/>
  <c r="BM145" i="24"/>
  <c r="BN145" i="24" s="1"/>
  <c r="AG414" i="29"/>
  <c r="W414" i="29"/>
  <c r="AH518" i="29"/>
  <c r="X518" i="29"/>
  <c r="Y518" i="29" s="1"/>
  <c r="AH179" i="29"/>
  <c r="X179" i="29"/>
  <c r="Y179" i="29" s="1"/>
  <c r="AH264" i="29"/>
  <c r="X264" i="29"/>
  <c r="Y264" i="29" s="1"/>
  <c r="AH18" i="29"/>
  <c r="X18" i="29"/>
  <c r="Y18" i="29" s="1"/>
  <c r="AG237" i="29"/>
  <c r="W237" i="29"/>
  <c r="X204" i="29"/>
  <c r="Y204" i="29" s="1"/>
  <c r="AH204" i="29"/>
  <c r="AH165" i="29"/>
  <c r="X165" i="29"/>
  <c r="Y165" i="29" s="1"/>
  <c r="AG597" i="29"/>
  <c r="W597" i="29"/>
  <c r="W93" i="29"/>
  <c r="AG93" i="29"/>
  <c r="AG191" i="29"/>
  <c r="W191" i="29"/>
  <c r="W101" i="29"/>
  <c r="AG101" i="29"/>
  <c r="W516" i="29"/>
  <c r="AG516" i="29"/>
  <c r="AG189" i="29"/>
  <c r="W189" i="29"/>
  <c r="W60" i="29"/>
  <c r="AG60" i="29"/>
  <c r="W374" i="29"/>
  <c r="AG374" i="29"/>
  <c r="AG497" i="29"/>
  <c r="W497" i="29"/>
  <c r="BE54" i="25"/>
  <c r="BK54" i="25" s="1"/>
  <c r="BR54" i="25"/>
  <c r="BV54" i="25" s="1"/>
  <c r="BX54" i="25" s="1"/>
  <c r="BY262" i="25"/>
  <c r="CA262" i="25" s="1"/>
  <c r="CB262" i="25" s="1"/>
  <c r="BL262" i="25"/>
  <c r="BK262" i="25"/>
  <c r="BL71" i="25"/>
  <c r="BY71" i="25"/>
  <c r="CA71" i="25" s="1"/>
  <c r="BY266" i="24"/>
  <c r="CA266" i="24" s="1"/>
  <c r="CB266" i="24" s="1"/>
  <c r="BM266" i="24"/>
  <c r="BN266" i="24" s="1"/>
  <c r="BY29" i="25"/>
  <c r="CA29" i="25" s="1"/>
  <c r="CB29" i="25" s="1"/>
  <c r="BL29" i="25"/>
  <c r="BE289" i="25"/>
  <c r="BR289" i="25"/>
  <c r="BX289" i="25" s="1"/>
  <c r="W79" i="29"/>
  <c r="AG79" i="29"/>
  <c r="W593" i="29"/>
  <c r="AG593" i="29"/>
  <c r="AG443" i="29"/>
  <c r="W443" i="29"/>
  <c r="AG28" i="29"/>
  <c r="W28" i="29"/>
  <c r="W496" i="29"/>
  <c r="AG496" i="29"/>
  <c r="X401" i="29"/>
  <c r="Y401" i="29" s="1"/>
  <c r="AH401" i="29"/>
  <c r="X441" i="29"/>
  <c r="Y441" i="29" s="1"/>
  <c r="AH441" i="29"/>
  <c r="W214" i="29"/>
  <c r="AG214" i="29"/>
  <c r="W241" i="29"/>
  <c r="AG241" i="29"/>
  <c r="W563" i="29"/>
  <c r="AG563" i="29"/>
  <c r="W473" i="29"/>
  <c r="AG473" i="29"/>
  <c r="X234" i="29"/>
  <c r="Y234" i="29" s="1"/>
  <c r="AH234" i="29"/>
  <c r="W580" i="29"/>
  <c r="AG580" i="29"/>
  <c r="X332" i="29"/>
  <c r="Y332" i="29" s="1"/>
  <c r="AH332" i="29"/>
  <c r="AG134" i="29"/>
  <c r="W134" i="29"/>
  <c r="W46" i="29"/>
  <c r="AG46" i="29"/>
  <c r="W579" i="29"/>
  <c r="AG579" i="29"/>
  <c r="BL62" i="25"/>
  <c r="BY62" i="25"/>
  <c r="CA62" i="25" s="1"/>
  <c r="BL170" i="25"/>
  <c r="BY170" i="25"/>
  <c r="CA170" i="25" s="1"/>
  <c r="BK170" i="25"/>
  <c r="BR145" i="25"/>
  <c r="BX145" i="25" s="1"/>
  <c r="BE145" i="25"/>
  <c r="BE134" i="25"/>
  <c r="BR134" i="25"/>
  <c r="BX134" i="25" s="1"/>
  <c r="BE315" i="25"/>
  <c r="BR315" i="25"/>
  <c r="BX315" i="25" s="1"/>
  <c r="BY123" i="24"/>
  <c r="CA123" i="24" s="1"/>
  <c r="CB123" i="24" s="1"/>
  <c r="BM123" i="24"/>
  <c r="BN123" i="24" s="1"/>
  <c r="AG403" i="29"/>
  <c r="W403" i="29"/>
  <c r="AG106" i="29"/>
  <c r="W106" i="29"/>
  <c r="W339" i="29"/>
  <c r="AG339" i="29"/>
  <c r="X475" i="29"/>
  <c r="Y475" i="29" s="1"/>
  <c r="AH475" i="29"/>
  <c r="BL261" i="25"/>
  <c r="BY261" i="25"/>
  <c r="CA261" i="25" s="1"/>
  <c r="CB261" i="25" s="1"/>
  <c r="BK261" i="25"/>
  <c r="BY114" i="24"/>
  <c r="CA114" i="24" s="1"/>
  <c r="CB114" i="24" s="1"/>
  <c r="BM114" i="24"/>
  <c r="BN114" i="24" s="1"/>
  <c r="BY175" i="24"/>
  <c r="CA175" i="24" s="1"/>
  <c r="BM175" i="24"/>
  <c r="BN175" i="24" s="1"/>
  <c r="BY271" i="24"/>
  <c r="CA271" i="24" s="1"/>
  <c r="BM271" i="24"/>
  <c r="BN271" i="24" s="1"/>
  <c r="BE152" i="25"/>
  <c r="BR152" i="25"/>
  <c r="BX152" i="25" s="1"/>
  <c r="AH483" i="29"/>
  <c r="X483" i="29"/>
  <c r="Y483" i="29" s="1"/>
  <c r="X155" i="29"/>
  <c r="Y155" i="29" s="1"/>
  <c r="AH155" i="29"/>
  <c r="AG256" i="29"/>
  <c r="W256" i="29"/>
  <c r="AH198" i="29"/>
  <c r="X198" i="29"/>
  <c r="Y198" i="29" s="1"/>
  <c r="AH154" i="29"/>
  <c r="X154" i="29"/>
  <c r="Y154" i="29" s="1"/>
  <c r="W464" i="29"/>
  <c r="AG464" i="29"/>
  <c r="X110" i="29"/>
  <c r="Y110" i="29" s="1"/>
  <c r="AH110" i="29"/>
  <c r="BY60" i="24"/>
  <c r="CA60" i="24" s="1"/>
  <c r="CB60" i="24" s="1"/>
  <c r="BN60" i="24"/>
  <c r="BE164" i="25"/>
  <c r="BR164" i="25"/>
  <c r="BX164" i="25" s="1"/>
  <c r="BE285" i="25"/>
  <c r="BR285" i="25"/>
  <c r="BX285" i="25" s="1"/>
  <c r="BY312" i="24"/>
  <c r="CA312" i="24" s="1"/>
  <c r="BM312" i="24"/>
  <c r="BN312" i="24" s="1"/>
  <c r="BE142" i="25"/>
  <c r="BR142" i="25"/>
  <c r="BX142" i="25" s="1"/>
  <c r="BY309" i="24"/>
  <c r="CA309" i="24" s="1"/>
  <c r="BM309" i="24"/>
  <c r="BN309" i="24" s="1"/>
  <c r="BY243" i="24"/>
  <c r="CA243" i="24" s="1"/>
  <c r="BM243" i="24"/>
  <c r="BN243" i="24" s="1"/>
  <c r="BY47" i="24"/>
  <c r="CA47" i="24" s="1"/>
  <c r="CB47" i="24" s="1"/>
  <c r="BN47" i="24"/>
  <c r="BE150" i="25"/>
  <c r="BR150" i="25"/>
  <c r="BX150" i="25" s="1"/>
  <c r="BE17" i="25"/>
  <c r="BK17" i="25" s="1"/>
  <c r="BR17" i="25"/>
  <c r="BV17" i="25" s="1"/>
  <c r="BX17" i="25" s="1"/>
  <c r="BY201" i="25"/>
  <c r="CA201" i="25" s="1"/>
  <c r="BL201" i="25"/>
  <c r="BK201" i="25"/>
  <c r="AG307" i="29"/>
  <c r="W307" i="29"/>
  <c r="X573" i="29"/>
  <c r="Y573" i="29" s="1"/>
  <c r="AH573" i="29"/>
  <c r="AH525" i="29"/>
  <c r="X525" i="29"/>
  <c r="Y525" i="29" s="1"/>
  <c r="AH319" i="29"/>
  <c r="X319" i="29"/>
  <c r="Y319" i="29" s="1"/>
  <c r="AG229" i="29"/>
  <c r="W229" i="29"/>
  <c r="AG478" i="29"/>
  <c r="W478" i="29"/>
  <c r="X251" i="29"/>
  <c r="Y251" i="29" s="1"/>
  <c r="AH251" i="29"/>
  <c r="AG69" i="29"/>
  <c r="W69" i="29"/>
  <c r="AG48" i="29"/>
  <c r="W48" i="29"/>
  <c r="AH417" i="29"/>
  <c r="X417" i="29"/>
  <c r="Y417" i="29" s="1"/>
  <c r="AG14" i="29"/>
  <c r="W14" i="29"/>
  <c r="AH362" i="29"/>
  <c r="X362" i="29"/>
  <c r="Y362" i="29" s="1"/>
  <c r="AG481" i="29"/>
  <c r="W481" i="29"/>
  <c r="AG394" i="29"/>
  <c r="W394" i="29"/>
  <c r="BR63" i="25"/>
  <c r="BV63" i="25" s="1"/>
  <c r="BX63" i="25" s="1"/>
  <c r="BE63" i="25"/>
  <c r="BK63" i="25" s="1"/>
  <c r="BE234" i="25"/>
  <c r="BR234" i="25"/>
  <c r="BX234" i="25" s="1"/>
  <c r="BE171" i="25"/>
  <c r="BR171" i="25"/>
  <c r="BX171" i="25" s="1"/>
  <c r="BR165" i="25"/>
  <c r="BX165" i="25" s="1"/>
  <c r="BE165" i="25"/>
  <c r="BN48" i="24"/>
  <c r="BY48" i="24"/>
  <c r="CA48" i="24" s="1"/>
  <c r="CB48" i="24" s="1"/>
  <c r="BE187" i="25"/>
  <c r="BR187" i="25"/>
  <c r="BX187" i="25" s="1"/>
  <c r="BY143" i="24"/>
  <c r="CA143" i="24" s="1"/>
  <c r="CB143" i="24" s="1"/>
  <c r="BM143" i="24"/>
  <c r="BN143" i="24" s="1"/>
  <c r="AH352" i="29"/>
  <c r="X352" i="29"/>
  <c r="Y352" i="29" s="1"/>
  <c r="AG541" i="29"/>
  <c r="W541" i="29"/>
  <c r="AH186" i="29"/>
  <c r="X186" i="29"/>
  <c r="Y186" i="29" s="1"/>
  <c r="BY150" i="24"/>
  <c r="CA150" i="24" s="1"/>
  <c r="BM150" i="24"/>
  <c r="BN150" i="24" s="1"/>
  <c r="BY231" i="24"/>
  <c r="CA231" i="24" s="1"/>
  <c r="CB231" i="24" s="1"/>
  <c r="BM231" i="24"/>
  <c r="BN231" i="24" s="1"/>
  <c r="BR39" i="25"/>
  <c r="BV39" i="25" s="1"/>
  <c r="BX39" i="25" s="1"/>
  <c r="BE39" i="25"/>
  <c r="BK39" i="25" s="1"/>
  <c r="BY187" i="24"/>
  <c r="CA187" i="24" s="1"/>
  <c r="CB187" i="24" s="1"/>
  <c r="BM187" i="24"/>
  <c r="BN187" i="24" s="1"/>
  <c r="BY137" i="24"/>
  <c r="CA137" i="24" s="1"/>
  <c r="BM137" i="24"/>
  <c r="BN137" i="24" s="1"/>
  <c r="BE100" i="25"/>
  <c r="BK100" i="25" s="1"/>
  <c r="BR100" i="25"/>
  <c r="BV100" i="25" s="1"/>
  <c r="BX100" i="25" s="1"/>
  <c r="BE194" i="25"/>
  <c r="BR194" i="25"/>
  <c r="BX194" i="25" s="1"/>
  <c r="X537" i="29"/>
  <c r="Y537" i="29" s="1"/>
  <c r="AH537" i="29"/>
  <c r="X153" i="29"/>
  <c r="Y153" i="29" s="1"/>
  <c r="AH153" i="29"/>
  <c r="AG71" i="29"/>
  <c r="W71" i="29"/>
  <c r="AG376" i="29"/>
  <c r="W376" i="29"/>
  <c r="AH64" i="29"/>
  <c r="X64" i="29"/>
  <c r="Y64" i="29" s="1"/>
  <c r="BY11" i="24"/>
  <c r="CA11" i="24" s="1"/>
  <c r="CB11" i="24" s="1"/>
  <c r="BN11" i="24"/>
  <c r="BY225" i="24"/>
  <c r="CA225" i="24" s="1"/>
  <c r="BM225" i="24"/>
  <c r="BN225" i="24" s="1"/>
  <c r="BY204" i="25"/>
  <c r="CA204" i="25" s="1"/>
  <c r="BL204" i="25"/>
  <c r="BK204" i="25"/>
  <c r="BE33" i="25"/>
  <c r="BK33" i="25" s="1"/>
  <c r="BR33" i="25"/>
  <c r="BV33" i="25" s="1"/>
  <c r="BX33" i="25" s="1"/>
  <c r="BE23" i="25"/>
  <c r="BK23" i="25" s="1"/>
  <c r="BR23" i="25"/>
  <c r="BV23" i="25" s="1"/>
  <c r="BX23" i="25" s="1"/>
  <c r="BY208" i="24"/>
  <c r="CA208" i="24" s="1"/>
  <c r="BM208" i="24"/>
  <c r="BN208" i="24" s="1"/>
  <c r="BY234" i="24"/>
  <c r="CA234" i="24" s="1"/>
  <c r="CB234" i="24" s="1"/>
  <c r="BM234" i="24"/>
  <c r="BN234" i="24" s="1"/>
  <c r="BR69" i="25"/>
  <c r="BV69" i="25" s="1"/>
  <c r="BX69" i="25" s="1"/>
  <c r="BE69" i="25"/>
  <c r="BK69" i="25" s="1"/>
  <c r="BR149" i="25"/>
  <c r="BX149" i="25" s="1"/>
  <c r="BE149" i="25"/>
  <c r="BY158" i="25"/>
  <c r="CA158" i="25" s="1"/>
  <c r="CB158" i="25" s="1"/>
  <c r="BL158" i="25"/>
  <c r="BK158" i="25"/>
  <c r="AG138" i="29"/>
  <c r="W138" i="29"/>
  <c r="AH565" i="29"/>
  <c r="X565" i="29"/>
  <c r="Y565" i="29" s="1"/>
  <c r="W371" i="29"/>
  <c r="AG371" i="29"/>
  <c r="AH147" i="29"/>
  <c r="X147" i="29"/>
  <c r="Y147" i="29" s="1"/>
  <c r="AG67" i="29"/>
  <c r="W67" i="29"/>
  <c r="X142" i="29"/>
  <c r="Y142" i="29" s="1"/>
  <c r="AH142" i="29"/>
  <c r="W21" i="29"/>
  <c r="AG21" i="29"/>
  <c r="AG306" i="29"/>
  <c r="W306" i="29"/>
  <c r="X284" i="29"/>
  <c r="Y284" i="29" s="1"/>
  <c r="AH284" i="29"/>
  <c r="AH15" i="29"/>
  <c r="X15" i="29"/>
  <c r="Y15" i="29" s="1"/>
  <c r="AH296" i="29"/>
  <c r="X296" i="29"/>
  <c r="Y296" i="29" s="1"/>
  <c r="AG274" i="29"/>
  <c r="W274" i="29"/>
  <c r="W397" i="29"/>
  <c r="AG397" i="29"/>
  <c r="X453" i="29"/>
  <c r="Y453" i="29" s="1"/>
  <c r="AH453" i="29"/>
  <c r="BE182" i="25"/>
  <c r="BR182" i="25"/>
  <c r="BX182" i="25" s="1"/>
  <c r="BE172" i="25"/>
  <c r="BR172" i="25"/>
  <c r="BX172" i="25" s="1"/>
  <c r="BE260" i="25"/>
  <c r="BR260" i="25"/>
  <c r="BX260" i="25" s="1"/>
  <c r="BY257" i="25"/>
  <c r="CA257" i="25" s="1"/>
  <c r="CB257" i="25" s="1"/>
  <c r="BL257" i="25"/>
  <c r="BK257" i="25"/>
  <c r="AG612" i="29"/>
  <c r="W612" i="29"/>
  <c r="AG220" i="29"/>
  <c r="W220" i="29"/>
  <c r="AH226" i="29"/>
  <c r="X226" i="29"/>
  <c r="Y226" i="29" s="1"/>
  <c r="D64" i="29"/>
  <c r="E59" i="1" s="1"/>
  <c r="D61" i="29"/>
  <c r="BY115" i="24"/>
  <c r="CA115" i="24" s="1"/>
  <c r="CB115" i="24" s="1"/>
  <c r="BM115" i="24"/>
  <c r="BN115" i="24" s="1"/>
  <c r="BE218" i="25"/>
  <c r="BR218" i="25"/>
  <c r="BX218" i="25" s="1"/>
  <c r="BE10" i="25"/>
  <c r="BK10" i="25" s="1"/>
  <c r="BR10" i="25"/>
  <c r="BV10" i="25" s="1"/>
  <c r="BX10" i="25" s="1"/>
  <c r="BR40" i="25"/>
  <c r="BV40" i="25" s="1"/>
  <c r="BX40" i="25" s="1"/>
  <c r="BE40" i="25"/>
  <c r="BK40" i="25" s="1"/>
  <c r="BE132" i="25"/>
  <c r="BR132" i="25"/>
  <c r="BX132" i="25" s="1"/>
  <c r="BY136" i="24"/>
  <c r="CA136" i="24" s="1"/>
  <c r="CB136" i="24" s="1"/>
  <c r="BM136" i="24"/>
  <c r="BN136" i="24" s="1"/>
  <c r="BY209" i="24"/>
  <c r="CA209" i="24" s="1"/>
  <c r="BM209" i="24"/>
  <c r="BN209" i="24" s="1"/>
  <c r="BY274" i="24"/>
  <c r="CA274" i="24" s="1"/>
  <c r="BM274" i="24"/>
  <c r="BN274" i="24" s="1"/>
  <c r="BY99" i="24"/>
  <c r="CA99" i="24" s="1"/>
  <c r="CB99" i="24" s="1"/>
  <c r="BN99" i="24"/>
  <c r="BY248" i="25"/>
  <c r="CA248" i="25" s="1"/>
  <c r="CB248" i="25" s="1"/>
  <c r="BL248" i="25"/>
  <c r="BK248" i="25"/>
  <c r="BE252" i="25"/>
  <c r="BR252" i="25"/>
  <c r="BX252" i="25" s="1"/>
  <c r="BY138" i="24"/>
  <c r="CA138" i="24" s="1"/>
  <c r="CB138" i="24" s="1"/>
  <c r="BM138" i="24"/>
  <c r="BN138" i="24" s="1"/>
  <c r="BR57" i="25"/>
  <c r="BV57" i="25" s="1"/>
  <c r="BX57" i="25" s="1"/>
  <c r="BE57" i="25"/>
  <c r="BK57" i="25" s="1"/>
  <c r="BE181" i="25"/>
  <c r="BR181" i="25"/>
  <c r="BX181" i="25" s="1"/>
  <c r="W302" i="29"/>
  <c r="AG302" i="29"/>
  <c r="X521" i="29"/>
  <c r="Y521" i="29" s="1"/>
  <c r="AH521" i="29"/>
  <c r="AG345" i="29"/>
  <c r="W345" i="29"/>
  <c r="AH63" i="29"/>
  <c r="X63" i="29"/>
  <c r="Y63" i="29" s="1"/>
  <c r="X595" i="29"/>
  <c r="Y595" i="29" s="1"/>
  <c r="AH595" i="29"/>
  <c r="BE16" i="25"/>
  <c r="BK16" i="25" s="1"/>
  <c r="BR16" i="25"/>
  <c r="BV16" i="25" s="1"/>
  <c r="BX16" i="25" s="1"/>
  <c r="BY272" i="24"/>
  <c r="CA272" i="24" s="1"/>
  <c r="BM272" i="24"/>
  <c r="BN272" i="24" s="1"/>
  <c r="BY246" i="25"/>
  <c r="CA246" i="25" s="1"/>
  <c r="CB246" i="25" s="1"/>
  <c r="BL246" i="25"/>
  <c r="BK246" i="25"/>
  <c r="BE137" i="25"/>
  <c r="BR137" i="25"/>
  <c r="BX137" i="25" s="1"/>
  <c r="BY69" i="24"/>
  <c r="CA69" i="24" s="1"/>
  <c r="CB69" i="24" s="1"/>
  <c r="BN69" i="24"/>
  <c r="BR45" i="25"/>
  <c r="BV45" i="25" s="1"/>
  <c r="BX45" i="25" s="1"/>
  <c r="BE45" i="25"/>
  <c r="BK45" i="25" s="1"/>
  <c r="BN46" i="24"/>
  <c r="BY46" i="24"/>
  <c r="CA46" i="24" s="1"/>
  <c r="CB46" i="24" s="1"/>
  <c r="BR38" i="25"/>
  <c r="BV38" i="25" s="1"/>
  <c r="BX38" i="25" s="1"/>
  <c r="BE38" i="25"/>
  <c r="BK38" i="25" s="1"/>
  <c r="AH253" i="29"/>
  <c r="X253" i="29"/>
  <c r="Y253" i="29" s="1"/>
  <c r="AG292" i="29"/>
  <c r="W292" i="29"/>
  <c r="X117" i="29"/>
  <c r="Y117" i="29" s="1"/>
  <c r="AH117" i="29"/>
  <c r="W396" i="29"/>
  <c r="AG396" i="29"/>
  <c r="X564" i="29"/>
  <c r="Y564" i="29" s="1"/>
  <c r="AH564" i="29"/>
  <c r="X433" i="29"/>
  <c r="Y433" i="29" s="1"/>
  <c r="AH433" i="29"/>
  <c r="X610" i="29"/>
  <c r="Y610" i="29" s="1"/>
  <c r="AH610" i="29"/>
  <c r="AH349" i="29"/>
  <c r="X349" i="29"/>
  <c r="Y349" i="29" s="1"/>
  <c r="AH305" i="29"/>
  <c r="X305" i="29"/>
  <c r="Y305" i="29" s="1"/>
  <c r="W411" i="29"/>
  <c r="AG411" i="29"/>
  <c r="W503" i="29"/>
  <c r="AG503" i="29"/>
  <c r="AH232" i="29"/>
  <c r="X232" i="29"/>
  <c r="Y232" i="29" s="1"/>
  <c r="AG512" i="29"/>
  <c r="W512" i="29"/>
  <c r="X390" i="29"/>
  <c r="Y390" i="29" s="1"/>
  <c r="AH390" i="29"/>
  <c r="AG54" i="29"/>
  <c r="W54" i="29"/>
  <c r="BY314" i="24"/>
  <c r="CA314" i="24" s="1"/>
  <c r="CB314" i="24" s="1"/>
  <c r="BM314" i="24"/>
  <c r="BN314" i="24" s="1"/>
  <c r="BY49" i="24"/>
  <c r="CA49" i="24" s="1"/>
  <c r="CB49" i="24" s="1"/>
  <c r="BN49" i="24"/>
  <c r="BE24" i="25"/>
  <c r="BK24" i="25" s="1"/>
  <c r="BR24" i="25"/>
  <c r="BV24" i="25" s="1"/>
  <c r="BX24" i="25" s="1"/>
  <c r="BY201" i="24"/>
  <c r="CA201" i="24" s="1"/>
  <c r="BM201" i="24"/>
  <c r="BN201" i="24" s="1"/>
  <c r="BE268" i="25"/>
  <c r="BR268" i="25"/>
  <c r="BX268" i="25" s="1"/>
  <c r="BE126" i="25"/>
  <c r="BR126" i="25"/>
  <c r="BX126" i="25" s="1"/>
  <c r="BE163" i="25"/>
  <c r="BR163" i="25"/>
  <c r="BX163" i="25" s="1"/>
  <c r="BY171" i="24"/>
  <c r="CA171" i="24" s="1"/>
  <c r="CB171" i="24" s="1"/>
  <c r="BM171" i="24"/>
  <c r="BN171" i="24" s="1"/>
  <c r="BE197" i="25"/>
  <c r="BR197" i="25"/>
  <c r="BX197" i="25" s="1"/>
  <c r="BY32" i="25"/>
  <c r="CA32" i="25" s="1"/>
  <c r="CB32" i="25" s="1"/>
  <c r="BL32" i="25"/>
  <c r="AH37" i="29"/>
  <c r="X37" i="29"/>
  <c r="Y37" i="29" s="1"/>
  <c r="W155" i="29"/>
  <c r="AG155" i="29"/>
  <c r="AG486" i="29"/>
  <c r="W486" i="29"/>
  <c r="AH515" i="29"/>
  <c r="X515" i="29"/>
  <c r="Y515" i="29" s="1"/>
  <c r="AH92" i="29"/>
  <c r="X92" i="29"/>
  <c r="Y92" i="29" s="1"/>
  <c r="W331" i="29"/>
  <c r="AG331" i="29"/>
  <c r="AG321" i="29"/>
  <c r="W321" i="29"/>
  <c r="W300" i="29"/>
  <c r="AG300" i="29"/>
  <c r="AH45" i="29"/>
  <c r="X45" i="29"/>
  <c r="Y45" i="29" s="1"/>
  <c r="AH502" i="29"/>
  <c r="X502" i="29"/>
  <c r="Y502" i="29" s="1"/>
  <c r="AG283" i="29"/>
  <c r="W283" i="29"/>
  <c r="W131" i="29"/>
  <c r="AG131" i="29"/>
  <c r="AH464" i="29"/>
  <c r="X464" i="29"/>
  <c r="Y464" i="29" s="1"/>
  <c r="W110" i="29"/>
  <c r="AG110" i="29"/>
  <c r="BY36" i="24"/>
  <c r="CA36" i="24" s="1"/>
  <c r="CB36" i="24" s="1"/>
  <c r="BN36" i="24"/>
  <c r="BY174" i="24"/>
  <c r="CA174" i="24" s="1"/>
  <c r="CB174" i="24" s="1"/>
  <c r="BM174" i="24"/>
  <c r="BN174" i="24" s="1"/>
  <c r="BL82" i="25"/>
  <c r="BY82" i="25"/>
  <c r="CA82" i="25" s="1"/>
  <c r="BY314" i="25"/>
  <c r="CA314" i="25" s="1"/>
  <c r="CB314" i="25" s="1"/>
  <c r="BL314" i="25"/>
  <c r="BK314" i="25"/>
  <c r="BY275" i="24"/>
  <c r="CA275" i="24" s="1"/>
  <c r="CB275" i="24" s="1"/>
  <c r="BM275" i="24"/>
  <c r="BN275" i="24" s="1"/>
  <c r="BR75" i="25"/>
  <c r="BV75" i="25" s="1"/>
  <c r="BX75" i="25" s="1"/>
  <c r="BE75" i="25"/>
  <c r="BK75" i="25" s="1"/>
  <c r="BR12" i="25"/>
  <c r="BV12" i="25" s="1"/>
  <c r="BX12" i="25" s="1"/>
  <c r="BE12" i="25"/>
  <c r="BK12" i="25" s="1"/>
  <c r="BY118" i="24"/>
  <c r="CA118" i="24" s="1"/>
  <c r="BM118" i="24"/>
  <c r="BN118" i="24" s="1"/>
  <c r="BL296" i="25"/>
  <c r="BY296" i="25"/>
  <c r="CA296" i="25" s="1"/>
  <c r="CB296" i="25" s="1"/>
  <c r="BK296" i="25"/>
  <c r="BY310" i="24"/>
  <c r="CA310" i="24" s="1"/>
  <c r="BM310" i="24"/>
  <c r="BN310" i="24" s="1"/>
  <c r="BY140" i="24"/>
  <c r="CA140" i="24" s="1"/>
  <c r="CB140" i="24" s="1"/>
  <c r="BM140" i="24"/>
  <c r="BN140" i="24" s="1"/>
  <c r="BY92" i="25"/>
  <c r="CA92" i="25" s="1"/>
  <c r="BL92" i="25"/>
  <c r="X348" i="29"/>
  <c r="Y348" i="29" s="1"/>
  <c r="AH348" i="29"/>
  <c r="AH58" i="29"/>
  <c r="X58" i="29"/>
  <c r="Y58" i="29" s="1"/>
  <c r="X32" i="29"/>
  <c r="Y32" i="29" s="1"/>
  <c r="AH32" i="29"/>
  <c r="AH13" i="29"/>
  <c r="X13" i="29"/>
  <c r="Y13" i="29" s="1"/>
  <c r="X97" i="29"/>
  <c r="Y97" i="29" s="1"/>
  <c r="AH97" i="29"/>
  <c r="AH452" i="29"/>
  <c r="X452" i="29"/>
  <c r="Y452" i="29" s="1"/>
  <c r="BL275" i="25"/>
  <c r="BY275" i="25"/>
  <c r="CA275" i="25" s="1"/>
  <c r="CB275" i="25" s="1"/>
  <c r="BK275" i="25"/>
  <c r="BN94" i="24"/>
  <c r="BY94" i="24"/>
  <c r="CA94" i="24" s="1"/>
  <c r="CB94" i="24" s="1"/>
  <c r="BY125" i="24"/>
  <c r="CA125" i="24" s="1"/>
  <c r="CB125" i="24" s="1"/>
  <c r="BM125" i="24"/>
  <c r="BN125" i="24" s="1"/>
  <c r="BY196" i="24"/>
  <c r="CA196" i="24" s="1"/>
  <c r="CB196" i="24" s="1"/>
  <c r="BM196" i="24"/>
  <c r="BN196" i="24" s="1"/>
  <c r="BY43" i="24"/>
  <c r="CA43" i="24" s="1"/>
  <c r="CB43" i="24" s="1"/>
  <c r="BN43" i="24"/>
  <c r="BY133" i="24"/>
  <c r="CA133" i="24" s="1"/>
  <c r="CB133" i="24" s="1"/>
  <c r="BM133" i="24"/>
  <c r="BN133" i="24" s="1"/>
  <c r="BR66" i="25"/>
  <c r="BV66" i="25" s="1"/>
  <c r="BX66" i="25" s="1"/>
  <c r="BE66" i="25"/>
  <c r="BK66" i="25" s="1"/>
  <c r="BY313" i="24"/>
  <c r="CA313" i="24" s="1"/>
  <c r="CB313" i="24" s="1"/>
  <c r="BM313" i="24"/>
  <c r="BN313" i="24" s="1"/>
  <c r="BY83" i="24"/>
  <c r="CA83" i="24" s="1"/>
  <c r="CB83" i="24" s="1"/>
  <c r="BN83" i="24"/>
  <c r="AH325" i="29"/>
  <c r="X325" i="29"/>
  <c r="Y325" i="29" s="1"/>
  <c r="W469" i="29"/>
  <c r="AG469" i="29"/>
  <c r="AH444" i="29"/>
  <c r="X444" i="29"/>
  <c r="Y444" i="29" s="1"/>
  <c r="AH542" i="29"/>
  <c r="X542" i="29"/>
  <c r="Y542" i="29" s="1"/>
  <c r="AG554" i="29"/>
  <c r="W554" i="29"/>
  <c r="AG34" i="29"/>
  <c r="W34" i="29"/>
  <c r="W491" i="29"/>
  <c r="AG491" i="29"/>
  <c r="AG61" i="29"/>
  <c r="W61" i="29"/>
  <c r="AG317" i="29"/>
  <c r="W317" i="29"/>
  <c r="AG211" i="29"/>
  <c r="W211" i="29"/>
  <c r="AG548" i="29"/>
  <c r="W548" i="29"/>
  <c r="AG385" i="29"/>
  <c r="W385" i="29"/>
  <c r="W352" i="29"/>
  <c r="AG352" i="29"/>
  <c r="AG224" i="29"/>
  <c r="W224" i="29"/>
  <c r="AH541" i="29"/>
  <c r="X541" i="29"/>
  <c r="Y541" i="29" s="1"/>
  <c r="AH254" i="29"/>
  <c r="X254" i="29"/>
  <c r="Y254" i="29" s="1"/>
  <c r="AH105" i="29"/>
  <c r="X105" i="29"/>
  <c r="Y105" i="29" s="1"/>
  <c r="BY291" i="24"/>
  <c r="CA291" i="24" s="1"/>
  <c r="BM291" i="24"/>
  <c r="BN291" i="24" s="1"/>
  <c r="BE121" i="25"/>
  <c r="BR121" i="25"/>
  <c r="BX121" i="25" s="1"/>
  <c r="BN98" i="24"/>
  <c r="BY98" i="24"/>
  <c r="CA98" i="24" s="1"/>
  <c r="BE36" i="25"/>
  <c r="BK36" i="25" s="1"/>
  <c r="BR36" i="25"/>
  <c r="BV36" i="25" s="1"/>
  <c r="BX36" i="25" s="1"/>
  <c r="BE223" i="25"/>
  <c r="BR223" i="25"/>
  <c r="BX223" i="25" s="1"/>
  <c r="BN75" i="24"/>
  <c r="BY75" i="24"/>
  <c r="CA75" i="24" s="1"/>
  <c r="CB75" i="24" s="1"/>
  <c r="BE136" i="25"/>
  <c r="BR136" i="25"/>
  <c r="BX136" i="25" s="1"/>
  <c r="AG169" i="29"/>
  <c r="W169" i="29"/>
  <c r="W167" i="29"/>
  <c r="AG167" i="29"/>
  <c r="W537" i="29"/>
  <c r="AG537" i="29"/>
  <c r="X297" i="29"/>
  <c r="Y297" i="29" s="1"/>
  <c r="AH297" i="29"/>
  <c r="X75" i="29"/>
  <c r="Y75" i="29" s="1"/>
  <c r="AH75" i="29"/>
  <c r="AH504" i="29"/>
  <c r="X504" i="29"/>
  <c r="Y504" i="29" s="1"/>
  <c r="W552" i="29"/>
  <c r="AG552" i="29"/>
  <c r="AH172" i="29"/>
  <c r="X172" i="29"/>
  <c r="Y172" i="29" s="1"/>
  <c r="X534" i="29"/>
  <c r="Y534" i="29" s="1"/>
  <c r="AH534" i="29"/>
  <c r="AH429" i="29"/>
  <c r="X429" i="29"/>
  <c r="Y429" i="29" s="1"/>
  <c r="X240" i="29"/>
  <c r="Y240" i="29" s="1"/>
  <c r="AH240" i="29"/>
  <c r="W354" i="29"/>
  <c r="AG354" i="29"/>
  <c r="AH132" i="29"/>
  <c r="X132" i="29"/>
  <c r="Y132" i="29" s="1"/>
  <c r="AG22" i="29"/>
  <c r="W22" i="29"/>
  <c r="AH73" i="29"/>
  <c r="X73" i="29"/>
  <c r="Y73" i="29" s="1"/>
  <c r="BL232" i="25"/>
  <c r="BY232" i="25"/>
  <c r="CA232" i="25" s="1"/>
  <c r="CB232" i="25" s="1"/>
  <c r="BK232" i="25"/>
  <c r="BR18" i="25"/>
  <c r="BV18" i="25" s="1"/>
  <c r="BX18" i="25" s="1"/>
  <c r="BE18" i="25"/>
  <c r="BK18" i="25" s="1"/>
  <c r="BL94" i="25"/>
  <c r="BY94" i="25"/>
  <c r="CA94" i="25" s="1"/>
  <c r="CB94" i="25" s="1"/>
  <c r="BY156" i="24"/>
  <c r="CA156" i="24" s="1"/>
  <c r="BM156" i="24"/>
  <c r="BN156" i="24" s="1"/>
  <c r="BY226" i="24"/>
  <c r="CA226" i="24" s="1"/>
  <c r="CB226" i="24" s="1"/>
  <c r="BM226" i="24"/>
  <c r="BN226" i="24" s="1"/>
  <c r="W581" i="29"/>
  <c r="AG581" i="29"/>
  <c r="AH70" i="29"/>
  <c r="X70" i="29"/>
  <c r="Y70" i="29" s="1"/>
  <c r="X109" i="29"/>
  <c r="Y109" i="29" s="1"/>
  <c r="AH109" i="29"/>
  <c r="W340" i="29"/>
  <c r="AG340" i="29"/>
  <c r="AG358" i="29"/>
  <c r="W358" i="29"/>
  <c r="BE242" i="25"/>
  <c r="BR242" i="25"/>
  <c r="BX242" i="25" s="1"/>
  <c r="BY87" i="25"/>
  <c r="CA87" i="25" s="1"/>
  <c r="CB87" i="25" s="1"/>
  <c r="BL87" i="25"/>
  <c r="BY178" i="25"/>
  <c r="CA178" i="25" s="1"/>
  <c r="CB178" i="25" s="1"/>
  <c r="BL178" i="25"/>
  <c r="BK178" i="25"/>
  <c r="BY169" i="24"/>
  <c r="CA169" i="24" s="1"/>
  <c r="CB169" i="24" s="1"/>
  <c r="BM169" i="24"/>
  <c r="BN169" i="24" s="1"/>
  <c r="BY316" i="24"/>
  <c r="CA316" i="24" s="1"/>
  <c r="BM316" i="24"/>
  <c r="BY250" i="24"/>
  <c r="CA250" i="24" s="1"/>
  <c r="CB250" i="24" s="1"/>
  <c r="BM250" i="24"/>
  <c r="BN250" i="24" s="1"/>
  <c r="W600" i="29"/>
  <c r="AG600" i="29"/>
  <c r="AH353" i="29"/>
  <c r="X353" i="29"/>
  <c r="Y353" i="29" s="1"/>
  <c r="AH566" i="29"/>
  <c r="X566" i="29"/>
  <c r="Y566" i="29" s="1"/>
  <c r="W299" i="29"/>
  <c r="AG299" i="29"/>
  <c r="W359" i="29"/>
  <c r="AG359" i="29"/>
  <c r="W282" i="29"/>
  <c r="AG282" i="29"/>
  <c r="AG102" i="29"/>
  <c r="W102" i="29"/>
  <c r="AG203" i="29"/>
  <c r="W203" i="29"/>
  <c r="W604" i="29"/>
  <c r="AG604" i="29"/>
  <c r="X488" i="29"/>
  <c r="Y488" i="29" s="1"/>
  <c r="AH488" i="29"/>
  <c r="AH547" i="29"/>
  <c r="X547" i="29"/>
  <c r="Y547" i="29" s="1"/>
  <c r="W399" i="29"/>
  <c r="AG399" i="29"/>
  <c r="X520" i="29"/>
  <c r="Y520" i="29" s="1"/>
  <c r="AH520" i="29"/>
  <c r="W243" i="29"/>
  <c r="AG243" i="29"/>
  <c r="W136" i="29"/>
  <c r="AG136" i="29"/>
  <c r="BR119" i="25"/>
  <c r="BX119" i="25" s="1"/>
  <c r="BE119" i="25"/>
  <c r="BR196" i="25"/>
  <c r="BX196" i="25" s="1"/>
  <c r="BE196" i="25"/>
  <c r="BY205" i="24"/>
  <c r="CA205" i="24" s="1"/>
  <c r="BM205" i="24"/>
  <c r="BN205" i="24" s="1"/>
  <c r="BR56" i="25"/>
  <c r="BV56" i="25" s="1"/>
  <c r="BX56" i="25" s="1"/>
  <c r="BE56" i="25"/>
  <c r="BK56" i="25" s="1"/>
  <c r="BE144" i="25"/>
  <c r="BR144" i="25"/>
  <c r="BX144" i="25" s="1"/>
  <c r="BN105" i="24"/>
  <c r="BY105" i="24"/>
  <c r="CA105" i="24" s="1"/>
  <c r="BY185" i="24"/>
  <c r="CA185" i="24" s="1"/>
  <c r="BM185" i="24"/>
  <c r="BN185" i="24" s="1"/>
  <c r="BE287" i="25"/>
  <c r="BR287" i="25"/>
  <c r="BX287" i="25" s="1"/>
  <c r="BN53" i="24"/>
  <c r="BY53" i="24"/>
  <c r="CA53" i="24" s="1"/>
  <c r="CB53" i="24" s="1"/>
  <c r="AH245" i="29"/>
  <c r="X245" i="29"/>
  <c r="Y245" i="29" s="1"/>
  <c r="AH381" i="29"/>
  <c r="X381" i="29"/>
  <c r="Y381" i="29" s="1"/>
  <c r="AG521" i="29"/>
  <c r="W521" i="29"/>
  <c r="X576" i="29"/>
  <c r="Y576" i="29" s="1"/>
  <c r="AH576" i="29"/>
  <c r="AG388" i="29"/>
  <c r="W388" i="29"/>
  <c r="X219" i="29"/>
  <c r="Y219" i="29" s="1"/>
  <c r="AH219" i="29"/>
  <c r="X100" i="29"/>
  <c r="Y100" i="29" s="1"/>
  <c r="AH100" i="29"/>
  <c r="AG368" i="29"/>
  <c r="W368" i="29"/>
  <c r="X389" i="29"/>
  <c r="Y389" i="29" s="1"/>
  <c r="AH389" i="29"/>
  <c r="AG63" i="29"/>
  <c r="W63" i="29"/>
  <c r="AG190" i="29"/>
  <c r="W190" i="29"/>
  <c r="AH540" i="29"/>
  <c r="X540" i="29"/>
  <c r="Y540" i="29" s="1"/>
  <c r="X280" i="29"/>
  <c r="Y280" i="29" s="1"/>
  <c r="AH280" i="29"/>
  <c r="AG212" i="29"/>
  <c r="W212" i="29"/>
  <c r="W168" i="29"/>
  <c r="AG168" i="29"/>
  <c r="W141" i="29"/>
  <c r="AG141" i="29"/>
  <c r="BY284" i="24"/>
  <c r="CA284" i="24" s="1"/>
  <c r="BM284" i="24"/>
  <c r="BN284" i="24" s="1"/>
  <c r="BR70" i="25"/>
  <c r="BV70" i="25" s="1"/>
  <c r="BX70" i="25" s="1"/>
  <c r="BE70" i="25"/>
  <c r="BK70" i="25" s="1"/>
  <c r="BY71" i="24"/>
  <c r="CA71" i="24" s="1"/>
  <c r="CB71" i="24" s="1"/>
  <c r="BN71" i="24"/>
  <c r="BE303" i="25"/>
  <c r="BR303" i="25"/>
  <c r="BX303" i="25" s="1"/>
  <c r="AH357" i="29"/>
  <c r="X357" i="29"/>
  <c r="Y357" i="29" s="1"/>
  <c r="W342" i="29"/>
  <c r="AG342" i="29"/>
  <c r="AH556" i="29"/>
  <c r="X556" i="29"/>
  <c r="Y556" i="29" s="1"/>
  <c r="BE195" i="25"/>
  <c r="BR195" i="25"/>
  <c r="BX195" i="25" s="1"/>
  <c r="BE301" i="25"/>
  <c r="BR301" i="25"/>
  <c r="BX301" i="25" s="1"/>
  <c r="BN39" i="24"/>
  <c r="BY39" i="24"/>
  <c r="CA39" i="24" s="1"/>
  <c r="CB39" i="24" s="1"/>
  <c r="BY17" i="24"/>
  <c r="CA17" i="24" s="1"/>
  <c r="CB17" i="24" s="1"/>
  <c r="BN17" i="24"/>
  <c r="BR19" i="25"/>
  <c r="BV19" i="25" s="1"/>
  <c r="BX19" i="25" s="1"/>
  <c r="BE19" i="25"/>
  <c r="BK19" i="25" s="1"/>
  <c r="BE27" i="25"/>
  <c r="BK27" i="25" s="1"/>
  <c r="BR27" i="25"/>
  <c r="BV27" i="25" s="1"/>
  <c r="BX27" i="25" s="1"/>
  <c r="BE220" i="25"/>
  <c r="BR220" i="25"/>
  <c r="BX220" i="25" s="1"/>
  <c r="BN62" i="24"/>
  <c r="BY62" i="24"/>
  <c r="CA62" i="24" s="1"/>
  <c r="X26" i="29"/>
  <c r="Y26" i="29" s="1"/>
  <c r="AH26" i="29"/>
  <c r="AG596" i="29"/>
  <c r="W596" i="29"/>
  <c r="AH231" i="29"/>
  <c r="X231" i="29"/>
  <c r="Y231" i="29" s="1"/>
  <c r="AH120" i="29"/>
  <c r="X120" i="29"/>
  <c r="Y120" i="29" s="1"/>
  <c r="BY96" i="24"/>
  <c r="CA96" i="24" s="1"/>
  <c r="CB96" i="24" s="1"/>
  <c r="BN96" i="24"/>
  <c r="BL229" i="25"/>
  <c r="BY229" i="25"/>
  <c r="CA229" i="25" s="1"/>
  <c r="CB229" i="25" s="1"/>
  <c r="BK229" i="25"/>
  <c r="BE141" i="25"/>
  <c r="BR141" i="25"/>
  <c r="BX141" i="25" s="1"/>
  <c r="BE22" i="25"/>
  <c r="BK22" i="25" s="1"/>
  <c r="BR22" i="25"/>
  <c r="BV22" i="25" s="1"/>
  <c r="BX22" i="25" s="1"/>
  <c r="BR202" i="25"/>
  <c r="BX202" i="25" s="1"/>
  <c r="BE202" i="25"/>
  <c r="BY230" i="24"/>
  <c r="CA230" i="24" s="1"/>
  <c r="CB230" i="24" s="1"/>
  <c r="BM230" i="24"/>
  <c r="BN230" i="24" s="1"/>
  <c r="BY246" i="24"/>
  <c r="CA246" i="24" s="1"/>
  <c r="CB246" i="24" s="1"/>
  <c r="BM246" i="24"/>
  <c r="BN246" i="24" s="1"/>
  <c r="BY180" i="24"/>
  <c r="CA180" i="24" s="1"/>
  <c r="BM180" i="24"/>
  <c r="BN180" i="24" s="1"/>
  <c r="BN87" i="24"/>
  <c r="BY87" i="24"/>
  <c r="CA87" i="24" s="1"/>
  <c r="BY113" i="24"/>
  <c r="CA113" i="24" s="1"/>
  <c r="CB113" i="24" s="1"/>
  <c r="BM113" i="24"/>
  <c r="BN113" i="24" s="1"/>
  <c r="BR26" i="25"/>
  <c r="BV26" i="25" s="1"/>
  <c r="BX26" i="25" s="1"/>
  <c r="BE26" i="25"/>
  <c r="BK26" i="25" s="1"/>
  <c r="BN40" i="24"/>
  <c r="BY40" i="24"/>
  <c r="CA40" i="24" s="1"/>
  <c r="CB40" i="24" s="1"/>
  <c r="BN91" i="24"/>
  <c r="BY91" i="24"/>
  <c r="CA91" i="24" s="1"/>
  <c r="CB91" i="24" s="1"/>
  <c r="V585" i="29"/>
  <c r="U585" i="29"/>
  <c r="AH149" i="29"/>
  <c r="X149" i="29"/>
  <c r="Y149" i="29" s="1"/>
  <c r="AH119" i="29"/>
  <c r="X119" i="29"/>
  <c r="Y119" i="29" s="1"/>
  <c r="AG58" i="29"/>
  <c r="W58" i="29"/>
  <c r="W42" i="29"/>
  <c r="AG42" i="29"/>
  <c r="X31" i="29"/>
  <c r="Y31" i="29" s="1"/>
  <c r="AH31" i="29"/>
  <c r="AH574" i="29"/>
  <c r="X574" i="29"/>
  <c r="Y574" i="29" s="1"/>
  <c r="AG304" i="29"/>
  <c r="W304" i="29"/>
  <c r="X255" i="29"/>
  <c r="Y255" i="29" s="1"/>
  <c r="AH255" i="29"/>
  <c r="AG271" i="29"/>
  <c r="W271" i="29"/>
  <c r="AG592" i="29"/>
  <c r="W592" i="29"/>
  <c r="W215" i="29"/>
  <c r="AG215" i="29"/>
  <c r="X375" i="29"/>
  <c r="Y375" i="29" s="1"/>
  <c r="AH375" i="29"/>
  <c r="W539" i="29"/>
  <c r="AG539" i="29"/>
  <c r="AH310" i="29"/>
  <c r="X310" i="29"/>
  <c r="Y310" i="29" s="1"/>
  <c r="AG97" i="29"/>
  <c r="W97" i="29"/>
  <c r="W452" i="29"/>
  <c r="AG452" i="29"/>
  <c r="BY114" i="25"/>
  <c r="CA114" i="25" s="1"/>
  <c r="CB114" i="25" s="1"/>
  <c r="BL114" i="25"/>
  <c r="BK114" i="25"/>
  <c r="BE290" i="25"/>
  <c r="BR290" i="25"/>
  <c r="BX290" i="25" s="1"/>
  <c r="BY21" i="25"/>
  <c r="CA21" i="25" s="1"/>
  <c r="BL21" i="25"/>
  <c r="BY93" i="24"/>
  <c r="CA93" i="24" s="1"/>
  <c r="CB93" i="24" s="1"/>
  <c r="BN93" i="24"/>
  <c r="BY25" i="24"/>
  <c r="CA25" i="24" s="1"/>
  <c r="CB25" i="24" s="1"/>
  <c r="BN25" i="24"/>
  <c r="BY199" i="25"/>
  <c r="CA199" i="25" s="1"/>
  <c r="BL199" i="25"/>
  <c r="BK199" i="25"/>
  <c r="X88" i="29"/>
  <c r="Y88" i="29" s="1"/>
  <c r="AH88" i="29"/>
  <c r="X571" i="29"/>
  <c r="Y571" i="29" s="1"/>
  <c r="AH571" i="29"/>
  <c r="AG405" i="29"/>
  <c r="W405" i="29"/>
  <c r="W395" i="29"/>
  <c r="AG395" i="29"/>
  <c r="BY146" i="24"/>
  <c r="CA146" i="24" s="1"/>
  <c r="CB146" i="24" s="1"/>
  <c r="BM146" i="24"/>
  <c r="BN146" i="24" s="1"/>
  <c r="BE117" i="25"/>
  <c r="BR117" i="25"/>
  <c r="BX117" i="25" s="1"/>
  <c r="BN31" i="24"/>
  <c r="BY31" i="24"/>
  <c r="CA31" i="24" s="1"/>
  <c r="CB31" i="24" s="1"/>
  <c r="BE270" i="25"/>
  <c r="BR270" i="25"/>
  <c r="BX270" i="25" s="1"/>
  <c r="BY14" i="24"/>
  <c r="CA14" i="24" s="1"/>
  <c r="BN14" i="24"/>
  <c r="BE124" i="25"/>
  <c r="BR124" i="25"/>
  <c r="BX124" i="25" s="1"/>
  <c r="BR48" i="25"/>
  <c r="BV48" i="25" s="1"/>
  <c r="BX48" i="25" s="1"/>
  <c r="BE48" i="25"/>
  <c r="BK48" i="25" s="1"/>
  <c r="AH195" i="29"/>
  <c r="X195" i="29"/>
  <c r="Y195" i="29" s="1"/>
  <c r="AH124" i="29"/>
  <c r="X124" i="29"/>
  <c r="Y124" i="29" s="1"/>
  <c r="BR185" i="25"/>
  <c r="BX185" i="25" s="1"/>
  <c r="BE185" i="25"/>
  <c r="BE233" i="25"/>
  <c r="BR233" i="25"/>
  <c r="BX233" i="25" s="1"/>
  <c r="BY64" i="24"/>
  <c r="CA64" i="24" s="1"/>
  <c r="CB64" i="24" s="1"/>
  <c r="BN64" i="24"/>
  <c r="BE221" i="25"/>
  <c r="BR221" i="25"/>
  <c r="BX221" i="25" s="1"/>
  <c r="BY229" i="24"/>
  <c r="CA229" i="24" s="1"/>
  <c r="CB229" i="24" s="1"/>
  <c r="BM229" i="24"/>
  <c r="BN229" i="24" s="1"/>
  <c r="BY290" i="24"/>
  <c r="CA290" i="24" s="1"/>
  <c r="CB290" i="24" s="1"/>
  <c r="BM290" i="24"/>
  <c r="BN290" i="24" s="1"/>
  <c r="BR72" i="25"/>
  <c r="BV72" i="25" s="1"/>
  <c r="BX72" i="25" s="1"/>
  <c r="BE72" i="25"/>
  <c r="BK72" i="25" s="1"/>
  <c r="BE277" i="25"/>
  <c r="BR277" i="25"/>
  <c r="BX277" i="25" s="1"/>
  <c r="B154" i="2"/>
  <c r="B160" i="2"/>
  <c r="E32" i="1" s="1"/>
  <c r="BR43" i="25"/>
  <c r="BV43" i="25" s="1"/>
  <c r="BX43" i="25" s="1"/>
  <c r="BE43" i="25"/>
  <c r="BK43" i="25" s="1"/>
  <c r="BR81" i="25"/>
  <c r="BV81" i="25" s="1"/>
  <c r="BX81" i="25" s="1"/>
  <c r="BE81" i="25"/>
  <c r="BK81" i="25" s="1"/>
  <c r="BE138" i="25"/>
  <c r="BR138" i="25"/>
  <c r="BX138" i="25" s="1"/>
  <c r="X38" i="29"/>
  <c r="Y38" i="29" s="1"/>
  <c r="AH38" i="29"/>
  <c r="W435" i="29"/>
  <c r="AG435" i="29"/>
  <c r="AH199" i="29"/>
  <c r="X199" i="29"/>
  <c r="Y199" i="29" s="1"/>
  <c r="AH527" i="29"/>
  <c r="X527" i="29"/>
  <c r="Y527" i="29" s="1"/>
  <c r="AG83" i="29"/>
  <c r="W83" i="29"/>
  <c r="X122" i="29"/>
  <c r="Y122" i="29" s="1"/>
  <c r="AH122" i="29"/>
  <c r="AH194" i="29"/>
  <c r="X194" i="29"/>
  <c r="Y194" i="29" s="1"/>
  <c r="AH23" i="29"/>
  <c r="X23" i="29"/>
  <c r="Y23" i="29" s="1"/>
  <c r="X312" i="29"/>
  <c r="Y312" i="29" s="1"/>
  <c r="AH312" i="29"/>
  <c r="AG467" i="29"/>
  <c r="W467" i="29"/>
  <c r="AG188" i="29"/>
  <c r="W188" i="29"/>
  <c r="AH314" i="29"/>
  <c r="X314" i="29"/>
  <c r="Y314" i="29" s="1"/>
  <c r="W567" i="29"/>
  <c r="AG567" i="29"/>
  <c r="X492" i="29"/>
  <c r="Y492" i="29" s="1"/>
  <c r="AH492" i="29"/>
  <c r="BY141" i="24"/>
  <c r="CA141" i="24" s="1"/>
  <c r="CB141" i="24" s="1"/>
  <c r="BM141" i="24"/>
  <c r="BN141" i="24" s="1"/>
  <c r="BE297" i="25"/>
  <c r="BR297" i="25"/>
  <c r="BX297" i="25" s="1"/>
  <c r="BR65" i="25"/>
  <c r="BV65" i="25" s="1"/>
  <c r="BX65" i="25" s="1"/>
  <c r="BE65" i="25"/>
  <c r="BK65" i="25" s="1"/>
  <c r="BY252" i="24"/>
  <c r="CA252" i="24" s="1"/>
  <c r="CB252" i="24" s="1"/>
  <c r="BM252" i="24"/>
  <c r="BN252" i="24" s="1"/>
  <c r="X50" i="29"/>
  <c r="Y50" i="29" s="1"/>
  <c r="AH50" i="29"/>
  <c r="AH177" i="29"/>
  <c r="X177" i="29"/>
  <c r="Y177" i="29" s="1"/>
  <c r="W378" i="29"/>
  <c r="AG378" i="29"/>
  <c r="AH112" i="29"/>
  <c r="X112" i="29"/>
  <c r="Y112" i="29" s="1"/>
  <c r="BY280" i="25"/>
  <c r="CA280" i="25" s="1"/>
  <c r="CB280" i="25" s="1"/>
  <c r="BL280" i="25"/>
  <c r="BK280" i="25"/>
  <c r="BY261" i="24"/>
  <c r="CA261" i="24" s="1"/>
  <c r="CB261" i="24" s="1"/>
  <c r="BM261" i="24"/>
  <c r="BN261" i="24" s="1"/>
  <c r="BY149" i="24"/>
  <c r="CA149" i="24" s="1"/>
  <c r="CB149" i="24" s="1"/>
  <c r="BM149" i="24"/>
  <c r="BN149" i="24" s="1"/>
  <c r="BR125" i="25"/>
  <c r="BX125" i="25" s="1"/>
  <c r="BE125" i="25"/>
  <c r="BE105" i="25"/>
  <c r="BK105" i="25" s="1"/>
  <c r="BR105" i="25"/>
  <c r="BV105" i="25" s="1"/>
  <c r="BX105" i="25" s="1"/>
  <c r="BL265" i="25"/>
  <c r="BK265" i="25"/>
  <c r="BE91" i="25"/>
  <c r="BK91" i="25" s="1"/>
  <c r="BR91" i="25"/>
  <c r="BV91" i="25" s="1"/>
  <c r="BX91" i="25" s="1"/>
  <c r="BY182" i="24"/>
  <c r="CA182" i="24" s="1"/>
  <c r="BM182" i="24"/>
  <c r="BN182" i="24" s="1"/>
  <c r="AH544" i="29"/>
  <c r="X544" i="29"/>
  <c r="Y544" i="29" s="1"/>
  <c r="X89" i="29"/>
  <c r="Y89" i="29" s="1"/>
  <c r="AH89" i="29"/>
  <c r="AG442" i="29"/>
  <c r="W442" i="29"/>
  <c r="AH608" i="29"/>
  <c r="X608" i="29"/>
  <c r="Y608" i="29" s="1"/>
  <c r="BL179" i="25"/>
  <c r="BY179" i="25"/>
  <c r="CA179" i="25" s="1"/>
  <c r="BK179" i="25"/>
  <c r="BY244" i="24"/>
  <c r="CA244" i="24" s="1"/>
  <c r="CB244" i="24" s="1"/>
  <c r="BM244" i="24"/>
  <c r="BN244" i="24" s="1"/>
  <c r="BE254" i="25"/>
  <c r="BR254" i="25"/>
  <c r="BX254" i="25" s="1"/>
  <c r="BL305" i="25"/>
  <c r="BY305" i="25"/>
  <c r="CA305" i="25" s="1"/>
  <c r="CB305" i="25" s="1"/>
  <c r="BK305" i="25"/>
  <c r="BY302" i="24"/>
  <c r="CA302" i="24" s="1"/>
  <c r="CB302" i="24" s="1"/>
  <c r="BM302" i="24"/>
  <c r="BN302" i="24" s="1"/>
  <c r="BN82" i="24"/>
  <c r="BY82" i="24"/>
  <c r="CA82" i="24" s="1"/>
  <c r="CB82" i="24" s="1"/>
  <c r="BY203" i="24"/>
  <c r="CA203" i="24" s="1"/>
  <c r="BM203" i="24"/>
  <c r="BN203" i="24" s="1"/>
  <c r="BL13" i="25"/>
  <c r="BY13" i="25"/>
  <c r="CA13" i="25" s="1"/>
  <c r="CB13" i="25" s="1"/>
  <c r="BY104" i="24"/>
  <c r="CA104" i="24" s="1"/>
  <c r="BN104" i="24"/>
  <c r="BY129" i="24"/>
  <c r="CA129" i="24" s="1"/>
  <c r="CB129" i="24" s="1"/>
  <c r="BM129" i="24"/>
  <c r="BN129" i="24" s="1"/>
  <c r="BE272" i="25"/>
  <c r="BR272" i="25"/>
  <c r="BX272" i="25" s="1"/>
  <c r="BY157" i="24"/>
  <c r="CA157" i="24" s="1"/>
  <c r="BM157" i="24"/>
  <c r="BN157" i="24" s="1"/>
  <c r="AG337" i="29"/>
  <c r="W337" i="29"/>
  <c r="AH163" i="29"/>
  <c r="X163" i="29"/>
  <c r="Y163" i="29" s="1"/>
  <c r="AG43" i="29"/>
  <c r="W43" i="29"/>
  <c r="AG288" i="29"/>
  <c r="W288" i="29"/>
  <c r="W59" i="29"/>
  <c r="AG59" i="29"/>
  <c r="X144" i="29"/>
  <c r="Y144" i="29" s="1"/>
  <c r="AH144" i="29"/>
  <c r="W259" i="29"/>
  <c r="AG259" i="29"/>
  <c r="W466" i="29"/>
  <c r="AG466" i="29"/>
  <c r="AH192" i="29"/>
  <c r="X192" i="29"/>
  <c r="Y192" i="29" s="1"/>
  <c r="AG472" i="29"/>
  <c r="W472" i="29"/>
  <c r="AH242" i="29"/>
  <c r="X242" i="29"/>
  <c r="Y242" i="29" s="1"/>
  <c r="W129" i="29"/>
  <c r="AG129" i="29"/>
  <c r="W445" i="29"/>
  <c r="AG445" i="29"/>
  <c r="AH493" i="29"/>
  <c r="X493" i="29"/>
  <c r="Y493" i="29" s="1"/>
  <c r="AH500" i="29"/>
  <c r="X500" i="29"/>
  <c r="Y500" i="29" s="1"/>
  <c r="BY163" i="24"/>
  <c r="CA163" i="24" s="1"/>
  <c r="BM163" i="24"/>
  <c r="BN163" i="24" s="1"/>
  <c r="BL238" i="25"/>
  <c r="BY238" i="25"/>
  <c r="CA238" i="25" s="1"/>
  <c r="CB238" i="25" s="1"/>
  <c r="BK238" i="25"/>
  <c r="BY197" i="24"/>
  <c r="CA197" i="24" s="1"/>
  <c r="CB197" i="24" s="1"/>
  <c r="BM197" i="24"/>
  <c r="BN197" i="24" s="1"/>
  <c r="BL154" i="25"/>
  <c r="BK154" i="25"/>
  <c r="BY73" i="24"/>
  <c r="CA73" i="24" s="1"/>
  <c r="BN73" i="24"/>
  <c r="BY192" i="24"/>
  <c r="CA192" i="24" s="1"/>
  <c r="CB192" i="24" s="1"/>
  <c r="BM192" i="24"/>
  <c r="BN192" i="24" s="1"/>
  <c r="BE50" i="25"/>
  <c r="BK50" i="25" s="1"/>
  <c r="BR50" i="25"/>
  <c r="BV50" i="25" s="1"/>
  <c r="BX50" i="25" s="1"/>
  <c r="X373" i="29"/>
  <c r="Y373" i="29" s="1"/>
  <c r="AH373" i="29"/>
  <c r="X324" i="29"/>
  <c r="Y324" i="29" s="1"/>
  <c r="AH324" i="29"/>
  <c r="X315" i="29"/>
  <c r="Y315" i="29" s="1"/>
  <c r="AH315" i="29"/>
  <c r="X130" i="29"/>
  <c r="Y130" i="29" s="1"/>
  <c r="AH130" i="29"/>
  <c r="W363" i="29"/>
  <c r="AG363" i="29"/>
  <c r="AH213" i="29"/>
  <c r="X213" i="29"/>
  <c r="Y213" i="29" s="1"/>
  <c r="W364" i="29"/>
  <c r="AG364" i="29"/>
  <c r="AG372" i="29"/>
  <c r="W372" i="29"/>
  <c r="AH246" i="29"/>
  <c r="X246" i="29"/>
  <c r="Y246" i="29" s="1"/>
  <c r="X111" i="29"/>
  <c r="Y111" i="29" s="1"/>
  <c r="AH111" i="29"/>
  <c r="W558" i="29"/>
  <c r="AG558" i="29"/>
  <c r="X279" i="29"/>
  <c r="Y279" i="29" s="1"/>
  <c r="AH279" i="29"/>
  <c r="W275" i="29"/>
  <c r="AG275" i="29"/>
  <c r="AG236" i="29"/>
  <c r="W236" i="29"/>
  <c r="W231" i="29"/>
  <c r="AG231" i="29"/>
  <c r="BE103" i="25"/>
  <c r="BK103" i="25" s="1"/>
  <c r="BR103" i="25"/>
  <c r="BV103" i="25" s="1"/>
  <c r="BX103" i="25" s="1"/>
  <c r="BE162" i="25"/>
  <c r="BR162" i="25"/>
  <c r="BX162" i="25" s="1"/>
  <c r="BE253" i="25"/>
  <c r="BR253" i="25"/>
  <c r="BX253" i="25" s="1"/>
  <c r="BY23" i="24"/>
  <c r="CA23" i="24" s="1"/>
  <c r="BN23" i="24"/>
  <c r="BL174" i="25"/>
  <c r="BY174" i="25"/>
  <c r="CA174" i="25" s="1"/>
  <c r="BK174" i="25"/>
  <c r="BY126" i="24"/>
  <c r="CA126" i="24" s="1"/>
  <c r="BM126" i="24"/>
  <c r="BN126" i="24" s="1"/>
  <c r="BR41" i="25"/>
  <c r="BV41" i="25" s="1"/>
  <c r="BX41" i="25" s="1"/>
  <c r="BE41" i="25"/>
  <c r="BK41" i="25" s="1"/>
  <c r="BY158" i="24"/>
  <c r="CA158" i="24" s="1"/>
  <c r="CB158" i="24" s="1"/>
  <c r="BM158" i="24"/>
  <c r="BN158" i="24" s="1"/>
  <c r="BY282" i="25"/>
  <c r="CA282" i="25" s="1"/>
  <c r="CB282" i="25" s="1"/>
  <c r="BL282" i="25"/>
  <c r="BK282" i="25"/>
  <c r="AH336" i="29"/>
  <c r="X336" i="29"/>
  <c r="Y336" i="29" s="1"/>
  <c r="X145" i="29"/>
  <c r="Y145" i="29" s="1"/>
  <c r="AH145" i="29"/>
  <c r="AG471" i="29"/>
  <c r="W471" i="29"/>
  <c r="W599" i="29"/>
  <c r="AG599" i="29"/>
  <c r="AH530" i="29"/>
  <c r="X530" i="29"/>
  <c r="Y530" i="29" s="1"/>
  <c r="W36" i="29"/>
  <c r="AG36" i="29"/>
  <c r="BY220" i="24"/>
  <c r="CA220" i="24" s="1"/>
  <c r="CB220" i="24" s="1"/>
  <c r="BM220" i="24"/>
  <c r="BN220" i="24" s="1"/>
  <c r="BE153" i="25"/>
  <c r="BR153" i="25"/>
  <c r="BX153" i="25" s="1"/>
  <c r="BE146" i="25"/>
  <c r="BR146" i="25"/>
  <c r="BX146" i="25" s="1"/>
  <c r="BY34" i="25"/>
  <c r="CA34" i="25" s="1"/>
  <c r="CB34" i="25" s="1"/>
  <c r="BL34" i="25"/>
  <c r="BR84" i="25"/>
  <c r="BV84" i="25" s="1"/>
  <c r="BX84" i="25" s="1"/>
  <c r="BE84" i="25"/>
  <c r="BK84" i="25" s="1"/>
  <c r="CB301" i="24" l="1"/>
  <c r="CF301" i="24"/>
  <c r="CB195" i="24"/>
  <c r="CF195" i="24"/>
  <c r="CB281" i="24"/>
  <c r="CF281" i="24"/>
  <c r="CB84" i="24"/>
  <c r="CF84" i="24"/>
  <c r="CB175" i="24"/>
  <c r="CF175" i="24"/>
  <c r="L110" i="2"/>
  <c r="W584" i="29"/>
  <c r="AJ583" i="29" s="1"/>
  <c r="AK583" i="29" s="1"/>
  <c r="CB54" i="24"/>
  <c r="CF54" i="24"/>
  <c r="CB256" i="24"/>
  <c r="CF256" i="24"/>
  <c r="CB150" i="24"/>
  <c r="CF150" i="24"/>
  <c r="AG576" i="29"/>
  <c r="W380" i="29"/>
  <c r="AJ380" i="29" s="1"/>
  <c r="AK380" i="29" s="1"/>
  <c r="AH591" i="29"/>
  <c r="AG483" i="29"/>
  <c r="W163" i="29"/>
  <c r="AA163" i="29" s="1"/>
  <c r="CB113" i="25"/>
  <c r="CF113" i="25"/>
  <c r="CB118" i="24"/>
  <c r="CF118" i="24"/>
  <c r="X551" i="29"/>
  <c r="Y551" i="29" s="1"/>
  <c r="X371" i="29"/>
  <c r="Y371" i="29" s="1"/>
  <c r="CB30" i="25"/>
  <c r="CF30" i="25"/>
  <c r="W225" i="29"/>
  <c r="AJ224" i="29" s="1"/>
  <c r="AK224" i="29" s="1"/>
  <c r="CB238" i="24"/>
  <c r="CF238" i="24"/>
  <c r="CB21" i="25"/>
  <c r="CF21" i="25"/>
  <c r="CB127" i="24"/>
  <c r="CF127" i="24"/>
  <c r="CB23" i="24"/>
  <c r="CF23" i="24"/>
  <c r="CB30" i="24"/>
  <c r="CF30" i="24"/>
  <c r="BY265" i="25"/>
  <c r="CA265" i="25" s="1"/>
  <c r="CB265" i="25" s="1"/>
  <c r="X536" i="29"/>
  <c r="Y536" i="29" s="1"/>
  <c r="CB232" i="24"/>
  <c r="CF232" i="24"/>
  <c r="CB126" i="24"/>
  <c r="CF126" i="24"/>
  <c r="AH485" i="29"/>
  <c r="CB78" i="24"/>
  <c r="CF78" i="24"/>
  <c r="AH159" i="29"/>
  <c r="CB62" i="24"/>
  <c r="CF62" i="24"/>
  <c r="AH445" i="29"/>
  <c r="CB243" i="24"/>
  <c r="CF243" i="24"/>
  <c r="CB61" i="24"/>
  <c r="CF61" i="24"/>
  <c r="CB137" i="24"/>
  <c r="CF137" i="24"/>
  <c r="CB117" i="24"/>
  <c r="CF117" i="24"/>
  <c r="CB225" i="24"/>
  <c r="CF225" i="24"/>
  <c r="CB14" i="24"/>
  <c r="CF14" i="24"/>
  <c r="CB14" i="25"/>
  <c r="CF14" i="25"/>
  <c r="CB312" i="24"/>
  <c r="CF312" i="24"/>
  <c r="CB206" i="24"/>
  <c r="CF206" i="24"/>
  <c r="CB66" i="24"/>
  <c r="CF66" i="24"/>
  <c r="CB6" i="24"/>
  <c r="CF6" i="24"/>
  <c r="CB217" i="24"/>
  <c r="CF217" i="24"/>
  <c r="CB6" i="25"/>
  <c r="CF6" i="25"/>
  <c r="X393" i="29"/>
  <c r="Y393" i="29" s="1"/>
  <c r="X478" i="29"/>
  <c r="Y478" i="29" s="1"/>
  <c r="X74" i="29"/>
  <c r="Y74" i="29" s="1"/>
  <c r="X66" i="29"/>
  <c r="Y66" i="29" s="1"/>
  <c r="AH374" i="29"/>
  <c r="AH304" i="29"/>
  <c r="W566" i="29"/>
  <c r="AJ565" i="29" s="1"/>
  <c r="AK565" i="29" s="1"/>
  <c r="AH271" i="29"/>
  <c r="AG148" i="29"/>
  <c r="W223" i="29"/>
  <c r="AA223" i="29" s="1"/>
  <c r="X106" i="29"/>
  <c r="Y106" i="29" s="1"/>
  <c r="AG24" i="29"/>
  <c r="X59" i="29"/>
  <c r="Y59" i="29" s="1"/>
  <c r="X602" i="29"/>
  <c r="Y602" i="29" s="1"/>
  <c r="X212" i="29"/>
  <c r="Y212" i="29" s="1"/>
  <c r="X181" i="29"/>
  <c r="Y181" i="29" s="1"/>
  <c r="W261" i="29"/>
  <c r="AA261" i="29" s="1"/>
  <c r="X206" i="29"/>
  <c r="Y206" i="29" s="1"/>
  <c r="W137" i="29"/>
  <c r="AJ137" i="29" s="1"/>
  <c r="AK137" i="29" s="1"/>
  <c r="AG279" i="29"/>
  <c r="AG248" i="29"/>
  <c r="W113" i="29"/>
  <c r="AJ112" i="29" s="1"/>
  <c r="AK112" i="29" s="1"/>
  <c r="W253" i="29"/>
  <c r="AA253" i="29" s="1"/>
  <c r="AG64" i="29"/>
  <c r="X337" i="29"/>
  <c r="Y337" i="29" s="1"/>
  <c r="CB262" i="24"/>
  <c r="CF262" i="24"/>
  <c r="CB87" i="24"/>
  <c r="CF87" i="24"/>
  <c r="CB156" i="24"/>
  <c r="CF156" i="24"/>
  <c r="AG606" i="29"/>
  <c r="CB269" i="24"/>
  <c r="CF269" i="24"/>
  <c r="CB163" i="24"/>
  <c r="CF163" i="24"/>
  <c r="AH46" i="29"/>
  <c r="X363" i="29"/>
  <c r="Y363" i="29" s="1"/>
  <c r="AG85" i="29"/>
  <c r="W19" i="29"/>
  <c r="AJ18" i="29" s="1"/>
  <c r="AK18" i="29" s="1"/>
  <c r="CB271" i="24"/>
  <c r="CF271" i="24"/>
  <c r="CB165" i="24"/>
  <c r="CF165" i="24"/>
  <c r="AH71" i="29"/>
  <c r="CB96" i="25"/>
  <c r="CF96" i="25"/>
  <c r="CB305" i="24"/>
  <c r="CF305" i="24"/>
  <c r="CB199" i="24"/>
  <c r="CF199" i="24"/>
  <c r="CB97" i="24"/>
  <c r="CF97" i="24"/>
  <c r="CB206" i="25"/>
  <c r="CF206" i="25"/>
  <c r="AG338" i="29"/>
  <c r="W108" i="29"/>
  <c r="AA108" i="29" s="1"/>
  <c r="CB161" i="24"/>
  <c r="CF161" i="24"/>
  <c r="CB267" i="24"/>
  <c r="CF267" i="24"/>
  <c r="CB73" i="24"/>
  <c r="CF73" i="24"/>
  <c r="CB147" i="25"/>
  <c r="CF147" i="25"/>
  <c r="CB56" i="24"/>
  <c r="CF56" i="24"/>
  <c r="CB151" i="24"/>
  <c r="CF151" i="24"/>
  <c r="CB177" i="25"/>
  <c r="CF177" i="25"/>
  <c r="CB316" i="24"/>
  <c r="CF316" i="24"/>
  <c r="CB210" i="24"/>
  <c r="CF210" i="24"/>
  <c r="CB198" i="25"/>
  <c r="CF198" i="25"/>
  <c r="CB173" i="25"/>
  <c r="CF173" i="25"/>
  <c r="CB192" i="25"/>
  <c r="CF192" i="25"/>
  <c r="CB182" i="24"/>
  <c r="CF182" i="24"/>
  <c r="CB288" i="24"/>
  <c r="CF288" i="24"/>
  <c r="CB80" i="24"/>
  <c r="CF80" i="24"/>
  <c r="CB208" i="24"/>
  <c r="CF208" i="24"/>
  <c r="CB174" i="25"/>
  <c r="CF174" i="25"/>
  <c r="CB193" i="24"/>
  <c r="CF193" i="24"/>
  <c r="CB299" i="24"/>
  <c r="CF299" i="24"/>
  <c r="CB88" i="24"/>
  <c r="CF88" i="24"/>
  <c r="CB89" i="25"/>
  <c r="CF89" i="25"/>
  <c r="CB104" i="24"/>
  <c r="CF104" i="24"/>
  <c r="CB308" i="24"/>
  <c r="CF308" i="24"/>
  <c r="CB202" i="24"/>
  <c r="CF202" i="24"/>
  <c r="CB204" i="25"/>
  <c r="CF204" i="25"/>
  <c r="CB297" i="24"/>
  <c r="CF297" i="24"/>
  <c r="CB82" i="25"/>
  <c r="CF82" i="25"/>
  <c r="CB180" i="24"/>
  <c r="CF180" i="24"/>
  <c r="CB286" i="24"/>
  <c r="CF286" i="24"/>
  <c r="CB81" i="24"/>
  <c r="CF81" i="24"/>
  <c r="AH604" i="29"/>
  <c r="CB204" i="24"/>
  <c r="CF204" i="24"/>
  <c r="CB310" i="24"/>
  <c r="CF310" i="24"/>
  <c r="CB190" i="25"/>
  <c r="CF190" i="25"/>
  <c r="CB98" i="24"/>
  <c r="CF98" i="24"/>
  <c r="CB306" i="24"/>
  <c r="CF306" i="24"/>
  <c r="CB200" i="24"/>
  <c r="CF200" i="24"/>
  <c r="CB179" i="25"/>
  <c r="CF179" i="25"/>
  <c r="W562" i="29"/>
  <c r="AJ562" i="29" s="1"/>
  <c r="AK562" i="29" s="1"/>
  <c r="CB203" i="24"/>
  <c r="CF203" i="24"/>
  <c r="CB309" i="24"/>
  <c r="CF309" i="24"/>
  <c r="CB307" i="24"/>
  <c r="CF307" i="24"/>
  <c r="CB201" i="24"/>
  <c r="CF201" i="24"/>
  <c r="CB103" i="24"/>
  <c r="CF103" i="24"/>
  <c r="AG266" i="29"/>
  <c r="CB62" i="25"/>
  <c r="CF62" i="25"/>
  <c r="CB71" i="25"/>
  <c r="CF71" i="25"/>
  <c r="W603" i="29"/>
  <c r="AJ602" i="29" s="1"/>
  <c r="AK602" i="29" s="1"/>
  <c r="CB104" i="25"/>
  <c r="CF104" i="25"/>
  <c r="AG511" i="29"/>
  <c r="AH203" i="29"/>
  <c r="W49" i="29"/>
  <c r="AJ48" i="29" s="1"/>
  <c r="AK48" i="29" s="1"/>
  <c r="AH543" i="29"/>
  <c r="AH477" i="29"/>
  <c r="W322" i="29"/>
  <c r="AJ322" i="29" s="1"/>
  <c r="AK322" i="29" s="1"/>
  <c r="X309" i="29"/>
  <c r="Y309" i="29" s="1"/>
  <c r="AG475" i="29"/>
  <c r="AG417" i="29"/>
  <c r="X384" i="29"/>
  <c r="Y384" i="29" s="1"/>
  <c r="AH34" i="29"/>
  <c r="W153" i="29"/>
  <c r="AJ152" i="29" s="1"/>
  <c r="AK152" i="29" s="1"/>
  <c r="X578" i="29"/>
  <c r="Y578" i="29" s="1"/>
  <c r="AH339" i="29"/>
  <c r="X220" i="29"/>
  <c r="Y220" i="29" s="1"/>
  <c r="AH577" i="29"/>
  <c r="AH466" i="29"/>
  <c r="AH22" i="29"/>
  <c r="X79" i="29"/>
  <c r="Y79" i="29" s="1"/>
  <c r="AG144" i="29"/>
  <c r="W198" i="29"/>
  <c r="AJ197" i="29" s="1"/>
  <c r="AK197" i="29" s="1"/>
  <c r="W166" i="29"/>
  <c r="AJ166" i="29" s="1"/>
  <c r="AK166" i="29" s="1"/>
  <c r="AG284" i="29"/>
  <c r="AG332" i="29"/>
  <c r="AH516" i="29"/>
  <c r="BY154" i="25"/>
  <c r="CA154" i="25" s="1"/>
  <c r="CB154" i="25" s="1"/>
  <c r="AH93" i="29"/>
  <c r="W343" i="29"/>
  <c r="AJ343" i="29" s="1"/>
  <c r="AK343" i="29" s="1"/>
  <c r="CB311" i="24"/>
  <c r="CF311" i="24"/>
  <c r="CB205" i="24"/>
  <c r="CF205" i="24"/>
  <c r="AG379" i="29"/>
  <c r="X408" i="29"/>
  <c r="Y408" i="29" s="1"/>
  <c r="AH589" i="29"/>
  <c r="CB189" i="25"/>
  <c r="CF189" i="25"/>
  <c r="CB199" i="25"/>
  <c r="CF199" i="25"/>
  <c r="AH168" i="29"/>
  <c r="X217" i="29"/>
  <c r="Y217" i="29" s="1"/>
  <c r="AG608" i="29"/>
  <c r="CB186" i="25"/>
  <c r="CF186" i="25"/>
  <c r="CB201" i="25"/>
  <c r="CF201" i="25"/>
  <c r="AG611" i="29"/>
  <c r="AG186" i="29"/>
  <c r="W207" i="29"/>
  <c r="AA207" i="29" s="1"/>
  <c r="W98" i="29"/>
  <c r="AJ97" i="29" s="1"/>
  <c r="AK97" i="29" s="1"/>
  <c r="W109" i="29"/>
  <c r="AJ109" i="29" s="1"/>
  <c r="AK109" i="29" s="1"/>
  <c r="AG252" i="29"/>
  <c r="X391" i="29"/>
  <c r="Y391" i="29" s="1"/>
  <c r="AG123" i="29"/>
  <c r="W493" i="29"/>
  <c r="AA493" i="29" s="1"/>
  <c r="AH205" i="29"/>
  <c r="X553" i="29"/>
  <c r="Y553" i="29" s="1"/>
  <c r="W557" i="29"/>
  <c r="AJ557" i="29" s="1"/>
  <c r="AK557" i="29" s="1"/>
  <c r="W571" i="29"/>
  <c r="AJ570" i="29" s="1"/>
  <c r="AK570" i="29" s="1"/>
  <c r="X241" i="29"/>
  <c r="Y241" i="29" s="1"/>
  <c r="X501" i="29"/>
  <c r="Y501" i="29" s="1"/>
  <c r="W89" i="29"/>
  <c r="AA89" i="29" s="1"/>
  <c r="AG349" i="29"/>
  <c r="W507" i="29"/>
  <c r="AJ506" i="29" s="1"/>
  <c r="AK506" i="29" s="1"/>
  <c r="AG488" i="29"/>
  <c r="X596" i="29"/>
  <c r="Y596" i="29" s="1"/>
  <c r="AH229" i="29"/>
  <c r="AG105" i="29"/>
  <c r="AH359" i="29"/>
  <c r="W115" i="29"/>
  <c r="AJ114" i="29" s="1"/>
  <c r="AH161" i="29"/>
  <c r="CB105" i="24"/>
  <c r="CF105" i="24"/>
  <c r="CB161" i="25"/>
  <c r="CF161" i="25"/>
  <c r="CB186" i="24"/>
  <c r="CF186" i="24"/>
  <c r="X367" i="29"/>
  <c r="Y367" i="29" s="1"/>
  <c r="W70" i="29"/>
  <c r="AA70" i="29" s="1"/>
  <c r="X340" i="29"/>
  <c r="Y340" i="29" s="1"/>
  <c r="X415" i="29"/>
  <c r="Y415" i="29" s="1"/>
  <c r="X370" i="29"/>
  <c r="Y370" i="29" s="1"/>
  <c r="W107" i="29"/>
  <c r="AJ106" i="29" s="1"/>
  <c r="W357" i="29"/>
  <c r="AJ357" i="29" s="1"/>
  <c r="AK357" i="29" s="1"/>
  <c r="AG204" i="29"/>
  <c r="X54" i="29"/>
  <c r="Y54" i="29" s="1"/>
  <c r="X582" i="29"/>
  <c r="Y582" i="29" s="1"/>
  <c r="X276" i="29"/>
  <c r="Y276" i="29" s="1"/>
  <c r="X151" i="29"/>
  <c r="Y151" i="29" s="1"/>
  <c r="AG365" i="29"/>
  <c r="W291" i="29"/>
  <c r="AJ290" i="29" s="1"/>
  <c r="AK290" i="29" s="1"/>
  <c r="W185" i="29"/>
  <c r="AJ185" i="29" s="1"/>
  <c r="AK185" i="29" s="1"/>
  <c r="AG560" i="29"/>
  <c r="W234" i="29"/>
  <c r="AA234" i="29" s="1"/>
  <c r="W326" i="29"/>
  <c r="AJ325" i="29" s="1"/>
  <c r="AK325" i="29" s="1"/>
  <c r="X457" i="29"/>
  <c r="Y457" i="29" s="1"/>
  <c r="X257" i="29"/>
  <c r="Y257" i="29" s="1"/>
  <c r="W122" i="29"/>
  <c r="AJ121" i="29" s="1"/>
  <c r="AK121" i="29" s="1"/>
  <c r="AG294" i="29"/>
  <c r="W598" i="29"/>
  <c r="AJ598" i="29" s="1"/>
  <c r="AK598" i="29" s="1"/>
  <c r="AH302" i="29"/>
  <c r="AG362" i="29"/>
  <c r="X580" i="29"/>
  <c r="Y580" i="29" s="1"/>
  <c r="X184" i="29"/>
  <c r="Y184" i="29" s="1"/>
  <c r="AG532" i="29"/>
  <c r="X613" i="29"/>
  <c r="Y613" i="29" s="1"/>
  <c r="X327" i="29"/>
  <c r="Y327" i="29" s="1"/>
  <c r="X80" i="29"/>
  <c r="Y80" i="29" s="1"/>
  <c r="AG45" i="29"/>
  <c r="AH400" i="29"/>
  <c r="AH470" i="29"/>
  <c r="AH17" i="29"/>
  <c r="AH81" i="29"/>
  <c r="W330" i="29"/>
  <c r="AA330" i="29" s="1"/>
  <c r="AG325" i="29"/>
  <c r="W13" i="29"/>
  <c r="AA13" i="29" s="1"/>
  <c r="AG111" i="29"/>
  <c r="W373" i="29"/>
  <c r="AJ372" i="29" s="1"/>
  <c r="AK372" i="29" s="1"/>
  <c r="AG192" i="29"/>
  <c r="W547" i="29"/>
  <c r="AJ546" i="29" s="1"/>
  <c r="AK546" i="29" s="1"/>
  <c r="X292" i="29"/>
  <c r="Y292" i="29" s="1"/>
  <c r="W147" i="29"/>
  <c r="AA147" i="29" s="1"/>
  <c r="AH214" i="29"/>
  <c r="AH333" i="29"/>
  <c r="X512" i="29"/>
  <c r="Y512" i="29" s="1"/>
  <c r="W433" i="29"/>
  <c r="AA433" i="29" s="1"/>
  <c r="W498" i="29"/>
  <c r="AA498" i="29" s="1"/>
  <c r="AG609" i="29"/>
  <c r="AH358" i="29"/>
  <c r="X42" i="29"/>
  <c r="Y42" i="29" s="1"/>
  <c r="W429" i="29"/>
  <c r="AA429" i="29" s="1"/>
  <c r="X169" i="29"/>
  <c r="Y169" i="29" s="1"/>
  <c r="X317" i="29"/>
  <c r="Y317" i="29" s="1"/>
  <c r="X331" i="29"/>
  <c r="Y331" i="29" s="1"/>
  <c r="AH612" i="29"/>
  <c r="AH256" i="29"/>
  <c r="AH127" i="29"/>
  <c r="W465" i="29"/>
  <c r="AJ464" i="29" s="1"/>
  <c r="AK464" i="29" s="1"/>
  <c r="X342" i="29"/>
  <c r="Y342" i="29" s="1"/>
  <c r="X334" i="29"/>
  <c r="Y334" i="29" s="1"/>
  <c r="X57" i="29"/>
  <c r="Y57" i="29" s="1"/>
  <c r="AH558" i="29"/>
  <c r="AG38" i="29"/>
  <c r="X141" i="29"/>
  <c r="Y141" i="29" s="1"/>
  <c r="X48" i="29"/>
  <c r="Y48" i="29" s="1"/>
  <c r="X505" i="29"/>
  <c r="Y505" i="29" s="1"/>
  <c r="X233" i="29"/>
  <c r="Y233" i="29" s="1"/>
  <c r="W348" i="29"/>
  <c r="AA348" i="29" s="1"/>
  <c r="X471" i="29"/>
  <c r="Y471" i="29" s="1"/>
  <c r="AH397" i="29"/>
  <c r="X258" i="29"/>
  <c r="Y258" i="29" s="1"/>
  <c r="X293" i="29"/>
  <c r="Y293" i="29" s="1"/>
  <c r="AH605" i="29"/>
  <c r="W116" i="29"/>
  <c r="AH87" i="29"/>
  <c r="W351" i="29"/>
  <c r="AA351" i="29" s="1"/>
  <c r="AH175" i="29"/>
  <c r="AH572" i="29"/>
  <c r="AG230" i="29"/>
  <c r="X35" i="29"/>
  <c r="Y35" i="29" s="1"/>
  <c r="W526" i="29"/>
  <c r="AA526" i="29" s="1"/>
  <c r="W216" i="29"/>
  <c r="AA216" i="29" s="1"/>
  <c r="X377" i="29"/>
  <c r="Y377" i="29" s="1"/>
  <c r="W219" i="29"/>
  <c r="AJ219" i="29" s="1"/>
  <c r="AK219" i="29" s="1"/>
  <c r="W341" i="29"/>
  <c r="AJ341" i="29" s="1"/>
  <c r="AK341" i="29" s="1"/>
  <c r="W289" i="29"/>
  <c r="AJ288" i="29" s="1"/>
  <c r="AK288" i="29" s="1"/>
  <c r="W156" i="29"/>
  <c r="AJ155" i="29" s="1"/>
  <c r="AK155" i="29" s="1"/>
  <c r="W254" i="29"/>
  <c r="AJ254" i="29" s="1"/>
  <c r="AK254" i="29" s="1"/>
  <c r="AH597" i="29"/>
  <c r="AH235" i="29"/>
  <c r="AG513" i="29"/>
  <c r="W187" i="29"/>
  <c r="AA187" i="29" s="1"/>
  <c r="W52" i="29"/>
  <c r="AJ52" i="29" s="1"/>
  <c r="AK52" i="29" s="1"/>
  <c r="W529" i="29"/>
  <c r="AA529" i="29" s="1"/>
  <c r="W587" i="29"/>
  <c r="AA587" i="29" s="1"/>
  <c r="AG246" i="29"/>
  <c r="AG73" i="29"/>
  <c r="X586" i="29"/>
  <c r="Y586" i="29" s="1"/>
  <c r="AH473" i="29"/>
  <c r="AH20" i="29"/>
  <c r="X563" i="29"/>
  <c r="Y563" i="29" s="1"/>
  <c r="AH510" i="29"/>
  <c r="AG530" i="29"/>
  <c r="AG117" i="29"/>
  <c r="AH484" i="29"/>
  <c r="AG104" i="29"/>
  <c r="CB245" i="24"/>
  <c r="CF245" i="24"/>
  <c r="CB139" i="24"/>
  <c r="CF139" i="24"/>
  <c r="X299" i="29"/>
  <c r="Y299" i="29" s="1"/>
  <c r="AH171" i="29"/>
  <c r="AG165" i="29"/>
  <c r="W270" i="29"/>
  <c r="AJ269" i="29" s="1"/>
  <c r="AK269" i="29" s="1"/>
  <c r="AH136" i="29"/>
  <c r="AG390" i="29"/>
  <c r="AG594" i="29"/>
  <c r="W140" i="29"/>
  <c r="AJ140" i="29" s="1"/>
  <c r="AK140" i="29" s="1"/>
  <c r="AH320" i="29"/>
  <c r="X303" i="29"/>
  <c r="Y303" i="29" s="1"/>
  <c r="W347" i="29"/>
  <c r="AH454" i="29"/>
  <c r="W480" i="29"/>
  <c r="AJ479" i="29" s="1"/>
  <c r="AK479" i="29" s="1"/>
  <c r="W222" i="29"/>
  <c r="AA222" i="29" s="1"/>
  <c r="AG194" i="29"/>
  <c r="AG387" i="29"/>
  <c r="W463" i="29"/>
  <c r="AA463" i="29" s="1"/>
  <c r="AH361" i="29"/>
  <c r="X259" i="29"/>
  <c r="Y259" i="29" s="1"/>
  <c r="AG515" i="29"/>
  <c r="AG555" i="29"/>
  <c r="AH96" i="29"/>
  <c r="W25" i="29"/>
  <c r="AA25" i="29" s="1"/>
  <c r="X30" i="29"/>
  <c r="Y30" i="29" s="1"/>
  <c r="W84" i="29"/>
  <c r="AJ84" i="29" s="1"/>
  <c r="AK84" i="29" s="1"/>
  <c r="AG559" i="29"/>
  <c r="W41" i="29"/>
  <c r="AA41" i="29" s="1"/>
  <c r="W210" i="29"/>
  <c r="AA210" i="29" s="1"/>
  <c r="X535" i="29"/>
  <c r="Y535" i="29" s="1"/>
  <c r="W406" i="29"/>
  <c r="AJ406" i="29" s="1"/>
  <c r="AK406" i="29" s="1"/>
  <c r="W422" i="29"/>
  <c r="AA422" i="29" s="1"/>
  <c r="X53" i="29"/>
  <c r="Y53" i="29" s="1"/>
  <c r="AG50" i="29"/>
  <c r="X499" i="29"/>
  <c r="Y499" i="29" s="1"/>
  <c r="X40" i="29"/>
  <c r="Y40" i="29" s="1"/>
  <c r="AG460" i="29"/>
  <c r="W90" i="29"/>
  <c r="AA90" i="29" s="1"/>
  <c r="AH152" i="29"/>
  <c r="X503" i="29"/>
  <c r="Y503" i="29" s="1"/>
  <c r="AH355" i="29"/>
  <c r="W154" i="29"/>
  <c r="AJ154" i="29" s="1"/>
  <c r="AK154" i="29" s="1"/>
  <c r="AH468" i="29"/>
  <c r="AG324" i="29"/>
  <c r="W133" i="29"/>
  <c r="AJ133" i="29" s="1"/>
  <c r="AK133" i="29" s="1"/>
  <c r="AH190" i="29"/>
  <c r="AH295" i="29"/>
  <c r="X162" i="29"/>
  <c r="Y162" i="29" s="1"/>
  <c r="W610" i="29"/>
  <c r="AJ610" i="29" s="1"/>
  <c r="AK610" i="29" s="1"/>
  <c r="X306" i="29"/>
  <c r="Y306" i="29" s="1"/>
  <c r="AH138" i="29"/>
  <c r="AG88" i="29"/>
  <c r="X178" i="29"/>
  <c r="Y178" i="29" s="1"/>
  <c r="X414" i="29"/>
  <c r="Y414" i="29" s="1"/>
  <c r="AG180" i="29"/>
  <c r="X167" i="29"/>
  <c r="Y167" i="29" s="1"/>
  <c r="AG574" i="29"/>
  <c r="AG453" i="29"/>
  <c r="AH443" i="29"/>
  <c r="X402" i="29"/>
  <c r="Y402" i="29" s="1"/>
  <c r="X404" i="29"/>
  <c r="Y404" i="29" s="1"/>
  <c r="AH345" i="29"/>
  <c r="X43" i="29"/>
  <c r="Y43" i="29" s="1"/>
  <c r="X462" i="29"/>
  <c r="Y462" i="29" s="1"/>
  <c r="W448" i="29"/>
  <c r="AJ448" i="29" s="1"/>
  <c r="AK448" i="29" s="1"/>
  <c r="W439" i="29"/>
  <c r="AJ438" i="29" s="1"/>
  <c r="AK438" i="29" s="1"/>
  <c r="W164" i="29"/>
  <c r="AA164" i="29" s="1"/>
  <c r="AH385" i="29"/>
  <c r="X376" i="29"/>
  <c r="Y376" i="29" s="1"/>
  <c r="X274" i="29"/>
  <c r="Y274" i="29" s="1"/>
  <c r="AH236" i="29"/>
  <c r="AG139" i="29"/>
  <c r="AG100" i="29"/>
  <c r="W556" i="29"/>
  <c r="AA556" i="29" s="1"/>
  <c r="W130" i="29"/>
  <c r="AJ129" i="29" s="1"/>
  <c r="AK129" i="29" s="1"/>
  <c r="X497" i="29"/>
  <c r="Y497" i="29" s="1"/>
  <c r="X476" i="29"/>
  <c r="Y476" i="29" s="1"/>
  <c r="AG540" i="29"/>
  <c r="AH346" i="29"/>
  <c r="AH354" i="29"/>
  <c r="CB209" i="24"/>
  <c r="CF209" i="24"/>
  <c r="CB315" i="24"/>
  <c r="CF315" i="24"/>
  <c r="X368" i="29"/>
  <c r="Y368" i="29" s="1"/>
  <c r="X268" i="29"/>
  <c r="Y268" i="29" s="1"/>
  <c r="W401" i="29"/>
  <c r="AJ401" i="29" s="1"/>
  <c r="AK401" i="29" s="1"/>
  <c r="AG33" i="29"/>
  <c r="AG459" i="29"/>
  <c r="W336" i="29"/>
  <c r="AJ336" i="29" s="1"/>
  <c r="AK336" i="29" s="1"/>
  <c r="X554" i="29"/>
  <c r="Y554" i="29" s="1"/>
  <c r="AG86" i="29"/>
  <c r="AH224" i="29"/>
  <c r="X424" i="29"/>
  <c r="Y424" i="29" s="1"/>
  <c r="X101" i="29"/>
  <c r="Y101" i="29" s="1"/>
  <c r="X413" i="29"/>
  <c r="Y413" i="29" s="1"/>
  <c r="AG316" i="29"/>
  <c r="W218" i="29"/>
  <c r="AA218" i="29" s="1"/>
  <c r="X298" i="29"/>
  <c r="Y298" i="29" s="1"/>
  <c r="AH590" i="29"/>
  <c r="AH494" i="29"/>
  <c r="X308" i="29"/>
  <c r="Y308" i="29" s="1"/>
  <c r="X29" i="29"/>
  <c r="Y29" i="29" s="1"/>
  <c r="W170" i="29"/>
  <c r="AA170" i="29" s="1"/>
  <c r="AH486" i="29"/>
  <c r="W177" i="29"/>
  <c r="AA177" i="29" s="1"/>
  <c r="W514" i="29"/>
  <c r="AJ514" i="29" s="1"/>
  <c r="AK514" i="29" s="1"/>
  <c r="AH435" i="29"/>
  <c r="W242" i="29"/>
  <c r="AJ241" i="29" s="1"/>
  <c r="AK241" i="29" s="1"/>
  <c r="AH546" i="29"/>
  <c r="AH581" i="29"/>
  <c r="AH118" i="29"/>
  <c r="AH239" i="29"/>
  <c r="W474" i="29"/>
  <c r="AA474" i="29" s="1"/>
  <c r="X44" i="29"/>
  <c r="Y44" i="29" s="1"/>
  <c r="AH208" i="29"/>
  <c r="X567" i="29"/>
  <c r="Y567" i="29" s="1"/>
  <c r="AG286" i="29"/>
  <c r="X552" i="29"/>
  <c r="Y552" i="29" s="1"/>
  <c r="W502" i="29"/>
  <c r="AJ501" i="29" s="1"/>
  <c r="AK501" i="29" s="1"/>
  <c r="X428" i="29"/>
  <c r="Y428" i="29" s="1"/>
  <c r="X344" i="29"/>
  <c r="Y344" i="29" s="1"/>
  <c r="AH188" i="29"/>
  <c r="AH467" i="29"/>
  <c r="CB241" i="24"/>
  <c r="CF241" i="24"/>
  <c r="CB284" i="24"/>
  <c r="CF284" i="24"/>
  <c r="CB178" i="24"/>
  <c r="CF178" i="24"/>
  <c r="CB291" i="24"/>
  <c r="CF291" i="24"/>
  <c r="X451" i="29"/>
  <c r="Y451" i="29" s="1"/>
  <c r="CB185" i="24"/>
  <c r="CF185" i="24"/>
  <c r="X329" i="29"/>
  <c r="Y329" i="29" s="1"/>
  <c r="W522" i="29"/>
  <c r="AA522" i="29" s="1"/>
  <c r="AH321" i="29"/>
  <c r="AG565" i="29"/>
  <c r="AG319" i="29"/>
  <c r="W150" i="29"/>
  <c r="AJ150" i="29" s="1"/>
  <c r="AK150" i="29" s="1"/>
  <c r="AH267" i="29"/>
  <c r="AG120" i="29"/>
  <c r="W297" i="29"/>
  <c r="AJ297" i="29" s="1"/>
  <c r="AK297" i="29" s="1"/>
  <c r="W221" i="29"/>
  <c r="AA221" i="29" s="1"/>
  <c r="AG490" i="29"/>
  <c r="X114" i="29"/>
  <c r="Y114" i="29" s="1"/>
  <c r="W412" i="29"/>
  <c r="AJ412" i="29" s="1"/>
  <c r="AK412" i="29" s="1"/>
  <c r="X69" i="29"/>
  <c r="Y69" i="29" s="1"/>
  <c r="AG128" i="29"/>
  <c r="AH39" i="29"/>
  <c r="X479" i="29"/>
  <c r="Y479" i="29" s="1"/>
  <c r="X388" i="29"/>
  <c r="Y388" i="29" s="1"/>
  <c r="AG447" i="29"/>
  <c r="X418" i="29"/>
  <c r="Y418" i="29" s="1"/>
  <c r="X197" i="29"/>
  <c r="Y197" i="29" s="1"/>
  <c r="AG440" i="29"/>
  <c r="W350" i="29"/>
  <c r="W183" i="29"/>
  <c r="AA183" i="29" s="1"/>
  <c r="AG92" i="29"/>
  <c r="AH550" i="29"/>
  <c r="W142" i="29"/>
  <c r="AJ142" i="29" s="1"/>
  <c r="AK142" i="29" s="1"/>
  <c r="AG426" i="29"/>
  <c r="AG527" i="29"/>
  <c r="X364" i="29"/>
  <c r="Y364" i="29" s="1"/>
  <c r="AH28" i="29"/>
  <c r="AG201" i="29"/>
  <c r="X250" i="29"/>
  <c r="Y250" i="29" s="1"/>
  <c r="X272" i="29"/>
  <c r="Y272" i="29" s="1"/>
  <c r="W149" i="29"/>
  <c r="AG264" i="29"/>
  <c r="AG260" i="29"/>
  <c r="AG103" i="29"/>
  <c r="W588" i="29"/>
  <c r="AA588" i="29" s="1"/>
  <c r="AG32" i="29"/>
  <c r="X472" i="29"/>
  <c r="Y472" i="29" s="1"/>
  <c r="AH416" i="29"/>
  <c r="AG398" i="29"/>
  <c r="AH125" i="29"/>
  <c r="X461" i="29"/>
  <c r="Y461" i="29" s="1"/>
  <c r="X281" i="29"/>
  <c r="Y281" i="29" s="1"/>
  <c r="X423" i="29"/>
  <c r="Y423" i="29" s="1"/>
  <c r="X409" i="29"/>
  <c r="Y409" i="29" s="1"/>
  <c r="X548" i="29"/>
  <c r="Y548" i="29" s="1"/>
  <c r="X378" i="29"/>
  <c r="Y378" i="29" s="1"/>
  <c r="AG455" i="29"/>
  <c r="AG561" i="29"/>
  <c r="AH482" i="29"/>
  <c r="W356" i="29"/>
  <c r="AJ355" i="29" s="1"/>
  <c r="AK355" i="29" s="1"/>
  <c r="W410" i="29"/>
  <c r="AA410" i="29" s="1"/>
  <c r="W528" i="29"/>
  <c r="X395" i="29"/>
  <c r="Y395" i="29" s="1"/>
  <c r="AG119" i="29"/>
  <c r="AH76" i="29"/>
  <c r="X593" i="29"/>
  <c r="Y593" i="29" s="1"/>
  <c r="AH237" i="29"/>
  <c r="AH538" i="29"/>
  <c r="W383" i="29"/>
  <c r="AJ383" i="29" s="1"/>
  <c r="AK383" i="29" s="1"/>
  <c r="W312" i="29"/>
  <c r="AJ311" i="29" s="1"/>
  <c r="W251" i="29"/>
  <c r="AA251" i="29" s="1"/>
  <c r="AG489" i="29"/>
  <c r="AG366" i="29"/>
  <c r="AH438" i="29"/>
  <c r="AH403" i="29"/>
  <c r="AG112" i="29"/>
  <c r="AG277" i="29"/>
  <c r="W430" i="29"/>
  <c r="AA430" i="29" s="1"/>
  <c r="AG583" i="29"/>
  <c r="AG72" i="29"/>
  <c r="AG232" i="29"/>
  <c r="X575" i="29"/>
  <c r="Y575" i="29" s="1"/>
  <c r="AH135" i="29"/>
  <c r="AG520" i="29"/>
  <c r="W23" i="29"/>
  <c r="AA23" i="29" s="1"/>
  <c r="AH77" i="29"/>
  <c r="X273" i="29"/>
  <c r="Y273" i="29" s="1"/>
  <c r="W132" i="29"/>
  <c r="AA132" i="29" s="1"/>
  <c r="AG569" i="29"/>
  <c r="AH283" i="29"/>
  <c r="AH446" i="29"/>
  <c r="W434" i="29"/>
  <c r="AA434" i="29" s="1"/>
  <c r="X469" i="29"/>
  <c r="Y469" i="29" s="1"/>
  <c r="AH592" i="29"/>
  <c r="X262" i="29"/>
  <c r="Y262" i="29" s="1"/>
  <c r="X94" i="29"/>
  <c r="Y94" i="29" s="1"/>
  <c r="W301" i="29"/>
  <c r="AJ301" i="29" s="1"/>
  <c r="AK301" i="29" s="1"/>
  <c r="AH275" i="29"/>
  <c r="W240" i="29"/>
  <c r="AJ240" i="29" s="1"/>
  <c r="AK240" i="29" s="1"/>
  <c r="W432" i="29"/>
  <c r="AA432" i="29" s="1"/>
  <c r="AG146" i="29"/>
  <c r="AG157" i="29"/>
  <c r="AH65" i="29"/>
  <c r="AG449" i="29"/>
  <c r="X411" i="29"/>
  <c r="Y411" i="29" s="1"/>
  <c r="AG143" i="29"/>
  <c r="W199" i="29"/>
  <c r="AA199" i="29" s="1"/>
  <c r="W375" i="29"/>
  <c r="AJ375" i="29" s="1"/>
  <c r="AK375" i="29" s="1"/>
  <c r="AG524" i="29"/>
  <c r="AG202" i="29"/>
  <c r="AG145" i="29"/>
  <c r="X436" i="29"/>
  <c r="Y436" i="29" s="1"/>
  <c r="X129" i="29"/>
  <c r="Y129" i="29" s="1"/>
  <c r="AG290" i="29"/>
  <c r="W75" i="29"/>
  <c r="AJ75" i="29" s="1"/>
  <c r="AK75" i="29" s="1"/>
  <c r="AG523" i="29"/>
  <c r="W542" i="29"/>
  <c r="AA542" i="29" s="1"/>
  <c r="AH481" i="29"/>
  <c r="X307" i="29"/>
  <c r="Y307" i="29" s="1"/>
  <c r="AH407" i="29"/>
  <c r="X51" i="29"/>
  <c r="Y51" i="29" s="1"/>
  <c r="AG244" i="29"/>
  <c r="W56" i="29"/>
  <c r="AA56" i="29" s="1"/>
  <c r="X539" i="29"/>
  <c r="Y539" i="29" s="1"/>
  <c r="X228" i="29"/>
  <c r="Y228" i="29" s="1"/>
  <c r="AH249" i="29"/>
  <c r="X21" i="29"/>
  <c r="Y21" i="29" s="1"/>
  <c r="AG172" i="29"/>
  <c r="W91" i="29"/>
  <c r="W573" i="29"/>
  <c r="AJ573" i="29" s="1"/>
  <c r="AK573" i="29" s="1"/>
  <c r="AG500" i="29"/>
  <c r="W315" i="29"/>
  <c r="AA315" i="29" s="1"/>
  <c r="W492" i="29"/>
  <c r="W305" i="29"/>
  <c r="AJ305" i="29" s="1"/>
  <c r="AK305" i="29" s="1"/>
  <c r="AG195" i="29"/>
  <c r="AG265" i="29"/>
  <c r="AH392" i="29"/>
  <c r="W99" i="29"/>
  <c r="AJ99" i="29" s="1"/>
  <c r="AK99" i="29" s="1"/>
  <c r="X263" i="29"/>
  <c r="Y263" i="29" s="1"/>
  <c r="X14" i="29"/>
  <c r="Y14" i="29" s="1"/>
  <c r="X579" i="29"/>
  <c r="Y579" i="29" s="1"/>
  <c r="AH394" i="29"/>
  <c r="W179" i="29"/>
  <c r="AJ178" i="29" s="1"/>
  <c r="AK178" i="29" s="1"/>
  <c r="X211" i="29"/>
  <c r="Y211" i="29" s="1"/>
  <c r="X160" i="29"/>
  <c r="Y160" i="29" s="1"/>
  <c r="X487" i="29"/>
  <c r="Y487" i="29" s="1"/>
  <c r="X399" i="29"/>
  <c r="Y399" i="29" s="1"/>
  <c r="W382" i="29"/>
  <c r="AJ381" i="29" s="1"/>
  <c r="AK381" i="29" s="1"/>
  <c r="X519" i="29"/>
  <c r="Y519" i="29" s="1"/>
  <c r="X517" i="29"/>
  <c r="Y517" i="29" s="1"/>
  <c r="AG226" i="29"/>
  <c r="AH102" i="29"/>
  <c r="W15" i="29"/>
  <c r="AA15" i="29" s="1"/>
  <c r="W278" i="29"/>
  <c r="AJ277" i="29" s="1"/>
  <c r="AK277" i="29" s="1"/>
  <c r="AG314" i="29"/>
  <c r="AG255" i="29"/>
  <c r="W280" i="29"/>
  <c r="AA280" i="29" s="1"/>
  <c r="AG381" i="29"/>
  <c r="X496" i="29"/>
  <c r="Y496" i="29" s="1"/>
  <c r="W335" i="29"/>
  <c r="W353" i="29"/>
  <c r="AA353" i="29" s="1"/>
  <c r="AH386" i="29"/>
  <c r="AH427" i="29"/>
  <c r="W595" i="29"/>
  <c r="AA595" i="29" s="1"/>
  <c r="X570" i="29"/>
  <c r="Y570" i="29" s="1"/>
  <c r="X419" i="29"/>
  <c r="Y419" i="29" s="1"/>
  <c r="W450" i="29"/>
  <c r="AJ450" i="29" s="1"/>
  <c r="AK450" i="29" s="1"/>
  <c r="AH313" i="29"/>
  <c r="W213" i="29"/>
  <c r="AA213" i="29" s="1"/>
  <c r="X600" i="29"/>
  <c r="Y600" i="29" s="1"/>
  <c r="AG568" i="29"/>
  <c r="AH196" i="29"/>
  <c r="AH47" i="29"/>
  <c r="X68" i="29"/>
  <c r="Y68" i="29" s="1"/>
  <c r="W245" i="29"/>
  <c r="AJ245" i="29" s="1"/>
  <c r="AK245" i="29" s="1"/>
  <c r="AH131" i="29"/>
  <c r="X126" i="29"/>
  <c r="Y126" i="29" s="1"/>
  <c r="X396" i="29"/>
  <c r="Y396" i="29" s="1"/>
  <c r="AH134" i="29"/>
  <c r="W421" i="29"/>
  <c r="X36" i="29"/>
  <c r="Y36" i="29" s="1"/>
  <c r="X458" i="29"/>
  <c r="Y458" i="29" s="1"/>
  <c r="AG318" i="29"/>
  <c r="AH405" i="29"/>
  <c r="AG209" i="29"/>
  <c r="AH456" i="29"/>
  <c r="AH243" i="29"/>
  <c r="X601" i="29"/>
  <c r="Y601" i="29" s="1"/>
  <c r="AG121" i="29"/>
  <c r="W444" i="29"/>
  <c r="AJ443" i="29" s="1"/>
  <c r="AK443" i="29" s="1"/>
  <c r="AG389" i="29"/>
  <c r="AG518" i="29"/>
  <c r="W310" i="29"/>
  <c r="AJ310" i="29" s="1"/>
  <c r="AK310" i="29" s="1"/>
  <c r="X67" i="29"/>
  <c r="Y67" i="29" s="1"/>
  <c r="X215" i="29"/>
  <c r="Y215" i="29" s="1"/>
  <c r="W37" i="29"/>
  <c r="AJ36" i="29" s="1"/>
  <c r="AK36" i="29" s="1"/>
  <c r="X191" i="29"/>
  <c r="Y191" i="29" s="1"/>
  <c r="W525" i="29"/>
  <c r="AH506" i="29"/>
  <c r="X425" i="29"/>
  <c r="Y425" i="29" s="1"/>
  <c r="X282" i="29"/>
  <c r="Y282" i="29" s="1"/>
  <c r="AG504" i="29"/>
  <c r="W369" i="29"/>
  <c r="AA369" i="29" s="1"/>
  <c r="X311" i="29"/>
  <c r="Y311" i="29" s="1"/>
  <c r="X227" i="29"/>
  <c r="Y227" i="29" s="1"/>
  <c r="AH27" i="29"/>
  <c r="AG173" i="29"/>
  <c r="AG55" i="29"/>
  <c r="W26" i="29"/>
  <c r="X83" i="29"/>
  <c r="Y83" i="29" s="1"/>
  <c r="AG158" i="29"/>
  <c r="AH16" i="29"/>
  <c r="X182" i="29"/>
  <c r="Y182" i="29" s="1"/>
  <c r="W533" i="29"/>
  <c r="AJ532" i="29" s="1"/>
  <c r="AK532" i="29" s="1"/>
  <c r="W200" i="29"/>
  <c r="AJ200" i="29" s="1"/>
  <c r="AK200" i="29" s="1"/>
  <c r="X372" i="29"/>
  <c r="Y372" i="29" s="1"/>
  <c r="AH300" i="29"/>
  <c r="X549" i="29"/>
  <c r="Y549" i="29" s="1"/>
  <c r="AH95" i="29"/>
  <c r="X420" i="29"/>
  <c r="Y420" i="29" s="1"/>
  <c r="AG31" i="29"/>
  <c r="X491" i="29"/>
  <c r="Y491" i="29" s="1"/>
  <c r="AG287" i="29"/>
  <c r="W531" i="29"/>
  <c r="AJ531" i="29" s="1"/>
  <c r="AK531" i="29" s="1"/>
  <c r="X607" i="29"/>
  <c r="Y607" i="29" s="1"/>
  <c r="AH545" i="29"/>
  <c r="X62" i="29"/>
  <c r="Y62" i="29" s="1"/>
  <c r="X269" i="29"/>
  <c r="Y269" i="29" s="1"/>
  <c r="CB170" i="25"/>
  <c r="CF170" i="25"/>
  <c r="CB170" i="24"/>
  <c r="CF170" i="24"/>
  <c r="CB276" i="24"/>
  <c r="CF276" i="24"/>
  <c r="W360" i="29"/>
  <c r="AJ359" i="29" s="1"/>
  <c r="AK359" i="29" s="1"/>
  <c r="CB166" i="24"/>
  <c r="CF166" i="24"/>
  <c r="CB272" i="24"/>
  <c r="CF272" i="24"/>
  <c r="CB102" i="24"/>
  <c r="CF102" i="24"/>
  <c r="W441" i="29"/>
  <c r="AA441" i="29" s="1"/>
  <c r="CB92" i="25"/>
  <c r="CF92" i="25"/>
  <c r="CB92" i="24"/>
  <c r="CF92" i="24"/>
  <c r="AH176" i="29"/>
  <c r="W82" i="29"/>
  <c r="AA82" i="29" s="1"/>
  <c r="AG564" i="29"/>
  <c r="AG296" i="29"/>
  <c r="W431" i="29"/>
  <c r="AA431" i="29" s="1"/>
  <c r="X247" i="29"/>
  <c r="Y247" i="29" s="1"/>
  <c r="CB268" i="24"/>
  <c r="CF268" i="24"/>
  <c r="CB157" i="24"/>
  <c r="CF157" i="24"/>
  <c r="CB263" i="24"/>
  <c r="CF263" i="24"/>
  <c r="CB79" i="24"/>
  <c r="CF79" i="24"/>
  <c r="CB274" i="24"/>
  <c r="CF274" i="24"/>
  <c r="CB168" i="24"/>
  <c r="CF168" i="24"/>
  <c r="CB285" i="24"/>
  <c r="CF285" i="24"/>
  <c r="CB179" i="24"/>
  <c r="CF179" i="24"/>
  <c r="W495" i="29"/>
  <c r="AJ494" i="29" s="1"/>
  <c r="AK494" i="29" s="1"/>
  <c r="X288" i="29"/>
  <c r="Y288" i="29" s="1"/>
  <c r="AG534" i="29"/>
  <c r="BY237" i="25"/>
  <c r="CA237" i="25" s="1"/>
  <c r="CB237" i="25" s="1"/>
  <c r="BL237" i="25"/>
  <c r="BK237" i="25"/>
  <c r="AT212" i="25"/>
  <c r="AY212" i="25" s="1"/>
  <c r="AU212" i="25"/>
  <c r="BY77" i="25"/>
  <c r="CA77" i="25" s="1"/>
  <c r="BL77" i="25"/>
  <c r="CB173" i="24"/>
  <c r="CF173" i="24"/>
  <c r="CB74" i="24"/>
  <c r="CF74" i="24"/>
  <c r="AA599" i="29"/>
  <c r="AJ58" i="29"/>
  <c r="AK58" i="29" s="1"/>
  <c r="AA59" i="29"/>
  <c r="AA201" i="29"/>
  <c r="BY72" i="25"/>
  <c r="CA72" i="25" s="1"/>
  <c r="BL72" i="25"/>
  <c r="AA325" i="29"/>
  <c r="AJ324" i="29"/>
  <c r="AK324" i="29" s="1"/>
  <c r="BL146" i="25"/>
  <c r="BY146" i="25"/>
  <c r="CA146" i="25" s="1"/>
  <c r="CB146" i="25" s="1"/>
  <c r="BK146" i="25"/>
  <c r="AA460" i="29"/>
  <c r="AJ459" i="29"/>
  <c r="AK459" i="29" s="1"/>
  <c r="AJ54" i="29"/>
  <c r="AK54" i="29" s="1"/>
  <c r="AA55" i="29"/>
  <c r="BL41" i="25"/>
  <c r="BY41" i="25"/>
  <c r="CA41" i="25" s="1"/>
  <c r="CB41" i="25" s="1"/>
  <c r="AJ119" i="29"/>
  <c r="AK119" i="29" s="1"/>
  <c r="AA120" i="29"/>
  <c r="AA445" i="29"/>
  <c r="AJ258" i="29"/>
  <c r="AK258" i="29" s="1"/>
  <c r="AA259" i="29"/>
  <c r="AA148" i="29"/>
  <c r="BL125" i="25"/>
  <c r="BY125" i="25"/>
  <c r="CA125" i="25" s="1"/>
  <c r="BK125" i="25"/>
  <c r="AA490" i="29"/>
  <c r="AJ489" i="29"/>
  <c r="AK489" i="29" s="1"/>
  <c r="AA435" i="29"/>
  <c r="AA277" i="29"/>
  <c r="AJ276" i="29"/>
  <c r="AK276" i="29" s="1"/>
  <c r="AJ214" i="29"/>
  <c r="AK214" i="29" s="1"/>
  <c r="AA215" i="29"/>
  <c r="AA246" i="29"/>
  <c r="AA596" i="29"/>
  <c r="AA63" i="29"/>
  <c r="AJ62" i="29"/>
  <c r="AK62" i="29" s="1"/>
  <c r="AA521" i="29"/>
  <c r="AJ520" i="29"/>
  <c r="AK520" i="29" s="1"/>
  <c r="BY119" i="25"/>
  <c r="CA119" i="25" s="1"/>
  <c r="CB119" i="25" s="1"/>
  <c r="BL119" i="25"/>
  <c r="BK119" i="25"/>
  <c r="AJ202" i="29"/>
  <c r="AK202" i="29" s="1"/>
  <c r="AA203" i="29"/>
  <c r="BN316" i="24"/>
  <c r="AJ313" i="29"/>
  <c r="AK313" i="29" s="1"/>
  <c r="AA314" i="29"/>
  <c r="AJ339" i="29"/>
  <c r="AK339" i="29" s="1"/>
  <c r="AA340" i="29"/>
  <c r="AA38" i="29"/>
  <c r="AA64" i="29"/>
  <c r="AJ63" i="29"/>
  <c r="AK63" i="29" s="1"/>
  <c r="AJ168" i="29"/>
  <c r="AK168" i="29" s="1"/>
  <c r="AA169" i="29"/>
  <c r="AA224" i="29"/>
  <c r="AA211" i="29"/>
  <c r="AJ30" i="29"/>
  <c r="AK30" i="29" s="1"/>
  <c r="AA31" i="29"/>
  <c r="BL75" i="25"/>
  <c r="BY75" i="25"/>
  <c r="CA75" i="25" s="1"/>
  <c r="CB75" i="25" s="1"/>
  <c r="BY163" i="25"/>
  <c r="CA163" i="25" s="1"/>
  <c r="BL163" i="25"/>
  <c r="BK163" i="25"/>
  <c r="BY24" i="25"/>
  <c r="CA24" i="25" s="1"/>
  <c r="CB24" i="25" s="1"/>
  <c r="BL24" i="25"/>
  <c r="AA100" i="29"/>
  <c r="AA576" i="29"/>
  <c r="AJ575" i="29"/>
  <c r="AK575" i="29" s="1"/>
  <c r="AA306" i="29"/>
  <c r="AA67" i="29"/>
  <c r="AJ66" i="29"/>
  <c r="AK66" i="29" s="1"/>
  <c r="BY23" i="25"/>
  <c r="CA23" i="25" s="1"/>
  <c r="CB23" i="25" s="1"/>
  <c r="BL23" i="25"/>
  <c r="BL39" i="25"/>
  <c r="BY39" i="25"/>
  <c r="CA39" i="25" s="1"/>
  <c r="CB39" i="25" s="1"/>
  <c r="AA481" i="29"/>
  <c r="AA69" i="29"/>
  <c r="AJ68" i="29"/>
  <c r="AK68" i="29" s="1"/>
  <c r="BY150" i="25"/>
  <c r="CA150" i="25" s="1"/>
  <c r="CB150" i="25" s="1"/>
  <c r="BL150" i="25"/>
  <c r="BK150" i="25"/>
  <c r="BY142" i="25"/>
  <c r="CA142" i="25" s="1"/>
  <c r="CB142" i="25" s="1"/>
  <c r="BL142" i="25"/>
  <c r="BK142" i="25"/>
  <c r="AA403" i="29"/>
  <c r="AJ402" i="29"/>
  <c r="AK402" i="29" s="1"/>
  <c r="AA241" i="29"/>
  <c r="AA496" i="29"/>
  <c r="AJ78" i="29"/>
  <c r="AK78" i="29" s="1"/>
  <c r="AA79" i="29"/>
  <c r="AA497" i="29"/>
  <c r="AJ496" i="29"/>
  <c r="AK496" i="29" s="1"/>
  <c r="AJ596" i="29"/>
  <c r="AK596" i="29" s="1"/>
  <c r="AA597" i="29"/>
  <c r="AA565" i="29"/>
  <c r="AJ564" i="29"/>
  <c r="AK564" i="29" s="1"/>
  <c r="AA184" i="29"/>
  <c r="AJ159" i="29"/>
  <c r="AK159" i="29" s="1"/>
  <c r="AA160" i="29"/>
  <c r="BY85" i="25"/>
  <c r="CA85" i="25" s="1"/>
  <c r="CB85" i="25" s="1"/>
  <c r="BL85" i="25"/>
  <c r="BL300" i="25"/>
  <c r="BY300" i="25"/>
  <c r="CA300" i="25" s="1"/>
  <c r="CB300" i="25" s="1"/>
  <c r="BK300" i="25"/>
  <c r="AJ262" i="29"/>
  <c r="AK262" i="29" s="1"/>
  <c r="AA263" i="29"/>
  <c r="BL294" i="25"/>
  <c r="BY294" i="25"/>
  <c r="CA294" i="25" s="1"/>
  <c r="CB294" i="25" s="1"/>
  <c r="BK294" i="25"/>
  <c r="AA519" i="29"/>
  <c r="AJ518" i="29"/>
  <c r="AK518" i="29" s="1"/>
  <c r="AA361" i="29"/>
  <c r="AJ76" i="29"/>
  <c r="AK76" i="29" s="1"/>
  <c r="AA77" i="29"/>
  <c r="AA582" i="29"/>
  <c r="AJ581" i="29"/>
  <c r="AK581" i="29" s="1"/>
  <c r="AA264" i="29"/>
  <c r="AJ263" i="29"/>
  <c r="AK263" i="29" s="1"/>
  <c r="BL175" i="25"/>
  <c r="BY175" i="25"/>
  <c r="CA175" i="25" s="1"/>
  <c r="BK175" i="25"/>
  <c r="AA205" i="29"/>
  <c r="AJ204" i="29"/>
  <c r="AK204" i="29" s="1"/>
  <c r="BL53" i="25"/>
  <c r="BY53" i="25"/>
  <c r="CA53" i="25" s="1"/>
  <c r="CB53" i="25" s="1"/>
  <c r="AJ196" i="29"/>
  <c r="AK196" i="29" s="1"/>
  <c r="AA197" i="29"/>
  <c r="AA320" i="29"/>
  <c r="AJ319" i="29"/>
  <c r="AK319" i="29" s="1"/>
  <c r="AA311" i="29"/>
  <c r="AJ86" i="29"/>
  <c r="AK86" i="29" s="1"/>
  <c r="AA87" i="29"/>
  <c r="BL217" i="25"/>
  <c r="BY217" i="25"/>
  <c r="CA217" i="25" s="1"/>
  <c r="CB217" i="25" s="1"/>
  <c r="BK217" i="25"/>
  <c r="BY67" i="25"/>
  <c r="CA67" i="25" s="1"/>
  <c r="CB67" i="25" s="1"/>
  <c r="BL67" i="25"/>
  <c r="CB97" i="25"/>
  <c r="CF97" i="25"/>
  <c r="AJ285" i="29"/>
  <c r="AK285" i="29" s="1"/>
  <c r="AA286" i="29"/>
  <c r="AJ192" i="29"/>
  <c r="AK192" i="29" s="1"/>
  <c r="AA193" i="29"/>
  <c r="BL286" i="25"/>
  <c r="BY286" i="25"/>
  <c r="CA286" i="25" s="1"/>
  <c r="CB286" i="25" s="1"/>
  <c r="BK286" i="25"/>
  <c r="BL250" i="25"/>
  <c r="BY250" i="25"/>
  <c r="CA250" i="25" s="1"/>
  <c r="CB250" i="25" s="1"/>
  <c r="BK250" i="25"/>
  <c r="AA95" i="29"/>
  <c r="AJ94" i="29"/>
  <c r="BL83" i="25"/>
  <c r="BY83" i="25"/>
  <c r="CA83" i="25" s="1"/>
  <c r="CB83" i="25" s="1"/>
  <c r="BY284" i="25"/>
  <c r="CA284" i="25" s="1"/>
  <c r="CB284" i="25" s="1"/>
  <c r="BL284" i="25"/>
  <c r="BK284" i="25"/>
  <c r="AJ424" i="29"/>
  <c r="AK424" i="29" s="1"/>
  <c r="AA425" i="29"/>
  <c r="AA416" i="29"/>
  <c r="AJ415" i="29"/>
  <c r="AK415" i="29" s="1"/>
  <c r="AJ392" i="29"/>
  <c r="AK392" i="29" s="1"/>
  <c r="AA393" i="29"/>
  <c r="BY133" i="25"/>
  <c r="CA133" i="25" s="1"/>
  <c r="CB133" i="25" s="1"/>
  <c r="BL133" i="25"/>
  <c r="BK133" i="25"/>
  <c r="BL47" i="25"/>
  <c r="BY47" i="25"/>
  <c r="CA47" i="25" s="1"/>
  <c r="CB47" i="25" s="1"/>
  <c r="AA50" i="29"/>
  <c r="AA195" i="29"/>
  <c r="AJ194" i="29"/>
  <c r="AK194" i="29" s="1"/>
  <c r="BY80" i="25"/>
  <c r="CA80" i="25" s="1"/>
  <c r="BL80" i="25"/>
  <c r="BL225" i="25"/>
  <c r="BY225" i="25"/>
  <c r="CA225" i="25" s="1"/>
  <c r="CB225" i="25" s="1"/>
  <c r="BK225" i="25"/>
  <c r="AJ371" i="29"/>
  <c r="AK371" i="29" s="1"/>
  <c r="AA372" i="29"/>
  <c r="AA43" i="29"/>
  <c r="AJ42" i="29"/>
  <c r="AK42" i="29" s="1"/>
  <c r="AA398" i="29"/>
  <c r="AJ397" i="29"/>
  <c r="AK397" i="29" s="1"/>
  <c r="BY65" i="25"/>
  <c r="CA65" i="25" s="1"/>
  <c r="BL65" i="25"/>
  <c r="BY43" i="25"/>
  <c r="CA43" i="25" s="1"/>
  <c r="CB43" i="25" s="1"/>
  <c r="BL43" i="25"/>
  <c r="AA611" i="29"/>
  <c r="AJ404" i="29"/>
  <c r="AK404" i="29" s="1"/>
  <c r="AA405" i="29"/>
  <c r="AA592" i="29"/>
  <c r="AJ591" i="29"/>
  <c r="AK591" i="29" s="1"/>
  <c r="BY220" i="25"/>
  <c r="CA220" i="25" s="1"/>
  <c r="CB220" i="25" s="1"/>
  <c r="BL220" i="25"/>
  <c r="BK220" i="25"/>
  <c r="AA342" i="29"/>
  <c r="BL144" i="25"/>
  <c r="BY144" i="25"/>
  <c r="CA144" i="25" s="1"/>
  <c r="CB144" i="25" s="1"/>
  <c r="BK144" i="25"/>
  <c r="AA399" i="29"/>
  <c r="AJ398" i="29"/>
  <c r="AK398" i="29" s="1"/>
  <c r="AA359" i="29"/>
  <c r="AJ358" i="29"/>
  <c r="AK358" i="29" s="1"/>
  <c r="AA358" i="29"/>
  <c r="BY36" i="25"/>
  <c r="CA36" i="25" s="1"/>
  <c r="CB36" i="25" s="1"/>
  <c r="BL36" i="25"/>
  <c r="AA475" i="29"/>
  <c r="BL252" i="25"/>
  <c r="BY252" i="25"/>
  <c r="CA252" i="25" s="1"/>
  <c r="CB252" i="25" s="1"/>
  <c r="BK252" i="25"/>
  <c r="BY260" i="25"/>
  <c r="CA260" i="25" s="1"/>
  <c r="CB260" i="25" s="1"/>
  <c r="BL260" i="25"/>
  <c r="BK260" i="25"/>
  <c r="AJ396" i="29"/>
  <c r="AK396" i="29" s="1"/>
  <c r="AA397" i="29"/>
  <c r="BL69" i="25"/>
  <c r="BY69" i="25"/>
  <c r="CA69" i="25" s="1"/>
  <c r="CB69" i="25" s="1"/>
  <c r="BL194" i="25"/>
  <c r="BY194" i="25"/>
  <c r="CA194" i="25" s="1"/>
  <c r="BK194" i="25"/>
  <c r="BY187" i="25"/>
  <c r="CA187" i="25" s="1"/>
  <c r="CB187" i="25" s="1"/>
  <c r="BL187" i="25"/>
  <c r="BK187" i="25"/>
  <c r="BY234" i="25"/>
  <c r="CA234" i="25" s="1"/>
  <c r="CB234" i="25" s="1"/>
  <c r="BL234" i="25"/>
  <c r="BK234" i="25"/>
  <c r="AJ338" i="29"/>
  <c r="AK338" i="29" s="1"/>
  <c r="AA339" i="29"/>
  <c r="BL315" i="25"/>
  <c r="BY315" i="25"/>
  <c r="CA315" i="25" s="1"/>
  <c r="CB315" i="25" s="1"/>
  <c r="BK315" i="25"/>
  <c r="AA134" i="29"/>
  <c r="AJ27" i="29"/>
  <c r="AK27" i="29" s="1"/>
  <c r="AA28" i="29"/>
  <c r="AJ515" i="29"/>
  <c r="AK515" i="29" s="1"/>
  <c r="AA516" i="29"/>
  <c r="AJ386" i="29"/>
  <c r="AK386" i="29" s="1"/>
  <c r="AA387" i="29"/>
  <c r="BY278" i="25"/>
  <c r="CA278" i="25" s="1"/>
  <c r="CB278" i="25" s="1"/>
  <c r="BL278" i="25"/>
  <c r="BK278" i="25"/>
  <c r="BL130" i="25"/>
  <c r="BY130" i="25"/>
  <c r="CA130" i="25" s="1"/>
  <c r="BK130" i="25"/>
  <c r="AA125" i="29"/>
  <c r="AJ124" i="29"/>
  <c r="AK124" i="29" s="1"/>
  <c r="BY73" i="25"/>
  <c r="CA73" i="25" s="1"/>
  <c r="CB73" i="25" s="1"/>
  <c r="BL73" i="25"/>
  <c r="BL193" i="25"/>
  <c r="BY193" i="25"/>
  <c r="CA193" i="25" s="1"/>
  <c r="BK193" i="25"/>
  <c r="BL169" i="25"/>
  <c r="BY169" i="25"/>
  <c r="CA169" i="25" s="1"/>
  <c r="BK169" i="25"/>
  <c r="AJ613" i="29"/>
  <c r="AK613" i="29" s="1"/>
  <c r="AA613" i="29"/>
  <c r="AJ612" i="29"/>
  <c r="AK612" i="29" s="1"/>
  <c r="BY203" i="25"/>
  <c r="CA203" i="25" s="1"/>
  <c r="BL203" i="25"/>
  <c r="BK203" i="25"/>
  <c r="BL263" i="25"/>
  <c r="BY263" i="25"/>
  <c r="CA263" i="25" s="1"/>
  <c r="CB263" i="25" s="1"/>
  <c r="BK263" i="25"/>
  <c r="AA204" i="29"/>
  <c r="AJ203" i="29"/>
  <c r="AK203" i="29" s="1"/>
  <c r="AJ505" i="29"/>
  <c r="AK505" i="29" s="1"/>
  <c r="AA506" i="29"/>
  <c r="AJ560" i="29"/>
  <c r="AK560" i="29" s="1"/>
  <c r="AA561" i="29"/>
  <c r="AJ126" i="29"/>
  <c r="AA127" i="29"/>
  <c r="AA180" i="29"/>
  <c r="BL102" i="25"/>
  <c r="BY102" i="25"/>
  <c r="CA102" i="25" s="1"/>
  <c r="AJ243" i="29"/>
  <c r="AK243" i="29" s="1"/>
  <c r="AA244" i="29"/>
  <c r="AJ157" i="29"/>
  <c r="AK157" i="29" s="1"/>
  <c r="AA158" i="29"/>
  <c r="AJ80" i="29"/>
  <c r="AA81" i="29"/>
  <c r="BY245" i="25"/>
  <c r="CA245" i="25" s="1"/>
  <c r="CB245" i="25" s="1"/>
  <c r="BL245" i="25"/>
  <c r="BK245" i="25"/>
  <c r="AJ418" i="29"/>
  <c r="AK418" i="29" s="1"/>
  <c r="AA419" i="29"/>
  <c r="BL168" i="25"/>
  <c r="BY168" i="25"/>
  <c r="CA168" i="25" s="1"/>
  <c r="BK168" i="25"/>
  <c r="AJ593" i="29"/>
  <c r="AK593" i="29" s="1"/>
  <c r="AA594" i="29"/>
  <c r="BY122" i="25"/>
  <c r="CA122" i="25" s="1"/>
  <c r="CB122" i="25" s="1"/>
  <c r="BL122" i="25"/>
  <c r="BK122" i="25"/>
  <c r="BY209" i="25"/>
  <c r="CA209" i="25" s="1"/>
  <c r="BL209" i="25"/>
  <c r="BK209" i="25"/>
  <c r="AA572" i="29"/>
  <c r="AA39" i="29"/>
  <c r="AJ38" i="29"/>
  <c r="AK38" i="29" s="1"/>
  <c r="AJ237" i="29"/>
  <c r="AK237" i="29" s="1"/>
  <c r="AA238" i="29"/>
  <c r="AA560" i="29"/>
  <c r="AJ559" i="29"/>
  <c r="AK559" i="29" s="1"/>
  <c r="BL310" i="25"/>
  <c r="BY310" i="25"/>
  <c r="CA310" i="25" s="1"/>
  <c r="CB310" i="25" s="1"/>
  <c r="BK310" i="25"/>
  <c r="AA53" i="29"/>
  <c r="AJ275" i="29"/>
  <c r="AK275" i="29" s="1"/>
  <c r="AA276" i="29"/>
  <c r="AJ28" i="29"/>
  <c r="AK28" i="29" s="1"/>
  <c r="AA29" i="29"/>
  <c r="BY118" i="25"/>
  <c r="CA118" i="25" s="1"/>
  <c r="CB118" i="25" s="1"/>
  <c r="BL118" i="25"/>
  <c r="BK118" i="25"/>
  <c r="AA489" i="29"/>
  <c r="AJ488" i="29"/>
  <c r="AK488" i="29" s="1"/>
  <c r="AA33" i="29"/>
  <c r="AJ32" i="29"/>
  <c r="AK32" i="29" s="1"/>
  <c r="AA68" i="29"/>
  <c r="AJ67" i="29"/>
  <c r="AK67" i="29" s="1"/>
  <c r="AA146" i="29"/>
  <c r="AJ145" i="29"/>
  <c r="AK145" i="29" s="1"/>
  <c r="AA85" i="29"/>
  <c r="BY316" i="25"/>
  <c r="CA316" i="25" s="1"/>
  <c r="CB316" i="25" s="1"/>
  <c r="BL316" i="25"/>
  <c r="BK316" i="25"/>
  <c r="BL176" i="25"/>
  <c r="BY176" i="25"/>
  <c r="CA176" i="25" s="1"/>
  <c r="BK176" i="25"/>
  <c r="BY35" i="25"/>
  <c r="CA35" i="25" s="1"/>
  <c r="CB35" i="25" s="1"/>
  <c r="BL35" i="25"/>
  <c r="AA577" i="29"/>
  <c r="AJ576" i="29"/>
  <c r="AK576" i="29" s="1"/>
  <c r="AA402" i="29"/>
  <c r="BL98" i="25"/>
  <c r="BY98" i="25"/>
  <c r="CA98" i="25" s="1"/>
  <c r="AJ292" i="29"/>
  <c r="AK292" i="29" s="1"/>
  <c r="AA293" i="29"/>
  <c r="AJ577" i="29"/>
  <c r="AK577" i="29" s="1"/>
  <c r="AA578" i="29"/>
  <c r="AA272" i="29"/>
  <c r="AJ271" i="29"/>
  <c r="AK271" i="29" s="1"/>
  <c r="AJ302" i="29"/>
  <c r="AK302" i="29" s="1"/>
  <c r="AA303" i="29"/>
  <c r="BY256" i="25"/>
  <c r="CA256" i="25" s="1"/>
  <c r="CB256" i="25" s="1"/>
  <c r="BL256" i="25"/>
  <c r="BK256" i="25"/>
  <c r="AA499" i="29"/>
  <c r="AA257" i="29"/>
  <c r="AJ256" i="29"/>
  <c r="AK256" i="29" s="1"/>
  <c r="AJ391" i="29"/>
  <c r="AK391" i="29" s="1"/>
  <c r="AA392" i="29"/>
  <c r="AJ247" i="29"/>
  <c r="AK247" i="29" s="1"/>
  <c r="AA248" i="29"/>
  <c r="BL50" i="25"/>
  <c r="BY50" i="25"/>
  <c r="CA50" i="25" s="1"/>
  <c r="CB50" i="25" s="1"/>
  <c r="BL153" i="25"/>
  <c r="BY153" i="25"/>
  <c r="CA153" i="25" s="1"/>
  <c r="BK153" i="25"/>
  <c r="BL253" i="25"/>
  <c r="BY253" i="25"/>
  <c r="CA253" i="25" s="1"/>
  <c r="CB253" i="25" s="1"/>
  <c r="BK253" i="25"/>
  <c r="AJ230" i="29"/>
  <c r="AK230" i="29" s="1"/>
  <c r="AA231" i="29"/>
  <c r="AA558" i="29"/>
  <c r="AJ363" i="29"/>
  <c r="AK363" i="29" s="1"/>
  <c r="AA364" i="29"/>
  <c r="AJ128" i="29"/>
  <c r="AK128" i="29" s="1"/>
  <c r="AA129" i="29"/>
  <c r="BL272" i="25"/>
  <c r="BY272" i="25"/>
  <c r="CA272" i="25" s="1"/>
  <c r="CB272" i="25" s="1"/>
  <c r="BK272" i="25"/>
  <c r="AJ510" i="29"/>
  <c r="AK510" i="29" s="1"/>
  <c r="AA511" i="29"/>
  <c r="BL91" i="25"/>
  <c r="BY91" i="25"/>
  <c r="CA91" i="25" s="1"/>
  <c r="CB91" i="25" s="1"/>
  <c r="AA567" i="29"/>
  <c r="BY233" i="25"/>
  <c r="CA233" i="25" s="1"/>
  <c r="CB233" i="25" s="1"/>
  <c r="BL233" i="25"/>
  <c r="BK233" i="25"/>
  <c r="AA123" i="29"/>
  <c r="AJ582" i="29"/>
  <c r="AK582" i="29" s="1"/>
  <c r="AA583" i="29"/>
  <c r="BY270" i="25"/>
  <c r="CA270" i="25" s="1"/>
  <c r="CB270" i="25" s="1"/>
  <c r="BL270" i="25"/>
  <c r="BK270" i="25"/>
  <c r="AJ451" i="29"/>
  <c r="AK451" i="29" s="1"/>
  <c r="AA452" i="29"/>
  <c r="AA539" i="29"/>
  <c r="AJ538" i="29"/>
  <c r="AK538" i="29" s="1"/>
  <c r="BY22" i="25"/>
  <c r="CA22" i="25" s="1"/>
  <c r="BL22" i="25"/>
  <c r="BY56" i="25"/>
  <c r="CA56" i="25" s="1"/>
  <c r="BL56" i="25"/>
  <c r="AA102" i="29"/>
  <c r="AJ101" i="29"/>
  <c r="BY242" i="25"/>
  <c r="CA242" i="25" s="1"/>
  <c r="CB242" i="25" s="1"/>
  <c r="BL242" i="25"/>
  <c r="BK242" i="25"/>
  <c r="AA186" i="29"/>
  <c r="AA317" i="29"/>
  <c r="AJ316" i="29"/>
  <c r="AK316" i="29" s="1"/>
  <c r="AJ33" i="29"/>
  <c r="AK33" i="29" s="1"/>
  <c r="AA34" i="29"/>
  <c r="AA255" i="29"/>
  <c r="AA131" i="29"/>
  <c r="AA331" i="29"/>
  <c r="BL126" i="25"/>
  <c r="BY126" i="25"/>
  <c r="CA126" i="25" s="1"/>
  <c r="CB126" i="25" s="1"/>
  <c r="BK126" i="25"/>
  <c r="AA503" i="29"/>
  <c r="AA396" i="29"/>
  <c r="AJ395" i="29"/>
  <c r="AK395" i="29" s="1"/>
  <c r="BY10" i="25"/>
  <c r="CA10" i="25" s="1"/>
  <c r="BL10" i="25"/>
  <c r="AA274" i="29"/>
  <c r="AJ273" i="29"/>
  <c r="AK273" i="29" s="1"/>
  <c r="AJ71" i="29"/>
  <c r="AK71" i="29" s="1"/>
  <c r="AA72" i="29"/>
  <c r="AA138" i="29"/>
  <c r="BY33" i="25"/>
  <c r="CA33" i="25" s="1"/>
  <c r="CB33" i="25" s="1"/>
  <c r="BL33" i="25"/>
  <c r="AA73" i="29"/>
  <c r="AJ72" i="29"/>
  <c r="AK72" i="29" s="1"/>
  <c r="BY63" i="25"/>
  <c r="CA63" i="25" s="1"/>
  <c r="CB63" i="25" s="1"/>
  <c r="BL63" i="25"/>
  <c r="AA515" i="29"/>
  <c r="AJ231" i="29"/>
  <c r="AK231" i="29" s="1"/>
  <c r="AA232" i="29"/>
  <c r="AJ472" i="29"/>
  <c r="AK472" i="29" s="1"/>
  <c r="AA473" i="29"/>
  <c r="AA214" i="29"/>
  <c r="BY289" i="25"/>
  <c r="CA289" i="25" s="1"/>
  <c r="CB289" i="25" s="1"/>
  <c r="BL289" i="25"/>
  <c r="BK289" i="25"/>
  <c r="AJ236" i="29"/>
  <c r="AK236" i="29" s="1"/>
  <c r="AA237" i="29"/>
  <c r="BY239" i="25"/>
  <c r="CA239" i="25" s="1"/>
  <c r="CB239" i="25" s="1"/>
  <c r="BL239" i="25"/>
  <c r="BK239" i="25"/>
  <c r="BL231" i="25"/>
  <c r="BY231" i="25"/>
  <c r="CA231" i="25" s="1"/>
  <c r="CB231" i="25" s="1"/>
  <c r="BK231" i="25"/>
  <c r="AJ180" i="29"/>
  <c r="AK180" i="29" s="1"/>
  <c r="AA181" i="29"/>
  <c r="BY44" i="25"/>
  <c r="CA44" i="25" s="1"/>
  <c r="CB44" i="25" s="1"/>
  <c r="BL44" i="25"/>
  <c r="AA329" i="29"/>
  <c r="AJ328" i="29"/>
  <c r="AK328" i="29" s="1"/>
  <c r="AJ484" i="29"/>
  <c r="AK484" i="29" s="1"/>
  <c r="AA485" i="29"/>
  <c r="AJ318" i="29"/>
  <c r="AK318" i="29" s="1"/>
  <c r="AA319" i="29"/>
  <c r="AJ552" i="29"/>
  <c r="AK552" i="29" s="1"/>
  <c r="AA553" i="29"/>
  <c r="BY76" i="25"/>
  <c r="CA76" i="25" s="1"/>
  <c r="CB76" i="25" s="1"/>
  <c r="BL76" i="25"/>
  <c r="AJ331" i="29"/>
  <c r="AK331" i="29" s="1"/>
  <c r="AA332" i="29"/>
  <c r="BL157" i="25"/>
  <c r="BY157" i="25"/>
  <c r="CA157" i="25" s="1"/>
  <c r="CB157" i="25" s="1"/>
  <c r="BK157" i="25"/>
  <c r="AA451" i="29"/>
  <c r="AJ436" i="29"/>
  <c r="AK436" i="29" s="1"/>
  <c r="AA437" i="29"/>
  <c r="BL8" i="25"/>
  <c r="BY8" i="25"/>
  <c r="CA8" i="25" s="1"/>
  <c r="CB8" i="25" s="1"/>
  <c r="BL281" i="25"/>
  <c r="BY281" i="25"/>
  <c r="CA281" i="25" s="1"/>
  <c r="CB281" i="25" s="1"/>
  <c r="BK281" i="25"/>
  <c r="BY79" i="25"/>
  <c r="CA79" i="25" s="1"/>
  <c r="BL79" i="25"/>
  <c r="AA267" i="29"/>
  <c r="AJ266" i="29"/>
  <c r="AK266" i="29" s="1"/>
  <c r="BL271" i="25"/>
  <c r="BY271" i="25"/>
  <c r="CA271" i="25" s="1"/>
  <c r="CB271" i="25" s="1"/>
  <c r="BK271" i="25"/>
  <c r="AJ246" i="29"/>
  <c r="AK246" i="29" s="1"/>
  <c r="AA247" i="29"/>
  <c r="AA407" i="29"/>
  <c r="BY226" i="25"/>
  <c r="CA226" i="25" s="1"/>
  <c r="CB226" i="25" s="1"/>
  <c r="BL226" i="25"/>
  <c r="BK226" i="25"/>
  <c r="AA454" i="29"/>
  <c r="AJ453" i="29"/>
  <c r="AK453" i="29" s="1"/>
  <c r="BY55" i="25"/>
  <c r="CA55" i="25" s="1"/>
  <c r="BL55" i="25"/>
  <c r="BY241" i="25"/>
  <c r="CA241" i="25" s="1"/>
  <c r="CB241" i="25" s="1"/>
  <c r="BL241" i="25"/>
  <c r="BK241" i="25"/>
  <c r="BY88" i="25"/>
  <c r="CA88" i="25" s="1"/>
  <c r="BL88" i="25"/>
  <c r="AA285" i="29"/>
  <c r="AJ284" i="29"/>
  <c r="AK284" i="29" s="1"/>
  <c r="BY51" i="25"/>
  <c r="CA51" i="25" s="1"/>
  <c r="CB51" i="25" s="1"/>
  <c r="BL51" i="25"/>
  <c r="AJ589" i="29"/>
  <c r="AK589" i="29" s="1"/>
  <c r="AA590" i="29"/>
  <c r="AA217" i="29"/>
  <c r="BL208" i="25"/>
  <c r="BY208" i="25"/>
  <c r="CA208" i="25" s="1"/>
  <c r="BK208" i="25"/>
  <c r="AA586" i="29"/>
  <c r="BY205" i="25"/>
  <c r="CA205" i="25" s="1"/>
  <c r="BL205" i="25"/>
  <c r="BK205" i="25"/>
  <c r="AA413" i="29"/>
  <c r="AA294" i="29"/>
  <c r="AJ293" i="29"/>
  <c r="AK293" i="29" s="1"/>
  <c r="BY9" i="25"/>
  <c r="CA9" i="25" s="1"/>
  <c r="CB9" i="25" s="1"/>
  <c r="BL9" i="25"/>
  <c r="AA476" i="29"/>
  <c r="AJ475" i="29"/>
  <c r="AK475" i="29" s="1"/>
  <c r="AA438" i="29"/>
  <c r="AJ437" i="29"/>
  <c r="AK437" i="29" s="1"/>
  <c r="BL228" i="25"/>
  <c r="BY228" i="25"/>
  <c r="CA228" i="25" s="1"/>
  <c r="CB228" i="25" s="1"/>
  <c r="BK228" i="25"/>
  <c r="AJ205" i="29"/>
  <c r="AK205" i="29" s="1"/>
  <c r="AA206" i="29"/>
  <c r="AJ607" i="29"/>
  <c r="AK607" i="29" s="1"/>
  <c r="AA608" i="29"/>
  <c r="AJ39" i="29"/>
  <c r="AK39" i="29" s="1"/>
  <c r="AA40" i="29"/>
  <c r="BY264" i="25"/>
  <c r="CA264" i="25" s="1"/>
  <c r="CB264" i="25" s="1"/>
  <c r="BL264" i="25"/>
  <c r="BK264" i="25"/>
  <c r="AJ486" i="29"/>
  <c r="AK486" i="29" s="1"/>
  <c r="AA487" i="29"/>
  <c r="AA535" i="29"/>
  <c r="AJ534" i="29"/>
  <c r="AK534" i="29" s="1"/>
  <c r="BY200" i="25"/>
  <c r="CA200" i="25" s="1"/>
  <c r="BL200" i="25"/>
  <c r="BK200" i="25"/>
  <c r="AA408" i="29"/>
  <c r="AJ407" i="29"/>
  <c r="AK407" i="29" s="1"/>
  <c r="BL162" i="25"/>
  <c r="BY162" i="25"/>
  <c r="CA162" i="25" s="1"/>
  <c r="BK162" i="25"/>
  <c r="BY84" i="25"/>
  <c r="CA84" i="25" s="1"/>
  <c r="CB84" i="25" s="1"/>
  <c r="BL84" i="25"/>
  <c r="AA471" i="29"/>
  <c r="AJ470" i="29"/>
  <c r="AK470" i="29" s="1"/>
  <c r="AA236" i="29"/>
  <c r="AJ235" i="29"/>
  <c r="AK235" i="29" s="1"/>
  <c r="BY254" i="25"/>
  <c r="CA254" i="25" s="1"/>
  <c r="CB254" i="25" s="1"/>
  <c r="BL254" i="25"/>
  <c r="BK254" i="25"/>
  <c r="BL185" i="25"/>
  <c r="BY185" i="25"/>
  <c r="CA185" i="25" s="1"/>
  <c r="BK185" i="25"/>
  <c r="BY48" i="25"/>
  <c r="CA48" i="25" s="1"/>
  <c r="CB48" i="25" s="1"/>
  <c r="BL48" i="25"/>
  <c r="AA97" i="29"/>
  <c r="AJ96" i="29"/>
  <c r="AK96" i="29" s="1"/>
  <c r="AA271" i="29"/>
  <c r="BL26" i="25"/>
  <c r="BY26" i="25"/>
  <c r="CA26" i="25" s="1"/>
  <c r="CB26" i="25" s="1"/>
  <c r="AA279" i="29"/>
  <c r="BL27" i="25"/>
  <c r="BY27" i="25"/>
  <c r="CA27" i="25" s="1"/>
  <c r="BL301" i="25"/>
  <c r="BY301" i="25"/>
  <c r="CA301" i="25" s="1"/>
  <c r="CB301" i="25" s="1"/>
  <c r="BK301" i="25"/>
  <c r="BY303" i="25"/>
  <c r="CA303" i="25" s="1"/>
  <c r="CB303" i="25" s="1"/>
  <c r="BL303" i="25"/>
  <c r="BK303" i="25"/>
  <c r="AA141" i="29"/>
  <c r="BL287" i="25"/>
  <c r="BY287" i="25"/>
  <c r="CA287" i="25" s="1"/>
  <c r="CB287" i="25" s="1"/>
  <c r="BK287" i="25"/>
  <c r="AJ135" i="29"/>
  <c r="AK135" i="29" s="1"/>
  <c r="AA136" i="29"/>
  <c r="AJ298" i="29"/>
  <c r="AK298" i="29" s="1"/>
  <c r="AA299" i="29"/>
  <c r="BL136" i="25"/>
  <c r="BY136" i="25"/>
  <c r="CA136" i="25" s="1"/>
  <c r="CB136" i="25" s="1"/>
  <c r="BK136" i="25"/>
  <c r="AA352" i="29"/>
  <c r="AJ468" i="29"/>
  <c r="AK468" i="29" s="1"/>
  <c r="AA469" i="29"/>
  <c r="AJ282" i="29"/>
  <c r="AK282" i="29" s="1"/>
  <c r="AA283" i="29"/>
  <c r="AA512" i="29"/>
  <c r="AJ511" i="29"/>
  <c r="AK511" i="29" s="1"/>
  <c r="BY38" i="25"/>
  <c r="CA38" i="25" s="1"/>
  <c r="CB38" i="25" s="1"/>
  <c r="BL38" i="25"/>
  <c r="BY16" i="25"/>
  <c r="CA16" i="25" s="1"/>
  <c r="CB16" i="25" s="1"/>
  <c r="BL16" i="25"/>
  <c r="BY181" i="25"/>
  <c r="CA181" i="25" s="1"/>
  <c r="BL181" i="25"/>
  <c r="BK181" i="25"/>
  <c r="AJ487" i="29"/>
  <c r="AK487" i="29" s="1"/>
  <c r="AA488" i="29"/>
  <c r="AA220" i="29"/>
  <c r="BY172" i="25"/>
  <c r="CA172" i="25" s="1"/>
  <c r="BL172" i="25"/>
  <c r="BK172" i="25"/>
  <c r="AA449" i="29"/>
  <c r="AA534" i="29"/>
  <c r="BY100" i="25"/>
  <c r="CA100" i="25" s="1"/>
  <c r="CB100" i="25" s="1"/>
  <c r="BL100" i="25"/>
  <c r="AJ286" i="29"/>
  <c r="AK286" i="29" s="1"/>
  <c r="AA287" i="29"/>
  <c r="AA390" i="29"/>
  <c r="AJ389" i="29"/>
  <c r="AK389" i="29" s="1"/>
  <c r="AJ563" i="29"/>
  <c r="AK563" i="29" s="1"/>
  <c r="AA564" i="29"/>
  <c r="BY134" i="25"/>
  <c r="CA134" i="25" s="1"/>
  <c r="CB134" i="25" s="1"/>
  <c r="BL134" i="25"/>
  <c r="BK134" i="25"/>
  <c r="AA443" i="29"/>
  <c r="AJ442" i="29"/>
  <c r="AK442" i="29" s="1"/>
  <c r="AA374" i="29"/>
  <c r="AJ100" i="29"/>
  <c r="AK100" i="29" s="1"/>
  <c r="AA101" i="29"/>
  <c r="AJ248" i="29"/>
  <c r="AK248" i="29" s="1"/>
  <c r="AA249" i="29"/>
  <c r="AA551" i="29"/>
  <c r="AJ550" i="29"/>
  <c r="AK550" i="29" s="1"/>
  <c r="AA161" i="29"/>
  <c r="AJ160" i="29"/>
  <c r="AK160" i="29" s="1"/>
  <c r="AA501" i="29"/>
  <c r="AJ500" i="29"/>
  <c r="AK500" i="29" s="1"/>
  <c r="BL160" i="25"/>
  <c r="BY160" i="25"/>
  <c r="CA160" i="25" s="1"/>
  <c r="BK160" i="25"/>
  <c r="AA344" i="29"/>
  <c r="AJ385" i="29"/>
  <c r="AK385" i="29" s="1"/>
  <c r="AA386" i="29"/>
  <c r="AA17" i="29"/>
  <c r="AJ16" i="29"/>
  <c r="AK16" i="29" s="1"/>
  <c r="BY308" i="25"/>
  <c r="CA308" i="25" s="1"/>
  <c r="CB308" i="25" s="1"/>
  <c r="BL308" i="25"/>
  <c r="BK308" i="25"/>
  <c r="BY135" i="25"/>
  <c r="CA135" i="25" s="1"/>
  <c r="BL135" i="25"/>
  <c r="BK135" i="25"/>
  <c r="AA151" i="29"/>
  <c r="AA570" i="29"/>
  <c r="AJ569" i="29"/>
  <c r="AK569" i="29" s="1"/>
  <c r="AA446" i="29"/>
  <c r="AJ445" i="29"/>
  <c r="AK445" i="29" s="1"/>
  <c r="BY309" i="25"/>
  <c r="CA309" i="25" s="1"/>
  <c r="CB309" i="25" s="1"/>
  <c r="BL309" i="25"/>
  <c r="BK309" i="25"/>
  <c r="BL74" i="25"/>
  <c r="BY74" i="25"/>
  <c r="CA74" i="25" s="1"/>
  <c r="AJ259" i="29"/>
  <c r="AK259" i="29" s="1"/>
  <c r="AA260" i="29"/>
  <c r="AA555" i="29"/>
  <c r="AJ554" i="29"/>
  <c r="AK554" i="29" s="1"/>
  <c r="AA316" i="29"/>
  <c r="AA532" i="29"/>
  <c r="AJ87" i="29"/>
  <c r="AK87" i="29" s="1"/>
  <c r="AA88" i="29"/>
  <c r="AA468" i="29"/>
  <c r="AJ467" i="29"/>
  <c r="AK467" i="29" s="1"/>
  <c r="BY216" i="25"/>
  <c r="CA216" i="25" s="1"/>
  <c r="CB216" i="25" s="1"/>
  <c r="BL216" i="25"/>
  <c r="BK216" i="25"/>
  <c r="AA103" i="29"/>
  <c r="AJ102" i="29"/>
  <c r="AK102" i="29" s="1"/>
  <c r="AA44" i="29"/>
  <c r="AJ43" i="29"/>
  <c r="AK43" i="29" s="1"/>
  <c r="BL123" i="25"/>
  <c r="BY123" i="25"/>
  <c r="CA123" i="25" s="1"/>
  <c r="CB123" i="25" s="1"/>
  <c r="BK123" i="25"/>
  <c r="AA328" i="29"/>
  <c r="AJ327" i="29"/>
  <c r="AK327" i="29" s="1"/>
  <c r="AJ537" i="29"/>
  <c r="AK537" i="29" s="1"/>
  <c r="AA538" i="29"/>
  <c r="AA269" i="29"/>
  <c r="AJ268" i="29"/>
  <c r="AK268" i="29" s="1"/>
  <c r="AA420" i="29"/>
  <c r="AJ419" i="29"/>
  <c r="AK419" i="29" s="1"/>
  <c r="BY244" i="25"/>
  <c r="CA244" i="25" s="1"/>
  <c r="CB244" i="25" s="1"/>
  <c r="BL244" i="25"/>
  <c r="BK244" i="25"/>
  <c r="BL236" i="25"/>
  <c r="BY236" i="25"/>
  <c r="CA236" i="25" s="1"/>
  <c r="CB236" i="25" s="1"/>
  <c r="BK236" i="25"/>
  <c r="AJ366" i="29"/>
  <c r="AK366" i="29" s="1"/>
  <c r="AA367" i="29"/>
  <c r="BY279" i="25"/>
  <c r="CA279" i="25" s="1"/>
  <c r="CB279" i="25" s="1"/>
  <c r="BL279" i="25"/>
  <c r="BK279" i="25"/>
  <c r="AJ144" i="29"/>
  <c r="AK144" i="29" s="1"/>
  <c r="AA145" i="29"/>
  <c r="AA327" i="29"/>
  <c r="AA174" i="29"/>
  <c r="AJ173" i="29"/>
  <c r="AK173" i="29" s="1"/>
  <c r="BY61" i="25"/>
  <c r="CA61" i="25" s="1"/>
  <c r="CB61" i="25" s="1"/>
  <c r="BL61" i="25"/>
  <c r="BY49" i="25"/>
  <c r="CA49" i="25" s="1"/>
  <c r="CB49" i="25" s="1"/>
  <c r="BL49" i="25"/>
  <c r="AA436" i="29"/>
  <c r="AJ435" i="29"/>
  <c r="AK435" i="29" s="1"/>
  <c r="AJ455" i="29"/>
  <c r="AK455" i="29" s="1"/>
  <c r="AA456" i="29"/>
  <c r="AJ172" i="29"/>
  <c r="AK172" i="29" s="1"/>
  <c r="AA173" i="29"/>
  <c r="BY266" i="25"/>
  <c r="CA266" i="25" s="1"/>
  <c r="CB266" i="25" s="1"/>
  <c r="BL266" i="25"/>
  <c r="BK266" i="25"/>
  <c r="BY159" i="25"/>
  <c r="CA159" i="25" s="1"/>
  <c r="BL159" i="25"/>
  <c r="BK159" i="25"/>
  <c r="AJ456" i="29"/>
  <c r="AK456" i="29" s="1"/>
  <c r="AA457" i="29"/>
  <c r="AA423" i="29"/>
  <c r="AJ454" i="29"/>
  <c r="AK454" i="29" s="1"/>
  <c r="AA455" i="29"/>
  <c r="AA609" i="29"/>
  <c r="AJ608" i="29"/>
  <c r="AK608" i="29" s="1"/>
  <c r="AJ85" i="29"/>
  <c r="AK85" i="29" s="1"/>
  <c r="AA86" i="29"/>
  <c r="BL297" i="25"/>
  <c r="BY297" i="25"/>
  <c r="CA297" i="25" s="1"/>
  <c r="CB297" i="25" s="1"/>
  <c r="BK297" i="25"/>
  <c r="AJ394" i="29"/>
  <c r="AK394" i="29" s="1"/>
  <c r="AA395" i="29"/>
  <c r="AA143" i="29"/>
  <c r="AJ605" i="29"/>
  <c r="AK605" i="29" s="1"/>
  <c r="AA606" i="29"/>
  <c r="BY141" i="25"/>
  <c r="CA141" i="25" s="1"/>
  <c r="CB141" i="25" s="1"/>
  <c r="BL141" i="25"/>
  <c r="BK141" i="25"/>
  <c r="BY19" i="25"/>
  <c r="CA19" i="25" s="1"/>
  <c r="CB19" i="25" s="1"/>
  <c r="BL19" i="25"/>
  <c r="AJ367" i="29"/>
  <c r="AK367" i="29" s="1"/>
  <c r="AA368" i="29"/>
  <c r="AA388" i="29"/>
  <c r="AJ387" i="29"/>
  <c r="AK387" i="29" s="1"/>
  <c r="AA194" i="29"/>
  <c r="AJ193" i="29"/>
  <c r="AK193" i="29" s="1"/>
  <c r="AA385" i="29"/>
  <c r="AJ384" i="29"/>
  <c r="AK384" i="29" s="1"/>
  <c r="AA61" i="29"/>
  <c r="AJ60" i="29"/>
  <c r="AK60" i="29" s="1"/>
  <c r="AJ553" i="29"/>
  <c r="AK553" i="29" s="1"/>
  <c r="AA554" i="29"/>
  <c r="AA155" i="29"/>
  <c r="BY197" i="25"/>
  <c r="CA197" i="25" s="1"/>
  <c r="CB197" i="25" s="1"/>
  <c r="BL197" i="25"/>
  <c r="BK197" i="25"/>
  <c r="BY268" i="25"/>
  <c r="CA268" i="25" s="1"/>
  <c r="CB268" i="25" s="1"/>
  <c r="BL268" i="25"/>
  <c r="BK268" i="25"/>
  <c r="BY137" i="25"/>
  <c r="CA137" i="25" s="1"/>
  <c r="CB137" i="25" s="1"/>
  <c r="BL137" i="25"/>
  <c r="BK137" i="25"/>
  <c r="AJ344" i="29"/>
  <c r="AK344" i="29" s="1"/>
  <c r="AA345" i="29"/>
  <c r="BY57" i="25"/>
  <c r="CA57" i="25" s="1"/>
  <c r="BL57" i="25"/>
  <c r="BL218" i="25"/>
  <c r="BY218" i="25"/>
  <c r="CA218" i="25" s="1"/>
  <c r="CB218" i="25" s="1"/>
  <c r="BK218" i="25"/>
  <c r="AA376" i="29"/>
  <c r="AA71" i="29"/>
  <c r="AA504" i="29"/>
  <c r="AJ503" i="29"/>
  <c r="AK503" i="29" s="1"/>
  <c r="AJ540" i="29"/>
  <c r="AK540" i="29" s="1"/>
  <c r="AA541" i="29"/>
  <c r="BY165" i="25"/>
  <c r="CA165" i="25" s="1"/>
  <c r="BL165" i="25"/>
  <c r="BK165" i="25"/>
  <c r="AA394" i="29"/>
  <c r="AJ393" i="29"/>
  <c r="AK393" i="29" s="1"/>
  <c r="AA14" i="29"/>
  <c r="AA478" i="29"/>
  <c r="AJ477" i="29"/>
  <c r="AK477" i="29" s="1"/>
  <c r="BL285" i="25"/>
  <c r="BY285" i="25"/>
  <c r="CA285" i="25" s="1"/>
  <c r="CB285" i="25" s="1"/>
  <c r="BK285" i="25"/>
  <c r="AA464" i="29"/>
  <c r="AA349" i="29"/>
  <c r="BY145" i="25"/>
  <c r="CA145" i="25" s="1"/>
  <c r="CB145" i="25" s="1"/>
  <c r="BL145" i="25"/>
  <c r="BK145" i="25"/>
  <c r="AJ578" i="29"/>
  <c r="AK578" i="29" s="1"/>
  <c r="AA579" i="29"/>
  <c r="AA563" i="29"/>
  <c r="AA191" i="29"/>
  <c r="AJ190" i="29"/>
  <c r="AK190" i="29" s="1"/>
  <c r="AA414" i="29"/>
  <c r="AJ413" i="29"/>
  <c r="AK413" i="29" s="1"/>
  <c r="AJ103" i="29"/>
  <c r="AK103" i="29" s="1"/>
  <c r="AA104" i="29"/>
  <c r="AJ361" i="29"/>
  <c r="AK361" i="29" s="1"/>
  <c r="AA362" i="29"/>
  <c r="BY302" i="25"/>
  <c r="CA302" i="25" s="1"/>
  <c r="CB302" i="25" s="1"/>
  <c r="BL302" i="25"/>
  <c r="BK302" i="25"/>
  <c r="AA16" i="29"/>
  <c r="AA262" i="29"/>
  <c r="AA494" i="29"/>
  <c r="BY86" i="25"/>
  <c r="CA86" i="25" s="1"/>
  <c r="BL86" i="25"/>
  <c r="BL93" i="25"/>
  <c r="BY93" i="25"/>
  <c r="CA93" i="25" s="1"/>
  <c r="CB93" i="25" s="1"/>
  <c r="BY116" i="25"/>
  <c r="CA116" i="25" s="1"/>
  <c r="BL116" i="25"/>
  <c r="BK116" i="25"/>
  <c r="AA265" i="29"/>
  <c r="AJ264" i="29"/>
  <c r="AK264" i="29" s="1"/>
  <c r="AA182" i="29"/>
  <c r="AJ181" i="29"/>
  <c r="AK181" i="29" s="1"/>
  <c r="AJ29" i="29"/>
  <c r="AK29" i="29" s="1"/>
  <c r="AA30" i="29"/>
  <c r="AA76" i="29"/>
  <c r="AA549" i="29"/>
  <c r="AJ548" i="29"/>
  <c r="AK548" i="29" s="1"/>
  <c r="AA459" i="29"/>
  <c r="AJ458" i="29"/>
  <c r="AK458" i="29" s="1"/>
  <c r="AA78" i="29"/>
  <c r="AJ77" i="29"/>
  <c r="AK77" i="29" s="1"/>
  <c r="BY210" i="25"/>
  <c r="CA210" i="25" s="1"/>
  <c r="BL210" i="25"/>
  <c r="BK210" i="25"/>
  <c r="BL224" i="25"/>
  <c r="BY224" i="25"/>
  <c r="CA224" i="25" s="1"/>
  <c r="CB224" i="25" s="1"/>
  <c r="BK224" i="25"/>
  <c r="AJ461" i="29"/>
  <c r="AK461" i="29" s="1"/>
  <c r="AA462" i="29"/>
  <c r="BY312" i="25"/>
  <c r="CA312" i="25" s="1"/>
  <c r="CB312" i="25" s="1"/>
  <c r="BL312" i="25"/>
  <c r="BK312" i="25"/>
  <c r="AJ376" i="29"/>
  <c r="AK376" i="29" s="1"/>
  <c r="AA377" i="29"/>
  <c r="AJ195" i="29"/>
  <c r="AK195" i="29" s="1"/>
  <c r="AA196" i="29"/>
  <c r="BL99" i="25"/>
  <c r="BY99" i="25"/>
  <c r="CA99" i="25" s="1"/>
  <c r="CB99" i="25" s="1"/>
  <c r="AA550" i="29"/>
  <c r="AJ549" i="29"/>
  <c r="AK549" i="29" s="1"/>
  <c r="AA209" i="29"/>
  <c r="AJ208" i="29"/>
  <c r="AK208" i="29" s="1"/>
  <c r="AA295" i="29"/>
  <c r="AJ294" i="29"/>
  <c r="AK294" i="29" s="1"/>
  <c r="AJ226" i="29"/>
  <c r="AK226" i="29" s="1"/>
  <c r="AA227" i="29"/>
  <c r="AA27" i="29"/>
  <c r="AA601" i="29"/>
  <c r="AJ600" i="29"/>
  <c r="AK600" i="29" s="1"/>
  <c r="AA273" i="29"/>
  <c r="AJ272" i="29"/>
  <c r="AK272" i="29" s="1"/>
  <c r="AA426" i="29"/>
  <c r="AJ425" i="29"/>
  <c r="AK425" i="29" s="1"/>
  <c r="BL128" i="25"/>
  <c r="BY128" i="25"/>
  <c r="CA128" i="25" s="1"/>
  <c r="CB128" i="25" s="1"/>
  <c r="BK128" i="25"/>
  <c r="BY15" i="25"/>
  <c r="CA15" i="25" s="1"/>
  <c r="CB15" i="25" s="1"/>
  <c r="BL15" i="25"/>
  <c r="AA74" i="29"/>
  <c r="AJ73" i="29"/>
  <c r="AK73" i="29" s="1"/>
  <c r="BY64" i="25"/>
  <c r="CA64" i="25" s="1"/>
  <c r="BL64" i="25"/>
  <c r="AA176" i="29"/>
  <c r="AJ175" i="29"/>
  <c r="AK175" i="29" s="1"/>
  <c r="AA346" i="29"/>
  <c r="AJ345" i="29"/>
  <c r="AK345" i="29" s="1"/>
  <c r="BL60" i="25"/>
  <c r="BY60" i="25"/>
  <c r="CA60" i="25" s="1"/>
  <c r="AJ267" i="29"/>
  <c r="AK267" i="29" s="1"/>
  <c r="AA268" i="29"/>
  <c r="BY151" i="25"/>
  <c r="CA151" i="25" s="1"/>
  <c r="BL151" i="25"/>
  <c r="BK151" i="25"/>
  <c r="AJ111" i="29"/>
  <c r="AK111" i="29" s="1"/>
  <c r="AA112" i="29"/>
  <c r="AA415" i="29"/>
  <c r="AJ414" i="29"/>
  <c r="AK414" i="29" s="1"/>
  <c r="AA482" i="29"/>
  <c r="AJ481" i="29"/>
  <c r="AK481" i="29" s="1"/>
  <c r="AJ65" i="29"/>
  <c r="AK65" i="29" s="1"/>
  <c r="AA66" i="29"/>
  <c r="AA35" i="29"/>
  <c r="AJ34" i="29"/>
  <c r="AK34" i="29" s="1"/>
  <c r="AJ287" i="29"/>
  <c r="AK287" i="29" s="1"/>
  <c r="AA288" i="29"/>
  <c r="AA337" i="29"/>
  <c r="AA442" i="29"/>
  <c r="AA188" i="29"/>
  <c r="BY290" i="25"/>
  <c r="CA290" i="25" s="1"/>
  <c r="CB290" i="25" s="1"/>
  <c r="BL290" i="25"/>
  <c r="BK290" i="25"/>
  <c r="AG585" i="29"/>
  <c r="W585" i="29"/>
  <c r="AJ585" i="29" s="1"/>
  <c r="AK585" i="29" s="1"/>
  <c r="BY195" i="25"/>
  <c r="CA195" i="25" s="1"/>
  <c r="CB195" i="25" s="1"/>
  <c r="BL195" i="25"/>
  <c r="BK195" i="25"/>
  <c r="AA192" i="29"/>
  <c r="AJ191" i="29"/>
  <c r="AK191" i="29" s="1"/>
  <c r="AJ143" i="29"/>
  <c r="AK143" i="29" s="1"/>
  <c r="AA144" i="29"/>
  <c r="AJ167" i="29"/>
  <c r="AK167" i="29" s="1"/>
  <c r="AA168" i="29"/>
  <c r="AA243" i="29"/>
  <c r="AJ281" i="29"/>
  <c r="AK281" i="29" s="1"/>
  <c r="AA282" i="29"/>
  <c r="AJ599" i="29"/>
  <c r="AK599" i="29" s="1"/>
  <c r="AA600" i="29"/>
  <c r="AA354" i="29"/>
  <c r="AJ551" i="29"/>
  <c r="AK551" i="29" s="1"/>
  <c r="AA552" i="29"/>
  <c r="AA537" i="29"/>
  <c r="AJ536" i="29"/>
  <c r="AK536" i="29" s="1"/>
  <c r="BY121" i="25"/>
  <c r="CA121" i="25" s="1"/>
  <c r="BL121" i="25"/>
  <c r="BK121" i="25"/>
  <c r="AA54" i="29"/>
  <c r="AJ53" i="29"/>
  <c r="AK53" i="29" s="1"/>
  <c r="AJ388" i="29"/>
  <c r="AK388" i="29" s="1"/>
  <c r="AA389" i="29"/>
  <c r="AA302" i="29"/>
  <c r="AA612" i="29"/>
  <c r="AJ611" i="29"/>
  <c r="AK611" i="29" s="1"/>
  <c r="BY182" i="25"/>
  <c r="CA182" i="25" s="1"/>
  <c r="BL182" i="25"/>
  <c r="BK182" i="25"/>
  <c r="AA21" i="29"/>
  <c r="AJ20" i="29"/>
  <c r="AK20" i="29" s="1"/>
  <c r="AA45" i="29"/>
  <c r="AJ44" i="29"/>
  <c r="AA256" i="29"/>
  <c r="AJ255" i="29"/>
  <c r="AK255" i="29" s="1"/>
  <c r="AJ59" i="29"/>
  <c r="AK59" i="29" s="1"/>
  <c r="AA60" i="29"/>
  <c r="BY227" i="25"/>
  <c r="CA227" i="25" s="1"/>
  <c r="CB227" i="25" s="1"/>
  <c r="BL227" i="25"/>
  <c r="BK227" i="25"/>
  <c r="AJ295" i="29"/>
  <c r="AK295" i="29" s="1"/>
  <c r="AA296" i="29"/>
  <c r="BY269" i="25"/>
  <c r="CA269" i="25" s="1"/>
  <c r="CB269" i="25" s="1"/>
  <c r="BL269" i="25"/>
  <c r="BK269" i="25"/>
  <c r="AA589" i="29"/>
  <c r="AA298" i="29"/>
  <c r="AJ95" i="29"/>
  <c r="AK95" i="29" s="1"/>
  <c r="AA96" i="29"/>
  <c r="BL112" i="25"/>
  <c r="BY112" i="25"/>
  <c r="CA112" i="25" s="1"/>
  <c r="BK112" i="25"/>
  <c r="AA175" i="29"/>
  <c r="AJ174" i="29"/>
  <c r="AK174" i="29" s="1"/>
  <c r="AA178" i="29"/>
  <c r="BL304" i="25"/>
  <c r="BY304" i="25"/>
  <c r="CA304" i="25" s="1"/>
  <c r="CB304" i="25" s="1"/>
  <c r="BK304" i="25"/>
  <c r="AA370" i="29"/>
  <c r="BY307" i="25"/>
  <c r="CA307" i="25" s="1"/>
  <c r="CB307" i="25" s="1"/>
  <c r="BL307" i="25"/>
  <c r="BK307" i="25"/>
  <c r="BY230" i="25"/>
  <c r="CA230" i="25" s="1"/>
  <c r="CB230" i="25" s="1"/>
  <c r="BL230" i="25"/>
  <c r="BK230" i="25"/>
  <c r="AA518" i="29"/>
  <c r="AJ517" i="29"/>
  <c r="AK517" i="29" s="1"/>
  <c r="AA20" i="29"/>
  <c r="BY274" i="25"/>
  <c r="CA274" i="25" s="1"/>
  <c r="CB274" i="25" s="1"/>
  <c r="BL274" i="25"/>
  <c r="BK274" i="25"/>
  <c r="AA24" i="29"/>
  <c r="AA258" i="29"/>
  <c r="AJ257" i="29"/>
  <c r="AK257" i="29" s="1"/>
  <c r="AA159" i="29"/>
  <c r="AJ158" i="29"/>
  <c r="AK158" i="29" s="1"/>
  <c r="BY295" i="25"/>
  <c r="CA295" i="25" s="1"/>
  <c r="CB295" i="25" s="1"/>
  <c r="BL295" i="25"/>
  <c r="BK295" i="25"/>
  <c r="AA479" i="29"/>
  <c r="AJ478" i="29"/>
  <c r="AK478" i="29" s="1"/>
  <c r="AA477" i="29"/>
  <c r="AJ476" i="29"/>
  <c r="AK476" i="29" s="1"/>
  <c r="AA333" i="29"/>
  <c r="AJ332" i="29"/>
  <c r="AK332" i="29" s="1"/>
  <c r="BL184" i="25"/>
  <c r="BY184" i="25"/>
  <c r="CA184" i="25" s="1"/>
  <c r="BK184" i="25"/>
  <c r="AA281" i="29"/>
  <c r="AJ50" i="29"/>
  <c r="AK50" i="29" s="1"/>
  <c r="AA51" i="29"/>
  <c r="BY120" i="25"/>
  <c r="CA120" i="25" s="1"/>
  <c r="CB120" i="25" s="1"/>
  <c r="BL120" i="25"/>
  <c r="BK120" i="25"/>
  <c r="AA545" i="29"/>
  <c r="AJ544" i="29"/>
  <c r="AK544" i="29" s="1"/>
  <c r="AA323" i="29"/>
  <c r="BY25" i="25"/>
  <c r="CA25" i="25" s="1"/>
  <c r="CB25" i="25" s="1"/>
  <c r="BL25" i="25"/>
  <c r="AA559" i="29"/>
  <c r="AJ558" i="29"/>
  <c r="AK558" i="29" s="1"/>
  <c r="BY115" i="25"/>
  <c r="CA115" i="25" s="1"/>
  <c r="BL115" i="25"/>
  <c r="BK115" i="25"/>
  <c r="BL249" i="25"/>
  <c r="BY249" i="25"/>
  <c r="CA249" i="25" s="1"/>
  <c r="CB249" i="25" s="1"/>
  <c r="BK249" i="25"/>
  <c r="AA171" i="29"/>
  <c r="AJ64" i="29"/>
  <c r="AK64" i="29" s="1"/>
  <c r="AA65" i="29"/>
  <c r="AA338" i="29"/>
  <c r="AJ337" i="29"/>
  <c r="AK337" i="29" s="1"/>
  <c r="AJ408" i="29"/>
  <c r="AK408" i="29" s="1"/>
  <c r="AA409" i="29"/>
  <c r="AA313" i="29"/>
  <c r="AA57" i="29"/>
  <c r="AA208" i="29"/>
  <c r="AJ134" i="29"/>
  <c r="AK134" i="29" s="1"/>
  <c r="AA135" i="29"/>
  <c r="AJ354" i="29"/>
  <c r="AK354" i="29" s="1"/>
  <c r="AA355" i="29"/>
  <c r="AJ364" i="29"/>
  <c r="AK364" i="29" s="1"/>
  <c r="AA365" i="29"/>
  <c r="AA36" i="29"/>
  <c r="AJ35" i="29"/>
  <c r="AK35" i="29" s="1"/>
  <c r="BY103" i="25"/>
  <c r="CA103" i="25" s="1"/>
  <c r="CB103" i="25" s="1"/>
  <c r="BL103" i="25"/>
  <c r="AJ274" i="29"/>
  <c r="AK274" i="29" s="1"/>
  <c r="AA275" i="29"/>
  <c r="AJ362" i="29"/>
  <c r="AK362" i="29" s="1"/>
  <c r="AA363" i="29"/>
  <c r="AA230" i="29"/>
  <c r="AJ229" i="29"/>
  <c r="AK229" i="29" s="1"/>
  <c r="AJ377" i="29"/>
  <c r="AK377" i="29" s="1"/>
  <c r="AA378" i="29"/>
  <c r="BY138" i="25"/>
  <c r="CA138" i="25" s="1"/>
  <c r="BL138" i="25"/>
  <c r="BK138" i="25"/>
  <c r="BY277" i="25"/>
  <c r="CA277" i="25" s="1"/>
  <c r="CB277" i="25" s="1"/>
  <c r="BL277" i="25"/>
  <c r="BK277" i="25"/>
  <c r="BL221" i="25"/>
  <c r="BY221" i="25"/>
  <c r="CA221" i="25" s="1"/>
  <c r="CB221" i="25" s="1"/>
  <c r="BK221" i="25"/>
  <c r="BY124" i="25"/>
  <c r="CA124" i="25" s="1"/>
  <c r="CB124" i="25" s="1"/>
  <c r="BL124" i="25"/>
  <c r="BK124" i="25"/>
  <c r="BY117" i="25"/>
  <c r="CA117" i="25" s="1"/>
  <c r="BL117" i="25"/>
  <c r="BK117" i="25"/>
  <c r="AA290" i="29"/>
  <c r="AA32" i="29"/>
  <c r="AJ31" i="29"/>
  <c r="AK31" i="29" s="1"/>
  <c r="AA42" i="29"/>
  <c r="AH585" i="29"/>
  <c r="X585" i="29"/>
  <c r="Y585" i="29" s="1"/>
  <c r="AA500" i="29"/>
  <c r="AJ499" i="29"/>
  <c r="AK499" i="29" s="1"/>
  <c r="BY70" i="25"/>
  <c r="CA70" i="25" s="1"/>
  <c r="CB70" i="25" s="1"/>
  <c r="BL70" i="25"/>
  <c r="AJ211" i="29"/>
  <c r="AK211" i="29" s="1"/>
  <c r="AA212" i="29"/>
  <c r="AA190" i="29"/>
  <c r="AJ189" i="29"/>
  <c r="AK189" i="29" s="1"/>
  <c r="BL196" i="25"/>
  <c r="BY196" i="25"/>
  <c r="CA196" i="25" s="1"/>
  <c r="BK196" i="25"/>
  <c r="AA581" i="29"/>
  <c r="AJ580" i="29"/>
  <c r="AK580" i="29" s="1"/>
  <c r="AA22" i="29"/>
  <c r="AJ21" i="29"/>
  <c r="AK21" i="29" s="1"/>
  <c r="AA548" i="29"/>
  <c r="BY66" i="25"/>
  <c r="CA66" i="25" s="1"/>
  <c r="CB66" i="25" s="1"/>
  <c r="BL66" i="25"/>
  <c r="AA574" i="29"/>
  <c r="AA119" i="29"/>
  <c r="AJ118" i="29"/>
  <c r="AK118" i="29" s="1"/>
  <c r="BY12" i="25"/>
  <c r="CA12" i="25" s="1"/>
  <c r="CB12" i="25" s="1"/>
  <c r="BL12" i="25"/>
  <c r="AA110" i="29"/>
  <c r="AA300" i="29"/>
  <c r="AJ299" i="29"/>
  <c r="AK299" i="29" s="1"/>
  <c r="AJ482" i="29"/>
  <c r="AK482" i="29" s="1"/>
  <c r="AA483" i="29"/>
  <c r="AA411" i="29"/>
  <c r="AA540" i="29"/>
  <c r="AJ539" i="29"/>
  <c r="AK539" i="29" s="1"/>
  <c r="BY132" i="25"/>
  <c r="CA132" i="25" s="1"/>
  <c r="BL132" i="25"/>
  <c r="BK132" i="25"/>
  <c r="AJ519" i="29"/>
  <c r="AK519" i="29" s="1"/>
  <c r="AA520" i="29"/>
  <c r="AA48" i="29"/>
  <c r="AJ47" i="29"/>
  <c r="AK47" i="29" s="1"/>
  <c r="AJ228" i="29"/>
  <c r="AK228" i="29" s="1"/>
  <c r="AA229" i="29"/>
  <c r="AA307" i="29"/>
  <c r="AJ306" i="29"/>
  <c r="AK306" i="29" s="1"/>
  <c r="BY17" i="25"/>
  <c r="CA17" i="25" s="1"/>
  <c r="CB17" i="25" s="1"/>
  <c r="BL17" i="25"/>
  <c r="BL164" i="25"/>
  <c r="BY164" i="25"/>
  <c r="CA164" i="25" s="1"/>
  <c r="BK164" i="25"/>
  <c r="BY152" i="25"/>
  <c r="CA152" i="25" s="1"/>
  <c r="BL152" i="25"/>
  <c r="BK152" i="25"/>
  <c r="AA106" i="29"/>
  <c r="AJ105" i="29"/>
  <c r="AK105" i="29" s="1"/>
  <c r="AA117" i="29"/>
  <c r="AA46" i="29"/>
  <c r="AJ45" i="29"/>
  <c r="AK45" i="29" s="1"/>
  <c r="AA580" i="29"/>
  <c r="AJ579" i="29"/>
  <c r="AK579" i="29" s="1"/>
  <c r="AA593" i="29"/>
  <c r="AJ592" i="29"/>
  <c r="AK592" i="29" s="1"/>
  <c r="AA189" i="29"/>
  <c r="AJ188" i="29"/>
  <c r="AK188" i="29" s="1"/>
  <c r="AJ265" i="29"/>
  <c r="AK265" i="29" s="1"/>
  <c r="AA266" i="29"/>
  <c r="AA126" i="29"/>
  <c r="AJ125" i="29"/>
  <c r="AK125" i="29" s="1"/>
  <c r="BY52" i="25"/>
  <c r="CA52" i="25" s="1"/>
  <c r="BL52" i="25"/>
  <c r="AA505" i="29"/>
  <c r="AJ504" i="29"/>
  <c r="AK504" i="29" s="1"/>
  <c r="AA602" i="29"/>
  <c r="AJ601" i="29"/>
  <c r="AK601" i="29" s="1"/>
  <c r="AJ232" i="29"/>
  <c r="AK232" i="29" s="1"/>
  <c r="AA233" i="29"/>
  <c r="AA484" i="29"/>
  <c r="AJ483" i="29"/>
  <c r="AK483" i="29" s="1"/>
  <c r="BL90" i="25"/>
  <c r="BY90" i="25"/>
  <c r="CA90" i="25" s="1"/>
  <c r="AA165" i="29"/>
  <c r="AA18" i="29"/>
  <c r="AJ17" i="29"/>
  <c r="AK17" i="29" s="1"/>
  <c r="AA510" i="29"/>
  <c r="AJ509" i="29"/>
  <c r="AK509" i="29" s="1"/>
  <c r="AA379" i="29"/>
  <c r="AJ378" i="29"/>
  <c r="AK378" i="29" s="1"/>
  <c r="AJ568" i="29"/>
  <c r="AK568" i="29" s="1"/>
  <c r="AA569" i="29"/>
  <c r="AA239" i="29"/>
  <c r="AJ238" i="29"/>
  <c r="AK238" i="29" s="1"/>
  <c r="AA536" i="29"/>
  <c r="AJ535" i="29"/>
  <c r="AK535" i="29" s="1"/>
  <c r="BL111" i="25"/>
  <c r="BY111" i="25"/>
  <c r="CA111" i="25" s="1"/>
  <c r="BK111" i="25"/>
  <c r="AA162" i="29"/>
  <c r="AJ161" i="29"/>
  <c r="AK161" i="29" s="1"/>
  <c r="AA366" i="29"/>
  <c r="AJ365" i="29"/>
  <c r="AK365" i="29" s="1"/>
  <c r="AJ545" i="29"/>
  <c r="AK545" i="29" s="1"/>
  <c r="AA546" i="29"/>
  <c r="BY166" i="25"/>
  <c r="CA166" i="25" s="1"/>
  <c r="BL166" i="25"/>
  <c r="BK166" i="25"/>
  <c r="AA470" i="29"/>
  <c r="AJ469" i="29"/>
  <c r="AK469" i="29" s="1"/>
  <c r="AJ508" i="29"/>
  <c r="AK508" i="29" s="1"/>
  <c r="AA509" i="29"/>
  <c r="AA62" i="29"/>
  <c r="AJ61" i="29"/>
  <c r="AK61" i="29" s="1"/>
  <c r="AA447" i="29"/>
  <c r="AJ446" i="29"/>
  <c r="AK446" i="29" s="1"/>
  <c r="AA152" i="29"/>
  <c r="AJ151" i="29"/>
  <c r="AK151" i="29" s="1"/>
  <c r="AA517" i="29"/>
  <c r="AJ516" i="29"/>
  <c r="AK516" i="29" s="1"/>
  <c r="AA308" i="29"/>
  <c r="AJ307" i="29"/>
  <c r="AK307" i="29" s="1"/>
  <c r="BY207" i="25"/>
  <c r="CA207" i="25" s="1"/>
  <c r="BL207" i="25"/>
  <c r="BK207" i="25"/>
  <c r="AA607" i="29"/>
  <c r="AJ606" i="29"/>
  <c r="AK606" i="29" s="1"/>
  <c r="AA530" i="29"/>
  <c r="BY7" i="25"/>
  <c r="CA7" i="25" s="1"/>
  <c r="CB7" i="25" s="1"/>
  <c r="BL7" i="25"/>
  <c r="AA318" i="29"/>
  <c r="AJ317" i="29"/>
  <c r="AK317" i="29" s="1"/>
  <c r="BY288" i="25"/>
  <c r="CA288" i="25" s="1"/>
  <c r="CB288" i="25" s="1"/>
  <c r="BL288" i="25"/>
  <c r="BK288" i="25"/>
  <c r="BY180" i="25"/>
  <c r="CA180" i="25" s="1"/>
  <c r="BL180" i="25"/>
  <c r="BK180" i="25"/>
  <c r="AA543" i="29"/>
  <c r="BY183" i="25"/>
  <c r="CA183" i="25" s="1"/>
  <c r="BL183" i="25"/>
  <c r="BK183" i="25"/>
  <c r="BY222" i="25"/>
  <c r="CA222" i="25" s="1"/>
  <c r="CB222" i="25" s="1"/>
  <c r="BL222" i="25"/>
  <c r="BK222" i="25"/>
  <c r="BY127" i="25"/>
  <c r="CA127" i="25" s="1"/>
  <c r="CB127" i="25" s="1"/>
  <c r="BL127" i="25"/>
  <c r="BK127" i="25"/>
  <c r="AA114" i="29"/>
  <c r="BY235" i="25"/>
  <c r="CA235" i="25" s="1"/>
  <c r="CB235" i="25" s="1"/>
  <c r="BL235" i="25"/>
  <c r="BK235" i="25"/>
  <c r="AA384" i="29"/>
  <c r="AA121" i="29"/>
  <c r="AJ120" i="29"/>
  <c r="AK120" i="29" s="1"/>
  <c r="BY42" i="25"/>
  <c r="CA42" i="25" s="1"/>
  <c r="CB42" i="25" s="1"/>
  <c r="BL42" i="25"/>
  <c r="AA124" i="29"/>
  <c r="AJ123" i="29"/>
  <c r="AK123" i="29" s="1"/>
  <c r="AA118" i="29"/>
  <c r="AJ117" i="29"/>
  <c r="AK117" i="29" s="1"/>
  <c r="BL188" i="25"/>
  <c r="BY188" i="25"/>
  <c r="CA188" i="25" s="1"/>
  <c r="CB188" i="25" s="1"/>
  <c r="BK188" i="25"/>
  <c r="AJ403" i="29"/>
  <c r="AK403" i="29" s="1"/>
  <c r="AA404" i="29"/>
  <c r="BL58" i="25"/>
  <c r="BY58" i="25"/>
  <c r="CA58" i="25" s="1"/>
  <c r="CB58" i="25" s="1"/>
  <c r="AA466" i="29"/>
  <c r="AA472" i="29"/>
  <c r="AJ471" i="29"/>
  <c r="AK471" i="29" s="1"/>
  <c r="BY105" i="25"/>
  <c r="CA105" i="25" s="1"/>
  <c r="BL105" i="25"/>
  <c r="AA252" i="29"/>
  <c r="AA467" i="29"/>
  <c r="AJ466" i="29"/>
  <c r="AK466" i="29" s="1"/>
  <c r="AA83" i="29"/>
  <c r="BL81" i="25"/>
  <c r="BY81" i="25"/>
  <c r="CA81" i="25" s="1"/>
  <c r="AJ303" i="29"/>
  <c r="AK303" i="29" s="1"/>
  <c r="AA304" i="29"/>
  <c r="AA58" i="29"/>
  <c r="AJ57" i="29"/>
  <c r="AK57" i="29" s="1"/>
  <c r="BL202" i="25"/>
  <c r="BY202" i="25"/>
  <c r="CA202" i="25" s="1"/>
  <c r="BK202" i="25"/>
  <c r="AJ110" i="29"/>
  <c r="AK110" i="29" s="1"/>
  <c r="AA111" i="29"/>
  <c r="AJ323" i="29"/>
  <c r="AK323" i="29" s="1"/>
  <c r="AA324" i="29"/>
  <c r="AA604" i="29"/>
  <c r="AA226" i="29"/>
  <c r="AA527" i="29"/>
  <c r="BY18" i="25"/>
  <c r="CA18" i="25" s="1"/>
  <c r="CB18" i="25" s="1"/>
  <c r="BL18" i="25"/>
  <c r="AA167" i="29"/>
  <c r="BY223" i="25"/>
  <c r="CA223" i="25" s="1"/>
  <c r="CB223" i="25" s="1"/>
  <c r="BL223" i="25"/>
  <c r="BK223" i="25"/>
  <c r="AA491" i="29"/>
  <c r="AJ490" i="29"/>
  <c r="AK490" i="29" s="1"/>
  <c r="AA321" i="29"/>
  <c r="AJ320" i="29"/>
  <c r="AK320" i="29" s="1"/>
  <c r="AA486" i="29"/>
  <c r="AJ485" i="29"/>
  <c r="AK485" i="29" s="1"/>
  <c r="AA292" i="29"/>
  <c r="BL45" i="25"/>
  <c r="BY45" i="25"/>
  <c r="CA45" i="25" s="1"/>
  <c r="AA381" i="29"/>
  <c r="BY40" i="25"/>
  <c r="CA40" i="25" s="1"/>
  <c r="CB40" i="25" s="1"/>
  <c r="BL40" i="25"/>
  <c r="D65" i="29"/>
  <c r="E61" i="1" s="1"/>
  <c r="D62" i="29"/>
  <c r="D66" i="29" s="1"/>
  <c r="E63" i="1" s="1"/>
  <c r="AJ370" i="29"/>
  <c r="AK370" i="29" s="1"/>
  <c r="AA371" i="29"/>
  <c r="BL149" i="25"/>
  <c r="BY149" i="25"/>
  <c r="CA149" i="25" s="1"/>
  <c r="CB149" i="25" s="1"/>
  <c r="BK149" i="25"/>
  <c r="AJ171" i="29"/>
  <c r="AK171" i="29" s="1"/>
  <c r="AA172" i="29"/>
  <c r="AA105" i="29"/>
  <c r="AJ104" i="29"/>
  <c r="AK104" i="29" s="1"/>
  <c r="BY171" i="25"/>
  <c r="CA171" i="25" s="1"/>
  <c r="BL171" i="25"/>
  <c r="BK171" i="25"/>
  <c r="AA92" i="29"/>
  <c r="BY54" i="25"/>
  <c r="CA54" i="25" s="1"/>
  <c r="CB54" i="25" s="1"/>
  <c r="BL54" i="25"/>
  <c r="AA93" i="29"/>
  <c r="AJ92" i="29"/>
  <c r="AK92" i="29" s="1"/>
  <c r="AA453" i="29"/>
  <c r="AJ452" i="29"/>
  <c r="AK452" i="29" s="1"/>
  <c r="AJ283" i="29"/>
  <c r="AK283" i="29" s="1"/>
  <c r="AA284" i="29"/>
  <c r="BL313" i="25"/>
  <c r="BY313" i="25"/>
  <c r="CA313" i="25" s="1"/>
  <c r="CB313" i="25" s="1"/>
  <c r="BK313" i="25"/>
  <c r="AJ423" i="29"/>
  <c r="AK423" i="29" s="1"/>
  <c r="AA424" i="29"/>
  <c r="AA428" i="29"/>
  <c r="AJ427" i="29"/>
  <c r="AK427" i="29" s="1"/>
  <c r="AA417" i="29"/>
  <c r="AJ416" i="29"/>
  <c r="AK416" i="29" s="1"/>
  <c r="BL101" i="25"/>
  <c r="BY101" i="25"/>
  <c r="CA101" i="25" s="1"/>
  <c r="AJ390" i="29"/>
  <c r="AK390" i="29" s="1"/>
  <c r="AA391" i="29"/>
  <c r="AJ512" i="29"/>
  <c r="AK512" i="29" s="1"/>
  <c r="AA513" i="29"/>
  <c r="BL68" i="25"/>
  <c r="BY68" i="25"/>
  <c r="CA68" i="25" s="1"/>
  <c r="CB68" i="25" s="1"/>
  <c r="AA523" i="29"/>
  <c r="AA94" i="29"/>
  <c r="AJ93" i="29"/>
  <c r="AK93" i="29" s="1"/>
  <c r="BY78" i="25"/>
  <c r="CA78" i="25" s="1"/>
  <c r="CB78" i="25" s="1"/>
  <c r="BL78" i="25"/>
  <c r="AJ523" i="29"/>
  <c r="AK523" i="29" s="1"/>
  <c r="AA524" i="29"/>
  <c r="BL139" i="25"/>
  <c r="BY139" i="25"/>
  <c r="CA139" i="25" s="1"/>
  <c r="CB139" i="25" s="1"/>
  <c r="BK139" i="25"/>
  <c r="BY37" i="25"/>
  <c r="CA37" i="25" s="1"/>
  <c r="CB37" i="25" s="1"/>
  <c r="BL37" i="25"/>
  <c r="BY299" i="25"/>
  <c r="CA299" i="25" s="1"/>
  <c r="CB299" i="25" s="1"/>
  <c r="BL299" i="25"/>
  <c r="BK299" i="25"/>
  <c r="AJ567" i="29"/>
  <c r="AK567" i="29" s="1"/>
  <c r="AA568" i="29"/>
  <c r="AJ227" i="29"/>
  <c r="AK227" i="29" s="1"/>
  <c r="AA228" i="29"/>
  <c r="BL46" i="25"/>
  <c r="BY46" i="25"/>
  <c r="CA46" i="25" s="1"/>
  <c r="CB46" i="25" s="1"/>
  <c r="AA139" i="29"/>
  <c r="AJ138" i="29"/>
  <c r="AK138" i="29" s="1"/>
  <c r="BY20" i="25"/>
  <c r="CA20" i="25" s="1"/>
  <c r="CB20" i="25" s="1"/>
  <c r="BL20" i="25"/>
  <c r="AJ417" i="29"/>
  <c r="AK417" i="29" s="1"/>
  <c r="AA418" i="29"/>
  <c r="AA250" i="29"/>
  <c r="AJ249" i="29"/>
  <c r="AK249" i="29" s="1"/>
  <c r="BL156" i="25"/>
  <c r="BY156" i="25"/>
  <c r="CA156" i="25" s="1"/>
  <c r="BK156" i="25"/>
  <c r="AA400" i="29"/>
  <c r="AJ399" i="29"/>
  <c r="AK399" i="29" s="1"/>
  <c r="AA461" i="29"/>
  <c r="AJ460" i="29"/>
  <c r="AK460" i="29" s="1"/>
  <c r="AA235" i="29"/>
  <c r="AJ457" i="29"/>
  <c r="AK457" i="29" s="1"/>
  <c r="AA458" i="29"/>
  <c r="AA80" i="29"/>
  <c r="AJ79" i="29"/>
  <c r="AK79" i="29" s="1"/>
  <c r="AA309" i="29"/>
  <c r="AJ308" i="29"/>
  <c r="AK308" i="29" s="1"/>
  <c r="AJ201" i="29"/>
  <c r="AK201" i="29" s="1"/>
  <c r="AA202" i="29"/>
  <c r="BL298" i="25"/>
  <c r="BY298" i="25"/>
  <c r="CA298" i="25" s="1"/>
  <c r="CB298" i="25" s="1"/>
  <c r="BK298" i="25"/>
  <c r="AA427" i="29"/>
  <c r="AJ426" i="29"/>
  <c r="AK426" i="29" s="1"/>
  <c r="AJ46" i="29"/>
  <c r="AK46" i="29" s="1"/>
  <c r="AA47" i="29"/>
  <c r="AJ127" i="29"/>
  <c r="AK127" i="29" s="1"/>
  <c r="AA128" i="29"/>
  <c r="BY140" i="25"/>
  <c r="CA140" i="25" s="1"/>
  <c r="CB140" i="25" s="1"/>
  <c r="BL140" i="25"/>
  <c r="BK140" i="25"/>
  <c r="AA440" i="29"/>
  <c r="BY311" i="25"/>
  <c r="CA311" i="25" s="1"/>
  <c r="CB311" i="25" s="1"/>
  <c r="BL311" i="25"/>
  <c r="BK311" i="25"/>
  <c r="BY251" i="25"/>
  <c r="CA251" i="25" s="1"/>
  <c r="CB251" i="25" s="1"/>
  <c r="BL251" i="25"/>
  <c r="BK251" i="25"/>
  <c r="AJ604" i="29"/>
  <c r="AK604" i="29" s="1"/>
  <c r="AA605" i="29"/>
  <c r="AA157" i="29"/>
  <c r="BL219" i="25"/>
  <c r="BY219" i="25"/>
  <c r="CA219" i="25" s="1"/>
  <c r="CB219" i="25" s="1"/>
  <c r="BK219" i="25"/>
  <c r="AA508" i="29"/>
  <c r="AJ574" i="29"/>
  <c r="AK574" i="29" s="1"/>
  <c r="AA575" i="29"/>
  <c r="AA591" i="29"/>
  <c r="AJ590" i="29"/>
  <c r="AK590" i="29" s="1"/>
  <c r="AA544" i="29"/>
  <c r="AJ543" i="29"/>
  <c r="AK543" i="29" s="1"/>
  <c r="AA334" i="29"/>
  <c r="AJ333" i="29"/>
  <c r="AK333" i="29" s="1"/>
  <c r="BY191" i="25"/>
  <c r="CA191" i="25" s="1"/>
  <c r="BL191" i="25"/>
  <c r="BK191" i="25"/>
  <c r="AA584" i="29" l="1"/>
  <c r="AK126" i="29"/>
  <c r="AK114" i="29"/>
  <c r="AA225" i="29"/>
  <c r="AJ162" i="29"/>
  <c r="AK162" i="29" s="1"/>
  <c r="AA380" i="29"/>
  <c r="AJ225" i="29"/>
  <c r="AK225" i="29" s="1"/>
  <c r="AK311" i="29"/>
  <c r="AJ379" i="29"/>
  <c r="AK379" i="29" s="1"/>
  <c r="CB57" i="25"/>
  <c r="CF57" i="25"/>
  <c r="L111" i="2"/>
  <c r="L112" i="2" s="1"/>
  <c r="L26" i="1" s="1"/>
  <c r="CB112" i="25"/>
  <c r="CF112" i="25"/>
  <c r="AK44" i="29"/>
  <c r="CB130" i="25"/>
  <c r="CF130" i="25"/>
  <c r="CB27" i="25"/>
  <c r="CF27" i="25"/>
  <c r="CB125" i="25"/>
  <c r="CF125" i="25"/>
  <c r="CB10" i="25"/>
  <c r="CF10" i="25"/>
  <c r="CB115" i="25"/>
  <c r="CF115" i="25"/>
  <c r="CB88" i="25"/>
  <c r="CF88" i="25"/>
  <c r="CB121" i="25"/>
  <c r="CF121" i="25"/>
  <c r="CB22" i="25"/>
  <c r="CF22" i="25"/>
  <c r="CB162" i="25"/>
  <c r="CF162" i="25"/>
  <c r="CB77" i="25"/>
  <c r="CF77" i="25"/>
  <c r="CB60" i="25"/>
  <c r="CF60" i="25"/>
  <c r="CB116" i="25"/>
  <c r="CF116" i="25"/>
  <c r="CB117" i="25"/>
  <c r="CF117" i="25"/>
  <c r="CB65" i="25"/>
  <c r="CF65" i="25"/>
  <c r="CB111" i="25"/>
  <c r="CF111" i="25"/>
  <c r="AK106" i="29"/>
  <c r="AA566" i="29"/>
  <c r="AK94" i="29"/>
  <c r="AJ261" i="29"/>
  <c r="AK261" i="29" s="1"/>
  <c r="AJ566" i="29"/>
  <c r="AK566" i="29" s="1"/>
  <c r="AJ223" i="29"/>
  <c r="AK223" i="29" s="1"/>
  <c r="AJ260" i="29"/>
  <c r="AK260" i="29" s="1"/>
  <c r="AJ136" i="29"/>
  <c r="AK136" i="29" s="1"/>
  <c r="AA137" i="29"/>
  <c r="AJ113" i="29"/>
  <c r="AK113" i="29" s="1"/>
  <c r="AA113" i="29"/>
  <c r="AJ252" i="29"/>
  <c r="AK252" i="29" s="1"/>
  <c r="AJ19" i="29"/>
  <c r="AK19" i="29" s="1"/>
  <c r="AJ49" i="29"/>
  <c r="AK49" i="29" s="1"/>
  <c r="CB86" i="25"/>
  <c r="CF86" i="25"/>
  <c r="AA19" i="29"/>
  <c r="CB152" i="25"/>
  <c r="CF152" i="25"/>
  <c r="AK101" i="29"/>
  <c r="CF154" i="25"/>
  <c r="CB56" i="25"/>
  <c r="CF56" i="25"/>
  <c r="CB205" i="25"/>
  <c r="CF205" i="25"/>
  <c r="CB200" i="25"/>
  <c r="CF200" i="25"/>
  <c r="CB153" i="25"/>
  <c r="CF153" i="25"/>
  <c r="CB64" i="25"/>
  <c r="CF64" i="25"/>
  <c r="CB193" i="25"/>
  <c r="CF193" i="25"/>
  <c r="CB159" i="25"/>
  <c r="CF159" i="25"/>
  <c r="CB81" i="25"/>
  <c r="CF81" i="25"/>
  <c r="CB164" i="25"/>
  <c r="CF164" i="25"/>
  <c r="CB101" i="25"/>
  <c r="CF101" i="25"/>
  <c r="CB185" i="25"/>
  <c r="CF185" i="25"/>
  <c r="CB169" i="25"/>
  <c r="CF169" i="25"/>
  <c r="CB181" i="25"/>
  <c r="CF181" i="25"/>
  <c r="AJ342" i="29"/>
  <c r="AK342" i="29" s="1"/>
  <c r="CB151" i="25"/>
  <c r="CF151" i="25"/>
  <c r="AA562" i="29"/>
  <c r="AJ561" i="29"/>
  <c r="AK561" i="29" s="1"/>
  <c r="AA603" i="29"/>
  <c r="CB98" i="25"/>
  <c r="CF98" i="25"/>
  <c r="AA49" i="29"/>
  <c r="AA343" i="29"/>
  <c r="AA153" i="29"/>
  <c r="CB191" i="25"/>
  <c r="CF191" i="25"/>
  <c r="CB184" i="25"/>
  <c r="CF184" i="25"/>
  <c r="CB203" i="25"/>
  <c r="CF203" i="25"/>
  <c r="AJ603" i="29"/>
  <c r="AK603" i="29" s="1"/>
  <c r="CB172" i="25"/>
  <c r="CF172" i="25"/>
  <c r="CB202" i="25"/>
  <c r="CF202" i="25"/>
  <c r="AJ507" i="29"/>
  <c r="AK507" i="29" s="1"/>
  <c r="AA322" i="29"/>
  <c r="AJ321" i="29"/>
  <c r="AK321" i="29" s="1"/>
  <c r="AA98" i="29"/>
  <c r="AJ165" i="29"/>
  <c r="AK165" i="29" s="1"/>
  <c r="AA166" i="29"/>
  <c r="AA198" i="29"/>
  <c r="AA109" i="29"/>
  <c r="CB183" i="25"/>
  <c r="CF183" i="25"/>
  <c r="AK80" i="29"/>
  <c r="AJ88" i="29"/>
  <c r="AK88" i="29" s="1"/>
  <c r="AJ493" i="29"/>
  <c r="AK493" i="29" s="1"/>
  <c r="AJ207" i="29"/>
  <c r="AK207" i="29" s="1"/>
  <c r="CB180" i="25"/>
  <c r="CF180" i="25"/>
  <c r="AJ206" i="29"/>
  <c r="AK206" i="29" s="1"/>
  <c r="CB80" i="25"/>
  <c r="CF80" i="25"/>
  <c r="CB52" i="25"/>
  <c r="CF52" i="25"/>
  <c r="CB90" i="25"/>
  <c r="CF90" i="25"/>
  <c r="AJ108" i="29"/>
  <c r="AK108" i="29" s="1"/>
  <c r="CB196" i="25"/>
  <c r="CF196" i="25"/>
  <c r="AJ492" i="29"/>
  <c r="AK492" i="29" s="1"/>
  <c r="AA357" i="29"/>
  <c r="AJ348" i="29"/>
  <c r="AK348" i="29" s="1"/>
  <c r="AA270" i="29"/>
  <c r="AJ122" i="29"/>
  <c r="AK122" i="29" s="1"/>
  <c r="AA507" i="29"/>
  <c r="AJ465" i="29"/>
  <c r="AK465" i="29" s="1"/>
  <c r="AJ329" i="29"/>
  <c r="AK329" i="29" s="1"/>
  <c r="AA465" i="29"/>
  <c r="AA122" i="29"/>
  <c r="AJ330" i="29"/>
  <c r="AK330" i="29" s="1"/>
  <c r="AA571" i="29"/>
  <c r="AJ216" i="29"/>
  <c r="AK216" i="29" s="1"/>
  <c r="AJ571" i="29"/>
  <c r="AK571" i="29" s="1"/>
  <c r="AA557" i="29"/>
  <c r="AJ146" i="29"/>
  <c r="AK146" i="29" s="1"/>
  <c r="AJ147" i="29"/>
  <c r="AK147" i="29" s="1"/>
  <c r="AJ351" i="29"/>
  <c r="AK351" i="29" s="1"/>
  <c r="AJ184" i="29"/>
  <c r="AK184" i="29" s="1"/>
  <c r="AJ13" i="29"/>
  <c r="AK13" i="29" s="1"/>
  <c r="AA185" i="29"/>
  <c r="AA598" i="29"/>
  <c r="AJ597" i="29"/>
  <c r="AK597" i="29" s="1"/>
  <c r="AJ69" i="29"/>
  <c r="AK69" i="29" s="1"/>
  <c r="AA107" i="29"/>
  <c r="AJ373" i="29"/>
  <c r="AK373" i="29" s="1"/>
  <c r="AJ234" i="29"/>
  <c r="AK234" i="29" s="1"/>
  <c r="AJ115" i="29"/>
  <c r="AK115" i="29" s="1"/>
  <c r="AA373" i="29"/>
  <c r="AA115" i="29"/>
  <c r="AJ233" i="29"/>
  <c r="AK233" i="29" s="1"/>
  <c r="CB105" i="25"/>
  <c r="B286" i="2" s="1"/>
  <c r="CF105" i="25"/>
  <c r="AA547" i="29"/>
  <c r="CB132" i="25"/>
  <c r="CF132" i="25"/>
  <c r="CB165" i="25"/>
  <c r="CF165" i="25"/>
  <c r="AJ107" i="29"/>
  <c r="AK107" i="29" s="1"/>
  <c r="AJ422" i="29"/>
  <c r="AK422" i="29" s="1"/>
  <c r="AJ340" i="29"/>
  <c r="AK340" i="29" s="1"/>
  <c r="AA341" i="29"/>
  <c r="AJ24" i="29"/>
  <c r="AK24" i="29" s="1"/>
  <c r="AJ51" i="29"/>
  <c r="AK51" i="29" s="1"/>
  <c r="AJ25" i="29"/>
  <c r="AK25" i="29" s="1"/>
  <c r="CB207" i="25"/>
  <c r="CF207" i="25"/>
  <c r="AJ70" i="29"/>
  <c r="AK70" i="29" s="1"/>
  <c r="AJ326" i="29"/>
  <c r="AK326" i="29" s="1"/>
  <c r="AJ156" i="29"/>
  <c r="AK156" i="29" s="1"/>
  <c r="AA52" i="29"/>
  <c r="AJ428" i="29"/>
  <c r="AK428" i="29" s="1"/>
  <c r="AJ291" i="29"/>
  <c r="AK291" i="29" s="1"/>
  <c r="AA291" i="29"/>
  <c r="AJ253" i="29"/>
  <c r="AK253" i="29" s="1"/>
  <c r="AA254" i="29"/>
  <c r="AJ513" i="29"/>
  <c r="AK513" i="29" s="1"/>
  <c r="AJ547" i="29"/>
  <c r="AK547" i="29" s="1"/>
  <c r="AA326" i="29"/>
  <c r="AJ498" i="29"/>
  <c r="AK498" i="29" s="1"/>
  <c r="AA156" i="29"/>
  <c r="AJ586" i="29"/>
  <c r="AK586" i="29" s="1"/>
  <c r="AJ497" i="29"/>
  <c r="AK497" i="29" s="1"/>
  <c r="CB209" i="25"/>
  <c r="CF209" i="25"/>
  <c r="AJ116" i="29"/>
  <c r="AK116" i="29" s="1"/>
  <c r="AA242" i="29"/>
  <c r="AJ270" i="29"/>
  <c r="AK270" i="29" s="1"/>
  <c r="AA116" i="29"/>
  <c r="AJ215" i="29"/>
  <c r="AK215" i="29" s="1"/>
  <c r="AA150" i="29"/>
  <c r="AJ209" i="29"/>
  <c r="AK209" i="29" s="1"/>
  <c r="AJ350" i="29"/>
  <c r="AK350" i="29" s="1"/>
  <c r="AJ347" i="29"/>
  <c r="AK347" i="29" s="1"/>
  <c r="AJ89" i="29"/>
  <c r="AK89" i="29" s="1"/>
  <c r="AA480" i="29"/>
  <c r="AJ480" i="29"/>
  <c r="AK480" i="29" s="1"/>
  <c r="AJ90" i="29"/>
  <c r="AK90" i="29" s="1"/>
  <c r="AJ526" i="29"/>
  <c r="AK526" i="29" s="1"/>
  <c r="AJ346" i="29"/>
  <c r="AK346" i="29" s="1"/>
  <c r="AA347" i="29"/>
  <c r="AJ525" i="29"/>
  <c r="AK525" i="29" s="1"/>
  <c r="AJ529" i="29"/>
  <c r="AK529" i="29" s="1"/>
  <c r="AJ289" i="29"/>
  <c r="AK289" i="29" s="1"/>
  <c r="AJ528" i="29"/>
  <c r="AK528" i="29" s="1"/>
  <c r="AA289" i="29"/>
  <c r="AJ139" i="29"/>
  <c r="AK139" i="29" s="1"/>
  <c r="AJ186" i="29"/>
  <c r="AK186" i="29" s="1"/>
  <c r="AJ187" i="29"/>
  <c r="AK187" i="29" s="1"/>
  <c r="AA219" i="29"/>
  <c r="AJ400" i="29"/>
  <c r="AK400" i="29" s="1"/>
  <c r="AA401" i="29"/>
  <c r="AA406" i="29"/>
  <c r="AJ222" i="29"/>
  <c r="AK222" i="29" s="1"/>
  <c r="AJ405" i="29"/>
  <c r="AK405" i="29" s="1"/>
  <c r="CB138" i="25"/>
  <c r="CF138" i="25"/>
  <c r="CB55" i="25"/>
  <c r="CF55" i="25"/>
  <c r="AA140" i="29"/>
  <c r="AJ164" i="29"/>
  <c r="AK164" i="29" s="1"/>
  <c r="AA514" i="29"/>
  <c r="AJ463" i="29"/>
  <c r="AK463" i="29" s="1"/>
  <c r="AJ83" i="29"/>
  <c r="AK83" i="29" s="1"/>
  <c r="AA84" i="29"/>
  <c r="AJ462" i="29"/>
  <c r="AK462" i="29" s="1"/>
  <c r="AJ130" i="29"/>
  <c r="AK130" i="29" s="1"/>
  <c r="AA130" i="29"/>
  <c r="AJ421" i="29"/>
  <c r="AK421" i="29" s="1"/>
  <c r="AJ163" i="29"/>
  <c r="AK163" i="29" s="1"/>
  <c r="AJ242" i="29"/>
  <c r="AK242" i="29" s="1"/>
  <c r="AJ210" i="29"/>
  <c r="AK210" i="29" s="1"/>
  <c r="AJ149" i="29"/>
  <c r="AK149" i="29" s="1"/>
  <c r="AA133" i="29"/>
  <c r="AJ41" i="29"/>
  <c r="AK41" i="29" s="1"/>
  <c r="AJ40" i="29"/>
  <c r="AK40" i="29" s="1"/>
  <c r="AA502" i="29"/>
  <c r="AJ555" i="29"/>
  <c r="AK555" i="29" s="1"/>
  <c r="AA154" i="29"/>
  <c r="AA439" i="29"/>
  <c r="AJ153" i="29"/>
  <c r="AK153" i="29" s="1"/>
  <c r="AJ439" i="29"/>
  <c r="AK439" i="29" s="1"/>
  <c r="AA142" i="29"/>
  <c r="AJ502" i="29"/>
  <c r="AK502" i="29" s="1"/>
  <c r="AJ169" i="29"/>
  <c r="AK169" i="29" s="1"/>
  <c r="AA91" i="29"/>
  <c r="AA610" i="29"/>
  <c r="AJ609" i="29"/>
  <c r="AK609" i="29" s="1"/>
  <c r="AJ447" i="29"/>
  <c r="AK447" i="29" s="1"/>
  <c r="AJ522" i="29"/>
  <c r="AK522" i="29" s="1"/>
  <c r="AJ170" i="29"/>
  <c r="AK170" i="29" s="1"/>
  <c r="AA448" i="29"/>
  <c r="AJ521" i="29"/>
  <c r="AK521" i="29" s="1"/>
  <c r="AJ132" i="29"/>
  <c r="AK132" i="29" s="1"/>
  <c r="AJ221" i="29"/>
  <c r="AK221" i="29" s="1"/>
  <c r="AJ220" i="29"/>
  <c r="AK220" i="29" s="1"/>
  <c r="AJ556" i="29"/>
  <c r="AK556" i="29" s="1"/>
  <c r="AJ176" i="29"/>
  <c r="AK176" i="29" s="1"/>
  <c r="AJ141" i="29"/>
  <c r="AK141" i="29" s="1"/>
  <c r="AA336" i="29"/>
  <c r="AJ474" i="29"/>
  <c r="AK474" i="29" s="1"/>
  <c r="AJ335" i="29"/>
  <c r="AK335" i="29" s="1"/>
  <c r="AJ218" i="29"/>
  <c r="AK218" i="29" s="1"/>
  <c r="AA149" i="29"/>
  <c r="AJ148" i="29"/>
  <c r="AK148" i="29" s="1"/>
  <c r="AJ217" i="29"/>
  <c r="AK217" i="29" s="1"/>
  <c r="AJ473" i="29"/>
  <c r="AK473" i="29" s="1"/>
  <c r="AJ177" i="29"/>
  <c r="AK177" i="29" s="1"/>
  <c r="AJ588" i="29"/>
  <c r="AK588" i="29" s="1"/>
  <c r="AJ349" i="29"/>
  <c r="AK349" i="29" s="1"/>
  <c r="AJ587" i="29"/>
  <c r="AK587" i="29" s="1"/>
  <c r="AA350" i="29"/>
  <c r="CB208" i="25"/>
  <c r="CF208" i="25"/>
  <c r="AJ356" i="29"/>
  <c r="AK356" i="29" s="1"/>
  <c r="AA99" i="29"/>
  <c r="AJ441" i="29"/>
  <c r="AK441" i="29" s="1"/>
  <c r="AJ98" i="29"/>
  <c r="AK98" i="29" s="1"/>
  <c r="AJ278" i="29"/>
  <c r="AK278" i="29" s="1"/>
  <c r="AA573" i="29"/>
  <c r="AJ572" i="29"/>
  <c r="AK572" i="29" s="1"/>
  <c r="CB45" i="25"/>
  <c r="CF45" i="25"/>
  <c r="AJ411" i="29"/>
  <c r="AK411" i="29" s="1"/>
  <c r="AJ239" i="29"/>
  <c r="AK239" i="29" s="1"/>
  <c r="CB135" i="25"/>
  <c r="CF135" i="25"/>
  <c r="AA412" i="29"/>
  <c r="CB175" i="25"/>
  <c r="CF175" i="25"/>
  <c r="AJ296" i="29"/>
  <c r="AK296" i="29" s="1"/>
  <c r="AA297" i="29"/>
  <c r="CB182" i="25"/>
  <c r="CF182" i="25"/>
  <c r="AJ429" i="29"/>
  <c r="AK429" i="29" s="1"/>
  <c r="AJ183" i="29"/>
  <c r="AK183" i="29" s="1"/>
  <c r="AA312" i="29"/>
  <c r="AJ182" i="29"/>
  <c r="AK182" i="29" s="1"/>
  <c r="AJ527" i="29"/>
  <c r="AK527" i="29" s="1"/>
  <c r="AJ74" i="29"/>
  <c r="AK74" i="29" s="1"/>
  <c r="AA75" i="29"/>
  <c r="AA240" i="29"/>
  <c r="AJ56" i="29"/>
  <c r="AK56" i="29" s="1"/>
  <c r="AA356" i="29"/>
  <c r="AJ430" i="29"/>
  <c r="AK430" i="29" s="1"/>
  <c r="AA528" i="29"/>
  <c r="AJ312" i="29"/>
  <c r="AK312" i="29" s="1"/>
  <c r="AA533" i="29"/>
  <c r="AA383" i="29"/>
  <c r="AJ250" i="29"/>
  <c r="AK250" i="29" s="1"/>
  <c r="AJ251" i="29"/>
  <c r="AK251" i="29" s="1"/>
  <c r="AJ542" i="29"/>
  <c r="AK542" i="29" s="1"/>
  <c r="AJ22" i="29"/>
  <c r="AK22" i="29" s="1"/>
  <c r="AJ23" i="29"/>
  <c r="AK23" i="29" s="1"/>
  <c r="AJ410" i="29"/>
  <c r="AK410" i="29" s="1"/>
  <c r="AJ279" i="29"/>
  <c r="AK279" i="29" s="1"/>
  <c r="AJ131" i="29"/>
  <c r="AK131" i="29" s="1"/>
  <c r="AJ409" i="29"/>
  <c r="AK409" i="29" s="1"/>
  <c r="AJ280" i="29"/>
  <c r="AK280" i="29" s="1"/>
  <c r="AJ541" i="29"/>
  <c r="AK541" i="29" s="1"/>
  <c r="AA492" i="29"/>
  <c r="AJ491" i="29"/>
  <c r="AK491" i="29" s="1"/>
  <c r="AJ449" i="29"/>
  <c r="AK449" i="29" s="1"/>
  <c r="AA450" i="29"/>
  <c r="AJ179" i="29"/>
  <c r="AK179" i="29" s="1"/>
  <c r="AA245" i="29"/>
  <c r="AJ244" i="29"/>
  <c r="AK244" i="29" s="1"/>
  <c r="AA179" i="29"/>
  <c r="AJ595" i="29"/>
  <c r="AK595" i="29" s="1"/>
  <c r="AA37" i="29"/>
  <c r="AJ433" i="29"/>
  <c r="AK433" i="29" s="1"/>
  <c r="AJ434" i="29"/>
  <c r="AK434" i="29" s="1"/>
  <c r="AA382" i="29"/>
  <c r="AJ55" i="29"/>
  <c r="AK55" i="29" s="1"/>
  <c r="AJ432" i="29"/>
  <c r="AK432" i="29" s="1"/>
  <c r="AJ315" i="29"/>
  <c r="AK315" i="29" s="1"/>
  <c r="AJ382" i="29"/>
  <c r="AK382" i="29" s="1"/>
  <c r="AJ374" i="29"/>
  <c r="AK374" i="29" s="1"/>
  <c r="AJ369" i="29"/>
  <c r="AK369" i="29" s="1"/>
  <c r="AJ314" i="29"/>
  <c r="AK314" i="29" s="1"/>
  <c r="AJ420" i="29"/>
  <c r="AK420" i="29" s="1"/>
  <c r="AA375" i="29"/>
  <c r="AA421" i="29"/>
  <c r="AJ368" i="29"/>
  <c r="AK368" i="29" s="1"/>
  <c r="AJ198" i="29"/>
  <c r="AK198" i="29" s="1"/>
  <c r="AJ37" i="29"/>
  <c r="AK37" i="29" s="1"/>
  <c r="AJ431" i="29"/>
  <c r="AK431" i="29" s="1"/>
  <c r="AJ594" i="29"/>
  <c r="AK594" i="29" s="1"/>
  <c r="AJ300" i="29"/>
  <c r="AK300" i="29" s="1"/>
  <c r="AJ91" i="29"/>
  <c r="AK91" i="29" s="1"/>
  <c r="AA301" i="29"/>
  <c r="AJ533" i="29"/>
  <c r="AK533" i="29" s="1"/>
  <c r="AJ304" i="29"/>
  <c r="AK304" i="29" s="1"/>
  <c r="AA305" i="29"/>
  <c r="AA525" i="29"/>
  <c r="AJ524" i="29"/>
  <c r="AK524" i="29" s="1"/>
  <c r="AA444" i="29"/>
  <c r="AA335" i="29"/>
  <c r="AJ14" i="29"/>
  <c r="AK14" i="29" s="1"/>
  <c r="AJ15" i="29"/>
  <c r="AK15" i="29" s="1"/>
  <c r="AJ353" i="29"/>
  <c r="AK353" i="29" s="1"/>
  <c r="AJ213" i="29"/>
  <c r="AK213" i="29" s="1"/>
  <c r="AJ352" i="29"/>
  <c r="AK352" i="29" s="1"/>
  <c r="AJ212" i="29"/>
  <c r="AK212" i="29" s="1"/>
  <c r="AA26" i="29"/>
  <c r="AA278" i="29"/>
  <c r="AJ334" i="29"/>
  <c r="AK334" i="29" s="1"/>
  <c r="AA531" i="29"/>
  <c r="AJ82" i="29"/>
  <c r="AK82" i="29" s="1"/>
  <c r="AJ530" i="29"/>
  <c r="AK530" i="29" s="1"/>
  <c r="AA360" i="29"/>
  <c r="AJ81" i="29"/>
  <c r="AK81" i="29" s="1"/>
  <c r="AJ360" i="29"/>
  <c r="AK360" i="29" s="1"/>
  <c r="AJ444" i="29"/>
  <c r="AK444" i="29" s="1"/>
  <c r="AJ495" i="29"/>
  <c r="AK495" i="29" s="1"/>
  <c r="AJ309" i="29"/>
  <c r="AK309" i="29" s="1"/>
  <c r="AJ26" i="29"/>
  <c r="AK26" i="29" s="1"/>
  <c r="AA310" i="29"/>
  <c r="AA200" i="29"/>
  <c r="AJ199" i="29"/>
  <c r="AK199" i="29" s="1"/>
  <c r="CB168" i="25"/>
  <c r="CF168" i="25"/>
  <c r="AJ440" i="29"/>
  <c r="AK440" i="29" s="1"/>
  <c r="CF211" i="24"/>
  <c r="AA495" i="29"/>
  <c r="CB102" i="25"/>
  <c r="CF102" i="25"/>
  <c r="CB163" i="25"/>
  <c r="CF163" i="25"/>
  <c r="CB156" i="25"/>
  <c r="CF156" i="25"/>
  <c r="CB79" i="25"/>
  <c r="CF79" i="25"/>
  <c r="CB166" i="25"/>
  <c r="CF166" i="25"/>
  <c r="CB176" i="25"/>
  <c r="CF176" i="25"/>
  <c r="BB212" i="25"/>
  <c r="BS212" i="25" s="1"/>
  <c r="BC212" i="25"/>
  <c r="BT212" i="25" s="1"/>
  <c r="BA212" i="25"/>
  <c r="CB210" i="25"/>
  <c r="CF210" i="25"/>
  <c r="CB72" i="25"/>
  <c r="CF72" i="25"/>
  <c r="CB171" i="25"/>
  <c r="CF171" i="25"/>
  <c r="CB74" i="25"/>
  <c r="CF74" i="25"/>
  <c r="CB160" i="25"/>
  <c r="CF160" i="25"/>
  <c r="AA585" i="29"/>
  <c r="AJ584" i="29"/>
  <c r="AK584" i="29" s="1"/>
  <c r="CB194" i="25"/>
  <c r="CF194" i="25"/>
  <c r="BE212" i="25" l="1"/>
  <c r="BR212" i="25"/>
  <c r="BX212" i="25" s="1"/>
  <c r="AK9" i="29"/>
  <c r="W5" i="29" s="1"/>
  <c r="B43" i="29" s="1"/>
  <c r="AK7" i="29"/>
  <c r="AL7" i="29" s="1"/>
  <c r="CF211" i="25"/>
  <c r="BL212" i="25" l="1"/>
  <c r="BY212" i="25"/>
  <c r="CA212" i="25" s="1"/>
  <c r="BK212" i="25"/>
  <c r="W4" i="29"/>
  <c r="G639" i="29" s="1"/>
  <c r="AL9" i="29"/>
  <c r="G617" i="29" l="1"/>
  <c r="J617" i="29" s="1"/>
  <c r="CB212" i="25"/>
  <c r="CF212" i="25"/>
  <c r="B42" i="29"/>
  <c r="G640" i="29"/>
  <c r="G618" i="29" l="1"/>
  <c r="G619" i="29" s="1"/>
  <c r="S617" i="29"/>
  <c r="I617" i="29"/>
  <c r="Q617" i="29"/>
  <c r="L617" i="29"/>
  <c r="AH617" i="29" s="1"/>
  <c r="K617" i="29"/>
  <c r="R617" i="29"/>
  <c r="O617" i="29"/>
  <c r="T617" i="29"/>
  <c r="P617" i="29"/>
  <c r="AG617" i="29" l="1"/>
  <c r="X617" i="29"/>
  <c r="Y617" i="29" s="1"/>
  <c r="AD617" i="29"/>
  <c r="AE617" i="29"/>
  <c r="W617" i="29"/>
  <c r="X62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LM5185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LM5185 low I</t>
        </r>
        <r>
          <rPr>
            <b/>
            <vertAlign val="subscript"/>
            <sz val="9"/>
            <color indexed="81"/>
            <rFont val="Tahoma"/>
            <family val="2"/>
          </rPr>
          <t>Q</t>
        </r>
        <r>
          <rPr>
            <b/>
            <sz val="9"/>
            <color indexed="81"/>
            <rFont val="Tahoma"/>
            <family val="2"/>
          </rPr>
          <t xml:space="preserve"> PSR flyback controller.</t>
        </r>
        <r>
          <rPr>
            <sz val="9"/>
            <color indexed="81"/>
            <rFont val="Tahoma"/>
            <family val="2"/>
          </rPr>
          <t xml:space="preserve"> As such, the user can expeditiously arrive at an optimized design by virtue of the following:
- Select transformer parameters including turns ratio and mag inductance
- Select current sense resistor
- Select power MOSFET parameters including RdsON, Qg and Coss
- Determine input and output capacitances for specified ripple requirements (1% Vout and 5% Vin)
- Select components for feedback, soft-start, input UVLO, and temperature compensation
- Select desired open loop crossover frequency, and choose loop compensation network components 
- Advise componnets (usually optional) for SW voltage clamp and and flyback diode snubber
- Decide the optional use of dummy loads or output Zener clamp 
- Optimize the design using efficiency and solution size as key performance metrics
- Inspect converter efficiency and switching frequency over load and line
- Inspect open loop Bode Plots for appropriate loop design.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b/>
            <sz val="9"/>
            <color indexed="81"/>
            <rFont val="Tahoma"/>
            <family val="2"/>
          </rPr>
          <t>Dislcaimer:</t>
        </r>
        <r>
          <rPr>
            <u/>
            <sz val="9"/>
            <color indexed="12"/>
            <rFont val="Tahoma"/>
            <family val="2"/>
          </rPr>
          <t xml:space="preserve">
https://www.ti.com/legal/important-notice-and-disclaimer.html
</t>
        </r>
        <r>
          <rPr>
            <sz val="9"/>
            <color indexed="81"/>
            <rFont val="Tahoma"/>
            <family val="2"/>
          </rPr>
          <t xml:space="preserve">
</t>
        </r>
        <r>
          <rPr>
            <b/>
            <sz val="9"/>
            <color indexed="81"/>
            <rFont val="Tahoma"/>
            <family val="2"/>
          </rPr>
          <t xml:space="preserve">
Rev 3.3, Youhao Xi, Texas Instruments, Inc.</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LM5185-Q1 product datasheet and EVM user's guides for more details.
</t>
        </r>
        <r>
          <rPr>
            <b/>
            <sz val="9"/>
            <color indexed="81"/>
            <rFont val="Tahoma"/>
            <family val="2"/>
          </rPr>
          <t>Rev 0, WVB/SR/APP,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LM5185 input voltage operating range is 4.5V to 100V.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6" authorId="0" shapeId="0" xr:uid="{00000000-0006-0000-0000-000004000000}">
      <text>
        <r>
          <rPr>
            <b/>
            <u/>
            <sz val="9"/>
            <color indexed="81"/>
            <rFont val="Tahoma"/>
            <family val="2"/>
          </rPr>
          <t>Recommended Magnetizing Inductance</t>
        </r>
        <r>
          <rPr>
            <b/>
            <sz val="9"/>
            <color indexed="81"/>
            <rFont val="Tahoma"/>
            <family val="2"/>
          </rPr>
          <t xml:space="preserve">:
</t>
        </r>
        <r>
          <rPr>
            <sz val="9"/>
            <color indexed="81"/>
            <rFont val="Tahoma"/>
            <family val="2"/>
          </rPr>
          <t>The recommended magnetizing inductance is set to operate at about 200 to 250kHz switching in BCM under full load and Vin_nom. Try not to deviate much from this recommended inductances:
--If the inductance is too high, the transformer would be larger and more expensive.
--If the inductance is too small, the efficiency would be sacrificed due to increase conduction losses with higher peak current.</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LM5185 input voltage operating range is 4.5V to 100V.
</t>
        </r>
        <r>
          <rPr>
            <b/>
            <sz val="9"/>
            <color indexed="81"/>
            <rFont val="Tahoma"/>
            <family val="2"/>
          </rPr>
          <t xml:space="preserve">The text in this cell is red if:
</t>
        </r>
        <r>
          <rPr>
            <sz val="9"/>
            <color indexed="81"/>
            <rFont val="Tahoma"/>
            <family val="2"/>
          </rPr>
          <t>-The Nom Vin is less than Min Vin</t>
        </r>
        <r>
          <rPr>
            <b/>
            <sz val="9"/>
            <color indexed="81"/>
            <rFont val="Tahoma"/>
            <family val="2"/>
          </rPr>
          <t>.</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of your choice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is too small. Increase the choosen value.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LM5185 input voltage operating range is 4.5V to 100V.
</t>
        </r>
        <r>
          <rPr>
            <b/>
            <sz val="9"/>
            <color indexed="81"/>
            <rFont val="Tahoma"/>
            <family val="2"/>
          </rPr>
          <t xml:space="preserve">The text in this cell is red if:
</t>
        </r>
        <r>
          <rPr>
            <sz val="9"/>
            <color indexed="81"/>
            <rFont val="Tahoma"/>
            <family val="2"/>
          </rPr>
          <t xml:space="preserve">-The Max Vin is less than the Nom Vin.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2" authorId="1" shapeId="0" xr:uid="{CAB962D0-E7B4-4770-8363-E972CE1155C9}">
      <text>
        <r>
          <rPr>
            <b/>
            <sz val="9"/>
            <color indexed="81"/>
            <rFont val="Tahoma"/>
            <family val="2"/>
          </rPr>
          <t xml:space="preserve">Proposed turns ratio.
</t>
        </r>
        <r>
          <rPr>
            <sz val="9"/>
            <color indexed="81"/>
            <rFont val="Tahoma"/>
            <family val="2"/>
          </rPr>
          <t xml:space="preserve">The cell will turn red if the duty cycle under VIN(min) exceeds 75%. The design may still work, but you may consider to adjust the turns ration slightly.
</t>
        </r>
      </text>
    </comment>
    <comment ref="F13" authorId="1" shapeId="0" xr:uid="{1722616E-F390-487A-A34E-2B05516BC09F}">
      <text>
        <r>
          <rPr>
            <b/>
            <sz val="9"/>
            <color indexed="81"/>
            <rFont val="Tahoma"/>
            <family val="2"/>
          </rPr>
          <t xml:space="preserve">Second Output Load Current.
</t>
        </r>
        <r>
          <rPr>
            <sz val="9"/>
            <color indexed="81"/>
            <rFont val="Tahoma"/>
            <family val="2"/>
          </rPr>
          <t>The text in the cell will turn</t>
        </r>
        <r>
          <rPr>
            <b/>
            <sz val="9"/>
            <color indexed="10"/>
            <rFont val="Tahoma"/>
            <family val="2"/>
          </rPr>
          <t xml:space="preserve"> red if</t>
        </r>
        <r>
          <rPr>
            <b/>
            <sz val="9"/>
            <color indexed="81"/>
            <rFont val="Tahoma"/>
            <family val="2"/>
          </rPr>
          <t xml:space="preserve"> </t>
        </r>
        <r>
          <rPr>
            <sz val="9"/>
            <color indexed="81"/>
            <rFont val="Tahoma"/>
            <family val="2"/>
          </rPr>
          <t>the current has a different sign from the VOUT2.</t>
        </r>
      </text>
    </comment>
    <comment ref="M15" authorId="0" shapeId="0" xr:uid="{00000000-0006-0000-0000-00000C00000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
If the cell shows "#VALUE!", reduce Rcs value in Cell E17.</t>
        </r>
      </text>
    </comment>
    <comment ref="M16" authorId="0" shapeId="0" xr:uid="{00000000-0006-0000-0000-00000D00000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voltage. Adjust the transformer turns ratio if needed. Allow at least a 10% margin viz-a-viz the required output power.
If the cell shows "#VALUE!", reduce Rcs value in E17.</t>
        </r>
      </text>
    </comment>
    <comment ref="F17" authorId="0" shapeId="0" xr:uid="{00000000-0006-0000-0000-00000E000000}">
      <text>
        <r>
          <rPr>
            <b/>
            <u/>
            <sz val="9"/>
            <color indexed="81"/>
            <rFont val="Tahoma"/>
            <family val="2"/>
          </rPr>
          <t>Current Sense Resistor</t>
        </r>
        <r>
          <rPr>
            <b/>
            <sz val="9"/>
            <color indexed="81"/>
            <rFont val="Tahoma"/>
            <family val="2"/>
          </rPr>
          <t xml:space="preserve">:
</t>
        </r>
        <r>
          <rPr>
            <sz val="9"/>
            <color indexed="81"/>
            <rFont val="Tahoma"/>
            <family val="2"/>
          </rPr>
          <t xml:space="preserve">Enter the current sense resistor value here.
The text in the cell will turn </t>
        </r>
        <r>
          <rPr>
            <b/>
            <sz val="9"/>
            <color indexed="10"/>
            <rFont val="Tahoma"/>
            <family val="2"/>
          </rPr>
          <t xml:space="preserve">  red </t>
        </r>
        <r>
          <rPr>
            <b/>
            <sz val="9"/>
            <color indexed="81"/>
            <rFont val="Tahoma"/>
            <family val="2"/>
          </rPr>
          <t xml:space="preserve"> if the selection is greater tha</t>
        </r>
        <r>
          <rPr>
            <sz val="9"/>
            <color indexed="81"/>
            <rFont val="Tahoma"/>
            <family val="2"/>
          </rPr>
          <t>n the recommended maximum Rcs value, and</t>
        </r>
        <r>
          <rPr>
            <b/>
            <sz val="9"/>
            <color indexed="81"/>
            <rFont val="Tahoma"/>
            <family val="2"/>
          </rPr>
          <t xml:space="preserve"> full load would not be guaranteed</t>
        </r>
        <r>
          <rPr>
            <sz val="9"/>
            <color indexed="81"/>
            <rFont val="Tahoma"/>
            <family val="2"/>
          </rPr>
          <t xml:space="preserve">. </t>
        </r>
      </text>
    </comment>
    <comment ref="F18" authorId="1" shapeId="0" xr:uid="{37226554-35AD-4B24-AFBD-ADB0FE41ABA9}">
      <text>
        <r>
          <rPr>
            <b/>
            <sz val="9"/>
            <color indexed="81"/>
            <rFont val="Tahoma"/>
            <family val="2"/>
          </rPr>
          <t xml:space="preserve">Important: The selected transformer Isat should </t>
        </r>
        <r>
          <rPr>
            <b/>
            <i/>
            <sz val="9"/>
            <color indexed="81"/>
            <rFont val="Tahoma"/>
            <family val="2"/>
          </rPr>
          <t>not</t>
        </r>
        <r>
          <rPr>
            <b/>
            <sz val="9"/>
            <color indexed="81"/>
            <rFont val="Tahoma"/>
            <family val="2"/>
          </rPr>
          <t xml:space="preserve"> be smaller than this value.</t>
        </r>
      </text>
    </comment>
    <comment ref="F23" authorId="1" shapeId="0" xr:uid="{8656CEB6-6ED9-41C6-8605-018CF280C9F0}">
      <text>
        <r>
          <rPr>
            <b/>
            <sz val="9"/>
            <color indexed="81"/>
            <rFont val="Tahoma"/>
            <family val="2"/>
          </rPr>
          <t>Selected Zener Rated Voltage.</t>
        </r>
        <r>
          <rPr>
            <sz val="9"/>
            <color indexed="81"/>
            <rFont val="Tahoma"/>
            <family val="2"/>
          </rPr>
          <t xml:space="preserve">
The text in the cell will turn </t>
        </r>
        <r>
          <rPr>
            <b/>
            <sz val="9"/>
            <color indexed="10"/>
            <rFont val="Tahoma"/>
            <family val="2"/>
          </rPr>
          <t>red if</t>
        </r>
        <r>
          <rPr>
            <sz val="9"/>
            <color indexed="81"/>
            <rFont val="Tahoma"/>
            <family val="2"/>
          </rPr>
          <t xml:space="preserve"> the selected Zener voltage is lower than the recommended value.</t>
        </r>
      </text>
    </comment>
    <comment ref="F24" authorId="1" shapeId="0" xr:uid="{31A291A4-31E5-44E3-9BAC-33CB570C70F5}">
      <text>
        <r>
          <rPr>
            <b/>
            <sz val="9"/>
            <color indexed="81"/>
            <rFont val="Tahoma"/>
            <family val="2"/>
          </rPr>
          <t>Power MOSFET Vds Rating</t>
        </r>
        <r>
          <rPr>
            <sz val="9"/>
            <color indexed="81"/>
            <rFont val="Tahoma"/>
            <family val="2"/>
          </rPr>
          <t xml:space="preserve"> should </t>
        </r>
        <r>
          <rPr>
            <b/>
            <i/>
            <sz val="9"/>
            <color indexed="81"/>
            <rFont val="Tahoma"/>
            <family val="2"/>
          </rPr>
          <t>not</t>
        </r>
        <r>
          <rPr>
            <sz val="9"/>
            <color indexed="81"/>
            <rFont val="Tahoma"/>
            <family val="2"/>
          </rPr>
          <t xml:space="preserve"> be less than this value. 
</t>
        </r>
      </text>
    </comment>
    <comment ref="M24" authorId="0" shapeId="0" xr:uid="{00000000-0006-0000-0000-00000F000000}">
      <text>
        <r>
          <rPr>
            <b/>
            <u/>
            <sz val="9"/>
            <color indexed="81"/>
            <rFont val="Tahoma"/>
            <family val="2"/>
          </rPr>
          <t>MOSFET Qg</t>
        </r>
        <r>
          <rPr>
            <b/>
            <sz val="9"/>
            <color indexed="81"/>
            <rFont val="Tahoma"/>
            <family val="2"/>
          </rPr>
          <t xml:space="preserve">:
</t>
        </r>
        <r>
          <rPr>
            <sz val="9"/>
            <color indexed="81"/>
            <rFont val="Tahoma"/>
            <family val="2"/>
          </rPr>
          <t>Choose a MOSFET having a total gate charge of less than the recommended Max Qg.</t>
        </r>
      </text>
    </comment>
    <comment ref="M25" authorId="0" shapeId="0" xr:uid="{00000000-0006-0000-0000-000010000000}">
      <text>
        <r>
          <rPr>
            <b/>
            <u/>
            <sz val="9"/>
            <color indexed="81"/>
            <rFont val="Tahoma"/>
            <family val="2"/>
          </rPr>
          <t>MOSFET Coss</t>
        </r>
        <r>
          <rPr>
            <sz val="9"/>
            <color indexed="81"/>
            <rFont val="Tahoma"/>
            <family val="2"/>
          </rPr>
          <t xml:space="preserve">
Enter the Coss parameter of selected MOSFET.</t>
        </r>
      </text>
    </comment>
    <comment ref="M26" authorId="0" shapeId="0" xr:uid="{CEB6B93C-5411-41EE-A8C1-47824136DD57}">
      <text>
        <r>
          <rPr>
            <b/>
            <u/>
            <sz val="9"/>
            <color indexed="81"/>
            <rFont val="Tahoma"/>
            <family val="2"/>
          </rPr>
          <t>MOSFET Power Dissipation</t>
        </r>
        <r>
          <rPr>
            <b/>
            <sz val="9"/>
            <color indexed="81"/>
            <rFont val="Tahoma"/>
            <family val="2"/>
          </rPr>
          <t xml:space="preserve">:
</t>
        </r>
        <r>
          <rPr>
            <sz val="9"/>
            <color indexed="81"/>
            <rFont val="Tahoma"/>
            <family val="2"/>
          </rPr>
          <t>Estimated maximum MOSFET power dissipation. Make sure to choose appropriate MOSFET package and/or heatsink for effective heat dissipation.</t>
        </r>
      </text>
    </comment>
    <comment ref="F29" authorId="0" shapeId="0" xr:uid="{00000000-0006-0000-0000-000011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30" authorId="0" shapeId="0" xr:uid="{00000000-0006-0000-0000-000012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31" authorId="0" shapeId="0" xr:uid="{00000000-0006-0000-0000-000013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T31" authorId="1" shapeId="0" xr:uid="{29CE184D-A96B-4A3A-A63A-D90B0214AAB4}">
      <text>
        <r>
          <rPr>
            <b/>
            <sz val="9"/>
            <color indexed="81"/>
            <rFont val="Tahoma"/>
            <family val="2"/>
          </rPr>
          <t xml:space="preserve">Output #2 Diode Forward Voltage Drop at Rated Load Current.
</t>
        </r>
        <r>
          <rPr>
            <sz val="9"/>
            <color indexed="81"/>
            <rFont val="Tahoma"/>
            <family val="2"/>
          </rPr>
          <t>The text in the cell will turn</t>
        </r>
        <r>
          <rPr>
            <b/>
            <sz val="9"/>
            <color indexed="81"/>
            <rFont val="Tahoma"/>
            <family val="2"/>
          </rPr>
          <t xml:space="preserve"> </t>
        </r>
        <r>
          <rPr>
            <b/>
            <sz val="9"/>
            <color indexed="10"/>
            <rFont val="Tahoma"/>
            <family val="2"/>
          </rPr>
          <t>red</t>
        </r>
        <r>
          <rPr>
            <b/>
            <sz val="9"/>
            <color indexed="81"/>
            <rFont val="Tahoma"/>
            <family val="2"/>
          </rPr>
          <t xml:space="preserve"> </t>
        </r>
        <r>
          <rPr>
            <sz val="9"/>
            <color indexed="81"/>
            <rFont val="Tahoma"/>
            <family val="2"/>
          </rPr>
          <t xml:space="preserve">if the forward drop voltage is obviously wrong for being outside the normal 0.3V and 1.5V. 
</t>
        </r>
      </text>
    </comment>
    <comment ref="F33" authorId="0" shapeId="0" xr:uid="{00000000-0006-0000-0000-000014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34" authorId="0" shapeId="0" xr:uid="{00000000-0006-0000-0000-000015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35" authorId="0" shapeId="0" xr:uid="{00000000-0006-0000-0000-000016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40" authorId="1" shapeId="0" xr:uid="{8F39E3FF-D354-49C6-9CDD-AD8F94FD11ED}">
      <text>
        <r>
          <rPr>
            <b/>
            <u/>
            <sz val="9"/>
            <color indexed="81"/>
            <rFont val="Tahoma"/>
            <family val="2"/>
          </rPr>
          <t>Feedback Resistor:</t>
        </r>
        <r>
          <rPr>
            <b/>
            <sz val="9"/>
            <color indexed="81"/>
            <rFont val="Tahoma"/>
            <family val="2"/>
          </rPr>
          <t xml:space="preserve">
</t>
        </r>
        <r>
          <rPr>
            <sz val="9"/>
            <color indexed="81"/>
            <rFont val="Tahoma"/>
            <family val="2"/>
          </rPr>
          <t xml:space="preserve">Choose a standard resistor value most close to above recommend value. To be more precise on Vout setting, you may consider to use a combination of two resistors to sever as the Feedback Resistor.  </t>
        </r>
        <r>
          <rPr>
            <b/>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if the selected Feedback Resistor has more than 3% errors.</t>
        </r>
        <r>
          <rPr>
            <b/>
            <sz val="9"/>
            <color indexed="81"/>
            <rFont val="Tahoma"/>
            <family val="2"/>
          </rPr>
          <t xml:space="preserve">  </t>
        </r>
        <r>
          <rPr>
            <sz val="9"/>
            <color indexed="81"/>
            <rFont val="Tahoma"/>
            <family val="2"/>
          </rPr>
          <t>Correct it by choosing a closer value, or the output voltage would have more errors.</t>
        </r>
        <r>
          <rPr>
            <b/>
            <sz val="9"/>
            <color indexed="81"/>
            <rFont val="Tahoma"/>
            <family val="2"/>
          </rPr>
          <t xml:space="preserve">
</t>
        </r>
      </text>
    </comment>
    <comment ref="F41" authorId="0" shapeId="0" xr:uid="{00000000-0006-0000-0000-000017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 pin open circuit</t>
        </r>
        <r>
          <rPr>
            <sz val="9"/>
            <color indexed="81"/>
            <rFont val="Tahoma"/>
            <family val="2"/>
          </rPr>
          <t xml:space="preserve"> to provide a soft-start time of </t>
        </r>
        <r>
          <rPr>
            <b/>
            <sz val="9"/>
            <color indexed="81"/>
            <rFont val="Tahoma"/>
            <family val="2"/>
          </rPr>
          <t>6ms</t>
        </r>
        <r>
          <rPr>
            <sz val="9"/>
            <color indexed="81"/>
            <rFont val="Tahoma"/>
            <family val="2"/>
          </rPr>
          <t>.</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47" authorId="0" shapeId="0" xr:uid="{00000000-0006-0000-0000-000018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LM5185 input operating voltage range is</t>
        </r>
        <r>
          <rPr>
            <b/>
            <sz val="9"/>
            <color indexed="81"/>
            <rFont val="Tahoma"/>
            <family val="2"/>
          </rPr>
          <t xml:space="preserve"> 4.5V to 100V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100V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58" authorId="1" shapeId="0" xr:uid="{66D463F3-366F-4049-B7E1-9889759B4CB5}">
      <text>
        <r>
          <rPr>
            <b/>
            <sz val="9"/>
            <color indexed="81"/>
            <rFont val="Tahoma"/>
            <family val="2"/>
          </rPr>
          <t>Selected crossover frequency.</t>
        </r>
        <r>
          <rPr>
            <sz val="9"/>
            <color indexed="81"/>
            <rFont val="Tahoma"/>
            <family val="2"/>
          </rPr>
          <t xml:space="preserve">
</t>
        </r>
        <r>
          <rPr>
            <b/>
            <sz val="9"/>
            <color indexed="10"/>
            <rFont val="Tahoma"/>
            <family val="2"/>
          </rPr>
          <t>Cell will turn red if</t>
        </r>
        <r>
          <rPr>
            <sz val="9"/>
            <color indexed="81"/>
            <rFont val="Tahoma"/>
            <family val="2"/>
          </rPr>
          <t xml:space="preserve"> the selected Fco is greater than the allowed max cross frequency. 
</t>
        </r>
      </text>
    </comment>
    <comment ref="F74" authorId="1" shapeId="0" xr:uid="{A51CBC47-A0CB-455A-87DD-88758B3FDBAB}">
      <text>
        <r>
          <rPr>
            <b/>
            <u/>
            <sz val="9"/>
            <color indexed="81"/>
            <rFont val="Tahoma"/>
            <family val="2"/>
          </rPr>
          <t xml:space="preserve">Max Output Voltage Limit
</t>
        </r>
        <r>
          <rPr>
            <sz val="9"/>
            <color indexed="81"/>
            <rFont val="Tahoma"/>
            <family val="2"/>
          </rPr>
          <t xml:space="preserve">Enter the max Vout limit. 
</t>
        </r>
        <r>
          <rPr>
            <b/>
            <u/>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 xml:space="preserve">if the limit is less than the regulation level +3%. 
</t>
        </r>
        <r>
          <rPr>
            <b/>
            <sz val="9"/>
            <color indexed="81"/>
            <rFont val="Tahoma"/>
            <family val="2"/>
          </rPr>
          <t xml:space="preserve"> 
</t>
        </r>
        <r>
          <rPr>
            <sz val="9"/>
            <color indexed="81"/>
            <rFont val="Tahoma"/>
            <family val="2"/>
          </rPr>
          <t xml:space="preserve">
</t>
        </r>
      </text>
    </comment>
    <comment ref="M74" authorId="1" shapeId="0" xr:uid="{27B7591D-3163-44B0-8F59-E6AA7979D1D3}">
      <text>
        <r>
          <rPr>
            <b/>
            <u/>
            <sz val="9"/>
            <color indexed="81"/>
            <rFont val="Tahoma"/>
            <family val="2"/>
          </rPr>
          <t>Max Output Voltage Limit</t>
        </r>
        <r>
          <rPr>
            <b/>
            <sz val="9"/>
            <color indexed="81"/>
            <rFont val="Tahoma"/>
            <family val="2"/>
          </rPr>
          <t xml:space="preserve">
</t>
        </r>
        <r>
          <rPr>
            <sz val="9"/>
            <color indexed="81"/>
            <rFont val="Tahoma"/>
            <family val="2"/>
          </rPr>
          <t xml:space="preserve">Enter the max Vout limit. </t>
        </r>
        <r>
          <rPr>
            <b/>
            <sz val="9"/>
            <color indexed="81"/>
            <rFont val="Tahoma"/>
            <family val="2"/>
          </rPr>
          <t xml:space="preserve">
</t>
        </r>
        <r>
          <rPr>
            <b/>
            <sz val="10"/>
            <color indexed="10"/>
            <rFont val="Arial"/>
            <family val="2"/>
          </rPr>
          <t>Cell will turn red</t>
        </r>
        <r>
          <rPr>
            <sz val="9"/>
            <color indexed="81"/>
            <rFont val="Tahoma"/>
            <family val="2"/>
          </rPr>
          <t xml:space="preserve"> if the limit is less than the regulation level +3%. </t>
        </r>
      </text>
    </comment>
    <comment ref="F80" authorId="2" shapeId="0" xr:uid="{00000000-0006-0000-0000-000019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feedback resistor calculation)
The text in the cell will turn </t>
        </r>
        <r>
          <rPr>
            <b/>
            <sz val="9"/>
            <color indexed="10"/>
            <rFont val="Tahoma"/>
            <family val="2"/>
          </rPr>
          <t>red</t>
        </r>
        <r>
          <rPr>
            <sz val="9"/>
            <color indexed="81"/>
            <rFont val="Tahoma"/>
            <family val="2"/>
          </rPr>
          <t xml:space="preserve"> if the no load voltage drop is smaller than full load voltage drop. Wrong calculated can be resulted.
</t>
        </r>
      </text>
    </comment>
    <comment ref="F81" authorId="2" shapeId="0" xr:uid="{00000000-0006-0000-0000-00001A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83" authorId="0" shapeId="0" xr:uid="{00000000-0006-0000-0000-00001C000000}">
      <text>
        <r>
          <rPr>
            <b/>
            <u/>
            <sz val="9"/>
            <color indexed="81"/>
            <rFont val="Tahoma"/>
            <family val="2"/>
          </rPr>
          <t>Ambient Operating Temperature</t>
        </r>
        <r>
          <rPr>
            <b/>
            <sz val="9"/>
            <color indexed="81"/>
            <rFont val="Tahoma"/>
            <family val="2"/>
          </rPr>
          <t xml:space="preserve">:
</t>
        </r>
        <r>
          <rPr>
            <sz val="9"/>
            <color indexed="81"/>
            <rFont val="Tahoma"/>
            <family val="2"/>
          </rPr>
          <t>Enter the LM5185's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85" authorId="0" shapeId="0" xr:uid="{00000000-0006-0000-0000-00001D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LM5185's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3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3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<sst xmlns="http://schemas.openxmlformats.org/spreadsheetml/2006/main" count="2461" uniqueCount="960">
  <si>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</si>
  <si>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</si>
  <si>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</si>
  <si>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</si>
  <si>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</si>
  <si>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</si>
  <si>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</si>
  <si>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</si>
  <si>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</si>
  <si>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</si>
  <si>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</si>
  <si>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</si>
  <si>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</si>
  <si>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</si>
  <si>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</si>
  <si>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</si>
  <si>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</si>
  <si>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</si>
  <si>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</si>
  <si>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</si>
  <si>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</si>
  <si>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</si>
  <si>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</si>
  <si>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</si>
  <si>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</si>
  <si>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</si>
  <si>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</si>
  <si>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</si>
  <si>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</si>
  <si>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</si>
  <si>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</si>
  <si>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</si>
  <si>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</si>
  <si>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</si>
  <si>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</si>
  <si>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</si>
  <si>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</si>
  <si>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</si>
  <si>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</si>
  <si>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</si>
  <si>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</si>
  <si>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</si>
  <si>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</si>
  <si>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</si>
  <si>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</si>
  <si>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</si>
  <si>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</si>
  <si>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</si>
  <si>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</si>
  <si>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</si>
  <si>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</si>
  <si>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</si>
  <si>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</si>
  <si>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</si>
  <si>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</si>
  <si>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</si>
  <si>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</si>
  <si>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</si>
  <si>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</si>
  <si>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</si>
  <si>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</si>
  <si>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</si>
  <si>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</si>
  <si>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</si>
  <si>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</si>
  <si>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</si>
  <si>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</si>
  <si>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</si>
  <si>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</si>
  <si>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</si>
  <si>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</si>
  <si>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</si>
  <si>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</si>
  <si>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</si>
  <si>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</si>
  <si>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</si>
  <si>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</si>
  <si>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</si>
  <si>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</si>
  <si>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</si>
  <si>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</si>
  <si>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</si>
  <si>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</si>
  <si>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</si>
  <si>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</si>
  <si>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</si>
  <si>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</si>
  <si>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</si>
  <si>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</si>
  <si>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</si>
  <si>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</si>
  <si>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</si>
  <si>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</si>
  <si>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</si>
  <si>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</si>
  <si>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</si>
  <si>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</si>
  <si>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</si>
  <si>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</si>
  <si>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</si>
  <si>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</si>
  <si>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</si>
  <si>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</si>
  <si>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</si>
  <si>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</si>
  <si>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</si>
  <si>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</si>
  <si>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</si>
  <si>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</si>
  <si>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</si>
  <si>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</si>
  <si>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</si>
  <si>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</si>
  <si>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</si>
  <si>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</si>
  <si>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</si>
  <si>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</si>
  <si>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</si>
  <si>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</si>
  <si>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</si>
  <si>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</si>
  <si>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</si>
  <si>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</si>
  <si>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</si>
  <si>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</si>
  <si>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</si>
  <si>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</si>
  <si>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</si>
  <si>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</si>
  <si>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</si>
  <si>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</si>
  <si>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</si>
  <si>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</si>
  <si>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</si>
  <si>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</si>
  <si>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</si>
  <si>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</si>
  <si>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</si>
  <si>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</si>
  <si>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</si>
  <si>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</si>
  <si>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</si>
  <si>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</si>
  <si>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</si>
  <si>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</si>
  <si>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</si>
  <si>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</si>
  <si>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</si>
  <si>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</si>
  <si>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</si>
  <si>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</si>
  <si>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</si>
  <si>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</si>
  <si>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</si>
  <si>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</si>
  <si>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</si>
  <si>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</si>
  <si>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</si>
  <si>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</si>
  <si>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</si>
  <si>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</si>
  <si>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</si>
  <si>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</si>
  <si>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</si>
  <si>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</si>
  <si>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</si>
  <si>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</si>
  <si>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</si>
  <si>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</si>
  <si>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</si>
  <si>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</si>
  <si>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</si>
  <si>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</si>
  <si>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</si>
  <si>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</si>
  <si>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</si>
  <si>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</si>
  <si>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</si>
  <si>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</si>
  <si>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</si>
  <si>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</si>
  <si>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</si>
  <si>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</si>
  <si>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</si>
  <si>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</si>
  <si>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</si>
  <si>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</si>
  <si>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</si>
  <si>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</si>
  <si>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</si>
  <si>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</si>
  <si>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</si>
  <si>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</si>
  <si>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</si>
  <si>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</si>
  <si>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</si>
  <si>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</si>
  <si>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</si>
  <si>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</si>
  <si>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</si>
  <si>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</si>
  <si>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</si>
  <si>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</si>
  <si>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</si>
  <si>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</si>
  <si>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</si>
  <si>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</si>
  <si>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</si>
  <si>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</si>
  <si>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</si>
  <si>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</si>
  <si>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</si>
  <si>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</si>
  <si>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</si>
  <si>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</si>
  <si>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</si>
  <si>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</si>
  <si>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</si>
  <si>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</si>
  <si>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</si>
  <si>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</si>
  <si>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</si>
  <si>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</si>
  <si>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</si>
  <si>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</si>
  <si>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</si>
  <si>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</si>
  <si>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</si>
  <si>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</si>
  <si>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</si>
  <si>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</si>
  <si>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</si>
  <si>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</si>
  <si>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</si>
  <si>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</si>
  <si>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</si>
  <si>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</si>
  <si>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</si>
  <si>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</si>
  <si>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</si>
  <si>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</si>
  <si>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</si>
  <si>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</si>
  <si>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</si>
  <si>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</si>
  <si>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</si>
  <si>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</si>
  <si>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</si>
  <si>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</si>
  <si>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</si>
  <si>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</si>
  <si>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</si>
  <si>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</si>
  <si>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</si>
  <si>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</si>
  <si>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</si>
  <si>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</si>
  <si>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</si>
  <si>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</si>
  <si>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</si>
  <si>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</si>
  <si>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</si>
  <si>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</si>
  <si>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</si>
  <si>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</si>
  <si>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</si>
  <si>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</si>
  <si>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</si>
  <si>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</si>
  <si>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</si>
  <si>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</si>
  <si>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</si>
  <si>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</si>
  <si>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</si>
  <si>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</si>
  <si>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</si>
  <si>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</si>
  <si>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</si>
  <si>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</si>
  <si>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</si>
  <si>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</si>
  <si>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</si>
  <si>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</si>
  <si>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</si>
  <si>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</si>
  <si>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</si>
  <si>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</si>
  <si>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</si>
  <si>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</si>
  <si>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</si>
  <si>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</si>
  <si>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</si>
  <si>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</si>
  <si>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</si>
  <si>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VIN</t>
    </r>
    <r>
      <rPr>
        <vertAlign val="subscript"/>
        <sz val="10"/>
        <rFont val="Arial"/>
        <family val="2"/>
      </rPr>
      <t>UVLO_OFF</t>
    </r>
  </si>
  <si>
    <t>Rhys</t>
  </si>
  <si>
    <t>Soft Start</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</si>
  <si>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</si>
  <si>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</si>
  <si>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</si>
  <si>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</si>
  <si>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</si>
  <si>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</si>
  <si>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</si>
  <si>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</si>
  <si>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</si>
  <si>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</si>
  <si>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</si>
  <si>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</si>
  <si>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</si>
  <si>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</si>
  <si>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</si>
  <si>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</si>
  <si>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</si>
  <si>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</si>
  <si>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</si>
  <si>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</si>
  <si>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</si>
  <si>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</si>
  <si>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</si>
  <si>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</si>
  <si>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</si>
  <si>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</si>
  <si>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</si>
  <si>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</si>
  <si>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</si>
  <si>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</si>
  <si>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</si>
  <si>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</si>
  <si>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</si>
  <si>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</si>
  <si>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</si>
  <si>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</si>
  <si>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</si>
  <si>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</si>
  <si>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</si>
  <si>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</si>
  <si>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</si>
  <si>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</si>
  <si>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</si>
  <si>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</si>
  <si>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</si>
  <si>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</si>
  <si>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</si>
  <si>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</si>
  <si>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</si>
  <si>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</si>
  <si>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</si>
  <si>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</si>
  <si>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</si>
  <si>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</si>
  <si>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</si>
  <si>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</si>
  <si>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</si>
  <si>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</si>
  <si>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</si>
  <si>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</si>
  <si>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</si>
  <si>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</si>
  <si>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</si>
  <si>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</si>
  <si>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</si>
  <si>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</si>
  <si>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</si>
  <si>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</si>
  <si>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</si>
  <si>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t>Single Output or Dual Outputs</t>
  </si>
  <si>
    <r>
      <t>Input Voltage – Min, V</t>
    </r>
    <r>
      <rPr>
        <b/>
        <vertAlign val="subscript"/>
        <sz val="10"/>
        <color theme="1"/>
        <rFont val="Arial"/>
        <family val="2"/>
      </rPr>
      <t>IN(min)</t>
    </r>
    <r>
      <rPr>
        <b/>
        <sz val="10"/>
        <color theme="1"/>
        <rFont val="Arial"/>
        <family val="2"/>
      </rPr>
      <t xml:space="preserve"> </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</si>
  <si>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</si>
  <si>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</si>
  <si>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</si>
  <si>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</si>
  <si>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</si>
  <si>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</si>
  <si>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</si>
  <si>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</si>
  <si>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</si>
  <si>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</si>
  <si>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</si>
  <si>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</si>
  <si>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</si>
  <si>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</si>
  <si>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</si>
  <si>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</si>
  <si>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</si>
  <si>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</si>
  <si>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</si>
  <si>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</si>
  <si>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</si>
  <si>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</si>
  <si>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</si>
  <si>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</si>
  <si>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</si>
  <si>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</si>
  <si>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</si>
  <si>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</si>
  <si>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</si>
  <si>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</si>
  <si>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</si>
  <si>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</si>
  <si>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</si>
  <si>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</si>
  <si>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</si>
  <si>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</si>
  <si>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</si>
  <si>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</si>
  <si>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</si>
  <si>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</si>
  <si>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</si>
  <si>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</si>
  <si>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</si>
  <si>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</si>
  <si>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</si>
  <si>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</si>
  <si>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</si>
  <si>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</si>
  <si>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</si>
  <si>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</si>
  <si>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</si>
  <si>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</si>
  <si>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</si>
  <si>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</si>
  <si>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</si>
  <si>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</si>
  <si>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</si>
  <si>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</si>
  <si>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</si>
  <si>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</si>
  <si>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</si>
  <si>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</si>
  <si>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</si>
  <si>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</si>
  <si>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</si>
  <si>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</si>
  <si>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</si>
  <si>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</si>
  <si>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</si>
  <si>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</si>
  <si>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</si>
  <si>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</si>
  <si>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</si>
  <si>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</si>
  <si>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</si>
  <si>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</si>
  <si>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</si>
  <si>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</si>
  <si>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</si>
  <si>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</si>
  <si>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</si>
  <si>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</si>
  <si>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</si>
  <si>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</si>
  <si>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</si>
  <si>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</si>
  <si>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</si>
  <si>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</si>
  <si>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</si>
  <si>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</si>
  <si>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</si>
  <si>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</si>
  <si>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</si>
  <si>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</si>
  <si>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</si>
  <si>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</si>
  <si>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</si>
  <si>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</si>
  <si>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</si>
  <si>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</si>
  <si>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</si>
  <si>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</si>
  <si>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</si>
  <si>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</si>
  <si>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</si>
  <si>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</si>
  <si>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</si>
  <si>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</si>
  <si>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</si>
  <si>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</si>
  <si>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</si>
  <si>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</si>
  <si>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</si>
  <si>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Cout (µF) for 1%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</si>
  <si>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</si>
  <si>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</si>
  <si>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</si>
  <si>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</si>
  <si>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</si>
  <si>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</si>
  <si>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</si>
  <si>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</si>
  <si>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</si>
  <si>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</si>
  <si>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</si>
  <si>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</si>
  <si>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</si>
  <si>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</si>
  <si>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 xml:space="preserve">Resulting Input Voltage Ripple </t>
  </si>
  <si>
    <t>Check Iout-max</t>
  </si>
  <si>
    <t>Iout2</t>
  </si>
  <si>
    <t>Rout2</t>
  </si>
  <si>
    <t>Pout2</t>
  </si>
  <si>
    <t>Load resistance #2</t>
  </si>
  <si>
    <t>Output power #2</t>
  </si>
  <si>
    <t xml:space="preserve">Total Output Power </t>
  </si>
  <si>
    <t>Total power</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</si>
  <si>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</si>
  <si>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</si>
  <si>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</si>
  <si>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</si>
  <si>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</si>
  <si>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</si>
  <si>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</si>
  <si>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</si>
  <si>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</si>
  <si>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</si>
  <si>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</si>
  <si>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</si>
  <si>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</si>
  <si>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</si>
  <si>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</si>
  <si>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</si>
  <si>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</si>
  <si>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</si>
  <si>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</si>
  <si>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</si>
  <si>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</si>
  <si>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</si>
  <si>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</si>
  <si>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</si>
  <si>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</si>
  <si>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</si>
  <si>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</si>
  <si>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</si>
  <si>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</si>
  <si>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</si>
  <si>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</si>
  <si>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</si>
  <si>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</si>
  <si>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</si>
  <si>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</si>
  <si>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</si>
  <si>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</si>
  <si>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</si>
  <si>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</si>
  <si>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</si>
  <si>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</si>
  <si>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</si>
  <si>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</si>
  <si>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</si>
  <si>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</si>
  <si>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</si>
  <si>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</si>
  <si>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</si>
  <si>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</si>
  <si>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</si>
  <si>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</si>
  <si>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</si>
  <si>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</si>
  <si>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</si>
  <si>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</si>
  <si>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</si>
  <si>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</si>
  <si>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</si>
  <si>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</si>
  <si>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</si>
  <si>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</si>
  <si>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</si>
  <si>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</si>
  <si>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</si>
  <si>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</si>
  <si>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</si>
  <si>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</si>
  <si>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</si>
  <si>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</si>
  <si>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</si>
  <si>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</si>
  <si>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</si>
  <si>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</si>
  <si>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</si>
  <si>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</si>
  <si>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</si>
  <si>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</si>
  <si>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</si>
  <si>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</si>
  <si>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</si>
  <si>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</si>
  <si>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</si>
  <si>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</si>
  <si>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</si>
  <si>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</si>
  <si>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</si>
  <si>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</si>
  <si>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</si>
  <si>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</si>
  <si>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</si>
  <si>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</si>
  <si>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</si>
  <si>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</si>
  <si>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</si>
  <si>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</si>
  <si>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</si>
  <si>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</si>
  <si>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</si>
  <si>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</si>
  <si>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</si>
  <si>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</si>
  <si>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</si>
  <si>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</si>
  <si>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</si>
  <si>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</si>
  <si>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</si>
  <si>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</si>
  <si>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</si>
  <si>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</si>
  <si>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</si>
  <si>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</si>
  <si>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</si>
  <si>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</si>
  <si>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</si>
  <si>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</si>
  <si>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</si>
  <si>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</si>
  <si>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</si>
  <si>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</si>
  <si>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</si>
  <si>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</si>
  <si>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</si>
  <si>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</si>
  <si>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</si>
  <si>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</si>
  <si>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</si>
  <si>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</si>
  <si>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</si>
  <si>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</si>
  <si>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</si>
  <si>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</si>
  <si>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t>5.0 x 2.5</t>
  </si>
  <si>
    <t>3.6 x 1.8</t>
  </si>
  <si>
    <t>2.5 x 1.25</t>
  </si>
  <si>
    <t>SOD523</t>
  </si>
  <si>
    <t>Flyback Diode - forward current rating</t>
  </si>
  <si>
    <t>Flyback Diode - reverse voltage rating</t>
  </si>
  <si>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</si>
  <si>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</si>
  <si>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</si>
  <si>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</si>
  <si>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</si>
  <si>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</si>
  <si>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</si>
  <si>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</si>
  <si>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</si>
  <si>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</si>
  <si>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</si>
  <si>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</si>
  <si>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</si>
  <si>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</si>
  <si>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</si>
  <si>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</si>
  <si>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</si>
  <si>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</si>
  <si>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Lmin</t>
  </si>
  <si>
    <t>Lleak</t>
  </si>
  <si>
    <t>nH</t>
  </si>
  <si>
    <t>Pri-Sec Leakage Inductance</t>
  </si>
  <si>
    <t>Check Fsw at  Iout-max</t>
  </si>
  <si>
    <t>Check Pout-max at  Iout-max</t>
  </si>
  <si>
    <t>P-Transforer (W)</t>
  </si>
  <si>
    <t>P-Trans-Total (mW)</t>
  </si>
  <si>
    <t>RdsonTC</t>
  </si>
  <si>
    <t>ppm/°C</t>
  </si>
  <si>
    <t>Drain to Source Resistance Temp Co</t>
  </si>
  <si>
    <t>IC thermal impedance</t>
  </si>
  <si>
    <t>ThetaJA</t>
  </si>
  <si>
    <t>P-trans (W)</t>
  </si>
  <si>
    <t>**** Use a flyback diode RC snubber to dampen ringing if needed ****</t>
  </si>
  <si>
    <t>***** Use an output zener to clamp the output at no load *****</t>
  </si>
  <si>
    <t>*** Use a primary-side RC snubber from SW to VIN to dampen leakage inductance spike ***</t>
  </si>
  <si>
    <t>** Appropriately derate the effective input and output capacitances for applied voltage and temperature, particularly with ceramics **</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</si>
  <si>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</si>
  <si>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</si>
  <si>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</si>
  <si>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</si>
  <si>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</si>
  <si>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</si>
  <si>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</si>
  <si>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</si>
  <si>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</si>
  <si>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</si>
  <si>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</si>
  <si>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</si>
  <si>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</si>
  <si>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</si>
  <si>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</si>
  <si>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</si>
  <si>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</si>
  <si>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</si>
  <si>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</si>
  <si>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</si>
  <si>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</si>
  <si>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</si>
  <si>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</si>
  <si>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</si>
  <si>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</si>
  <si>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</si>
  <si>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</si>
  <si>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</si>
  <si>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</si>
  <si>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</si>
  <si>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</si>
  <si>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</si>
  <si>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</si>
  <si>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</si>
  <si>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</si>
  <si>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</si>
  <si>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</si>
  <si>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</si>
  <si>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</si>
  <si>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</si>
  <si>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</si>
  <si>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</si>
  <si>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</si>
  <si>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</si>
  <si>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</si>
  <si>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</si>
  <si>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</si>
  <si>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</si>
  <si>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</si>
  <si>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</si>
  <si>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</si>
  <si>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</si>
  <si>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</si>
  <si>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</si>
  <si>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</si>
  <si>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</si>
  <si>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</si>
  <si>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</si>
  <si>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</si>
  <si>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</si>
  <si>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</si>
  <si>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</si>
  <si>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</si>
  <si>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</si>
  <si>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</si>
  <si>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</si>
  <si>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</si>
  <si>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</si>
  <si>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</si>
  <si>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</si>
  <si>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</si>
  <si>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</si>
  <si>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</si>
  <si>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</si>
  <si>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</si>
  <si>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</si>
  <si>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</si>
  <si>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</si>
  <si>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</si>
  <si>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</si>
  <si>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</si>
  <si>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</si>
  <si>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</si>
  <si>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</si>
  <si>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</si>
  <si>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</si>
  <si>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</si>
  <si>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</si>
  <si>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</si>
  <si>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</si>
  <si>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</si>
  <si>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</si>
  <si>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</si>
  <si>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Rcs</t>
  </si>
  <si>
    <r>
      <t>Sense Resistor, R</t>
    </r>
    <r>
      <rPr>
        <b/>
        <vertAlign val="subscript"/>
        <sz val="10"/>
        <color theme="1"/>
        <rFont val="Arial"/>
        <family val="2"/>
      </rPr>
      <t>CS</t>
    </r>
    <r>
      <rPr>
        <b/>
        <sz val="10"/>
        <color theme="1"/>
        <rFont val="Arial"/>
        <family val="2"/>
      </rPr>
      <t xml:space="preserve"> </t>
    </r>
  </si>
  <si>
    <t>IpkCAL</t>
  </si>
  <si>
    <t>RCSmin</t>
  </si>
  <si>
    <t>LM5185 quiescent current</t>
  </si>
  <si>
    <t>P-FET-Total (W)</t>
  </si>
  <si>
    <t>P-IC-Total</t>
  </si>
  <si>
    <t>P-Total (mW)</t>
  </si>
  <si>
    <r>
      <t>LM5185 IC Power Dissipation at Full Load, P</t>
    </r>
    <r>
      <rPr>
        <vertAlign val="subscript"/>
        <sz val="10"/>
        <rFont val="Arial"/>
        <family val="2"/>
      </rPr>
      <t>D</t>
    </r>
  </si>
  <si>
    <r>
      <t>LM5185 Junction Temperature at Full Load, T</t>
    </r>
    <r>
      <rPr>
        <vertAlign val="subscript"/>
        <sz val="10"/>
        <rFont val="Arial"/>
        <family val="2"/>
      </rPr>
      <t>J</t>
    </r>
  </si>
  <si>
    <t>dB</t>
  </si>
  <si>
    <t>Reference voltage, updated</t>
  </si>
  <si>
    <t>10 kΩ</t>
  </si>
  <si>
    <t>10kΩ</t>
  </si>
  <si>
    <t>1.2 : 1</t>
  </si>
  <si>
    <t>1 : 1.2</t>
  </si>
  <si>
    <t>Fsw=</t>
  </si>
  <si>
    <t>Checking ro operatingmode at Vnom</t>
  </si>
  <si>
    <t>Lm=</t>
  </si>
  <si>
    <t>Ipk=</t>
  </si>
  <si>
    <t>Duty=</t>
  </si>
  <si>
    <t>Po</t>
  </si>
  <si>
    <t>Po actual</t>
  </si>
  <si>
    <t>LM5185 Parameters</t>
  </si>
  <si>
    <t>Primary Peak Current, Ipk</t>
  </si>
  <si>
    <t>Allawable max Fco</t>
  </si>
  <si>
    <r>
      <t>C</t>
    </r>
    <r>
      <rPr>
        <vertAlign val="subscript"/>
        <sz val="10"/>
        <rFont val="Arial"/>
        <family val="2"/>
      </rPr>
      <t>OUT</t>
    </r>
    <r>
      <rPr>
        <sz val="10"/>
        <rFont val="Arial"/>
        <family val="2"/>
      </rPr>
      <t xml:space="preserve"> ESR Zero Frequency </t>
    </r>
  </si>
  <si>
    <t>Flyback RHP Zero Frequency</t>
  </si>
  <si>
    <t>Allowed Maximum Crossover Frequency</t>
  </si>
  <si>
    <t>Load Pole Frequency</t>
  </si>
  <si>
    <t>Excessive</t>
  </si>
  <si>
    <t>FcoRange</t>
  </si>
  <si>
    <t>Fco_select</t>
  </si>
  <si>
    <t>AN</t>
  </si>
  <si>
    <t>AO</t>
  </si>
  <si>
    <t>AP</t>
  </si>
  <si>
    <t>AQ</t>
  </si>
  <si>
    <t>AR</t>
  </si>
  <si>
    <t>Sampling</t>
  </si>
  <si>
    <t>Power ckt</t>
  </si>
  <si>
    <t>Gain_pwr</t>
  </si>
  <si>
    <t>CHF</t>
  </si>
  <si>
    <r>
      <t>k</t>
    </r>
    <r>
      <rPr>
        <sz val="10"/>
        <rFont val="Calibri"/>
        <family val="2"/>
      </rPr>
      <t>Ω</t>
    </r>
  </si>
  <si>
    <r>
      <t>k</t>
    </r>
    <r>
      <rPr>
        <b/>
        <sz val="10"/>
        <rFont val="Calibri"/>
        <family val="2"/>
      </rPr>
      <t>Ω</t>
    </r>
  </si>
  <si>
    <r>
      <t>Recommended R</t>
    </r>
    <r>
      <rPr>
        <vertAlign val="subscript"/>
        <sz val="10"/>
        <rFont val="Arial"/>
        <family val="2"/>
      </rPr>
      <t>COMP</t>
    </r>
  </si>
  <si>
    <r>
      <t>Selected R</t>
    </r>
    <r>
      <rPr>
        <b/>
        <vertAlign val="subscript"/>
        <sz val="10"/>
        <rFont val="Arial"/>
        <family val="2"/>
      </rPr>
      <t>COMP</t>
    </r>
  </si>
  <si>
    <r>
      <t>Recommended C</t>
    </r>
    <r>
      <rPr>
        <vertAlign val="subscript"/>
        <sz val="10"/>
        <rFont val="Arial"/>
        <family val="2"/>
      </rPr>
      <t>COMP</t>
    </r>
  </si>
  <si>
    <r>
      <t>Selected C</t>
    </r>
    <r>
      <rPr>
        <b/>
        <vertAlign val="subscript"/>
        <sz val="10"/>
        <rFont val="Arial"/>
        <family val="2"/>
      </rPr>
      <t>COMP</t>
    </r>
  </si>
  <si>
    <r>
      <t>Recommended C</t>
    </r>
    <r>
      <rPr>
        <vertAlign val="subscript"/>
        <sz val="10"/>
        <rFont val="Arial"/>
        <family val="2"/>
      </rPr>
      <t>HF</t>
    </r>
  </si>
  <si>
    <r>
      <t>Selected C</t>
    </r>
    <r>
      <rPr>
        <b/>
        <vertAlign val="subscript"/>
        <sz val="10"/>
        <color theme="1"/>
        <rFont val="Arial"/>
        <family val="2"/>
      </rPr>
      <t>HF</t>
    </r>
  </si>
  <si>
    <r>
      <t>Upper UVLO Resistor, R</t>
    </r>
    <r>
      <rPr>
        <vertAlign val="subscript"/>
        <sz val="10"/>
        <rFont val="Arial"/>
        <family val="2"/>
      </rPr>
      <t>UVH</t>
    </r>
  </si>
  <si>
    <r>
      <t>Lower UVLO Resistor, R</t>
    </r>
    <r>
      <rPr>
        <vertAlign val="subscript"/>
        <sz val="10"/>
        <rFont val="Arial"/>
        <family val="2"/>
      </rPr>
      <t>UVL</t>
    </r>
  </si>
  <si>
    <t>Raw Calculation</t>
  </si>
  <si>
    <t>Fine tuning:  Calculations are performed at Vin(nom), Vin(min) and Vin(max) below</t>
  </si>
  <si>
    <t>secondaryt conduction time</t>
  </si>
  <si>
    <t>Ls1</t>
  </si>
  <si>
    <t>Ls2</t>
  </si>
  <si>
    <t>calculated D' based on raw calculation</t>
  </si>
  <si>
    <t>D1' based on raw calculation</t>
  </si>
  <si>
    <t>D2' based on raw calculation</t>
  </si>
  <si>
    <t xml:space="preserve">                       LM5185-Q1 PSR Flyback Controller Design Tool</t>
  </si>
  <si>
    <t>Recommended xfmr turns ratio</t>
  </si>
  <si>
    <t>uH</t>
  </si>
  <si>
    <t>Final chosen turns ratio should be close to this value.</t>
  </si>
  <si>
    <t>Recommned Magnetizing Inductance</t>
  </si>
  <si>
    <r>
      <t>Chosen Magnetizing Inductance, L</t>
    </r>
    <r>
      <rPr>
        <b/>
        <vertAlign val="subscript"/>
        <sz val="10"/>
        <color theme="1"/>
        <rFont val="Arial"/>
        <family val="2"/>
      </rPr>
      <t>MAG</t>
    </r>
    <r>
      <rPr>
        <b/>
        <sz val="10"/>
        <color theme="1"/>
        <rFont val="Arial"/>
        <family val="2"/>
      </rPr>
      <t xml:space="preserve"> </t>
    </r>
  </si>
  <si>
    <t>Fsw at Vin_min</t>
  </si>
  <si>
    <t>Ipkmax  Allowed (20% margin)</t>
  </si>
  <si>
    <t>Max Rcs_rec1</t>
  </si>
  <si>
    <t>Max Rcs_rec2</t>
  </si>
  <si>
    <t>By 100mV VCS pk limit</t>
  </si>
  <si>
    <t>By 450ns min decay time</t>
  </si>
  <si>
    <t>Proposed Transformer Turns Ratio PRI : SEC1</t>
  </si>
  <si>
    <r>
      <t>Maximum Power Dissipation in R</t>
    </r>
    <r>
      <rPr>
        <vertAlign val="subscript"/>
        <sz val="10"/>
        <color theme="1"/>
        <rFont val="Arial"/>
        <family val="2"/>
      </rPr>
      <t>CS</t>
    </r>
    <r>
      <rPr>
        <sz val="10"/>
        <color theme="1"/>
        <rFont val="Arial"/>
        <family val="2"/>
      </rPr>
      <t xml:space="preserve"> </t>
    </r>
  </si>
  <si>
    <t>with selected Lmag</t>
  </si>
  <si>
    <t>Lmin_abs</t>
  </si>
  <si>
    <t>Maximum RCS for IPEAK (10% Power Margin)</t>
  </si>
  <si>
    <r>
      <t>Select MOSFET R</t>
    </r>
    <r>
      <rPr>
        <b/>
        <vertAlign val="subscript"/>
        <sz val="10"/>
        <rFont val="Arial"/>
        <family val="2"/>
      </rPr>
      <t>DSON</t>
    </r>
  </si>
  <si>
    <t xml:space="preserve">power </t>
  </si>
  <si>
    <t>MOSFET Min Voltage Rating</t>
  </si>
  <si>
    <t>Min Drain Voltage Rating</t>
  </si>
  <si>
    <t>Can logic level FET be used?</t>
  </si>
  <si>
    <t>Can regular FET be used?</t>
  </si>
  <si>
    <t>Yes</t>
  </si>
  <si>
    <r>
      <t>Recommended Minimum D</t>
    </r>
    <r>
      <rPr>
        <vertAlign val="subscript"/>
        <sz val="10"/>
        <rFont val="Arial"/>
        <family val="2"/>
      </rPr>
      <t>CLAMP</t>
    </r>
    <r>
      <rPr>
        <sz val="10"/>
        <rFont val="Arial"/>
        <family val="2"/>
      </rPr>
      <t xml:space="preserve"> Voltage</t>
    </r>
  </si>
  <si>
    <r>
      <t>D</t>
    </r>
    <r>
      <rPr>
        <b/>
        <vertAlign val="subscript"/>
        <sz val="10"/>
        <rFont val="Arial"/>
        <family val="2"/>
      </rPr>
      <t>CLAMP</t>
    </r>
    <r>
      <rPr>
        <b/>
        <sz val="10"/>
        <rFont val="Arial"/>
        <family val="2"/>
      </rPr>
      <t xml:space="preserve"> Voltage </t>
    </r>
  </si>
  <si>
    <t>Recommended Max MOSFET Qg</t>
  </si>
  <si>
    <t>Selected MOSFET Qg</t>
  </si>
  <si>
    <r>
      <t>Selected MOSFET C</t>
    </r>
    <r>
      <rPr>
        <b/>
        <vertAlign val="subscript"/>
        <sz val="10"/>
        <rFont val="Arial"/>
        <family val="2"/>
      </rPr>
      <t>OSS</t>
    </r>
  </si>
  <si>
    <t>Step 4: Power MOSFET Suggetions and  Zener Clamp</t>
  </si>
  <si>
    <t>Step 5: Input &amp; Output Capacitors</t>
  </si>
  <si>
    <t>`</t>
  </si>
  <si>
    <r>
      <t>V</t>
    </r>
    <r>
      <rPr>
        <b/>
        <vertAlign val="subscript"/>
        <sz val="16"/>
        <rFont val="Calibri"/>
        <family val="2"/>
      </rPr>
      <t xml:space="preserve">IN </t>
    </r>
    <r>
      <rPr>
        <b/>
        <sz val="16"/>
        <rFont val="Calibri"/>
        <family val="2"/>
      </rPr>
      <t>=</t>
    </r>
  </si>
  <si>
    <t>Selected Crossover Frquency (Fco)</t>
  </si>
  <si>
    <t>Ccopm</t>
  </si>
  <si>
    <t>k</t>
  </si>
  <si>
    <t>m</t>
  </si>
  <si>
    <t>Cflt</t>
  </si>
  <si>
    <t>100pF</t>
  </si>
  <si>
    <t>Rflt</t>
  </si>
  <si>
    <r>
      <t>Recommended CS Pin Filter Resistor R</t>
    </r>
    <r>
      <rPr>
        <vertAlign val="subscript"/>
        <sz val="10"/>
        <rFont val="Arial"/>
        <family val="2"/>
      </rPr>
      <t>FLT</t>
    </r>
  </si>
  <si>
    <r>
      <t>Recommended CS Pin Filter Resistor C</t>
    </r>
    <r>
      <rPr>
        <vertAlign val="subscript"/>
        <sz val="10"/>
        <rFont val="Arial"/>
        <family val="2"/>
      </rPr>
      <t>FLT</t>
    </r>
  </si>
  <si>
    <t>Step 3: Current Sense Resistor and Noise Filter</t>
  </si>
  <si>
    <t>Step 6: Rectifier Diode(s)</t>
  </si>
  <si>
    <t>Vou2 Diode cond duration</t>
  </si>
  <si>
    <t>Vout1 Diode cond duration</t>
  </si>
  <si>
    <t>Min Diode Voltage Rating, Output #2</t>
  </si>
  <si>
    <t>Min Diode DC Current Rating, Output #2</t>
  </si>
  <si>
    <t>Step 7: Feedback, Soft-start, TC, UVLO</t>
  </si>
  <si>
    <t>Diode VF</t>
  </si>
  <si>
    <t>Vfwd22</t>
  </si>
  <si>
    <r>
      <t>Input Voltage – Nom, V</t>
    </r>
    <r>
      <rPr>
        <b/>
        <vertAlign val="subscript"/>
        <sz val="10"/>
        <color rgb="FF0000FF"/>
        <rFont val="Arial"/>
        <family val="2"/>
      </rPr>
      <t>IN(nom)</t>
    </r>
  </si>
  <si>
    <t>MOSFET Power dissipation (WC)</t>
  </si>
  <si>
    <t>Single output</t>
  </si>
  <si>
    <t>Dual</t>
  </si>
  <si>
    <t>Final</t>
  </si>
  <si>
    <t>Estimated Max MOSFET Power Dissipation</t>
  </si>
  <si>
    <t>MOSFET Loss</t>
  </si>
  <si>
    <t>Step 8:  Compensation Design</t>
  </si>
  <si>
    <t>Snubber Capacitor Voltage Rating&gt;</t>
  </si>
  <si>
    <t>Snubber Resistor Power Rating&gt;</t>
  </si>
  <si>
    <t>Initial Csnb2</t>
  </si>
  <si>
    <t>Initial Rsnb2</t>
  </si>
  <si>
    <t>Step 9:  Optional RC Snubber acorss Rectifier Diode(s)</t>
  </si>
  <si>
    <t>Step 10:  Output Zener Clamp and/or Dummy Load</t>
  </si>
  <si>
    <t>Step 11: Power Losses &amp; Thermals</t>
  </si>
  <si>
    <t>Selected Device Min Power Rating&gt;</t>
  </si>
  <si>
    <t>Rdym</t>
  </si>
  <si>
    <t>Rdym1</t>
  </si>
  <si>
    <t>Rdym2</t>
  </si>
  <si>
    <t>min Load</t>
  </si>
  <si>
    <t>min Load1</t>
  </si>
  <si>
    <t>min Load 2</t>
  </si>
  <si>
    <t xml:space="preserve">Customer Min Load </t>
  </si>
  <si>
    <t>Iout_min</t>
  </si>
  <si>
    <t>Po-min</t>
  </si>
  <si>
    <t>Required min load</t>
  </si>
  <si>
    <t>Ton Min</t>
  </si>
  <si>
    <t>Vin_max</t>
  </si>
  <si>
    <t>Fsw_min</t>
  </si>
  <si>
    <t>Po_cal</t>
  </si>
  <si>
    <t>Do you need a  Dummy Load</t>
  </si>
  <si>
    <t>Customer Min Load 1</t>
  </si>
  <si>
    <t>Customer Min Load 2</t>
  </si>
  <si>
    <t>Iout_min1</t>
  </si>
  <si>
    <t>Po-min1</t>
  </si>
  <si>
    <t>Iout_min2</t>
  </si>
  <si>
    <t>Po-min2</t>
  </si>
  <si>
    <t>Do you need a  Dummy Load1</t>
  </si>
  <si>
    <t>Do you need a  Dummy Load2</t>
  </si>
  <si>
    <t>LM5185EVM-SIO PCB Design, 2.4" x 3.6" (60mm x 90mm)</t>
  </si>
  <si>
    <t xml:space="preserve">&lt;--Please input the effective capacitance under the actual dc voltage bias of the designated outpt rail. </t>
  </si>
  <si>
    <t>Slecct  Diode Forward Drop VF, Output #2</t>
  </si>
  <si>
    <r>
      <t>Flyback Diode Voltage Drop, VF</t>
    </r>
    <r>
      <rPr>
        <b/>
        <vertAlign val="subscript"/>
        <sz val="10"/>
        <rFont val="Arial"/>
        <family val="2"/>
      </rPr>
      <t>(no-load)</t>
    </r>
  </si>
  <si>
    <r>
      <t>Flyback Diode Voltage Drop, VF</t>
    </r>
    <r>
      <rPr>
        <vertAlign val="subscript"/>
        <sz val="10"/>
        <rFont val="Arial"/>
        <family val="2"/>
      </rPr>
      <t>(full-load)</t>
    </r>
  </si>
  <si>
    <t xml:space="preserve">Important: Remember to update Cell E80 below, which is VF at no load, in order to get a more accurate output voltage setting in Step 7. </t>
  </si>
  <si>
    <r>
      <t>C</t>
    </r>
    <r>
      <rPr>
        <vertAlign val="subscript"/>
        <sz val="10"/>
        <rFont val="Arial"/>
        <family val="2"/>
      </rPr>
      <t>VCC</t>
    </r>
  </si>
  <si>
    <t>Capacitor, Ceramic, 1µF, 25V, X7R, 10%</t>
  </si>
  <si>
    <r>
      <t>C</t>
    </r>
    <r>
      <rPr>
        <vertAlign val="subscript"/>
        <sz val="10"/>
        <rFont val="Arial"/>
        <family val="2"/>
      </rPr>
      <t>COMP</t>
    </r>
  </si>
  <si>
    <r>
      <t>C</t>
    </r>
    <r>
      <rPr>
        <vertAlign val="subscript"/>
        <sz val="10"/>
        <rFont val="Arial"/>
        <family val="2"/>
      </rPr>
      <t>HF</t>
    </r>
  </si>
  <si>
    <r>
      <t>R</t>
    </r>
    <r>
      <rPr>
        <vertAlign val="subscript"/>
        <sz val="10"/>
        <rFont val="Arial"/>
        <family val="2"/>
      </rPr>
      <t>COMP</t>
    </r>
  </si>
  <si>
    <r>
      <t>R</t>
    </r>
    <r>
      <rPr>
        <vertAlign val="subscript"/>
        <sz val="10"/>
        <rFont val="Arial"/>
        <family val="2"/>
      </rPr>
      <t>CS</t>
    </r>
  </si>
  <si>
    <t>Non-inductive Chip Power Resistor, 1%</t>
  </si>
  <si>
    <r>
      <t>C</t>
    </r>
    <r>
      <rPr>
        <vertAlign val="subscript"/>
        <sz val="10"/>
        <rFont val="Arial"/>
        <family val="2"/>
      </rPr>
      <t>FLT</t>
    </r>
  </si>
  <si>
    <t>Capacitor, Ceramic, 100pF, 50V, X7R, 10%</t>
  </si>
  <si>
    <r>
      <t>R</t>
    </r>
    <r>
      <rPr>
        <vertAlign val="subscript"/>
        <sz val="10"/>
        <rFont val="Arial"/>
        <family val="2"/>
      </rPr>
      <t>FLT</t>
    </r>
  </si>
  <si>
    <r>
      <t>LM5185-Q1 Low I</t>
    </r>
    <r>
      <rPr>
        <b/>
        <vertAlign val="subscript"/>
        <sz val="16"/>
        <rFont val="Arial"/>
        <family val="2"/>
      </rPr>
      <t>Q</t>
    </r>
    <r>
      <rPr>
        <b/>
        <sz val="16"/>
        <rFont val="Arial"/>
        <family val="2"/>
      </rPr>
      <t>, High Efficiency, PSR Flyback Converter BOM</t>
    </r>
  </si>
  <si>
    <t>LM5185-Q1</t>
  </si>
  <si>
    <t>IC, LM5185-Q1, PSR Flyback Controller, 4.5V–100V Input</t>
  </si>
  <si>
    <t>HTSSOP14</t>
  </si>
  <si>
    <r>
      <t>D</t>
    </r>
    <r>
      <rPr>
        <vertAlign val="subscript"/>
        <sz val="10"/>
        <rFont val="Arial"/>
        <family val="2"/>
      </rPr>
      <t>Z1</t>
    </r>
  </si>
  <si>
    <r>
      <t>D</t>
    </r>
    <r>
      <rPr>
        <vertAlign val="subscript"/>
        <sz val="10"/>
        <rFont val="Arial"/>
        <family val="2"/>
      </rPr>
      <t>Z2</t>
    </r>
  </si>
  <si>
    <t>2510</t>
  </si>
  <si>
    <t>9.3 x 2.7</t>
  </si>
  <si>
    <t>(Always reserve the snubber position on PCB and validatate experimentally.)</t>
  </si>
  <si>
    <t>LM5185EVM-MIO PCB Design, (Multiple Outputs, coming soon)</t>
  </si>
  <si>
    <t>* Choose a transformer with saturation current rating higher than the max peak current limit setting for all operating temperatures *</t>
  </si>
  <si>
    <t xml:space="preserve"> LM5185-Q1 PSR Flyback Controller Design Tool</t>
  </si>
  <si>
    <r>
      <t>Q</t>
    </r>
    <r>
      <rPr>
        <vertAlign val="subscript"/>
        <sz val="10"/>
        <rFont val="Arial"/>
        <family val="2"/>
      </rPr>
      <t>1</t>
    </r>
  </si>
  <si>
    <t>Power MOSFET</t>
  </si>
  <si>
    <t>SO-8</t>
  </si>
  <si>
    <t>5.0 x 6.0</t>
  </si>
  <si>
    <t>5.0 x 6.4</t>
  </si>
  <si>
    <t>22mm x 17mm</t>
  </si>
  <si>
    <t>11 x 14</t>
  </si>
  <si>
    <t>23 x 17</t>
  </si>
  <si>
    <t>Toff Max</t>
  </si>
  <si>
    <r>
      <t xml:space="preserve">Estimated Thermal Impedance, </t>
    </r>
    <r>
      <rPr>
        <sz val="11"/>
        <rFont val="Symbol"/>
        <family val="1"/>
        <charset val="2"/>
      </rPr>
      <t>J</t>
    </r>
    <r>
      <rPr>
        <vertAlign val="subscript"/>
        <sz val="10"/>
        <rFont val="Arial"/>
        <family val="2"/>
      </rPr>
      <t>JA</t>
    </r>
  </si>
  <si>
    <t>Recommended Zener VoltageSelection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</si>
</sst>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_(* #,##0.00_);_(* \(#,##0.00\);_(* &quot;-&quot;??_);_(@_)"/>
    <numFmt numFmtId="177" formatCode="0.00000"/>
    <numFmt numFmtId="178" formatCode="0.0000"/>
    <numFmt numFmtId="179" formatCode="0.000"/>
    <numFmt numFmtId="180" formatCode="0.0"/>
    <numFmt numFmtId="181" formatCode="0.000E+00"/>
    <numFmt numFmtId="182" formatCode="#0.0#"/>
    <numFmt numFmtId="183" formatCode="General&quot;k&quot;"/>
    <numFmt numFmtId="184" formatCode="General&quot;µF&quot;"/>
    <numFmt numFmtId="185" formatCode="General&quot;µH&quot;"/>
    <numFmt numFmtId="186" formatCode="&quot;Inductor, &quot;General&quot;-µH, 10%&quot;"/>
    <numFmt numFmtId="187" formatCode="&quot;Resistor, Chip, &quot;General&quot;-kΩ, 1/16W, 1%&quot;"/>
    <numFmt numFmtId="188" formatCode="0.E+00"/>
    <numFmt numFmtId="189" formatCode="0.0E+00"/>
    <numFmt numFmtId="190" formatCode="&quot;Capacitor, Ceramic, &quot;General&quot;-µF, 100V, X7R, 20%&quot;"/>
    <numFmt numFmtId="191" formatCode="0.000%"/>
    <numFmt numFmtId="192" formatCode="&quot;Capacitor, Ceramic, &quot;General&quot;-µF, 16V, X7R, 20%&quot;"/>
    <numFmt numFmtId="193" formatCode="&quot;Resistor, Chip, &quot;General&quot; kΩ, 1/16W, 1%&quot;"/>
    <numFmt numFmtId="194" formatCode="General&quot;M&quot;"/>
    <numFmt numFmtId="195" formatCode="&quot;Resistor, Chip, &quot;General&quot;kΩ, 1/16W, 1%&quot;"/>
    <numFmt numFmtId="196" formatCode="0E+00"/>
    <numFmt numFmtId="197" formatCode="0.000000"/>
  </numFmts>
  <fonts count="93">
    <font>
      <sz val="10"/>
      <name val="Arial"/>
    </font>
    <font>
      <sz val="11"/>
      <color theme="1"/>
      <name val="Arial"/>
      <family val="2"/>
    </font>
    <font>
      <sz val="11"/>
      <color theme="1"/>
      <name val="宋体"/>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宋体"/>
      <family val="1"/>
      <scheme val="major"/>
    </font>
    <font>
      <b/>
      <sz val="10"/>
      <color indexed="8"/>
      <name val="Arial"/>
      <family val="2"/>
    </font>
    <font>
      <sz val="10"/>
      <name val="Times New Roman"/>
      <family val="1"/>
    </font>
    <font>
      <sz val="18"/>
      <name val="Arial"/>
      <family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sz val="6"/>
      <name val="ＭＳ Ｐゴシック"/>
      <family val="3"/>
      <charset val="128"/>
    </font>
    <font>
      <b/>
      <sz val="16"/>
      <name val="Calibri"/>
      <family val="2"/>
    </font>
    <font>
      <b/>
      <vertAlign val="subscript"/>
      <sz val="16"/>
      <name val="Calibri"/>
      <family val="2"/>
    </font>
    <font>
      <sz val="20"/>
      <color rgb="FFFF0000"/>
      <name val="Arial"/>
      <family val="2"/>
    </font>
    <font>
      <i/>
      <sz val="14"/>
      <color indexed="12"/>
      <name val="Arial"/>
      <family val="2"/>
    </font>
    <font>
      <vertAlign val="subscript"/>
      <sz val="10"/>
      <color theme="1"/>
      <name val="Arial"/>
      <family val="2"/>
    </font>
    <font>
      <b/>
      <i/>
      <sz val="9"/>
      <color indexed="81"/>
      <name val="Tahoma"/>
      <family val="2"/>
    </font>
    <font>
      <b/>
      <vertAlign val="subscript"/>
      <sz val="10"/>
      <color rgb="FF0000FF"/>
      <name val="Arial"/>
      <family val="2"/>
    </font>
    <font>
      <b/>
      <sz val="10"/>
      <color indexed="10"/>
      <name val="Arial"/>
      <family val="2"/>
    </font>
    <font>
      <sz val="11"/>
      <name val="Symbol"/>
      <family val="1"/>
      <charset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auto="1"/>
      </right>
      <top/>
      <bottom/>
      <diagonal/>
    </border>
  </borders>
  <cellStyleXfs count="8">
    <xf numFmtId="0" fontId="0" fillId="0" borderId="0"/>
    <xf numFmtId="0" fontId="4" fillId="0" borderId="0" applyNumberFormat="0" applyFill="0" applyBorder="0" applyAlignment="0" applyProtection="0"/>
    <xf numFmtId="176"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176" fontId="2" fillId="0" borderId="0" applyFont="0" applyFill="0" applyBorder="0" applyAlignment="0" applyProtection="0"/>
    <xf numFmtId="9" fontId="70" fillId="0" borderId="0" applyFont="0" applyFill="0" applyBorder="0" applyAlignment="0" applyProtection="0"/>
  </cellStyleXfs>
  <cellXfs count="840">
    <xf numFmtId="0" fontId="0" fillId="0" borderId="0" xfId="0"/>
    <xf numFmtId="0" fontId="23" fillId="24" borderId="0" xfId="0" applyFont="1" applyFill="1" applyAlignment="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4" borderId="2" xfId="0" applyFill="1" applyBorder="1"/>
    <xf numFmtId="0" fontId="0" fillId="4" borderId="0" xfId="0" applyFill="1"/>
    <xf numFmtId="0" fontId="15" fillId="0" borderId="0" xfId="0" applyFont="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82" fontId="17" fillId="3" borderId="0" xfId="0" applyNumberFormat="1" applyFont="1" applyFill="1" applyAlignment="1">
      <alignment horizontal="center"/>
    </xf>
    <xf numFmtId="0" fontId="0" fillId="0" borderId="22" xfId="0" applyBorder="1"/>
    <xf numFmtId="0" fontId="0" fillId="0" borderId="23" xfId="0" applyBorder="1"/>
    <xf numFmtId="0" fontId="8" fillId="0" borderId="22" xfId="0" applyFont="1" applyBorder="1"/>
    <xf numFmtId="0" fontId="0" fillId="11" borderId="0" xfId="0" applyFill="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xf numFmtId="0" fontId="0" fillId="10" borderId="0" xfId="0" applyFill="1"/>
    <xf numFmtId="0" fontId="0" fillId="0" borderId="25" xfId="0" applyBorder="1" applyAlignment="1">
      <alignment horizontal="right"/>
    </xf>
    <xf numFmtId="11" fontId="7" fillId="0" borderId="25" xfId="0" applyNumberFormat="1" applyFont="1" applyBorder="1"/>
    <xf numFmtId="11" fontId="0" fillId="4" borderId="0" xfId="0" applyNumberFormat="1" applyFill="1"/>
    <xf numFmtId="0" fontId="17" fillId="3" borderId="0" xfId="0" applyFont="1" applyFill="1"/>
    <xf numFmtId="0" fontId="18" fillId="8" borderId="0" xfId="0" applyFont="1" applyFill="1"/>
    <xf numFmtId="0" fontId="18" fillId="8" borderId="0" xfId="0" applyFont="1" applyFill="1" applyAlignment="1">
      <alignment horizontal="right"/>
    </xf>
    <xf numFmtId="0" fontId="17" fillId="8" borderId="0" xfId="0" applyFont="1" applyFill="1"/>
    <xf numFmtId="0" fontId="21" fillId="0" borderId="0" xfId="0" applyFont="1"/>
    <xf numFmtId="0" fontId="0" fillId="0" borderId="1" xfId="0" applyBorder="1"/>
    <xf numFmtId="0" fontId="0" fillId="0" borderId="2" xfId="0" applyBorder="1" applyAlignment="1">
      <alignment horizontal="right"/>
    </xf>
    <xf numFmtId="0" fontId="22" fillId="0" borderId="0" xfId="0" applyFont="1"/>
    <xf numFmtId="0" fontId="27" fillId="0" borderId="0" xfId="0" applyFont="1"/>
    <xf numFmtId="0" fontId="27" fillId="4" borderId="0" xfId="0" applyFont="1" applyFill="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xf numFmtId="2" fontId="17" fillId="8" borderId="0" xfId="0" applyNumberFormat="1" applyFont="1" applyFill="1"/>
    <xf numFmtId="178" fontId="17" fillId="8" borderId="0" xfId="0" applyNumberFormat="1" applyFont="1" applyFill="1"/>
    <xf numFmtId="0" fontId="17" fillId="12" borderId="0" xfId="0" applyFont="1" applyFill="1"/>
    <xf numFmtId="0" fontId="3" fillId="0" borderId="0" xfId="0" applyFont="1"/>
    <xf numFmtId="0" fontId="0" fillId="0" borderId="0" xfId="0" applyAlignment="1">
      <alignment horizontal="left"/>
    </xf>
    <xf numFmtId="0" fontId="3" fillId="0" borderId="2" xfId="0" applyFont="1" applyBorder="1"/>
    <xf numFmtId="0" fontId="3" fillId="0" borderId="25" xfId="0" applyFont="1" applyBorder="1"/>
    <xf numFmtId="0" fontId="30" fillId="8" borderId="0" xfId="0" applyFont="1" applyFill="1"/>
    <xf numFmtId="0" fontId="20" fillId="15" borderId="0" xfId="0" applyFont="1" applyFill="1" applyAlignment="1">
      <alignment vertical="center"/>
    </xf>
    <xf numFmtId="0" fontId="0" fillId="14" borderId="0" xfId="0" applyFill="1"/>
    <xf numFmtId="0" fontId="42" fillId="14" borderId="0" xfId="0" applyFont="1" applyFill="1"/>
    <xf numFmtId="0" fontId="4" fillId="8" borderId="0" xfId="0" applyFont="1" applyFill="1" applyAlignment="1">
      <alignment horizontal="right"/>
    </xf>
    <xf numFmtId="0" fontId="3" fillId="8" borderId="0" xfId="0" applyFont="1" applyFill="1" applyAlignment="1">
      <alignment horizontal="right"/>
    </xf>
    <xf numFmtId="0" fontId="3" fillId="8" borderId="22" xfId="0" applyFont="1" applyFill="1" applyBorder="1"/>
    <xf numFmtId="0" fontId="3" fillId="8" borderId="0" xfId="0" applyFont="1" applyFill="1"/>
    <xf numFmtId="0" fontId="45" fillId="8" borderId="0" xfId="0" applyFont="1" applyFill="1"/>
    <xf numFmtId="0" fontId="46" fillId="8" borderId="0" xfId="0" applyFont="1" applyFill="1"/>
    <xf numFmtId="0" fontId="47" fillId="8" borderId="0" xfId="0" applyFont="1" applyFill="1"/>
    <xf numFmtId="0" fontId="4" fillId="8" borderId="0" xfId="0" applyFont="1" applyFill="1"/>
    <xf numFmtId="180" fontId="4" fillId="8" borderId="0" xfId="0" applyNumberFormat="1" applyFont="1" applyFill="1"/>
    <xf numFmtId="0" fontId="4" fillId="8" borderId="22" xfId="0" applyFont="1" applyFill="1" applyBorder="1"/>
    <xf numFmtId="0" fontId="4" fillId="15" borderId="0" xfId="0" applyFont="1" applyFill="1" applyProtection="1">
      <protection locked="0"/>
    </xf>
    <xf numFmtId="1" fontId="44" fillId="8" borderId="0" xfId="0" applyNumberFormat="1" applyFont="1" applyFill="1" applyAlignment="1">
      <alignment horizontal="right"/>
    </xf>
    <xf numFmtId="0" fontId="50" fillId="8" borderId="0" xfId="0" applyFont="1" applyFill="1" applyAlignment="1">
      <alignment horizontal="right"/>
    </xf>
    <xf numFmtId="0" fontId="3" fillId="8" borderId="24" xfId="0" applyFont="1" applyFill="1" applyBorder="1"/>
    <xf numFmtId="0" fontId="3" fillId="8" borderId="25" xfId="0" applyFont="1" applyFill="1" applyBorder="1"/>
    <xf numFmtId="0" fontId="3" fillId="8" borderId="23" xfId="0" applyFont="1" applyFill="1" applyBorder="1"/>
    <xf numFmtId="0" fontId="3" fillId="8" borderId="39" xfId="0" applyFont="1" applyFill="1" applyBorder="1"/>
    <xf numFmtId="0" fontId="3" fillId="8" borderId="40" xfId="0" applyFont="1" applyFill="1" applyBorder="1"/>
    <xf numFmtId="0" fontId="22" fillId="8" borderId="22" xfId="0" applyFont="1" applyFill="1" applyBorder="1" applyAlignment="1">
      <alignment vertical="center"/>
    </xf>
    <xf numFmtId="0" fontId="17" fillId="3" borderId="22" xfId="0" applyFont="1" applyFill="1" applyBorder="1"/>
    <xf numFmtId="0" fontId="4" fillId="8" borderId="39" xfId="0" applyFont="1" applyFill="1" applyBorder="1"/>
    <xf numFmtId="0" fontId="3" fillId="0" borderId="1" xfId="0" applyFont="1" applyBorder="1"/>
    <xf numFmtId="0" fontId="3" fillId="0" borderId="22" xfId="0" applyFont="1" applyBorder="1"/>
    <xf numFmtId="2" fontId="0" fillId="0" borderId="0" xfId="0" applyNumberFormat="1" applyAlignment="1">
      <alignment horizontal="right"/>
    </xf>
    <xf numFmtId="0" fontId="53" fillId="0" borderId="0" xfId="0" applyFont="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83"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84" fontId="3" fillId="16" borderId="11" xfId="4" applyNumberFormat="1" applyFill="1" applyBorder="1" applyAlignment="1">
      <alignment horizontal="center" vertical="center"/>
    </xf>
    <xf numFmtId="0" fontId="3" fillId="12" borderId="0" xfId="4" applyFill="1"/>
    <xf numFmtId="1" fontId="0" fillId="4" borderId="0" xfId="0" applyNumberFormat="1" applyFill="1"/>
    <xf numFmtId="0" fontId="3" fillId="8" borderId="0" xfId="0" applyFont="1" applyFill="1" applyAlignment="1">
      <alignment vertical="center"/>
    </xf>
    <xf numFmtId="0" fontId="3" fillId="8" borderId="22" xfId="0" applyFont="1" applyFill="1" applyBorder="1" applyAlignment="1">
      <alignment vertical="center"/>
    </xf>
    <xf numFmtId="0" fontId="3" fillId="8" borderId="0" xfId="0" applyFont="1" applyFill="1" applyAlignment="1">
      <alignment horizontal="right" vertical="center"/>
    </xf>
    <xf numFmtId="0" fontId="3" fillId="8" borderId="23" xfId="0" applyFont="1" applyFill="1" applyBorder="1" applyAlignment="1">
      <alignment vertical="center"/>
    </xf>
    <xf numFmtId="0" fontId="3" fillId="8" borderId="24" xfId="0" applyFont="1" applyFill="1" applyBorder="1" applyAlignment="1">
      <alignment vertical="center"/>
    </xf>
    <xf numFmtId="0" fontId="3" fillId="8" borderId="25" xfId="0" applyFont="1" applyFill="1" applyBorder="1" applyAlignment="1">
      <alignment vertical="center"/>
    </xf>
    <xf numFmtId="0" fontId="3" fillId="8" borderId="26" xfId="0" applyFont="1" applyFill="1" applyBorder="1" applyAlignment="1">
      <alignment vertical="center"/>
    </xf>
    <xf numFmtId="0" fontId="3" fillId="8" borderId="37" xfId="0" applyFont="1" applyFill="1" applyBorder="1" applyAlignment="1">
      <alignment vertical="center"/>
    </xf>
    <xf numFmtId="0" fontId="3" fillId="8" borderId="2" xfId="0" applyFont="1" applyFill="1" applyBorder="1" applyAlignment="1">
      <alignment vertical="center"/>
    </xf>
    <xf numFmtId="0" fontId="50" fillId="8" borderId="0" xfId="0" applyFont="1" applyFill="1" applyAlignment="1">
      <alignment horizontal="right" vertical="center"/>
    </xf>
    <xf numFmtId="0" fontId="4" fillId="15" borderId="0" xfId="0" applyFont="1" applyFill="1" applyAlignment="1" applyProtection="1">
      <alignment vertical="center"/>
      <protection locked="0"/>
    </xf>
    <xf numFmtId="0" fontId="4" fillId="8" borderId="23" xfId="0" applyFont="1" applyFill="1" applyBorder="1" applyAlignment="1">
      <alignment vertical="center"/>
    </xf>
    <xf numFmtId="1" fontId="3" fillId="8" borderId="0" xfId="0" applyNumberFormat="1" applyFont="1" applyFill="1" applyAlignment="1">
      <alignment horizontal="right" vertical="center"/>
    </xf>
    <xf numFmtId="0" fontId="50" fillId="12"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right" vertical="center"/>
    </xf>
    <xf numFmtId="0" fontId="4" fillId="15" borderId="0" xfId="0" applyFont="1" applyFill="1" applyAlignment="1" applyProtection="1">
      <alignment horizontal="right" vertical="center"/>
      <protection locked="0"/>
    </xf>
    <xf numFmtId="0" fontId="3" fillId="8" borderId="39" xfId="0" applyFont="1" applyFill="1" applyBorder="1" applyAlignment="1">
      <alignment vertical="center"/>
    </xf>
    <xf numFmtId="0" fontId="0" fillId="0" borderId="35" xfId="0" applyBorder="1"/>
    <xf numFmtId="0" fontId="0" fillId="18" borderId="0" xfId="0" applyFill="1"/>
    <xf numFmtId="0" fontId="3" fillId="0" borderId="0" xfId="0" applyFont="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Alignment="1">
      <alignment horizontal="left"/>
    </xf>
    <xf numFmtId="179" fontId="7" fillId="10" borderId="0" xfId="0" applyNumberFormat="1" applyFont="1" applyFill="1"/>
    <xf numFmtId="2" fontId="0" fillId="18" borderId="0" xfId="0" applyNumberFormat="1" applyFill="1"/>
    <xf numFmtId="1" fontId="0" fillId="10" borderId="0" xfId="0" applyNumberFormat="1" applyFill="1"/>
    <xf numFmtId="0" fontId="3" fillId="0" borderId="35" xfId="0" applyFont="1" applyBorder="1"/>
    <xf numFmtId="0" fontId="3" fillId="0" borderId="24" xfId="0" applyFont="1" applyBorder="1"/>
    <xf numFmtId="0" fontId="7" fillId="0" borderId="25" xfId="0" applyFont="1" applyBorder="1"/>
    <xf numFmtId="180" fontId="0" fillId="0" borderId="0" xfId="0" applyNumberFormat="1"/>
    <xf numFmtId="0" fontId="4" fillId="0" borderId="45" xfId="0" applyFont="1" applyBorder="1"/>
    <xf numFmtId="0" fontId="0" fillId="20" borderId="0" xfId="0" applyFill="1"/>
    <xf numFmtId="0" fontId="3" fillId="0" borderId="0" xfId="4"/>
    <xf numFmtId="0" fontId="3" fillId="0" borderId="11" xfId="4" applyBorder="1"/>
    <xf numFmtId="2" fontId="3" fillId="0" borderId="0" xfId="4" applyNumberFormat="1"/>
    <xf numFmtId="179" fontId="0" fillId="0" borderId="0" xfId="0" applyNumberFormat="1"/>
    <xf numFmtId="1" fontId="7" fillId="10" borderId="0" xfId="0" applyNumberFormat="1" applyFont="1" applyFill="1"/>
    <xf numFmtId="0" fontId="3" fillId="0" borderId="49" xfId="0" applyFont="1" applyBorder="1"/>
    <xf numFmtId="179" fontId="3" fillId="0" borderId="50" xfId="0" applyNumberFormat="1" applyFont="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xf numFmtId="178" fontId="7" fillId="10" borderId="0" xfId="0" applyNumberFormat="1" applyFont="1" applyFill="1"/>
    <xf numFmtId="0" fontId="0" fillId="20" borderId="0" xfId="0" applyFill="1" applyAlignment="1">
      <alignment horizontal="right"/>
    </xf>
    <xf numFmtId="179" fontId="27" fillId="18" borderId="0" xfId="0" applyNumberFormat="1" applyFont="1" applyFill="1"/>
    <xf numFmtId="0" fontId="0" fillId="19" borderId="0" xfId="0" applyFill="1" applyAlignment="1">
      <alignment horizontal="right"/>
    </xf>
    <xf numFmtId="2" fontId="0" fillId="18" borderId="0" xfId="0" applyNumberFormat="1" applyFill="1" applyAlignment="1">
      <alignment horizontal="right"/>
    </xf>
    <xf numFmtId="179" fontId="3" fillId="0" borderId="11" xfId="4" applyNumberFormat="1" applyBorder="1"/>
    <xf numFmtId="0" fontId="0" fillId="19" borderId="0" xfId="0" applyFill="1"/>
    <xf numFmtId="2" fontId="3" fillId="0" borderId="0" xfId="0" applyNumberFormat="1" applyFont="1"/>
    <xf numFmtId="0" fontId="3" fillId="20" borderId="0" xfId="0" applyFont="1" applyFill="1"/>
    <xf numFmtId="0" fontId="3" fillId="0" borderId="8" xfId="4" applyBorder="1"/>
    <xf numFmtId="189" fontId="0" fillId="10" borderId="0" xfId="0" applyNumberFormat="1" applyFill="1"/>
    <xf numFmtId="189" fontId="0" fillId="4" borderId="25" xfId="0" applyNumberFormat="1" applyFill="1" applyBorder="1"/>
    <xf numFmtId="1" fontId="3" fillId="0" borderId="0" xfId="4" applyNumberFormat="1"/>
    <xf numFmtId="0" fontId="15" fillId="0" borderId="33"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xf numFmtId="0" fontId="3" fillId="8" borderId="35" xfId="0" applyFont="1" applyFill="1" applyBorder="1" applyAlignment="1">
      <alignment horizontal="right" vertical="center"/>
    </xf>
    <xf numFmtId="0" fontId="3" fillId="8" borderId="39" xfId="0" applyFont="1" applyFill="1" applyBorder="1" applyAlignment="1">
      <alignment horizontal="right"/>
    </xf>
    <xf numFmtId="1" fontId="3" fillId="8" borderId="39" xfId="0" applyNumberFormat="1" applyFont="1" applyFill="1" applyBorder="1"/>
    <xf numFmtId="179" fontId="17" fillId="12" borderId="0" xfId="0" applyNumberFormat="1" applyFont="1" applyFill="1"/>
    <xf numFmtId="0" fontId="3" fillId="12" borderId="0" xfId="0" applyFont="1" applyFill="1" applyAlignment="1">
      <alignment horizontal="right" vertical="center"/>
    </xf>
    <xf numFmtId="178" fontId="17" fillId="12" borderId="0" xfId="0" applyNumberFormat="1" applyFont="1" applyFill="1"/>
    <xf numFmtId="0" fontId="3" fillId="12" borderId="0" xfId="0" applyFont="1" applyFill="1" applyAlignment="1">
      <alignment vertical="center"/>
    </xf>
    <xf numFmtId="0" fontId="4" fillId="12" borderId="0" xfId="0" applyFont="1" applyFill="1" applyAlignment="1">
      <alignment vertical="center"/>
    </xf>
    <xf numFmtId="0" fontId="61" fillId="8" borderId="0" xfId="0" applyFont="1" applyFill="1" applyAlignment="1">
      <alignment horizontal="right" vertical="center"/>
    </xf>
    <xf numFmtId="178" fontId="3" fillId="0" borderId="0" xfId="4" applyNumberFormat="1"/>
    <xf numFmtId="179" fontId="3" fillId="0" borderId="0" xfId="4" applyNumberFormat="1"/>
    <xf numFmtId="177" fontId="3" fillId="0" borderId="0" xfId="4" applyNumberFormat="1"/>
    <xf numFmtId="10" fontId="3" fillId="0" borderId="0" xfId="4" applyNumberFormat="1"/>
    <xf numFmtId="0" fontId="4" fillId="4" borderId="49" xfId="4" applyFont="1" applyFill="1" applyBorder="1"/>
    <xf numFmtId="0" fontId="7" fillId="4" borderId="35" xfId="4" applyFont="1" applyFill="1" applyBorder="1"/>
    <xf numFmtId="178" fontId="3" fillId="4" borderId="52" xfId="4" applyNumberFormat="1" applyFill="1" applyBorder="1"/>
    <xf numFmtId="178" fontId="4" fillId="4" borderId="49" xfId="4" applyNumberFormat="1" applyFont="1" applyFill="1" applyBorder="1"/>
    <xf numFmtId="178" fontId="7" fillId="4" borderId="50" xfId="4" applyNumberFormat="1" applyFont="1" applyFill="1" applyBorder="1"/>
    <xf numFmtId="0" fontId="7" fillId="4" borderId="50" xfId="4" applyFont="1" applyFill="1" applyBorder="1"/>
    <xf numFmtId="178" fontId="15" fillId="4" borderId="52" xfId="4" applyNumberFormat="1" applyFont="1" applyFill="1" applyBorder="1"/>
    <xf numFmtId="179" fontId="4" fillId="4" borderId="50" xfId="4" applyNumberFormat="1" applyFont="1" applyFill="1" applyBorder="1" applyAlignment="1">
      <alignment horizontal="left"/>
    </xf>
    <xf numFmtId="178" fontId="7" fillId="4" borderId="50" xfId="4" applyNumberFormat="1" applyFont="1" applyFill="1" applyBorder="1" applyAlignment="1">
      <alignment horizontal="center"/>
    </xf>
    <xf numFmtId="177" fontId="3" fillId="4" borderId="50" xfId="4" applyNumberFormat="1" applyFill="1" applyBorder="1"/>
    <xf numFmtId="177" fontId="3" fillId="4" borderId="52" xfId="4" applyNumberFormat="1" applyFill="1" applyBorder="1"/>
    <xf numFmtId="178" fontId="4" fillId="4" borderId="41" xfId="4" applyNumberFormat="1" applyFont="1" applyFill="1" applyBorder="1"/>
    <xf numFmtId="178" fontId="3" fillId="4" borderId="42" xfId="4" applyNumberFormat="1" applyFill="1" applyBorder="1"/>
    <xf numFmtId="178" fontId="4" fillId="4" borderId="41" xfId="4" applyNumberFormat="1" applyFont="1" applyFill="1" applyBorder="1" applyAlignment="1">
      <alignment horizontal="left"/>
    </xf>
    <xf numFmtId="178" fontId="4" fillId="4" borderId="42" xfId="4" applyNumberFormat="1" applyFont="1" applyFill="1" applyBorder="1" applyAlignment="1">
      <alignment horizontal="left"/>
    </xf>
    <xf numFmtId="178"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78" fontId="4" fillId="2" borderId="7" xfId="4" applyNumberFormat="1" applyFont="1" applyFill="1" applyBorder="1" applyAlignment="1">
      <alignment horizontal="center" vertical="center" wrapText="1"/>
    </xf>
    <xf numFmtId="178"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78" fontId="4" fillId="2" borderId="5" xfId="4" applyNumberFormat="1" applyFont="1" applyFill="1" applyBorder="1" applyAlignment="1">
      <alignment horizontal="center" vertical="center" wrapText="1"/>
    </xf>
    <xf numFmtId="179" fontId="4" fillId="2" borderId="20" xfId="4" applyNumberFormat="1" applyFont="1" applyFill="1" applyBorder="1" applyAlignment="1">
      <alignment horizontal="center" vertical="center" wrapText="1"/>
    </xf>
    <xf numFmtId="177" fontId="4" fillId="2" borderId="6" xfId="4" applyNumberFormat="1" applyFont="1" applyFill="1" applyBorder="1" applyAlignment="1">
      <alignment horizontal="center" vertical="center" wrapText="1"/>
    </xf>
    <xf numFmtId="177" fontId="4" fillId="2" borderId="7"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21" xfId="4" applyNumberFormat="1" applyFont="1" applyFill="1" applyBorder="1" applyAlignment="1">
      <alignment horizontal="center" vertical="center" wrapText="1"/>
    </xf>
    <xf numFmtId="178" fontId="4" fillId="2" borderId="56" xfId="4" applyNumberFormat="1" applyFont="1" applyFill="1" applyBorder="1" applyAlignment="1">
      <alignment horizontal="center" vertical="center" wrapText="1"/>
    </xf>
    <xf numFmtId="178" fontId="4" fillId="2" borderId="57" xfId="4" applyNumberFormat="1" applyFont="1" applyFill="1" applyBorder="1" applyAlignment="1">
      <alignment horizontal="center" vertical="center" wrapText="1"/>
    </xf>
    <xf numFmtId="178"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Alignment="1">
      <alignment horizontal="center" vertical="center" wrapText="1"/>
    </xf>
    <xf numFmtId="0" fontId="3" fillId="0" borderId="0" xfId="4" quotePrefix="1"/>
    <xf numFmtId="0" fontId="4" fillId="2" borderId="0" xfId="4" applyFont="1" applyFill="1" applyAlignment="1">
      <alignment horizontal="center" vertical="center" wrapText="1"/>
    </xf>
    <xf numFmtId="0" fontId="4" fillId="5" borderId="8" xfId="4" applyFont="1" applyFill="1" applyBorder="1"/>
    <xf numFmtId="0" fontId="4" fillId="5" borderId="9" xfId="4" applyFont="1" applyFill="1" applyBorder="1"/>
    <xf numFmtId="0" fontId="4" fillId="5" borderId="10" xfId="4" applyFont="1" applyFill="1" applyBorder="1"/>
    <xf numFmtId="0" fontId="4" fillId="5" borderId="11" xfId="4" applyFont="1" applyFill="1" applyBorder="1"/>
    <xf numFmtId="0" fontId="4" fillId="0" borderId="0" xfId="4" applyFont="1"/>
    <xf numFmtId="181" fontId="3" fillId="0" borderId="0" xfId="4" applyNumberFormat="1"/>
    <xf numFmtId="11" fontId="3" fillId="0" borderId="0" xfId="4" applyNumberFormat="1"/>
    <xf numFmtId="2" fontId="3" fillId="0" borderId="11" xfId="4" applyNumberFormat="1" applyBorder="1"/>
    <xf numFmtId="1" fontId="3" fillId="0" borderId="0" xfId="4" applyNumberFormat="1" applyProtection="1">
      <protection locked="0"/>
    </xf>
    <xf numFmtId="10" fontId="3" fillId="0" borderId="0" xfId="4" applyNumberFormat="1" applyProtection="1">
      <protection locked="0"/>
    </xf>
    <xf numFmtId="0" fontId="4" fillId="6" borderId="12" xfId="4" applyFont="1" applyFill="1" applyBorder="1"/>
    <xf numFmtId="0" fontId="3" fillId="2" borderId="11" xfId="4" applyFill="1" applyBorder="1" applyProtection="1">
      <protection locked="0"/>
    </xf>
    <xf numFmtId="0" fontId="4" fillId="6" borderId="11" xfId="4" applyFont="1" applyFill="1" applyBorder="1"/>
    <xf numFmtId="0" fontId="53" fillId="0" borderId="11" xfId="4" applyFont="1" applyBorder="1"/>
    <xf numFmtId="0" fontId="3" fillId="4" borderId="11" xfId="4" applyFill="1" applyBorder="1"/>
    <xf numFmtId="0" fontId="3" fillId="4" borderId="11" xfId="4" applyFill="1" applyBorder="1" applyProtection="1">
      <protection locked="0"/>
    </xf>
    <xf numFmtId="0" fontId="14" fillId="3" borderId="0" xfId="4" applyFont="1" applyFill="1"/>
    <xf numFmtId="0" fontId="4" fillId="5" borderId="15" xfId="4" applyFont="1" applyFill="1" applyBorder="1"/>
    <xf numFmtId="179" fontId="15" fillId="22" borderId="11" xfId="4" applyNumberFormat="1" applyFont="1" applyFill="1" applyBorder="1"/>
    <xf numFmtId="0" fontId="3" fillId="0" borderId="15" xfId="4"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88" fontId="3" fillId="0" borderId="11" xfId="4" applyNumberFormat="1" applyBorder="1"/>
    <xf numFmtId="0" fontId="4" fillId="6" borderId="8" xfId="4" applyFont="1" applyFill="1" applyBorder="1"/>
    <xf numFmtId="0" fontId="4" fillId="0" borderId="0" xfId="4" applyFont="1" applyAlignment="1">
      <alignment horizontal="right"/>
    </xf>
    <xf numFmtId="0" fontId="3" fillId="6" borderId="8" xfId="4" applyFill="1" applyBorder="1"/>
    <xf numFmtId="0" fontId="3" fillId="0" borderId="47" xfId="4" applyBorder="1"/>
    <xf numFmtId="0" fontId="53" fillId="0" borderId="15" xfId="4" applyFont="1" applyBorder="1"/>
    <xf numFmtId="189" fontId="3" fillId="0" borderId="47" xfId="4" applyNumberFormat="1" applyBorder="1"/>
    <xf numFmtId="0" fontId="4" fillId="0" borderId="11" xfId="4" applyFont="1" applyBorder="1"/>
    <xf numFmtId="0" fontId="4" fillId="6" borderId="48" xfId="4" applyFont="1" applyFill="1" applyBorder="1"/>
    <xf numFmtId="0" fontId="3" fillId="0" borderId="16" xfId="4" applyBorder="1"/>
    <xf numFmtId="11" fontId="3" fillId="0" borderId="48" xfId="4" applyNumberFormat="1" applyBorder="1"/>
    <xf numFmtId="0" fontId="3" fillId="0" borderId="12" xfId="4" applyBorder="1"/>
    <xf numFmtId="0" fontId="4" fillId="5" borderId="0" xfId="4" applyFont="1" applyFill="1"/>
    <xf numFmtId="0" fontId="4" fillId="5" borderId="14" xfId="4" applyFont="1" applyFill="1" applyBorder="1"/>
    <xf numFmtId="0" fontId="3" fillId="0" borderId="11" xfId="4" applyBorder="1" applyProtection="1">
      <protection locked="0"/>
    </xf>
    <xf numFmtId="0" fontId="3" fillId="6" borderId="9" xfId="4" applyFill="1" applyBorder="1"/>
    <xf numFmtId="0" fontId="3" fillId="0" borderId="47" xfId="4" applyBorder="1" applyProtection="1">
      <protection locked="0"/>
    </xf>
    <xf numFmtId="0" fontId="4" fillId="5" borderId="4" xfId="4" applyFont="1" applyFill="1" applyBorder="1"/>
    <xf numFmtId="0" fontId="4" fillId="5" borderId="12" xfId="4" applyFont="1" applyFill="1" applyBorder="1"/>
    <xf numFmtId="0" fontId="3" fillId="6" borderId="11" xfId="4" applyFill="1" applyBorder="1"/>
    <xf numFmtId="0" fontId="3" fillId="0" borderId="51" xfId="4" applyBorder="1" applyProtection="1">
      <protection locked="0"/>
    </xf>
    <xf numFmtId="0" fontId="3" fillId="21" borderId="51" xfId="4" applyFill="1" applyBorder="1" applyProtection="1">
      <protection locked="0"/>
    </xf>
    <xf numFmtId="189" fontId="3" fillId="0" borderId="11" xfId="4" applyNumberFormat="1" applyBorder="1"/>
    <xf numFmtId="0" fontId="4" fillId="5" borderId="0" xfId="4" applyFont="1" applyFill="1" applyProtection="1">
      <protection locked="0"/>
    </xf>
    <xf numFmtId="0" fontId="4" fillId="5" borderId="13" xfId="4" applyFont="1" applyFill="1" applyBorder="1"/>
    <xf numFmtId="180" fontId="58" fillId="0" borderId="0" xfId="4" applyNumberFormat="1" applyFont="1"/>
    <xf numFmtId="0" fontId="58" fillId="0" borderId="0" xfId="4" applyFont="1"/>
    <xf numFmtId="0" fontId="48" fillId="0" borderId="0" xfId="4" applyFont="1"/>
    <xf numFmtId="2" fontId="4" fillId="0" borderId="0" xfId="4" applyNumberFormat="1" applyFont="1"/>
    <xf numFmtId="178" fontId="48" fillId="0" borderId="0" xfId="4" applyNumberFormat="1" applyFont="1"/>
    <xf numFmtId="1" fontId="4" fillId="0" borderId="0" xfId="4" applyNumberFormat="1" applyFont="1"/>
    <xf numFmtId="178" fontId="4" fillId="0" borderId="0" xfId="4" applyNumberFormat="1" applyFont="1"/>
    <xf numFmtId="2" fontId="7" fillId="4" borderId="50" xfId="4" applyNumberFormat="1" applyFont="1" applyFill="1" applyBorder="1"/>
    <xf numFmtId="2" fontId="4" fillId="2" borderId="53" xfId="4" applyNumberFormat="1" applyFont="1" applyFill="1" applyBorder="1" applyAlignment="1">
      <alignment horizontal="center" vertical="center" wrapText="1"/>
    </xf>
    <xf numFmtId="2" fontId="7" fillId="4" borderId="52" xfId="4" applyNumberFormat="1" applyFont="1" applyFill="1" applyBorder="1"/>
    <xf numFmtId="2" fontId="4" fillId="2" borderId="18" xfId="4" applyNumberFormat="1" applyFont="1" applyFill="1" applyBorder="1" applyAlignment="1">
      <alignment horizontal="center" vertical="center" wrapText="1"/>
    </xf>
    <xf numFmtId="179" fontId="7" fillId="4" borderId="50" xfId="4" applyNumberFormat="1" applyFont="1" applyFill="1" applyBorder="1"/>
    <xf numFmtId="179" fontId="4" fillId="2" borderId="42" xfId="4" applyNumberFormat="1" applyFont="1" applyFill="1" applyBorder="1" applyAlignment="1">
      <alignment horizontal="center" vertical="center" wrapText="1"/>
    </xf>
    <xf numFmtId="191" fontId="3" fillId="0" borderId="0" xfId="4" applyNumberFormat="1"/>
    <xf numFmtId="191" fontId="7" fillId="4" borderId="50" xfId="4" applyNumberFormat="1" applyFont="1" applyFill="1" applyBorder="1"/>
    <xf numFmtId="191" fontId="4" fillId="2" borderId="6" xfId="4" applyNumberFormat="1" applyFont="1" applyFill="1" applyBorder="1" applyAlignment="1">
      <alignment horizontal="center" vertical="center" wrapText="1"/>
    </xf>
    <xf numFmtId="191" fontId="4" fillId="2" borderId="19" xfId="4" applyNumberFormat="1" applyFont="1" applyFill="1" applyBorder="1" applyAlignment="1">
      <alignment horizontal="center" vertical="center" wrapText="1"/>
    </xf>
    <xf numFmtId="191" fontId="4" fillId="2" borderId="41" xfId="4" applyNumberFormat="1" applyFont="1" applyFill="1" applyBorder="1" applyAlignment="1">
      <alignment horizontal="center" vertical="center" wrapText="1"/>
    </xf>
    <xf numFmtId="191" fontId="4" fillId="2" borderId="53" xfId="4" applyNumberFormat="1" applyFont="1" applyFill="1" applyBorder="1" applyAlignment="1">
      <alignment horizontal="center" vertical="center" wrapText="1"/>
    </xf>
    <xf numFmtId="191" fontId="4" fillId="2" borderId="42" xfId="4" applyNumberFormat="1" applyFont="1" applyFill="1" applyBorder="1" applyAlignment="1">
      <alignment horizontal="center" vertical="center" wrapText="1"/>
    </xf>
    <xf numFmtId="191" fontId="4" fillId="0" borderId="0" xfId="4" applyNumberFormat="1" applyFont="1"/>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Alignment="1">
      <alignment vertical="top"/>
    </xf>
    <xf numFmtId="180" fontId="3" fillId="2" borderId="11" xfId="4" applyNumberFormat="1" applyFill="1" applyBorder="1" applyProtection="1">
      <protection locked="0"/>
    </xf>
    <xf numFmtId="1" fontId="3" fillId="0" borderId="47" xfId="4" applyNumberFormat="1" applyBorder="1"/>
    <xf numFmtId="0" fontId="0" fillId="12" borderId="0" xfId="0" applyFill="1"/>
    <xf numFmtId="0" fontId="64" fillId="0" borderId="0" xfId="0" applyFont="1"/>
    <xf numFmtId="0" fontId="62" fillId="0" borderId="0" xfId="1" applyFont="1" applyFill="1"/>
    <xf numFmtId="1" fontId="15" fillId="4" borderId="0" xfId="0" applyNumberFormat="1" applyFont="1" applyFill="1" applyAlignment="1">
      <alignment horizontal="right"/>
    </xf>
    <xf numFmtId="1" fontId="49" fillId="8" borderId="0" xfId="0" applyNumberFormat="1" applyFont="1" applyFill="1" applyAlignment="1">
      <alignment horizontal="right"/>
    </xf>
    <xf numFmtId="1" fontId="0" fillId="0" borderId="0" xfId="0" applyNumberFormat="1"/>
    <xf numFmtId="0" fontId="3" fillId="8" borderId="25" xfId="0" applyFont="1" applyFill="1" applyBorder="1" applyAlignment="1">
      <alignment horizontal="right"/>
    </xf>
    <xf numFmtId="0" fontId="48" fillId="0" borderId="0" xfId="0" applyFont="1" applyAlignment="1">
      <alignment horizontal="left"/>
    </xf>
    <xf numFmtId="0" fontId="48" fillId="0" borderId="0" xfId="0" applyFont="1" applyAlignment="1">
      <alignment horizontal="right"/>
    </xf>
    <xf numFmtId="0" fontId="0" fillId="0" borderId="22" xfId="0" applyBorder="1" applyAlignment="1">
      <alignment horizontal="right"/>
    </xf>
    <xf numFmtId="0" fontId="48" fillId="0" borderId="0" xfId="4" applyFont="1" applyAlignment="1">
      <alignment horizontal="left"/>
    </xf>
    <xf numFmtId="0" fontId="48" fillId="0" borderId="0" xfId="0" applyFont="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xf numFmtId="0" fontId="3" fillId="0" borderId="0" xfId="0" applyFont="1" applyAlignment="1">
      <alignment horizontal="left"/>
    </xf>
    <xf numFmtId="0" fontId="3" fillId="12" borderId="0" xfId="0" applyFont="1" applyFill="1"/>
    <xf numFmtId="1" fontId="3" fillId="8" borderId="25" xfId="0" applyNumberFormat="1" applyFont="1" applyFill="1" applyBorder="1" applyAlignment="1">
      <alignment horizontal="right" vertical="center"/>
    </xf>
    <xf numFmtId="0" fontId="3" fillId="8" borderId="59" xfId="0" applyFont="1" applyFill="1" applyBorder="1" applyAlignment="1">
      <alignment vertical="center"/>
    </xf>
    <xf numFmtId="0" fontId="3" fillId="8" borderId="60" xfId="0" applyFont="1" applyFill="1" applyBorder="1" applyAlignment="1">
      <alignment vertical="center"/>
    </xf>
    <xf numFmtId="0" fontId="3" fillId="8" borderId="60" xfId="0" applyFont="1" applyFill="1" applyBorder="1" applyAlignment="1">
      <alignment horizontal="right" vertical="center"/>
    </xf>
    <xf numFmtId="0" fontId="4" fillId="8" borderId="60" xfId="0" applyFont="1" applyFill="1" applyBorder="1" applyAlignment="1">
      <alignment horizontal="right" vertical="center"/>
    </xf>
    <xf numFmtId="0" fontId="3" fillId="8" borderId="61" xfId="0" applyFont="1" applyFill="1" applyBorder="1" applyAlignment="1">
      <alignment vertical="center"/>
    </xf>
    <xf numFmtId="0" fontId="65" fillId="0" borderId="22" xfId="0" applyFont="1" applyBorder="1"/>
    <xf numFmtId="0" fontId="3" fillId="15" borderId="0" xfId="0" applyFont="1" applyFill="1"/>
    <xf numFmtId="0" fontId="24" fillId="24" borderId="22" xfId="0" applyFont="1" applyFill="1" applyBorder="1" applyAlignment="1">
      <alignment horizontal="left"/>
    </xf>
    <xf numFmtId="0" fontId="24" fillId="24" borderId="0" xfId="0" applyFont="1" applyFill="1" applyAlignment="1">
      <alignment horizontal="left"/>
    </xf>
    <xf numFmtId="0" fontId="23" fillId="24" borderId="22" xfId="0" applyFont="1" applyFill="1" applyBorder="1" applyAlignment="1">
      <alignment horizontal="left" vertical="center"/>
    </xf>
    <xf numFmtId="0" fontId="23" fillId="24" borderId="0" xfId="0" applyFont="1" applyFill="1" applyAlignment="1">
      <alignment horizontal="left" vertical="center"/>
    </xf>
    <xf numFmtId="0" fontId="52" fillId="24" borderId="0" xfId="0" applyFont="1" applyFill="1" applyAlignment="1">
      <alignment horizontal="left" vertical="center"/>
    </xf>
    <xf numFmtId="0" fontId="20" fillId="24" borderId="0" xfId="0" applyFont="1" applyFill="1" applyAlignment="1">
      <alignment vertical="center"/>
    </xf>
    <xf numFmtId="0" fontId="23" fillId="24" borderId="0" xfId="0" quotePrefix="1" applyFont="1" applyFill="1" applyAlignment="1">
      <alignment vertical="center"/>
    </xf>
    <xf numFmtId="0" fontId="26" fillId="24" borderId="0" xfId="0" applyFont="1" applyFill="1" applyAlignment="1">
      <alignment vertical="center"/>
    </xf>
    <xf numFmtId="0" fontId="26" fillId="24" borderId="0" xfId="0" applyFont="1" applyFill="1"/>
    <xf numFmtId="0" fontId="17" fillId="24" borderId="0" xfId="0" applyFont="1" applyFill="1"/>
    <xf numFmtId="0" fontId="28" fillId="24" borderId="24" xfId="0" applyFont="1" applyFill="1" applyBorder="1"/>
    <xf numFmtId="0" fontId="28" fillId="24" borderId="25" xfId="0" applyFont="1" applyFill="1" applyBorder="1"/>
    <xf numFmtId="0" fontId="20" fillId="24" borderId="25" xfId="0" applyFont="1" applyFill="1" applyBorder="1"/>
    <xf numFmtId="0" fontId="25" fillId="24" borderId="25" xfId="0" applyFont="1" applyFill="1" applyBorder="1"/>
    <xf numFmtId="0" fontId="66" fillId="24" borderId="0" xfId="3" applyFont="1" applyFill="1" applyAlignment="1" applyProtection="1"/>
    <xf numFmtId="0" fontId="66" fillId="24" borderId="0" xfId="3" applyFont="1" applyFill="1" applyBorder="1" applyAlignment="1" applyProtection="1">
      <alignment horizontal="left" vertical="center"/>
    </xf>
    <xf numFmtId="182" fontId="17" fillId="24" borderId="0" xfId="0" applyNumberFormat="1" applyFont="1" applyFill="1" applyAlignment="1">
      <alignment horizontal="center"/>
    </xf>
    <xf numFmtId="0" fontId="20" fillId="24" borderId="37" xfId="0" applyFont="1" applyFill="1" applyBorder="1"/>
    <xf numFmtId="0" fontId="20" fillId="24" borderId="35" xfId="0" applyFont="1" applyFill="1" applyBorder="1"/>
    <xf numFmtId="0" fontId="17" fillId="24" borderId="35" xfId="0" applyFont="1" applyFill="1" applyBorder="1"/>
    <xf numFmtId="0" fontId="4" fillId="5" borderId="48" xfId="4" applyFont="1" applyFill="1" applyBorder="1"/>
    <xf numFmtId="179" fontId="0" fillId="10" borderId="2" xfId="0" applyNumberFormat="1" applyFill="1" applyBorder="1"/>
    <xf numFmtId="179" fontId="0" fillId="18" borderId="0" xfId="0" applyNumberFormat="1" applyFill="1"/>
    <xf numFmtId="179" fontId="27" fillId="10" borderId="0" xfId="0" applyNumberFormat="1" applyFont="1" applyFill="1"/>
    <xf numFmtId="0" fontId="3" fillId="8" borderId="62" xfId="0" applyFont="1" applyFill="1" applyBorder="1"/>
    <xf numFmtId="0" fontId="3" fillId="8" borderId="63" xfId="0" applyFont="1" applyFill="1" applyBorder="1"/>
    <xf numFmtId="0" fontId="3" fillId="8" borderId="63" xfId="0" applyFont="1" applyFill="1" applyBorder="1" applyAlignment="1">
      <alignment horizontal="right"/>
    </xf>
    <xf numFmtId="0" fontId="17" fillId="12" borderId="22" xfId="0" applyFont="1" applyFill="1" applyBorder="1"/>
    <xf numFmtId="179" fontId="27" fillId="0" borderId="0" xfId="0" applyNumberFormat="1" applyFont="1"/>
    <xf numFmtId="0" fontId="4" fillId="12" borderId="23" xfId="0" applyFont="1" applyFill="1" applyBorder="1" applyAlignment="1">
      <alignment vertical="center"/>
    </xf>
    <xf numFmtId="1" fontId="3" fillId="0" borderId="64" xfId="0" applyNumberFormat="1" applyFont="1" applyBorder="1" applyAlignment="1">
      <alignment vertical="center"/>
    </xf>
    <xf numFmtId="0" fontId="4" fillId="12" borderId="23" xfId="0" applyFont="1" applyFill="1" applyBorder="1"/>
    <xf numFmtId="0" fontId="3" fillId="12" borderId="26" xfId="0" applyFont="1" applyFill="1" applyBorder="1"/>
    <xf numFmtId="1" fontId="3" fillId="8" borderId="0" xfId="0" applyNumberFormat="1" applyFont="1" applyFill="1"/>
    <xf numFmtId="0" fontId="0" fillId="0" borderId="63" xfId="0" applyBorder="1"/>
    <xf numFmtId="0" fontId="4" fillId="0" borderId="0" xfId="4" applyFont="1" applyAlignment="1">
      <alignment horizontal="left"/>
    </xf>
    <xf numFmtId="0" fontId="48" fillId="0" borderId="0" xfId="4" applyFont="1" applyAlignment="1">
      <alignment horizontal="center"/>
    </xf>
    <xf numFmtId="0" fontId="69" fillId="0" borderId="0" xfId="4" applyFont="1" applyAlignment="1">
      <alignment horizontal="right"/>
    </xf>
    <xf numFmtId="0" fontId="69" fillId="0" borderId="22" xfId="4" applyFont="1" applyBorder="1" applyAlignment="1">
      <alignment horizontal="right"/>
    </xf>
    <xf numFmtId="0" fontId="69" fillId="0" borderId="0" xfId="0" applyFont="1" applyAlignment="1">
      <alignment horizontal="right"/>
    </xf>
    <xf numFmtId="0" fontId="65" fillId="0" borderId="0" xfId="0" applyFont="1"/>
    <xf numFmtId="178" fontId="7" fillId="4" borderId="63" xfId="4" applyNumberFormat="1" applyFont="1" applyFill="1" applyBorder="1"/>
    <xf numFmtId="180" fontId="3" fillId="0" borderId="0" xfId="4" applyNumberFormat="1"/>
    <xf numFmtId="0" fontId="4" fillId="2" borderId="20" xfId="4" applyFont="1" applyFill="1" applyBorder="1" applyAlignment="1">
      <alignment horizontal="center" vertical="center" wrapText="1"/>
    </xf>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xf numFmtId="2" fontId="7" fillId="4" borderId="67" xfId="4" applyNumberFormat="1" applyFont="1" applyFill="1" applyBorder="1"/>
    <xf numFmtId="2" fontId="7" fillId="4" borderId="18" xfId="4" applyNumberFormat="1" applyFont="1" applyFill="1" applyBorder="1"/>
    <xf numFmtId="178" fontId="3" fillId="4" borderId="67" xfId="4" applyNumberFormat="1" applyFill="1" applyBorder="1"/>
    <xf numFmtId="0" fontId="3" fillId="8" borderId="62" xfId="0" applyFont="1" applyFill="1" applyBorder="1" applyAlignment="1">
      <alignment vertical="center"/>
    </xf>
    <xf numFmtId="0" fontId="22" fillId="8" borderId="24" xfId="0" applyFont="1" applyFill="1" applyBorder="1" applyAlignment="1">
      <alignment vertical="center"/>
    </xf>
    <xf numFmtId="177" fontId="3" fillId="0" borderId="0" xfId="7" applyNumberFormat="1" applyFont="1"/>
    <xf numFmtId="0" fontId="3" fillId="0" borderId="0" xfId="0" quotePrefix="1" applyFont="1"/>
    <xf numFmtId="0" fontId="4" fillId="8" borderId="11" xfId="4" applyFont="1" applyFill="1" applyBorder="1" applyAlignment="1">
      <alignment horizontal="center" vertical="center"/>
    </xf>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80" fontId="3" fillId="8" borderId="0" xfId="4" applyNumberFormat="1" applyFill="1" applyAlignment="1">
      <alignment horizontal="left"/>
    </xf>
    <xf numFmtId="0" fontId="4" fillId="8" borderId="0" xfId="4" applyFont="1" applyFill="1" applyAlignment="1">
      <alignment vertical="center"/>
    </xf>
    <xf numFmtId="180" fontId="3" fillId="8" borderId="0" xfId="4" applyNumberFormat="1" applyFill="1" applyAlignment="1">
      <alignment horizontal="right" vertical="center"/>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4" fillId="8" borderId="0" xfId="4" applyFont="1" applyFill="1"/>
    <xf numFmtId="180" fontId="74" fillId="8" borderId="0" xfId="4" applyNumberFormat="1" applyFont="1" applyFill="1" applyAlignment="1">
      <alignment horizontal="right"/>
    </xf>
    <xf numFmtId="0" fontId="74" fillId="8" borderId="0" xfId="4" applyFont="1" applyFill="1" applyAlignment="1">
      <alignment horizontal="left" vertical="center"/>
    </xf>
    <xf numFmtId="178" fontId="74" fillId="8" borderId="0" xfId="4" applyNumberFormat="1" applyFont="1" applyFill="1"/>
    <xf numFmtId="180" fontId="3" fillId="17" borderId="11" xfId="4" applyNumberFormat="1" applyFill="1" applyBorder="1" applyAlignment="1">
      <alignment horizontal="center" vertical="center"/>
    </xf>
    <xf numFmtId="180"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2" fillId="14" borderId="68" xfId="4" applyNumberFormat="1" applyFont="1" applyFill="1" applyBorder="1" applyAlignment="1">
      <alignment horizontal="center" vertical="center"/>
    </xf>
    <xf numFmtId="0" fontId="72" fillId="14" borderId="47" xfId="4" applyFont="1" applyFill="1" applyBorder="1" applyAlignment="1">
      <alignment horizontal="center" vertical="center"/>
    </xf>
    <xf numFmtId="180" fontId="75" fillId="0" borderId="0" xfId="4" applyNumberFormat="1" applyFont="1" applyAlignment="1">
      <alignment horizontal="right" vertical="center"/>
    </xf>
    <xf numFmtId="178" fontId="75"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ill="1" applyAlignment="1" applyProtection="1">
      <alignment vertical="center"/>
      <protection locked="0" hidden="1"/>
    </xf>
    <xf numFmtId="0" fontId="55" fillId="12" borderId="0" xfId="0" applyFont="1" applyFill="1"/>
    <xf numFmtId="0" fontId="59" fillId="8" borderId="0" xfId="4" applyFont="1" applyFill="1"/>
    <xf numFmtId="0" fontId="75" fillId="8" borderId="0" xfId="4" applyFont="1" applyFill="1" applyAlignment="1">
      <alignment horizontal="left"/>
    </xf>
    <xf numFmtId="0" fontId="48" fillId="0" borderId="22" xfId="0" applyFont="1" applyBorder="1"/>
    <xf numFmtId="0" fontId="17" fillId="12" borderId="35" xfId="0" applyFont="1" applyFill="1" applyBorder="1"/>
    <xf numFmtId="182" fontId="17" fillId="12" borderId="39" xfId="0" applyNumberFormat="1" applyFont="1" applyFill="1" applyBorder="1" applyAlignment="1">
      <alignment horizontal="center"/>
    </xf>
    <xf numFmtId="0" fontId="17" fillId="12" borderId="39" xfId="0" applyFont="1" applyFill="1" applyBorder="1"/>
    <xf numFmtId="0" fontId="17" fillId="8" borderId="39" xfId="0" applyFont="1" applyFill="1" applyBorder="1"/>
    <xf numFmtId="0" fontId="17" fillId="12" borderId="36" xfId="0" applyFont="1" applyFill="1" applyBorder="1"/>
    <xf numFmtId="0" fontId="17" fillId="12" borderId="23" xfId="0" applyFont="1" applyFill="1" applyBorder="1"/>
    <xf numFmtId="0" fontId="3" fillId="8" borderId="39" xfId="0" applyFont="1" applyFill="1" applyBorder="1" applyAlignment="1">
      <alignment horizontal="right" vertical="center"/>
    </xf>
    <xf numFmtId="0" fontId="3" fillId="8" borderId="35" xfId="0" applyFont="1" applyFill="1" applyBorder="1" applyAlignment="1">
      <alignment vertical="center"/>
    </xf>
    <xf numFmtId="0" fontId="3" fillId="8" borderId="35" xfId="0" applyFont="1" applyFill="1" applyBorder="1" applyAlignment="1">
      <alignment horizontal="right"/>
    </xf>
    <xf numFmtId="0" fontId="50" fillId="8" borderId="39" xfId="0" applyFont="1" applyFill="1" applyBorder="1" applyAlignment="1">
      <alignment horizontal="right" vertical="center"/>
    </xf>
    <xf numFmtId="0" fontId="4" fillId="15" borderId="39" xfId="0" applyFont="1" applyFill="1" applyBorder="1" applyAlignment="1" applyProtection="1">
      <alignment vertical="center"/>
      <protection locked="0"/>
    </xf>
    <xf numFmtId="1" fontId="49" fillId="8" borderId="25" xfId="0" applyNumberFormat="1" applyFont="1" applyFill="1" applyBorder="1" applyAlignment="1">
      <alignment horizontal="right"/>
    </xf>
    <xf numFmtId="0" fontId="3" fillId="8" borderId="36" xfId="0" applyFont="1" applyFill="1" applyBorder="1" applyAlignment="1">
      <alignment vertical="center"/>
    </xf>
    <xf numFmtId="0" fontId="60" fillId="13" borderId="35" xfId="0" applyFont="1" applyFill="1" applyBorder="1" applyAlignment="1">
      <alignment vertical="center"/>
    </xf>
    <xf numFmtId="0" fontId="17" fillId="13" borderId="35" xfId="0" applyFont="1" applyFill="1" applyBorder="1"/>
    <xf numFmtId="0" fontId="77" fillId="13" borderId="62" xfId="0" applyFont="1" applyFill="1" applyBorder="1" applyAlignment="1">
      <alignment vertical="center"/>
    </xf>
    <xf numFmtId="0" fontId="23" fillId="24" borderId="0" xfId="0" applyFont="1" applyFill="1" applyAlignment="1">
      <alignment horizontal="right" vertical="center"/>
    </xf>
    <xf numFmtId="196" fontId="0" fillId="0" borderId="0" xfId="0" applyNumberFormat="1" applyAlignment="1">
      <alignment horizontal="right"/>
    </xf>
    <xf numFmtId="196" fontId="0" fillId="19" borderId="0" xfId="0" applyNumberFormat="1" applyFill="1" applyAlignment="1">
      <alignment horizontal="right"/>
    </xf>
    <xf numFmtId="0" fontId="0" fillId="0" borderId="22" xfId="0" applyBorder="1" applyAlignment="1">
      <alignment horizontal="left"/>
    </xf>
    <xf numFmtId="1" fontId="3" fillId="8" borderId="39" xfId="0" applyNumberFormat="1" applyFont="1" applyFill="1" applyBorder="1" applyAlignment="1">
      <alignment horizontal="right" vertical="center"/>
    </xf>
    <xf numFmtId="0" fontId="3" fillId="8" borderId="40" xfId="0" applyFont="1" applyFill="1" applyBorder="1" applyAlignment="1">
      <alignment vertical="center"/>
    </xf>
    <xf numFmtId="178" fontId="3" fillId="4" borderId="35" xfId="4" applyNumberFormat="1" applyFill="1" applyBorder="1"/>
    <xf numFmtId="178" fontId="3" fillId="27" borderId="0" xfId="4" applyNumberFormat="1" applyFill="1" applyAlignment="1">
      <alignment horizontal="center" vertical="center" wrapText="1"/>
    </xf>
    <xf numFmtId="9" fontId="3" fillId="0" borderId="47" xfId="4" applyNumberFormat="1" applyBorder="1" applyProtection="1">
      <protection locked="0"/>
    </xf>
    <xf numFmtId="178" fontId="4" fillId="26" borderId="0" xfId="4" applyNumberFormat="1" applyFont="1" applyFill="1" applyAlignment="1">
      <alignment horizontal="center" vertical="center" wrapText="1"/>
    </xf>
    <xf numFmtId="178" fontId="0" fillId="0" borderId="0" xfId="0" applyNumberFormat="1"/>
    <xf numFmtId="2" fontId="3" fillId="0" borderId="0" xfId="7" applyNumberFormat="1" applyFont="1"/>
    <xf numFmtId="2" fontId="4" fillId="0" borderId="0" xfId="0" applyNumberFormat="1" applyFont="1"/>
    <xf numFmtId="180" fontId="4" fillId="0" borderId="0" xfId="4" applyNumberFormat="1" applyFont="1"/>
    <xf numFmtId="179" fontId="4" fillId="0" borderId="0" xfId="4" applyNumberFormat="1" applyFont="1"/>
    <xf numFmtId="0" fontId="4" fillId="4" borderId="0" xfId="4" applyFont="1" applyFill="1" applyAlignment="1">
      <alignment horizontal="left"/>
    </xf>
    <xf numFmtId="179" fontId="3" fillId="0" borderId="0" xfId="0" applyNumberFormat="1" applyFont="1"/>
    <xf numFmtId="179" fontId="4" fillId="0" borderId="0" xfId="0" applyNumberFormat="1" applyFont="1"/>
    <xf numFmtId="0" fontId="4" fillId="4" borderId="35" xfId="4" applyFont="1" applyFill="1" applyBorder="1"/>
    <xf numFmtId="180"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Border="1" applyAlignment="1">
      <alignment horizontal="center" vertical="center" wrapText="1"/>
    </xf>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xf numFmtId="180" fontId="15" fillId="18" borderId="0" xfId="0" applyNumberFormat="1" applyFont="1" applyFill="1" applyAlignment="1">
      <alignment horizontal="right"/>
    </xf>
    <xf numFmtId="189" fontId="27" fillId="0" borderId="0" xfId="0" applyNumberFormat="1" applyFont="1"/>
    <xf numFmtId="0" fontId="3" fillId="0" borderId="33" xfId="0" applyFont="1" applyBorder="1"/>
    <xf numFmtId="180" fontId="27" fillId="4" borderId="0" xfId="0" applyNumberFormat="1" applyFont="1" applyFill="1"/>
    <xf numFmtId="178" fontId="27" fillId="0" borderId="0" xfId="0" applyNumberFormat="1" applyFont="1"/>
    <xf numFmtId="179" fontId="3" fillId="5" borderId="0" xfId="0" applyNumberFormat="1" applyFont="1" applyFill="1"/>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xf numFmtId="0" fontId="17" fillId="12" borderId="40" xfId="0" applyFont="1" applyFill="1" applyBorder="1"/>
    <xf numFmtId="1" fontId="3" fillId="0" borderId="0" xfId="0" applyNumberFormat="1" applyFont="1"/>
    <xf numFmtId="180" fontId="3" fillId="0" borderId="0" xfId="0" applyNumberFormat="1" applyFont="1"/>
    <xf numFmtId="1" fontId="50" fillId="15" borderId="0" xfId="0" applyNumberFormat="1" applyFont="1" applyFill="1" applyAlignment="1" applyProtection="1">
      <alignment horizontal="right" vertical="center"/>
      <protection locked="0"/>
    </xf>
    <xf numFmtId="0" fontId="17" fillId="12" borderId="62" xfId="0" applyFont="1" applyFill="1" applyBorder="1"/>
    <xf numFmtId="0" fontId="4" fillId="12" borderId="35" xfId="0" applyFont="1" applyFill="1" applyBorder="1" applyAlignment="1">
      <alignment horizontal="right"/>
    </xf>
    <xf numFmtId="0" fontId="4" fillId="12" borderId="64" xfId="0" applyFont="1" applyFill="1" applyBorder="1"/>
    <xf numFmtId="0" fontId="79" fillId="0" borderId="0" xfId="0" applyFont="1" applyAlignment="1">
      <alignment vertical="center" wrapText="1"/>
    </xf>
    <xf numFmtId="0" fontId="4" fillId="15" borderId="35" xfId="0" applyFont="1" applyFill="1" applyBorder="1" applyProtection="1">
      <protection locked="0"/>
    </xf>
    <xf numFmtId="0" fontId="0" fillId="23" borderId="0" xfId="0" applyFill="1"/>
    <xf numFmtId="0" fontId="4" fillId="8" borderId="35" xfId="0" applyFont="1" applyFill="1" applyBorder="1"/>
    <xf numFmtId="0" fontId="3" fillId="8" borderId="35" xfId="0" applyFont="1" applyFill="1" applyBorder="1"/>
    <xf numFmtId="49" fontId="3" fillId="0" borderId="0" xfId="0" applyNumberFormat="1" applyFont="1" applyAlignment="1">
      <alignment horizontal="left"/>
    </xf>
    <xf numFmtId="180" fontId="49" fillId="12" borderId="35" xfId="0" applyNumberFormat="1" applyFont="1" applyFill="1" applyBorder="1" applyAlignment="1">
      <alignment vertical="center"/>
    </xf>
    <xf numFmtId="178" fontId="3" fillId="0" borderId="0" xfId="0" applyNumberFormat="1" applyFont="1"/>
    <xf numFmtId="1" fontId="4" fillId="12" borderId="0" xfId="0" applyNumberFormat="1" applyFont="1" applyFill="1" applyAlignment="1">
      <alignment vertical="center"/>
    </xf>
    <xf numFmtId="1" fontId="65" fillId="0" borderId="0" xfId="0" applyNumberFormat="1" applyFont="1" applyAlignment="1">
      <alignment horizontal="right" vertical="center"/>
    </xf>
    <xf numFmtId="180" fontId="4" fillId="15" borderId="0" xfId="0" applyNumberFormat="1" applyFont="1" applyFill="1" applyAlignment="1" applyProtection="1">
      <alignment horizontal="right" vertical="center"/>
      <protection locked="0"/>
    </xf>
    <xf numFmtId="0" fontId="22" fillId="8" borderId="67" xfId="0" applyFont="1" applyFill="1" applyBorder="1" applyAlignment="1">
      <alignment vertical="center"/>
    </xf>
    <xf numFmtId="0" fontId="17" fillId="8" borderId="35" xfId="0" applyFont="1" applyFill="1" applyBorder="1"/>
    <xf numFmtId="0" fontId="45" fillId="8" borderId="75" xfId="0" applyFont="1" applyFill="1" applyBorder="1"/>
    <xf numFmtId="0" fontId="45" fillId="8" borderId="76" xfId="0" applyFont="1" applyFill="1" applyBorder="1"/>
    <xf numFmtId="0" fontId="45" fillId="8" borderId="77" xfId="0" applyFont="1" applyFill="1" applyBorder="1"/>
    <xf numFmtId="2" fontId="3" fillId="18" borderId="0" xfId="0" applyNumberFormat="1" applyFont="1" applyFill="1"/>
    <xf numFmtId="2" fontId="4" fillId="0" borderId="0" xfId="0" applyNumberFormat="1" applyFont="1" applyAlignment="1">
      <alignment horizontal="right"/>
    </xf>
    <xf numFmtId="1" fontId="3" fillId="4" borderId="0" xfId="0" applyNumberFormat="1" applyFont="1" applyFill="1"/>
    <xf numFmtId="2" fontId="7" fillId="0" borderId="2" xfId="0" applyNumberFormat="1" applyFont="1" applyBorder="1"/>
    <xf numFmtId="179" fontId="4" fillId="0" borderId="2" xfId="0" applyNumberFormat="1" applyFont="1" applyBorder="1"/>
    <xf numFmtId="0" fontId="27" fillId="18" borderId="0" xfId="0" applyFont="1" applyFill="1" applyAlignment="1">
      <alignment horizontal="right"/>
    </xf>
    <xf numFmtId="192" fontId="3" fillId="16" borderId="8" xfId="4" applyNumberFormat="1" applyFill="1" applyBorder="1" applyAlignment="1">
      <alignment horizontal="left" vertical="center"/>
    </xf>
    <xf numFmtId="192" fontId="3" fillId="16" borderId="9" xfId="4" applyNumberFormat="1" applyFill="1" applyBorder="1" applyAlignment="1">
      <alignment horizontal="left" vertical="center"/>
    </xf>
    <xf numFmtId="0" fontId="3" fillId="8" borderId="0" xfId="0" applyFont="1" applyFill="1" applyAlignment="1">
      <alignment horizontal="right" vertical="top"/>
    </xf>
    <xf numFmtId="0" fontId="3" fillId="8" borderId="38" xfId="0" applyFont="1" applyFill="1" applyBorder="1" applyAlignment="1">
      <alignment horizontal="right"/>
    </xf>
    <xf numFmtId="0" fontId="4" fillId="2" borderId="19" xfId="4" applyFont="1" applyFill="1" applyBorder="1" applyAlignment="1">
      <alignment horizontal="center" vertical="center" wrapText="1"/>
    </xf>
    <xf numFmtId="178" fontId="4" fillId="26" borderId="19" xfId="4" applyNumberFormat="1" applyFont="1" applyFill="1" applyBorder="1" applyAlignment="1">
      <alignment horizontal="center" vertical="center" wrapText="1"/>
    </xf>
    <xf numFmtId="178" fontId="4" fillId="26" borderId="20" xfId="4" applyNumberFormat="1" applyFont="1" applyFill="1" applyBorder="1" applyAlignment="1">
      <alignment horizontal="center" vertical="center" wrapText="1"/>
    </xf>
    <xf numFmtId="178" fontId="4" fillId="26" borderId="73" xfId="4" applyNumberFormat="1" applyFont="1" applyFill="1" applyBorder="1" applyAlignment="1">
      <alignment horizontal="center" vertical="center" wrapText="1"/>
    </xf>
    <xf numFmtId="178"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80" fontId="3" fillId="8" borderId="35" xfId="0" applyNumberFormat="1" applyFont="1" applyFill="1" applyBorder="1" applyAlignment="1">
      <alignment horizontal="right" vertical="center"/>
    </xf>
    <xf numFmtId="179" fontId="0" fillId="0" borderId="0" xfId="0" applyNumberFormat="1" applyAlignment="1">
      <alignment horizontal="right"/>
    </xf>
    <xf numFmtId="0" fontId="3" fillId="23" borderId="0" xfId="0" applyFont="1" applyFill="1"/>
    <xf numFmtId="9" fontId="0" fillId="19" borderId="0" xfId="0" applyNumberFormat="1" applyFill="1"/>
    <xf numFmtId="0" fontId="3" fillId="12" borderId="70" xfId="4" applyFill="1" applyBorder="1" applyAlignment="1">
      <alignment horizontal="center" vertical="center"/>
    </xf>
    <xf numFmtId="180"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93" fontId="3" fillId="12" borderId="8" xfId="4" applyNumberFormat="1" applyFill="1" applyBorder="1" applyAlignment="1">
      <alignment horizontal="left" vertical="center"/>
    </xf>
    <xf numFmtId="193" fontId="3" fillId="12" borderId="9" xfId="4" applyNumberFormat="1" applyFill="1" applyBorder="1" applyAlignment="1">
      <alignment horizontal="left" vertical="center"/>
    </xf>
    <xf numFmtId="0" fontId="3" fillId="17" borderId="11" xfId="4" applyFill="1" applyBorder="1" applyAlignment="1">
      <alignment horizontal="center" vertical="center"/>
    </xf>
    <xf numFmtId="180" fontId="3" fillId="8" borderId="63" xfId="0" applyNumberFormat="1" applyFont="1" applyFill="1" applyBorder="1" applyAlignment="1">
      <alignment horizontal="right" vertical="center"/>
    </xf>
    <xf numFmtId="2" fontId="7" fillId="10" borderId="0" xfId="0" applyNumberFormat="1" applyFont="1" applyFill="1"/>
    <xf numFmtId="0" fontId="3" fillId="12" borderId="64" xfId="0" applyFont="1" applyFill="1" applyBorder="1" applyAlignment="1">
      <alignment vertical="center"/>
    </xf>
    <xf numFmtId="177" fontId="0" fillId="0" borderId="0" xfId="0" applyNumberFormat="1"/>
    <xf numFmtId="0" fontId="3" fillId="12" borderId="23" xfId="0" applyFont="1" applyFill="1" applyBorder="1"/>
    <xf numFmtId="0" fontId="3" fillId="12" borderId="40" xfId="0" applyFont="1" applyFill="1" applyBorder="1"/>
    <xf numFmtId="2" fontId="3" fillId="8" borderId="39" xfId="0" applyNumberFormat="1" applyFont="1" applyFill="1" applyBorder="1" applyAlignment="1">
      <alignment horizontal="right"/>
    </xf>
    <xf numFmtId="181" fontId="7" fillId="0" borderId="0" xfId="0" applyNumberFormat="1" applyFont="1"/>
    <xf numFmtId="0" fontId="3" fillId="0" borderId="11" xfId="0" applyFont="1" applyBorder="1"/>
    <xf numFmtId="0" fontId="0" fillId="0" borderId="11" xfId="0" applyBorder="1"/>
    <xf numFmtId="0" fontId="80"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Border="1"/>
    <xf numFmtId="0" fontId="3" fillId="0" borderId="8" xfId="4" applyBorder="1" applyAlignment="1">
      <alignment horizontal="left"/>
    </xf>
    <xf numFmtId="1" fontId="3" fillId="0" borderId="11" xfId="4" applyNumberFormat="1" applyBorder="1"/>
    <xf numFmtId="180" fontId="3" fillId="0" borderId="8" xfId="4" applyNumberFormat="1" applyBorder="1"/>
    <xf numFmtId="0" fontId="3" fillId="2" borderId="0" xfId="4" applyFill="1"/>
    <xf numFmtId="0" fontId="3" fillId="0" borderId="21" xfId="4" applyBorder="1" applyAlignment="1">
      <alignment horizontal="left"/>
    </xf>
    <xf numFmtId="1" fontId="3" fillId="0" borderId="39" xfId="4" applyNumberFormat="1" applyBorder="1"/>
    <xf numFmtId="0" fontId="3" fillId="0" borderId="40" xfId="4" applyBorder="1"/>
    <xf numFmtId="0" fontId="3" fillId="0" borderId="39" xfId="4" applyBorder="1"/>
    <xf numFmtId="179" fontId="3" fillId="0" borderId="39" xfId="4" applyNumberFormat="1" applyBorder="1"/>
    <xf numFmtId="179" fontId="3" fillId="0" borderId="38" xfId="4" applyNumberFormat="1" applyBorder="1"/>
    <xf numFmtId="0" fontId="3" fillId="0" borderId="0" xfId="4" applyAlignment="1">
      <alignment horizontal="left"/>
    </xf>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2" fontId="7" fillId="0" borderId="7" xfId="4" applyNumberFormat="1" applyFont="1" applyBorder="1" applyAlignment="1">
      <alignment horizontal="center"/>
    </xf>
    <xf numFmtId="0" fontId="7" fillId="0" borderId="0" xfId="4" applyFont="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78" fontId="3" fillId="0" borderId="84" xfId="4" applyNumberFormat="1" applyBorder="1" applyAlignment="1">
      <alignment horizontal="center"/>
    </xf>
    <xf numFmtId="178" fontId="3" fillId="0" borderId="12" xfId="4" applyNumberFormat="1" applyBorder="1" applyAlignment="1">
      <alignment horizontal="center"/>
    </xf>
    <xf numFmtId="178" fontId="3" fillId="0" borderId="85" xfId="4" applyNumberFormat="1" applyBorder="1" applyAlignment="1">
      <alignment horizontal="center"/>
    </xf>
    <xf numFmtId="178" fontId="3" fillId="0" borderId="48" xfId="4" applyNumberFormat="1" applyBorder="1" applyAlignment="1">
      <alignment horizontal="center"/>
    </xf>
    <xf numFmtId="197" fontId="3" fillId="0" borderId="84" xfId="4" applyNumberFormat="1" applyBorder="1" applyAlignment="1">
      <alignment horizontal="center"/>
    </xf>
    <xf numFmtId="197"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78" fontId="3" fillId="0" borderId="11" xfId="4" applyNumberFormat="1" applyBorder="1" applyAlignment="1">
      <alignment horizontal="center"/>
    </xf>
    <xf numFmtId="178" fontId="3" fillId="0" borderId="79" xfId="4" applyNumberFormat="1" applyBorder="1" applyAlignment="1">
      <alignment horizontal="center"/>
    </xf>
    <xf numFmtId="0" fontId="3" fillId="0" borderId="0" xfId="4" applyAlignment="1">
      <alignment horizontal="center"/>
    </xf>
    <xf numFmtId="178" fontId="3" fillId="0" borderId="0" xfId="4" applyNumberFormat="1" applyAlignment="1">
      <alignment horizontal="center"/>
    </xf>
    <xf numFmtId="197" fontId="3" fillId="0" borderId="0" xfId="4" applyNumberFormat="1" applyAlignment="1">
      <alignment horizontal="center"/>
    </xf>
    <xf numFmtId="2" fontId="3" fillId="0" borderId="87" xfId="4" applyNumberFormat="1" applyBorder="1" applyAlignment="1">
      <alignment horizontal="center"/>
    </xf>
    <xf numFmtId="2" fontId="3" fillId="0" borderId="0" xfId="4" applyNumberFormat="1" applyAlignment="1">
      <alignment horizontal="center"/>
    </xf>
    <xf numFmtId="0" fontId="3" fillId="0" borderId="0" xfId="4" applyAlignment="1">
      <alignment horizontal="right"/>
    </xf>
    <xf numFmtId="178" fontId="3" fillId="0" borderId="17" xfId="4" applyNumberFormat="1" applyBorder="1" applyAlignment="1">
      <alignment horizontal="center"/>
    </xf>
    <xf numFmtId="178" fontId="3" fillId="0" borderId="8" xfId="4" applyNumberFormat="1" applyBorder="1" applyAlignment="1">
      <alignment horizontal="center"/>
    </xf>
    <xf numFmtId="197" fontId="3" fillId="0" borderId="79" xfId="4" applyNumberFormat="1" applyBorder="1" applyAlignment="1">
      <alignment horizontal="center"/>
    </xf>
    <xf numFmtId="1" fontId="3" fillId="0" borderId="0" xfId="4" applyNumberFormat="1"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3" fillId="0" borderId="0" xfId="4" applyFont="1"/>
    <xf numFmtId="0" fontId="3" fillId="0" borderId="23" xfId="4" applyBorder="1"/>
    <xf numFmtId="2" fontId="3" fillId="29" borderId="0" xfId="4" applyNumberFormat="1" applyFill="1"/>
    <xf numFmtId="0" fontId="3" fillId="29" borderId="0" xfId="4" applyFill="1"/>
    <xf numFmtId="189" fontId="3" fillId="0" borderId="0" xfId="4" applyNumberFormat="1"/>
    <xf numFmtId="1" fontId="3" fillId="0" borderId="8" xfId="4" applyNumberFormat="1" applyBorder="1" applyAlignment="1">
      <alignment horizontal="left"/>
    </xf>
    <xf numFmtId="0" fontId="3" fillId="18" borderId="0" xfId="4" applyFill="1"/>
    <xf numFmtId="179" fontId="3" fillId="18" borderId="0" xfId="4" applyNumberFormat="1" applyFill="1"/>
    <xf numFmtId="2" fontId="3" fillId="18" borderId="0" xfId="4" applyNumberFormat="1" applyFill="1"/>
    <xf numFmtId="180" fontId="3" fillId="18" borderId="0" xfId="4" applyNumberFormat="1" applyFill="1"/>
    <xf numFmtId="0" fontId="48" fillId="0" borderId="15" xfId="4" applyFont="1" applyBorder="1"/>
    <xf numFmtId="2" fontId="4" fillId="0" borderId="11" xfId="4" applyNumberFormat="1" applyFont="1" applyBorder="1"/>
    <xf numFmtId="0" fontId="4" fillId="0" borderId="79" xfId="4" applyFont="1" applyBorder="1"/>
    <xf numFmtId="180" fontId="4" fillId="0" borderId="11" xfId="4" applyNumberFormat="1" applyFont="1" applyBorder="1"/>
    <xf numFmtId="0" fontId="82" fillId="0" borderId="79" xfId="4" applyFont="1" applyBorder="1"/>
    <xf numFmtId="0" fontId="3" fillId="0" borderId="80" xfId="4" applyBorder="1"/>
    <xf numFmtId="178" fontId="7" fillId="0" borderId="0" xfId="0" applyNumberFormat="1" applyFont="1"/>
    <xf numFmtId="0" fontId="4" fillId="15" borderId="35" xfId="0" applyFont="1" applyFill="1" applyBorder="1" applyAlignment="1" applyProtection="1">
      <alignment vertical="center"/>
      <protection locked="0"/>
    </xf>
    <xf numFmtId="0" fontId="4" fillId="12" borderId="64" xfId="0" applyFont="1" applyFill="1" applyBorder="1" applyAlignment="1">
      <alignment vertical="center"/>
    </xf>
    <xf numFmtId="0" fontId="4" fillId="12" borderId="40" xfId="0" applyFont="1" applyFill="1" applyBorder="1" applyAlignment="1">
      <alignment vertical="center"/>
    </xf>
    <xf numFmtId="0" fontId="4" fillId="11" borderId="0" xfId="0" applyFont="1" applyFill="1"/>
    <xf numFmtId="0" fontId="58" fillId="0" borderId="0" xfId="0" applyFont="1"/>
    <xf numFmtId="0" fontId="84" fillId="8" borderId="0" xfId="0" applyFont="1" applyFill="1"/>
    <xf numFmtId="0" fontId="81" fillId="12" borderId="0" xfId="0" applyFont="1" applyFill="1" applyAlignment="1">
      <alignment vertical="center"/>
    </xf>
    <xf numFmtId="178" fontId="3" fillId="0" borderId="11" xfId="4" applyNumberFormat="1" applyBorder="1"/>
    <xf numFmtId="197" fontId="3" fillId="0" borderId="0" xfId="4" applyNumberFormat="1"/>
    <xf numFmtId="0" fontId="0" fillId="0" borderId="62" xfId="0" applyBorder="1"/>
    <xf numFmtId="0" fontId="0" fillId="0" borderId="64" xfId="0" applyBorder="1"/>
    <xf numFmtId="20" fontId="0" fillId="0" borderId="0" xfId="0" applyNumberFormat="1"/>
    <xf numFmtId="0" fontId="0" fillId="0" borderId="0" xfId="0" quotePrefix="1"/>
    <xf numFmtId="0" fontId="78" fillId="0" borderId="0" xfId="0" applyFont="1" applyAlignment="1">
      <alignment horizontal="right"/>
    </xf>
    <xf numFmtId="0" fontId="4" fillId="0" borderId="23" xfId="0" applyFont="1" applyBorder="1" applyAlignment="1">
      <alignment horizontal="right"/>
    </xf>
    <xf numFmtId="179" fontId="4" fillId="0" borderId="23" xfId="0" applyNumberFormat="1" applyFont="1" applyBorder="1" applyAlignment="1">
      <alignment horizontal="right"/>
    </xf>
    <xf numFmtId="179" fontId="48" fillId="0" borderId="0" xfId="0" applyNumberFormat="1" applyFont="1" applyAlignment="1">
      <alignment horizontal="left"/>
    </xf>
    <xf numFmtId="2" fontId="48" fillId="0" borderId="23" xfId="0" applyNumberFormat="1" applyFont="1" applyBorder="1" applyAlignment="1">
      <alignment horizontal="right"/>
    </xf>
    <xf numFmtId="2" fontId="48" fillId="0" borderId="0" xfId="0" applyNumberFormat="1" applyFont="1" applyAlignment="1">
      <alignment horizontal="left"/>
    </xf>
    <xf numFmtId="0" fontId="48" fillId="0" borderId="23" xfId="0" applyFont="1" applyBorder="1" applyAlignment="1">
      <alignment horizontal="right"/>
    </xf>
    <xf numFmtId="0" fontId="0" fillId="0" borderId="38" xfId="0" applyBorder="1"/>
    <xf numFmtId="0" fontId="0" fillId="0" borderId="39" xfId="0" applyBorder="1" applyAlignment="1">
      <alignment horizontal="left"/>
    </xf>
    <xf numFmtId="0" fontId="0" fillId="0" borderId="40" xfId="0" applyBorder="1"/>
    <xf numFmtId="0" fontId="4" fillId="0" borderId="62" xfId="0" applyFont="1" applyBorder="1"/>
    <xf numFmtId="0" fontId="4" fillId="8" borderId="23" xfId="0" applyFont="1" applyFill="1" applyBorder="1"/>
    <xf numFmtId="0" fontId="22" fillId="8" borderId="38" xfId="0" applyFont="1" applyFill="1" applyBorder="1" applyAlignment="1">
      <alignment vertical="center"/>
    </xf>
    <xf numFmtId="0" fontId="47" fillId="8" borderId="39" xfId="0" applyFont="1" applyFill="1" applyBorder="1"/>
    <xf numFmtId="0" fontId="4" fillId="8" borderId="40" xfId="0" applyFont="1" applyFill="1" applyBorder="1"/>
    <xf numFmtId="0" fontId="22" fillId="12" borderId="0" xfId="0" applyFont="1" applyFill="1" applyAlignment="1">
      <alignment vertical="center"/>
    </xf>
    <xf numFmtId="180" fontId="49" fillId="12" borderId="0" xfId="0" applyNumberFormat="1" applyFont="1" applyFill="1" applyAlignment="1">
      <alignment vertical="center"/>
    </xf>
    <xf numFmtId="0" fontId="10" fillId="0" borderId="0" xfId="3" applyAlignment="1" applyProtection="1"/>
    <xf numFmtId="0" fontId="50" fillId="0" borderId="0" xfId="4" applyFont="1"/>
    <xf numFmtId="0" fontId="58" fillId="0" borderId="86" xfId="4" applyFont="1" applyBorder="1" applyAlignment="1">
      <alignment horizontal="center"/>
    </xf>
    <xf numFmtId="0" fontId="58" fillId="0" borderId="74" xfId="4" applyFont="1" applyBorder="1" applyAlignment="1">
      <alignment horizontal="center"/>
    </xf>
    <xf numFmtId="178" fontId="58" fillId="0" borderId="84" xfId="4" applyNumberFormat="1" applyFont="1" applyBorder="1" applyAlignment="1">
      <alignment horizontal="center"/>
    </xf>
    <xf numFmtId="178" fontId="58" fillId="0" borderId="12" xfId="4" applyNumberFormat="1" applyFont="1" applyBorder="1" applyAlignment="1">
      <alignment horizontal="center"/>
    </xf>
    <xf numFmtId="178" fontId="58" fillId="0" borderId="85" xfId="4" applyNumberFormat="1" applyFont="1" applyBorder="1" applyAlignment="1">
      <alignment horizontal="center"/>
    </xf>
    <xf numFmtId="178" fontId="58" fillId="0" borderId="48" xfId="4" applyNumberFormat="1" applyFont="1" applyBorder="1" applyAlignment="1">
      <alignment horizontal="center"/>
    </xf>
    <xf numFmtId="178" fontId="58" fillId="0" borderId="11" xfId="4" applyNumberFormat="1" applyFont="1" applyBorder="1" applyAlignment="1">
      <alignment horizontal="center"/>
    </xf>
    <xf numFmtId="178" fontId="58" fillId="0" borderId="79" xfId="4" applyNumberFormat="1" applyFont="1" applyBorder="1" applyAlignment="1">
      <alignment horizontal="center"/>
    </xf>
    <xf numFmtId="197" fontId="58" fillId="0" borderId="84" xfId="4" applyNumberFormat="1" applyFont="1" applyBorder="1" applyAlignment="1">
      <alignment horizontal="center"/>
    </xf>
    <xf numFmtId="197" fontId="58" fillId="0" borderId="85" xfId="4" applyNumberFormat="1" applyFont="1" applyBorder="1" applyAlignment="1">
      <alignment horizontal="center"/>
    </xf>
    <xf numFmtId="2" fontId="58" fillId="0" borderId="84" xfId="4" applyNumberFormat="1" applyFont="1" applyBorder="1" applyAlignment="1">
      <alignment horizontal="center"/>
    </xf>
    <xf numFmtId="2" fontId="58" fillId="0" borderId="12" xfId="4" applyNumberFormat="1" applyFont="1" applyBorder="1" applyAlignment="1">
      <alignment horizontal="center"/>
    </xf>
    <xf numFmtId="2" fontId="58" fillId="0" borderId="79" xfId="4" applyNumberFormat="1" applyFont="1" applyBorder="1" applyAlignment="1">
      <alignment horizontal="center"/>
    </xf>
    <xf numFmtId="2" fontId="58" fillId="0" borderId="17" xfId="4" applyNumberFormat="1" applyFont="1" applyBorder="1" applyAlignment="1">
      <alignment horizontal="center"/>
    </xf>
    <xf numFmtId="1" fontId="49" fillId="12" borderId="0" xfId="0" applyNumberFormat="1" applyFont="1" applyFill="1" applyAlignment="1">
      <alignment vertical="center"/>
    </xf>
    <xf numFmtId="180" fontId="50" fillId="15" borderId="0" xfId="0" applyNumberFormat="1" applyFont="1" applyFill="1" applyAlignment="1" applyProtection="1">
      <alignment vertical="center"/>
      <protection locked="0"/>
    </xf>
    <xf numFmtId="0" fontId="86" fillId="0" borderId="0" xfId="0" applyFont="1"/>
    <xf numFmtId="180" fontId="3" fillId="12" borderId="0" xfId="0" applyNumberFormat="1" applyFont="1" applyFill="1" applyAlignment="1">
      <alignment horizontal="right"/>
    </xf>
    <xf numFmtId="0" fontId="0" fillId="0" borderId="0" xfId="0" quotePrefix="1" applyAlignment="1">
      <alignment wrapText="1"/>
    </xf>
    <xf numFmtId="0" fontId="0" fillId="0" borderId="0" xfId="0" applyAlignment="1">
      <alignment wrapText="1"/>
    </xf>
    <xf numFmtId="0" fontId="3" fillId="0" borderId="0" xfId="0" applyFont="1" applyAlignment="1">
      <alignment wrapText="1"/>
    </xf>
    <xf numFmtId="2" fontId="7" fillId="0" borderId="0" xfId="0" applyNumberFormat="1" applyFont="1"/>
    <xf numFmtId="180" fontId="49" fillId="8" borderId="35" xfId="2" applyNumberFormat="1" applyFont="1" applyFill="1" applyBorder="1" applyAlignment="1" applyProtection="1">
      <alignment horizontal="right" vertical="center"/>
    </xf>
    <xf numFmtId="180" fontId="17" fillId="8" borderId="35" xfId="0" applyNumberFormat="1" applyFont="1" applyFill="1" applyBorder="1" applyAlignment="1">
      <alignment horizontal="right"/>
    </xf>
    <xf numFmtId="0" fontId="3" fillId="8" borderId="38" xfId="0" applyFont="1" applyFill="1" applyBorder="1" applyAlignment="1">
      <alignment vertical="center"/>
    </xf>
    <xf numFmtId="0" fontId="50" fillId="8" borderId="35" xfId="0" applyFont="1" applyFill="1" applyBorder="1" applyAlignment="1">
      <alignment horizontal="right" vertical="center"/>
    </xf>
    <xf numFmtId="0" fontId="50" fillId="12" borderId="64" xfId="0" applyFont="1" applyFill="1" applyBorder="1" applyAlignment="1">
      <alignment vertical="center"/>
    </xf>
    <xf numFmtId="180" fontId="3" fillId="8" borderId="0" xfId="0" applyNumberFormat="1" applyFont="1" applyFill="1"/>
    <xf numFmtId="0" fontId="87" fillId="8" borderId="39" xfId="0" applyFont="1" applyFill="1" applyBorder="1"/>
    <xf numFmtId="0" fontId="49" fillId="8" borderId="39" xfId="0" applyFont="1" applyFill="1" applyBorder="1" applyAlignment="1">
      <alignment horizontal="right"/>
    </xf>
    <xf numFmtId="180" fontId="79" fillId="8" borderId="0" xfId="0" applyNumberFormat="1" applyFont="1" applyFill="1"/>
    <xf numFmtId="0" fontId="3" fillId="8" borderId="22" xfId="0" applyFont="1" applyFill="1" applyBorder="1" applyAlignment="1">
      <alignment horizontal="right"/>
    </xf>
    <xf numFmtId="0" fontId="22" fillId="12" borderId="62" xfId="0" applyFont="1" applyFill="1" applyBorder="1" applyAlignment="1">
      <alignment vertical="center"/>
    </xf>
    <xf numFmtId="0" fontId="47" fillId="8" borderId="35" xfId="0" applyFont="1" applyFill="1" applyBorder="1"/>
    <xf numFmtId="0" fontId="3" fillId="8" borderId="35" xfId="0" quotePrefix="1" applyFont="1" applyFill="1" applyBorder="1" applyAlignment="1">
      <alignment horizontal="right"/>
    </xf>
    <xf numFmtId="180" fontId="3" fillId="8" borderId="35" xfId="0" applyNumberFormat="1" applyFont="1" applyFill="1" applyBorder="1"/>
    <xf numFmtId="0" fontId="3" fillId="8" borderId="64" xfId="0" applyFont="1" applyFill="1" applyBorder="1"/>
    <xf numFmtId="0" fontId="22" fillId="12" borderId="22" xfId="0" applyFont="1" applyFill="1" applyBorder="1" applyAlignment="1">
      <alignment vertical="center"/>
    </xf>
    <xf numFmtId="0" fontId="17" fillId="12" borderId="38" xfId="0" applyFont="1" applyFill="1" applyBorder="1"/>
    <xf numFmtId="180" fontId="3" fillId="8" borderId="0" xfId="0" applyNumberFormat="1" applyFont="1" applyFill="1" applyAlignment="1">
      <alignment horizontal="right"/>
    </xf>
    <xf numFmtId="180" fontId="3" fillId="8" borderId="39" xfId="0" applyNumberFormat="1" applyFont="1" applyFill="1" applyBorder="1" applyAlignment="1">
      <alignment horizontal="right"/>
    </xf>
    <xf numFmtId="0" fontId="3" fillId="8" borderId="64" xfId="0" applyFont="1" applyFill="1" applyBorder="1" applyAlignment="1">
      <alignment vertical="center"/>
    </xf>
    <xf numFmtId="0" fontId="50" fillId="15" borderId="39" xfId="0" applyFont="1" applyFill="1" applyBorder="1" applyAlignment="1" applyProtection="1">
      <alignment horizontal="right" vertical="center"/>
      <protection locked="0"/>
    </xf>
    <xf numFmtId="0" fontId="4" fillId="8" borderId="40" xfId="0" applyFont="1" applyFill="1" applyBorder="1" applyAlignment="1">
      <alignment vertical="center"/>
    </xf>
    <xf numFmtId="0" fontId="84" fillId="8" borderId="11" xfId="0" applyFont="1" applyFill="1" applyBorder="1" applyAlignment="1">
      <alignment horizontal="right"/>
    </xf>
    <xf numFmtId="0" fontId="81" fillId="15" borderId="15" xfId="0" applyFont="1" applyFill="1" applyBorder="1" applyAlignment="1" applyProtection="1">
      <alignment vertical="center"/>
      <protection locked="0"/>
    </xf>
    <xf numFmtId="0" fontId="4" fillId="15" borderId="0" xfId="0" applyFont="1" applyFill="1" applyAlignment="1" applyProtection="1">
      <alignment horizontal="right"/>
      <protection locked="0"/>
    </xf>
    <xf numFmtId="0" fontId="4" fillId="8" borderId="35" xfId="0" applyFont="1" applyFill="1" applyBorder="1" applyAlignment="1">
      <alignment horizontal="right" vertical="center"/>
    </xf>
    <xf numFmtId="1" fontId="3" fillId="8" borderId="35" xfId="0" applyNumberFormat="1" applyFont="1" applyFill="1" applyBorder="1" applyAlignment="1">
      <alignment horizontal="right" vertical="center"/>
    </xf>
    <xf numFmtId="0" fontId="3" fillId="8" borderId="88" xfId="0" applyFont="1" applyFill="1" applyBorder="1" applyAlignment="1">
      <alignment vertical="center"/>
    </xf>
    <xf numFmtId="0" fontId="3" fillId="8" borderId="10" xfId="0" applyFont="1" applyFill="1" applyBorder="1" applyAlignment="1">
      <alignment vertical="center"/>
    </xf>
    <xf numFmtId="0" fontId="4" fillId="8" borderId="10" xfId="0" applyFont="1" applyFill="1" applyBorder="1" applyAlignment="1">
      <alignment vertical="center"/>
    </xf>
    <xf numFmtId="0" fontId="3" fillId="8" borderId="10" xfId="0" applyFont="1" applyFill="1" applyBorder="1" applyAlignment="1">
      <alignment horizontal="right" vertical="center"/>
    </xf>
    <xf numFmtId="0" fontId="3" fillId="0" borderId="10" xfId="0" applyFont="1" applyBorder="1" applyAlignment="1">
      <alignment horizontal="right" vertical="center"/>
    </xf>
    <xf numFmtId="0" fontId="3" fillId="8" borderId="89" xfId="0" applyFont="1" applyFill="1" applyBorder="1" applyAlignment="1">
      <alignment vertical="center"/>
    </xf>
    <xf numFmtId="0" fontId="3" fillId="8" borderId="48" xfId="0" applyFont="1" applyFill="1" applyBorder="1" applyAlignment="1">
      <alignment vertical="center"/>
    </xf>
    <xf numFmtId="0" fontId="3" fillId="8" borderId="4" xfId="0" applyFont="1" applyFill="1" applyBorder="1" applyAlignment="1">
      <alignment vertical="center"/>
    </xf>
    <xf numFmtId="0" fontId="3" fillId="8" borderId="4" xfId="0" applyFont="1" applyFill="1" applyBorder="1" applyAlignment="1">
      <alignment horizontal="right" vertical="center"/>
    </xf>
    <xf numFmtId="0" fontId="3" fillId="8" borderId="16" xfId="0" applyFont="1" applyFill="1" applyBorder="1" applyAlignment="1">
      <alignment vertical="center"/>
    </xf>
    <xf numFmtId="0" fontId="22" fillId="8" borderId="0" xfId="0" applyFont="1" applyFill="1" applyAlignment="1">
      <alignment vertical="center"/>
    </xf>
    <xf numFmtId="0" fontId="45" fillId="8" borderId="62" xfId="0" applyFont="1" applyFill="1" applyBorder="1"/>
    <xf numFmtId="0" fontId="45" fillId="8" borderId="38" xfId="0" applyFont="1" applyFill="1" applyBorder="1"/>
    <xf numFmtId="0" fontId="3" fillId="8" borderId="62" xfId="0" applyFont="1" applyFill="1" applyBorder="1" applyAlignment="1">
      <alignment horizontal="right"/>
    </xf>
    <xf numFmtId="0" fontId="49" fillId="12" borderId="0" xfId="0" applyFont="1" applyFill="1" applyAlignment="1">
      <alignment horizontal="right"/>
    </xf>
    <xf numFmtId="0" fontId="49" fillId="12" borderId="35" xfId="0" applyFont="1" applyFill="1" applyBorder="1" applyAlignment="1">
      <alignment horizontal="right"/>
    </xf>
    <xf numFmtId="0" fontId="17" fillId="12" borderId="90" xfId="0" applyFont="1" applyFill="1" applyBorder="1"/>
    <xf numFmtId="0" fontId="50" fillId="12" borderId="39" xfId="0" applyFont="1" applyFill="1" applyBorder="1" applyAlignment="1">
      <alignment horizontal="right"/>
    </xf>
    <xf numFmtId="0" fontId="3" fillId="0" borderId="0" xfId="0" applyFont="1" applyAlignment="1">
      <alignment vertical="center"/>
    </xf>
    <xf numFmtId="0" fontId="17" fillId="8" borderId="67" xfId="0" applyFont="1" applyFill="1" applyBorder="1"/>
    <xf numFmtId="0" fontId="3" fillId="12" borderId="0" xfId="0" applyFont="1" applyFill="1" applyAlignment="1">
      <alignment horizontal="right"/>
    </xf>
    <xf numFmtId="0" fontId="79" fillId="8" borderId="0" xfId="0" applyFont="1" applyFill="1" applyAlignment="1">
      <alignment horizontal="right" vertical="center"/>
    </xf>
    <xf numFmtId="0" fontId="65" fillId="8" borderId="0" xfId="0" applyFont="1" applyFill="1" applyAlignment="1">
      <alignment horizontal="right" vertical="center"/>
    </xf>
    <xf numFmtId="0" fontId="3" fillId="0" borderId="62" xfId="0" applyFont="1" applyBorder="1"/>
    <xf numFmtId="0" fontId="0" fillId="0" borderId="90" xfId="0" applyBorder="1"/>
    <xf numFmtId="0" fontId="3" fillId="0" borderId="38" xfId="0" applyFont="1" applyBorder="1"/>
    <xf numFmtId="0" fontId="4" fillId="8" borderId="35" xfId="0" applyFont="1" applyFill="1" applyBorder="1" applyAlignment="1">
      <alignment horizontal="right"/>
    </xf>
    <xf numFmtId="0" fontId="3" fillId="0" borderId="90" xfId="0" applyFont="1" applyBorder="1" applyAlignment="1">
      <alignment vertical="center"/>
    </xf>
    <xf numFmtId="0" fontId="4" fillId="12" borderId="90" xfId="0" applyFont="1" applyFill="1" applyBorder="1" applyAlignment="1">
      <alignment vertical="center"/>
    </xf>
    <xf numFmtId="0" fontId="3" fillId="8" borderId="38" xfId="0" applyFont="1" applyFill="1" applyBorder="1"/>
    <xf numFmtId="0" fontId="4" fillId="0" borderId="39" xfId="0" applyFont="1" applyBorder="1"/>
    <xf numFmtId="0" fontId="3" fillId="0" borderId="39" xfId="0" applyFont="1" applyBorder="1" applyAlignment="1">
      <alignment horizontal="right"/>
    </xf>
    <xf numFmtId="0" fontId="3" fillId="0" borderId="40" xfId="0" applyFont="1" applyBorder="1" applyAlignment="1">
      <alignment vertical="center"/>
    </xf>
    <xf numFmtId="180" fontId="3" fillId="0" borderId="39" xfId="0" applyNumberFormat="1" applyFont="1" applyBorder="1" applyAlignment="1">
      <alignment horizontal="right" vertical="center"/>
    </xf>
    <xf numFmtId="1" fontId="3" fillId="12" borderId="35" xfId="0" applyNumberFormat="1" applyFont="1" applyFill="1" applyBorder="1"/>
    <xf numFmtId="0" fontId="3" fillId="12" borderId="64" xfId="0" applyFont="1" applyFill="1" applyBorder="1"/>
    <xf numFmtId="0" fontId="3" fillId="12" borderId="90" xfId="0" applyFont="1" applyFill="1" applyBorder="1"/>
    <xf numFmtId="0" fontId="4" fillId="15" borderId="39" xfId="0" applyFont="1" applyFill="1" applyBorder="1" applyProtection="1">
      <protection locked="0"/>
    </xf>
    <xf numFmtId="0" fontId="4" fillId="12" borderId="40" xfId="0" applyFont="1" applyFill="1" applyBorder="1"/>
    <xf numFmtId="180" fontId="3" fillId="12" borderId="0" xfId="0" applyNumberFormat="1" applyFont="1" applyFill="1"/>
    <xf numFmtId="0" fontId="4" fillId="8" borderId="90" xfId="0" applyFont="1" applyFill="1" applyBorder="1" applyAlignment="1">
      <alignment vertical="center"/>
    </xf>
    <xf numFmtId="0" fontId="3" fillId="8" borderId="90" xfId="0" applyFont="1" applyFill="1" applyBorder="1" applyAlignment="1">
      <alignment horizontal="left" vertical="center"/>
    </xf>
    <xf numFmtId="0" fontId="3" fillId="8" borderId="90" xfId="0" applyFont="1" applyFill="1" applyBorder="1" applyAlignment="1">
      <alignment vertical="center"/>
    </xf>
    <xf numFmtId="0" fontId="3" fillId="8" borderId="40" xfId="0" applyFont="1" applyFill="1" applyBorder="1" applyAlignment="1">
      <alignment horizontal="left" vertical="center"/>
    </xf>
    <xf numFmtId="0" fontId="3" fillId="8" borderId="62" xfId="0" applyFont="1" applyFill="1" applyBorder="1" applyAlignment="1">
      <alignment horizontal="right" vertical="center"/>
    </xf>
    <xf numFmtId="0" fontId="3" fillId="12" borderId="35" xfId="0" applyFont="1" applyFill="1" applyBorder="1" applyAlignment="1">
      <alignment horizontal="right" vertical="center"/>
    </xf>
    <xf numFmtId="0" fontId="3" fillId="12" borderId="35" xfId="0" applyFont="1" applyFill="1" applyBorder="1" applyAlignment="1">
      <alignment vertical="center"/>
    </xf>
    <xf numFmtId="0" fontId="3" fillId="12" borderId="35" xfId="0" applyFont="1" applyFill="1" applyBorder="1"/>
    <xf numFmtId="0" fontId="3" fillId="8" borderId="22" xfId="0" applyFont="1" applyFill="1" applyBorder="1" applyAlignment="1">
      <alignment horizontal="right" vertical="center"/>
    </xf>
    <xf numFmtId="0" fontId="3" fillId="8" borderId="90" xfId="0" applyFont="1" applyFill="1" applyBorder="1"/>
    <xf numFmtId="178" fontId="17" fillId="8" borderId="39" xfId="0" applyNumberFormat="1" applyFont="1" applyFill="1" applyBorder="1"/>
    <xf numFmtId="2" fontId="3" fillId="8" borderId="39" xfId="0" applyNumberFormat="1" applyFont="1" applyFill="1" applyBorder="1"/>
    <xf numFmtId="179" fontId="3" fillId="8" borderId="39" xfId="0" applyNumberFormat="1" applyFont="1" applyFill="1" applyBorder="1" applyAlignment="1">
      <alignment horizontal="right" vertical="center"/>
    </xf>
    <xf numFmtId="0" fontId="3" fillId="8" borderId="76" xfId="0" applyFont="1" applyFill="1" applyBorder="1"/>
    <xf numFmtId="0" fontId="3" fillId="8" borderId="77" xfId="0" applyFont="1" applyFill="1" applyBorder="1"/>
    <xf numFmtId="0" fontId="3" fillId="15" borderId="0" xfId="0" applyFont="1" applyFill="1" applyAlignment="1" applyProtection="1">
      <alignment horizontal="right" vertical="center"/>
      <protection locked="0"/>
    </xf>
    <xf numFmtId="179" fontId="0" fillId="30" borderId="0" xfId="0" applyNumberFormat="1" applyFill="1"/>
    <xf numFmtId="189" fontId="0" fillId="0" borderId="0" xfId="0" applyNumberFormat="1"/>
    <xf numFmtId="0" fontId="3" fillId="15" borderId="35" xfId="0" applyFont="1" applyFill="1" applyBorder="1" applyAlignment="1" applyProtection="1">
      <alignment horizontal="right" vertical="center"/>
      <protection locked="0"/>
    </xf>
    <xf numFmtId="0" fontId="4" fillId="8" borderId="64" xfId="0" applyFont="1" applyFill="1" applyBorder="1" applyAlignment="1">
      <alignment horizontal="left" vertical="center"/>
    </xf>
    <xf numFmtId="0" fontId="4" fillId="8" borderId="90" xfId="0" applyFont="1" applyFill="1" applyBorder="1" applyAlignment="1">
      <alignment horizontal="left" vertical="center"/>
    </xf>
    <xf numFmtId="0" fontId="18" fillId="8" borderId="64" xfId="0" applyFont="1" applyFill="1" applyBorder="1"/>
    <xf numFmtId="0" fontId="18" fillId="8" borderId="90" xfId="0" applyFont="1" applyFill="1" applyBorder="1"/>
    <xf numFmtId="0" fontId="17" fillId="8" borderId="90" xfId="0" applyFont="1" applyFill="1" applyBorder="1"/>
    <xf numFmtId="0" fontId="3" fillId="8" borderId="38" xfId="0" applyFont="1" applyFill="1" applyBorder="1" applyAlignment="1">
      <alignment horizontal="right" vertical="center"/>
    </xf>
    <xf numFmtId="0" fontId="3" fillId="12" borderId="39" xfId="0" applyFont="1" applyFill="1" applyBorder="1" applyAlignment="1">
      <alignment horizontal="right" vertical="center"/>
    </xf>
    <xf numFmtId="0" fontId="3" fillId="12" borderId="39" xfId="0" applyFont="1" applyFill="1" applyBorder="1" applyAlignment="1">
      <alignment vertical="center"/>
    </xf>
    <xf numFmtId="0" fontId="3" fillId="8" borderId="75" xfId="0" applyFont="1" applyFill="1" applyBorder="1"/>
    <xf numFmtId="0" fontId="3" fillId="15" borderId="35" xfId="0" applyFont="1" applyFill="1" applyBorder="1" applyProtection="1">
      <protection locked="0"/>
    </xf>
    <xf numFmtId="0" fontId="3" fillId="15" borderId="0" xfId="0" applyFont="1" applyFill="1" applyProtection="1">
      <protection locked="0"/>
    </xf>
    <xf numFmtId="0" fontId="65" fillId="8" borderId="0" xfId="0" applyFont="1" applyFill="1" applyAlignment="1">
      <alignment horizontal="right"/>
    </xf>
    <xf numFmtId="187" fontId="3" fillId="17" borderId="8" xfId="4" applyNumberFormat="1" applyFill="1" applyBorder="1" applyAlignment="1">
      <alignment horizontal="left" vertical="center"/>
    </xf>
    <xf numFmtId="187" fontId="3" fillId="17" borderId="9" xfId="4" applyNumberFormat="1" applyFill="1" applyBorder="1" applyAlignment="1">
      <alignment horizontal="left" vertical="center"/>
    </xf>
    <xf numFmtId="0" fontId="48" fillId="8" borderId="0" xfId="0" applyFont="1" applyFill="1"/>
    <xf numFmtId="0" fontId="58" fillId="8" borderId="0" xfId="0" applyFont="1" applyFill="1"/>
    <xf numFmtId="187" fontId="3" fillId="12" borderId="8" xfId="4" applyNumberFormat="1" applyFill="1" applyBorder="1" applyAlignment="1">
      <alignment horizontal="left" vertical="center"/>
    </xf>
    <xf numFmtId="193" fontId="3" fillId="17" borderId="8" xfId="4" applyNumberFormat="1" applyFill="1" applyBorder="1" applyAlignment="1">
      <alignment horizontal="left" vertical="center"/>
    </xf>
    <xf numFmtId="193" fontId="3" fillId="17" borderId="9" xfId="4" applyNumberFormat="1" applyFill="1" applyBorder="1" applyAlignment="1">
      <alignment horizontal="left" vertical="center"/>
    </xf>
    <xf numFmtId="1" fontId="3" fillId="17" borderId="11" xfId="4" applyNumberFormat="1" applyFill="1" applyBorder="1" applyAlignment="1">
      <alignment horizontal="center" vertical="center"/>
    </xf>
    <xf numFmtId="194" fontId="3" fillId="12" borderId="11" xfId="4" applyNumberFormat="1" applyFill="1" applyBorder="1" applyAlignment="1">
      <alignment horizontal="center" vertical="center"/>
    </xf>
    <xf numFmtId="195" fontId="3" fillId="12" borderId="9" xfId="4" applyNumberFormat="1" applyFill="1" applyBorder="1" applyAlignment="1">
      <alignment horizontal="left" vertical="center"/>
    </xf>
    <xf numFmtId="185" fontId="3" fillId="17" borderId="11" xfId="4" applyNumberFormat="1" applyFill="1" applyBorder="1" applyAlignment="1">
      <alignment horizontal="center" vertical="center"/>
    </xf>
    <xf numFmtId="11" fontId="0" fillId="0" borderId="0" xfId="0" applyNumberFormat="1"/>
    <xf numFmtId="0" fontId="3" fillId="12" borderId="23" xfId="0" applyFont="1" applyFill="1" applyBorder="1" applyAlignment="1">
      <alignment vertical="center"/>
    </xf>
    <xf numFmtId="180" fontId="49" fillId="12" borderId="0" xfId="0" applyNumberFormat="1" applyFont="1" applyFill="1" applyAlignment="1">
      <alignment horizontal="right" vertical="center"/>
    </xf>
    <xf numFmtId="180" fontId="3" fillId="8" borderId="0" xfId="0" applyNumberFormat="1" applyFont="1" applyFill="1" applyAlignment="1">
      <alignment horizontal="right" vertical="center"/>
    </xf>
    <xf numFmtId="0" fontId="81"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1" fillId="4" borderId="76" xfId="4" applyFont="1" applyFill="1" applyBorder="1" applyAlignment="1">
      <alignment horizontal="center" vertical="top"/>
    </xf>
    <xf numFmtId="0" fontId="81" fillId="4" borderId="82" xfId="4" applyFont="1" applyFill="1" applyBorder="1" applyAlignment="1">
      <alignment horizontal="center" vertical="top"/>
    </xf>
    <xf numFmtId="0" fontId="81" fillId="4" borderId="65" xfId="4" applyFont="1" applyFill="1" applyBorder="1" applyAlignment="1">
      <alignment horizontal="center"/>
    </xf>
    <xf numFmtId="0" fontId="81" fillId="4" borderId="78" xfId="4" applyFont="1" applyFill="1" applyBorder="1" applyAlignment="1">
      <alignment horizontal="center"/>
    </xf>
    <xf numFmtId="0" fontId="81" fillId="4" borderId="66" xfId="4" applyFont="1" applyFill="1" applyBorder="1" applyAlignment="1">
      <alignment horizontal="center"/>
    </xf>
    <xf numFmtId="0" fontId="81" fillId="4" borderId="43" xfId="4" applyFont="1" applyFill="1" applyBorder="1" applyAlignment="1">
      <alignment horizontal="center"/>
    </xf>
    <xf numFmtId="0" fontId="81" fillId="4" borderId="81" xfId="4" applyFont="1" applyFill="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Border="1" applyAlignment="1">
      <alignment horizontal="center"/>
    </xf>
    <xf numFmtId="0" fontId="3" fillId="0" borderId="66" xfId="4" applyBorder="1" applyAlignment="1">
      <alignment horizontal="center"/>
    </xf>
    <xf numFmtId="0" fontId="4" fillId="0" borderId="66" xfId="4" applyFont="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xf numFmtId="0" fontId="4" fillId="4" borderId="81" xfId="4" applyFont="1" applyFill="1" applyBorder="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0" xfId="0" applyFont="1" applyAlignment="1">
      <alignment horizontal="center"/>
    </xf>
    <xf numFmtId="0" fontId="5" fillId="3" borderId="0" xfId="0" applyFont="1" applyFill="1" applyAlignment="1">
      <alignment horizontal="left"/>
    </xf>
    <xf numFmtId="0" fontId="13" fillId="3" borderId="0" xfId="4" applyFont="1" applyFill="1" applyAlignment="1">
      <alignment horizontal="left" vertical="center"/>
    </xf>
    <xf numFmtId="0" fontId="23" fillId="21" borderId="0" xfId="4" applyFont="1" applyFill="1" applyAlignment="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66" xfId="4" applyFont="1" applyFill="1" applyBorder="1" applyAlignment="1">
      <alignment horizontal="left"/>
    </xf>
    <xf numFmtId="0" fontId="4" fillId="4" borderId="78" xfId="4" applyFont="1" applyFill="1" applyBorder="1" applyAlignment="1">
      <alignment horizontal="left"/>
    </xf>
    <xf numFmtId="195" fontId="3" fillId="12" borderId="8" xfId="4" applyNumberFormat="1" applyFill="1" applyBorder="1" applyAlignment="1">
      <alignment horizontal="left" vertical="center"/>
    </xf>
    <xf numFmtId="195" fontId="3" fillId="12" borderId="9" xfId="4" applyNumberFormat="1" applyFill="1" applyBorder="1" applyAlignment="1">
      <alignment horizontal="left" vertical="center"/>
    </xf>
    <xf numFmtId="0" fontId="75" fillId="8" borderId="0" xfId="4" applyFont="1" applyFill="1" applyAlignment="1">
      <alignment horizontal="right" wrapText="1"/>
    </xf>
    <xf numFmtId="190" fontId="3" fillId="16" borderId="8" xfId="4" applyNumberFormat="1" applyFill="1" applyBorder="1" applyAlignment="1">
      <alignment horizontal="left" vertical="center"/>
    </xf>
    <xf numFmtId="190" fontId="3" fillId="16" borderId="9" xfId="4" applyNumberFormat="1" applyFill="1" applyBorder="1" applyAlignment="1">
      <alignment horizontal="left" vertical="center"/>
    </xf>
    <xf numFmtId="186" fontId="3" fillId="17" borderId="8" xfId="4" applyNumberFormat="1" applyFill="1" applyBorder="1" applyAlignment="1">
      <alignment horizontal="left" vertical="center" wrapText="1"/>
    </xf>
    <xf numFmtId="186" fontId="3" fillId="17" borderId="9" xfId="4" applyNumberFormat="1" applyFill="1" applyBorder="1" applyAlignment="1">
      <alignment horizontal="left" vertical="center" wrapText="1"/>
    </xf>
    <xf numFmtId="186" fontId="3" fillId="17" borderId="15" xfId="4" applyNumberFormat="1" applyFill="1" applyBorder="1" applyAlignment="1">
      <alignment horizontal="left" vertical="center" wrapText="1"/>
    </xf>
    <xf numFmtId="193" fontId="3" fillId="12" borderId="8" xfId="4" applyNumberFormat="1" applyFill="1" applyBorder="1" applyAlignment="1">
      <alignment horizontal="left" vertical="center"/>
    </xf>
    <xf numFmtId="193" fontId="3" fillId="12" borderId="9" xfId="4" applyNumberFormat="1" applyFill="1" applyBorder="1" applyAlignment="1">
      <alignment horizontal="left" vertical="center"/>
    </xf>
    <xf numFmtId="195" fontId="3" fillId="12" borderId="8" xfId="4" quotePrefix="1" applyNumberFormat="1" applyFill="1" applyBorder="1" applyAlignment="1">
      <alignment horizontal="left" vertical="center"/>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87" fontId="3" fillId="12" borderId="8" xfId="4" applyNumberFormat="1" applyFill="1" applyBorder="1" applyAlignment="1">
      <alignment horizontal="left" vertical="center"/>
    </xf>
    <xf numFmtId="187" fontId="3" fillId="12" borderId="9" xfId="4" applyNumberFormat="1" applyFill="1" applyBorder="1" applyAlignment="1">
      <alignment horizontal="left" vertical="center"/>
    </xf>
    <xf numFmtId="192" fontId="3" fillId="16" borderId="8" xfId="4" applyNumberFormat="1" applyFill="1" applyBorder="1" applyAlignment="1">
      <alignment horizontal="left" vertical="center"/>
    </xf>
    <xf numFmtId="192" fontId="3" fillId="16" borderId="9" xfId="4" applyNumberFormat="1" applyFill="1" applyBorder="1" applyAlignment="1">
      <alignment horizontal="left" vertical="center"/>
    </xf>
    <xf numFmtId="187" fontId="3" fillId="17" borderId="8" xfId="4" applyNumberFormat="1" applyFill="1" applyBorder="1" applyAlignment="1">
      <alignment horizontal="left" vertical="center"/>
    </xf>
    <xf numFmtId="187" fontId="3" fillId="17" borderId="9" xfId="4" applyNumberFormat="1" applyFill="1" applyBorder="1" applyAlignment="1">
      <alignment horizontal="left" vertical="center"/>
    </xf>
    <xf numFmtId="0" fontId="40" fillId="12" borderId="22" xfId="0" applyFont="1" applyFill="1" applyBorder="1" applyAlignment="1">
      <alignment horizontal="left" vertical="center"/>
    </xf>
    <xf numFmtId="0" fontId="40" fillId="12" borderId="0" xfId="0" applyFont="1" applyFill="1" applyAlignment="1">
      <alignment horizontal="left" vertical="center"/>
    </xf>
  </cellXfs>
  <cellStyles count="8">
    <cellStyle name="Comma 2" xfId="6" xr:uid="{00000000-0005-0000-0000-000001000000}"/>
    <cellStyle name="Normal 2" xfId="4" xr:uid="{00000000-0005-0000-0000-000004000000}"/>
    <cellStyle name="Normal 3" xfId="5" xr:uid="{00000000-0005-0000-0000-000005000000}"/>
    <cellStyle name="RowLevel_1" xfId="1" builtinId="1" iLevel="0"/>
    <cellStyle name="百分比" xfId="7" builtinId="5"/>
    <cellStyle name="常规" xfId="0" builtinId="0"/>
    <cellStyle name="超链接" xfId="3" builtinId="8"/>
    <cellStyle name="千位分隔" xfId="2" builtinId="3"/>
  </cellStyles>
  <dxfs count="76">
    <dxf>
      <border>
        <left style="thin">
          <color indexed="64"/>
        </left>
        <right style="thin">
          <color indexed="64"/>
        </right>
        <top style="thin">
          <color indexed="64"/>
        </top>
        <bottom style="thin">
          <color indexed="64"/>
        </bottom>
      </border>
    </dxf>
    <dxf>
      <font>
        <color theme="0"/>
      </font>
    </dxf>
    <dxf>
      <font>
        <color rgb="FFFFFF99"/>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ndense val="0"/>
        <extend val="0"/>
        <color indexed="10"/>
      </font>
    </dxf>
    <dxf>
      <font>
        <strike/>
        <color rgb="FFFF0000"/>
      </font>
    </dxf>
    <dxf>
      <font>
        <color theme="0"/>
      </font>
      <fill>
        <patternFill>
          <bgColor theme="0"/>
        </patternFill>
      </fill>
      <border>
        <right/>
        <top/>
        <bottom/>
        <vertical/>
        <horizontal/>
      </border>
    </dxf>
    <dxf>
      <font>
        <color rgb="FFFF0000"/>
      </font>
    </dxf>
    <dxf>
      <font>
        <b/>
        <i val="0"/>
        <color theme="0"/>
      </font>
      <fill>
        <patternFill patternType="solid">
          <fgColor auto="1"/>
          <bgColor rgb="FFFF0000"/>
        </patternFill>
      </fill>
    </dxf>
    <dxf>
      <font>
        <strike val="0"/>
        <color theme="0"/>
      </font>
      <fill>
        <patternFill>
          <bgColor rgb="FFFF0000"/>
        </patternFill>
      </fill>
    </dxf>
    <dxf>
      <font>
        <strike val="0"/>
        <color theme="0"/>
      </font>
      <fill>
        <patternFill>
          <bgColor rgb="FFFF0000"/>
        </patternFill>
      </fill>
    </dxf>
    <dxf>
      <font>
        <strike/>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color rgb="FFFF0000"/>
      </font>
    </dxf>
    <dxf>
      <font>
        <color theme="0"/>
      </font>
      <fill>
        <patternFill>
          <bgColor theme="0"/>
        </patternFill>
      </fill>
    </dxf>
    <dxf>
      <font>
        <strike/>
        <color rgb="FFFF0000"/>
      </font>
    </dxf>
    <dxf>
      <font>
        <color theme="0"/>
      </font>
      <fill>
        <patternFill>
          <bgColor theme="0"/>
        </patternFill>
      </fill>
      <border>
        <right/>
        <top/>
        <bottom/>
      </border>
    </dxf>
    <dxf>
      <font>
        <b/>
        <i val="0"/>
        <condense val="0"/>
        <extend val="0"/>
        <color indexed="10"/>
      </font>
    </dxf>
    <dxf>
      <font>
        <b/>
        <i val="0"/>
        <condense val="0"/>
        <extend val="0"/>
        <color indexed="12"/>
      </font>
    </dxf>
    <dxf>
      <border>
        <left/>
        <right/>
        <top/>
        <bottom/>
        <vertical/>
        <horizontal/>
      </border>
    </dxf>
    <dxf>
      <font>
        <color theme="0"/>
      </font>
      <fill>
        <patternFill>
          <bgColor theme="0"/>
        </patternFill>
      </fill>
      <border>
        <right/>
        <top/>
        <bottom/>
        <vertical/>
        <horizontal/>
      </border>
    </dxf>
    <dxf>
      <font>
        <color theme="0"/>
      </font>
      <fill>
        <patternFill>
          <bgColor theme="0"/>
        </patternFill>
      </fill>
      <border>
        <right/>
        <top/>
        <bottom/>
        <vertical/>
        <horizontal/>
      </border>
    </dxf>
    <dxf>
      <border>
        <top/>
        <bottom/>
        <vertical/>
        <horizontal/>
      </border>
    </dxf>
    <dxf>
      <font>
        <color theme="0"/>
      </font>
      <fill>
        <patternFill>
          <bgColor theme="0"/>
        </patternFill>
      </fill>
      <border>
        <right style="thin">
          <color auto="1"/>
        </right>
        <vertical/>
        <horizontal/>
      </border>
    </dxf>
    <dxf>
      <font>
        <color rgb="FFFF0000"/>
      </font>
    </dxf>
    <dxf>
      <font>
        <color rgb="FFFF0000"/>
      </font>
    </dxf>
    <dxf>
      <border>
        <right/>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rgb="FFFF0000"/>
      </font>
    </dxf>
    <dxf>
      <font>
        <color rgb="FFFF0000"/>
      </font>
    </dxf>
    <dxf>
      <font>
        <strike/>
        <color rgb="FFFF0000"/>
      </font>
    </dxf>
    <dxf>
      <font>
        <strike/>
        <color rgb="FFFF5050"/>
      </font>
    </dxf>
    <dxf>
      <font>
        <strike/>
        <color rgb="FFFF0000"/>
      </font>
    </dxf>
    <dxf>
      <font>
        <strike/>
        <color rgb="FFFF0000"/>
      </font>
    </dxf>
    <dxf>
      <font>
        <strike/>
        <color rgb="FFFF0000"/>
      </font>
    </dxf>
    <dxf>
      <font>
        <strike/>
        <color rgb="FFFF0000"/>
      </font>
    </dxf>
    <dxf>
      <font>
        <color rgb="FFFF0000"/>
      </font>
    </dxf>
    <dxf>
      <font>
        <color rgb="FFFF0000"/>
      </font>
    </dxf>
    <dxf>
      <font>
        <strike/>
        <color rgb="FFFF0000"/>
      </font>
    </dxf>
    <dxf>
      <font>
        <color rgb="FFFF0000"/>
      </font>
    </dxf>
    <dxf>
      <font>
        <color rgb="FFFF0000"/>
      </font>
    </dxf>
    <dxf>
      <font>
        <color rgb="FFFF0000"/>
      </font>
    </dxf>
    <dxf>
      <font>
        <color rgb="FFFF0000"/>
      </font>
    </dxf>
    <dxf>
      <font>
        <strike/>
        <color rgb="FFFF0000"/>
      </font>
    </dxf>
    <dxf>
      <font>
        <strike/>
        <color rgb="FFFF0000"/>
      </font>
    </dxf>
    <dxf>
      <font>
        <strike/>
        <color rgb="FFFF0000"/>
      </font>
    </dxf>
    <dxf>
      <font>
        <strike val="0"/>
        <color theme="0"/>
      </font>
      <fill>
        <patternFill>
          <bgColor theme="0"/>
        </patternFill>
      </fill>
    </dxf>
    <dxf>
      <font>
        <b/>
        <i val="0"/>
        <color rgb="FFFF0000"/>
      </font>
    </dxf>
    <dxf>
      <font>
        <b/>
        <i val="0"/>
        <color rgb="FFFF0000"/>
      </font>
    </dxf>
    <dxf>
      <font>
        <strike/>
        <color rgb="FFFF0000"/>
      </font>
    </dxf>
    <dxf>
      <font>
        <strike/>
        <color rgb="FFFF0000"/>
      </font>
    </dxf>
    <dxf>
      <font>
        <strike/>
        <color rgb="FFFF0000"/>
      </font>
    </dxf>
    <dxf>
      <font>
        <color theme="0"/>
      </font>
    </dxf>
    <dxf>
      <font>
        <b/>
        <i val="0"/>
        <color rgb="FFC00000"/>
      </font>
    </dxf>
    <dxf>
      <font>
        <b/>
        <i val="0"/>
        <color rgb="FFC00000"/>
      </font>
    </dxf>
    <dxf>
      <font>
        <b/>
        <i val="0"/>
        <color rgb="FFC00000"/>
      </font>
    </dxf>
    <dxf>
      <font>
        <color theme="0"/>
      </font>
      <border>
        <bottom style="thin">
          <color auto="1"/>
        </bottom>
        <vertical/>
        <horizontal/>
      </border>
    </dxf>
    <dxf>
      <font>
        <color theme="0"/>
      </font>
    </dxf>
    <dxf>
      <border>
        <bottom/>
        <vertical/>
        <horizontal/>
      </border>
    </dxf>
    <dxf>
      <border>
        <bottom/>
        <vertical/>
        <horizontal/>
      </border>
    </dxf>
  </dxfs>
  <tableStyles count="0" defaultTableStyle="TableStyleMedium9" defaultPivotStyle="PivotStyleLight16"/>
  <colors>
    <mruColors>
      <color rgb="FFFFFF66"/>
      <color rgb="FFFF5050"/>
      <color rgb="FF0000FF"/>
      <color rgb="FFFFFF99"/>
      <color rgb="FF33CC33"/>
      <color rgb="FFFF9900"/>
      <color rgb="FFCCFFFF"/>
      <color rgb="FF66FFFF"/>
      <color rgb="FF00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400" b="1" i="0" u="none" strike="noStrike" baseline="0">
                <a:solidFill>
                  <a:srgbClr val="000000"/>
                </a:solidFill>
                <a:latin typeface="Arial"/>
                <a:ea typeface="Arial"/>
                <a:cs typeface="Arial"/>
              </a:defRPr>
            </a:pPr>
            <a:r>
              <a:rPr lang="en-US" sz="1400"/>
              <a:t>Bode Plot, V</a:t>
            </a:r>
            <a:r>
              <a:rPr lang="en-US" sz="1400" baseline="-25000"/>
              <a:t>IN</a:t>
            </a:r>
            <a:r>
              <a:rPr lang="en-US" sz="1400"/>
              <a:t> = V</a:t>
            </a:r>
            <a:r>
              <a:rPr lang="en-US" sz="1400" baseline="-25000"/>
              <a:t>IN(nom)</a:t>
            </a:r>
          </a:p>
        </c:rich>
      </c:tx>
      <c:layout>
        <c:manualLayout>
          <c:xMode val="edge"/>
          <c:yMode val="edge"/>
          <c:x val="4.6802568469568491E-2"/>
          <c:y val="1.6752897184919666E-2"/>
        </c:manualLayout>
      </c:layout>
      <c:overlay val="0"/>
      <c:spPr>
        <a:noFill/>
        <a:ln w="25400">
          <a:noFill/>
        </a:ln>
      </c:spPr>
    </c:title>
    <c:autoTitleDeleted val="0"/>
    <c:plotArea>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77.35740525636173</c:v>
                </c:pt>
                <c:pt idx="1">
                  <c:v>76.55765271134419</c:v>
                </c:pt>
                <c:pt idx="2">
                  <c:v>75.75791627186662</c:v>
                </c:pt>
                <c:pt idx="3">
                  <c:v>74.958175415509047</c:v>
                </c:pt>
                <c:pt idx="4">
                  <c:v>74.158935796135481</c:v>
                </c:pt>
                <c:pt idx="5">
                  <c:v>73.358853362910637</c:v>
                </c:pt>
                <c:pt idx="6">
                  <c:v>72.55905248061292</c:v>
                </c:pt>
                <c:pt idx="7">
                  <c:v>71.758996221171785</c:v>
                </c:pt>
                <c:pt idx="8">
                  <c:v>70.959259652534769</c:v>
                </c:pt>
                <c:pt idx="9">
                  <c:v>70.159230556202957</c:v>
                </c:pt>
                <c:pt idx="10">
                  <c:v>69.359363340222828</c:v>
                </c:pt>
                <c:pt idx="11">
                  <c:v>68.559539391114313</c:v>
                </c:pt>
                <c:pt idx="12">
                  <c:v>67.75933150014221</c:v>
                </c:pt>
                <c:pt idx="13">
                  <c:v>66.959504854947355</c:v>
                </c:pt>
                <c:pt idx="14">
                  <c:v>66.159417750693322</c:v>
                </c:pt>
                <c:pt idx="15">
                  <c:v>65.359374792916384</c:v>
                </c:pt>
                <c:pt idx="16">
                  <c:v>64.55930828014796</c:v>
                </c:pt>
                <c:pt idx="17">
                  <c:v>63.759328486731903</c:v>
                </c:pt>
                <c:pt idx="18">
                  <c:v>62.959199083393393</c:v>
                </c:pt>
                <c:pt idx="19">
                  <c:v>62.15913029254024</c:v>
                </c:pt>
                <c:pt idx="20">
                  <c:v>61.358956859911501</c:v>
                </c:pt>
                <c:pt idx="21">
                  <c:v>60.558835186227249</c:v>
                </c:pt>
                <c:pt idx="22">
                  <c:v>59.758586384260894</c:v>
                </c:pt>
                <c:pt idx="23">
                  <c:v>58.958399219727049</c:v>
                </c:pt>
                <c:pt idx="24">
                  <c:v>58.158059354393913</c:v>
                </c:pt>
                <c:pt idx="25">
                  <c:v>57.357678284216931</c:v>
                </c:pt>
                <c:pt idx="26">
                  <c:v>56.557055123261165</c:v>
                </c:pt>
                <c:pt idx="27">
                  <c:v>55.756427953150506</c:v>
                </c:pt>
                <c:pt idx="28">
                  <c:v>54.955746003854784</c:v>
                </c:pt>
                <c:pt idx="29">
                  <c:v>54.155483711528305</c:v>
                </c:pt>
                <c:pt idx="30">
                  <c:v>53.354260606050133</c:v>
                </c:pt>
                <c:pt idx="31">
                  <c:v>52.553163986120367</c:v>
                </c:pt>
                <c:pt idx="32">
                  <c:v>51.751612310054838</c:v>
                </c:pt>
                <c:pt idx="33">
                  <c:v>50.950131400663849</c:v>
                </c:pt>
                <c:pt idx="34">
                  <c:v>50.148049084696595</c:v>
                </c:pt>
                <c:pt idx="35">
                  <c:v>49.345752081289376</c:v>
                </c:pt>
                <c:pt idx="36">
                  <c:v>48.543040438882592</c:v>
                </c:pt>
                <c:pt idx="37">
                  <c:v>47.739389007912408</c:v>
                </c:pt>
                <c:pt idx="38">
                  <c:v>46.935452322964579</c:v>
                </c:pt>
                <c:pt idx="39">
                  <c:v>46.130450203116979</c:v>
                </c:pt>
                <c:pt idx="40">
                  <c:v>45.324528123500542</c:v>
                </c:pt>
                <c:pt idx="41">
                  <c:v>44.51742728365268</c:v>
                </c:pt>
                <c:pt idx="42">
                  <c:v>43.709033277254676</c:v>
                </c:pt>
                <c:pt idx="43">
                  <c:v>42.898840165829881</c:v>
                </c:pt>
                <c:pt idx="44">
                  <c:v>42.086745891217362</c:v>
                </c:pt>
                <c:pt idx="45">
                  <c:v>41.2722129496699</c:v>
                </c:pt>
                <c:pt idx="46">
                  <c:v>40.454968246329486</c:v>
                </c:pt>
                <c:pt idx="47">
                  <c:v>39.634326236195292</c:v>
                </c:pt>
                <c:pt idx="48">
                  <c:v>38.80989999875397</c:v>
                </c:pt>
                <c:pt idx="49">
                  <c:v>37.980803642782597</c:v>
                </c:pt>
                <c:pt idx="50">
                  <c:v>37.146397941352298</c:v>
                </c:pt>
                <c:pt idx="51">
                  <c:v>36.305627452189398</c:v>
                </c:pt>
                <c:pt idx="52">
                  <c:v>35.457810344066523</c:v>
                </c:pt>
                <c:pt idx="53">
                  <c:v>34.60188858727674</c:v>
                </c:pt>
                <c:pt idx="54">
                  <c:v>33.737319143096499</c:v>
                </c:pt>
                <c:pt idx="55">
                  <c:v>32.861523921861405</c:v>
                </c:pt>
                <c:pt idx="56">
                  <c:v>31.97462547441285</c:v>
                </c:pt>
                <c:pt idx="57">
                  <c:v>31.075013531862503</c:v>
                </c:pt>
                <c:pt idx="58">
                  <c:v>30.162481060928958</c:v>
                </c:pt>
                <c:pt idx="59">
                  <c:v>29.235724248833662</c:v>
                </c:pt>
                <c:pt idx="60">
                  <c:v>28.295006558662944</c:v>
                </c:pt>
                <c:pt idx="61">
                  <c:v>27.340374827113379</c:v>
                </c:pt>
                <c:pt idx="62">
                  <c:v>26.372011365918844</c:v>
                </c:pt>
                <c:pt idx="63">
                  <c:v>25.392112980908319</c:v>
                </c:pt>
                <c:pt idx="64">
                  <c:v>24.401745981440769</c:v>
                </c:pt>
                <c:pt idx="65">
                  <c:v>23.4036679864486</c:v>
                </c:pt>
                <c:pt idx="66">
                  <c:v>22.400616821759488</c:v>
                </c:pt>
                <c:pt idx="67">
                  <c:v>21.395843368685693</c:v>
                </c:pt>
                <c:pt idx="68">
                  <c:v>20.392273639949622</c:v>
                </c:pt>
                <c:pt idx="69">
                  <c:v>19.393310976618963</c:v>
                </c:pt>
                <c:pt idx="70">
                  <c:v>18.401622308471541</c:v>
                </c:pt>
                <c:pt idx="71">
                  <c:v>17.419855511938302</c:v>
                </c:pt>
                <c:pt idx="72">
                  <c:v>16.449721630379042</c:v>
                </c:pt>
                <c:pt idx="73">
                  <c:v>15.492804071981539</c:v>
                </c:pt>
                <c:pt idx="74">
                  <c:v>14.549627576938136</c:v>
                </c:pt>
                <c:pt idx="75">
                  <c:v>13.620578017197376</c:v>
                </c:pt>
                <c:pt idx="76">
                  <c:v>12.705225766882769</c:v>
                </c:pt>
                <c:pt idx="77">
                  <c:v>11.803285058649195</c:v>
                </c:pt>
                <c:pt idx="78">
                  <c:v>10.913872608314488</c:v>
                </c:pt>
                <c:pt idx="79">
                  <c:v>10.036508799770052</c:v>
                </c:pt>
                <c:pt idx="80">
                  <c:v>9.1686001233828307</c:v>
                </c:pt>
                <c:pt idx="81">
                  <c:v>8.3102206493603923</c:v>
                </c:pt>
                <c:pt idx="82">
                  <c:v>7.4596521062255627</c:v>
                </c:pt>
                <c:pt idx="83">
                  <c:v>6.6164117586095763</c:v>
                </c:pt>
                <c:pt idx="84">
                  <c:v>5.7788273532653855</c:v>
                </c:pt>
                <c:pt idx="85">
                  <c:v>4.9464264540276028</c:v>
                </c:pt>
                <c:pt idx="86">
                  <c:v>4.1182122440810085</c:v>
                </c:pt>
                <c:pt idx="87">
                  <c:v>3.2929468410947842</c:v>
                </c:pt>
                <c:pt idx="88">
                  <c:v>2.470687421247447</c:v>
                </c:pt>
                <c:pt idx="89">
                  <c:v>1.6500963748195163</c:v>
                </c:pt>
                <c:pt idx="90">
                  <c:v>0.83085184530799105</c:v>
                </c:pt>
                <c:pt idx="91">
                  <c:v>1.2277713429982537E-2</c:v>
                </c:pt>
                <c:pt idx="92">
                  <c:v>-0.80610627784744704</c:v>
                </c:pt>
                <c:pt idx="93">
                  <c:v>-1.6251368840337876</c:v>
                </c:pt>
                <c:pt idx="94">
                  <c:v>-1.829962571593498</c:v>
                </c:pt>
                <c:pt idx="95">
                  <c:v>-1.9330392296304686</c:v>
                </c:pt>
                <c:pt idx="96">
                  <c:v>-2.0349571478757325</c:v>
                </c:pt>
                <c:pt idx="97">
                  <c:v>-2.1380667061201568</c:v>
                </c:pt>
                <c:pt idx="98">
                  <c:v>-2.2400197954571697</c:v>
                </c:pt>
                <c:pt idx="99">
                  <c:v>-2.3431932931184463</c:v>
                </c:pt>
                <c:pt idx="100">
                  <c:v>-2.4452120017736991</c:v>
                </c:pt>
                <c:pt idx="101">
                  <c:v>-2.548400514913185</c:v>
                </c:pt>
                <c:pt idx="102">
                  <c:v>-2.6504371125779573</c:v>
                </c:pt>
                <c:pt idx="103">
                  <c:v>-2.7537451235415285</c:v>
                </c:pt>
                <c:pt idx="104">
                  <c:v>-2.8559018853249607</c:v>
                </c:pt>
                <c:pt idx="105">
                  <c:v>-2.9592776689077382</c:v>
                </c:pt>
                <c:pt idx="106">
                  <c:v>-3.0615041370931446</c:v>
                </c:pt>
                <c:pt idx="107">
                  <c:v>-3.164899770286123</c:v>
                </c:pt>
                <c:pt idx="108">
                  <c:v>-3.2671492007810792</c:v>
                </c:pt>
                <c:pt idx="109">
                  <c:v>-3.3705904050582074</c:v>
                </c:pt>
                <c:pt idx="110">
                  <c:v>-3.4728880745033308</c:v>
                </c:pt>
                <c:pt idx="111">
                  <c:v>-3.5764663529137088</c:v>
                </c:pt>
                <c:pt idx="112">
                  <c:v>-3.6789018880326863</c:v>
                </c:pt>
                <c:pt idx="113">
                  <c:v>-3.7825662795996875</c:v>
                </c:pt>
                <c:pt idx="114">
                  <c:v>-3.8850899817296494</c:v>
                </c:pt>
                <c:pt idx="115">
                  <c:v>-3.9888588292847995</c:v>
                </c:pt>
                <c:pt idx="116">
                  <c:v>-4.0914887870824925</c:v>
                </c:pt>
                <c:pt idx="117">
                  <c:v>-4.1953783265938611</c:v>
                </c:pt>
                <c:pt idx="118">
                  <c:v>-4.2981305769799052</c:v>
                </c:pt>
                <c:pt idx="119">
                  <c:v>-4.4020924181899765</c:v>
                </c:pt>
                <c:pt idx="120">
                  <c:v>-4.5049197827456853</c:v>
                </c:pt>
                <c:pt idx="121">
                  <c:v>-4.6089705529582314</c:v>
                </c:pt>
                <c:pt idx="122">
                  <c:v>-4.7118894589282236</c:v>
                </c:pt>
                <c:pt idx="123">
                  <c:v>-4.8161040018883581</c:v>
                </c:pt>
                <c:pt idx="124">
                  <c:v>-4.9191878475757793</c:v>
                </c:pt>
                <c:pt idx="125">
                  <c:v>-5.023516754862615</c:v>
                </c:pt>
                <c:pt idx="126">
                  <c:v>-5.1267173801889889</c:v>
                </c:pt>
                <c:pt idx="127">
                  <c:v>-5.2311724509579012</c:v>
                </c:pt>
                <c:pt idx="128">
                  <c:v>-5.334501585773701</c:v>
                </c:pt>
                <c:pt idx="129">
                  <c:v>-5.439093270789841</c:v>
                </c:pt>
                <c:pt idx="130">
                  <c:v>-5.5425613339580169</c:v>
                </c:pt>
                <c:pt idx="131">
                  <c:v>-5.6472988700375737</c:v>
                </c:pt>
                <c:pt idx="132">
                  <c:v>-5.6992454727615796</c:v>
                </c:pt>
                <c:pt idx="133">
                  <c:v>-5.7509151006794044</c:v>
                </c:pt>
                <c:pt idx="134">
                  <c:v>-5.8035295022243449</c:v>
                </c:pt>
                <c:pt idx="135">
                  <c:v>-5.8558604976828263</c:v>
                </c:pt>
                <c:pt idx="136">
                  <c:v>-5.9079114835959787</c:v>
                </c:pt>
                <c:pt idx="137">
                  <c:v>-5.9596857973226705</c:v>
                </c:pt>
                <c:pt idx="138">
                  <c:v>-6.0123528373052917</c:v>
                </c:pt>
                <c:pt idx="139">
                  <c:v>-6.0647373762984795</c:v>
                </c:pt>
                <c:pt idx="140">
                  <c:v>-6.1168428008575386</c:v>
                </c:pt>
                <c:pt idx="141">
                  <c:v>-6.1686724385682883</c:v>
                </c:pt>
                <c:pt idx="142">
                  <c:v>-6.2214488737525286</c:v>
                </c:pt>
                <c:pt idx="143">
                  <c:v>-6.2739431610290648</c:v>
                </c:pt>
                <c:pt idx="144">
                  <c:v>-6.3261586870693485</c:v>
                </c:pt>
                <c:pt idx="145">
                  <c:v>-6.3780987795505055</c:v>
                </c:pt>
                <c:pt idx="146">
                  <c:v>-6.4309603511905875</c:v>
                </c:pt>
                <c:pt idx="147">
                  <c:v>-6.483540445765291</c:v>
                </c:pt>
                <c:pt idx="148">
                  <c:v>-6.5358424445645911</c:v>
                </c:pt>
                <c:pt idx="149">
                  <c:v>-6.5878696699832755</c:v>
                </c:pt>
                <c:pt idx="150">
                  <c:v>-6.6408188651492015</c:v>
                </c:pt>
                <c:pt idx="151">
                  <c:v>-6.6934872867966817</c:v>
                </c:pt>
                <c:pt idx="152">
                  <c:v>-6.7458783104401263</c:v>
                </c:pt>
                <c:pt idx="153">
                  <c:v>-6.7979952528034291</c:v>
                </c:pt>
                <c:pt idx="154">
                  <c:v>-6.8510586196884615</c:v>
                </c:pt>
                <c:pt idx="155">
                  <c:v>-6.9038416977412886</c:v>
                </c:pt>
                <c:pt idx="156">
                  <c:v>-6.9563478608278277</c:v>
                </c:pt>
                <c:pt idx="157">
                  <c:v>-7.0085804240290193</c:v>
                </c:pt>
                <c:pt idx="158">
                  <c:v>-7.0617584105904321</c:v>
                </c:pt>
                <c:pt idx="159">
                  <c:v>-7.1146566534231681</c:v>
                </c:pt>
                <c:pt idx="160">
                  <c:v>-7.1672785238475818</c:v>
                </c:pt>
                <c:pt idx="161">
                  <c:v>-7.2196273344212933</c:v>
                </c:pt>
                <c:pt idx="162">
                  <c:v>-7.2728969236962051</c:v>
                </c:pt>
                <c:pt idx="163">
                  <c:v>-7.3258876211337292</c:v>
                </c:pt>
                <c:pt idx="164">
                  <c:v>-7.3786027901543108</c:v>
                </c:pt>
                <c:pt idx="165">
                  <c:v>-7.4310457355576407</c:v>
                </c:pt>
                <c:pt idx="166">
                  <c:v>-7.4844543355526181</c:v>
                </c:pt>
                <c:pt idx="167">
                  <c:v>-7.5375844678961563</c:v>
                </c:pt>
                <c:pt idx="168">
                  <c:v>-7.5904394959913457</c:v>
                </c:pt>
                <c:pt idx="169">
                  <c:v>-7.6430227245752933</c:v>
                </c:pt>
                <c:pt idx="170">
                  <c:v>-7.6964571139802889</c:v>
                </c:pt>
                <c:pt idx="171">
                  <c:v>-7.7496147022396853</c:v>
                </c:pt>
                <c:pt idx="172">
                  <c:v>-7.8024988304539242</c:v>
                </c:pt>
                <c:pt idx="173">
                  <c:v>-7.8551127815241166</c:v>
                </c:pt>
                <c:pt idx="174">
                  <c:v>-7.9087760317656643</c:v>
                </c:pt>
                <c:pt idx="175">
                  <c:v>-7.9621621168654002</c:v>
                </c:pt>
                <c:pt idx="176">
                  <c:v>-8.01527439244866</c:v>
                </c:pt>
                <c:pt idx="177">
                  <c:v>-8.0681161555496566</c:v>
                </c:pt>
                <c:pt idx="178">
                  <c:v>-8.1219801215263949</c:v>
                </c:pt>
                <c:pt idx="179">
                  <c:v>-8.1755669322020825</c:v>
                </c:pt>
                <c:pt idx="180">
                  <c:v>-8.2288799511636039</c:v>
                </c:pt>
                <c:pt idx="181">
                  <c:v>-8.281922483160745</c:v>
                </c:pt>
                <c:pt idx="182">
                  <c:v>-8.3357505774652481</c:v>
                </c:pt>
                <c:pt idx="183">
                  <c:v>-8.3893040212061472</c:v>
                </c:pt>
                <c:pt idx="184">
                  <c:v>-8.4425861407991416</c:v>
                </c:pt>
                <c:pt idx="185">
                  <c:v>-8.4956002046201142</c:v>
                </c:pt>
                <c:pt idx="186">
                  <c:v>-8.5497937374313189</c:v>
                </c:pt>
                <c:pt idx="187">
                  <c:v>-8.6037111083796791</c:v>
                </c:pt>
                <c:pt idx="188">
                  <c:v>-8.6573556796845388</c:v>
                </c:pt>
                <c:pt idx="189">
                  <c:v>-8.7107307546206965</c:v>
                </c:pt>
                <c:pt idx="190">
                  <c:v>-8.7648505379684369</c:v>
                </c:pt>
                <c:pt idx="191">
                  <c:v>-8.8186971861852204</c:v>
                </c:pt>
                <c:pt idx="192">
                  <c:v>-8.872274014922537</c:v>
                </c:pt>
                <c:pt idx="193">
                  <c:v>-8.9255842818927498</c:v>
                </c:pt>
                <c:pt idx="194">
                  <c:v>-8.9800184169525501</c:v>
                </c:pt>
                <c:pt idx="195">
                  <c:v>-9.0341785998506055</c:v>
                </c:pt>
                <c:pt idx="196">
                  <c:v>-9.0880681696007919</c:v>
                </c:pt>
                <c:pt idx="197">
                  <c:v>-9.1416904066496425</c:v>
                </c:pt>
                <c:pt idx="198">
                  <c:v>-9.1962140293214318</c:v>
                </c:pt>
                <c:pt idx="199">
                  <c:v>-9.2504652281284319</c:v>
                </c:pt>
                <c:pt idx="200">
                  <c:v>-9.3044473228080289</c:v>
                </c:pt>
                <c:pt idx="201">
                  <c:v>-9.3581635748882466</c:v>
                </c:pt>
                <c:pt idx="202">
                  <c:v>-9.4127597726487213</c:v>
                </c:pt>
                <c:pt idx="203">
                  <c:v>-9.4670853109867483</c:v>
                </c:pt>
                <c:pt idx="204">
                  <c:v>-9.5211434860388984</c:v>
                </c:pt>
                <c:pt idx="205">
                  <c:v>-9.5749375361845619</c:v>
                </c:pt>
                <c:pt idx="206">
                  <c:v>-9.6297776492868525</c:v>
                </c:pt>
                <c:pt idx="207">
                  <c:v>-9.6843472507549357</c:v>
                </c:pt>
                <c:pt idx="208">
                  <c:v>-9.7386496425508753</c:v>
                </c:pt>
                <c:pt idx="209">
                  <c:v>-9.7926880686387729</c:v>
                </c:pt>
                <c:pt idx="210">
                  <c:v>-9.8479304204739169</c:v>
                </c:pt>
                <c:pt idx="211">
                  <c:v>-9.9029009534587829</c:v>
                </c:pt>
                <c:pt idx="212">
                  <c:v>-9.9576030020389812</c:v>
                </c:pt>
                <c:pt idx="213">
                  <c:v>-10.012039841787635</c:v>
                </c:pt>
                <c:pt idx="214">
                  <c:v>-10.067291946555169</c:v>
                </c:pt>
                <c:pt idx="215">
                  <c:v>-10.12227486555598</c:v>
                </c:pt>
                <c:pt idx="216">
                  <c:v>-10.176991893491154</c:v>
                </c:pt>
                <c:pt idx="217">
                  <c:v>-10.23144626699894</c:v>
                </c:pt>
                <c:pt idx="218">
                  <c:v>-10.286873879330988</c:v>
                </c:pt>
                <c:pt idx="219">
                  <c:v>-10.342033391724389</c:v>
                </c:pt>
                <c:pt idx="220">
                  <c:v>-10.396928087323122</c:v>
                </c:pt>
                <c:pt idx="221">
                  <c:v>-10.451561191349953</c:v>
                </c:pt>
                <c:pt idx="222">
                  <c:v>-10.507145126137873</c:v>
                </c:pt>
                <c:pt idx="223">
                  <c:v>-10.562462312842392</c:v>
                </c:pt>
                <c:pt idx="224">
                  <c:v>-10.617516017996405</c:v>
                </c:pt>
                <c:pt idx="225">
                  <c:v>-10.672309450463667</c:v>
                </c:pt>
                <c:pt idx="226">
                  <c:v>-10.728201666160293</c:v>
                </c:pt>
                <c:pt idx="227">
                  <c:v>-10.783827119891335</c:v>
                </c:pt>
                <c:pt idx="228">
                  <c:v>-10.839189086398724</c:v>
                </c:pt>
                <c:pt idx="229">
                  <c:v>-10.894290782415965</c:v>
                </c:pt>
                <c:pt idx="230">
                  <c:v>-11.006374385337367</c:v>
                </c:pt>
                <c:pt idx="231">
                  <c:v>-11.062019817337614</c:v>
                </c:pt>
                <c:pt idx="232">
                  <c:v>-11.117405313363726</c:v>
                </c:pt>
                <c:pt idx="233">
                  <c:v>-11.173839633869676</c:v>
                </c:pt>
                <c:pt idx="234">
                  <c:v>-11.23000817523698</c:v>
                </c:pt>
                <c:pt idx="235">
                  <c:v>-11.285914209355317</c:v>
                </c:pt>
                <c:pt idx="236">
                  <c:v>-11.341560949850308</c:v>
                </c:pt>
                <c:pt idx="237">
                  <c:v>-11.398072791231517</c:v>
                </c:pt>
                <c:pt idx="238">
                  <c:v>-11.454321289167396</c:v>
                </c:pt>
                <c:pt idx="239">
                  <c:v>-11.510309677848646</c:v>
                </c:pt>
                <c:pt idx="240">
                  <c:v>-11.566041133918965</c:v>
                </c:pt>
                <c:pt idx="241">
                  <c:v>-11.622933939806551</c:v>
                </c:pt>
                <c:pt idx="242">
                  <c:v>-11.679563094196009</c:v>
                </c:pt>
                <c:pt idx="243">
                  <c:v>-11.735931843607235</c:v>
                </c:pt>
                <c:pt idx="244">
                  <c:v>-11.792043376536686</c:v>
                </c:pt>
                <c:pt idx="245">
                  <c:v>-11.849135808828926</c:v>
                </c:pt>
                <c:pt idx="246">
                  <c:v>-11.905966054919494</c:v>
                </c:pt>
                <c:pt idx="247">
                  <c:v>-11.962537340570947</c:v>
                </c:pt>
                <c:pt idx="248">
                  <c:v>-12.018852833821395</c:v>
                </c:pt>
                <c:pt idx="249">
                  <c:v>-12.076279901222675</c:v>
                </c:pt>
                <c:pt idx="250">
                  <c:v>-12.133445096366021</c:v>
                </c:pt>
                <c:pt idx="251">
                  <c:v>-12.190351644912798</c:v>
                </c:pt>
                <c:pt idx="252">
                  <c:v>-12.247002714598098</c:v>
                </c:pt>
                <c:pt idx="253">
                  <c:v>-12.304592335146747</c:v>
                </c:pt>
                <c:pt idx="254">
                  <c:v>-12.361922045868003</c:v>
                </c:pt>
                <c:pt idx="255">
                  <c:v>-12.418995041385871</c:v>
                </c:pt>
                <c:pt idx="256">
                  <c:v>-12.475814458925951</c:v>
                </c:pt>
                <c:pt idx="257">
                  <c:v>-12.533845594146889</c:v>
                </c:pt>
                <c:pt idx="258">
                  <c:v>-12.59161635198199</c:v>
                </c:pt>
                <c:pt idx="259">
                  <c:v>-12.649129940065855</c:v>
                </c:pt>
                <c:pt idx="260">
                  <c:v>-12.706389508099816</c:v>
                </c:pt>
                <c:pt idx="261">
                  <c:v>-12.764690907776735</c:v>
                </c:pt>
                <c:pt idx="262">
                  <c:v>-12.82273309389687</c:v>
                </c:pt>
                <c:pt idx="263">
                  <c:v>-12.880519256351562</c:v>
                </c:pt>
                <c:pt idx="264">
                  <c:v>-12.938052527291619</c:v>
                </c:pt>
                <c:pt idx="265">
                  <c:v>-12.996606133938986</c:v>
                </c:pt>
                <c:pt idx="266">
                  <c:v>-13.054901924160898</c:v>
                </c:pt>
                <c:pt idx="267">
                  <c:v>-13.112943065022737</c:v>
                </c:pt>
                <c:pt idx="268">
                  <c:v>-13.170732666157344</c:v>
                </c:pt>
                <c:pt idx="269">
                  <c:v>-13.229660614694234</c:v>
                </c:pt>
                <c:pt idx="270">
                  <c:v>-13.288331148231538</c:v>
                </c:pt>
                <c:pt idx="271">
                  <c:v>-13.346747428435808</c:v>
                </c:pt>
                <c:pt idx="272">
                  <c:v>-13.404912559420971</c:v>
                </c:pt>
                <c:pt idx="273">
                  <c:v>-13.464192586504968</c:v>
                </c:pt>
                <c:pt idx="274">
                  <c:v>-13.523215880199649</c:v>
                </c:pt>
                <c:pt idx="275">
                  <c:v>-13.581985590674995</c:v>
                </c:pt>
                <c:pt idx="276">
                  <c:v>-13.640504810567753</c:v>
                </c:pt>
                <c:pt idx="277">
                  <c:v>-13.699982379355367</c:v>
                </c:pt>
                <c:pt idx="278">
                  <c:v>-13.759205294588003</c:v>
                </c:pt>
                <c:pt idx="279">
                  <c:v>-13.818176668327599</c:v>
                </c:pt>
                <c:pt idx="280">
                  <c:v>-13.876899555763194</c:v>
                </c:pt>
                <c:pt idx="281">
                  <c:v>-13.936957607333669</c:v>
                </c:pt>
                <c:pt idx="282">
                  <c:v>-13.996759882791057</c:v>
                </c:pt>
                <c:pt idx="283">
                  <c:v>-14.056309513598029</c:v>
                </c:pt>
                <c:pt idx="284">
                  <c:v>-14.115609573598697</c:v>
                </c:pt>
                <c:pt idx="285">
                  <c:v>-14.175828705233606</c:v>
                </c:pt>
                <c:pt idx="286">
                  <c:v>-14.235794574532818</c:v>
                </c:pt>
                <c:pt idx="287">
                  <c:v>-14.295510264744173</c:v>
                </c:pt>
                <c:pt idx="288">
                  <c:v>-14.354978802397421</c:v>
                </c:pt>
                <c:pt idx="289">
                  <c:v>-14.415731610072406</c:v>
                </c:pt>
                <c:pt idx="290">
                  <c:v>-14.476230591158373</c:v>
                </c:pt>
                <c:pt idx="291">
                  <c:v>-14.536478835605228</c:v>
                </c:pt>
                <c:pt idx="292">
                  <c:v>-14.596479376198083</c:v>
                </c:pt>
                <c:pt idx="293">
                  <c:v>-14.657613231878905</c:v>
                </c:pt>
                <c:pt idx="294">
                  <c:v>-14.718494047910951</c:v>
                </c:pt>
                <c:pt idx="295">
                  <c:v>-14.779124895022047</c:v>
                </c:pt>
                <c:pt idx="296">
                  <c:v>-14.839508786961277</c:v>
                </c:pt>
                <c:pt idx="297">
                  <c:v>-14.901004282667657</c:v>
                </c:pt>
                <c:pt idx="298">
                  <c:v>-14.962247738494707</c:v>
                </c:pt>
                <c:pt idx="299">
                  <c:v>-15.023242200759251</c:v>
                </c:pt>
                <c:pt idx="300">
                  <c:v>-15.083990659113809</c:v>
                </c:pt>
                <c:pt idx="301">
                  <c:v>-15.1458297904973</c:v>
                </c:pt>
                <c:pt idx="302">
                  <c:v>-15.207418070220339</c:v>
                </c:pt>
                <c:pt idx="303">
                  <c:v>-15.268758515447189</c:v>
                </c:pt>
                <c:pt idx="304">
                  <c:v>-15.329854087112322</c:v>
                </c:pt>
                <c:pt idx="305">
                  <c:v>-15.392258765485378</c:v>
                </c:pt>
                <c:pt idx="306">
                  <c:v>-15.454412034262168</c:v>
                </c:pt>
                <c:pt idx="307">
                  <c:v>-15.516316911391241</c:v>
                </c:pt>
                <c:pt idx="308">
                  <c:v>-15.577976358286154</c:v>
                </c:pt>
                <c:pt idx="309">
                  <c:v>-15.64068491909326</c:v>
                </c:pt>
                <c:pt idx="310">
                  <c:v>-15.703143662526866</c:v>
                </c:pt>
                <c:pt idx="311">
                  <c:v>-15.765355567253101</c:v>
                </c:pt>
                <c:pt idx="312">
                  <c:v>-15.827323556099969</c:v>
                </c:pt>
                <c:pt idx="313">
                  <c:v>-15.890553045066845</c:v>
                </c:pt>
                <c:pt idx="314">
                  <c:v>-15.95353260985916</c:v>
                </c:pt>
                <c:pt idx="315">
                  <c:v>-16.016265218698006</c:v>
                </c:pt>
                <c:pt idx="316">
                  <c:v>-16.078753783953029</c:v>
                </c:pt>
                <c:pt idx="317">
                  <c:v>-16.142480327476967</c:v>
                </c:pt>
                <c:pt idx="318">
                  <c:v>-16.205957072358693</c:v>
                </c:pt>
                <c:pt idx="319">
                  <c:v>-16.269186970600494</c:v>
                </c:pt>
                <c:pt idx="320">
                  <c:v>-16.332172918493161</c:v>
                </c:pt>
                <c:pt idx="321">
                  <c:v>-16.396374093954037</c:v>
                </c:pt>
                <c:pt idx="322">
                  <c:v>-16.460325803315516</c:v>
                </c:pt>
                <c:pt idx="323">
                  <c:v>-16.524030977086927</c:v>
                </c:pt>
                <c:pt idx="324">
                  <c:v>-16.587492490351746</c:v>
                </c:pt>
                <c:pt idx="325">
                  <c:v>-16.652147220368853</c:v>
                </c:pt>
                <c:pt idx="326">
                  <c:v>-16.716552999619861</c:v>
                </c:pt>
                <c:pt idx="327">
                  <c:v>-16.780712732353756</c:v>
                </c:pt>
                <c:pt idx="328">
                  <c:v>-16.844629267815428</c:v>
                </c:pt>
                <c:pt idx="329">
                  <c:v>-16.909826352192574</c:v>
                </c:pt>
                <c:pt idx="330">
                  <c:v>-16.974774334765577</c:v>
                </c:pt>
                <c:pt idx="331">
                  <c:v>-17.039476103565768</c:v>
                </c:pt>
                <c:pt idx="332">
                  <c:v>-17.103934491808864</c:v>
                </c:pt>
                <c:pt idx="333">
                  <c:v>-17.169543340413419</c:v>
                </c:pt>
                <c:pt idx="334">
                  <c:v>-17.234903939631383</c:v>
                </c:pt>
                <c:pt idx="335">
                  <c:v>-17.300019142389012</c:v>
                </c:pt>
                <c:pt idx="336">
                  <c:v>-17.364891747484947</c:v>
                </c:pt>
                <c:pt idx="337">
                  <c:v>-17.43110564855251</c:v>
                </c:pt>
                <c:pt idx="338">
                  <c:v>-17.497070693011338</c:v>
                </c:pt>
                <c:pt idx="339">
                  <c:v>-17.562789722300728</c:v>
                </c:pt>
                <c:pt idx="340">
                  <c:v>-17.628265523850789</c:v>
                </c:pt>
                <c:pt idx="341">
                  <c:v>-17.695058562462869</c:v>
                </c:pt>
                <c:pt idx="342">
                  <c:v>-17.761602343304755</c:v>
                </c:pt>
                <c:pt idx="343">
                  <c:v>-17.827899691207417</c:v>
                </c:pt>
                <c:pt idx="344">
                  <c:v>-17.89395337727003</c:v>
                </c:pt>
                <c:pt idx="345">
                  <c:v>-17.961198624760087</c:v>
                </c:pt>
                <c:pt idx="346">
                  <c:v>-18.028195151242674</c:v>
                </c:pt>
                <c:pt idx="347">
                  <c:v>-18.094945747719823</c:v>
                </c:pt>
                <c:pt idx="348">
                  <c:v>-18.161453152208157</c:v>
                </c:pt>
                <c:pt idx="349">
                  <c:v>-18.229333334667665</c:v>
                </c:pt>
                <c:pt idx="350">
                  <c:v>-18.296963969126303</c:v>
                </c:pt>
                <c:pt idx="351">
                  <c:v>-18.36434783439902</c:v>
                </c:pt>
                <c:pt idx="352">
                  <c:v>-18.431487656553522</c:v>
                </c:pt>
                <c:pt idx="353">
                  <c:v>-18.499976010380642</c:v>
                </c:pt>
                <c:pt idx="354">
                  <c:v>-18.568214180768198</c:v>
                </c:pt>
                <c:pt idx="355">
                  <c:v>-18.636204929829152</c:v>
                </c:pt>
                <c:pt idx="356">
                  <c:v>-18.703950967323657</c:v>
                </c:pt>
                <c:pt idx="357">
                  <c:v>-18.772924019314377</c:v>
                </c:pt>
                <c:pt idx="358">
                  <c:v>-18.841647131372667</c:v>
                </c:pt>
                <c:pt idx="359">
                  <c:v>-18.910123033425108</c:v>
                </c:pt>
                <c:pt idx="360">
                  <c:v>-18.978354403875336</c:v>
                </c:pt>
                <c:pt idx="361">
                  <c:v>-19.047985023475427</c:v>
                </c:pt>
                <c:pt idx="362">
                  <c:v>-19.117364668810744</c:v>
                </c:pt>
                <c:pt idx="363">
                  <c:v>-19.18649605767185</c:v>
                </c:pt>
                <c:pt idx="364">
                  <c:v>-19.255381856703032</c:v>
                </c:pt>
                <c:pt idx="365">
                  <c:v>-19.325547338895646</c:v>
                </c:pt>
                <c:pt idx="366">
                  <c:v>-19.395461671783519</c:v>
                </c:pt>
                <c:pt idx="367">
                  <c:v>-19.465127546392882</c:v>
                </c:pt>
                <c:pt idx="368">
                  <c:v>-19.534547603400355</c:v>
                </c:pt>
                <c:pt idx="369">
                  <c:v>-19.60541323372453</c:v>
                </c:pt>
                <c:pt idx="370">
                  <c:v>-19.676026329886039</c:v>
                </c:pt>
                <c:pt idx="371">
                  <c:v>-19.746389575025031</c:v>
                </c:pt>
                <c:pt idx="372">
                  <c:v>-19.816505602317726</c:v>
                </c:pt>
                <c:pt idx="373">
                  <c:v>-19.887949545820565</c:v>
                </c:pt>
                <c:pt idx="374">
                  <c:v>-19.959140412245983</c:v>
                </c:pt>
                <c:pt idx="375">
                  <c:v>-20.030080863127591</c:v>
                </c:pt>
                <c:pt idx="376">
                  <c:v>-20.100773510823565</c:v>
                </c:pt>
                <c:pt idx="377">
                  <c:v>-20.172953903195673</c:v>
                </c:pt>
                <c:pt idx="378">
                  <c:v>-20.244879528675565</c:v>
                </c:pt>
                <c:pt idx="379">
                  <c:v>-20.316553045149824</c:v>
                </c:pt>
                <c:pt idx="380">
                  <c:v>-20.387977061744941</c:v>
                </c:pt>
                <c:pt idx="381">
                  <c:v>-20.460683103358896</c:v>
                </c:pt>
                <c:pt idx="382">
                  <c:v>-20.533134145277078</c:v>
                </c:pt>
                <c:pt idx="383">
                  <c:v>-20.60533281926384</c:v>
                </c:pt>
                <c:pt idx="384">
                  <c:v>-20.677281709356482</c:v>
                </c:pt>
                <c:pt idx="385">
                  <c:v>-20.750757227284318</c:v>
                </c:pt>
                <c:pt idx="386">
                  <c:v>-20.823975773398125</c:v>
                </c:pt>
                <c:pt idx="387">
                  <c:v>-20.896939980780029</c:v>
                </c:pt>
                <c:pt idx="388">
                  <c:v>-20.969652435230572</c:v>
                </c:pt>
                <c:pt idx="389">
                  <c:v>-21.043777582311833</c:v>
                </c:pt>
                <c:pt idx="390">
                  <c:v>-21.117644603730991</c:v>
                </c:pt>
                <c:pt idx="391">
                  <c:v>-21.191256122104051</c:v>
                </c:pt>
                <c:pt idx="392">
                  <c:v>-21.264614713573827</c:v>
                </c:pt>
                <c:pt idx="393">
                  <c:v>-21.339361963285576</c:v>
                </c:pt>
                <c:pt idx="394">
                  <c:v>-21.413850101145027</c:v>
                </c:pt>
                <c:pt idx="395">
                  <c:v>-21.488081738047349</c:v>
                </c:pt>
                <c:pt idx="396">
                  <c:v>-21.562059439331868</c:v>
                </c:pt>
                <c:pt idx="397">
                  <c:v>-21.637572507663837</c:v>
                </c:pt>
                <c:pt idx="398">
                  <c:v>-21.712824467799262</c:v>
                </c:pt>
                <c:pt idx="399">
                  <c:v>-21.787817935738172</c:v>
                </c:pt>
                <c:pt idx="400">
                  <c:v>-21.862555482538262</c:v>
                </c:pt>
                <c:pt idx="401">
                  <c:v>-21.938718088265794</c:v>
                </c:pt>
                <c:pt idx="402">
                  <c:v>-22.01461838737718</c:v>
                </c:pt>
                <c:pt idx="403">
                  <c:v>-22.090258991006749</c:v>
                </c:pt>
                <c:pt idx="404">
                  <c:v>-22.165642466278182</c:v>
                </c:pt>
                <c:pt idx="405">
                  <c:v>-22.242509736010856</c:v>
                </c:pt>
                <c:pt idx="406">
                  <c:v>-22.319113120725653</c:v>
                </c:pt>
                <c:pt idx="407">
                  <c:v>-22.395455234855277</c:v>
                </c:pt>
                <c:pt idx="408">
                  <c:v>-22.471538649662556</c:v>
                </c:pt>
                <c:pt idx="409">
                  <c:v>-22.549162370815807</c:v>
                </c:pt>
                <c:pt idx="410">
                  <c:v>-22.626520287704636</c:v>
                </c:pt>
                <c:pt idx="411">
                  <c:v>-22.70361502604905</c:v>
                </c:pt>
                <c:pt idx="412">
                  <c:v>-22.780449169162218</c:v>
                </c:pt>
                <c:pt idx="413">
                  <c:v>-22.858797428406461</c:v>
                </c:pt>
                <c:pt idx="414">
                  <c:v>-22.936878210674241</c:v>
                </c:pt>
                <c:pt idx="415">
                  <c:v>-23.014694152795151</c:v>
                </c:pt>
                <c:pt idx="416">
                  <c:v>-23.092247850063078</c:v>
                </c:pt>
                <c:pt idx="417">
                  <c:v>-23.171369586582351</c:v>
                </c:pt>
                <c:pt idx="418">
                  <c:v>-23.25022188297071</c:v>
                </c:pt>
                <c:pt idx="419">
                  <c:v>-23.328807395510957</c:v>
                </c:pt>
                <c:pt idx="420">
                  <c:v>-23.407128739754427</c:v>
                </c:pt>
                <c:pt idx="421">
                  <c:v>-23.486913232745206</c:v>
                </c:pt>
                <c:pt idx="422">
                  <c:v>-23.566427134829169</c:v>
                </c:pt>
                <c:pt idx="423">
                  <c:v>-23.645673114449007</c:v>
                </c:pt>
                <c:pt idx="424">
                  <c:v>-23.724653800376856</c:v>
                </c:pt>
                <c:pt idx="425">
                  <c:v>-23.805305451243083</c:v>
                </c:pt>
                <c:pt idx="426">
                  <c:v>-23.88568405646696</c:v>
                </c:pt>
                <c:pt idx="427">
                  <c:v>-23.965792321303176</c:v>
                </c:pt>
                <c:pt idx="428">
                  <c:v>-24.045632912027823</c:v>
                </c:pt>
                <c:pt idx="429">
                  <c:v>-24.127039946702524</c:v>
                </c:pt>
                <c:pt idx="430">
                  <c:v>-24.208172348086979</c:v>
                </c:pt>
                <c:pt idx="431">
                  <c:v>-24.289032851601799</c:v>
                </c:pt>
                <c:pt idx="432">
                  <c:v>-24.369624154639709</c:v>
                </c:pt>
                <c:pt idx="433">
                  <c:v>-24.451756002666421</c:v>
                </c:pt>
                <c:pt idx="434">
                  <c:v>-24.533611967713476</c:v>
                </c:pt>
                <c:pt idx="435">
                  <c:v>-24.615194817307042</c:v>
                </c:pt>
                <c:pt idx="436">
                  <c:v>-24.696507281988964</c:v>
                </c:pt>
                <c:pt idx="437">
                  <c:v>-24.77948375981526</c:v>
                </c:pt>
                <c:pt idx="438">
                  <c:v>-24.862182466751804</c:v>
                </c:pt>
                <c:pt idx="439">
                  <c:v>-24.944606219999834</c:v>
                </c:pt>
                <c:pt idx="440">
                  <c:v>-25.026757800649758</c:v>
                </c:pt>
                <c:pt idx="441">
                  <c:v>-25.110546121729538</c:v>
                </c:pt>
                <c:pt idx="442">
                  <c:v>-25.19405521020138</c:v>
                </c:pt>
                <c:pt idx="443">
                  <c:v>-25.277287935641407</c:v>
                </c:pt>
                <c:pt idx="444">
                  <c:v>-25.36024713250557</c:v>
                </c:pt>
                <c:pt idx="445">
                  <c:v>-25.444816692673587</c:v>
                </c:pt>
                <c:pt idx="446">
                  <c:v>-25.529106006202291</c:v>
                </c:pt>
                <c:pt idx="447">
                  <c:v>-25.613117998456879</c:v>
                </c:pt>
                <c:pt idx="448">
                  <c:v>-25.696855560784734</c:v>
                </c:pt>
                <c:pt idx="449">
                  <c:v>-25.782320850543215</c:v>
                </c:pt>
                <c:pt idx="450">
                  <c:v>-25.867504414891936</c:v>
                </c:pt>
                <c:pt idx="451">
                  <c:v>-25.952409254093844</c:v>
                </c:pt>
                <c:pt idx="452">
                  <c:v>-26.037038335395941</c:v>
                </c:pt>
                <c:pt idx="453">
                  <c:v>-26.123297422308369</c:v>
                </c:pt>
                <c:pt idx="454">
                  <c:v>-26.209274324035295</c:v>
                </c:pt>
                <c:pt idx="455">
                  <c:v>-26.294972113009642</c:v>
                </c:pt>
                <c:pt idx="456">
                  <c:v>-26.38039382990425</c:v>
                </c:pt>
                <c:pt idx="457">
                  <c:v>-26.467559904893832</c:v>
                </c:pt>
                <c:pt idx="458">
                  <c:v>-26.554443000490124</c:v>
                </c:pt>
                <c:pt idx="459">
                  <c:v>-26.641046282156282</c:v>
                </c:pt>
                <c:pt idx="460">
                  <c:v>-26.727372884806286</c:v>
                </c:pt>
                <c:pt idx="461">
                  <c:v>-26.81541752847048</c:v>
                </c:pt>
                <c:pt idx="462">
                  <c:v>-26.903179063186492</c:v>
                </c:pt>
                <c:pt idx="463">
                  <c:v>-26.990660754240675</c:v>
                </c:pt>
                <c:pt idx="464">
                  <c:v>-27.077865837775519</c:v>
                </c:pt>
                <c:pt idx="465">
                  <c:v>-27.166831729950264</c:v>
                </c:pt>
                <c:pt idx="466">
                  <c:v>-27.255514666242942</c:v>
                </c:pt>
                <c:pt idx="467">
                  <c:v>-27.34391802749785</c:v>
                </c:pt>
                <c:pt idx="468">
                  <c:v>-27.432045166954499</c:v>
                </c:pt>
                <c:pt idx="469">
                  <c:v>-27.521908170349569</c:v>
                </c:pt>
                <c:pt idx="470">
                  <c:v>-27.611489169218103</c:v>
                </c:pt>
                <c:pt idx="471">
                  <c:v>-27.700791669517738</c:v>
                </c:pt>
                <c:pt idx="472">
                  <c:v>-27.789819151404043</c:v>
                </c:pt>
                <c:pt idx="473">
                  <c:v>-27.880691322986447</c:v>
                </c:pt>
                <c:pt idx="474">
                  <c:v>-27.971282489583107</c:v>
                </c:pt>
                <c:pt idx="475">
                  <c:v>-28.061596309418793</c:v>
                </c:pt>
                <c:pt idx="476">
                  <c:v>-28.151636416887463</c:v>
                </c:pt>
                <c:pt idx="477">
                  <c:v>-28.243496990333362</c:v>
                </c:pt>
                <c:pt idx="478">
                  <c:v>-28.335078563388187</c:v>
                </c:pt>
                <c:pt idx="479">
                  <c:v>-28.426384960241986</c:v>
                </c:pt>
                <c:pt idx="480">
                  <c:v>-28.517419983619419</c:v>
                </c:pt>
                <c:pt idx="481">
                  <c:v>-28.610253099926382</c:v>
                </c:pt>
                <c:pt idx="482">
                  <c:v>-28.702810314321109</c:v>
                </c:pt>
                <c:pt idx="483">
                  <c:v>-28.79509563312002</c:v>
                </c:pt>
                <c:pt idx="484">
                  <c:v>-28.887113044004874</c:v>
                </c:pt>
                <c:pt idx="485">
                  <c:v>-28.980971986986425</c:v>
                </c:pt>
                <c:pt idx="486">
                  <c:v>-29.074558954634284</c:v>
                </c:pt>
                <c:pt idx="487">
                  <c:v>-29.167878163035855</c:v>
                </c:pt>
                <c:pt idx="488">
                  <c:v>-29.260933812985712</c:v>
                </c:pt>
                <c:pt idx="489">
                  <c:v>-29.355937901363355</c:v>
                </c:pt>
                <c:pt idx="490">
                  <c:v>-29.450674590622352</c:v>
                </c:pt>
                <c:pt idx="491">
                  <c:v>-29.545148347385592</c:v>
                </c:pt>
                <c:pt idx="492">
                  <c:v>-29.639363626953944</c:v>
                </c:pt>
                <c:pt idx="493">
                  <c:v>-29.735508483879514</c:v>
                </c:pt>
                <c:pt idx="494">
                  <c:v>-29.831392101674158</c:v>
                </c:pt>
                <c:pt idx="495">
                  <c:v>-29.927019226011602</c:v>
                </c:pt>
                <c:pt idx="496">
                  <c:v>-30.02239459610033</c:v>
                </c:pt>
                <c:pt idx="497">
                  <c:v>-30.119745252222142</c:v>
                </c:pt>
                <c:pt idx="498">
                  <c:v>-30.216842267157965</c:v>
                </c:pt>
                <c:pt idx="499">
                  <c:v>-30.313690709225835</c:v>
                </c:pt>
                <c:pt idx="500">
                  <c:v>-30.410295646207793</c:v>
                </c:pt>
                <c:pt idx="501">
                  <c:v>-30.508923169601129</c:v>
                </c:pt>
                <c:pt idx="502">
                  <c:v>-30.60730636012762</c:v>
                </c:pt>
                <c:pt idx="503">
                  <c:v>-30.705450660294581</c:v>
                </c:pt>
                <c:pt idx="504">
                  <c:v>-30.803361519363634</c:v>
                </c:pt>
                <c:pt idx="505">
                  <c:v>-30.903283862747529</c:v>
                </c:pt>
                <c:pt idx="506">
                  <c:v>-31.002973490907927</c:v>
                </c:pt>
                <c:pt idx="507">
                  <c:v>-31.102436271240084</c:v>
                </c:pt>
                <c:pt idx="508">
                  <c:v>-31.201678086871219</c:v>
                </c:pt>
                <c:pt idx="509">
                  <c:v>-31.302984349864715</c:v>
                </c:pt>
                <c:pt idx="510">
                  <c:v>-31.404071863208038</c:v>
                </c:pt>
                <c:pt idx="511">
                  <c:v>-31.504946991431293</c:v>
                </c:pt>
                <c:pt idx="512">
                  <c:v>-31.605616125911979</c:v>
                </c:pt>
                <c:pt idx="513">
                  <c:v>-31.70846552457089</c:v>
                </c:pt>
                <c:pt idx="514">
                  <c:v>-31.811112697065525</c:v>
                </c:pt>
                <c:pt idx="515">
                  <c:v>-31.913564604231922</c:v>
                </c:pt>
                <c:pt idx="516">
                  <c:v>-32.015828247682578</c:v>
                </c:pt>
                <c:pt idx="517">
                  <c:v>-32.120272969459215</c:v>
                </c:pt>
                <c:pt idx="518">
                  <c:v>-32.224535578226536</c:v>
                </c:pt>
                <c:pt idx="519">
                  <c:v>-32.328623725603705</c:v>
                </c:pt>
                <c:pt idx="520">
                  <c:v>-32.432545121323628</c:v>
                </c:pt>
                <c:pt idx="521">
                  <c:v>-32.538713329044995</c:v>
                </c:pt>
                <c:pt idx="522">
                  <c:v>-32.644723489253415</c:v>
                </c:pt>
                <c:pt idx="523">
                  <c:v>-32.750584073389447</c:v>
                </c:pt>
                <c:pt idx="524">
                  <c:v>-32.856303632775848</c:v>
                </c:pt>
                <c:pt idx="525">
                  <c:v>-32.964342098548592</c:v>
                </c:pt>
                <c:pt idx="526">
                  <c:v>-33.07225130065035</c:v>
                </c:pt>
                <c:pt idx="527">
                  <c:v>-33.18004068871835</c:v>
                </c:pt>
                <c:pt idx="528">
                  <c:v>-33.287719819723073</c:v>
                </c:pt>
                <c:pt idx="529">
                  <c:v>-33.397797719620776</c:v>
                </c:pt>
                <c:pt idx="530">
                  <c:v>-33.507780789925924</c:v>
                </c:pt>
                <c:pt idx="531">
                  <c:v>-33.617679654004398</c:v>
                </c:pt>
                <c:pt idx="532">
                  <c:v>-33.727505077325603</c:v>
                </c:pt>
                <c:pt idx="533">
                  <c:v>-33.839876564376127</c:v>
                </c:pt>
                <c:pt idx="534">
                  <c:v>-33.95219439749971</c:v>
                </c:pt>
                <c:pt idx="535">
                  <c:v>-34.064470635429664</c:v>
                </c:pt>
                <c:pt idx="536">
                  <c:v>-34.176717523637912</c:v>
                </c:pt>
                <c:pt idx="537">
                  <c:v>-34.291495453988411</c:v>
                </c:pt>
                <c:pt idx="538">
                  <c:v>-34.406269227140214</c:v>
                </c:pt>
                <c:pt idx="539">
                  <c:v>-34.521052603484932</c:v>
                </c:pt>
                <c:pt idx="540">
                  <c:v>-34.635859586349902</c:v>
                </c:pt>
                <c:pt idx="541">
                  <c:v>-34.753428374670918</c:v>
                </c:pt>
                <c:pt idx="542">
                  <c:v>-34.871052427003157</c:v>
                </c:pt>
                <c:pt idx="543">
                  <c:v>-34.9887476289991</c:v>
                </c:pt>
                <c:pt idx="544">
                  <c:v>-35.106530182604644</c:v>
                </c:pt>
                <c:pt idx="545">
                  <c:v>-35.227148720526714</c:v>
                </c:pt>
                <c:pt idx="546">
                  <c:v>-35.347894092295405</c:v>
                </c:pt>
                <c:pt idx="547">
                  <c:v>-35.468784771866794</c:v>
                </c:pt>
                <c:pt idx="548">
                  <c:v>-35.589839643717212</c:v>
                </c:pt>
                <c:pt idx="549">
                  <c:v>-35.713883547223531</c:v>
                </c:pt>
                <c:pt idx="550">
                  <c:v>-35.838140709016187</c:v>
                </c:pt>
                <c:pt idx="551">
                  <c:v>-35.96263280752359</c:v>
                </c:pt>
                <c:pt idx="552">
                  <c:v>-36.08738205431338</c:v>
                </c:pt>
                <c:pt idx="553">
                  <c:v>-36.215358025838334</c:v>
                </c:pt>
                <c:pt idx="554">
                  <c:v>-36.343652294055097</c:v>
                </c:pt>
                <c:pt idx="555">
                  <c:v>-36.472290568746494</c:v>
                </c:pt>
                <c:pt idx="556">
                  <c:v>-36.601299254871293</c:v>
                </c:pt>
                <c:pt idx="557">
                  <c:v>-36.866639527676114</c:v>
                </c:pt>
                <c:pt idx="558">
                  <c:v>-37.133889124121559</c:v>
                </c:pt>
                <c:pt idx="559">
                  <c:v>-37.409508355762263</c:v>
                </c:pt>
                <c:pt idx="560">
                  <c:v>-37.687687614400843</c:v>
                </c:pt>
                <c:pt idx="561">
                  <c:v>-37.975444542216358</c:v>
                </c:pt>
                <c:pt idx="562">
                  <c:v>-38.266568841005096</c:v>
                </c:pt>
                <c:pt idx="563">
                  <c:v>-38.567815203792712</c:v>
                </c:pt>
                <c:pt idx="564">
                  <c:v>-38.873412720262543</c:v>
                </c:pt>
                <c:pt idx="565">
                  <c:v>-39.191725626745956</c:v>
                </c:pt>
                <c:pt idx="566">
                  <c:v>-39.515657067085918</c:v>
                </c:pt>
                <c:pt idx="567">
                  <c:v>-39.854003976154161</c:v>
                </c:pt>
                <c:pt idx="568">
                  <c:v>-40.199569585700118</c:v>
                </c:pt>
                <c:pt idx="569">
                  <c:v>-40.560270453053455</c:v>
                </c:pt>
                <c:pt idx="570">
                  <c:v>-40.930152669776362</c:v>
                </c:pt>
                <c:pt idx="571">
                  <c:v>-41.320769794125141</c:v>
                </c:pt>
                <c:pt idx="572">
                  <c:v>-41.723260833150697</c:v>
                </c:pt>
                <c:pt idx="573">
                  <c:v>-42.146980074447427</c:v>
                </c:pt>
                <c:pt idx="574">
                  <c:v>-42.58588102201972</c:v>
                </c:pt>
                <c:pt idx="575">
                  <c:v>-43.05385423984621</c:v>
                </c:pt>
                <c:pt idx="576">
                  <c:v>-43.541672619878007</c:v>
                </c:pt>
                <c:pt idx="577">
                  <c:v>-45.887705732524026</c:v>
                </c:pt>
                <c:pt idx="578">
                  <c:v>-48.916415718523027</c:v>
                </c:pt>
                <c:pt idx="579">
                  <c:v>-63.693489612679663</c:v>
                </c:pt>
                <c:pt idx="580">
                  <c:v>-55.481734887085359</c:v>
                </c:pt>
                <c:pt idx="581">
                  <c:v>-50.605054982253328</c:v>
                </c:pt>
                <c:pt idx="582">
                  <c:v>-49.758946819017389</c:v>
                </c:pt>
                <c:pt idx="583">
                  <c:v>-50.443959541133637</c:v>
                </c:pt>
                <c:pt idx="584">
                  <c:v>-52.025132348916181</c:v>
                </c:pt>
                <c:pt idx="585">
                  <c:v>-54.691624721380947</c:v>
                </c:pt>
                <c:pt idx="586">
                  <c:v>-60.695250125260962</c:v>
                </c:pt>
                <c:pt idx="587">
                  <c:v>-71.699351709212721</c:v>
                </c:pt>
                <c:pt idx="588">
                  <c:v>-60.717654414977886</c:v>
                </c:pt>
                <c:pt idx="589">
                  <c:v>-60.428729650406069</c:v>
                </c:pt>
                <c:pt idx="590">
                  <c:v>-62.968869721910252</c:v>
                </c:pt>
                <c:pt idx="591">
                  <c:v>-77.335995970521935</c:v>
                </c:pt>
                <c:pt idx="592">
                  <c:v>-67.234250808183191</c:v>
                </c:pt>
                <c:pt idx="593">
                  <c:v>-66.780323396848786</c:v>
                </c:pt>
                <c:pt idx="594">
                  <c:v>-75.285278652179571</c:v>
                </c:pt>
                <c:pt idx="595">
                  <c:v>-71.140005842402857</c:v>
                </c:pt>
                <c:pt idx="596">
                  <c:v>-71.842458639628788</c:v>
                </c:pt>
                <c:pt idx="597">
                  <c:v>-78.049184652642751</c:v>
                </c:pt>
                <c:pt idx="598">
                  <c:v>-74.031006605793465</c:v>
                </c:pt>
                <c:pt idx="599">
                  <c:v>-78.864712748364084</c:v>
                </c:pt>
                <c:pt idx="600">
                  <c:v>-78.141930512720776</c:v>
                </c:pt>
              </c:numCache>
            </c:numRef>
          </c:yVal>
          <c:smooth val="1"/>
          <c:extLst>
            <c:ext xmlns:c16="http://schemas.microsoft.com/office/drawing/2014/chart" uri="{C3380CC4-5D6E-409C-BE32-E72D297353CC}">
              <c16:uniqueId val="{00000000-09BC-4E96-93F9-6DC345568360}"/>
            </c:ext>
          </c:extLst>
        </c:ser>
        <c:dLbls>
          <c:dLblPos val="r"/>
          <c:showLegendKey val="0"/>
          <c:showVal val="1"/>
          <c:showCatName val="1"/>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91.313432236498173</c:v>
                </c:pt>
                <c:pt idx="1">
                  <c:v>91.18534403355271</c:v>
                </c:pt>
                <c:pt idx="2">
                  <c:v>91.067321296389039</c:v>
                </c:pt>
                <c:pt idx="3">
                  <c:v>90.958357860804739</c:v>
                </c:pt>
                <c:pt idx="4">
                  <c:v>90.857589586996014</c:v>
                </c:pt>
                <c:pt idx="5">
                  <c:v>90.763995669299334</c:v>
                </c:pt>
                <c:pt idx="6">
                  <c:v>90.676920714610233</c:v>
                </c:pt>
                <c:pt idx="7">
                  <c:v>90.595566105556358</c:v>
                </c:pt>
                <c:pt idx="8">
                  <c:v>90.519299122738403</c:v>
                </c:pt>
                <c:pt idx="9">
                  <c:v>90.447413354863201</c:v>
                </c:pt>
                <c:pt idx="10">
                  <c:v>90.379340590976682</c:v>
                </c:pt>
                <c:pt idx="11">
                  <c:v>90.314491561609429</c:v>
                </c:pt>
                <c:pt idx="12">
                  <c:v>90.252282970535731</c:v>
                </c:pt>
                <c:pt idx="13">
                  <c:v>90.192246627575557</c:v>
                </c:pt>
                <c:pt idx="14">
                  <c:v>90.133824292936126</c:v>
                </c:pt>
                <c:pt idx="15">
                  <c:v>90.076543266967775</c:v>
                </c:pt>
                <c:pt idx="16">
                  <c:v>90.019912801368591</c:v>
                </c:pt>
                <c:pt idx="17">
                  <c:v>89.963460581179518</c:v>
                </c:pt>
                <c:pt idx="18">
                  <c:v>89.906691474524052</c:v>
                </c:pt>
                <c:pt idx="19">
                  <c:v>89.849139583626524</c:v>
                </c:pt>
                <c:pt idx="20">
                  <c:v>89.790305790172141</c:v>
                </c:pt>
                <c:pt idx="21">
                  <c:v>89.729704017750961</c:v>
                </c:pt>
                <c:pt idx="22">
                  <c:v>89.666808509209901</c:v>
                </c:pt>
                <c:pt idx="23">
                  <c:v>89.601103377808897</c:v>
                </c:pt>
                <c:pt idx="24">
                  <c:v>89.53201718981795</c:v>
                </c:pt>
                <c:pt idx="25">
                  <c:v>89.458977799606203</c:v>
                </c:pt>
                <c:pt idx="26">
                  <c:v>89.381352316213096</c:v>
                </c:pt>
                <c:pt idx="27">
                  <c:v>89.298512981560066</c:v>
                </c:pt>
                <c:pt idx="28">
                  <c:v>89.209764299665252</c:v>
                </c:pt>
                <c:pt idx="29">
                  <c:v>89.114428360524386</c:v>
                </c:pt>
                <c:pt idx="30">
                  <c:v>89.011547767461536</c:v>
                </c:pt>
                <c:pt idx="31">
                  <c:v>88.900408732090682</c:v>
                </c:pt>
                <c:pt idx="32">
                  <c:v>88.780022686202415</c:v>
                </c:pt>
                <c:pt idx="33">
                  <c:v>88.649494646700191</c:v>
                </c:pt>
                <c:pt idx="34">
                  <c:v>88.507667897855598</c:v>
                </c:pt>
                <c:pt idx="35">
                  <c:v>88.35348375840077</c:v>
                </c:pt>
                <c:pt idx="36">
                  <c:v>88.185703824499328</c:v>
                </c:pt>
                <c:pt idx="37">
                  <c:v>88.002920685938562</c:v>
                </c:pt>
                <c:pt idx="38">
                  <c:v>87.80391025551792</c:v>
                </c:pt>
                <c:pt idx="39">
                  <c:v>87.587026196234802</c:v>
                </c:pt>
                <c:pt idx="40">
                  <c:v>87.350764297607924</c:v>
                </c:pt>
                <c:pt idx="41">
                  <c:v>87.093441847477976</c:v>
                </c:pt>
                <c:pt idx="42">
                  <c:v>86.813360206625489</c:v>
                </c:pt>
                <c:pt idx="43">
                  <c:v>86.508640056543157</c:v>
                </c:pt>
                <c:pt idx="44">
                  <c:v>86.177531625734034</c:v>
                </c:pt>
                <c:pt idx="45">
                  <c:v>85.818141954518197</c:v>
                </c:pt>
                <c:pt idx="46">
                  <c:v>85.42876911246347</c:v>
                </c:pt>
                <c:pt idx="47">
                  <c:v>85.007670833269515</c:v>
                </c:pt>
                <c:pt idx="48">
                  <c:v>84.553496771562138</c:v>
                </c:pt>
                <c:pt idx="49">
                  <c:v>84.064988759211261</c:v>
                </c:pt>
                <c:pt idx="50">
                  <c:v>83.541524285371253</c:v>
                </c:pt>
                <c:pt idx="51">
                  <c:v>82.982895380049428</c:v>
                </c:pt>
                <c:pt idx="52">
                  <c:v>82.390011897651675</c:v>
                </c:pt>
                <c:pt idx="53">
                  <c:v>81.764634808020645</c:v>
                </c:pt>
                <c:pt idx="54">
                  <c:v>81.110241471934216</c:v>
                </c:pt>
                <c:pt idx="55">
                  <c:v>80.430296737210057</c:v>
                </c:pt>
                <c:pt idx="56">
                  <c:v>79.732072188456101</c:v>
                </c:pt>
                <c:pt idx="57">
                  <c:v>79.023384607323862</c:v>
                </c:pt>
                <c:pt idx="58">
                  <c:v>78.315048934200632</c:v>
                </c:pt>
                <c:pt idx="59">
                  <c:v>77.618805625715879</c:v>
                </c:pt>
                <c:pt idx="60">
                  <c:v>76.949071047753264</c:v>
                </c:pt>
                <c:pt idx="61">
                  <c:v>76.321034108278823</c:v>
                </c:pt>
                <c:pt idx="62">
                  <c:v>75.750293648230524</c:v>
                </c:pt>
                <c:pt idx="63">
                  <c:v>75.252998472542288</c:v>
                </c:pt>
                <c:pt idx="64">
                  <c:v>74.843004114885701</c:v>
                </c:pt>
                <c:pt idx="65">
                  <c:v>74.532353260058827</c:v>
                </c:pt>
                <c:pt idx="66">
                  <c:v>74.329452461677562</c:v>
                </c:pt>
                <c:pt idx="67">
                  <c:v>74.238563823963005</c:v>
                </c:pt>
                <c:pt idx="68">
                  <c:v>74.259295248102276</c:v>
                </c:pt>
                <c:pt idx="69">
                  <c:v>74.386620435998708</c:v>
                </c:pt>
                <c:pt idx="70">
                  <c:v>74.61124402536538</c:v>
                </c:pt>
                <c:pt idx="71">
                  <c:v>74.920232735136679</c:v>
                </c:pt>
                <c:pt idx="72">
                  <c:v>75.298156255842045</c:v>
                </c:pt>
                <c:pt idx="73">
                  <c:v>75.727881856811905</c:v>
                </c:pt>
                <c:pt idx="74">
                  <c:v>76.191975558108481</c:v>
                </c:pt>
                <c:pt idx="75">
                  <c:v>76.673230900713321</c:v>
                </c:pt>
                <c:pt idx="76">
                  <c:v>77.155725274120343</c:v>
                </c:pt>
                <c:pt idx="77">
                  <c:v>77.624846166195482</c:v>
                </c:pt>
                <c:pt idx="78">
                  <c:v>78.067987074333729</c:v>
                </c:pt>
                <c:pt idx="79">
                  <c:v>78.474174770591134</c:v>
                </c:pt>
                <c:pt idx="80">
                  <c:v>78.835135824958812</c:v>
                </c:pt>
                <c:pt idx="81">
                  <c:v>79.142991915682657</c:v>
                </c:pt>
                <c:pt idx="82">
                  <c:v>79.391989736371045</c:v>
                </c:pt>
                <c:pt idx="83">
                  <c:v>79.577093643306156</c:v>
                </c:pt>
                <c:pt idx="84">
                  <c:v>79.694410128179697</c:v>
                </c:pt>
                <c:pt idx="85">
                  <c:v>79.740394031025602</c:v>
                </c:pt>
                <c:pt idx="86">
                  <c:v>79.711967549179022</c:v>
                </c:pt>
                <c:pt idx="87">
                  <c:v>79.606105388133059</c:v>
                </c:pt>
                <c:pt idx="88">
                  <c:v>79.419930111146556</c:v>
                </c:pt>
                <c:pt idx="89">
                  <c:v>79.150171756861411</c:v>
                </c:pt>
                <c:pt idx="90">
                  <c:v>78.793482405631991</c:v>
                </c:pt>
                <c:pt idx="91">
                  <c:v>78.346042393766012</c:v>
                </c:pt>
                <c:pt idx="92">
                  <c:v>77.803676511090117</c:v>
                </c:pt>
                <c:pt idx="93">
                  <c:v>77.161444606274131</c:v>
                </c:pt>
                <c:pt idx="94">
                  <c:v>76.984754898941475</c:v>
                </c:pt>
                <c:pt idx="95">
                  <c:v>76.893353628641663</c:v>
                </c:pt>
                <c:pt idx="96">
                  <c:v>76.801332481321793</c:v>
                </c:pt>
                <c:pt idx="97">
                  <c:v>76.706559087471504</c:v>
                </c:pt>
                <c:pt idx="98">
                  <c:v>76.61118152649378</c:v>
                </c:pt>
                <c:pt idx="99">
                  <c:v>76.512965113776573</c:v>
                </c:pt>
                <c:pt idx="100">
                  <c:v>76.414159870946605</c:v>
                </c:pt>
                <c:pt idx="101">
                  <c:v>76.312504423217035</c:v>
                </c:pt>
                <c:pt idx="102">
                  <c:v>76.2102760242703</c:v>
                </c:pt>
                <c:pt idx="103">
                  <c:v>76.105034054659001</c:v>
                </c:pt>
                <c:pt idx="104">
                  <c:v>75.999233871994051</c:v>
                </c:pt>
                <c:pt idx="105">
                  <c:v>75.890409123901179</c:v>
                </c:pt>
                <c:pt idx="106">
                  <c:v>75.781041496481635</c:v>
                </c:pt>
                <c:pt idx="107">
                  <c:v>75.66864015302906</c:v>
                </c:pt>
                <c:pt idx="108">
                  <c:v>75.555711773899887</c:v>
                </c:pt>
                <c:pt idx="109">
                  <c:v>75.439663080851304</c:v>
                </c:pt>
                <c:pt idx="110">
                  <c:v>75.323102944316531</c:v>
                </c:pt>
                <c:pt idx="111">
                  <c:v>75.203255637660561</c:v>
                </c:pt>
                <c:pt idx="112">
                  <c:v>75.08291164281097</c:v>
                </c:pt>
                <c:pt idx="113">
                  <c:v>74.95927241070558</c:v>
                </c:pt>
                <c:pt idx="114">
                  <c:v>74.835151820322821</c:v>
                </c:pt>
                <c:pt idx="115">
                  <c:v>74.707648579746717</c:v>
                </c:pt>
                <c:pt idx="116">
                  <c:v>74.579679228917442</c:v>
                </c:pt>
                <c:pt idx="117">
                  <c:v>74.448239752558109</c:v>
                </c:pt>
                <c:pt idx="118">
                  <c:v>74.316349381655442</c:v>
                </c:pt>
                <c:pt idx="119">
                  <c:v>74.180983674237595</c:v>
                </c:pt>
                <c:pt idx="120">
                  <c:v>74.045182819156977</c:v>
                </c:pt>
                <c:pt idx="121">
                  <c:v>73.905820348505884</c:v>
                </c:pt>
                <c:pt idx="122">
                  <c:v>73.766038453709257</c:v>
                </c:pt>
                <c:pt idx="123">
                  <c:v>73.622525581326627</c:v>
                </c:pt>
                <c:pt idx="124">
                  <c:v>73.478608573197562</c:v>
                </c:pt>
                <c:pt idx="125">
                  <c:v>73.330957447022541</c:v>
                </c:pt>
                <c:pt idx="126">
                  <c:v>73.182918045274278</c:v>
                </c:pt>
                <c:pt idx="127">
                  <c:v>73.031058968698176</c:v>
                </c:pt>
                <c:pt idx="128">
                  <c:v>72.878827582178133</c:v>
                </c:pt>
                <c:pt idx="129">
                  <c:v>72.722691370828457</c:v>
                </c:pt>
                <c:pt idx="130">
                  <c:v>72.566198960113667</c:v>
                </c:pt>
                <c:pt idx="131">
                  <c:v>72.40571706585034</c:v>
                </c:pt>
                <c:pt idx="132">
                  <c:v>72.325347658733051</c:v>
                </c:pt>
                <c:pt idx="133">
                  <c:v>72.244895265528712</c:v>
                </c:pt>
                <c:pt idx="134">
                  <c:v>72.162446429607016</c:v>
                </c:pt>
                <c:pt idx="135">
                  <c:v>72.079914681975978</c:v>
                </c:pt>
                <c:pt idx="136">
                  <c:v>71.997302014958649</c:v>
                </c:pt>
                <c:pt idx="137">
                  <c:v>71.914610378794734</c:v>
                </c:pt>
                <c:pt idx="138">
                  <c:v>71.82996163742645</c:v>
                </c:pt>
                <c:pt idx="139">
                  <c:v>71.745234296514738</c:v>
                </c:pt>
                <c:pt idx="140">
                  <c:v>71.660430312994066</c:v>
                </c:pt>
                <c:pt idx="141">
                  <c:v>71.575551602623392</c:v>
                </c:pt>
                <c:pt idx="142">
                  <c:v>71.488584679849865</c:v>
                </c:pt>
                <c:pt idx="143">
                  <c:v>71.401543379779142</c:v>
                </c:pt>
                <c:pt idx="144">
                  <c:v>71.314429630883936</c:v>
                </c:pt>
                <c:pt idx="145">
                  <c:v>71.227245321187567</c:v>
                </c:pt>
                <c:pt idx="146">
                  <c:v>71.137970360163763</c:v>
                </c:pt>
                <c:pt idx="147">
                  <c:v>71.048625405387682</c:v>
                </c:pt>
                <c:pt idx="148">
                  <c:v>70.959212354785151</c:v>
                </c:pt>
                <c:pt idx="149">
                  <c:v>70.869733066629351</c:v>
                </c:pt>
                <c:pt idx="150">
                  <c:v>70.778118238275511</c:v>
                </c:pt>
                <c:pt idx="151">
                  <c:v>70.686437886863345</c:v>
                </c:pt>
                <c:pt idx="152">
                  <c:v>70.594693880660756</c:v>
                </c:pt>
                <c:pt idx="153">
                  <c:v>70.502888049065376</c:v>
                </c:pt>
                <c:pt idx="154">
                  <c:v>70.408858907298495</c:v>
                </c:pt>
                <c:pt idx="155">
                  <c:v>70.314768753082731</c:v>
                </c:pt>
                <c:pt idx="156">
                  <c:v>70.220619428392922</c:v>
                </c:pt>
                <c:pt idx="157">
                  <c:v>70.126412737031345</c:v>
                </c:pt>
                <c:pt idx="158">
                  <c:v>70.029938487388804</c:v>
                </c:pt>
                <c:pt idx="159">
                  <c:v>69.933407853132309</c:v>
                </c:pt>
                <c:pt idx="160">
                  <c:v>69.836822650503848</c:v>
                </c:pt>
                <c:pt idx="161">
                  <c:v>69.740184658266045</c:v>
                </c:pt>
                <c:pt idx="162">
                  <c:v>69.641278790683273</c:v>
                </c:pt>
                <c:pt idx="163">
                  <c:v>69.542321335176567</c:v>
                </c:pt>
                <c:pt idx="164">
                  <c:v>69.443314080471751</c:v>
                </c:pt>
                <c:pt idx="165">
                  <c:v>69.344258778561866</c:v>
                </c:pt>
                <c:pt idx="166">
                  <c:v>69.242805327922298</c:v>
                </c:pt>
                <c:pt idx="167">
                  <c:v>69.141305125243647</c:v>
                </c:pt>
                <c:pt idx="168">
                  <c:v>69.039759937001946</c:v>
                </c:pt>
                <c:pt idx="169">
                  <c:v>68.938171493553583</c:v>
                </c:pt>
                <c:pt idx="170">
                  <c:v>68.834360145588974</c:v>
                </c:pt>
                <c:pt idx="171">
                  <c:v>68.73050720456456</c:v>
                </c:pt>
                <c:pt idx="172">
                  <c:v>68.626614404165991</c:v>
                </c:pt>
                <c:pt idx="173">
                  <c:v>68.522683442859986</c:v>
                </c:pt>
                <c:pt idx="174">
                  <c:v>68.416094499150375</c:v>
                </c:pt>
                <c:pt idx="175">
                  <c:v>68.309468952109853</c:v>
                </c:pt>
                <c:pt idx="176">
                  <c:v>68.202808522797881</c:v>
                </c:pt>
                <c:pt idx="177">
                  <c:v>68.096114897416413</c:v>
                </c:pt>
                <c:pt idx="178">
                  <c:v>67.986764955308203</c:v>
                </c:pt>
                <c:pt idx="179">
                  <c:v>67.87738364013353</c:v>
                </c:pt>
                <c:pt idx="180">
                  <c:v>67.767972657778273</c:v>
                </c:pt>
                <c:pt idx="181">
                  <c:v>67.658533679703368</c:v>
                </c:pt>
                <c:pt idx="182">
                  <c:v>67.54687877938612</c:v>
                </c:pt>
                <c:pt idx="183">
                  <c:v>67.435198159630815</c:v>
                </c:pt>
                <c:pt idx="184">
                  <c:v>67.323493489390032</c:v>
                </c:pt>
                <c:pt idx="185">
                  <c:v>67.211766404206116</c:v>
                </c:pt>
                <c:pt idx="186">
                  <c:v>67.0969506393253</c:v>
                </c:pt>
                <c:pt idx="187">
                  <c:v>66.982114607979071</c:v>
                </c:pt>
                <c:pt idx="188">
                  <c:v>66.867259979752006</c:v>
                </c:pt>
                <c:pt idx="189">
                  <c:v>66.752388390831527</c:v>
                </c:pt>
                <c:pt idx="190">
                  <c:v>66.635308806936109</c:v>
                </c:pt>
                <c:pt idx="191">
                  <c:v>66.518214937642313</c:v>
                </c:pt>
                <c:pt idx="192">
                  <c:v>66.401108413193455</c:v>
                </c:pt>
                <c:pt idx="193">
                  <c:v>66.283990831504411</c:v>
                </c:pt>
                <c:pt idx="194">
                  <c:v>66.16379289814482</c:v>
                </c:pt>
                <c:pt idx="195">
                  <c:v>66.043586629033214</c:v>
                </c:pt>
                <c:pt idx="196">
                  <c:v>65.923373650447687</c:v>
                </c:pt>
                <c:pt idx="197">
                  <c:v>65.803155556464617</c:v>
                </c:pt>
                <c:pt idx="198">
                  <c:v>65.680301290864222</c:v>
                </c:pt>
                <c:pt idx="199">
                  <c:v>65.557444949896535</c:v>
                </c:pt>
                <c:pt idx="200">
                  <c:v>65.434588135869589</c:v>
                </c:pt>
                <c:pt idx="201">
                  <c:v>65.311732419533641</c:v>
                </c:pt>
                <c:pt idx="202">
                  <c:v>65.186246814992316</c:v>
                </c:pt>
                <c:pt idx="203">
                  <c:v>65.060765571227691</c:v>
                </c:pt>
                <c:pt idx="204">
                  <c:v>64.935290265437501</c:v>
                </c:pt>
                <c:pt idx="205">
                  <c:v>64.809822443922172</c:v>
                </c:pt>
                <c:pt idx="206">
                  <c:v>64.68129307792131</c:v>
                </c:pt>
                <c:pt idx="207">
                  <c:v>64.552774756622867</c:v>
                </c:pt>
                <c:pt idx="208">
                  <c:v>64.424269046947558</c:v>
                </c:pt>
                <c:pt idx="209">
                  <c:v>64.295777485175932</c:v>
                </c:pt>
                <c:pt idx="210">
                  <c:v>64.163793936745463</c:v>
                </c:pt>
                <c:pt idx="211">
                  <c:v>64.031828510287824</c:v>
                </c:pt>
                <c:pt idx="212">
                  <c:v>63.899882775514698</c:v>
                </c:pt>
                <c:pt idx="213">
                  <c:v>63.767958271397063</c:v>
                </c:pt>
                <c:pt idx="214">
                  <c:v>63.633427477236651</c:v>
                </c:pt>
                <c:pt idx="215">
                  <c:v>63.498921908043457</c:v>
                </c:pt>
                <c:pt idx="216">
                  <c:v>63.364443102833889</c:v>
                </c:pt>
                <c:pt idx="217">
                  <c:v>63.229992570629761</c:v>
                </c:pt>
                <c:pt idx="218">
                  <c:v>63.092507180705056</c:v>
                </c:pt>
                <c:pt idx="219">
                  <c:v>62.955054468228226</c:v>
                </c:pt>
                <c:pt idx="220">
                  <c:v>62.817635955297121</c:v>
                </c:pt>
                <c:pt idx="221">
                  <c:v>62.680253134375391</c:v>
                </c:pt>
                <c:pt idx="222">
                  <c:v>62.539846057456671</c:v>
                </c:pt>
                <c:pt idx="223">
                  <c:v>62.399479344311928</c:v>
                </c:pt>
                <c:pt idx="224">
                  <c:v>62.25915449816037</c:v>
                </c:pt>
                <c:pt idx="225">
                  <c:v>62.118872992966104</c:v>
                </c:pt>
                <c:pt idx="226">
                  <c:v>61.975141862326652</c:v>
                </c:pt>
                <c:pt idx="227">
                  <c:v>61.831459304000319</c:v>
                </c:pt>
                <c:pt idx="228">
                  <c:v>61.687826813922499</c:v>
                </c:pt>
                <c:pt idx="229">
                  <c:v>61.544245858815927</c:v>
                </c:pt>
                <c:pt idx="230">
                  <c:v>61.250268250075024</c:v>
                </c:pt>
                <c:pt idx="231">
                  <c:v>61.103366575415109</c:v>
                </c:pt>
                <c:pt idx="232">
                  <c:v>60.956524938901893</c:v>
                </c:pt>
                <c:pt idx="233">
                  <c:v>60.806261131259291</c:v>
                </c:pt>
                <c:pt idx="234">
                  <c:v>60.65606324464845</c:v>
                </c:pt>
                <c:pt idx="235">
                  <c:v>60.505932751373905</c:v>
                </c:pt>
                <c:pt idx="236">
                  <c:v>60.355871094709059</c:v>
                </c:pt>
                <c:pt idx="237">
                  <c:v>60.202837122588861</c:v>
                </c:pt>
                <c:pt idx="238">
                  <c:v>60.049877754758597</c:v>
                </c:pt>
                <c:pt idx="239">
                  <c:v>59.896994435081595</c:v>
                </c:pt>
                <c:pt idx="240">
                  <c:v>59.744188578838219</c:v>
                </c:pt>
                <c:pt idx="241">
                  <c:v>59.587557667457901</c:v>
                </c:pt>
                <c:pt idx="242">
                  <c:v>59.431011157188124</c:v>
                </c:pt>
                <c:pt idx="243">
                  <c:v>59.274550485315856</c:v>
                </c:pt>
                <c:pt idx="244">
                  <c:v>59.118177060355563</c:v>
                </c:pt>
                <c:pt idx="245">
                  <c:v>58.958429901856533</c:v>
                </c:pt>
                <c:pt idx="246">
                  <c:v>58.798776786745492</c:v>
                </c:pt>
                <c:pt idx="247">
                  <c:v>58.639219130302806</c:v>
                </c:pt>
                <c:pt idx="248">
                  <c:v>58.479758319186715</c:v>
                </c:pt>
                <c:pt idx="249">
                  <c:v>58.316510057321892</c:v>
                </c:pt>
                <c:pt idx="250">
                  <c:v>58.153366279001901</c:v>
                </c:pt>
                <c:pt idx="251">
                  <c:v>57.990328385590473</c:v>
                </c:pt>
                <c:pt idx="252">
                  <c:v>57.82739774968185</c:v>
                </c:pt>
                <c:pt idx="253">
                  <c:v>57.661130929955732</c:v>
                </c:pt>
                <c:pt idx="254">
                  <c:v>57.494978759703102</c:v>
                </c:pt>
                <c:pt idx="255">
                  <c:v>57.328942611731861</c:v>
                </c:pt>
                <c:pt idx="256">
                  <c:v>57.163023830249529</c:v>
                </c:pt>
                <c:pt idx="257">
                  <c:v>56.992929980934619</c:v>
                </c:pt>
                <c:pt idx="258">
                  <c:v>56.822962434504831</c:v>
                </c:pt>
                <c:pt idx="259">
                  <c:v>56.653122552577344</c:v>
                </c:pt>
                <c:pt idx="260">
                  <c:v>56.483411667757593</c:v>
                </c:pt>
                <c:pt idx="261">
                  <c:v>56.309978504496115</c:v>
                </c:pt>
                <c:pt idx="262">
                  <c:v>56.136682997663925</c:v>
                </c:pt>
                <c:pt idx="263">
                  <c:v>55.963526482641527</c:v>
                </c:pt>
                <c:pt idx="264">
                  <c:v>55.790510265698586</c:v>
                </c:pt>
                <c:pt idx="265">
                  <c:v>55.613795583559281</c:v>
                </c:pt>
                <c:pt idx="266">
                  <c:v>55.43723017407288</c:v>
                </c:pt>
                <c:pt idx="267">
                  <c:v>55.260815342150948</c:v>
                </c:pt>
                <c:pt idx="268">
                  <c:v>55.084552363504315</c:v>
                </c:pt>
                <c:pt idx="269">
                  <c:v>54.90419052738396</c:v>
                </c:pt>
                <c:pt idx="270">
                  <c:v>54.723990586247268</c:v>
                </c:pt>
                <c:pt idx="271">
                  <c:v>54.54395381914982</c:v>
                </c:pt>
                <c:pt idx="272">
                  <c:v>54.364081475585778</c:v>
                </c:pt>
                <c:pt idx="273">
                  <c:v>54.180138419715988</c:v>
                </c:pt>
                <c:pt idx="274">
                  <c:v>53.996370191492005</c:v>
                </c:pt>
                <c:pt idx="275">
                  <c:v>53.812778038553816</c:v>
                </c:pt>
                <c:pt idx="276">
                  <c:v>53.629363178638982</c:v>
                </c:pt>
                <c:pt idx="277">
                  <c:v>53.442328864752682</c:v>
                </c:pt>
                <c:pt idx="278">
                  <c:v>53.255481744472064</c:v>
                </c:pt>
                <c:pt idx="279">
                  <c:v>53.068823020279225</c:v>
                </c:pt>
                <c:pt idx="280">
                  <c:v>52.882353864696469</c:v>
                </c:pt>
                <c:pt idx="281">
                  <c:v>52.691032167169283</c:v>
                </c:pt>
                <c:pt idx="282">
                  <c:v>52.499912860172401</c:v>
                </c:pt>
                <c:pt idx="283">
                  <c:v>52.308997119241766</c:v>
                </c:pt>
                <c:pt idx="284">
                  <c:v>52.118286089102057</c:v>
                </c:pt>
                <c:pt idx="285">
                  <c:v>51.924014732756291</c:v>
                </c:pt>
                <c:pt idx="286">
                  <c:v>51.729958574901559</c:v>
                </c:pt>
                <c:pt idx="287">
                  <c:v>51.53611873432834</c:v>
                </c:pt>
                <c:pt idx="288">
                  <c:v>51.342496298994377</c:v>
                </c:pt>
                <c:pt idx="289">
                  <c:v>51.144093407021927</c:v>
                </c:pt>
                <c:pt idx="290">
                  <c:v>50.945921533254477</c:v>
                </c:pt>
                <c:pt idx="291">
                  <c:v>50.747981754915145</c:v>
                </c:pt>
                <c:pt idx="292">
                  <c:v>50.550275117594651</c:v>
                </c:pt>
                <c:pt idx="293">
                  <c:v>50.348241972147747</c:v>
                </c:pt>
                <c:pt idx="294">
                  <c:v>50.146454983044976</c:v>
                </c:pt>
                <c:pt idx="295">
                  <c:v>49.944915171073461</c:v>
                </c:pt>
                <c:pt idx="296">
                  <c:v>49.743623524885834</c:v>
                </c:pt>
                <c:pt idx="297">
                  <c:v>49.538042884365183</c:v>
                </c:pt>
                <c:pt idx="298">
                  <c:v>49.332723737705379</c:v>
                </c:pt>
                <c:pt idx="299">
                  <c:v>49.127667041662704</c:v>
                </c:pt>
                <c:pt idx="300">
                  <c:v>48.922873720388424</c:v>
                </c:pt>
                <c:pt idx="301">
                  <c:v>48.713829945676792</c:v>
                </c:pt>
                <c:pt idx="302">
                  <c:v>48.505063159799107</c:v>
                </c:pt>
                <c:pt idx="303">
                  <c:v>48.296574247763317</c:v>
                </c:pt>
                <c:pt idx="304">
                  <c:v>48.088364061537845</c:v>
                </c:pt>
                <c:pt idx="305">
                  <c:v>47.875126482935002</c:v>
                </c:pt>
                <c:pt idx="306">
                  <c:v>47.662183760366872</c:v>
                </c:pt>
                <c:pt idx="307">
                  <c:v>47.449536708412268</c:v>
                </c:pt>
                <c:pt idx="308">
                  <c:v>47.23718610770203</c:v>
                </c:pt>
                <c:pt idx="309">
                  <c:v>47.020667349881961</c:v>
                </c:pt>
                <c:pt idx="310">
                  <c:v>46.804459208421036</c:v>
                </c:pt>
                <c:pt idx="311">
                  <c:v>46.588562408749027</c:v>
                </c:pt>
                <c:pt idx="312">
                  <c:v>46.372977642013154</c:v>
                </c:pt>
                <c:pt idx="313">
                  <c:v>46.152458938891158</c:v>
                </c:pt>
                <c:pt idx="314">
                  <c:v>45.932269036081493</c:v>
                </c:pt>
                <c:pt idx="315">
                  <c:v>45.712408568682093</c:v>
                </c:pt>
                <c:pt idx="316">
                  <c:v>45.492878136717735</c:v>
                </c:pt>
                <c:pt idx="317">
                  <c:v>45.268463296061043</c:v>
                </c:pt>
                <c:pt idx="318">
                  <c:v>45.044395556865624</c:v>
                </c:pt>
                <c:pt idx="319">
                  <c:v>44.820675452927844</c:v>
                </c:pt>
                <c:pt idx="320">
                  <c:v>44.59730348225537</c:v>
                </c:pt>
                <c:pt idx="321">
                  <c:v>44.369097668833632</c:v>
                </c:pt>
                <c:pt idx="322">
                  <c:v>44.141257312270994</c:v>
                </c:pt>
                <c:pt idx="323">
                  <c:v>43.913782834013517</c:v>
                </c:pt>
                <c:pt idx="324">
                  <c:v>43.686674619087455</c:v>
                </c:pt>
                <c:pt idx="325">
                  <c:v>43.454784061804276</c:v>
                </c:pt>
                <c:pt idx="326">
                  <c:v>43.223277306261593</c:v>
                </c:pt>
                <c:pt idx="327">
                  <c:v>42.992154650488771</c:v>
                </c:pt>
                <c:pt idx="328">
                  <c:v>42.761416355560215</c:v>
                </c:pt>
                <c:pt idx="329">
                  <c:v>42.525554621590118</c:v>
                </c:pt>
                <c:pt idx="330">
                  <c:v>42.290096303596101</c:v>
                </c:pt>
                <c:pt idx="331">
                  <c:v>42.055041565900638</c:v>
                </c:pt>
                <c:pt idx="332">
                  <c:v>41.820390535192132</c:v>
                </c:pt>
                <c:pt idx="333">
                  <c:v>41.581063948783395</c:v>
                </c:pt>
                <c:pt idx="334">
                  <c:v>41.342158932961382</c:v>
                </c:pt>
                <c:pt idx="335">
                  <c:v>41.103675505733776</c:v>
                </c:pt>
                <c:pt idx="336">
                  <c:v>40.865613647161467</c:v>
                </c:pt>
                <c:pt idx="337">
                  <c:v>40.622154073257491</c:v>
                </c:pt>
                <c:pt idx="338">
                  <c:v>40.3791368250848</c:v>
                </c:pt>
                <c:pt idx="339">
                  <c:v>40.136561762082295</c:v>
                </c:pt>
                <c:pt idx="340">
                  <c:v>39.894428705071306</c:v>
                </c:pt>
                <c:pt idx="341">
                  <c:v>39.646960758229284</c:v>
                </c:pt>
                <c:pt idx="342">
                  <c:v>39.399955718006652</c:v>
                </c:pt>
                <c:pt idx="343">
                  <c:v>39.15341327119333</c:v>
                </c:pt>
                <c:pt idx="344">
                  <c:v>38.907333065451212</c:v>
                </c:pt>
                <c:pt idx="345">
                  <c:v>38.656363689020054</c:v>
                </c:pt>
                <c:pt idx="346">
                  <c:v>38.40587606821839</c:v>
                </c:pt>
                <c:pt idx="347">
                  <c:v>38.155869705708085</c:v>
                </c:pt>
                <c:pt idx="348">
                  <c:v>37.906344064922479</c:v>
                </c:pt>
                <c:pt idx="349">
                  <c:v>37.651230283723976</c:v>
                </c:pt>
                <c:pt idx="350">
                  <c:v>37.396619697568383</c:v>
                </c:pt>
                <c:pt idx="351">
                  <c:v>37.142511606979809</c:v>
                </c:pt>
                <c:pt idx="352">
                  <c:v>36.888905272858892</c:v>
                </c:pt>
                <c:pt idx="353">
                  <c:v>36.629779698755641</c:v>
                </c:pt>
                <c:pt idx="354">
                  <c:v>36.371178367307806</c:v>
                </c:pt>
                <c:pt idx="355">
                  <c:v>36.113100361875127</c:v>
                </c:pt>
                <c:pt idx="356">
                  <c:v>35.855544726011459</c:v>
                </c:pt>
                <c:pt idx="357">
                  <c:v>35.592912319518234</c:v>
                </c:pt>
                <c:pt idx="358">
                  <c:v>35.330823166384874</c:v>
                </c:pt>
                <c:pt idx="359">
                  <c:v>35.069276123243213</c:v>
                </c:pt>
                <c:pt idx="360">
                  <c:v>34.808270007186735</c:v>
                </c:pt>
                <c:pt idx="361">
                  <c:v>34.541511650910365</c:v>
                </c:pt>
                <c:pt idx="362">
                  <c:v>34.27531806477802</c:v>
                </c:pt>
                <c:pt idx="363">
                  <c:v>34.009687855045627</c:v>
                </c:pt>
                <c:pt idx="364">
                  <c:v>33.744619588485563</c:v>
                </c:pt>
                <c:pt idx="365">
                  <c:v>33.474240196715101</c:v>
                </c:pt>
                <c:pt idx="366">
                  <c:v>33.204444850232193</c:v>
                </c:pt>
                <c:pt idx="367">
                  <c:v>32.935231896450176</c:v>
                </c:pt>
                <c:pt idx="368">
                  <c:v>32.666599643829159</c:v>
                </c:pt>
                <c:pt idx="369">
                  <c:v>32.391997950092588</c:v>
                </c:pt>
                <c:pt idx="370">
                  <c:v>32.118001993695799</c:v>
                </c:pt>
                <c:pt idx="371">
                  <c:v>31.844609835272962</c:v>
                </c:pt>
                <c:pt idx="372">
                  <c:v>31.571819496889731</c:v>
                </c:pt>
                <c:pt idx="373">
                  <c:v>31.29349893953642</c:v>
                </c:pt>
                <c:pt idx="374">
                  <c:v>31.015803344087232</c:v>
                </c:pt>
                <c:pt idx="375">
                  <c:v>30.738730477429812</c:v>
                </c:pt>
                <c:pt idx="376">
                  <c:v>30.462278068769251</c:v>
                </c:pt>
                <c:pt idx="377">
                  <c:v>30.179654123167069</c:v>
                </c:pt>
                <c:pt idx="378">
                  <c:v>29.89767664904619</c:v>
                </c:pt>
                <c:pt idx="379">
                  <c:v>29.616343087463321</c:v>
                </c:pt>
                <c:pt idx="380">
                  <c:v>29.335650842600757</c:v>
                </c:pt>
                <c:pt idx="381">
                  <c:v>29.049577814001651</c:v>
                </c:pt>
                <c:pt idx="382">
                  <c:v>28.764168411421338</c:v>
                </c:pt>
                <c:pt idx="383">
                  <c:v>28.479419755848113</c:v>
                </c:pt>
                <c:pt idx="384">
                  <c:v>28.195328932894427</c:v>
                </c:pt>
                <c:pt idx="385">
                  <c:v>27.90487684994315</c:v>
                </c:pt>
                <c:pt idx="386">
                  <c:v>27.615109303867342</c:v>
                </c:pt>
                <c:pt idx="387">
                  <c:v>27.326023049998639</c:v>
                </c:pt>
                <c:pt idx="388">
                  <c:v>27.037614809599091</c:v>
                </c:pt>
                <c:pt idx="389">
                  <c:v>26.743278608206509</c:v>
                </c:pt>
                <c:pt idx="390">
                  <c:v>26.449644887174145</c:v>
                </c:pt>
                <c:pt idx="391">
                  <c:v>26.156710033516703</c:v>
                </c:pt>
                <c:pt idx="392">
                  <c:v>25.864470402005509</c:v>
                </c:pt>
                <c:pt idx="393">
                  <c:v>25.566382457492637</c:v>
                </c:pt>
                <c:pt idx="394">
                  <c:v>25.269013508084583</c:v>
                </c:pt>
                <c:pt idx="395">
                  <c:v>24.972359560630736</c:v>
                </c:pt>
                <c:pt idx="396">
                  <c:v>24.676416591900619</c:v>
                </c:pt>
                <c:pt idx="397">
                  <c:v>24.374021724946459</c:v>
                </c:pt>
                <c:pt idx="398">
                  <c:v>24.07236414144532</c:v>
                </c:pt>
                <c:pt idx="399">
                  <c:v>23.771439427785197</c:v>
                </c:pt>
                <c:pt idx="400">
                  <c:v>23.471243142518915</c:v>
                </c:pt>
                <c:pt idx="401">
                  <c:v>23.165019040630483</c:v>
                </c:pt>
                <c:pt idx="402">
                  <c:v>22.859547147442868</c:v>
                </c:pt>
                <c:pt idx="403">
                  <c:v>22.554822631654417</c:v>
                </c:pt>
                <c:pt idx="404">
                  <c:v>22.250840636853212</c:v>
                </c:pt>
                <c:pt idx="405">
                  <c:v>21.940576147939339</c:v>
                </c:pt>
                <c:pt idx="406">
                  <c:v>21.631078639193305</c:v>
                </c:pt>
                <c:pt idx="407">
                  <c:v>21.322342835123408</c:v>
                </c:pt>
                <c:pt idx="408">
                  <c:v>21.014363438086463</c:v>
                </c:pt>
                <c:pt idx="409">
                  <c:v>20.699852923238069</c:v>
                </c:pt>
                <c:pt idx="410">
                  <c:v>20.386123842638568</c:v>
                </c:pt>
                <c:pt idx="411">
                  <c:v>20.07317044846215</c:v>
                </c:pt>
                <c:pt idx="412">
                  <c:v>19.760986973940817</c:v>
                </c:pt>
                <c:pt idx="413">
                  <c:v>19.442357235132505</c:v>
                </c:pt>
                <c:pt idx="414">
                  <c:v>19.124521257001931</c:v>
                </c:pt>
                <c:pt idx="415">
                  <c:v>18.807472808912962</c:v>
                </c:pt>
                <c:pt idx="416">
                  <c:v>18.491205644830643</c:v>
                </c:pt>
                <c:pt idx="417">
                  <c:v>18.168249812374853</c:v>
                </c:pt>
                <c:pt idx="418">
                  <c:v>17.846099424719341</c:v>
                </c:pt>
                <c:pt idx="419">
                  <c:v>17.524747739314392</c:v>
                </c:pt>
                <c:pt idx="420">
                  <c:v>17.20418800200892</c:v>
                </c:pt>
                <c:pt idx="421">
                  <c:v>16.877344772915308</c:v>
                </c:pt>
                <c:pt idx="422">
                  <c:v>16.55131463504631</c:v>
                </c:pt>
                <c:pt idx="423">
                  <c:v>16.226090346105934</c:v>
                </c:pt>
                <c:pt idx="424">
                  <c:v>15.901664656314125</c:v>
                </c:pt>
                <c:pt idx="425">
                  <c:v>15.570076779847852</c:v>
                </c:pt>
                <c:pt idx="426">
                  <c:v>15.239311859057011</c:v>
                </c:pt>
                <c:pt idx="427">
                  <c:v>14.909362078971213</c:v>
                </c:pt>
                <c:pt idx="428">
                  <c:v>14.580219621423225</c:v>
                </c:pt>
                <c:pt idx="429">
                  <c:v>14.244316166248041</c:v>
                </c:pt>
                <c:pt idx="430">
                  <c:v>13.909241128380671</c:v>
                </c:pt>
                <c:pt idx="431">
                  <c:v>13.574986133376854</c:v>
                </c:pt>
                <c:pt idx="432">
                  <c:v>13.241542808131754</c:v>
                </c:pt>
                <c:pt idx="433">
                  <c:v>12.901415858946933</c:v>
                </c:pt>
                <c:pt idx="434">
                  <c:v>12.56211987622487</c:v>
                </c:pt>
                <c:pt idx="435">
                  <c:v>12.223645919297297</c:v>
                </c:pt>
                <c:pt idx="436">
                  <c:v>11.885985053524138</c:v>
                </c:pt>
                <c:pt idx="437">
                  <c:v>11.541095614271768</c:v>
                </c:pt>
                <c:pt idx="438">
                  <c:v>11.197039622341265</c:v>
                </c:pt>
                <c:pt idx="439">
                  <c:v>10.853807513945043</c:v>
                </c:pt>
                <c:pt idx="440">
                  <c:v>10.511389736173101</c:v>
                </c:pt>
                <c:pt idx="441">
                  <c:v>10.161820409836594</c:v>
                </c:pt>
                <c:pt idx="442">
                  <c:v>9.8130836330618934</c:v>
                </c:pt>
                <c:pt idx="443">
                  <c:v>9.4651692103309699</c:v>
                </c:pt>
                <c:pt idx="444">
                  <c:v>9.1180669619230912</c:v>
                </c:pt>
                <c:pt idx="445">
                  <c:v>8.7638848374356257</c:v>
                </c:pt>
                <c:pt idx="446">
                  <c:v>8.4105308366974612</c:v>
                </c:pt>
                <c:pt idx="447">
                  <c:v>8.0579941247090687</c:v>
                </c:pt>
                <c:pt idx="448">
                  <c:v>7.7062638871609863</c:v>
                </c:pt>
                <c:pt idx="449">
                  <c:v>7.3469189927024559</c:v>
                </c:pt>
                <c:pt idx="450">
                  <c:v>6.9883968552089186</c:v>
                </c:pt>
                <c:pt idx="451">
                  <c:v>6.6306859351369667</c:v>
                </c:pt>
                <c:pt idx="452">
                  <c:v>6.2737747185817909</c:v>
                </c:pt>
                <c:pt idx="453">
                  <c:v>5.909614440533943</c:v>
                </c:pt>
                <c:pt idx="454">
                  <c:v>5.5462661438305929</c:v>
                </c:pt>
                <c:pt idx="455">
                  <c:v>5.1837176031864658</c:v>
                </c:pt>
                <c:pt idx="456">
                  <c:v>4.8219566236281253</c:v>
                </c:pt>
                <c:pt idx="457">
                  <c:v>4.4524135995295353</c:v>
                </c:pt>
                <c:pt idx="458">
                  <c:v>4.0836701947552854</c:v>
                </c:pt>
                <c:pt idx="459">
                  <c:v>3.7157134267172864</c:v>
                </c:pt>
                <c:pt idx="460">
                  <c:v>3.3485303477210664</c:v>
                </c:pt>
                <c:pt idx="461">
                  <c:v>2.9736227624804883</c:v>
                </c:pt>
                <c:pt idx="462">
                  <c:v>2.5994978413514502</c:v>
                </c:pt>
                <c:pt idx="463">
                  <c:v>2.2261418301052913</c:v>
                </c:pt>
                <c:pt idx="464">
                  <c:v>1.8535410135886821</c:v>
                </c:pt>
                <c:pt idx="465">
                  <c:v>1.4729750464503013</c:v>
                </c:pt>
                <c:pt idx="466">
                  <c:v>1.093171146380655</c:v>
                </c:pt>
                <c:pt idx="467">
                  <c:v>0.71411473848004903</c:v>
                </c:pt>
                <c:pt idx="468">
                  <c:v>0.33579129069602232</c:v>
                </c:pt>
                <c:pt idx="469">
                  <c:v>-5.045282755821745E-2</c:v>
                </c:pt>
                <c:pt idx="470">
                  <c:v>-0.43596065277000662</c:v>
                </c:pt>
                <c:pt idx="471">
                  <c:v>-0.8207476004262162</c:v>
                </c:pt>
                <c:pt idx="472">
                  <c:v>-1.2048290400734913</c:v>
                </c:pt>
                <c:pt idx="473">
                  <c:v>-1.5973675960726439</c:v>
                </c:pt>
                <c:pt idx="474">
                  <c:v>-1.989199009477062</c:v>
                </c:pt>
                <c:pt idx="475">
                  <c:v>-2.380339630457712</c:v>
                </c:pt>
                <c:pt idx="476">
                  <c:v>-2.7708057607131593</c:v>
                </c:pt>
                <c:pt idx="477">
                  <c:v>-3.1696976586682979</c:v>
                </c:pt>
                <c:pt idx="478">
                  <c:v>-3.5679176233705618</c:v>
                </c:pt>
                <c:pt idx="479">
                  <c:v>-3.9654829707525607</c:v>
                </c:pt>
                <c:pt idx="480">
                  <c:v>-4.3624109667575794</c:v>
                </c:pt>
                <c:pt idx="481">
                  <c:v>-4.7677443929680408</c:v>
                </c:pt>
                <c:pt idx="482">
                  <c:v>-5.1724474632191004</c:v>
                </c:pt>
                <c:pt idx="483">
                  <c:v>-5.5765384951415626</c:v>
                </c:pt>
                <c:pt idx="484">
                  <c:v>-5.9800357560740736</c:v>
                </c:pt>
                <c:pt idx="485">
                  <c:v>-6.3922101860693488</c:v>
                </c:pt>
                <c:pt idx="486">
                  <c:v>-6.8038017578766414</c:v>
                </c:pt>
                <c:pt idx="487">
                  <c:v>-7.214829872302488</c:v>
                </c:pt>
                <c:pt idx="488">
                  <c:v>-7.6253138808445726</c:v>
                </c:pt>
                <c:pt idx="489">
                  <c:v>-8.0450344230493727</c:v>
                </c:pt>
                <c:pt idx="490">
                  <c:v>-8.4642255240425754</c:v>
                </c:pt>
                <c:pt idx="491">
                  <c:v>-8.882907801614266</c:v>
                </c:pt>
                <c:pt idx="492">
                  <c:v>-9.3011018266409735</c:v>
                </c:pt>
                <c:pt idx="493">
                  <c:v>-9.7285437448721268</c:v>
                </c:pt>
                <c:pt idx="494">
                  <c:v>-10.155517859733521</c:v>
                </c:pt>
                <c:pt idx="495">
                  <c:v>-10.582046072295356</c:v>
                </c:pt>
                <c:pt idx="496">
                  <c:v>-11.008150241067</c:v>
                </c:pt>
                <c:pt idx="497">
                  <c:v>-11.443805486000002</c:v>
                </c:pt>
                <c:pt idx="498">
                  <c:v>-11.879062812104024</c:v>
                </c:pt>
                <c:pt idx="499">
                  <c:v>-12.313945525053924</c:v>
                </c:pt>
                <c:pt idx="500">
                  <c:v>-12.748476894452864</c:v>
                </c:pt>
                <c:pt idx="501">
                  <c:v>-13.192876730935723</c:v>
                </c:pt>
                <c:pt idx="502">
                  <c:v>-13.636957742758199</c:v>
                </c:pt>
                <c:pt idx="503">
                  <c:v>-14.080744779246373</c:v>
                </c:pt>
                <c:pt idx="504">
                  <c:v>-14.524262662629866</c:v>
                </c:pt>
                <c:pt idx="505">
                  <c:v>-14.977707911178754</c:v>
                </c:pt>
                <c:pt idx="506">
                  <c:v>-15.430923982048711</c:v>
                </c:pt>
                <c:pt idx="507">
                  <c:v>-15.883937379491499</c:v>
                </c:pt>
                <c:pt idx="508">
                  <c:v>-16.336774592543065</c:v>
                </c:pt>
                <c:pt idx="509">
                  <c:v>-16.799892397235993</c:v>
                </c:pt>
                <c:pt idx="510">
                  <c:v>-17.262881857875215</c:v>
                </c:pt>
                <c:pt idx="511">
                  <c:v>-17.72577131223386</c:v>
                </c:pt>
                <c:pt idx="512">
                  <c:v>-18.188589097946618</c:v>
                </c:pt>
                <c:pt idx="513">
                  <c:v>-18.662335982786857</c:v>
                </c:pt>
                <c:pt idx="514">
                  <c:v>-19.136067876674929</c:v>
                </c:pt>
                <c:pt idx="515">
                  <c:v>-19.60981520839394</c:v>
                </c:pt>
                <c:pt idx="516">
                  <c:v>-20.083608425314083</c:v>
                </c:pt>
                <c:pt idx="517">
                  <c:v>-20.568454701191968</c:v>
                </c:pt>
                <c:pt idx="518">
                  <c:v>-21.053413578908902</c:v>
                </c:pt>
                <c:pt idx="519">
                  <c:v>-21.538517762333129</c:v>
                </c:pt>
                <c:pt idx="520">
                  <c:v>-22.023799996656862</c:v>
                </c:pt>
                <c:pt idx="521">
                  <c:v>-22.520560817365066</c:v>
                </c:pt>
                <c:pt idx="522">
                  <c:v>-23.017577562890892</c:v>
                </c:pt>
                <c:pt idx="523">
                  <c:v>-23.514885479842775</c:v>
                </c:pt>
                <c:pt idx="524">
                  <c:v>-24.012519883250775</c:v>
                </c:pt>
                <c:pt idx="525">
                  <c:v>-24.522089244923734</c:v>
                </c:pt>
                <c:pt idx="526">
                  <c:v>-25.032075490524619</c:v>
                </c:pt>
                <c:pt idx="527">
                  <c:v>-25.542516713790775</c:v>
                </c:pt>
                <c:pt idx="528">
                  <c:v>-26.053451108599972</c:v>
                </c:pt>
                <c:pt idx="529">
                  <c:v>-26.576811728661681</c:v>
                </c:pt>
                <c:pt idx="530">
                  <c:v>-27.100769969623173</c:v>
                </c:pt>
                <c:pt idx="531">
                  <c:v>-27.62536711675574</c:v>
                </c:pt>
                <c:pt idx="532">
                  <c:v>-28.150644591890483</c:v>
                </c:pt>
                <c:pt idx="533">
                  <c:v>-28.689157033262546</c:v>
                </c:pt>
                <c:pt idx="534">
                  <c:v>-29.228470859815388</c:v>
                </c:pt>
                <c:pt idx="535">
                  <c:v>-29.768631004970189</c:v>
                </c:pt>
                <c:pt idx="536">
                  <c:v>-30.309682579967699</c:v>
                </c:pt>
                <c:pt idx="537">
                  <c:v>-30.863987315098939</c:v>
                </c:pt>
                <c:pt idx="538">
                  <c:v>-31.419320451597713</c:v>
                </c:pt>
                <c:pt idx="539">
                  <c:v>-31.975730862772082</c:v>
                </c:pt>
                <c:pt idx="540">
                  <c:v>-32.533267644016263</c:v>
                </c:pt>
                <c:pt idx="541">
                  <c:v>-33.105243778816202</c:v>
                </c:pt>
                <c:pt idx="542">
                  <c:v>-33.67850519990543</c:v>
                </c:pt>
                <c:pt idx="543">
                  <c:v>-34.253105341809004</c:v>
                </c:pt>
                <c:pt idx="544">
                  <c:v>-34.829097908513575</c:v>
                </c:pt>
                <c:pt idx="545">
                  <c:v>-35.419930318080077</c:v>
                </c:pt>
                <c:pt idx="546">
                  <c:v>-36.01233503863773</c:v>
                </c:pt>
                <c:pt idx="547">
                  <c:v>-36.606370502496105</c:v>
                </c:pt>
                <c:pt idx="548">
                  <c:v>-37.202095457827795</c:v>
                </c:pt>
                <c:pt idx="549">
                  <c:v>-37.813404543861026</c:v>
                </c:pt>
                <c:pt idx="550">
                  <c:v>-38.426607592989825</c:v>
                </c:pt>
                <c:pt idx="551">
                  <c:v>-39.041768570535936</c:v>
                </c:pt>
                <c:pt idx="552">
                  <c:v>-39.658951798992575</c:v>
                </c:pt>
                <c:pt idx="553">
                  <c:v>-40.2928255510231</c:v>
                </c:pt>
                <c:pt idx="554">
                  <c:v>-40.928955390632382</c:v>
                </c:pt>
                <c:pt idx="555">
                  <c:v>-41.567411451670466</c:v>
                </c:pt>
                <c:pt idx="556">
                  <c:v>-42.208264254824485</c:v>
                </c:pt>
                <c:pt idx="557">
                  <c:v>-43.527810138935166</c:v>
                </c:pt>
                <c:pt idx="558">
                  <c:v>-44.858308505907701</c:v>
                </c:pt>
                <c:pt idx="559">
                  <c:v>-46.231281214520976</c:v>
                </c:pt>
                <c:pt idx="560">
                  <c:v>-47.617031274100611</c:v>
                </c:pt>
                <c:pt idx="561">
                  <c:v>-49.049599627388886</c:v>
                </c:pt>
                <c:pt idx="562">
                  <c:v>-50.49699522121341</c:v>
                </c:pt>
                <c:pt idx="563">
                  <c:v>-51.991521235275485</c:v>
                </c:pt>
                <c:pt idx="564">
                  <c:v>-53.503067126801227</c:v>
                </c:pt>
                <c:pt idx="565">
                  <c:v>-55.071210089686929</c:v>
                </c:pt>
                <c:pt idx="566">
                  <c:v>-56.658911581433614</c:v>
                </c:pt>
                <c:pt idx="567">
                  <c:v>-58.306818696753368</c:v>
                </c:pt>
                <c:pt idx="568">
                  <c:v>-59.977033235683507</c:v>
                </c:pt>
                <c:pt idx="569">
                  <c:v>-61.704545357801408</c:v>
                </c:pt>
                <c:pt idx="570">
                  <c:v>-63.45709369274681</c:v>
                </c:pt>
                <c:pt idx="571">
                  <c:v>-65.284756972696101</c:v>
                </c:pt>
                <c:pt idx="572">
                  <c:v>-67.140702750138047</c:v>
                </c:pt>
                <c:pt idx="573">
                  <c:v>-69.062064609124945</c:v>
                </c:pt>
                <c:pt idx="574">
                  <c:v>-71.014556551847619</c:v>
                </c:pt>
                <c:pt idx="575">
                  <c:v>-73.051415310768704</c:v>
                </c:pt>
                <c:pt idx="576">
                  <c:v>-75.122609660646049</c:v>
                </c:pt>
                <c:pt idx="577">
                  <c:v>-84.282881553047389</c:v>
                </c:pt>
                <c:pt idx="578">
                  <c:v>-94.078044446729166</c:v>
                </c:pt>
                <c:pt idx="579">
                  <c:v>-117.34030234394788</c:v>
                </c:pt>
                <c:pt idx="580">
                  <c:v>36.513235663124135</c:v>
                </c:pt>
                <c:pt idx="581">
                  <c:v>10.865040909583513</c:v>
                </c:pt>
                <c:pt idx="582">
                  <c:v>-12.16898265274753</c:v>
                </c:pt>
                <c:pt idx="583">
                  <c:v>-33.052388685006463</c:v>
                </c:pt>
                <c:pt idx="584">
                  <c:v>-53.837368684679348</c:v>
                </c:pt>
                <c:pt idx="585">
                  <c:v>-77.858472002983092</c:v>
                </c:pt>
                <c:pt idx="586">
                  <c:v>-110.98910075310454</c:v>
                </c:pt>
                <c:pt idx="587">
                  <c:v>22.414284043316769</c:v>
                </c:pt>
                <c:pt idx="588">
                  <c:v>-22.694883578287573</c:v>
                </c:pt>
                <c:pt idx="589">
                  <c:v>-57.33496445385893</c:v>
                </c:pt>
                <c:pt idx="590">
                  <c:v>-92.256577040790319</c:v>
                </c:pt>
                <c:pt idx="591">
                  <c:v>-146.82657601204329</c:v>
                </c:pt>
                <c:pt idx="592">
                  <c:v>-33.591181286438456</c:v>
                </c:pt>
                <c:pt idx="593">
                  <c:v>-80.138559884848917</c:v>
                </c:pt>
                <c:pt idx="594">
                  <c:v>-139.64946928245581</c:v>
                </c:pt>
                <c:pt idx="595">
                  <c:v>-45.322215584279519</c:v>
                </c:pt>
                <c:pt idx="596">
                  <c:v>-103.96621487447169</c:v>
                </c:pt>
                <c:pt idx="597">
                  <c:v>-22.615230130571376</c:v>
                </c:pt>
                <c:pt idx="598">
                  <c:v>-99.180973731662107</c:v>
                </c:pt>
                <c:pt idx="599">
                  <c:v>-33.079445685873623</c:v>
                </c:pt>
                <c:pt idx="600">
                  <c:v>-122.64449567119402</c:v>
                </c:pt>
              </c:numCache>
            </c:numRef>
          </c:yVal>
          <c:smooth val="0"/>
          <c:extLst>
            <c:ext xmlns:c16="http://schemas.microsoft.com/office/drawing/2014/chart" uri="{C3380CC4-5D6E-409C-BE32-E72D297353CC}">
              <c16:uniqueId val="{00000001-09BC-4E96-93F9-6DC345568360}"/>
            </c:ext>
          </c:extLst>
        </c:ser>
        <c:ser>
          <c:idx val="2"/>
          <c:order val="2"/>
          <c:tx>
            <c:v>PM (Deg) =</c:v>
          </c:tx>
          <c:marker>
            <c:symbol val="circle"/>
            <c:size val="5"/>
            <c:spPr>
              <a:solidFill>
                <a:schemeClr val="bg1"/>
              </a:solidFill>
              <a:ln>
                <a:solidFill>
                  <a:srgbClr val="FF0000"/>
                </a:solidFill>
              </a:ln>
            </c:spPr>
          </c:marker>
          <c:dLbls>
            <c:dLbl>
              <c:idx val="0"/>
              <c:layout>
                <c:manualLayout>
                  <c:x val="3.2895277882859918E-2"/>
                  <c:y val="-5.3973971795837287E-2"/>
                </c:manualLayout>
              </c:layout>
              <c:spPr>
                <a:noFill/>
                <a:ln>
                  <a:noFill/>
                </a:ln>
                <a:effectLst/>
              </c:spPr>
              <c:txPr>
                <a:bodyPr wrap="square" lIns="38100" tIns="19050" rIns="38100" bIns="19050" anchor="ctr" anchorCtr="0">
                  <a:noAutofit/>
                </a:bodyPr>
                <a:lstStyle/>
                <a:p>
                  <a:pPr algn="l">
                    <a:defRPr sz="1000" b="1">
                      <a:solidFill>
                        <a:srgbClr val="33CC33"/>
                      </a:solidFill>
                    </a:defRPr>
                  </a:pPr>
                  <a:endParaRPr lang="zh-CN"/>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23551374200233557"/>
                      <c:h val="7.5563560514172207E-2"/>
                    </c:manualLayout>
                  </c15:layout>
                </c:ext>
                <c:ext xmlns:c16="http://schemas.microsoft.com/office/drawing/2014/chart" uri="{C3380CC4-5D6E-409C-BE32-E72D297353CC}">
                  <c16:uniqueId val="{00000006-09BC-4E96-93F9-6DC345568360}"/>
                </c:ext>
              </c:extLst>
            </c:dLbl>
            <c:spPr>
              <a:noFill/>
              <a:ln>
                <a:noFill/>
              </a:ln>
              <a:effectLst/>
            </c:spPr>
            <c:txPr>
              <a:bodyPr wrap="square" lIns="38100" tIns="19050" rIns="38100" bIns="19050" anchor="ctr" anchorCtr="0">
                <a:spAutoFit/>
              </a:bodyPr>
              <a:lstStyle/>
              <a:p>
                <a:pPr algn="l">
                  <a:defRPr sz="1000" b="0">
                    <a:solidFill>
                      <a:srgbClr val="33CC33"/>
                    </a:solidFill>
                  </a:defRPr>
                </a:pPr>
                <a:endParaRPr lang="zh-CN"/>
              </a:p>
            </c:txPr>
            <c:dLblPos val="r"/>
            <c:showLegendKey val="0"/>
            <c:showVal val="1"/>
            <c:showCatName val="1"/>
            <c:showSerName val="0"/>
            <c:showPercent val="0"/>
            <c:showBubbleSize val="0"/>
            <c:separator>  (space) "deg"</c:separator>
            <c:showLeaderLines val="0"/>
            <c:extLst>
              <c:ext xmlns:c15="http://schemas.microsoft.com/office/drawing/2012/chart" uri="{CE6537A1-D6FC-4f65-9D91-7224C49458BB}">
                <c15:showLeaderLines val="1"/>
              </c:ext>
            </c:extLst>
          </c:dLbls>
          <c:xVal>
            <c:numRef>
              <c:f>'Stability Calculations'!$AL$7</c:f>
              <c:numCache>
                <c:formatCode>0</c:formatCode>
                <c:ptCount val="1"/>
                <c:pt idx="0">
                  <c:v>4365.2</c:v>
                </c:pt>
              </c:numCache>
            </c:numRef>
          </c:xVal>
          <c:yVal>
            <c:numRef>
              <c:f>'Stability Calculations'!$AL$9</c:f>
              <c:numCache>
                <c:formatCode>0.0</c:formatCode>
                <c:ptCount val="1"/>
                <c:pt idx="0">
                  <c:v>78.346042393766012</c:v>
                </c:pt>
              </c:numCache>
            </c:numRef>
          </c:yVal>
          <c:smooth val="0"/>
          <c:extLst>
            <c:ext xmlns:c16="http://schemas.microsoft.com/office/drawing/2014/chart" uri="{C3380CC4-5D6E-409C-BE32-E72D297353CC}">
              <c16:uniqueId val="{00000004-09BC-4E96-93F9-6DC345568360}"/>
            </c:ext>
          </c:extLst>
        </c:ser>
        <c:ser>
          <c:idx val="3"/>
          <c:order val="3"/>
          <c:tx>
            <c:v>Fco (Hz)=</c:v>
          </c:tx>
          <c:marker>
            <c:symbol val="none"/>
          </c:marker>
          <c:dPt>
            <c:idx val="0"/>
            <c:marker>
              <c:symbol val="circle"/>
              <c:size val="5"/>
              <c:spPr>
                <a:solidFill>
                  <a:schemeClr val="bg1"/>
                </a:solidFill>
                <a:ln>
                  <a:solidFill>
                    <a:schemeClr val="tx1"/>
                  </a:solidFill>
                </a:ln>
              </c:spPr>
            </c:marker>
            <c:bubble3D val="0"/>
            <c:extLst>
              <c:ext xmlns:c16="http://schemas.microsoft.com/office/drawing/2014/chart" uri="{C3380CC4-5D6E-409C-BE32-E72D297353CC}">
                <c16:uniqueId val="{00000008-09BC-4E96-93F9-6DC345568360}"/>
              </c:ext>
            </c:extLst>
          </c:dPt>
          <c:dLbls>
            <c:dLbl>
              <c:idx val="0"/>
              <c:layout>
                <c:manualLayout>
                  <c:x val="3.6176644338231929E-2"/>
                  <c:y val="-5.1275211005060661E-2"/>
                </c:manualLayout>
              </c:layout>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24163848119031853"/>
                      <c:h val="7.3223374089614143E-2"/>
                    </c:manualLayout>
                  </c15:layout>
                </c:ext>
                <c:ext xmlns:c16="http://schemas.microsoft.com/office/drawing/2014/chart" uri="{C3380CC4-5D6E-409C-BE32-E72D297353CC}">
                  <c16:uniqueId val="{00000008-09BC-4E96-93F9-6DC345568360}"/>
                </c:ext>
              </c:extLst>
            </c:dLbl>
            <c:spPr>
              <a:noFill/>
              <a:ln>
                <a:noFill/>
              </a:ln>
              <a:effectLst/>
            </c:spPr>
            <c:txPr>
              <a:bodyPr wrap="square" lIns="38100" tIns="19050" rIns="38100" bIns="19050" anchor="ctr" anchorCtr="0">
                <a:spAutoFit/>
              </a:bodyPr>
              <a:lstStyle/>
              <a:p>
                <a:pPr algn="l">
                  <a:defRPr sz="1000" b="1">
                    <a:solidFill>
                      <a:srgbClr val="33CC33"/>
                    </a:solidFill>
                  </a:defRPr>
                </a:pPr>
                <a:endParaRPr lang="zh-CN"/>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xVal>
            <c:numRef>
              <c:f>'Stability Calculations'!$AL$7</c:f>
              <c:numCache>
                <c:formatCode>0</c:formatCode>
                <c:ptCount val="1"/>
                <c:pt idx="0">
                  <c:v>4365.2</c:v>
                </c:pt>
              </c:numCache>
            </c:numRef>
          </c:xVal>
          <c:yVal>
            <c:numRef>
              <c:f>'Stability Calculations'!$AL$8</c:f>
              <c:numCache>
                <c:formatCode>General</c:formatCode>
                <c:ptCount val="1"/>
                <c:pt idx="0">
                  <c:v>0</c:v>
                </c:pt>
              </c:numCache>
            </c:numRef>
          </c:yVal>
          <c:smooth val="0"/>
          <c:extLst>
            <c:ext xmlns:c16="http://schemas.microsoft.com/office/drawing/2014/chart" uri="{C3380CC4-5D6E-409C-BE32-E72D297353CC}">
              <c16:uniqueId val="{00000007-09BC-4E96-93F9-6DC345568360}"/>
            </c:ext>
          </c:extLst>
        </c:ser>
        <c:dLbls>
          <c:dLblPos val="r"/>
          <c:showLegendKey val="0"/>
          <c:showVal val="1"/>
          <c:showCatName val="1"/>
          <c:showSerName val="0"/>
          <c:showPercent val="0"/>
          <c:showBubbleSize val="0"/>
        </c:dLbls>
        <c:axId val="446584704"/>
        <c:axId val="446586240"/>
      </c:scatterChart>
      <c:valAx>
        <c:axId val="446572416"/>
        <c:scaling>
          <c:logBase val="10"/>
          <c:orientation val="minMax"/>
          <c:max val="1000000"/>
          <c:min val="100"/>
        </c:scaling>
        <c:delete val="0"/>
        <c:axPos val="b"/>
        <c:majorGridlines>
          <c:spPr>
            <a:ln w="3175">
              <a:solidFill>
                <a:srgbClr val="000000"/>
              </a:solidFill>
              <a:prstDash val="solid"/>
            </a:ln>
          </c:spPr>
        </c:majorGridlines>
        <c:title>
          <c:tx>
            <c:rich>
              <a:bodyPr/>
              <a:lstStyle/>
              <a:p>
                <a:pPr>
                  <a:defRPr sz="1000" b="1"/>
                </a:pPr>
                <a:r>
                  <a:rPr lang="en-US" sz="1000" b="1"/>
                  <a:t>Frequency (Hz)</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zh-CN"/>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sz="1000" b="1">
                    <a:solidFill>
                      <a:srgbClr val="FF0000"/>
                    </a:solidFill>
                  </a:defRPr>
                </a:pPr>
                <a:r>
                  <a:rPr lang="en-US" sz="1000" b="1">
                    <a:solidFill>
                      <a:srgbClr val="FF0000"/>
                    </a:solidFill>
                  </a:rPr>
                  <a:t>Gain (dB)</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zh-CN"/>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000" b="1" i="0" u="none" strike="noStrike" baseline="0">
                    <a:solidFill>
                      <a:srgbClr val="0000FF"/>
                    </a:solidFill>
                    <a:latin typeface="Arial"/>
                    <a:ea typeface="Arial"/>
                    <a:cs typeface="Arial"/>
                  </a:defRPr>
                </a:pPr>
                <a:r>
                  <a:rPr lang="en-US" sz="1000"/>
                  <a:t>Phase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zh-CN"/>
          </a:p>
        </c:txPr>
        <c:crossAx val="446584704"/>
        <c:crosses val="max"/>
        <c:crossBetween val="midCat"/>
        <c:majorUnit val="30"/>
      </c:valAx>
      <c:spPr>
        <a:noFill/>
        <a:ln w="25400">
          <a:noFill/>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zh-CN"/>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Single'!$AN$110:$AN$210</c:f>
              <c:numCache>
                <c:formatCode>0.0</c:formatCode>
                <c:ptCount val="101"/>
                <c:pt idx="0">
                  <c:v>12</c:v>
                </c:pt>
                <c:pt idx="1">
                  <c:v>12</c:v>
                </c:pt>
                <c:pt idx="2">
                  <c:v>21.657735026918967</c:v>
                </c:pt>
                <c:pt idx="3">
                  <c:v>32.486602540378442</c:v>
                </c:pt>
                <c:pt idx="4">
                  <c:v>43.315470053837934</c:v>
                </c:pt>
                <c:pt idx="5">
                  <c:v>54.144337567297406</c:v>
                </c:pt>
                <c:pt idx="6">
                  <c:v>64.973205080756884</c:v>
                </c:pt>
                <c:pt idx="7">
                  <c:v>75.802072594216384</c:v>
                </c:pt>
                <c:pt idx="8">
                  <c:v>86.630940107675869</c:v>
                </c:pt>
                <c:pt idx="9">
                  <c:v>97.459807621135354</c:v>
                </c:pt>
                <c:pt idx="10">
                  <c:v>108.28867513459481</c:v>
                </c:pt>
                <c:pt idx="11">
                  <c:v>119.11754264805431</c:v>
                </c:pt>
                <c:pt idx="12">
                  <c:v>129.94641016151377</c:v>
                </c:pt>
                <c:pt idx="13">
                  <c:v>140.77527767497327</c:v>
                </c:pt>
                <c:pt idx="14">
                  <c:v>151.60414518843277</c:v>
                </c:pt>
                <c:pt idx="15">
                  <c:v>162.43301270189224</c:v>
                </c:pt>
                <c:pt idx="16">
                  <c:v>173.26188021535174</c:v>
                </c:pt>
                <c:pt idx="17">
                  <c:v>184.09074772881124</c:v>
                </c:pt>
                <c:pt idx="18">
                  <c:v>194.91961524227071</c:v>
                </c:pt>
                <c:pt idx="19">
                  <c:v>205.74848275573015</c:v>
                </c:pt>
                <c:pt idx="20">
                  <c:v>216.57735026918962</c:v>
                </c:pt>
                <c:pt idx="21">
                  <c:v>227.40621778264912</c:v>
                </c:pt>
                <c:pt idx="22">
                  <c:v>238.23508529610862</c:v>
                </c:pt>
                <c:pt idx="23">
                  <c:v>249.06395280956812</c:v>
                </c:pt>
                <c:pt idx="24">
                  <c:v>259.89282032302754</c:v>
                </c:pt>
                <c:pt idx="25">
                  <c:v>270.72168783648709</c:v>
                </c:pt>
                <c:pt idx="26">
                  <c:v>266.32104640833802</c:v>
                </c:pt>
                <c:pt idx="27">
                  <c:v>256.94188251338028</c:v>
                </c:pt>
                <c:pt idx="28">
                  <c:v>248.21614926300737</c:v>
                </c:pt>
                <c:pt idx="29">
                  <c:v>240.05646781900637</c:v>
                </c:pt>
                <c:pt idx="30">
                  <c:v>232.4145188813462</c:v>
                </c:pt>
                <c:pt idx="31">
                  <c:v>225.24334470133701</c:v>
                </c:pt>
                <c:pt idx="32">
                  <c:v>218.50074219239383</c:v>
                </c:pt>
                <c:pt idx="33">
                  <c:v>212.14940635533671</c:v>
                </c:pt>
                <c:pt idx="34">
                  <c:v>206.15623972516318</c:v>
                </c:pt>
                <c:pt idx="35">
                  <c:v>200.49177544252433</c:v>
                </c:pt>
                <c:pt idx="36">
                  <c:v>195.12969272011813</c:v>
                </c:pt>
                <c:pt idx="37">
                  <c:v>190.04640788961703</c:v>
                </c:pt>
                <c:pt idx="38">
                  <c:v>185.22072762321724</c:v>
                </c:pt>
                <c:pt idx="39">
                  <c:v>180.63355357426994</c:v>
                </c:pt>
                <c:pt idx="40">
                  <c:v>176.26762975656624</c:v>
                </c:pt>
                <c:pt idx="41">
                  <c:v>172.10732561715793</c:v>
                </c:pt>
                <c:pt idx="42">
                  <c:v>168.13844905429585</c:v>
                </c:pt>
                <c:pt idx="43">
                  <c:v>164.34808466630415</c:v>
                </c:pt>
                <c:pt idx="44">
                  <c:v>160.72445334671616</c:v>
                </c:pt>
                <c:pt idx="45">
                  <c:v>157.25679000983229</c:v>
                </c:pt>
                <c:pt idx="46">
                  <c:v>153.93523677287564</c:v>
                </c:pt>
                <c:pt idx="47">
                  <c:v>150.75074936228222</c:v>
                </c:pt>
                <c:pt idx="48">
                  <c:v>147.6950148727218</c:v>
                </c:pt>
                <c:pt idx="49">
                  <c:v>144.76037930411007</c:v>
                </c:pt>
                <c:pt idx="50">
                  <c:v>141.93978354666044</c:v>
                </c:pt>
                <c:pt idx="51">
                  <c:v>139.22670668681673</c:v>
                </c:pt>
                <c:pt idx="52">
                  <c:v>136.61511567556715</c:v>
                </c:pt>
                <c:pt idx="53">
                  <c:v>134.09942054142772</c:v>
                </c:pt>
                <c:pt idx="54">
                  <c:v>131.67443444832335</c:v>
                </c:pt>
                <c:pt idx="55">
                  <c:v>129.3353379977448</c:v>
                </c:pt>
                <c:pt idx="56">
                  <c:v>127.07764725816767</c:v>
                </c:pt>
                <c:pt idx="57">
                  <c:v>124.89718507547283</c:v>
                </c:pt>
                <c:pt idx="58">
                  <c:v>122.79005527813774</c:v>
                </c:pt>
                <c:pt idx="59">
                  <c:v>120.75261944207398</c:v>
                </c:pt>
                <c:pt idx="60">
                  <c:v>118.78147592360217</c:v>
                </c:pt>
                <c:pt idx="61">
                  <c:v>116.87344090639112</c:v>
                </c:pt>
                <c:pt idx="62">
                  <c:v>115.02553124022573</c:v>
                </c:pt>
                <c:pt idx="63">
                  <c:v>113.23494887703711</c:v>
                </c:pt>
                <c:pt idx="64">
                  <c:v>111.49906673340296</c:v>
                </c:pt>
                <c:pt idx="65">
                  <c:v>109.81541582928403</c:v>
                </c:pt>
                <c:pt idx="66">
                  <c:v>108.18167357057872</c:v>
                </c:pt>
                <c:pt idx="67">
                  <c:v>106.59565305854807</c:v>
                </c:pt>
                <c:pt idx="68">
                  <c:v>105.05529332263369</c:v>
                </c:pt>
                <c:pt idx="69">
                  <c:v>103.5586503849393</c:v>
                </c:pt>
                <c:pt idx="70">
                  <c:v>102.103889074913</c:v>
                </c:pt>
                <c:pt idx="71">
                  <c:v>100.68927552176329</c:v>
                </c:pt>
                <c:pt idx="72">
                  <c:v>99.313170260031427</c:v>
                </c:pt>
                <c:pt idx="73">
                  <c:v>97.97402189068039</c:v>
                </c:pt>
                <c:pt idx="74">
                  <c:v>96.670361246173485</c:v>
                </c:pt>
                <c:pt idx="75">
                  <c:v>95.400796013402598</c:v>
                </c:pt>
                <c:pt idx="76">
                  <c:v>94.164005773094516</c:v>
                </c:pt>
                <c:pt idx="77">
                  <c:v>92.958737418540764</c:v>
                </c:pt>
                <c:pt idx="78">
                  <c:v>91.783800920235223</c:v>
                </c:pt>
                <c:pt idx="79">
                  <c:v>90.63806540632936</c:v>
                </c:pt>
                <c:pt idx="80">
                  <c:v>89.52045553176643</c:v>
                </c:pt>
                <c:pt idx="81">
                  <c:v>88.429948111591244</c:v>
                </c:pt>
                <c:pt idx="82">
                  <c:v>87.365568996279109</c:v>
                </c:pt>
                <c:pt idx="83">
                  <c:v>86.326390169027135</c:v>
                </c:pt>
                <c:pt idx="84">
                  <c:v>85.311527046827933</c:v>
                </c:pt>
                <c:pt idx="85">
                  <c:v>84.320135968827898</c:v>
                </c:pt>
                <c:pt idx="86">
                  <c:v>83.351411856981272</c:v>
                </c:pt>
                <c:pt idx="87">
                  <c:v>82.404586035367132</c:v>
                </c:pt>
                <c:pt idx="88">
                  <c:v>81.47892419575409</c:v>
                </c:pt>
                <c:pt idx="89">
                  <c:v>80.57372449809759</c:v>
                </c:pt>
                <c:pt idx="90">
                  <c:v>79.688315795642055</c:v>
                </c:pt>
                <c:pt idx="91">
                  <c:v>78.822055975195312</c:v>
                </c:pt>
                <c:pt idx="92">
                  <c:v>77.974330403949381</c:v>
                </c:pt>
                <c:pt idx="93">
                  <c:v>77.144550474952482</c:v>
                </c:pt>
                <c:pt idx="94">
                  <c:v>76.332152243998493</c:v>
                </c:pt>
                <c:pt idx="95">
                  <c:v>75.536595151300148</c:v>
                </c:pt>
                <c:pt idx="96">
                  <c:v>74.757360821856906</c:v>
                </c:pt>
                <c:pt idx="97">
                  <c:v>73.993951938922734</c:v>
                </c:pt>
                <c:pt idx="98">
                  <c:v>73.245891185429556</c:v>
                </c:pt>
                <c:pt idx="99">
                  <c:v>72.512720248631155</c:v>
                </c:pt>
                <c:pt idx="100">
                  <c:v>71.793998883606463</c:v>
                </c:pt>
              </c:numCache>
            </c:numRef>
          </c:val>
          <c:smooth val="0"/>
          <c:extLst>
            <c:ext xmlns:c16="http://schemas.microsoft.com/office/drawing/2014/chart" uri="{C3380CC4-5D6E-409C-BE32-E72D297353CC}">
              <c16:uniqueId val="{00000000-3709-4335-91FB-31DC56900586}"/>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Single'!$AN$5:$AN$105</c:f>
              <c:numCache>
                <c:formatCode>0.0</c:formatCode>
                <c:ptCount val="101"/>
                <c:pt idx="0">
                  <c:v>12</c:v>
                </c:pt>
                <c:pt idx="1">
                  <c:v>12</c:v>
                </c:pt>
                <c:pt idx="2">
                  <c:v>21.657735026918967</c:v>
                </c:pt>
                <c:pt idx="3">
                  <c:v>32.486602540378442</c:v>
                </c:pt>
                <c:pt idx="4">
                  <c:v>43.315470053837934</c:v>
                </c:pt>
                <c:pt idx="5">
                  <c:v>54.144337567297406</c:v>
                </c:pt>
                <c:pt idx="6">
                  <c:v>64.973205080756884</c:v>
                </c:pt>
                <c:pt idx="7">
                  <c:v>75.802072594216384</c:v>
                </c:pt>
                <c:pt idx="8">
                  <c:v>86.630940107675869</c:v>
                </c:pt>
                <c:pt idx="9">
                  <c:v>97.459807621135354</c:v>
                </c:pt>
                <c:pt idx="10">
                  <c:v>108.28867513459481</c:v>
                </c:pt>
                <c:pt idx="11">
                  <c:v>119.11754264805431</c:v>
                </c:pt>
                <c:pt idx="12">
                  <c:v>129.94641016151377</c:v>
                </c:pt>
                <c:pt idx="13">
                  <c:v>140.77527767497327</c:v>
                </c:pt>
                <c:pt idx="14">
                  <c:v>151.60414518843277</c:v>
                </c:pt>
                <c:pt idx="15">
                  <c:v>162.43301270189224</c:v>
                </c:pt>
                <c:pt idx="16">
                  <c:v>173.26188021535174</c:v>
                </c:pt>
                <c:pt idx="17">
                  <c:v>184.09074772881124</c:v>
                </c:pt>
                <c:pt idx="18">
                  <c:v>194.91961524227071</c:v>
                </c:pt>
                <c:pt idx="19">
                  <c:v>205.74848275573015</c:v>
                </c:pt>
                <c:pt idx="20">
                  <c:v>216.57735026918962</c:v>
                </c:pt>
                <c:pt idx="21">
                  <c:v>227.40621778264912</c:v>
                </c:pt>
                <c:pt idx="22">
                  <c:v>238.23508529610862</c:v>
                </c:pt>
                <c:pt idx="23">
                  <c:v>249.06395280956812</c:v>
                </c:pt>
                <c:pt idx="24">
                  <c:v>259.89282032302754</c:v>
                </c:pt>
                <c:pt idx="25">
                  <c:v>270.72168783648709</c:v>
                </c:pt>
                <c:pt idx="26">
                  <c:v>281.55055534994653</c:v>
                </c:pt>
                <c:pt idx="27">
                  <c:v>292.37942286340603</c:v>
                </c:pt>
                <c:pt idx="28">
                  <c:v>303.20829037686553</c:v>
                </c:pt>
                <c:pt idx="29">
                  <c:v>314.03715789032492</c:v>
                </c:pt>
                <c:pt idx="30">
                  <c:v>324.86602540378448</c:v>
                </c:pt>
                <c:pt idx="31">
                  <c:v>335.69489291724392</c:v>
                </c:pt>
                <c:pt idx="32">
                  <c:v>346.52376043070348</c:v>
                </c:pt>
                <c:pt idx="33">
                  <c:v>350</c:v>
                </c:pt>
                <c:pt idx="34">
                  <c:v>350</c:v>
                </c:pt>
                <c:pt idx="35">
                  <c:v>350</c:v>
                </c:pt>
                <c:pt idx="36">
                  <c:v>350</c:v>
                </c:pt>
                <c:pt idx="37">
                  <c:v>350</c:v>
                </c:pt>
                <c:pt idx="38">
                  <c:v>350</c:v>
                </c:pt>
                <c:pt idx="39">
                  <c:v>350</c:v>
                </c:pt>
                <c:pt idx="40">
                  <c:v>350</c:v>
                </c:pt>
                <c:pt idx="41">
                  <c:v>344.82591939550809</c:v>
                </c:pt>
                <c:pt idx="42">
                  <c:v>337.18970611405882</c:v>
                </c:pt>
                <c:pt idx="43">
                  <c:v>329.8853537215868</c:v>
                </c:pt>
                <c:pt idx="44">
                  <c:v>322.88494505669894</c:v>
                </c:pt>
                <c:pt idx="45">
                  <c:v>316.18216594600614</c:v>
                </c:pt>
                <c:pt idx="46">
                  <c:v>309.7528998753005</c:v>
                </c:pt>
                <c:pt idx="47">
                  <c:v>303.58017563851553</c:v>
                </c:pt>
                <c:pt idx="48">
                  <c:v>297.64775774835562</c:v>
                </c:pt>
                <c:pt idx="49">
                  <c:v>291.9433795322679</c:v>
                </c:pt>
                <c:pt idx="50">
                  <c:v>286.45414027005842</c:v>
                </c:pt>
                <c:pt idx="51">
                  <c:v>281.16809432831474</c:v>
                </c:pt>
                <c:pt idx="52">
                  <c:v>276.0741643809103</c:v>
                </c:pt>
                <c:pt idx="53">
                  <c:v>271.16206392241293</c:v>
                </c:pt>
                <c:pt idx="54">
                  <c:v>266.42222793375663</c:v>
                </c:pt>
                <c:pt idx="55">
                  <c:v>261.84575071678023</c:v>
                </c:pt>
                <c:pt idx="56">
                  <c:v>257.42433004751598</c:v>
                </c:pt>
                <c:pt idx="57">
                  <c:v>253.15021691140421</c:v>
                </c:pt>
                <c:pt idx="58">
                  <c:v>249.01617018019326</c:v>
                </c:pt>
                <c:pt idx="59">
                  <c:v>245.01541567285798</c:v>
                </c:pt>
                <c:pt idx="60">
                  <c:v>241.14160911365371</c:v>
                </c:pt>
                <c:pt idx="61">
                  <c:v>237.38880256125086</c:v>
                </c:pt>
                <c:pt idx="62">
                  <c:v>233.75141393531158</c:v>
                </c:pt>
                <c:pt idx="63">
                  <c:v>230.22419931214012</c:v>
                </c:pt>
                <c:pt idx="64">
                  <c:v>226.80222770022655</c:v>
                </c:pt>
                <c:pt idx="65">
                  <c:v>223.480858040512</c:v>
                </c:pt>
                <c:pt idx="66">
                  <c:v>220.25571820577542</c:v>
                </c:pt>
                <c:pt idx="67">
                  <c:v>217.12268579931475</c:v>
                </c:pt>
                <c:pt idx="68">
                  <c:v>214.07787057559995</c:v>
                </c:pt>
                <c:pt idx="69">
                  <c:v>211.11759832527085</c:v>
                </c:pt>
                <c:pt idx="70">
                  <c:v>208.23839608412098</c:v>
                </c:pt>
                <c:pt idx="71">
                  <c:v>205.43697854087469</c:v>
                </c:pt>
                <c:pt idx="72">
                  <c:v>202.71023553191384</c:v>
                </c:pt>
                <c:pt idx="73">
                  <c:v>200.05522052287981</c:v>
                </c:pt>
                <c:pt idx="74">
                  <c:v>197.46913998746919</c:v>
                </c:pt>
                <c:pt idx="75">
                  <c:v>194.94934360293573</c:v>
                </c:pt>
                <c:pt idx="76">
                  <c:v>192.49331518996013</c:v>
                </c:pt>
                <c:pt idx="77">
                  <c:v>190.09866433177825</c:v>
                </c:pt>
                <c:pt idx="78">
                  <c:v>187.76311861388891</c:v>
                </c:pt>
                <c:pt idx="79">
                  <c:v>185.48451643138367</c:v>
                </c:pt>
                <c:pt idx="80">
                  <c:v>183.2608003160434</c:v>
                </c:pt>
                <c:pt idx="81">
                  <c:v>181.09001073990356</c:v>
                </c:pt>
                <c:pt idx="82">
                  <c:v>178.9702803560632</c:v>
                </c:pt>
                <c:pt idx="83">
                  <c:v>176.8998286411599</c:v>
                </c:pt>
                <c:pt idx="84">
                  <c:v>174.87695690720389</c:v>
                </c:pt>
                <c:pt idx="85">
                  <c:v>172.9000436534001</c:v>
                </c:pt>
                <c:pt idx="86">
                  <c:v>170.96754023122733</c:v>
                </c:pt>
                <c:pt idx="87">
                  <c:v>169.07796679841653</c:v>
                </c:pt>
                <c:pt idx="88">
                  <c:v>167.22990853961375</c:v>
                </c:pt>
                <c:pt idx="89">
                  <c:v>165.42201213344228</c:v>
                </c:pt>
                <c:pt idx="90">
                  <c:v>163.65298244742428</c:v>
                </c:pt>
                <c:pt idx="91">
                  <c:v>161.92157944379795</c:v>
                </c:pt>
                <c:pt idx="92">
                  <c:v>160.22661528069676</c:v>
                </c:pt>
                <c:pt idx="93">
                  <c:v>158.56695159444925</c:v>
                </c:pt>
                <c:pt idx="94">
                  <c:v>156.94149694993206</c:v>
                </c:pt>
                <c:pt idx="95">
                  <c:v>155.34920444697764</c:v>
                </c:pt>
                <c:pt idx="96">
                  <c:v>153.78906947180465</c:v>
                </c:pt>
                <c:pt idx="97">
                  <c:v>152.26012758332266</c:v>
                </c:pt>
                <c:pt idx="98">
                  <c:v>150.76145252496596</c:v>
                </c:pt>
                <c:pt idx="99">
                  <c:v>149.29215435344511</c:v>
                </c:pt>
                <c:pt idx="100">
                  <c:v>147.85137767647146</c:v>
                </c:pt>
              </c:numCache>
            </c:numRef>
          </c:val>
          <c:smooth val="0"/>
          <c:extLst>
            <c:ext xmlns:c16="http://schemas.microsoft.com/office/drawing/2014/chart" uri="{C3380CC4-5D6E-409C-BE32-E72D297353CC}">
              <c16:uniqueId val="{00000001-3709-4335-91FB-31DC56900586}"/>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Single'!$AN$216:$AN$316</c:f>
              <c:numCache>
                <c:formatCode>0.0</c:formatCode>
                <c:ptCount val="101"/>
                <c:pt idx="0">
                  <c:v>12</c:v>
                </c:pt>
                <c:pt idx="1">
                  <c:v>12</c:v>
                </c:pt>
                <c:pt idx="2">
                  <c:v>21.657735026918967</c:v>
                </c:pt>
                <c:pt idx="3">
                  <c:v>32.486602540378442</c:v>
                </c:pt>
                <c:pt idx="4">
                  <c:v>43.315470053837934</c:v>
                </c:pt>
                <c:pt idx="5">
                  <c:v>54.144337567297406</c:v>
                </c:pt>
                <c:pt idx="6">
                  <c:v>64.973205080756884</c:v>
                </c:pt>
                <c:pt idx="7">
                  <c:v>75.802072594216384</c:v>
                </c:pt>
                <c:pt idx="8">
                  <c:v>86.630940107675869</c:v>
                </c:pt>
                <c:pt idx="9">
                  <c:v>97.459807621135354</c:v>
                </c:pt>
                <c:pt idx="10">
                  <c:v>108.28867513459481</c:v>
                </c:pt>
                <c:pt idx="11">
                  <c:v>119.11754264805431</c:v>
                </c:pt>
                <c:pt idx="12">
                  <c:v>129.94641016151377</c:v>
                </c:pt>
                <c:pt idx="13">
                  <c:v>140.77527767497327</c:v>
                </c:pt>
                <c:pt idx="14">
                  <c:v>151.60414518843277</c:v>
                </c:pt>
                <c:pt idx="15">
                  <c:v>162.43301270189224</c:v>
                </c:pt>
                <c:pt idx="16">
                  <c:v>173.26188021535174</c:v>
                </c:pt>
                <c:pt idx="17">
                  <c:v>184.09074772881124</c:v>
                </c:pt>
                <c:pt idx="18">
                  <c:v>194.91961524227071</c:v>
                </c:pt>
                <c:pt idx="19">
                  <c:v>205.74848275573015</c:v>
                </c:pt>
                <c:pt idx="20">
                  <c:v>216.57735026918962</c:v>
                </c:pt>
                <c:pt idx="21">
                  <c:v>227.40621778264912</c:v>
                </c:pt>
                <c:pt idx="22">
                  <c:v>238.23508529610862</c:v>
                </c:pt>
                <c:pt idx="23">
                  <c:v>249.06395280956812</c:v>
                </c:pt>
                <c:pt idx="24">
                  <c:v>259.89282032302754</c:v>
                </c:pt>
                <c:pt idx="25">
                  <c:v>270.72168783648709</c:v>
                </c:pt>
                <c:pt idx="26">
                  <c:v>281.55055534994653</c:v>
                </c:pt>
                <c:pt idx="27">
                  <c:v>292.37942286340603</c:v>
                </c:pt>
                <c:pt idx="28">
                  <c:v>303.20829037686553</c:v>
                </c:pt>
                <c:pt idx="29">
                  <c:v>314.03715789032492</c:v>
                </c:pt>
                <c:pt idx="30">
                  <c:v>324.86602540378448</c:v>
                </c:pt>
                <c:pt idx="31">
                  <c:v>335.69489291724392</c:v>
                </c:pt>
                <c:pt idx="32">
                  <c:v>346.52376043070348</c:v>
                </c:pt>
                <c:pt idx="33">
                  <c:v>350</c:v>
                </c:pt>
                <c:pt idx="34">
                  <c:v>350</c:v>
                </c:pt>
                <c:pt idx="35">
                  <c:v>350</c:v>
                </c:pt>
                <c:pt idx="36">
                  <c:v>350</c:v>
                </c:pt>
                <c:pt idx="37">
                  <c:v>350</c:v>
                </c:pt>
                <c:pt idx="38">
                  <c:v>350</c:v>
                </c:pt>
                <c:pt idx="39">
                  <c:v>350</c:v>
                </c:pt>
                <c:pt idx="40">
                  <c:v>350</c:v>
                </c:pt>
                <c:pt idx="41">
                  <c:v>350</c:v>
                </c:pt>
                <c:pt idx="42">
                  <c:v>350</c:v>
                </c:pt>
                <c:pt idx="43">
                  <c:v>342.7332093045946</c:v>
                </c:pt>
                <c:pt idx="44">
                  <c:v>335.48698941212189</c:v>
                </c:pt>
                <c:pt idx="45">
                  <c:v>328.5417677161426</c:v>
                </c:pt>
                <c:pt idx="46">
                  <c:v>321.87330432552704</c:v>
                </c:pt>
                <c:pt idx="47">
                  <c:v>315.47617040094912</c:v>
                </c:pt>
                <c:pt idx="48">
                  <c:v>309.32921508077709</c:v>
                </c:pt>
                <c:pt idx="49">
                  <c:v>303.41745997808948</c:v>
                </c:pt>
                <c:pt idx="50">
                  <c:v>297.72683128287588</c:v>
                </c:pt>
                <c:pt idx="51">
                  <c:v>292.24635950879019</c:v>
                </c:pt>
                <c:pt idx="52">
                  <c:v>286.96461394009134</c:v>
                </c:pt>
                <c:pt idx="53">
                  <c:v>281.8709780748685</c:v>
                </c:pt>
                <c:pt idx="54">
                  <c:v>276.9555783975149</c:v>
                </c:pt>
                <c:pt idx="55">
                  <c:v>272.20922049981982</c:v>
                </c:pt>
                <c:pt idx="56">
                  <c:v>267.62333168110922</c:v>
                </c:pt>
                <c:pt idx="57">
                  <c:v>263.1899092735012</c:v>
                </c:pt>
                <c:pt idx="58">
                  <c:v>258.90147403697148</c:v>
                </c:pt>
                <c:pt idx="59">
                  <c:v>254.75102805326543</c:v>
                </c:pt>
                <c:pt idx="60">
                  <c:v>250.73201662001992</c:v>
                </c:pt>
                <c:pt idx="61">
                  <c:v>246.83829370863168</c:v>
                </c:pt>
                <c:pt idx="62">
                  <c:v>243.06409060300504</c:v>
                </c:pt>
                <c:pt idx="63">
                  <c:v>239.40398738260663</c:v>
                </c:pt>
                <c:pt idx="64">
                  <c:v>235.85288695334913</c:v>
                </c:pt>
                <c:pt idx="65">
                  <c:v>232.40599136462984</c:v>
                </c:pt>
                <c:pt idx="66">
                  <c:v>229.05878018111486</c:v>
                </c:pt>
                <c:pt idx="67">
                  <c:v>225.80699070425339</c:v>
                </c:pt>
                <c:pt idx="68">
                  <c:v>222.64659986155249</c:v>
                </c:pt>
                <c:pt idx="69">
                  <c:v>219.57380760181891</c:v>
                </c:pt>
                <c:pt idx="70">
                  <c:v>216.58502165226852</c:v>
                </c:pt>
                <c:pt idx="71">
                  <c:v>213.67684350894891</c:v>
                </c:pt>
                <c:pt idx="72">
                  <c:v>210.84605554560324</c:v>
                </c:pt>
                <c:pt idx="73">
                  <c:v>208.08960913817344</c:v>
                </c:pt>
                <c:pt idx="74">
                  <c:v>205.40461371279787</c:v>
                </c:pt>
                <c:pt idx="75">
                  <c:v>202.78832663459011</c:v>
                </c:pt>
                <c:pt idx="76">
                  <c:v>200.23814386284729</c:v>
                </c:pt>
                <c:pt idx="77">
                  <c:v>197.75159130575506</c:v>
                </c:pt>
                <c:pt idx="78">
                  <c:v>195.3263168142546</c:v>
                </c:pt>
                <c:pt idx="79">
                  <c:v>192.9600827606138</c:v>
                </c:pt>
                <c:pt idx="80">
                  <c:v>190.65075915248136</c:v>
                </c:pt>
                <c:pt idx="81">
                  <c:v>188.39631723788281</c:v>
                </c:pt>
                <c:pt idx="82">
                  <c:v>186.1948235608038</c:v>
                </c:pt>
                <c:pt idx="83">
                  <c:v>184.04443443074871</c:v>
                </c:pt>
                <c:pt idx="84">
                  <c:v>181.94339077302766</c:v>
                </c:pt>
                <c:pt idx="85">
                  <c:v>179.89001332953922</c:v>
                </c:pt>
                <c:pt idx="86">
                  <c:v>177.88269818253104</c:v>
                </c:pt>
                <c:pt idx="87">
                  <c:v>175.91991257625946</c:v>
                </c:pt>
                <c:pt idx="88">
                  <c:v>174.00019101367408</c:v>
                </c:pt>
                <c:pt idx="89">
                  <c:v>172.1221316072357</c:v>
                </c:pt>
                <c:pt idx="90">
                  <c:v>170.28439266477076</c:v>
                </c:pt>
                <c:pt idx="91">
                  <c:v>168.48568949289057</c:v>
                </c:pt>
                <c:pt idx="92">
                  <c:v>166.72479140196799</c:v>
                </c:pt>
                <c:pt idx="93">
                  <c:v>165.00051889800017</c:v>
                </c:pt>
                <c:pt idx="94">
                  <c:v>163.31174104789221</c:v>
                </c:pt>
                <c:pt idx="95">
                  <c:v>161.65737300579323</c:v>
                </c:pt>
                <c:pt idx="96">
                  <c:v>160.03637368911637</c:v>
                </c:pt>
                <c:pt idx="97">
                  <c:v>158.44774359378027</c:v>
                </c:pt>
                <c:pt idx="98">
                  <c:v>156.89052273903837</c:v>
                </c:pt>
                <c:pt idx="99">
                  <c:v>155.36378873301629</c:v>
                </c:pt>
                <c:pt idx="100">
                  <c:v>153.86665495076576</c:v>
                </c:pt>
              </c:numCache>
            </c:numRef>
          </c:val>
          <c:smooth val="0"/>
          <c:extLst>
            <c:ext xmlns:c16="http://schemas.microsoft.com/office/drawing/2014/chart" uri="{C3380CC4-5D6E-409C-BE32-E72D297353CC}">
              <c16:uniqueId val="{00000002-3709-4335-91FB-31DC56900586}"/>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709-4335-91FB-31DC56900586}"/>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709-4335-91FB-31DC56900586}"/>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709-4335-91FB-31DC56900586}"/>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3.0000004117549605E-3</c:v>
                </c:pt>
                <c:pt idx="1">
                  <c:v>3.0014270393178303E-3</c:v>
                </c:pt>
                <c:pt idx="2">
                  <c:v>5.4171486805569633E-3</c:v>
                </c:pt>
                <c:pt idx="3">
                  <c:v>8.1257230208354424E-3</c:v>
                </c:pt>
                <c:pt idx="4">
                  <c:v>1.0834297361113927E-2</c:v>
                </c:pt>
                <c:pt idx="5">
                  <c:v>1.3542871701392406E-2</c:v>
                </c:pt>
                <c:pt idx="6">
                  <c:v>1.6251446041670885E-2</c:v>
                </c:pt>
                <c:pt idx="7">
                  <c:v>1.8960020381949372E-2</c:v>
                </c:pt>
                <c:pt idx="8">
                  <c:v>2.1668594722227853E-2</c:v>
                </c:pt>
                <c:pt idx="9">
                  <c:v>2.4377169062506338E-2</c:v>
                </c:pt>
                <c:pt idx="10">
                  <c:v>2.7085743402784811E-2</c:v>
                </c:pt>
                <c:pt idx="11">
                  <c:v>2.9794317743063296E-2</c:v>
                </c:pt>
                <c:pt idx="12">
                  <c:v>3.2502892083341769E-2</c:v>
                </c:pt>
                <c:pt idx="13">
                  <c:v>3.5211466423620261E-2</c:v>
                </c:pt>
                <c:pt idx="14">
                  <c:v>3.7920040763898745E-2</c:v>
                </c:pt>
                <c:pt idx="15">
                  <c:v>4.0628615104177222E-2</c:v>
                </c:pt>
                <c:pt idx="16">
                  <c:v>4.3337189444455707E-2</c:v>
                </c:pt>
                <c:pt idx="17">
                  <c:v>4.6045763784734191E-2</c:v>
                </c:pt>
                <c:pt idx="18">
                  <c:v>4.8754338125012675E-2</c:v>
                </c:pt>
                <c:pt idx="19">
                  <c:v>5.1462912465291145E-2</c:v>
                </c:pt>
                <c:pt idx="20">
                  <c:v>5.4171486805569623E-2</c:v>
                </c:pt>
                <c:pt idx="21">
                  <c:v>5.6880061145848107E-2</c:v>
                </c:pt>
                <c:pt idx="22">
                  <c:v>5.9588635486126591E-2</c:v>
                </c:pt>
                <c:pt idx="23">
                  <c:v>6.2297209826405089E-2</c:v>
                </c:pt>
                <c:pt idx="24">
                  <c:v>6.5005784166683539E-2</c:v>
                </c:pt>
                <c:pt idx="25">
                  <c:v>6.7714358506962044E-2</c:v>
                </c:pt>
                <c:pt idx="26">
                  <c:v>7.0422932847240521E-2</c:v>
                </c:pt>
                <c:pt idx="27">
                  <c:v>7.3131507187518985E-2</c:v>
                </c:pt>
                <c:pt idx="28">
                  <c:v>7.584008152779749E-2</c:v>
                </c:pt>
                <c:pt idx="29">
                  <c:v>7.8548655868075939E-2</c:v>
                </c:pt>
                <c:pt idx="30">
                  <c:v>8.1257230208354445E-2</c:v>
                </c:pt>
                <c:pt idx="31">
                  <c:v>8.3965804548632922E-2</c:v>
                </c:pt>
                <c:pt idx="32">
                  <c:v>8.6674378888911413E-2</c:v>
                </c:pt>
                <c:pt idx="33">
                  <c:v>8.8460111463151997E-2</c:v>
                </c:pt>
                <c:pt idx="34">
                  <c:v>8.9792912749844356E-2</c:v>
                </c:pt>
                <c:pt idx="35">
                  <c:v>9.1106326396898904E-2</c:v>
                </c:pt>
                <c:pt idx="36">
                  <c:v>9.2401177622474545E-2</c:v>
                </c:pt>
                <c:pt idx="37">
                  <c:v>9.367823471348341E-2</c:v>
                </c:pt>
                <c:pt idx="38">
                  <c:v>9.4938214377114999E-2</c:v>
                </c:pt>
                <c:pt idx="39">
                  <c:v>9.6181827943485204E-2</c:v>
                </c:pt>
                <c:pt idx="40">
                  <c:v>9.7412427323139442E-2</c:v>
                </c:pt>
                <c:pt idx="41">
                  <c:v>9.7169921343519164E-2</c:v>
                </c:pt>
                <c:pt idx="42">
                  <c:v>9.6175115306375791E-2</c:v>
                </c:pt>
                <c:pt idx="43">
                  <c:v>9.5210493165742122E-2</c:v>
                </c:pt>
                <c:pt idx="44">
                  <c:v>9.4927204324753225E-2</c:v>
                </c:pt>
                <c:pt idx="45">
                  <c:v>9.5071680942189901E-2</c:v>
                </c:pt>
                <c:pt idx="46">
                  <c:v>9.521067095921612E-2</c:v>
                </c:pt>
                <c:pt idx="47">
                  <c:v>9.5344255670853209E-2</c:v>
                </c:pt>
                <c:pt idx="48">
                  <c:v>9.5472222331757284E-2</c:v>
                </c:pt>
                <c:pt idx="49">
                  <c:v>9.5595577914416516E-2</c:v>
                </c:pt>
                <c:pt idx="50">
                  <c:v>9.5714583282360655E-2</c:v>
                </c:pt>
                <c:pt idx="51">
                  <c:v>9.5829479986463337E-2</c:v>
                </c:pt>
                <c:pt idx="52">
                  <c:v>9.5940492019695317E-2</c:v>
                </c:pt>
                <c:pt idx="53">
                  <c:v>9.6047827383967332E-2</c:v>
                </c:pt>
                <c:pt idx="54">
                  <c:v>9.6151679492128161E-2</c:v>
                </c:pt>
                <c:pt idx="55">
                  <c:v>9.6252228425001848E-2</c:v>
                </c:pt>
                <c:pt idx="56">
                  <c:v>9.6349642060654481E-2</c:v>
                </c:pt>
                <c:pt idx="57">
                  <c:v>9.644407709079042E-2</c:v>
                </c:pt>
                <c:pt idx="58">
                  <c:v>9.6535679937223076E-2</c:v>
                </c:pt>
                <c:pt idx="59">
                  <c:v>9.6624587579697357E-2</c:v>
                </c:pt>
                <c:pt idx="60">
                  <c:v>9.6710928304908905E-2</c:v>
                </c:pt>
                <c:pt idx="61">
                  <c:v>9.6794822385335266E-2</c:v>
                </c:pt>
                <c:pt idx="62">
                  <c:v>9.6876382695433763E-2</c:v>
                </c:pt>
                <c:pt idx="63">
                  <c:v>9.6955715271847098E-2</c:v>
                </c:pt>
                <c:pt idx="64">
                  <c:v>9.7032919823462821E-2</c:v>
                </c:pt>
                <c:pt idx="65">
                  <c:v>9.7108090196487529E-2</c:v>
                </c:pt>
                <c:pt idx="66">
                  <c:v>9.718131479909678E-2</c:v>
                </c:pt>
                <c:pt idx="67">
                  <c:v>9.7252676989702205E-2</c:v>
                </c:pt>
                <c:pt idx="68">
                  <c:v>9.7322255432420485E-2</c:v>
                </c:pt>
                <c:pt idx="69">
                  <c:v>9.7390124422932545E-2</c:v>
                </c:pt>
                <c:pt idx="70">
                  <c:v>9.745635418757026E-2</c:v>
                </c:pt>
                <c:pt idx="71">
                  <c:v>9.7521011158162904E-2</c:v>
                </c:pt>
                <c:pt idx="72">
                  <c:v>9.7584158224904169E-2</c:v>
                </c:pt>
                <c:pt idx="73">
                  <c:v>9.7645854969263965E-2</c:v>
                </c:pt>
                <c:pt idx="74">
                  <c:v>9.7706157878758373E-2</c:v>
                </c:pt>
                <c:pt idx="75">
                  <c:v>9.7765120545204767E-2</c:v>
                </c:pt>
                <c:pt idx="76">
                  <c:v>9.7822793847925402E-2</c:v>
                </c:pt>
                <c:pt idx="77">
                  <c:v>9.7879226123215687E-2</c:v>
                </c:pt>
                <c:pt idx="78">
                  <c:v>9.7934463321264029E-2</c:v>
                </c:pt>
                <c:pt idx="79">
                  <c:v>9.7988549151593801E-2</c:v>
                </c:pt>
                <c:pt idx="80">
                  <c:v>9.8041525217994793E-2</c:v>
                </c:pt>
                <c:pt idx="81">
                  <c:v>9.8093431143820839E-2</c:v>
                </c:pt>
                <c:pt idx="82">
                  <c:v>9.8144304688445302E-2</c:v>
                </c:pt>
                <c:pt idx="83">
                  <c:v>9.8194181855594892E-2</c:v>
                </c:pt>
                <c:pt idx="84">
                  <c:v>9.8243096994214671E-2</c:v>
                </c:pt>
                <c:pt idx="85">
                  <c:v>9.8291082892458123E-2</c:v>
                </c:pt>
                <c:pt idx="86">
                  <c:v>9.8338170865342911E-2</c:v>
                </c:pt>
                <c:pt idx="87">
                  <c:v>9.8384390836565139E-2</c:v>
                </c:pt>
                <c:pt idx="88">
                  <c:v>9.8429771414920486E-2</c:v>
                </c:pt>
                <c:pt idx="89">
                  <c:v>9.8474339965743396E-2</c:v>
                </c:pt>
                <c:pt idx="90">
                  <c:v>9.8518122677738629E-2</c:v>
                </c:pt>
                <c:pt idx="91">
                  <c:v>9.8561144625548103E-2</c:v>
                </c:pt>
                <c:pt idx="92">
                  <c:v>9.860342982836777E-2</c:v>
                </c:pt>
                <c:pt idx="93">
                  <c:v>9.8645001304901697E-2</c:v>
                </c:pt>
                <c:pt idx="94">
                  <c:v>9.8685881124918176E-2</c:v>
                </c:pt>
                <c:pt idx="95">
                  <c:v>9.872609045765017E-2</c:v>
                </c:pt>
                <c:pt idx="96">
                  <c:v>9.8765649617263376E-2</c:v>
                </c:pt>
                <c:pt idx="97">
                  <c:v>9.8804578105596924E-2</c:v>
                </c:pt>
                <c:pt idx="98">
                  <c:v>9.8842894652365815E-2</c:v>
                </c:pt>
                <c:pt idx="99">
                  <c:v>9.8880617252999167E-2</c:v>
                </c:pt>
                <c:pt idx="100">
                  <c:v>9.8917763204274978E-2</c:v>
                </c:pt>
              </c:numCache>
            </c:numRef>
          </c:val>
          <c:smooth val="0"/>
          <c:extLst>
            <c:ext xmlns:c16="http://schemas.microsoft.com/office/drawing/2014/chart" uri="{C3380CC4-5D6E-409C-BE32-E72D297353CC}">
              <c16:uniqueId val="{00000006-3709-4335-91FB-31DC56900586}"/>
            </c:ext>
          </c:extLst>
        </c:ser>
        <c:ser>
          <c:idx val="7"/>
          <c:order val="7"/>
          <c:spPr>
            <a:ln w="31750">
              <a:solidFill>
                <a:srgbClr val="00B050"/>
              </a:solidFill>
            </a:ln>
          </c:spPr>
          <c:marker>
            <c:symbol val="none"/>
          </c:marker>
          <c:val>
            <c:numRef>
              <c:f>'Calculations - Single'!$AW$110:$AW$210</c:f>
              <c:numCache>
                <c:formatCode>0.000</c:formatCode>
                <c:ptCount val="101"/>
                <c:pt idx="0">
                  <c:v>1.6000011712148057E-2</c:v>
                </c:pt>
                <c:pt idx="1">
                  <c:v>1.6040675183498221E-2</c:v>
                </c:pt>
                <c:pt idx="2">
                  <c:v>2.8954372697331868E-2</c:v>
                </c:pt>
                <c:pt idx="3">
                  <c:v>4.3431559045997797E-2</c:v>
                </c:pt>
                <c:pt idx="4">
                  <c:v>5.7908745394663737E-2</c:v>
                </c:pt>
                <c:pt idx="5">
                  <c:v>7.2385931743329662E-2</c:v>
                </c:pt>
                <c:pt idx="6">
                  <c:v>8.6863118091995595E-2</c:v>
                </c:pt>
                <c:pt idx="7">
                  <c:v>0.10134030444066154</c:v>
                </c:pt>
                <c:pt idx="8">
                  <c:v>0.11581749078932747</c:v>
                </c:pt>
                <c:pt idx="9">
                  <c:v>0.13029467713799342</c:v>
                </c:pt>
                <c:pt idx="10">
                  <c:v>0.14477186348665932</c:v>
                </c:pt>
                <c:pt idx="11">
                  <c:v>0.15924904983532528</c:v>
                </c:pt>
                <c:pt idx="12">
                  <c:v>0.17372623618399119</c:v>
                </c:pt>
                <c:pt idx="13">
                  <c:v>0.18820342253265712</c:v>
                </c:pt>
                <c:pt idx="14">
                  <c:v>0.20268060888132308</c:v>
                </c:pt>
                <c:pt idx="15">
                  <c:v>0.21715779522998901</c:v>
                </c:pt>
                <c:pt idx="16">
                  <c:v>0.23163498157865495</c:v>
                </c:pt>
                <c:pt idx="17">
                  <c:v>0.24611216792732088</c:v>
                </c:pt>
                <c:pt idx="18">
                  <c:v>0.26058935427598684</c:v>
                </c:pt>
                <c:pt idx="19">
                  <c:v>0.27506654062465274</c:v>
                </c:pt>
                <c:pt idx="20">
                  <c:v>0.28954372697331865</c:v>
                </c:pt>
                <c:pt idx="21">
                  <c:v>0.30402091332198455</c:v>
                </c:pt>
                <c:pt idx="22">
                  <c:v>0.31849809967065057</c:v>
                </c:pt>
                <c:pt idx="23">
                  <c:v>0.33297528601931653</c:v>
                </c:pt>
                <c:pt idx="24">
                  <c:v>0.34745247236798238</c:v>
                </c:pt>
                <c:pt idx="25">
                  <c:v>0.36192965871664834</c:v>
                </c:pt>
                <c:pt idx="26">
                  <c:v>0.3562846177470394</c:v>
                </c:pt>
                <c:pt idx="27">
                  <c:v>0.3570761914275411</c:v>
                </c:pt>
                <c:pt idx="28">
                  <c:v>0.35774984071964744</c:v>
                </c:pt>
                <c:pt idx="29">
                  <c:v>0.35840805854134666</c:v>
                </c:pt>
                <c:pt idx="30">
                  <c:v>0.3590312017546064</c:v>
                </c:pt>
                <c:pt idx="31">
                  <c:v>0.35961904483019175</c:v>
                </c:pt>
                <c:pt idx="32">
                  <c:v>0.36017475252239273</c:v>
                </c:pt>
                <c:pt idx="33">
                  <c:v>0.36070112228469692</c:v>
                </c:pt>
                <c:pt idx="34">
                  <c:v>0.36120063605337099</c:v>
                </c:pt>
                <c:pt idx="35">
                  <c:v>0.36167550351049982</c:v>
                </c:pt>
                <c:pt idx="36">
                  <c:v>0.36212769841847009</c:v>
                </c:pt>
                <c:pt idx="37">
                  <c:v>0.3625589892867836</c:v>
                </c:pt>
                <c:pt idx="38">
                  <c:v>0.36297096537648671</c:v>
                </c:pt>
                <c:pt idx="39">
                  <c:v>0.36336505884875886</c:v>
                </c:pt>
                <c:pt idx="40">
                  <c:v>0.36374256370859109</c:v>
                </c:pt>
                <c:pt idx="41">
                  <c:v>0.3641046520718581</c:v>
                </c:pt>
                <c:pt idx="42">
                  <c:v>0.36445238818684822</c:v>
                </c:pt>
                <c:pt idx="43">
                  <c:v>0.36478674056376231</c:v>
                </c:pt>
                <c:pt idx="44">
                  <c:v>0.36510859250348493</c:v>
                </c:pt>
                <c:pt idx="45">
                  <c:v>0.3654187512667818</c:v>
                </c:pt>
                <c:pt idx="46">
                  <c:v>0.36571795608442786</c:v>
                </c:pt>
                <c:pt idx="47">
                  <c:v>0.36600688517567581</c:v>
                </c:pt>
                <c:pt idx="48">
                  <c:v>0.36628616191539948</c:v>
                </c:pt>
                <c:pt idx="49">
                  <c:v>0.36655636026799732</c:v>
                </c:pt>
                <c:pt idx="50">
                  <c:v>0.36681800958779109</c:v>
                </c:pt>
                <c:pt idx="51">
                  <c:v>0.36707159887044</c:v>
                </c:pt>
                <c:pt idx="52">
                  <c:v>0.36731758052724822</c:v>
                </c:pt>
                <c:pt idx="53">
                  <c:v>0.36755637374368733</c:v>
                </c:pt>
                <c:pt idx="54">
                  <c:v>0.36778836747460236</c:v>
                </c:pt>
                <c:pt idx="55">
                  <c:v>0.3680139231211495</c:v>
                </c:pt>
                <c:pt idx="56">
                  <c:v>0.368233376928228</c:v>
                </c:pt>
                <c:pt idx="57">
                  <c:v>0.36844704213587598</c:v>
                </c:pt>
                <c:pt idx="58">
                  <c:v>0.36865521091359044</c:v>
                </c:pt>
                <c:pt idx="59">
                  <c:v>0.36885815610270295</c:v>
                </c:pt>
                <c:pt idx="60">
                  <c:v>0.36905613278867005</c:v>
                </c:pt>
                <c:pt idx="61">
                  <c:v>0.36924937972234029</c:v>
                </c:pt>
                <c:pt idx="62">
                  <c:v>0.36943812060685294</c:v>
                </c:pt>
                <c:pt idx="63">
                  <c:v>0.36962256526476117</c:v>
                </c:pt>
                <c:pt idx="64">
                  <c:v>0.36980291069818566</c:v>
                </c:pt>
                <c:pt idx="65">
                  <c:v>0.36997934205326427</c:v>
                </c:pt>
                <c:pt idx="66">
                  <c:v>0.3701520334988293</c:v>
                </c:pt>
                <c:pt idx="67">
                  <c:v>0.37032114902808061</c:v>
                </c:pt>
                <c:pt idx="68">
                  <c:v>0.37048684319101421</c:v>
                </c:pt>
                <c:pt idx="69">
                  <c:v>0.37064926176448615</c:v>
                </c:pt>
                <c:pt idx="70">
                  <c:v>0.37080854236601934</c:v>
                </c:pt>
                <c:pt idx="71">
                  <c:v>0.37096481501678813</c:v>
                </c:pt>
                <c:pt idx="72">
                  <c:v>0.37111820265862344</c:v>
                </c:pt>
                <c:pt idx="73">
                  <c:v>0.37126882162935892</c:v>
                </c:pt>
                <c:pt idx="74">
                  <c:v>0.37141678210038587</c:v>
                </c:pt>
                <c:pt idx="75">
                  <c:v>0.37156218847987282</c:v>
                </c:pt>
                <c:pt idx="76">
                  <c:v>0.37170513978475395</c:v>
                </c:pt>
                <c:pt idx="77">
                  <c:v>0.37184572998427423</c:v>
                </c:pt>
                <c:pt idx="78">
                  <c:v>0.37198404831759296</c:v>
                </c:pt>
                <c:pt idx="79">
                  <c:v>0.37212017958770616</c:v>
                </c:pt>
                <c:pt idx="80">
                  <c:v>0.37225420443372137</c:v>
                </c:pt>
                <c:pt idx="81">
                  <c:v>0.3723861995833207</c:v>
                </c:pt>
                <c:pt idx="82">
                  <c:v>0.37251623808707696</c:v>
                </c:pt>
                <c:pt idx="83">
                  <c:v>0.37264438953612367</c:v>
                </c:pt>
                <c:pt idx="84">
                  <c:v>0.37277072026454561</c:v>
                </c:pt>
                <c:pt idx="85">
                  <c:v>0.37289529353772205</c:v>
                </c:pt>
                <c:pt idx="86">
                  <c:v>0.37301816972775287</c:v>
                </c:pt>
                <c:pt idx="87">
                  <c:v>0.37313940647698496</c:v>
                </c:pt>
                <c:pt idx="88">
                  <c:v>0.37325905885057181</c:v>
                </c:pt>
                <c:pt idx="89">
                  <c:v>0.37337717947891563</c:v>
                </c:pt>
                <c:pt idx="90">
                  <c:v>0.37349381869076409</c:v>
                </c:pt>
                <c:pt idx="91">
                  <c:v>0.37360902463767204</c:v>
                </c:pt>
                <c:pt idx="92">
                  <c:v>0.37372284341047179</c:v>
                </c:pt>
                <c:pt idx="93">
                  <c:v>0.37383531914834667</c:v>
                </c:pt>
                <c:pt idx="94">
                  <c:v>0.37394649414104963</c:v>
                </c:pt>
                <c:pt idx="95">
                  <c:v>0.37405640892476238</c:v>
                </c:pt>
                <c:pt idx="96">
                  <c:v>0.37416510237205586</c:v>
                </c:pt>
                <c:pt idx="97">
                  <c:v>0.37427261177636617</c:v>
                </c:pt>
                <c:pt idx="98">
                  <c:v>0.37437897293137656</c:v>
                </c:pt>
                <c:pt idx="99">
                  <c:v>0.37448422020565836</c:v>
                </c:pt>
                <c:pt idx="100">
                  <c:v>0.37458838661289739</c:v>
                </c:pt>
              </c:numCache>
            </c:numRef>
          </c:val>
          <c:smooth val="0"/>
          <c:extLst>
            <c:ext xmlns:c16="http://schemas.microsoft.com/office/drawing/2014/chart" uri="{C3380CC4-5D6E-409C-BE32-E72D297353CC}">
              <c16:uniqueId val="{00000007-3709-4335-91FB-31DC56900586}"/>
            </c:ext>
          </c:extLst>
        </c:ser>
        <c:ser>
          <c:idx val="8"/>
          <c:order val="8"/>
          <c:spPr>
            <a:ln w="31750">
              <a:solidFill>
                <a:srgbClr val="0000FF"/>
              </a:solidFill>
            </a:ln>
          </c:spPr>
          <c:marker>
            <c:symbol val="none"/>
          </c:marker>
          <c:val>
            <c:numRef>
              <c:f>'Calculations - Single'!$AW$216:$AW$316</c:f>
              <c:numCache>
                <c:formatCode>0.000</c:formatCode>
                <c:ptCount val="101"/>
                <c:pt idx="0">
                  <c:v>2.4000002635231671E-3</c:v>
                </c:pt>
                <c:pt idx="1">
                  <c:v>2.4009132182835186E-3</c:v>
                </c:pt>
                <c:pt idx="2">
                  <c:v>4.3332843824009145E-3</c:v>
                </c:pt>
                <c:pt idx="3">
                  <c:v>6.4999265736013709E-3</c:v>
                </c:pt>
                <c:pt idx="4">
                  <c:v>8.666568764801829E-3</c:v>
                </c:pt>
                <c:pt idx="5">
                  <c:v>1.0833210956002284E-2</c:v>
                </c:pt>
                <c:pt idx="6">
                  <c:v>1.2999853147202742E-2</c:v>
                </c:pt>
                <c:pt idx="7">
                  <c:v>1.5166495338403202E-2</c:v>
                </c:pt>
                <c:pt idx="8">
                  <c:v>1.7333137529603658E-2</c:v>
                </c:pt>
                <c:pt idx="9">
                  <c:v>1.9499779720804116E-2</c:v>
                </c:pt>
                <c:pt idx="10">
                  <c:v>2.1666421912004567E-2</c:v>
                </c:pt>
                <c:pt idx="11">
                  <c:v>2.3833064103205029E-2</c:v>
                </c:pt>
                <c:pt idx="12">
                  <c:v>2.5999706294405484E-2</c:v>
                </c:pt>
                <c:pt idx="13">
                  <c:v>2.8166348485605942E-2</c:v>
                </c:pt>
                <c:pt idx="14">
                  <c:v>3.0332990676806403E-2</c:v>
                </c:pt>
                <c:pt idx="15">
                  <c:v>3.2499632868006854E-2</c:v>
                </c:pt>
                <c:pt idx="16">
                  <c:v>3.4666275059207316E-2</c:v>
                </c:pt>
                <c:pt idx="17">
                  <c:v>3.6832917250407778E-2</c:v>
                </c:pt>
                <c:pt idx="18">
                  <c:v>3.8999559441608232E-2</c:v>
                </c:pt>
                <c:pt idx="19">
                  <c:v>4.1166201632808687E-2</c:v>
                </c:pt>
                <c:pt idx="20">
                  <c:v>4.3332843824009135E-2</c:v>
                </c:pt>
                <c:pt idx="21">
                  <c:v>4.5499486015209596E-2</c:v>
                </c:pt>
                <c:pt idx="22">
                  <c:v>4.7666128206410058E-2</c:v>
                </c:pt>
                <c:pt idx="23">
                  <c:v>4.9832770397610526E-2</c:v>
                </c:pt>
                <c:pt idx="24">
                  <c:v>5.1999412588810967E-2</c:v>
                </c:pt>
                <c:pt idx="25">
                  <c:v>5.4166054780011436E-2</c:v>
                </c:pt>
                <c:pt idx="26">
                  <c:v>5.6332696971211883E-2</c:v>
                </c:pt>
                <c:pt idx="27">
                  <c:v>5.8499339162412338E-2</c:v>
                </c:pt>
                <c:pt idx="28">
                  <c:v>6.0665981353612806E-2</c:v>
                </c:pt>
                <c:pt idx="29">
                  <c:v>6.283262354481324E-2</c:v>
                </c:pt>
                <c:pt idx="30">
                  <c:v>6.4999265736013709E-2</c:v>
                </c:pt>
                <c:pt idx="31">
                  <c:v>6.7165907927214177E-2</c:v>
                </c:pt>
                <c:pt idx="32">
                  <c:v>6.9332550118414632E-2</c:v>
                </c:pt>
                <c:pt idx="33">
                  <c:v>7.0760928314704596E-2</c:v>
                </c:pt>
                <c:pt idx="34">
                  <c:v>7.1826952098149266E-2</c:v>
                </c:pt>
                <c:pt idx="35">
                  <c:v>7.2877465758919971E-2</c:v>
                </c:pt>
                <c:pt idx="36">
                  <c:v>7.3913129471701505E-2</c:v>
                </c:pt>
                <c:pt idx="37">
                  <c:v>7.4934557866174589E-2</c:v>
                </c:pt>
                <c:pt idx="38">
                  <c:v>7.5942324308235581E-2</c:v>
                </c:pt>
                <c:pt idx="39">
                  <c:v>7.6936964677291525E-2</c:v>
                </c:pt>
                <c:pt idx="40">
                  <c:v>7.7918980710283636E-2</c:v>
                </c:pt>
                <c:pt idx="41">
                  <c:v>7.888976011084034E-2</c:v>
                </c:pt>
                <c:pt idx="42">
                  <c:v>7.9850024078735815E-2</c:v>
                </c:pt>
                <c:pt idx="43">
                  <c:v>7.9121499608957216E-2</c:v>
                </c:pt>
                <c:pt idx="44">
                  <c:v>7.8347993917247311E-2</c:v>
                </c:pt>
                <c:pt idx="45">
                  <c:v>7.7596923922610597E-2</c:v>
                </c:pt>
                <c:pt idx="46">
                  <c:v>7.7529860870275871E-2</c:v>
                </c:pt>
                <c:pt idx="47">
                  <c:v>7.7642428668448185E-2</c:v>
                </c:pt>
                <c:pt idx="48">
                  <c:v>7.7750892219504486E-2</c:v>
                </c:pt>
                <c:pt idx="49">
                  <c:v>7.7855293682974794E-2</c:v>
                </c:pt>
                <c:pt idx="50">
                  <c:v>7.7955580850759945E-2</c:v>
                </c:pt>
                <c:pt idx="51">
                  <c:v>7.8052398257731859E-2</c:v>
                </c:pt>
                <c:pt idx="52">
                  <c:v>7.814593463148424E-2</c:v>
                </c:pt>
                <c:pt idx="53">
                  <c:v>7.8236365256486085E-2</c:v>
                </c:pt>
                <c:pt idx="54">
                  <c:v>7.8323853150087233E-2</c:v>
                </c:pt>
                <c:pt idx="55">
                  <c:v>7.8408550117194206E-2</c:v>
                </c:pt>
                <c:pt idx="56">
                  <c:v>7.849059769797366E-2</c:v>
                </c:pt>
                <c:pt idx="57">
                  <c:v>7.8570128021030847E-2</c:v>
                </c:pt>
                <c:pt idx="58">
                  <c:v>7.8647264572882986E-2</c:v>
                </c:pt>
                <c:pt idx="59">
                  <c:v>7.8722122893153904E-2</c:v>
                </c:pt>
                <c:pt idx="60">
                  <c:v>7.8794811203723392E-2</c:v>
                </c:pt>
                <c:pt idx="61">
                  <c:v>7.8865430979037046E-2</c:v>
                </c:pt>
                <c:pt idx="62">
                  <c:v>7.8934077463897828E-2</c:v>
                </c:pt>
                <c:pt idx="63">
                  <c:v>7.9000840144296841E-2</c:v>
                </c:pt>
                <c:pt idx="64">
                  <c:v>7.9065803176177882E-2</c:v>
                </c:pt>
                <c:pt idx="65">
                  <c:v>7.9129045776456478E-2</c:v>
                </c:pt>
                <c:pt idx="66">
                  <c:v>7.9190642580113588E-2</c:v>
                </c:pt>
                <c:pt idx="67">
                  <c:v>7.9250663966749874E-2</c:v>
                </c:pt>
                <c:pt idx="68">
                  <c:v>7.9309176359603495E-2</c:v>
                </c:pt>
                <c:pt idx="69">
                  <c:v>7.9366242499704268E-2</c:v>
                </c:pt>
                <c:pt idx="70">
                  <c:v>7.9421921697542322E-2</c:v>
                </c:pt>
                <c:pt idx="71">
                  <c:v>7.9476270064374036E-2</c:v>
                </c:pt>
                <c:pt idx="72">
                  <c:v>7.9529340725061973E-2</c:v>
                </c:pt>
                <c:pt idx="73">
                  <c:v>7.9581184014146059E-2</c:v>
                </c:pt>
                <c:pt idx="74">
                  <c:v>7.9631847656667337E-2</c:v>
                </c:pt>
                <c:pt idx="75">
                  <c:v>7.9681376935109835E-2</c:v>
                </c:pt>
                <c:pt idx="76">
                  <c:v>7.9729814843688435E-2</c:v>
                </c:pt>
                <c:pt idx="77">
                  <c:v>7.977720223108771E-2</c:v>
                </c:pt>
                <c:pt idx="78">
                  <c:v>7.9823577932647452E-2</c:v>
                </c:pt>
                <c:pt idx="79">
                  <c:v>7.9868978892894835E-2</c:v>
                </c:pt>
                <c:pt idx="80">
                  <c:v>7.9913440279235276E-2</c:v>
                </c:pt>
                <c:pt idx="81">
                  <c:v>7.9956995587537508E-2</c:v>
                </c:pt>
                <c:pt idx="82">
                  <c:v>7.9999676740279357E-2</c:v>
                </c:pt>
                <c:pt idx="83">
                  <c:v>8.0041514177858514E-2</c:v>
                </c:pt>
                <c:pt idx="84">
                  <c:v>8.0082536943616986E-2</c:v>
                </c:pt>
                <c:pt idx="85">
                  <c:v>8.0122772763079136E-2</c:v>
                </c:pt>
                <c:pt idx="86">
                  <c:v>8.016224811785698E-2</c:v>
                </c:pt>
                <c:pt idx="87">
                  <c:v>8.0200988314636762E-2</c:v>
                </c:pt>
                <c:pt idx="88">
                  <c:v>8.023901754962498E-2</c:v>
                </c:pt>
                <c:pt idx="89">
                  <c:v>8.0276358968798631E-2</c:v>
                </c:pt>
                <c:pt idx="90">
                  <c:v>8.0313034724274424E-2</c:v>
                </c:pt>
                <c:pt idx="91">
                  <c:v>8.0349066027086469E-2</c:v>
                </c:pt>
                <c:pt idx="92">
                  <c:v>8.0384473196635553E-2</c:v>
                </c:pt>
                <c:pt idx="93">
                  <c:v>8.0419275707053192E-2</c:v>
                </c:pt>
                <c:pt idx="94">
                  <c:v>8.0453492230702403E-2</c:v>
                </c:pt>
                <c:pt idx="95">
                  <c:v>8.048714067901909E-2</c:v>
                </c:pt>
                <c:pt idx="96">
                  <c:v>8.0520238240882488E-2</c:v>
                </c:pt>
                <c:pt idx="97">
                  <c:v>8.0552801418686787E-2</c:v>
                </c:pt>
                <c:pt idx="98">
                  <c:v>8.0584846062272966E-2</c:v>
                </c:pt>
                <c:pt idx="99">
                  <c:v>8.0616387400868017E-2</c:v>
                </c:pt>
                <c:pt idx="100">
                  <c:v>8.0647440073166377E-2</c:v>
                </c:pt>
              </c:numCache>
            </c:numRef>
          </c:val>
          <c:smooth val="0"/>
          <c:extLst>
            <c:ext xmlns:c16="http://schemas.microsoft.com/office/drawing/2014/chart" uri="{C3380CC4-5D6E-409C-BE32-E72D297353CC}">
              <c16:uniqueId val="{00000008-3709-4335-91FB-31DC56900586}"/>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zh-CN"/>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zh-CN"/>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zh-CN"/>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1.0005071272711372</c:v>
                </c:pt>
                <c:pt idx="27">
                  <c:v>1.0391322566579686</c:v>
                </c:pt>
                <c:pt idx="28">
                  <c:v>1.0776504217524117</c:v>
                </c:pt>
                <c:pt idx="29">
                  <c:v>1.1162206562188752</c:v>
                </c:pt>
                <c:pt idx="30">
                  <c:v>1.1548037536912366</c:v>
                </c:pt>
                <c:pt idx="31">
                  <c:v>1.1933930551886156</c:v>
                </c:pt>
                <c:pt idx="32">
                  <c:v>1.2319885627002809</c:v>
                </c:pt>
                <c:pt idx="33">
                  <c:v>1.2705902782167176</c:v>
                </c:pt>
                <c:pt idx="34">
                  <c:v>1.3091982037295737</c:v>
                </c:pt>
                <c:pt idx="35">
                  <c:v>1.3478123412316161</c:v>
                </c:pt>
                <c:pt idx="36">
                  <c:v>1.3864326927166928</c:v>
                </c:pt>
                <c:pt idx="37">
                  <c:v>1.4250592601797021</c:v>
                </c:pt>
                <c:pt idx="38">
                  <c:v>1.4636920456165676</c:v>
                </c:pt>
                <c:pt idx="39">
                  <c:v>1.5023310510242163</c:v>
                </c:pt>
                <c:pt idx="40">
                  <c:v>1.5409762784005594</c:v>
                </c:pt>
                <c:pt idx="41">
                  <c:v>1.579627729744479</c:v>
                </c:pt>
                <c:pt idx="42">
                  <c:v>1.6182854070558128</c:v>
                </c:pt>
                <c:pt idx="43">
                  <c:v>1.6569493123353427</c:v>
                </c:pt>
                <c:pt idx="44">
                  <c:v>1.6956194475847877</c:v>
                </c:pt>
                <c:pt idx="45">
                  <c:v>1.7342958148067933</c:v>
                </c:pt>
                <c:pt idx="46">
                  <c:v>1.7729784160049249</c:v>
                </c:pt>
                <c:pt idx="47">
                  <c:v>1.8116672531836617</c:v>
                </c:pt>
                <c:pt idx="48">
                  <c:v>1.850362328348393</c:v>
                </c:pt>
                <c:pt idx="49">
                  <c:v>1.8890636435054107</c:v>
                </c:pt>
                <c:pt idx="50">
                  <c:v>1.9277712006619074</c:v>
                </c:pt>
                <c:pt idx="51">
                  <c:v>1.9664850018259725</c:v>
                </c:pt>
                <c:pt idx="52">
                  <c:v>2.0052050490065891</c:v>
                </c:pt>
                <c:pt idx="53">
                  <c:v>2.0439313442136307</c:v>
                </c:pt>
                <c:pt idx="54">
                  <c:v>2.0826638894578622</c:v>
                </c:pt>
                <c:pt idx="55">
                  <c:v>2.121402686750931</c:v>
                </c:pt>
                <c:pt idx="56">
                  <c:v>2.1601477381053749</c:v>
                </c:pt>
                <c:pt idx="57">
                  <c:v>2.1988990455346116</c:v>
                </c:pt>
                <c:pt idx="58">
                  <c:v>2.2376566110529428</c:v>
                </c:pt>
                <c:pt idx="59">
                  <c:v>2.2764204366755534</c:v>
                </c:pt>
                <c:pt idx="60">
                  <c:v>2.3151905244185049</c:v>
                </c:pt>
                <c:pt idx="61">
                  <c:v>2.3539668762987418</c:v>
                </c:pt>
                <c:pt idx="62">
                  <c:v>2.3927494943340877</c:v>
                </c:pt>
                <c:pt idx="63">
                  <c:v>2.4315383805432429</c:v>
                </c:pt>
                <c:pt idx="64">
                  <c:v>2.4703335369457866</c:v>
                </c:pt>
                <c:pt idx="65">
                  <c:v>2.5091349655621773</c:v>
                </c:pt>
                <c:pt idx="66">
                  <c:v>2.5479426684137478</c:v>
                </c:pt>
                <c:pt idx="67">
                  <c:v>2.5867566475227108</c:v>
                </c:pt>
                <c:pt idx="68">
                  <c:v>2.6255769049121551</c:v>
                </c:pt>
                <c:pt idx="69">
                  <c:v>2.6644034426060461</c:v>
                </c:pt>
                <c:pt idx="70">
                  <c:v>2.7032362626292272</c:v>
                </c:pt>
                <c:pt idx="71">
                  <c:v>2.7420753670074189</c:v>
                </c:pt>
                <c:pt idx="72">
                  <c:v>2.7809207577672153</c:v>
                </c:pt>
                <c:pt idx="73">
                  <c:v>2.8197724369360926</c:v>
                </c:pt>
                <c:pt idx="74">
                  <c:v>2.8586304065423995</c:v>
                </c:pt>
                <c:pt idx="75">
                  <c:v>2.8974946686153644</c:v>
                </c:pt>
                <c:pt idx="76">
                  <c:v>2.9363652251850945</c:v>
                </c:pt>
                <c:pt idx="77">
                  <c:v>2.975242078282569</c:v>
                </c:pt>
                <c:pt idx="78">
                  <c:v>3.0141252299396513</c:v>
                </c:pt>
                <c:pt idx="79">
                  <c:v>3.0530146821890791</c:v>
                </c:pt>
                <c:pt idx="80">
                  <c:v>3.0919104370644694</c:v>
                </c:pt>
                <c:pt idx="81">
                  <c:v>3.1308124966003166</c:v>
                </c:pt>
                <c:pt idx="82">
                  <c:v>3.1697208628319955</c:v>
                </c:pt>
                <c:pt idx="83">
                  <c:v>3.2086355377957592</c:v>
                </c:pt>
                <c:pt idx="84">
                  <c:v>3.2475565235287407</c:v>
                </c:pt>
                <c:pt idx="85">
                  <c:v>3.2864838220689507</c:v>
                </c:pt>
                <c:pt idx="86">
                  <c:v>3.3254174354552828</c:v>
                </c:pt>
                <c:pt idx="87">
                  <c:v>3.3643573657275083</c:v>
                </c:pt>
                <c:pt idx="88">
                  <c:v>3.4033036149262808</c:v>
                </c:pt>
                <c:pt idx="89">
                  <c:v>3.442256185093135</c:v>
                </c:pt>
                <c:pt idx="90">
                  <c:v>3.4812150782704867</c:v>
                </c:pt>
                <c:pt idx="91">
                  <c:v>3.520180296501632</c:v>
                </c:pt>
                <c:pt idx="92">
                  <c:v>3.5591518418307517</c:v>
                </c:pt>
                <c:pt idx="93">
                  <c:v>3.5981297163029073</c:v>
                </c:pt>
                <c:pt idx="94">
                  <c:v>3.637113921964044</c:v>
                </c:pt>
                <c:pt idx="95">
                  <c:v>3.6761044608609903</c:v>
                </c:pt>
                <c:pt idx="96">
                  <c:v>3.7151013350414588</c:v>
                </c:pt>
                <c:pt idx="97">
                  <c:v>3.7541045465540464</c:v>
                </c:pt>
                <c:pt idx="98">
                  <c:v>3.7931140974482314</c:v>
                </c:pt>
                <c:pt idx="99">
                  <c:v>3.8321299897743821</c:v>
                </c:pt>
                <c:pt idx="100">
                  <c:v>3.8711522255837494</c:v>
                </c:pt>
              </c:numCache>
            </c:numRef>
          </c:val>
          <c:smooth val="0"/>
          <c:extLst>
            <c:ext xmlns:c16="http://schemas.microsoft.com/office/drawing/2014/chart" uri="{C3380CC4-5D6E-409C-BE32-E72D297353CC}">
              <c16:uniqueId val="{00000000-447A-452D-BA63-8F5F5DADC23C}"/>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Single'!$AJ$5:$AJ$105</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1.0104614196767883</c:v>
                </c:pt>
                <c:pt idx="34">
                  <c:v>1.0256779263015983</c:v>
                </c:pt>
                <c:pt idx="35">
                  <c:v>1.0406728592598156</c:v>
                </c:pt>
                <c:pt idx="36">
                  <c:v>1.0554556496253551</c:v>
                </c:pt>
                <c:pt idx="37">
                  <c:v>1.0700350778289236</c:v>
                </c:pt>
                <c:pt idx="38">
                  <c:v>1.0844193348183218</c:v>
                </c:pt>
                <c:pt idx="39">
                  <c:v>1.0986164202805047</c:v>
                </c:pt>
                <c:pt idx="40">
                  <c:v>1.1126561144308824</c:v>
                </c:pt>
                <c:pt idx="41">
                  <c:v>1.1265231142644092</c:v>
                </c:pt>
                <c:pt idx="42">
                  <c:v>1.140223726478891</c:v>
                </c:pt>
                <c:pt idx="43">
                  <c:v>1.1537638843267024</c:v>
                </c:pt>
                <c:pt idx="44">
                  <c:v>1.1752590596736758</c:v>
                </c:pt>
                <c:pt idx="45">
                  <c:v>1.2019813250222642</c:v>
                </c:pt>
                <c:pt idx="46">
                  <c:v>1.2287041749228464</c:v>
                </c:pt>
                <c:pt idx="47">
                  <c:v>1.2554272825231232</c:v>
                </c:pt>
                <c:pt idx="48">
                  <c:v>1.2821499301242532</c:v>
                </c:pt>
                <c:pt idx="49">
                  <c:v>1.3088730542803209</c:v>
                </c:pt>
                <c:pt idx="50">
                  <c:v>1.3355966550111888</c:v>
                </c:pt>
                <c:pt idx="51">
                  <c:v>1.3623207323367228</c:v>
                </c:pt>
                <c:pt idx="52">
                  <c:v>1.3890452862767919</c:v>
                </c:pt>
                <c:pt idx="53">
                  <c:v>1.4157703168512694</c:v>
                </c:pt>
                <c:pt idx="54">
                  <c:v>1.4424958240800307</c:v>
                </c:pt>
                <c:pt idx="55">
                  <c:v>1.4692218079829542</c:v>
                </c:pt>
                <c:pt idx="56">
                  <c:v>1.4959482685799217</c:v>
                </c:pt>
                <c:pt idx="57">
                  <c:v>1.5226752058908173</c:v>
                </c:pt>
                <c:pt idx="58">
                  <c:v>1.5494026199355269</c:v>
                </c:pt>
                <c:pt idx="59">
                  <c:v>1.5761305107339396</c:v>
                </c:pt>
                <c:pt idx="60">
                  <c:v>1.6028588783059465</c:v>
                </c:pt>
                <c:pt idx="61">
                  <c:v>1.6295877226714399</c:v>
                </c:pt>
                <c:pt idx="62">
                  <c:v>1.6563170438503159</c:v>
                </c:pt>
                <c:pt idx="63">
                  <c:v>1.6830468418624716</c:v>
                </c:pt>
                <c:pt idx="64">
                  <c:v>1.7097771167278051</c:v>
                </c:pt>
                <c:pt idx="65">
                  <c:v>1.7365078684662176</c:v>
                </c:pt>
                <c:pt idx="66">
                  <c:v>1.7632390970976126</c:v>
                </c:pt>
                <c:pt idx="67">
                  <c:v>1.7899708026418943</c:v>
                </c:pt>
                <c:pt idx="68">
                  <c:v>1.8167029851189676</c:v>
                </c:pt>
                <c:pt idx="69">
                  <c:v>1.843435644548741</c:v>
                </c:pt>
                <c:pt idx="70">
                  <c:v>1.8701687809511245</c:v>
                </c:pt>
                <c:pt idx="71">
                  <c:v>1.8969023943460284</c:v>
                </c:pt>
                <c:pt idx="72">
                  <c:v>1.9236364847533658</c:v>
                </c:pt>
                <c:pt idx="73">
                  <c:v>1.9503710521930491</c:v>
                </c:pt>
                <c:pt idx="74">
                  <c:v>1.9771060966849952</c:v>
                </c:pt>
                <c:pt idx="75">
                  <c:v>2.0038416182491208</c:v>
                </c:pt>
                <c:pt idx="76">
                  <c:v>2.0305776169053438</c:v>
                </c:pt>
                <c:pt idx="77">
                  <c:v>2.0573140926735847</c:v>
                </c:pt>
                <c:pt idx="78">
                  <c:v>2.084051045573764</c:v>
                </c:pt>
                <c:pt idx="79">
                  <c:v>2.1107884756258053</c:v>
                </c:pt>
                <c:pt idx="80">
                  <c:v>2.1375263828496305</c:v>
                </c:pt>
                <c:pt idx="81">
                  <c:v>2.1642647672651667</c:v>
                </c:pt>
                <c:pt idx="82">
                  <c:v>2.1910036288923402</c:v>
                </c:pt>
                <c:pt idx="83">
                  <c:v>2.2177429677510778</c:v>
                </c:pt>
                <c:pt idx="84">
                  <c:v>2.2444827838613102</c:v>
                </c:pt>
                <c:pt idx="85">
                  <c:v>2.2712230772429667</c:v>
                </c:pt>
                <c:pt idx="86">
                  <c:v>2.2979638479159799</c:v>
                </c:pt>
                <c:pt idx="87">
                  <c:v>2.3247050959002822</c:v>
                </c:pt>
                <c:pt idx="88">
                  <c:v>2.3514468212158084</c:v>
                </c:pt>
                <c:pt idx="89">
                  <c:v>2.3781890238824941</c:v>
                </c:pt>
                <c:pt idx="90">
                  <c:v>2.4049317039202749</c:v>
                </c:pt>
                <c:pt idx="91">
                  <c:v>2.4316748613490899</c:v>
                </c:pt>
                <c:pt idx="92">
                  <c:v>2.4584184961888798</c:v>
                </c:pt>
                <c:pt idx="93">
                  <c:v>2.4851626084595821</c:v>
                </c:pt>
                <c:pt idx="94">
                  <c:v>2.5119071981811398</c:v>
                </c:pt>
                <c:pt idx="95">
                  <c:v>2.5386522653734973</c:v>
                </c:pt>
                <c:pt idx="96">
                  <c:v>2.5653978100565973</c:v>
                </c:pt>
                <c:pt idx="97">
                  <c:v>2.5921438322503847</c:v>
                </c:pt>
                <c:pt idx="98">
                  <c:v>2.6188903319748076</c:v>
                </c:pt>
                <c:pt idx="99">
                  <c:v>2.6456373092498122</c:v>
                </c:pt>
                <c:pt idx="100">
                  <c:v>2.672384764095348</c:v>
                </c:pt>
              </c:numCache>
            </c:numRef>
          </c:val>
          <c:smooth val="0"/>
          <c:extLst>
            <c:ext xmlns:c16="http://schemas.microsoft.com/office/drawing/2014/chart" uri="{C3380CC4-5D6E-409C-BE32-E72D297353CC}">
              <c16:uniqueId val="{00000001-447A-452D-BA63-8F5F5DADC23C}"/>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1.0104614196767883</c:v>
                </c:pt>
                <c:pt idx="34">
                  <c:v>1.0256779263015983</c:v>
                </c:pt>
                <c:pt idx="35">
                  <c:v>1.0406728592598156</c:v>
                </c:pt>
                <c:pt idx="36">
                  <c:v>1.0554556496253551</c:v>
                </c:pt>
                <c:pt idx="37">
                  <c:v>1.0700350778289236</c:v>
                </c:pt>
                <c:pt idx="38">
                  <c:v>1.0844193348183218</c:v>
                </c:pt>
                <c:pt idx="39">
                  <c:v>1.0986160760198176</c:v>
                </c:pt>
                <c:pt idx="40">
                  <c:v>1.1126324691099285</c:v>
                </c:pt>
                <c:pt idx="41">
                  <c:v>1.1264853022787895</c:v>
                </c:pt>
                <c:pt idx="42">
                  <c:v>1.1401839534470775</c:v>
                </c:pt>
                <c:pt idx="43">
                  <c:v>1.1537220970346636</c:v>
                </c:pt>
                <c:pt idx="44">
                  <c:v>1.1671053228522896</c:v>
                </c:pt>
                <c:pt idx="45">
                  <c:v>1.1803389046648407</c:v>
                </c:pt>
                <c:pt idx="46">
                  <c:v>1.2037412049315324</c:v>
                </c:pt>
                <c:pt idx="47">
                  <c:v>1.2299186990876112</c:v>
                </c:pt>
                <c:pt idx="48">
                  <c:v>1.2560966200639767</c:v>
                </c:pt>
                <c:pt idx="49">
                  <c:v>1.2822747191116404</c:v>
                </c:pt>
                <c:pt idx="50">
                  <c:v>1.3084526255500892</c:v>
                </c:pt>
                <c:pt idx="51">
                  <c:v>1.3346308935918947</c:v>
                </c:pt>
                <c:pt idx="52">
                  <c:v>1.3608095232488691</c:v>
                </c:pt>
                <c:pt idx="53">
                  <c:v>1.3869885145328271</c:v>
                </c:pt>
                <c:pt idx="54">
                  <c:v>1.4131678674555843</c:v>
                </c:pt>
                <c:pt idx="55">
                  <c:v>1.4393475820289596</c:v>
                </c:pt>
                <c:pt idx="56">
                  <c:v>1.465527658264772</c:v>
                </c:pt>
                <c:pt idx="57">
                  <c:v>1.4917080961748423</c:v>
                </c:pt>
                <c:pt idx="58">
                  <c:v>1.5178888957709933</c:v>
                </c:pt>
                <c:pt idx="59">
                  <c:v>1.5440700570650494</c:v>
                </c:pt>
                <c:pt idx="60">
                  <c:v>1.5702515800688344</c:v>
                </c:pt>
                <c:pt idx="61">
                  <c:v>1.5964334647941751</c:v>
                </c:pt>
                <c:pt idx="62">
                  <c:v>1.6226157112528996</c:v>
                </c:pt>
                <c:pt idx="63">
                  <c:v>1.6487983194568354</c:v>
                </c:pt>
                <c:pt idx="64">
                  <c:v>1.6749812894178124</c:v>
                </c:pt>
                <c:pt idx="65">
                  <c:v>1.7011646211476614</c:v>
                </c:pt>
                <c:pt idx="66">
                  <c:v>1.7273483146582134</c:v>
                </c:pt>
                <c:pt idx="67">
                  <c:v>1.7535323699613019</c:v>
                </c:pt>
                <c:pt idx="68">
                  <c:v>1.7797167870687594</c:v>
                </c:pt>
                <c:pt idx="69">
                  <c:v>1.8059015659924196</c:v>
                </c:pt>
                <c:pt idx="70">
                  <c:v>1.8320867067441191</c:v>
                </c:pt>
                <c:pt idx="71">
                  <c:v>1.8582722093356929</c:v>
                </c:pt>
                <c:pt idx="72">
                  <c:v>1.8844580737789776</c:v>
                </c:pt>
                <c:pt idx="73">
                  <c:v>1.9106443000858113</c:v>
                </c:pt>
                <c:pt idx="74">
                  <c:v>1.9368308882680323</c:v>
                </c:pt>
                <c:pt idx="75">
                  <c:v>1.9630178383374794</c:v>
                </c:pt>
                <c:pt idx="76">
                  <c:v>1.989205150305992</c:v>
                </c:pt>
                <c:pt idx="77">
                  <c:v>2.0153928241854109</c:v>
                </c:pt>
                <c:pt idx="78">
                  <c:v>2.0415808599875778</c:v>
                </c:pt>
                <c:pt idx="79">
                  <c:v>2.0677692577243345</c:v>
                </c:pt>
                <c:pt idx="80">
                  <c:v>2.0939580174075223</c:v>
                </c:pt>
                <c:pt idx="81">
                  <c:v>2.1201471390489859</c:v>
                </c:pt>
                <c:pt idx="82">
                  <c:v>2.1463366226605682</c:v>
                </c:pt>
                <c:pt idx="83">
                  <c:v>2.172526468254115</c:v>
                </c:pt>
                <c:pt idx="84">
                  <c:v>2.1987166758414705</c:v>
                </c:pt>
                <c:pt idx="85">
                  <c:v>2.2249072454344807</c:v>
                </c:pt>
                <c:pt idx="86">
                  <c:v>2.2510981770449918</c:v>
                </c:pt>
                <c:pt idx="87">
                  <c:v>2.2772894706848521</c:v>
                </c:pt>
                <c:pt idx="88">
                  <c:v>2.3034811263659085</c:v>
                </c:pt>
                <c:pt idx="89">
                  <c:v>2.3296731441000089</c:v>
                </c:pt>
                <c:pt idx="90">
                  <c:v>2.3558655238990034</c:v>
                </c:pt>
                <c:pt idx="91">
                  <c:v>2.3820582657747411</c:v>
                </c:pt>
                <c:pt idx="92">
                  <c:v>2.4082513697390708</c:v>
                </c:pt>
                <c:pt idx="93">
                  <c:v>2.4344448358038453</c:v>
                </c:pt>
                <c:pt idx="94">
                  <c:v>2.4606386639809146</c:v>
                </c:pt>
                <c:pt idx="95">
                  <c:v>2.4868328542821314</c:v>
                </c:pt>
                <c:pt idx="96">
                  <c:v>2.5130274067193477</c:v>
                </c:pt>
                <c:pt idx="97">
                  <c:v>2.5392223213044169</c:v>
                </c:pt>
                <c:pt idx="98">
                  <c:v>2.5654175980491924</c:v>
                </c:pt>
                <c:pt idx="99">
                  <c:v>2.5916132369655291</c:v>
                </c:pt>
                <c:pt idx="100">
                  <c:v>2.6178092380652811</c:v>
                </c:pt>
              </c:numCache>
            </c:numRef>
          </c:val>
          <c:smooth val="0"/>
          <c:extLst>
            <c:ext xmlns:c16="http://schemas.microsoft.com/office/drawing/2014/chart" uri="{C3380CC4-5D6E-409C-BE32-E72D297353CC}">
              <c16:uniqueId val="{00000002-447A-452D-BA63-8F5F5DADC23C}"/>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1.0068571428571429</c:v>
                </c:pt>
                <c:pt idx="2">
                  <c:v>1.0123758485868108</c:v>
                </c:pt>
                <c:pt idx="3">
                  <c:v>1.0185637728802162</c:v>
                </c:pt>
                <c:pt idx="4">
                  <c:v>1.0247516971736217</c:v>
                </c:pt>
                <c:pt idx="5">
                  <c:v>1.030939621467027</c:v>
                </c:pt>
                <c:pt idx="6">
                  <c:v>1.0371275457604325</c:v>
                </c:pt>
                <c:pt idx="7">
                  <c:v>1.0433154700538378</c:v>
                </c:pt>
                <c:pt idx="8">
                  <c:v>1.0495033943472434</c:v>
                </c:pt>
                <c:pt idx="9">
                  <c:v>1.0556913186406487</c:v>
                </c:pt>
                <c:pt idx="10">
                  <c:v>1.0618792429340542</c:v>
                </c:pt>
                <c:pt idx="11">
                  <c:v>1.0680671672274595</c:v>
                </c:pt>
                <c:pt idx="12">
                  <c:v>1.0742550915208651</c:v>
                </c:pt>
                <c:pt idx="13">
                  <c:v>1.0804430158142704</c:v>
                </c:pt>
                <c:pt idx="14">
                  <c:v>1.0866309401076759</c:v>
                </c:pt>
                <c:pt idx="15">
                  <c:v>1.0928188644010812</c:v>
                </c:pt>
                <c:pt idx="16">
                  <c:v>1.0990067886944868</c:v>
                </c:pt>
                <c:pt idx="17">
                  <c:v>1.1051947129878921</c:v>
                </c:pt>
                <c:pt idx="18">
                  <c:v>1.1113826372812976</c:v>
                </c:pt>
                <c:pt idx="19">
                  <c:v>1.1175705615747029</c:v>
                </c:pt>
                <c:pt idx="20">
                  <c:v>1.1237584858681084</c:v>
                </c:pt>
                <c:pt idx="21">
                  <c:v>1.1299464101615138</c:v>
                </c:pt>
                <c:pt idx="22">
                  <c:v>1.1361343344549193</c:v>
                </c:pt>
                <c:pt idx="23">
                  <c:v>1.1423222587483246</c:v>
                </c:pt>
                <c:pt idx="24">
                  <c:v>1.1485101830417301</c:v>
                </c:pt>
                <c:pt idx="25">
                  <c:v>1.1546981073351354</c:v>
                </c:pt>
                <c:pt idx="26">
                  <c:v>1.2003756498304721</c:v>
                </c:pt>
                <c:pt idx="27">
                  <c:v>1.2289868567836804</c:v>
                </c:pt>
                <c:pt idx="28">
                  <c:v>1.2575188309277123</c:v>
                </c:pt>
                <c:pt idx="29">
                  <c:v>1.2860893749769446</c:v>
                </c:pt>
                <c:pt idx="30">
                  <c:v>1.3146694471786937</c:v>
                </c:pt>
                <c:pt idx="31">
                  <c:v>1.3432541149545301</c:v>
                </c:pt>
                <c:pt idx="32">
                  <c:v>1.3718433797779859</c:v>
                </c:pt>
                <c:pt idx="33">
                  <c:v>1.4004372431234944</c:v>
                </c:pt>
                <c:pt idx="34">
                  <c:v>1.4290357064663508</c:v>
                </c:pt>
                <c:pt idx="35">
                  <c:v>1.4576387712826786</c:v>
                </c:pt>
                <c:pt idx="36">
                  <c:v>1.4862464390494021</c:v>
                </c:pt>
                <c:pt idx="37">
                  <c:v>1.5148587112442238</c:v>
                </c:pt>
                <c:pt idx="38">
                  <c:v>1.5434755893456056</c:v>
                </c:pt>
                <c:pt idx="39">
                  <c:v>1.5720970748327527</c:v>
                </c:pt>
                <c:pt idx="40">
                  <c:v>1.6007231691855996</c:v>
                </c:pt>
                <c:pt idx="41">
                  <c:v>1.6293538738847992</c:v>
                </c:pt>
                <c:pt idx="42">
                  <c:v>1.6579891904117132</c:v>
                </c:pt>
                <c:pt idx="43">
                  <c:v>1.6866291202484021</c:v>
                </c:pt>
                <c:pt idx="44">
                  <c:v>1.7152736648776203</c:v>
                </c:pt>
                <c:pt idx="45">
                  <c:v>1.7439228257828097</c:v>
                </c:pt>
                <c:pt idx="46">
                  <c:v>1.7725766044480924</c:v>
                </c:pt>
                <c:pt idx="47">
                  <c:v>1.8012350023582679</c:v>
                </c:pt>
                <c:pt idx="48">
                  <c:v>1.8298980209988096</c:v>
                </c:pt>
                <c:pt idx="49">
                  <c:v>1.8585656618558597</c:v>
                </c:pt>
                <c:pt idx="50">
                  <c:v>1.8872379264162276</c:v>
                </c:pt>
                <c:pt idx="51">
                  <c:v>1.9159148161673869</c:v>
                </c:pt>
                <c:pt idx="52">
                  <c:v>1.9445963325974733</c:v>
                </c:pt>
                <c:pt idx="53">
                  <c:v>1.9732824771952819</c:v>
                </c:pt>
                <c:pt idx="54">
                  <c:v>2.0019732514502682</c:v>
                </c:pt>
                <c:pt idx="55">
                  <c:v>2.0306686568525416</c:v>
                </c:pt>
                <c:pt idx="56">
                  <c:v>2.0593686948928704</c:v>
                </c:pt>
                <c:pt idx="57">
                  <c:v>2.088073367062675</c:v>
                </c:pt>
                <c:pt idx="58">
                  <c:v>2.1167826748540315</c:v>
                </c:pt>
                <c:pt idx="59">
                  <c:v>2.145496619759669</c:v>
                </c:pt>
                <c:pt idx="60">
                  <c:v>2.1742152032729667</c:v>
                </c:pt>
                <c:pt idx="61">
                  <c:v>2.2029384268879566</c:v>
                </c:pt>
                <c:pt idx="62">
                  <c:v>2.231666292099324</c:v>
                </c:pt>
                <c:pt idx="63">
                  <c:v>2.260398800402402</c:v>
                </c:pt>
                <c:pt idx="64">
                  <c:v>2.289135953293175</c:v>
                </c:pt>
                <c:pt idx="65">
                  <c:v>2.3178777522682794</c:v>
                </c:pt>
                <c:pt idx="66">
                  <c:v>2.3466241988249985</c:v>
                </c:pt>
                <c:pt idx="67">
                  <c:v>2.3753752944612674</c:v>
                </c:pt>
                <c:pt idx="68">
                  <c:v>2.4041310406756704</c:v>
                </c:pt>
                <c:pt idx="69">
                  <c:v>2.4328914389674416</c:v>
                </c:pt>
                <c:pt idx="70">
                  <c:v>2.4616564908364644</c:v>
                </c:pt>
                <c:pt idx="71">
                  <c:v>2.4904261977832736</c:v>
                </c:pt>
                <c:pt idx="72">
                  <c:v>2.5192005613090487</c:v>
                </c:pt>
                <c:pt idx="73">
                  <c:v>2.547979582915624</c:v>
                </c:pt>
                <c:pt idx="74">
                  <c:v>2.5767632641054812</c:v>
                </c:pt>
                <c:pt idx="75">
                  <c:v>2.6055516063817512</c:v>
                </c:pt>
                <c:pt idx="76">
                  <c:v>2.6343446112482178</c:v>
                </c:pt>
                <c:pt idx="77">
                  <c:v>2.6631422802093105</c:v>
                </c:pt>
                <c:pt idx="78">
                  <c:v>2.691944614770112</c:v>
                </c:pt>
                <c:pt idx="79">
                  <c:v>2.7207516164363552</c:v>
                </c:pt>
                <c:pt idx="80">
                  <c:v>2.7495632867144217</c:v>
                </c:pt>
                <c:pt idx="81">
                  <c:v>2.7783796271113457</c:v>
                </c:pt>
                <c:pt idx="82">
                  <c:v>2.8072006391348117</c:v>
                </c:pt>
                <c:pt idx="83">
                  <c:v>2.8360263242931549</c:v>
                </c:pt>
                <c:pt idx="84">
                  <c:v>2.8648566840953635</c:v>
                </c:pt>
                <c:pt idx="85">
                  <c:v>2.8936917200510743</c:v>
                </c:pt>
                <c:pt idx="86">
                  <c:v>2.9225314336705797</c:v>
                </c:pt>
                <c:pt idx="87">
                  <c:v>2.9513758264648211</c:v>
                </c:pt>
                <c:pt idx="88">
                  <c:v>2.9802248999453931</c:v>
                </c:pt>
                <c:pt idx="89">
                  <c:v>3.0090786556245446</c:v>
                </c:pt>
                <c:pt idx="90">
                  <c:v>3.0379370950151756</c:v>
                </c:pt>
                <c:pt idx="91">
                  <c:v>3.0668002196308386</c:v>
                </c:pt>
                <c:pt idx="92">
                  <c:v>3.0956680309857418</c:v>
                </c:pt>
                <c:pt idx="93">
                  <c:v>3.1245405305947465</c:v>
                </c:pt>
                <c:pt idx="94">
                  <c:v>3.153417719973366</c:v>
                </c:pt>
                <c:pt idx="95">
                  <c:v>3.1822996006377702</c:v>
                </c:pt>
                <c:pt idx="96">
                  <c:v>3.2111861741047845</c:v>
                </c:pt>
                <c:pt idx="97">
                  <c:v>3.2400774418918861</c:v>
                </c:pt>
                <c:pt idx="98">
                  <c:v>3.2689734055172082</c:v>
                </c:pt>
                <c:pt idx="99">
                  <c:v>3.2978740664995421</c:v>
                </c:pt>
                <c:pt idx="100">
                  <c:v>3.3267794263583328</c:v>
                </c:pt>
              </c:numCache>
            </c:numRef>
          </c:val>
          <c:smooth val="0"/>
          <c:extLst>
            <c:ext xmlns:c16="http://schemas.microsoft.com/office/drawing/2014/chart" uri="{C3380CC4-5D6E-409C-BE32-E72D297353CC}">
              <c16:uniqueId val="{00000000-745B-46F7-8EAC-D410ADA60268}"/>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Single'!$AK$5:$AK$105</c:f>
              <c:numCache>
                <c:formatCode>0.000</c:formatCode>
                <c:ptCount val="101"/>
                <c:pt idx="0">
                  <c:v>1.0068571428571429</c:v>
                </c:pt>
                <c:pt idx="1">
                  <c:v>1.0068571428571429</c:v>
                </c:pt>
                <c:pt idx="2">
                  <c:v>1.0123758485868108</c:v>
                </c:pt>
                <c:pt idx="3">
                  <c:v>1.0185637728802162</c:v>
                </c:pt>
                <c:pt idx="4">
                  <c:v>1.0247516971736217</c:v>
                </c:pt>
                <c:pt idx="5">
                  <c:v>1.030939621467027</c:v>
                </c:pt>
                <c:pt idx="6">
                  <c:v>1.0371275457604325</c:v>
                </c:pt>
                <c:pt idx="7">
                  <c:v>1.0433154700538378</c:v>
                </c:pt>
                <c:pt idx="8">
                  <c:v>1.0495033943472434</c:v>
                </c:pt>
                <c:pt idx="9">
                  <c:v>1.0556913186406487</c:v>
                </c:pt>
                <c:pt idx="10">
                  <c:v>1.0618792429340542</c:v>
                </c:pt>
                <c:pt idx="11">
                  <c:v>1.0680671672274595</c:v>
                </c:pt>
                <c:pt idx="12">
                  <c:v>1.0742550915208651</c:v>
                </c:pt>
                <c:pt idx="13">
                  <c:v>1.0804430158142704</c:v>
                </c:pt>
                <c:pt idx="14">
                  <c:v>1.0866309401076759</c:v>
                </c:pt>
                <c:pt idx="15">
                  <c:v>1.0928188644010812</c:v>
                </c:pt>
                <c:pt idx="16">
                  <c:v>1.0990067886944868</c:v>
                </c:pt>
                <c:pt idx="17">
                  <c:v>1.1051947129878921</c:v>
                </c:pt>
                <c:pt idx="18">
                  <c:v>1.1113826372812976</c:v>
                </c:pt>
                <c:pt idx="19">
                  <c:v>1.1175705615747029</c:v>
                </c:pt>
                <c:pt idx="20">
                  <c:v>1.1237584858681084</c:v>
                </c:pt>
                <c:pt idx="21">
                  <c:v>1.1299464101615138</c:v>
                </c:pt>
                <c:pt idx="22">
                  <c:v>1.1361343344549193</c:v>
                </c:pt>
                <c:pt idx="23">
                  <c:v>1.1423222587483246</c:v>
                </c:pt>
                <c:pt idx="24">
                  <c:v>1.1485101830417301</c:v>
                </c:pt>
                <c:pt idx="25">
                  <c:v>1.1546981073351354</c:v>
                </c:pt>
                <c:pt idx="26">
                  <c:v>1.160886031628541</c:v>
                </c:pt>
                <c:pt idx="27">
                  <c:v>1.1670739559219463</c:v>
                </c:pt>
                <c:pt idx="28">
                  <c:v>1.1732618802153518</c:v>
                </c:pt>
                <c:pt idx="29">
                  <c:v>1.1794498045087571</c:v>
                </c:pt>
                <c:pt idx="30">
                  <c:v>1.1856377288021624</c:v>
                </c:pt>
                <c:pt idx="31">
                  <c:v>1.191825653095568</c:v>
                </c:pt>
                <c:pt idx="32">
                  <c:v>1.1980135773889735</c:v>
                </c:pt>
                <c:pt idx="33">
                  <c:v>1.2077491997605838</c:v>
                </c:pt>
                <c:pt idx="34">
                  <c:v>1.219020686149332</c:v>
                </c:pt>
                <c:pt idx="35">
                  <c:v>1.2301280438961597</c:v>
                </c:pt>
                <c:pt idx="36">
                  <c:v>1.2410782589817444</c:v>
                </c:pt>
                <c:pt idx="37">
                  <c:v>1.2518778354288322</c:v>
                </c:pt>
                <c:pt idx="38">
                  <c:v>1.2625328406061642</c:v>
                </c:pt>
                <c:pt idx="39">
                  <c:v>1.2730492002077811</c:v>
                </c:pt>
                <c:pt idx="40">
                  <c:v>1.2834489736525054</c:v>
                </c:pt>
                <c:pt idx="41">
                  <c:v>1.2937208253810437</c:v>
                </c:pt>
                <c:pt idx="42">
                  <c:v>1.3038694270214006</c:v>
                </c:pt>
                <c:pt idx="43">
                  <c:v>1.3138991735753351</c:v>
                </c:pt>
                <c:pt idx="44">
                  <c:v>1.3298215256842043</c:v>
                </c:pt>
                <c:pt idx="45">
                  <c:v>1.3496157963127882</c:v>
                </c:pt>
                <c:pt idx="46">
                  <c:v>1.3694104999428491</c:v>
                </c:pt>
                <c:pt idx="47">
                  <c:v>1.3892053944615728</c:v>
                </c:pt>
                <c:pt idx="48">
                  <c:v>1.4089999482401874</c:v>
                </c:pt>
                <c:pt idx="49">
                  <c:v>1.4287948550224598</c:v>
                </c:pt>
                <c:pt idx="50">
                  <c:v>1.4485901148231028</c:v>
                </c:pt>
                <c:pt idx="51">
                  <c:v>1.4683857276568317</c:v>
                </c:pt>
                <c:pt idx="52">
                  <c:v>1.4881816935383643</c:v>
                </c:pt>
                <c:pt idx="53">
                  <c:v>1.5079780124824218</c:v>
                </c:pt>
                <c:pt idx="54">
                  <c:v>1.5277746845037266</c:v>
                </c:pt>
                <c:pt idx="55">
                  <c:v>1.547571709617003</c:v>
                </c:pt>
                <c:pt idx="56">
                  <c:v>1.567369087836979</c:v>
                </c:pt>
                <c:pt idx="57">
                  <c:v>1.5871668191783832</c:v>
                </c:pt>
                <c:pt idx="58">
                  <c:v>1.6069649036559457</c:v>
                </c:pt>
                <c:pt idx="59">
                  <c:v>1.6267633412843998</c:v>
                </c:pt>
                <c:pt idx="60">
                  <c:v>1.6465621320784789</c:v>
                </c:pt>
                <c:pt idx="61">
                  <c:v>1.6663612760529185</c:v>
                </c:pt>
                <c:pt idx="62">
                  <c:v>1.6861607732224562</c:v>
                </c:pt>
                <c:pt idx="63">
                  <c:v>1.7059606236018308</c:v>
                </c:pt>
                <c:pt idx="64">
                  <c:v>1.7257608272057814</c:v>
                </c:pt>
                <c:pt idx="65">
                  <c:v>1.74556138404905</c:v>
                </c:pt>
                <c:pt idx="66">
                  <c:v>1.7653622941463798</c:v>
                </c:pt>
                <c:pt idx="67">
                  <c:v>1.7851635575125142</c:v>
                </c:pt>
                <c:pt idx="68">
                  <c:v>1.8049651741621981</c:v>
                </c:pt>
                <c:pt idx="69">
                  <c:v>1.8247671441101785</c:v>
                </c:pt>
                <c:pt idx="70">
                  <c:v>1.8445694673712032</c:v>
                </c:pt>
                <c:pt idx="71">
                  <c:v>1.8643721439600209</c:v>
                </c:pt>
                <c:pt idx="72">
                  <c:v>1.8841751738913821</c:v>
                </c:pt>
                <c:pt idx="73">
                  <c:v>1.9039785571800363</c:v>
                </c:pt>
                <c:pt idx="74">
                  <c:v>1.9237822938407372</c:v>
                </c:pt>
                <c:pt idx="75">
                  <c:v>1.9435863838882375</c:v>
                </c:pt>
                <c:pt idx="76">
                  <c:v>1.9633908273372915</c:v>
                </c:pt>
                <c:pt idx="77">
                  <c:v>1.9831956242026552</c:v>
                </c:pt>
                <c:pt idx="78">
                  <c:v>2.0030007744990845</c:v>
                </c:pt>
                <c:pt idx="79">
                  <c:v>2.0228062782413372</c:v>
                </c:pt>
                <c:pt idx="80">
                  <c:v>2.0426121354441706</c:v>
                </c:pt>
                <c:pt idx="81">
                  <c:v>2.0624183461223455</c:v>
                </c:pt>
                <c:pt idx="82">
                  <c:v>2.0822249102906225</c:v>
                </c:pt>
                <c:pt idx="83">
                  <c:v>2.1020318279637613</c:v>
                </c:pt>
                <c:pt idx="84">
                  <c:v>2.1218390991565261</c:v>
                </c:pt>
                <c:pt idx="85">
                  <c:v>2.1416467238836789</c:v>
                </c:pt>
                <c:pt idx="86">
                  <c:v>2.1614547021599853</c:v>
                </c:pt>
                <c:pt idx="87">
                  <c:v>2.1812630340002088</c:v>
                </c:pt>
                <c:pt idx="88">
                  <c:v>2.2010717194191174</c:v>
                </c:pt>
                <c:pt idx="89">
                  <c:v>2.2208807584314769</c:v>
                </c:pt>
                <c:pt idx="90">
                  <c:v>2.2406901510520552</c:v>
                </c:pt>
                <c:pt idx="91">
                  <c:v>2.2604998972956221</c:v>
                </c:pt>
                <c:pt idx="92">
                  <c:v>2.280309997176948</c:v>
                </c:pt>
                <c:pt idx="93">
                  <c:v>2.3001204507108017</c:v>
                </c:pt>
                <c:pt idx="94">
                  <c:v>2.3199312579119553</c:v>
                </c:pt>
                <c:pt idx="95">
                  <c:v>2.3397424187951832</c:v>
                </c:pt>
                <c:pt idx="96">
                  <c:v>2.3595539333752571</c:v>
                </c:pt>
                <c:pt idx="97">
                  <c:v>2.3793658016669514</c:v>
                </c:pt>
                <c:pt idx="98">
                  <c:v>2.3991780236850424</c:v>
                </c:pt>
                <c:pt idx="99">
                  <c:v>2.4189905994443053</c:v>
                </c:pt>
                <c:pt idx="100">
                  <c:v>2.4388035289595171</c:v>
                </c:pt>
              </c:numCache>
            </c:numRef>
          </c:val>
          <c:smooth val="0"/>
          <c:extLst>
            <c:ext xmlns:c16="http://schemas.microsoft.com/office/drawing/2014/chart" uri="{C3380CC4-5D6E-409C-BE32-E72D297353CC}">
              <c16:uniqueId val="{00000001-745B-46F7-8EAC-D410ADA60268}"/>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1.0068571428571429</c:v>
                </c:pt>
                <c:pt idx="2">
                  <c:v>1.0123758485868108</c:v>
                </c:pt>
                <c:pt idx="3">
                  <c:v>1.0185637728802162</c:v>
                </c:pt>
                <c:pt idx="4">
                  <c:v>1.0247516971736217</c:v>
                </c:pt>
                <c:pt idx="5">
                  <c:v>1.030939621467027</c:v>
                </c:pt>
                <c:pt idx="6">
                  <c:v>1.0371275457604325</c:v>
                </c:pt>
                <c:pt idx="7">
                  <c:v>1.0433154700538378</c:v>
                </c:pt>
                <c:pt idx="8">
                  <c:v>1.0495033943472434</c:v>
                </c:pt>
                <c:pt idx="9">
                  <c:v>1.0556913186406487</c:v>
                </c:pt>
                <c:pt idx="10">
                  <c:v>1.0618792429340542</c:v>
                </c:pt>
                <c:pt idx="11">
                  <c:v>1.0680671672274595</c:v>
                </c:pt>
                <c:pt idx="12">
                  <c:v>1.0742550915208651</c:v>
                </c:pt>
                <c:pt idx="13">
                  <c:v>1.0804430158142704</c:v>
                </c:pt>
                <c:pt idx="14">
                  <c:v>1.0866309401076759</c:v>
                </c:pt>
                <c:pt idx="15">
                  <c:v>1.0928188644010812</c:v>
                </c:pt>
                <c:pt idx="16">
                  <c:v>1.0990067886944868</c:v>
                </c:pt>
                <c:pt idx="17">
                  <c:v>1.1051947129878921</c:v>
                </c:pt>
                <c:pt idx="18">
                  <c:v>1.1113826372812976</c:v>
                </c:pt>
                <c:pt idx="19">
                  <c:v>1.1175705615747029</c:v>
                </c:pt>
                <c:pt idx="20">
                  <c:v>1.1237584858681084</c:v>
                </c:pt>
                <c:pt idx="21">
                  <c:v>1.1299464101615138</c:v>
                </c:pt>
                <c:pt idx="22">
                  <c:v>1.1361343344549193</c:v>
                </c:pt>
                <c:pt idx="23">
                  <c:v>1.1423222587483246</c:v>
                </c:pt>
                <c:pt idx="24">
                  <c:v>1.1485101830417301</c:v>
                </c:pt>
                <c:pt idx="25">
                  <c:v>1.1546981073351354</c:v>
                </c:pt>
                <c:pt idx="26">
                  <c:v>1.160886031628541</c:v>
                </c:pt>
                <c:pt idx="27">
                  <c:v>1.1670739559219463</c:v>
                </c:pt>
                <c:pt idx="28">
                  <c:v>1.1732618802153518</c:v>
                </c:pt>
                <c:pt idx="29">
                  <c:v>1.1794498045087571</c:v>
                </c:pt>
                <c:pt idx="30">
                  <c:v>1.1856377288021624</c:v>
                </c:pt>
                <c:pt idx="31">
                  <c:v>1.191825653095568</c:v>
                </c:pt>
                <c:pt idx="32">
                  <c:v>1.1980135773889735</c:v>
                </c:pt>
                <c:pt idx="33">
                  <c:v>1.2077491997605838</c:v>
                </c:pt>
                <c:pt idx="34">
                  <c:v>1.219020686149332</c:v>
                </c:pt>
                <c:pt idx="35">
                  <c:v>1.2301280438961597</c:v>
                </c:pt>
                <c:pt idx="36">
                  <c:v>1.2410782589817444</c:v>
                </c:pt>
                <c:pt idx="37">
                  <c:v>1.2518778354288322</c:v>
                </c:pt>
                <c:pt idx="38">
                  <c:v>1.2625328406061642</c:v>
                </c:pt>
                <c:pt idx="39">
                  <c:v>1.2730489451998648</c:v>
                </c:pt>
                <c:pt idx="40">
                  <c:v>1.2834314585999471</c:v>
                </c:pt>
                <c:pt idx="41">
                  <c:v>1.293692816502807</c:v>
                </c:pt>
                <c:pt idx="42">
                  <c:v>1.3038399655163535</c:v>
                </c:pt>
                <c:pt idx="43">
                  <c:v>1.3138682200256766</c:v>
                </c:pt>
                <c:pt idx="44">
                  <c:v>1.3237817206313256</c:v>
                </c:pt>
                <c:pt idx="45">
                  <c:v>1.333584373825808</c:v>
                </c:pt>
                <c:pt idx="46">
                  <c:v>1.3509194110603944</c:v>
                </c:pt>
                <c:pt idx="47">
                  <c:v>1.3703101474723045</c:v>
                </c:pt>
                <c:pt idx="48">
                  <c:v>1.3897012000473901</c:v>
                </c:pt>
                <c:pt idx="49">
                  <c:v>1.409092384527141</c:v>
                </c:pt>
                <c:pt idx="50">
                  <c:v>1.4284834263333994</c:v>
                </c:pt>
                <c:pt idx="51">
                  <c:v>1.4478747359939961</c:v>
                </c:pt>
                <c:pt idx="52">
                  <c:v>1.4672663135176807</c:v>
                </c:pt>
                <c:pt idx="53">
                  <c:v>1.4866581589132053</c:v>
                </c:pt>
                <c:pt idx="54">
                  <c:v>1.5060502721893216</c:v>
                </c:pt>
                <c:pt idx="55">
                  <c:v>1.5254426533547849</c:v>
                </c:pt>
                <c:pt idx="56">
                  <c:v>1.5448353024183497</c:v>
                </c:pt>
                <c:pt idx="57">
                  <c:v>1.564228219388772</c:v>
                </c:pt>
                <c:pt idx="58">
                  <c:v>1.5836214042748098</c:v>
                </c:pt>
                <c:pt idx="59">
                  <c:v>1.6030148570852218</c:v>
                </c:pt>
                <c:pt idx="60">
                  <c:v>1.6224085778287662</c:v>
                </c:pt>
                <c:pt idx="61">
                  <c:v>1.6418025665142038</c:v>
                </c:pt>
                <c:pt idx="62">
                  <c:v>1.661196823150296</c:v>
                </c:pt>
                <c:pt idx="63">
                  <c:v>1.6805913477458039</c:v>
                </c:pt>
                <c:pt idx="64">
                  <c:v>1.6999861403094907</c:v>
                </c:pt>
                <c:pt idx="65">
                  <c:v>1.7193812008501195</c:v>
                </c:pt>
                <c:pt idx="66">
                  <c:v>1.7387765293764543</c:v>
                </c:pt>
                <c:pt idx="67">
                  <c:v>1.7581721258972607</c:v>
                </c:pt>
                <c:pt idx="68">
                  <c:v>1.7775679904213031</c:v>
                </c:pt>
                <c:pt idx="69">
                  <c:v>1.7969641229573479</c:v>
                </c:pt>
                <c:pt idx="70">
                  <c:v>1.8163605235141622</c:v>
                </c:pt>
                <c:pt idx="71">
                  <c:v>1.8357571921005134</c:v>
                </c:pt>
                <c:pt idx="72">
                  <c:v>1.8551541287251685</c:v>
                </c:pt>
                <c:pt idx="73">
                  <c:v>1.8745513333968973</c:v>
                </c:pt>
                <c:pt idx="74">
                  <c:v>1.8939488061244683</c:v>
                </c:pt>
                <c:pt idx="75">
                  <c:v>1.9133465469166513</c:v>
                </c:pt>
                <c:pt idx="76">
                  <c:v>1.9327445557822163</c:v>
                </c:pt>
                <c:pt idx="77">
                  <c:v>1.9521428327299339</c:v>
                </c:pt>
                <c:pt idx="78">
                  <c:v>1.9715413777685762</c:v>
                </c:pt>
                <c:pt idx="79">
                  <c:v>1.9909401909069144</c:v>
                </c:pt>
                <c:pt idx="80">
                  <c:v>2.0103392721537201</c:v>
                </c:pt>
                <c:pt idx="81">
                  <c:v>2.0297386215177671</c:v>
                </c:pt>
                <c:pt idx="82">
                  <c:v>2.0491382390078283</c:v>
                </c:pt>
                <c:pt idx="83">
                  <c:v>2.0685381246326777</c:v>
                </c:pt>
                <c:pt idx="84">
                  <c:v>2.0879382784010891</c:v>
                </c:pt>
                <c:pt idx="85">
                  <c:v>2.1073387003218373</c:v>
                </c:pt>
                <c:pt idx="86">
                  <c:v>2.1267393904036975</c:v>
                </c:pt>
                <c:pt idx="87">
                  <c:v>2.1461403486554458</c:v>
                </c:pt>
                <c:pt idx="88">
                  <c:v>2.1655415750858582</c:v>
                </c:pt>
                <c:pt idx="89">
                  <c:v>2.18494306970371</c:v>
                </c:pt>
                <c:pt idx="90">
                  <c:v>2.2043448325177804</c:v>
                </c:pt>
                <c:pt idx="91">
                  <c:v>2.2237468635368454</c:v>
                </c:pt>
                <c:pt idx="92">
                  <c:v>2.243149162769682</c:v>
                </c:pt>
                <c:pt idx="93">
                  <c:v>2.2625517302250704</c:v>
                </c:pt>
                <c:pt idx="94">
                  <c:v>2.2819545659117884</c:v>
                </c:pt>
                <c:pt idx="95">
                  <c:v>2.301357669838616</c:v>
                </c:pt>
                <c:pt idx="96">
                  <c:v>2.3207610420143316</c:v>
                </c:pt>
                <c:pt idx="97">
                  <c:v>2.3401646824477162</c:v>
                </c:pt>
                <c:pt idx="98">
                  <c:v>2.3595685911475499</c:v>
                </c:pt>
                <c:pt idx="99">
                  <c:v>2.378972768122614</c:v>
                </c:pt>
                <c:pt idx="100">
                  <c:v>2.3983772133816896</c:v>
                </c:pt>
              </c:numCache>
            </c:numRef>
          </c:val>
          <c:smooth val="0"/>
          <c:extLst>
            <c:ext xmlns:c16="http://schemas.microsoft.com/office/drawing/2014/chart" uri="{C3380CC4-5D6E-409C-BE32-E72D297353CC}">
              <c16:uniqueId val="{00000002-745B-46F7-8EAC-D410ADA60268}"/>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Single'!$CB$5:$CB$105</c:f>
              <c:numCache>
                <c:formatCode>0.00</c:formatCode>
                <c:ptCount val="101"/>
                <c:pt idx="0">
                  <c:v>7.8266521065824093E-6</c:v>
                </c:pt>
                <c:pt idx="1">
                  <c:v>45.376262507393044</c:v>
                </c:pt>
                <c:pt idx="2">
                  <c:v>53.422512411507071</c:v>
                </c:pt>
                <c:pt idx="3">
                  <c:v>56.261035242187674</c:v>
                </c:pt>
                <c:pt idx="4">
                  <c:v>57.796482508422187</c:v>
                </c:pt>
                <c:pt idx="5">
                  <c:v>58.758635238929216</c:v>
                </c:pt>
                <c:pt idx="6">
                  <c:v>59.41805526566236</c:v>
                </c:pt>
                <c:pt idx="7">
                  <c:v>59.898194224027854</c:v>
                </c:pt>
                <c:pt idx="8">
                  <c:v>60.263412739733489</c:v>
                </c:pt>
                <c:pt idx="9">
                  <c:v>60.550557231930789</c:v>
                </c:pt>
                <c:pt idx="10">
                  <c:v>60.782243186383923</c:v>
                </c:pt>
                <c:pt idx="11">
                  <c:v>60.973120584038043</c:v>
                </c:pt>
                <c:pt idx="12">
                  <c:v>61.133097050069232</c:v>
                </c:pt>
                <c:pt idx="13">
                  <c:v>61.26911312455686</c:v>
                </c:pt>
                <c:pt idx="14">
                  <c:v>61.386175606721906</c:v>
                </c:pt>
                <c:pt idx="15">
                  <c:v>61.487987162643734</c:v>
                </c:pt>
                <c:pt idx="16">
                  <c:v>61.577344979082717</c:v>
                </c:pt>
                <c:pt idx="17">
                  <c:v>61.656401607621092</c:v>
                </c:pt>
                <c:pt idx="18">
                  <c:v>61.726840550351547</c:v>
                </c:pt>
                <c:pt idx="19">
                  <c:v>61.789997419269561</c:v>
                </c:pt>
                <c:pt idx="20">
                  <c:v>61.846945384773036</c:v>
                </c:pt>
                <c:pt idx="21">
                  <c:v>61.898556618078928</c:v>
                </c:pt>
                <c:pt idx="22">
                  <c:v>61.945547243983391</c:v>
                </c:pt>
                <c:pt idx="23">
                  <c:v>61.988510745910673</c:v>
                </c:pt>
                <c:pt idx="24">
                  <c:v>62.027943142006869</c:v>
                </c:pt>
                <c:pt idx="25">
                  <c:v>62.06426220397212</c:v>
                </c:pt>
                <c:pt idx="26">
                  <c:v>62.097822300802555</c:v>
                </c:pt>
                <c:pt idx="27">
                  <c:v>62.128925986934433</c:v>
                </c:pt>
                <c:pt idx="28">
                  <c:v>62.157833138451494</c:v>
                </c:pt>
                <c:pt idx="29">
                  <c:v>62.184768222010845</c:v>
                </c:pt>
                <c:pt idx="30">
                  <c:v>62.209926127066609</c:v>
                </c:pt>
                <c:pt idx="31">
                  <c:v>62.233476882117479</c:v>
                </c:pt>
                <c:pt idx="32">
                  <c:v>62.255569496406608</c:v>
                </c:pt>
                <c:pt idx="33">
                  <c:v>62.558580281018251</c:v>
                </c:pt>
                <c:pt idx="34">
                  <c:v>62.979343064335765</c:v>
                </c:pt>
                <c:pt idx="35">
                  <c:v>63.382750470284698</c:v>
                </c:pt>
                <c:pt idx="36">
                  <c:v>63.769906145216822</c:v>
                </c:pt>
                <c:pt idx="37">
                  <c:v>64.141819972211891</c:v>
                </c:pt>
                <c:pt idx="38">
                  <c:v>64.499417959188548</c:v>
                </c:pt>
                <c:pt idx="39">
                  <c:v>64.843548793532975</c:v>
                </c:pt>
                <c:pt idx="40">
                  <c:v>65.174859323559332</c:v>
                </c:pt>
                <c:pt idx="41">
                  <c:v>65.731238422040178</c:v>
                </c:pt>
                <c:pt idx="42">
                  <c:v>66.386659054800404</c:v>
                </c:pt>
                <c:pt idx="43">
                  <c:v>67.013201079893761</c:v>
                </c:pt>
                <c:pt idx="44">
                  <c:v>67.562694392387499</c:v>
                </c:pt>
                <c:pt idx="45">
                  <c:v>68.056061776577323</c:v>
                </c:pt>
                <c:pt idx="46">
                  <c:v>68.527901159144093</c:v>
                </c:pt>
                <c:pt idx="47">
                  <c:v>68.979440495811801</c:v>
                </c:pt>
                <c:pt idx="48">
                  <c:v>69.411856255905562</c:v>
                </c:pt>
                <c:pt idx="49">
                  <c:v>69.826115461578212</c:v>
                </c:pt>
                <c:pt idx="50">
                  <c:v>70.223198661329192</c:v>
                </c:pt>
                <c:pt idx="51">
                  <c:v>70.604023352758688</c:v>
                </c:pt>
                <c:pt idx="52">
                  <c:v>70.969448470244899</c:v>
                </c:pt>
                <c:pt idx="53">
                  <c:v>71.320278546204634</c:v>
                </c:pt>
                <c:pt idx="54">
                  <c:v>71.657267566529242</c:v>
                </c:pt>
                <c:pt idx="55">
                  <c:v>71.981122540477216</c:v>
                </c:pt>
                <c:pt idx="56">
                  <c:v>72.292506804706775</c:v>
                </c:pt>
                <c:pt idx="57">
                  <c:v>72.59204308033749</c:v>
                </c:pt>
                <c:pt idx="58">
                  <c:v>72.880316301012513</c:v>
                </c:pt>
                <c:pt idx="59">
                  <c:v>73.157876228939756</c:v>
                </c:pt>
                <c:pt idx="60">
                  <c:v>73.425239874867231</c:v>
                </c:pt>
                <c:pt idx="61">
                  <c:v>73.682893736917634</c:v>
                </c:pt>
                <c:pt idx="62">
                  <c:v>73.93129587219363</c:v>
                </c:pt>
                <c:pt idx="63">
                  <c:v>74.170877814083909</c:v>
                </c:pt>
                <c:pt idx="64">
                  <c:v>74.402046347256189</c:v>
                </c:pt>
                <c:pt idx="65">
                  <c:v>74.625185151429889</c:v>
                </c:pt>
                <c:pt idx="66">
                  <c:v>74.840656324174603</c:v>
                </c:pt>
                <c:pt idx="67">
                  <c:v>75.048801792188996</c:v>
                </c:pt>
                <c:pt idx="68">
                  <c:v>75.249944619773018</c:v>
                </c:pt>
                <c:pt idx="69">
                  <c:v>75.444390222517839</c:v>
                </c:pt>
                <c:pt idx="70">
                  <c:v>75.632427493597646</c:v>
                </c:pt>
                <c:pt idx="71">
                  <c:v>75.814329849456087</c:v>
                </c:pt>
                <c:pt idx="72">
                  <c:v>75.990356201133196</c:v>
                </c:pt>
                <c:pt idx="73">
                  <c:v>76.160751856974102</c:v>
                </c:pt>
                <c:pt idx="74">
                  <c:v>76.325749361997481</c:v>
                </c:pt>
                <c:pt idx="75">
                  <c:v>76.485569278773923</c:v>
                </c:pt>
                <c:pt idx="76">
                  <c:v>76.640420914272909</c:v>
                </c:pt>
                <c:pt idx="77">
                  <c:v>76.7905029967758</c:v>
                </c:pt>
                <c:pt idx="78">
                  <c:v>76.936004306622976</c:v>
                </c:pt>
                <c:pt idx="79">
                  <c:v>77.077104264258637</c:v>
                </c:pt>
                <c:pt idx="80">
                  <c:v>77.213973478759996</c:v>
                </c:pt>
                <c:pt idx="81">
                  <c:v>77.346774259781427</c:v>
                </c:pt>
                <c:pt idx="82">
                  <c:v>77.475661095611144</c:v>
                </c:pt>
                <c:pt idx="83">
                  <c:v>77.60078109982372</c:v>
                </c:pt>
                <c:pt idx="84">
                  <c:v>77.722274428814657</c:v>
                </c:pt>
                <c:pt idx="85">
                  <c:v>77.840274672324071</c:v>
                </c:pt>
                <c:pt idx="86">
                  <c:v>77.954909218890649</c:v>
                </c:pt>
                <c:pt idx="87">
                  <c:v>78.066299598026063</c:v>
                </c:pt>
                <c:pt idx="88">
                  <c:v>78.174561800760983</c:v>
                </c:pt>
                <c:pt idx="89">
                  <c:v>78.279806580086259</c:v>
                </c:pt>
                <c:pt idx="90">
                  <c:v>78.382139732696146</c:v>
                </c:pt>
                <c:pt idx="91">
                  <c:v>78.481662363332788</c:v>
                </c:pt>
                <c:pt idx="92">
                  <c:v>78.578471132932762</c:v>
                </c:pt>
                <c:pt idx="93">
                  <c:v>78.672658491685652</c:v>
                </c:pt>
                <c:pt idx="94">
                  <c:v>78.764312898031591</c:v>
                </c:pt>
                <c:pt idx="95">
                  <c:v>78.853519024547879</c:v>
                </c:pt>
                <c:pt idx="96">
                  <c:v>78.940357951604639</c:v>
                </c:pt>
                <c:pt idx="97">
                  <c:v>79.024907349604433</c:v>
                </c:pt>
                <c:pt idx="98">
                  <c:v>79.107241650561207</c:v>
                </c:pt>
                <c:pt idx="99">
                  <c:v>79.187432209718935</c:v>
                </c:pt>
                <c:pt idx="100">
                  <c:v>79.265547457859739</c:v>
                </c:pt>
              </c:numCache>
            </c:numRef>
          </c:val>
          <c:smooth val="0"/>
          <c:extLst>
            <c:ext xmlns:c16="http://schemas.microsoft.com/office/drawing/2014/chart" uri="{C3380CC4-5D6E-409C-BE32-E72D297353CC}">
              <c16:uniqueId val="{00000000-8093-4275-A0A4-629DC5917466}"/>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6.2124999999999988E-7</c:v>
                </c:pt>
                <c:pt idx="1">
                  <c:v>7.4549999999999992</c:v>
                </c:pt>
                <c:pt idx="2">
                  <c:v>14.909999999999998</c:v>
                </c:pt>
                <c:pt idx="3">
                  <c:v>22.364999999999995</c:v>
                </c:pt>
                <c:pt idx="4">
                  <c:v>29.819999999999997</c:v>
                </c:pt>
                <c:pt idx="5">
                  <c:v>37.274999999999999</c:v>
                </c:pt>
                <c:pt idx="6">
                  <c:v>44.72999999999999</c:v>
                </c:pt>
                <c:pt idx="7">
                  <c:v>52.184999999999995</c:v>
                </c:pt>
                <c:pt idx="8">
                  <c:v>59.639999999999993</c:v>
                </c:pt>
                <c:pt idx="9">
                  <c:v>67.094999999999999</c:v>
                </c:pt>
                <c:pt idx="10">
                  <c:v>74.55</c:v>
                </c:pt>
                <c:pt idx="11">
                  <c:v>82.004999999999995</c:v>
                </c:pt>
                <c:pt idx="12">
                  <c:v>89.45999999999998</c:v>
                </c:pt>
                <c:pt idx="13">
                  <c:v>96.914999999999992</c:v>
                </c:pt>
                <c:pt idx="14">
                  <c:v>104.36999999999999</c:v>
                </c:pt>
                <c:pt idx="15">
                  <c:v>111.82499999999999</c:v>
                </c:pt>
                <c:pt idx="16">
                  <c:v>119.27999999999999</c:v>
                </c:pt>
                <c:pt idx="17">
                  <c:v>126.73500000000001</c:v>
                </c:pt>
                <c:pt idx="18">
                  <c:v>134.19</c:v>
                </c:pt>
                <c:pt idx="19">
                  <c:v>141.64499999999995</c:v>
                </c:pt>
                <c:pt idx="20">
                  <c:v>149.1</c:v>
                </c:pt>
                <c:pt idx="21">
                  <c:v>156.55500000000001</c:v>
                </c:pt>
                <c:pt idx="22">
                  <c:v>164.01</c:v>
                </c:pt>
                <c:pt idx="23">
                  <c:v>171.465</c:v>
                </c:pt>
                <c:pt idx="24">
                  <c:v>178.91999999999996</c:v>
                </c:pt>
                <c:pt idx="25">
                  <c:v>186.37499999999997</c:v>
                </c:pt>
                <c:pt idx="26">
                  <c:v>193.82999999999998</c:v>
                </c:pt>
                <c:pt idx="27">
                  <c:v>201.285</c:v>
                </c:pt>
                <c:pt idx="28">
                  <c:v>208.73999999999998</c:v>
                </c:pt>
                <c:pt idx="29">
                  <c:v>216.19499999999994</c:v>
                </c:pt>
                <c:pt idx="30">
                  <c:v>223.64999999999998</c:v>
                </c:pt>
                <c:pt idx="31">
                  <c:v>231.10499999999996</c:v>
                </c:pt>
                <c:pt idx="32">
                  <c:v>238.55999999999997</c:v>
                </c:pt>
                <c:pt idx="33">
                  <c:v>246.01499999999999</c:v>
                </c:pt>
                <c:pt idx="34">
                  <c:v>253.47000000000003</c:v>
                </c:pt>
                <c:pt idx="35">
                  <c:v>260.92499999999995</c:v>
                </c:pt>
                <c:pt idx="36">
                  <c:v>268.38</c:v>
                </c:pt>
                <c:pt idx="37">
                  <c:v>275.83499999999992</c:v>
                </c:pt>
                <c:pt idx="38">
                  <c:v>283.28999999999991</c:v>
                </c:pt>
                <c:pt idx="39">
                  <c:v>290.74499999999995</c:v>
                </c:pt>
                <c:pt idx="40">
                  <c:v>298.2</c:v>
                </c:pt>
                <c:pt idx="41">
                  <c:v>305.65499999999992</c:v>
                </c:pt>
                <c:pt idx="42">
                  <c:v>313.11</c:v>
                </c:pt>
                <c:pt idx="43">
                  <c:v>320.56499999999994</c:v>
                </c:pt>
                <c:pt idx="44">
                  <c:v>328.02</c:v>
                </c:pt>
                <c:pt idx="45">
                  <c:v>335.47499999999997</c:v>
                </c:pt>
                <c:pt idx="46">
                  <c:v>342.93</c:v>
                </c:pt>
                <c:pt idx="47">
                  <c:v>350.38499999999993</c:v>
                </c:pt>
                <c:pt idx="48">
                  <c:v>357.83999999999992</c:v>
                </c:pt>
                <c:pt idx="49">
                  <c:v>365.2949999999999</c:v>
                </c:pt>
                <c:pt idx="50">
                  <c:v>372.74999999999994</c:v>
                </c:pt>
                <c:pt idx="51">
                  <c:v>380.20499999999998</c:v>
                </c:pt>
                <c:pt idx="52">
                  <c:v>387.65999999999997</c:v>
                </c:pt>
                <c:pt idx="53">
                  <c:v>395.11500000000001</c:v>
                </c:pt>
                <c:pt idx="54">
                  <c:v>402.57</c:v>
                </c:pt>
                <c:pt idx="55">
                  <c:v>410.02499999999998</c:v>
                </c:pt>
                <c:pt idx="56">
                  <c:v>417.47999999999996</c:v>
                </c:pt>
                <c:pt idx="57">
                  <c:v>424.93499999999995</c:v>
                </c:pt>
                <c:pt idx="58">
                  <c:v>432.38999999999987</c:v>
                </c:pt>
                <c:pt idx="59">
                  <c:v>439.84499999999991</c:v>
                </c:pt>
                <c:pt idx="60">
                  <c:v>447.29999999999995</c:v>
                </c:pt>
                <c:pt idx="61">
                  <c:v>454.75499999999994</c:v>
                </c:pt>
                <c:pt idx="62">
                  <c:v>462.20999999999992</c:v>
                </c:pt>
                <c:pt idx="63">
                  <c:v>469.66500000000002</c:v>
                </c:pt>
                <c:pt idx="64">
                  <c:v>477.11999999999995</c:v>
                </c:pt>
                <c:pt idx="65">
                  <c:v>484.57499999999993</c:v>
                </c:pt>
                <c:pt idx="66">
                  <c:v>492.03</c:v>
                </c:pt>
                <c:pt idx="67">
                  <c:v>499.48499999999996</c:v>
                </c:pt>
                <c:pt idx="68">
                  <c:v>506.94000000000005</c:v>
                </c:pt>
                <c:pt idx="69">
                  <c:v>514.39499999999987</c:v>
                </c:pt>
                <c:pt idx="70">
                  <c:v>521.84999999999991</c:v>
                </c:pt>
                <c:pt idx="71">
                  <c:v>529.30499999999995</c:v>
                </c:pt>
                <c:pt idx="72">
                  <c:v>536.76</c:v>
                </c:pt>
                <c:pt idx="73">
                  <c:v>544.21499999999992</c:v>
                </c:pt>
                <c:pt idx="74">
                  <c:v>551.66999999999985</c:v>
                </c:pt>
                <c:pt idx="75">
                  <c:v>559.12499999999989</c:v>
                </c:pt>
                <c:pt idx="76">
                  <c:v>566.57999999999981</c:v>
                </c:pt>
                <c:pt idx="77">
                  <c:v>574.03499999999997</c:v>
                </c:pt>
                <c:pt idx="78">
                  <c:v>581.4899999999999</c:v>
                </c:pt>
                <c:pt idx="79">
                  <c:v>588.94499999999994</c:v>
                </c:pt>
                <c:pt idx="80">
                  <c:v>596.4</c:v>
                </c:pt>
                <c:pt idx="81">
                  <c:v>603.8549999999999</c:v>
                </c:pt>
                <c:pt idx="82">
                  <c:v>611.30999999999983</c:v>
                </c:pt>
                <c:pt idx="83">
                  <c:v>618.76499999999987</c:v>
                </c:pt>
                <c:pt idx="84">
                  <c:v>626.22</c:v>
                </c:pt>
                <c:pt idx="85">
                  <c:v>633.67499999999995</c:v>
                </c:pt>
                <c:pt idx="86">
                  <c:v>641.12999999999988</c:v>
                </c:pt>
                <c:pt idx="87">
                  <c:v>648.58499999999992</c:v>
                </c:pt>
                <c:pt idx="88">
                  <c:v>656.04</c:v>
                </c:pt>
                <c:pt idx="89">
                  <c:v>663.495</c:v>
                </c:pt>
                <c:pt idx="90">
                  <c:v>670.94999999999993</c:v>
                </c:pt>
                <c:pt idx="91">
                  <c:v>678.40499999999997</c:v>
                </c:pt>
                <c:pt idx="92">
                  <c:v>685.86</c:v>
                </c:pt>
                <c:pt idx="93">
                  <c:v>693.31500000000005</c:v>
                </c:pt>
                <c:pt idx="94">
                  <c:v>700.76999999999987</c:v>
                </c:pt>
                <c:pt idx="95">
                  <c:v>708.22499999999991</c:v>
                </c:pt>
                <c:pt idx="96">
                  <c:v>715.67999999999984</c:v>
                </c:pt>
                <c:pt idx="97">
                  <c:v>723.13499999999988</c:v>
                </c:pt>
                <c:pt idx="98">
                  <c:v>730.5899999999998</c:v>
                </c:pt>
                <c:pt idx="99">
                  <c:v>738.04499999999985</c:v>
                </c:pt>
                <c:pt idx="100">
                  <c:v>745.49999999999989</c:v>
                </c:pt>
              </c:numCache>
            </c:numRef>
          </c:val>
          <c:smooth val="0"/>
          <c:extLst>
            <c:ext xmlns:c16="http://schemas.microsoft.com/office/drawing/2014/chart" uri="{C3380CC4-5D6E-409C-BE32-E72D297353CC}">
              <c16:uniqueId val="{00000001-8093-4275-A0A4-629DC5917466}"/>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15.462346876556126</c:v>
                </c:pt>
                <c:pt idx="1">
                  <c:v>15.467193684793338</c:v>
                </c:pt>
                <c:pt idx="2">
                  <c:v>27.915945359476886</c:v>
                </c:pt>
                <c:pt idx="3">
                  <c:v>41.874097696621682</c:v>
                </c:pt>
                <c:pt idx="4">
                  <c:v>55.832369807426247</c:v>
                </c:pt>
                <c:pt idx="5">
                  <c:v>69.79076169343216</c:v>
                </c:pt>
                <c:pt idx="6">
                  <c:v>83.749273356181178</c:v>
                </c:pt>
                <c:pt idx="7">
                  <c:v>97.707904797215022</c:v>
                </c:pt>
                <c:pt idx="8">
                  <c:v>111.66665601807537</c:v>
                </c:pt>
                <c:pt idx="9">
                  <c:v>125.62552702030405</c:v>
                </c:pt>
                <c:pt idx="10">
                  <c:v>139.58451780544272</c:v>
                </c:pt>
                <c:pt idx="11">
                  <c:v>153.54362837503334</c:v>
                </c:pt>
                <c:pt idx="12">
                  <c:v>167.50285873061762</c:v>
                </c:pt>
                <c:pt idx="13">
                  <c:v>181.46220887373767</c:v>
                </c:pt>
                <c:pt idx="14">
                  <c:v>195.42167880593513</c:v>
                </c:pt>
                <c:pt idx="15">
                  <c:v>209.38126852875203</c:v>
                </c:pt>
                <c:pt idx="16">
                  <c:v>223.34097804373027</c:v>
                </c:pt>
                <c:pt idx="17">
                  <c:v>237.30080735241188</c:v>
                </c:pt>
                <c:pt idx="18">
                  <c:v>251.26075645633895</c:v>
                </c:pt>
                <c:pt idx="19">
                  <c:v>265.22082535705317</c:v>
                </c:pt>
                <c:pt idx="20">
                  <c:v>279.1810140560969</c:v>
                </c:pt>
                <c:pt idx="21">
                  <c:v>293.14132255501227</c:v>
                </c:pt>
                <c:pt idx="22">
                  <c:v>307.10175085534109</c:v>
                </c:pt>
                <c:pt idx="23">
                  <c:v>321.06229895862589</c:v>
                </c:pt>
                <c:pt idx="24">
                  <c:v>335.0229668664083</c:v>
                </c:pt>
                <c:pt idx="25">
                  <c:v>348.98375458023099</c:v>
                </c:pt>
                <c:pt idx="26">
                  <c:v>362.94466210163608</c:v>
                </c:pt>
                <c:pt idx="27">
                  <c:v>376.9056894321655</c:v>
                </c:pt>
                <c:pt idx="28">
                  <c:v>390.86683657336198</c:v>
                </c:pt>
                <c:pt idx="29">
                  <c:v>404.82810352676728</c:v>
                </c:pt>
                <c:pt idx="30">
                  <c:v>418.7894902939243</c:v>
                </c:pt>
                <c:pt idx="31">
                  <c:v>432.75099687637481</c:v>
                </c:pt>
                <c:pt idx="32">
                  <c:v>446.71262327566177</c:v>
                </c:pt>
                <c:pt idx="33">
                  <c:v>454.88900385616824</c:v>
                </c:pt>
                <c:pt idx="34">
                  <c:v>460.26405195435018</c:v>
                </c:pt>
                <c:pt idx="35">
                  <c:v>465.56206743508591</c:v>
                </c:pt>
                <c:pt idx="36">
                  <c:v>470.78634827274431</c:v>
                </c:pt>
                <c:pt idx="37">
                  <c:v>475.93996471455932</c:v>
                </c:pt>
                <c:pt idx="38">
                  <c:v>481.02578069516119</c:v>
                </c:pt>
                <c:pt idx="39">
                  <c:v>486.04663173354942</c:v>
                </c:pt>
                <c:pt idx="40">
                  <c:v>491.01545905927702</c:v>
                </c:pt>
                <c:pt idx="41">
                  <c:v>488.5917050294201</c:v>
                </c:pt>
                <c:pt idx="42">
                  <c:v>482.44330908468123</c:v>
                </c:pt>
                <c:pt idx="43">
                  <c:v>476.51025727368409</c:v>
                </c:pt>
                <c:pt idx="44">
                  <c:v>473.41740824546889</c:v>
                </c:pt>
                <c:pt idx="45">
                  <c:v>472.13925445799367</c:v>
                </c:pt>
                <c:pt idx="46">
                  <c:v>470.9184375916609</c:v>
                </c:pt>
                <c:pt idx="47">
                  <c:v>469.75048022601288</c:v>
                </c:pt>
                <c:pt idx="48">
                  <c:v>468.62997889342614</c:v>
                </c:pt>
                <c:pt idx="49">
                  <c:v>467.55736828044411</c:v>
                </c:pt>
                <c:pt idx="50">
                  <c:v>466.53001505550992</c:v>
                </c:pt>
                <c:pt idx="51">
                  <c:v>465.54548088049802</c:v>
                </c:pt>
                <c:pt idx="52">
                  <c:v>464.6015046937145</c:v>
                </c:pt>
                <c:pt idx="53">
                  <c:v>463.69598689014686</c:v>
                </c:pt>
                <c:pt idx="54">
                  <c:v>462.82697516609289</c:v>
                </c:pt>
                <c:pt idx="55">
                  <c:v>461.99265182739333</c:v>
                </c:pt>
                <c:pt idx="56">
                  <c:v>461.19132238770652</c:v>
                </c:pt>
                <c:pt idx="57">
                  <c:v>460.42140530639989</c:v>
                </c:pt>
                <c:pt idx="58">
                  <c:v>459.68142273533812</c:v>
                </c:pt>
                <c:pt idx="59">
                  <c:v>458.9699921607197</c:v>
                </c:pt>
                <c:pt idx="60">
                  <c:v>458.28581884055671</c:v>
                </c:pt>
                <c:pt idx="61">
                  <c:v>457.62768895081513</c:v>
                </c:pt>
                <c:pt idx="62">
                  <c:v>456.99446336393089</c:v>
                </c:pt>
                <c:pt idx="63">
                  <c:v>456.38507199266502</c:v>
                </c:pt>
                <c:pt idx="64">
                  <c:v>455.79850864025514</c:v>
                </c:pt>
                <c:pt idx="65">
                  <c:v>455.2338263047692</c:v>
                </c:pt>
                <c:pt idx="66">
                  <c:v>454.69013289160245</c:v>
                </c:pt>
                <c:pt idx="67">
                  <c:v>454.16658729331925</c:v>
                </c:pt>
                <c:pt idx="68">
                  <c:v>453.66239580063933</c:v>
                </c:pt>
                <c:pt idx="69">
                  <c:v>453.17680881238596</c:v>
                </c:pt>
                <c:pt idx="70">
                  <c:v>452.70911781574011</c:v>
                </c:pt>
                <c:pt idx="71">
                  <c:v>452.25865261124204</c:v>
                </c:pt>
                <c:pt idx="72">
                  <c:v>451.82477875970568</c:v>
                </c:pt>
                <c:pt idx="73">
                  <c:v>451.40689523061337</c:v>
                </c:pt>
                <c:pt idx="74">
                  <c:v>451.0044322336845</c:v>
                </c:pt>
                <c:pt idx="75">
                  <c:v>450.61684921718165</c:v>
                </c:pt>
                <c:pt idx="76">
                  <c:v>450.24363301818943</c:v>
                </c:pt>
                <c:pt idx="77">
                  <c:v>449.88429615156997</c:v>
                </c:pt>
                <c:pt idx="78">
                  <c:v>449.53837522561747</c:v>
                </c:pt>
                <c:pt idx="79">
                  <c:v>449.20542947359888</c:v>
                </c:pt>
                <c:pt idx="80">
                  <c:v>448.88503939140969</c:v>
                </c:pt>
                <c:pt idx="81">
                  <c:v>448.57680547250749</c:v>
                </c:pt>
                <c:pt idx="82">
                  <c:v>448.28034703211318</c:v>
                </c:pt>
                <c:pt idx="83">
                  <c:v>447.99530111341551</c:v>
                </c:pt>
                <c:pt idx="84">
                  <c:v>447.72132146918665</c:v>
                </c:pt>
                <c:pt idx="85">
                  <c:v>447.45807761280685</c:v>
                </c:pt>
                <c:pt idx="86">
                  <c:v>447.20525393324777</c:v>
                </c:pt>
                <c:pt idx="87">
                  <c:v>446.96254886903415</c:v>
                </c:pt>
                <c:pt idx="88">
                  <c:v>446.72967413665481</c:v>
                </c:pt>
                <c:pt idx="89">
                  <c:v>446.50635400927655</c:v>
                </c:pt>
                <c:pt idx="90">
                  <c:v>446.29232464197986</c:v>
                </c:pt>
                <c:pt idx="91">
                  <c:v>446.08733344005032</c:v>
                </c:pt>
                <c:pt idx="92">
                  <c:v>445.89113846715486</c:v>
                </c:pt>
                <c:pt idx="93">
                  <c:v>445.70350789049763</c:v>
                </c:pt>
                <c:pt idx="94">
                  <c:v>445.52421946028306</c:v>
                </c:pt>
                <c:pt idx="95">
                  <c:v>445.35306002104181</c:v>
                </c:pt>
                <c:pt idx="96">
                  <c:v>445.18982505256275</c:v>
                </c:pt>
                <c:pt idx="97">
                  <c:v>445.03431823836223</c:v>
                </c:pt>
                <c:pt idx="98">
                  <c:v>444.88635105978074</c:v>
                </c:pt>
                <c:pt idx="99">
                  <c:v>444.74574241394964</c:v>
                </c:pt>
                <c:pt idx="100">
                  <c:v>444.61231825400711</c:v>
                </c:pt>
              </c:numCache>
            </c:numRef>
          </c:val>
          <c:smooth val="0"/>
          <c:extLst>
            <c:ext xmlns:c16="http://schemas.microsoft.com/office/drawing/2014/chart" uri="{C3380CC4-5D6E-409C-BE32-E72D297353CC}">
              <c16:uniqueId val="{00000002-8093-4275-A0A4-629DC5917466}"/>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12.421928017413927</c:v>
                </c:pt>
                <c:pt idx="1">
                  <c:v>13.322648518815051</c:v>
                </c:pt>
                <c:pt idx="2">
                  <c:v>14.233026830303141</c:v>
                </c:pt>
                <c:pt idx="3">
                  <c:v>15.144576274277764</c:v>
                </c:pt>
                <c:pt idx="4">
                  <c:v>16.056125718252396</c:v>
                </c:pt>
                <c:pt idx="5">
                  <c:v>16.967675162227021</c:v>
                </c:pt>
                <c:pt idx="6">
                  <c:v>17.879224606201653</c:v>
                </c:pt>
                <c:pt idx="7">
                  <c:v>18.790774050176278</c:v>
                </c:pt>
                <c:pt idx="8">
                  <c:v>19.70232349415091</c:v>
                </c:pt>
                <c:pt idx="9">
                  <c:v>20.613872938125535</c:v>
                </c:pt>
                <c:pt idx="10">
                  <c:v>21.525422382100167</c:v>
                </c:pt>
                <c:pt idx="11">
                  <c:v>22.436971826074796</c:v>
                </c:pt>
                <c:pt idx="12">
                  <c:v>23.348521270049428</c:v>
                </c:pt>
                <c:pt idx="13">
                  <c:v>24.260070714024049</c:v>
                </c:pt>
                <c:pt idx="14">
                  <c:v>25.171620157998678</c:v>
                </c:pt>
                <c:pt idx="15">
                  <c:v>26.083169601973303</c:v>
                </c:pt>
                <c:pt idx="16">
                  <c:v>26.994719045947935</c:v>
                </c:pt>
                <c:pt idx="17">
                  <c:v>27.906268489922564</c:v>
                </c:pt>
                <c:pt idx="18">
                  <c:v>28.817817933897199</c:v>
                </c:pt>
                <c:pt idx="19">
                  <c:v>29.729367377871824</c:v>
                </c:pt>
                <c:pt idx="20">
                  <c:v>30.640916821846449</c:v>
                </c:pt>
                <c:pt idx="21">
                  <c:v>31.552466265821089</c:v>
                </c:pt>
                <c:pt idx="22">
                  <c:v>32.46401570979571</c:v>
                </c:pt>
                <c:pt idx="23">
                  <c:v>33.375565153770332</c:v>
                </c:pt>
                <c:pt idx="24">
                  <c:v>34.287114597744967</c:v>
                </c:pt>
                <c:pt idx="25">
                  <c:v>35.198664041719589</c:v>
                </c:pt>
                <c:pt idx="26">
                  <c:v>36.110213485694231</c:v>
                </c:pt>
                <c:pt idx="27">
                  <c:v>37.021762929668846</c:v>
                </c:pt>
                <c:pt idx="28">
                  <c:v>37.933312373643481</c:v>
                </c:pt>
                <c:pt idx="29">
                  <c:v>38.844861817618103</c:v>
                </c:pt>
                <c:pt idx="30">
                  <c:v>39.756411261592731</c:v>
                </c:pt>
                <c:pt idx="31">
                  <c:v>40.667960705567367</c:v>
                </c:pt>
                <c:pt idx="32">
                  <c:v>41.579510149541989</c:v>
                </c:pt>
                <c:pt idx="33">
                  <c:v>42.752791260389074</c:v>
                </c:pt>
                <c:pt idx="34">
                  <c:v>44.049957002085279</c:v>
                </c:pt>
                <c:pt idx="35">
                  <c:v>45.347210414182854</c:v>
                </c:pt>
                <c:pt idx="36">
                  <c:v>46.644551165645495</c:v>
                </c:pt>
                <c:pt idx="37">
                  <c:v>47.941978939705798</c:v>
                </c:pt>
                <c:pt idx="38">
                  <c:v>49.23949343289167</c:v>
                </c:pt>
                <c:pt idx="39">
                  <c:v>50.537104037929161</c:v>
                </c:pt>
                <c:pt idx="40">
                  <c:v>51.83545511189525</c:v>
                </c:pt>
                <c:pt idx="41">
                  <c:v>53.12736942054164</c:v>
                </c:pt>
                <c:pt idx="42">
                  <c:v>54.415890937674391</c:v>
                </c:pt>
                <c:pt idx="43">
                  <c:v>55.704509635970446</c:v>
                </c:pt>
                <c:pt idx="44">
                  <c:v>57.236031723400508</c:v>
                </c:pt>
                <c:pt idx="45">
                  <c:v>58.93941459782797</c:v>
                </c:pt>
                <c:pt idx="46">
                  <c:v>60.660790800920836</c:v>
                </c:pt>
                <c:pt idx="47">
                  <c:v>62.400158710585814</c:v>
                </c:pt>
                <c:pt idx="48">
                  <c:v>64.157502107801974</c:v>
                </c:pt>
                <c:pt idx="49">
                  <c:v>65.932862730896943</c:v>
                </c:pt>
                <c:pt idx="50">
                  <c:v>67.726250509044092</c:v>
                </c:pt>
                <c:pt idx="51">
                  <c:v>69.537675504275541</c:v>
                </c:pt>
                <c:pt idx="52">
                  <c:v>71.367147911077595</c:v>
                </c:pt>
                <c:pt idx="53">
                  <c:v>73.214678056049053</c:v>
                </c:pt>
                <c:pt idx="54">
                  <c:v>75.080276397615222</c:v>
                </c:pt>
                <c:pt idx="55">
                  <c:v>76.96395352579087</c:v>
                </c:pt>
                <c:pt idx="56">
                  <c:v>78.865720161987255</c:v>
                </c:pt>
                <c:pt idx="57">
                  <c:v>80.785587158857382</c:v>
                </c:pt>
                <c:pt idx="58">
                  <c:v>82.723565500176178</c:v>
                </c:pt>
                <c:pt idx="59">
                  <c:v>84.679666300751663</c:v>
                </c:pt>
                <c:pt idx="60">
                  <c:v>86.653900806363694</c:v>
                </c:pt>
                <c:pt idx="61">
                  <c:v>88.646280393727935</c:v>
                </c:pt>
                <c:pt idx="62">
                  <c:v>90.656816570482263</c:v>
                </c:pt>
                <c:pt idx="63">
                  <c:v>92.685520975193626</c:v>
                </c:pt>
                <c:pt idx="64">
                  <c:v>94.732405377383287</c:v>
                </c:pt>
                <c:pt idx="65">
                  <c:v>96.797481677569351</c:v>
                </c:pt>
                <c:pt idx="66">
                  <c:v>98.880761907324228</c:v>
                </c:pt>
                <c:pt idx="67">
                  <c:v>100.98225822934643</c:v>
                </c:pt>
                <c:pt idx="68">
                  <c:v>103.10198293754516</c:v>
                </c:pt>
                <c:pt idx="69">
                  <c:v>105.2399484571372</c:v>
                </c:pt>
                <c:pt idx="70">
                  <c:v>107.3961673447544</c:v>
                </c:pt>
                <c:pt idx="71">
                  <c:v>109.57065228856138</c:v>
                </c:pt>
                <c:pt idx="72">
                  <c:v>111.76341610838297</c:v>
                </c:pt>
                <c:pt idx="73">
                  <c:v>113.97447175584028</c:v>
                </c:pt>
                <c:pt idx="74">
                  <c:v>116.20383231449517</c:v>
                </c:pt>
                <c:pt idx="75">
                  <c:v>118.45151100000218</c:v>
                </c:pt>
                <c:pt idx="76">
                  <c:v>120.71752116026786</c:v>
                </c:pt>
                <c:pt idx="77">
                  <c:v>123.00187627561724</c:v>
                </c:pt>
                <c:pt idx="78">
                  <c:v>125.30458995896593</c:v>
                </c:pt>
                <c:pt idx="79">
                  <c:v>127.6256759559995</c:v>
                </c:pt>
                <c:pt idx="80">
                  <c:v>129.96514814535752</c:v>
                </c:pt>
                <c:pt idx="81">
                  <c:v>132.32302053882412</c:v>
                </c:pt>
                <c:pt idx="82">
                  <c:v>134.69930728152306</c:v>
                </c:pt>
                <c:pt idx="83">
                  <c:v>137.09402265211818</c:v>
                </c:pt>
                <c:pt idx="84">
                  <c:v>139.5071810630192</c:v>
                </c:pt>
                <c:pt idx="85">
                  <c:v>141.93879706059121</c:v>
                </c:pt>
                <c:pt idx="86">
                  <c:v>144.38888532536927</c:v>
                </c:pt>
                <c:pt idx="87">
                  <c:v>146.8574606722776</c:v>
                </c:pt>
                <c:pt idx="88">
                  <c:v>149.34453805085226</c:v>
                </c:pt>
                <c:pt idx="89">
                  <c:v>151.85013254546871</c:v>
                </c:pt>
                <c:pt idx="90">
                  <c:v>154.37425937557271</c:v>
                </c:pt>
                <c:pt idx="91">
                  <c:v>156.91693389591543</c:v>
                </c:pt>
                <c:pt idx="92">
                  <c:v>159.47817159679252</c:v>
                </c:pt>
                <c:pt idx="93">
                  <c:v>162.05798810428627</c:v>
                </c:pt>
                <c:pt idx="94">
                  <c:v>164.65639918051181</c:v>
                </c:pt>
                <c:pt idx="95">
                  <c:v>167.27342072386747</c:v>
                </c:pt>
                <c:pt idx="96">
                  <c:v>169.90906876928693</c:v>
                </c:pt>
                <c:pt idx="97">
                  <c:v>172.56335948849676</c:v>
                </c:pt>
                <c:pt idx="98">
                  <c:v>175.2363091902761</c:v>
                </c:pt>
                <c:pt idx="99">
                  <c:v>177.9279343207198</c:v>
                </c:pt>
                <c:pt idx="100">
                  <c:v>180.63825146350538</c:v>
                </c:pt>
              </c:numCache>
            </c:numRef>
          </c:val>
          <c:smooth val="0"/>
          <c:extLst>
            <c:ext xmlns:c16="http://schemas.microsoft.com/office/drawing/2014/chart" uri="{C3380CC4-5D6E-409C-BE32-E72D297353CC}">
              <c16:uniqueId val="{00000003-8093-4275-A0A4-629DC5917466}"/>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zh-CN"/>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zh-CN"/>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zh-CN"/>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Single'!$AN$110:$AN$210</c:f>
              <c:numCache>
                <c:formatCode>0.0</c:formatCode>
                <c:ptCount val="101"/>
                <c:pt idx="0">
                  <c:v>12</c:v>
                </c:pt>
                <c:pt idx="1">
                  <c:v>12</c:v>
                </c:pt>
                <c:pt idx="2">
                  <c:v>21.657735026918967</c:v>
                </c:pt>
                <c:pt idx="3">
                  <c:v>32.486602540378442</c:v>
                </c:pt>
                <c:pt idx="4">
                  <c:v>43.315470053837934</c:v>
                </c:pt>
                <c:pt idx="5">
                  <c:v>54.144337567297406</c:v>
                </c:pt>
                <c:pt idx="6">
                  <c:v>64.973205080756884</c:v>
                </c:pt>
                <c:pt idx="7">
                  <c:v>75.802072594216384</c:v>
                </c:pt>
                <c:pt idx="8">
                  <c:v>86.630940107675869</c:v>
                </c:pt>
                <c:pt idx="9">
                  <c:v>97.459807621135354</c:v>
                </c:pt>
                <c:pt idx="10">
                  <c:v>108.28867513459481</c:v>
                </c:pt>
                <c:pt idx="11">
                  <c:v>119.11754264805431</c:v>
                </c:pt>
                <c:pt idx="12">
                  <c:v>129.94641016151377</c:v>
                </c:pt>
                <c:pt idx="13">
                  <c:v>140.77527767497327</c:v>
                </c:pt>
                <c:pt idx="14">
                  <c:v>151.60414518843277</c:v>
                </c:pt>
                <c:pt idx="15">
                  <c:v>162.43301270189224</c:v>
                </c:pt>
                <c:pt idx="16">
                  <c:v>173.26188021535174</c:v>
                </c:pt>
                <c:pt idx="17">
                  <c:v>184.09074772881124</c:v>
                </c:pt>
                <c:pt idx="18">
                  <c:v>194.91961524227071</c:v>
                </c:pt>
                <c:pt idx="19">
                  <c:v>205.74848275573015</c:v>
                </c:pt>
                <c:pt idx="20">
                  <c:v>216.57735026918962</c:v>
                </c:pt>
                <c:pt idx="21">
                  <c:v>227.40621778264912</c:v>
                </c:pt>
                <c:pt idx="22">
                  <c:v>238.23508529610862</c:v>
                </c:pt>
                <c:pt idx="23">
                  <c:v>249.06395280956812</c:v>
                </c:pt>
                <c:pt idx="24">
                  <c:v>259.89282032302754</c:v>
                </c:pt>
                <c:pt idx="25">
                  <c:v>270.72168783648709</c:v>
                </c:pt>
                <c:pt idx="26">
                  <c:v>266.32104640833802</c:v>
                </c:pt>
                <c:pt idx="27">
                  <c:v>256.94188251338028</c:v>
                </c:pt>
                <c:pt idx="28">
                  <c:v>248.21614926300737</c:v>
                </c:pt>
                <c:pt idx="29">
                  <c:v>240.05646781900637</c:v>
                </c:pt>
                <c:pt idx="30">
                  <c:v>232.4145188813462</c:v>
                </c:pt>
                <c:pt idx="31">
                  <c:v>225.24334470133701</c:v>
                </c:pt>
                <c:pt idx="32">
                  <c:v>218.50074219239383</c:v>
                </c:pt>
                <c:pt idx="33">
                  <c:v>212.14940635533671</c:v>
                </c:pt>
                <c:pt idx="34">
                  <c:v>206.15623972516318</c:v>
                </c:pt>
                <c:pt idx="35">
                  <c:v>200.49177544252433</c:v>
                </c:pt>
                <c:pt idx="36">
                  <c:v>195.12969272011813</c:v>
                </c:pt>
                <c:pt idx="37">
                  <c:v>190.04640788961703</c:v>
                </c:pt>
                <c:pt idx="38">
                  <c:v>185.22072762321724</c:v>
                </c:pt>
                <c:pt idx="39">
                  <c:v>180.63355357426994</c:v>
                </c:pt>
                <c:pt idx="40">
                  <c:v>176.26762975656624</c:v>
                </c:pt>
                <c:pt idx="41">
                  <c:v>172.10732561715793</c:v>
                </c:pt>
                <c:pt idx="42">
                  <c:v>168.13844905429585</c:v>
                </c:pt>
                <c:pt idx="43">
                  <c:v>164.34808466630415</c:v>
                </c:pt>
                <c:pt idx="44">
                  <c:v>160.72445334671616</c:v>
                </c:pt>
                <c:pt idx="45">
                  <c:v>157.25679000983229</c:v>
                </c:pt>
                <c:pt idx="46">
                  <c:v>153.93523677287564</c:v>
                </c:pt>
                <c:pt idx="47">
                  <c:v>150.75074936228222</c:v>
                </c:pt>
                <c:pt idx="48">
                  <c:v>147.6950148727218</c:v>
                </c:pt>
                <c:pt idx="49">
                  <c:v>144.76037930411007</c:v>
                </c:pt>
                <c:pt idx="50">
                  <c:v>141.93978354666044</c:v>
                </c:pt>
                <c:pt idx="51">
                  <c:v>139.22670668681673</c:v>
                </c:pt>
                <c:pt idx="52">
                  <c:v>136.61511567556715</c:v>
                </c:pt>
                <c:pt idx="53">
                  <c:v>134.09942054142772</c:v>
                </c:pt>
                <c:pt idx="54">
                  <c:v>131.67443444832335</c:v>
                </c:pt>
                <c:pt idx="55">
                  <c:v>129.3353379977448</c:v>
                </c:pt>
                <c:pt idx="56">
                  <c:v>127.07764725816767</c:v>
                </c:pt>
                <c:pt idx="57">
                  <c:v>124.89718507547283</c:v>
                </c:pt>
                <c:pt idx="58">
                  <c:v>122.79005527813774</c:v>
                </c:pt>
                <c:pt idx="59">
                  <c:v>120.75261944207398</c:v>
                </c:pt>
                <c:pt idx="60">
                  <c:v>118.78147592360217</c:v>
                </c:pt>
                <c:pt idx="61">
                  <c:v>116.87344090639112</c:v>
                </c:pt>
                <c:pt idx="62">
                  <c:v>115.02553124022573</c:v>
                </c:pt>
                <c:pt idx="63">
                  <c:v>113.23494887703711</c:v>
                </c:pt>
                <c:pt idx="64">
                  <c:v>111.49906673340296</c:v>
                </c:pt>
                <c:pt idx="65">
                  <c:v>109.81541582928403</c:v>
                </c:pt>
                <c:pt idx="66">
                  <c:v>108.18167357057872</c:v>
                </c:pt>
                <c:pt idx="67">
                  <c:v>106.59565305854807</c:v>
                </c:pt>
                <c:pt idx="68">
                  <c:v>105.05529332263369</c:v>
                </c:pt>
                <c:pt idx="69">
                  <c:v>103.5586503849393</c:v>
                </c:pt>
                <c:pt idx="70">
                  <c:v>102.103889074913</c:v>
                </c:pt>
                <c:pt idx="71">
                  <c:v>100.68927552176329</c:v>
                </c:pt>
                <c:pt idx="72">
                  <c:v>99.313170260031427</c:v>
                </c:pt>
                <c:pt idx="73">
                  <c:v>97.97402189068039</c:v>
                </c:pt>
                <c:pt idx="74">
                  <c:v>96.670361246173485</c:v>
                </c:pt>
                <c:pt idx="75">
                  <c:v>95.400796013402598</c:v>
                </c:pt>
                <c:pt idx="76">
                  <c:v>94.164005773094516</c:v>
                </c:pt>
                <c:pt idx="77">
                  <c:v>92.958737418540764</c:v>
                </c:pt>
                <c:pt idx="78">
                  <c:v>91.783800920235223</c:v>
                </c:pt>
                <c:pt idx="79">
                  <c:v>90.63806540632936</c:v>
                </c:pt>
                <c:pt idx="80">
                  <c:v>89.52045553176643</c:v>
                </c:pt>
                <c:pt idx="81">
                  <c:v>88.429948111591244</c:v>
                </c:pt>
                <c:pt idx="82">
                  <c:v>87.365568996279109</c:v>
                </c:pt>
                <c:pt idx="83">
                  <c:v>86.326390169027135</c:v>
                </c:pt>
                <c:pt idx="84">
                  <c:v>85.311527046827933</c:v>
                </c:pt>
                <c:pt idx="85">
                  <c:v>84.320135968827898</c:v>
                </c:pt>
                <c:pt idx="86">
                  <c:v>83.351411856981272</c:v>
                </c:pt>
                <c:pt idx="87">
                  <c:v>82.404586035367132</c:v>
                </c:pt>
                <c:pt idx="88">
                  <c:v>81.47892419575409</c:v>
                </c:pt>
                <c:pt idx="89">
                  <c:v>80.57372449809759</c:v>
                </c:pt>
                <c:pt idx="90">
                  <c:v>79.688315795642055</c:v>
                </c:pt>
                <c:pt idx="91">
                  <c:v>78.822055975195312</c:v>
                </c:pt>
                <c:pt idx="92">
                  <c:v>77.974330403949381</c:v>
                </c:pt>
                <c:pt idx="93">
                  <c:v>77.144550474952482</c:v>
                </c:pt>
                <c:pt idx="94">
                  <c:v>76.332152243998493</c:v>
                </c:pt>
                <c:pt idx="95">
                  <c:v>75.536595151300148</c:v>
                </c:pt>
                <c:pt idx="96">
                  <c:v>74.757360821856906</c:v>
                </c:pt>
                <c:pt idx="97">
                  <c:v>73.993951938922734</c:v>
                </c:pt>
                <c:pt idx="98">
                  <c:v>73.245891185429556</c:v>
                </c:pt>
                <c:pt idx="99">
                  <c:v>72.512720248631155</c:v>
                </c:pt>
                <c:pt idx="100">
                  <c:v>71.793998883606463</c:v>
                </c:pt>
              </c:numCache>
            </c:numRef>
          </c:val>
          <c:smooth val="0"/>
          <c:extLst>
            <c:ext xmlns:c16="http://schemas.microsoft.com/office/drawing/2014/chart" uri="{C3380CC4-5D6E-409C-BE32-E72D297353CC}">
              <c16:uniqueId val="{00000000-7DBB-40A7-A5BB-CF5E7DC777D9}"/>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Single'!$AN$5:$AN$105</c:f>
              <c:numCache>
                <c:formatCode>0.0</c:formatCode>
                <c:ptCount val="101"/>
                <c:pt idx="0">
                  <c:v>12</c:v>
                </c:pt>
                <c:pt idx="1">
                  <c:v>12</c:v>
                </c:pt>
                <c:pt idx="2">
                  <c:v>21.657735026918967</c:v>
                </c:pt>
                <c:pt idx="3">
                  <c:v>32.486602540378442</c:v>
                </c:pt>
                <c:pt idx="4">
                  <c:v>43.315470053837934</c:v>
                </c:pt>
                <c:pt idx="5">
                  <c:v>54.144337567297406</c:v>
                </c:pt>
                <c:pt idx="6">
                  <c:v>64.973205080756884</c:v>
                </c:pt>
                <c:pt idx="7">
                  <c:v>75.802072594216384</c:v>
                </c:pt>
                <c:pt idx="8">
                  <c:v>86.630940107675869</c:v>
                </c:pt>
                <c:pt idx="9">
                  <c:v>97.459807621135354</c:v>
                </c:pt>
                <c:pt idx="10">
                  <c:v>108.28867513459481</c:v>
                </c:pt>
                <c:pt idx="11">
                  <c:v>119.11754264805431</c:v>
                </c:pt>
                <c:pt idx="12">
                  <c:v>129.94641016151377</c:v>
                </c:pt>
                <c:pt idx="13">
                  <c:v>140.77527767497327</c:v>
                </c:pt>
                <c:pt idx="14">
                  <c:v>151.60414518843277</c:v>
                </c:pt>
                <c:pt idx="15">
                  <c:v>162.43301270189224</c:v>
                </c:pt>
                <c:pt idx="16">
                  <c:v>173.26188021535174</c:v>
                </c:pt>
                <c:pt idx="17">
                  <c:v>184.09074772881124</c:v>
                </c:pt>
                <c:pt idx="18">
                  <c:v>194.91961524227071</c:v>
                </c:pt>
                <c:pt idx="19">
                  <c:v>205.74848275573015</c:v>
                </c:pt>
                <c:pt idx="20">
                  <c:v>216.57735026918962</c:v>
                </c:pt>
                <c:pt idx="21">
                  <c:v>227.40621778264912</c:v>
                </c:pt>
                <c:pt idx="22">
                  <c:v>238.23508529610862</c:v>
                </c:pt>
                <c:pt idx="23">
                  <c:v>249.06395280956812</c:v>
                </c:pt>
                <c:pt idx="24">
                  <c:v>259.89282032302754</c:v>
                </c:pt>
                <c:pt idx="25">
                  <c:v>270.72168783648709</c:v>
                </c:pt>
                <c:pt idx="26">
                  <c:v>281.55055534994653</c:v>
                </c:pt>
                <c:pt idx="27">
                  <c:v>292.37942286340603</c:v>
                </c:pt>
                <c:pt idx="28">
                  <c:v>303.20829037686553</c:v>
                </c:pt>
                <c:pt idx="29">
                  <c:v>314.03715789032492</c:v>
                </c:pt>
                <c:pt idx="30">
                  <c:v>324.86602540378448</c:v>
                </c:pt>
                <c:pt idx="31">
                  <c:v>335.69489291724392</c:v>
                </c:pt>
                <c:pt idx="32">
                  <c:v>346.52376043070348</c:v>
                </c:pt>
                <c:pt idx="33">
                  <c:v>350</c:v>
                </c:pt>
                <c:pt idx="34">
                  <c:v>350</c:v>
                </c:pt>
                <c:pt idx="35">
                  <c:v>350</c:v>
                </c:pt>
                <c:pt idx="36">
                  <c:v>350</c:v>
                </c:pt>
                <c:pt idx="37">
                  <c:v>350</c:v>
                </c:pt>
                <c:pt idx="38">
                  <c:v>350</c:v>
                </c:pt>
                <c:pt idx="39">
                  <c:v>350</c:v>
                </c:pt>
                <c:pt idx="40">
                  <c:v>350</c:v>
                </c:pt>
                <c:pt idx="41">
                  <c:v>344.82591939550809</c:v>
                </c:pt>
                <c:pt idx="42">
                  <c:v>337.18970611405882</c:v>
                </c:pt>
                <c:pt idx="43">
                  <c:v>329.8853537215868</c:v>
                </c:pt>
                <c:pt idx="44">
                  <c:v>322.88494505669894</c:v>
                </c:pt>
                <c:pt idx="45">
                  <c:v>316.18216594600614</c:v>
                </c:pt>
                <c:pt idx="46">
                  <c:v>309.7528998753005</c:v>
                </c:pt>
                <c:pt idx="47">
                  <c:v>303.58017563851553</c:v>
                </c:pt>
                <c:pt idx="48">
                  <c:v>297.64775774835562</c:v>
                </c:pt>
                <c:pt idx="49">
                  <c:v>291.9433795322679</c:v>
                </c:pt>
                <c:pt idx="50">
                  <c:v>286.45414027005842</c:v>
                </c:pt>
                <c:pt idx="51">
                  <c:v>281.16809432831474</c:v>
                </c:pt>
                <c:pt idx="52">
                  <c:v>276.0741643809103</c:v>
                </c:pt>
                <c:pt idx="53">
                  <c:v>271.16206392241293</c:v>
                </c:pt>
                <c:pt idx="54">
                  <c:v>266.42222793375663</c:v>
                </c:pt>
                <c:pt idx="55">
                  <c:v>261.84575071678023</c:v>
                </c:pt>
                <c:pt idx="56">
                  <c:v>257.42433004751598</c:v>
                </c:pt>
                <c:pt idx="57">
                  <c:v>253.15021691140421</c:v>
                </c:pt>
                <c:pt idx="58">
                  <c:v>249.01617018019326</c:v>
                </c:pt>
                <c:pt idx="59">
                  <c:v>245.01541567285798</c:v>
                </c:pt>
                <c:pt idx="60">
                  <c:v>241.14160911365371</c:v>
                </c:pt>
                <c:pt idx="61">
                  <c:v>237.38880256125086</c:v>
                </c:pt>
                <c:pt idx="62">
                  <c:v>233.75141393531158</c:v>
                </c:pt>
                <c:pt idx="63">
                  <c:v>230.22419931214012</c:v>
                </c:pt>
                <c:pt idx="64">
                  <c:v>226.80222770022655</c:v>
                </c:pt>
                <c:pt idx="65">
                  <c:v>223.480858040512</c:v>
                </c:pt>
                <c:pt idx="66">
                  <c:v>220.25571820577542</c:v>
                </c:pt>
                <c:pt idx="67">
                  <c:v>217.12268579931475</c:v>
                </c:pt>
                <c:pt idx="68">
                  <c:v>214.07787057559995</c:v>
                </c:pt>
                <c:pt idx="69">
                  <c:v>211.11759832527085</c:v>
                </c:pt>
                <c:pt idx="70">
                  <c:v>208.23839608412098</c:v>
                </c:pt>
                <c:pt idx="71">
                  <c:v>205.43697854087469</c:v>
                </c:pt>
                <c:pt idx="72">
                  <c:v>202.71023553191384</c:v>
                </c:pt>
                <c:pt idx="73">
                  <c:v>200.05522052287981</c:v>
                </c:pt>
                <c:pt idx="74">
                  <c:v>197.46913998746919</c:v>
                </c:pt>
                <c:pt idx="75">
                  <c:v>194.94934360293573</c:v>
                </c:pt>
                <c:pt idx="76">
                  <c:v>192.49331518996013</c:v>
                </c:pt>
                <c:pt idx="77">
                  <c:v>190.09866433177825</c:v>
                </c:pt>
                <c:pt idx="78">
                  <c:v>187.76311861388891</c:v>
                </c:pt>
                <c:pt idx="79">
                  <c:v>185.48451643138367</c:v>
                </c:pt>
                <c:pt idx="80">
                  <c:v>183.2608003160434</c:v>
                </c:pt>
                <c:pt idx="81">
                  <c:v>181.09001073990356</c:v>
                </c:pt>
                <c:pt idx="82">
                  <c:v>178.9702803560632</c:v>
                </c:pt>
                <c:pt idx="83">
                  <c:v>176.8998286411599</c:v>
                </c:pt>
                <c:pt idx="84">
                  <c:v>174.87695690720389</c:v>
                </c:pt>
                <c:pt idx="85">
                  <c:v>172.9000436534001</c:v>
                </c:pt>
                <c:pt idx="86">
                  <c:v>170.96754023122733</c:v>
                </c:pt>
                <c:pt idx="87">
                  <c:v>169.07796679841653</c:v>
                </c:pt>
                <c:pt idx="88">
                  <c:v>167.22990853961375</c:v>
                </c:pt>
                <c:pt idx="89">
                  <c:v>165.42201213344228</c:v>
                </c:pt>
                <c:pt idx="90">
                  <c:v>163.65298244742428</c:v>
                </c:pt>
                <c:pt idx="91">
                  <c:v>161.92157944379795</c:v>
                </c:pt>
                <c:pt idx="92">
                  <c:v>160.22661528069676</c:v>
                </c:pt>
                <c:pt idx="93">
                  <c:v>158.56695159444925</c:v>
                </c:pt>
                <c:pt idx="94">
                  <c:v>156.94149694993206</c:v>
                </c:pt>
                <c:pt idx="95">
                  <c:v>155.34920444697764</c:v>
                </c:pt>
                <c:pt idx="96">
                  <c:v>153.78906947180465</c:v>
                </c:pt>
                <c:pt idx="97">
                  <c:v>152.26012758332266</c:v>
                </c:pt>
                <c:pt idx="98">
                  <c:v>150.76145252496596</c:v>
                </c:pt>
                <c:pt idx="99">
                  <c:v>149.29215435344511</c:v>
                </c:pt>
                <c:pt idx="100">
                  <c:v>147.85137767647146</c:v>
                </c:pt>
              </c:numCache>
            </c:numRef>
          </c:val>
          <c:smooth val="0"/>
          <c:extLst>
            <c:ext xmlns:c16="http://schemas.microsoft.com/office/drawing/2014/chart" uri="{C3380CC4-5D6E-409C-BE32-E72D297353CC}">
              <c16:uniqueId val="{00000001-7DBB-40A7-A5BB-CF5E7DC777D9}"/>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Single'!$AN$216:$AN$316</c:f>
              <c:numCache>
                <c:formatCode>0.0</c:formatCode>
                <c:ptCount val="101"/>
                <c:pt idx="0">
                  <c:v>12</c:v>
                </c:pt>
                <c:pt idx="1">
                  <c:v>12</c:v>
                </c:pt>
                <c:pt idx="2">
                  <c:v>21.657735026918967</c:v>
                </c:pt>
                <c:pt idx="3">
                  <c:v>32.486602540378442</c:v>
                </c:pt>
                <c:pt idx="4">
                  <c:v>43.315470053837934</c:v>
                </c:pt>
                <c:pt idx="5">
                  <c:v>54.144337567297406</c:v>
                </c:pt>
                <c:pt idx="6">
                  <c:v>64.973205080756884</c:v>
                </c:pt>
                <c:pt idx="7">
                  <c:v>75.802072594216384</c:v>
                </c:pt>
                <c:pt idx="8">
                  <c:v>86.630940107675869</c:v>
                </c:pt>
                <c:pt idx="9">
                  <c:v>97.459807621135354</c:v>
                </c:pt>
                <c:pt idx="10">
                  <c:v>108.28867513459481</c:v>
                </c:pt>
                <c:pt idx="11">
                  <c:v>119.11754264805431</c:v>
                </c:pt>
                <c:pt idx="12">
                  <c:v>129.94641016151377</c:v>
                </c:pt>
                <c:pt idx="13">
                  <c:v>140.77527767497327</c:v>
                </c:pt>
                <c:pt idx="14">
                  <c:v>151.60414518843277</c:v>
                </c:pt>
                <c:pt idx="15">
                  <c:v>162.43301270189224</c:v>
                </c:pt>
                <c:pt idx="16">
                  <c:v>173.26188021535174</c:v>
                </c:pt>
                <c:pt idx="17">
                  <c:v>184.09074772881124</c:v>
                </c:pt>
                <c:pt idx="18">
                  <c:v>194.91961524227071</c:v>
                </c:pt>
                <c:pt idx="19">
                  <c:v>205.74848275573015</c:v>
                </c:pt>
                <c:pt idx="20">
                  <c:v>216.57735026918962</c:v>
                </c:pt>
                <c:pt idx="21">
                  <c:v>227.40621778264912</c:v>
                </c:pt>
                <c:pt idx="22">
                  <c:v>238.23508529610862</c:v>
                </c:pt>
                <c:pt idx="23">
                  <c:v>249.06395280956812</c:v>
                </c:pt>
                <c:pt idx="24">
                  <c:v>259.89282032302754</c:v>
                </c:pt>
                <c:pt idx="25">
                  <c:v>270.72168783648709</c:v>
                </c:pt>
                <c:pt idx="26">
                  <c:v>281.55055534994653</c:v>
                </c:pt>
                <c:pt idx="27">
                  <c:v>292.37942286340603</c:v>
                </c:pt>
                <c:pt idx="28">
                  <c:v>303.20829037686553</c:v>
                </c:pt>
                <c:pt idx="29">
                  <c:v>314.03715789032492</c:v>
                </c:pt>
                <c:pt idx="30">
                  <c:v>324.86602540378448</c:v>
                </c:pt>
                <c:pt idx="31">
                  <c:v>335.69489291724392</c:v>
                </c:pt>
                <c:pt idx="32">
                  <c:v>346.52376043070348</c:v>
                </c:pt>
                <c:pt idx="33">
                  <c:v>350</c:v>
                </c:pt>
                <c:pt idx="34">
                  <c:v>350</c:v>
                </c:pt>
                <c:pt idx="35">
                  <c:v>350</c:v>
                </c:pt>
                <c:pt idx="36">
                  <c:v>350</c:v>
                </c:pt>
                <c:pt idx="37">
                  <c:v>350</c:v>
                </c:pt>
                <c:pt idx="38">
                  <c:v>350</c:v>
                </c:pt>
                <c:pt idx="39">
                  <c:v>350</c:v>
                </c:pt>
                <c:pt idx="40">
                  <c:v>350</c:v>
                </c:pt>
                <c:pt idx="41">
                  <c:v>350</c:v>
                </c:pt>
                <c:pt idx="42">
                  <c:v>350</c:v>
                </c:pt>
                <c:pt idx="43">
                  <c:v>342.7332093045946</c:v>
                </c:pt>
                <c:pt idx="44">
                  <c:v>335.48698941212189</c:v>
                </c:pt>
                <c:pt idx="45">
                  <c:v>328.5417677161426</c:v>
                </c:pt>
                <c:pt idx="46">
                  <c:v>321.87330432552704</c:v>
                </c:pt>
                <c:pt idx="47">
                  <c:v>315.47617040094912</c:v>
                </c:pt>
                <c:pt idx="48">
                  <c:v>309.32921508077709</c:v>
                </c:pt>
                <c:pt idx="49">
                  <c:v>303.41745997808948</c:v>
                </c:pt>
                <c:pt idx="50">
                  <c:v>297.72683128287588</c:v>
                </c:pt>
                <c:pt idx="51">
                  <c:v>292.24635950879019</c:v>
                </c:pt>
                <c:pt idx="52">
                  <c:v>286.96461394009134</c:v>
                </c:pt>
                <c:pt idx="53">
                  <c:v>281.8709780748685</c:v>
                </c:pt>
                <c:pt idx="54">
                  <c:v>276.9555783975149</c:v>
                </c:pt>
                <c:pt idx="55">
                  <c:v>272.20922049981982</c:v>
                </c:pt>
                <c:pt idx="56">
                  <c:v>267.62333168110922</c:v>
                </c:pt>
                <c:pt idx="57">
                  <c:v>263.1899092735012</c:v>
                </c:pt>
                <c:pt idx="58">
                  <c:v>258.90147403697148</c:v>
                </c:pt>
                <c:pt idx="59">
                  <c:v>254.75102805326543</c:v>
                </c:pt>
                <c:pt idx="60">
                  <c:v>250.73201662001992</c:v>
                </c:pt>
                <c:pt idx="61">
                  <c:v>246.83829370863168</c:v>
                </c:pt>
                <c:pt idx="62">
                  <c:v>243.06409060300504</c:v>
                </c:pt>
                <c:pt idx="63">
                  <c:v>239.40398738260663</c:v>
                </c:pt>
                <c:pt idx="64">
                  <c:v>235.85288695334913</c:v>
                </c:pt>
                <c:pt idx="65">
                  <c:v>232.40599136462984</c:v>
                </c:pt>
                <c:pt idx="66">
                  <c:v>229.05878018111486</c:v>
                </c:pt>
                <c:pt idx="67">
                  <c:v>225.80699070425339</c:v>
                </c:pt>
                <c:pt idx="68">
                  <c:v>222.64659986155249</c:v>
                </c:pt>
                <c:pt idx="69">
                  <c:v>219.57380760181891</c:v>
                </c:pt>
                <c:pt idx="70">
                  <c:v>216.58502165226852</c:v>
                </c:pt>
                <c:pt idx="71">
                  <c:v>213.67684350894891</c:v>
                </c:pt>
                <c:pt idx="72">
                  <c:v>210.84605554560324</c:v>
                </c:pt>
                <c:pt idx="73">
                  <c:v>208.08960913817344</c:v>
                </c:pt>
                <c:pt idx="74">
                  <c:v>205.40461371279787</c:v>
                </c:pt>
                <c:pt idx="75">
                  <c:v>202.78832663459011</c:v>
                </c:pt>
                <c:pt idx="76">
                  <c:v>200.23814386284729</c:v>
                </c:pt>
                <c:pt idx="77">
                  <c:v>197.75159130575506</c:v>
                </c:pt>
                <c:pt idx="78">
                  <c:v>195.3263168142546</c:v>
                </c:pt>
                <c:pt idx="79">
                  <c:v>192.9600827606138</c:v>
                </c:pt>
                <c:pt idx="80">
                  <c:v>190.65075915248136</c:v>
                </c:pt>
                <c:pt idx="81">
                  <c:v>188.39631723788281</c:v>
                </c:pt>
                <c:pt idx="82">
                  <c:v>186.1948235608038</c:v>
                </c:pt>
                <c:pt idx="83">
                  <c:v>184.04443443074871</c:v>
                </c:pt>
                <c:pt idx="84">
                  <c:v>181.94339077302766</c:v>
                </c:pt>
                <c:pt idx="85">
                  <c:v>179.89001332953922</c:v>
                </c:pt>
                <c:pt idx="86">
                  <c:v>177.88269818253104</c:v>
                </c:pt>
                <c:pt idx="87">
                  <c:v>175.91991257625946</c:v>
                </c:pt>
                <c:pt idx="88">
                  <c:v>174.00019101367408</c:v>
                </c:pt>
                <c:pt idx="89">
                  <c:v>172.1221316072357</c:v>
                </c:pt>
                <c:pt idx="90">
                  <c:v>170.28439266477076</c:v>
                </c:pt>
                <c:pt idx="91">
                  <c:v>168.48568949289057</c:v>
                </c:pt>
                <c:pt idx="92">
                  <c:v>166.72479140196799</c:v>
                </c:pt>
                <c:pt idx="93">
                  <c:v>165.00051889800017</c:v>
                </c:pt>
                <c:pt idx="94">
                  <c:v>163.31174104789221</c:v>
                </c:pt>
                <c:pt idx="95">
                  <c:v>161.65737300579323</c:v>
                </c:pt>
                <c:pt idx="96">
                  <c:v>160.03637368911637</c:v>
                </c:pt>
                <c:pt idx="97">
                  <c:v>158.44774359378027</c:v>
                </c:pt>
                <c:pt idx="98">
                  <c:v>156.89052273903837</c:v>
                </c:pt>
                <c:pt idx="99">
                  <c:v>155.36378873301629</c:v>
                </c:pt>
                <c:pt idx="100">
                  <c:v>153.86665495076576</c:v>
                </c:pt>
              </c:numCache>
            </c:numRef>
          </c:val>
          <c:smooth val="0"/>
          <c:extLst>
            <c:ext xmlns:c16="http://schemas.microsoft.com/office/drawing/2014/chart" uri="{C3380CC4-5D6E-409C-BE32-E72D297353CC}">
              <c16:uniqueId val="{00000002-7DBB-40A7-A5BB-CF5E7DC777D9}"/>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7DBB-40A7-A5BB-CF5E7DC777D9}"/>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7DBB-40A7-A5BB-CF5E7DC777D9}"/>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7DBB-40A7-A5BB-CF5E7DC777D9}"/>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zh-CN"/>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zh-CN"/>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1.0005071272711372</c:v>
                </c:pt>
                <c:pt idx="27">
                  <c:v>1.0391322566579686</c:v>
                </c:pt>
                <c:pt idx="28">
                  <c:v>1.0776504217524117</c:v>
                </c:pt>
                <c:pt idx="29">
                  <c:v>1.1162206562188752</c:v>
                </c:pt>
                <c:pt idx="30">
                  <c:v>1.1548037536912366</c:v>
                </c:pt>
                <c:pt idx="31">
                  <c:v>1.1933930551886156</c:v>
                </c:pt>
                <c:pt idx="32">
                  <c:v>1.2319885627002809</c:v>
                </c:pt>
                <c:pt idx="33">
                  <c:v>1.2705902782167176</c:v>
                </c:pt>
                <c:pt idx="34">
                  <c:v>1.3091982037295737</c:v>
                </c:pt>
                <c:pt idx="35">
                  <c:v>1.3478123412316161</c:v>
                </c:pt>
                <c:pt idx="36">
                  <c:v>1.3864326927166928</c:v>
                </c:pt>
                <c:pt idx="37">
                  <c:v>1.4250592601797021</c:v>
                </c:pt>
                <c:pt idx="38">
                  <c:v>1.4636920456165676</c:v>
                </c:pt>
                <c:pt idx="39">
                  <c:v>1.5023310510242163</c:v>
                </c:pt>
                <c:pt idx="40">
                  <c:v>1.5409762784005594</c:v>
                </c:pt>
                <c:pt idx="41">
                  <c:v>1.579627729744479</c:v>
                </c:pt>
                <c:pt idx="42">
                  <c:v>1.6182854070558128</c:v>
                </c:pt>
                <c:pt idx="43">
                  <c:v>1.6569493123353427</c:v>
                </c:pt>
                <c:pt idx="44">
                  <c:v>1.6956194475847877</c:v>
                </c:pt>
                <c:pt idx="45">
                  <c:v>1.7342958148067933</c:v>
                </c:pt>
                <c:pt idx="46">
                  <c:v>1.7729784160049249</c:v>
                </c:pt>
                <c:pt idx="47">
                  <c:v>1.8116672531836617</c:v>
                </c:pt>
                <c:pt idx="48">
                  <c:v>1.850362328348393</c:v>
                </c:pt>
                <c:pt idx="49">
                  <c:v>1.8890636435054107</c:v>
                </c:pt>
                <c:pt idx="50">
                  <c:v>1.9277712006619074</c:v>
                </c:pt>
                <c:pt idx="51">
                  <c:v>1.9664850018259725</c:v>
                </c:pt>
                <c:pt idx="52">
                  <c:v>2.0052050490065891</c:v>
                </c:pt>
                <c:pt idx="53">
                  <c:v>2.0439313442136307</c:v>
                </c:pt>
                <c:pt idx="54">
                  <c:v>2.0826638894578622</c:v>
                </c:pt>
                <c:pt idx="55">
                  <c:v>2.121402686750931</c:v>
                </c:pt>
                <c:pt idx="56">
                  <c:v>2.1601477381053749</c:v>
                </c:pt>
                <c:pt idx="57">
                  <c:v>2.1988990455346116</c:v>
                </c:pt>
                <c:pt idx="58">
                  <c:v>2.2376566110529428</c:v>
                </c:pt>
                <c:pt idx="59">
                  <c:v>2.2764204366755534</c:v>
                </c:pt>
                <c:pt idx="60">
                  <c:v>2.3151905244185049</c:v>
                </c:pt>
                <c:pt idx="61">
                  <c:v>2.3539668762987418</c:v>
                </c:pt>
                <c:pt idx="62">
                  <c:v>2.3927494943340877</c:v>
                </c:pt>
                <c:pt idx="63">
                  <c:v>2.4315383805432429</c:v>
                </c:pt>
                <c:pt idx="64">
                  <c:v>2.4703335369457866</c:v>
                </c:pt>
                <c:pt idx="65">
                  <c:v>2.5091349655621773</c:v>
                </c:pt>
                <c:pt idx="66">
                  <c:v>2.5479426684137478</c:v>
                </c:pt>
                <c:pt idx="67">
                  <c:v>2.5867566475227108</c:v>
                </c:pt>
                <c:pt idx="68">
                  <c:v>2.6255769049121551</c:v>
                </c:pt>
                <c:pt idx="69">
                  <c:v>2.6644034426060461</c:v>
                </c:pt>
                <c:pt idx="70">
                  <c:v>2.7032362626292272</c:v>
                </c:pt>
                <c:pt idx="71">
                  <c:v>2.7420753670074189</c:v>
                </c:pt>
                <c:pt idx="72">
                  <c:v>2.7809207577672153</c:v>
                </c:pt>
                <c:pt idx="73">
                  <c:v>2.8197724369360926</c:v>
                </c:pt>
                <c:pt idx="74">
                  <c:v>2.8586304065423995</c:v>
                </c:pt>
                <c:pt idx="75">
                  <c:v>2.8974946686153644</c:v>
                </c:pt>
                <c:pt idx="76">
                  <c:v>2.9363652251850945</c:v>
                </c:pt>
                <c:pt idx="77">
                  <c:v>2.975242078282569</c:v>
                </c:pt>
                <c:pt idx="78">
                  <c:v>3.0141252299396513</c:v>
                </c:pt>
                <c:pt idx="79">
                  <c:v>3.0530146821890791</c:v>
                </c:pt>
                <c:pt idx="80">
                  <c:v>3.0919104370644694</c:v>
                </c:pt>
                <c:pt idx="81">
                  <c:v>3.1308124966003166</c:v>
                </c:pt>
                <c:pt idx="82">
                  <c:v>3.1697208628319955</c:v>
                </c:pt>
                <c:pt idx="83">
                  <c:v>3.2086355377957592</c:v>
                </c:pt>
                <c:pt idx="84">
                  <c:v>3.2475565235287407</c:v>
                </c:pt>
                <c:pt idx="85">
                  <c:v>3.2864838220689507</c:v>
                </c:pt>
                <c:pt idx="86">
                  <c:v>3.3254174354552828</c:v>
                </c:pt>
                <c:pt idx="87">
                  <c:v>3.3643573657275083</c:v>
                </c:pt>
                <c:pt idx="88">
                  <c:v>3.4033036149262808</c:v>
                </c:pt>
                <c:pt idx="89">
                  <c:v>3.442256185093135</c:v>
                </c:pt>
                <c:pt idx="90">
                  <c:v>3.4812150782704867</c:v>
                </c:pt>
                <c:pt idx="91">
                  <c:v>3.520180296501632</c:v>
                </c:pt>
                <c:pt idx="92">
                  <c:v>3.5591518418307517</c:v>
                </c:pt>
                <c:pt idx="93">
                  <c:v>3.5981297163029073</c:v>
                </c:pt>
                <c:pt idx="94">
                  <c:v>3.637113921964044</c:v>
                </c:pt>
                <c:pt idx="95">
                  <c:v>3.6761044608609903</c:v>
                </c:pt>
                <c:pt idx="96">
                  <c:v>3.7151013350414588</c:v>
                </c:pt>
                <c:pt idx="97">
                  <c:v>3.7541045465540464</c:v>
                </c:pt>
                <c:pt idx="98">
                  <c:v>3.7931140974482314</c:v>
                </c:pt>
                <c:pt idx="99">
                  <c:v>3.8321299897743821</c:v>
                </c:pt>
                <c:pt idx="100">
                  <c:v>3.8711522255837494</c:v>
                </c:pt>
              </c:numCache>
            </c:numRef>
          </c:val>
          <c:smooth val="0"/>
          <c:extLst>
            <c:ext xmlns:c16="http://schemas.microsoft.com/office/drawing/2014/chart" uri="{C3380CC4-5D6E-409C-BE32-E72D297353CC}">
              <c16:uniqueId val="{00000000-DE5E-470B-BC83-CF3F840E873B}"/>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Single'!$AJ$5:$AJ$105</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1.0104614196767883</c:v>
                </c:pt>
                <c:pt idx="34">
                  <c:v>1.0256779263015983</c:v>
                </c:pt>
                <c:pt idx="35">
                  <c:v>1.0406728592598156</c:v>
                </c:pt>
                <c:pt idx="36">
                  <c:v>1.0554556496253551</c:v>
                </c:pt>
                <c:pt idx="37">
                  <c:v>1.0700350778289236</c:v>
                </c:pt>
                <c:pt idx="38">
                  <c:v>1.0844193348183218</c:v>
                </c:pt>
                <c:pt idx="39">
                  <c:v>1.0986164202805047</c:v>
                </c:pt>
                <c:pt idx="40">
                  <c:v>1.1126561144308824</c:v>
                </c:pt>
                <c:pt idx="41">
                  <c:v>1.1265231142644092</c:v>
                </c:pt>
                <c:pt idx="42">
                  <c:v>1.140223726478891</c:v>
                </c:pt>
                <c:pt idx="43">
                  <c:v>1.1537638843267024</c:v>
                </c:pt>
                <c:pt idx="44">
                  <c:v>1.1752590596736758</c:v>
                </c:pt>
                <c:pt idx="45">
                  <c:v>1.2019813250222642</c:v>
                </c:pt>
                <c:pt idx="46">
                  <c:v>1.2287041749228464</c:v>
                </c:pt>
                <c:pt idx="47">
                  <c:v>1.2554272825231232</c:v>
                </c:pt>
                <c:pt idx="48">
                  <c:v>1.2821499301242532</c:v>
                </c:pt>
                <c:pt idx="49">
                  <c:v>1.3088730542803209</c:v>
                </c:pt>
                <c:pt idx="50">
                  <c:v>1.3355966550111888</c:v>
                </c:pt>
                <c:pt idx="51">
                  <c:v>1.3623207323367228</c:v>
                </c:pt>
                <c:pt idx="52">
                  <c:v>1.3890452862767919</c:v>
                </c:pt>
                <c:pt idx="53">
                  <c:v>1.4157703168512694</c:v>
                </c:pt>
                <c:pt idx="54">
                  <c:v>1.4424958240800307</c:v>
                </c:pt>
                <c:pt idx="55">
                  <c:v>1.4692218079829542</c:v>
                </c:pt>
                <c:pt idx="56">
                  <c:v>1.4959482685799217</c:v>
                </c:pt>
                <c:pt idx="57">
                  <c:v>1.5226752058908173</c:v>
                </c:pt>
                <c:pt idx="58">
                  <c:v>1.5494026199355269</c:v>
                </c:pt>
                <c:pt idx="59">
                  <c:v>1.5761305107339396</c:v>
                </c:pt>
                <c:pt idx="60">
                  <c:v>1.6028588783059465</c:v>
                </c:pt>
                <c:pt idx="61">
                  <c:v>1.6295877226714399</c:v>
                </c:pt>
                <c:pt idx="62">
                  <c:v>1.6563170438503159</c:v>
                </c:pt>
                <c:pt idx="63">
                  <c:v>1.6830468418624716</c:v>
                </c:pt>
                <c:pt idx="64">
                  <c:v>1.7097771167278051</c:v>
                </c:pt>
                <c:pt idx="65">
                  <c:v>1.7365078684662176</c:v>
                </c:pt>
                <c:pt idx="66">
                  <c:v>1.7632390970976126</c:v>
                </c:pt>
                <c:pt idx="67">
                  <c:v>1.7899708026418943</c:v>
                </c:pt>
                <c:pt idx="68">
                  <c:v>1.8167029851189676</c:v>
                </c:pt>
                <c:pt idx="69">
                  <c:v>1.843435644548741</c:v>
                </c:pt>
                <c:pt idx="70">
                  <c:v>1.8701687809511245</c:v>
                </c:pt>
                <c:pt idx="71">
                  <c:v>1.8969023943460284</c:v>
                </c:pt>
                <c:pt idx="72">
                  <c:v>1.9236364847533658</c:v>
                </c:pt>
                <c:pt idx="73">
                  <c:v>1.9503710521930491</c:v>
                </c:pt>
                <c:pt idx="74">
                  <c:v>1.9771060966849952</c:v>
                </c:pt>
                <c:pt idx="75">
                  <c:v>2.0038416182491208</c:v>
                </c:pt>
                <c:pt idx="76">
                  <c:v>2.0305776169053438</c:v>
                </c:pt>
                <c:pt idx="77">
                  <c:v>2.0573140926735847</c:v>
                </c:pt>
                <c:pt idx="78">
                  <c:v>2.084051045573764</c:v>
                </c:pt>
                <c:pt idx="79">
                  <c:v>2.1107884756258053</c:v>
                </c:pt>
                <c:pt idx="80">
                  <c:v>2.1375263828496305</c:v>
                </c:pt>
                <c:pt idx="81">
                  <c:v>2.1642647672651667</c:v>
                </c:pt>
                <c:pt idx="82">
                  <c:v>2.1910036288923402</c:v>
                </c:pt>
                <c:pt idx="83">
                  <c:v>2.2177429677510778</c:v>
                </c:pt>
                <c:pt idx="84">
                  <c:v>2.2444827838613102</c:v>
                </c:pt>
                <c:pt idx="85">
                  <c:v>2.2712230772429667</c:v>
                </c:pt>
                <c:pt idx="86">
                  <c:v>2.2979638479159799</c:v>
                </c:pt>
                <c:pt idx="87">
                  <c:v>2.3247050959002822</c:v>
                </c:pt>
                <c:pt idx="88">
                  <c:v>2.3514468212158084</c:v>
                </c:pt>
                <c:pt idx="89">
                  <c:v>2.3781890238824941</c:v>
                </c:pt>
                <c:pt idx="90">
                  <c:v>2.4049317039202749</c:v>
                </c:pt>
                <c:pt idx="91">
                  <c:v>2.4316748613490899</c:v>
                </c:pt>
                <c:pt idx="92">
                  <c:v>2.4584184961888798</c:v>
                </c:pt>
                <c:pt idx="93">
                  <c:v>2.4851626084595821</c:v>
                </c:pt>
                <c:pt idx="94">
                  <c:v>2.5119071981811398</c:v>
                </c:pt>
                <c:pt idx="95">
                  <c:v>2.5386522653734973</c:v>
                </c:pt>
                <c:pt idx="96">
                  <c:v>2.5653978100565973</c:v>
                </c:pt>
                <c:pt idx="97">
                  <c:v>2.5921438322503847</c:v>
                </c:pt>
                <c:pt idx="98">
                  <c:v>2.6188903319748076</c:v>
                </c:pt>
                <c:pt idx="99">
                  <c:v>2.6456373092498122</c:v>
                </c:pt>
                <c:pt idx="100">
                  <c:v>2.672384764095348</c:v>
                </c:pt>
              </c:numCache>
            </c:numRef>
          </c:val>
          <c:smooth val="1"/>
          <c:extLst>
            <c:ext xmlns:c16="http://schemas.microsoft.com/office/drawing/2014/chart" uri="{C3380CC4-5D6E-409C-BE32-E72D297353CC}">
              <c16:uniqueId val="{00000001-DE5E-470B-BC83-CF3F840E873B}"/>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1.0104614196767883</c:v>
                </c:pt>
                <c:pt idx="34">
                  <c:v>1.0256779263015983</c:v>
                </c:pt>
                <c:pt idx="35">
                  <c:v>1.0406728592598156</c:v>
                </c:pt>
                <c:pt idx="36">
                  <c:v>1.0554556496253551</c:v>
                </c:pt>
                <c:pt idx="37">
                  <c:v>1.0700350778289236</c:v>
                </c:pt>
                <c:pt idx="38">
                  <c:v>1.0844193348183218</c:v>
                </c:pt>
                <c:pt idx="39">
                  <c:v>1.0986160760198176</c:v>
                </c:pt>
                <c:pt idx="40">
                  <c:v>1.1126324691099285</c:v>
                </c:pt>
                <c:pt idx="41">
                  <c:v>1.1264853022787895</c:v>
                </c:pt>
                <c:pt idx="42">
                  <c:v>1.1401839534470775</c:v>
                </c:pt>
                <c:pt idx="43">
                  <c:v>1.1537220970346636</c:v>
                </c:pt>
                <c:pt idx="44">
                  <c:v>1.1671053228522896</c:v>
                </c:pt>
                <c:pt idx="45">
                  <c:v>1.1803389046648407</c:v>
                </c:pt>
                <c:pt idx="46">
                  <c:v>1.2037412049315324</c:v>
                </c:pt>
                <c:pt idx="47">
                  <c:v>1.2299186990876112</c:v>
                </c:pt>
                <c:pt idx="48">
                  <c:v>1.2560966200639767</c:v>
                </c:pt>
                <c:pt idx="49">
                  <c:v>1.2822747191116404</c:v>
                </c:pt>
                <c:pt idx="50">
                  <c:v>1.3084526255500892</c:v>
                </c:pt>
                <c:pt idx="51">
                  <c:v>1.3346308935918947</c:v>
                </c:pt>
                <c:pt idx="52">
                  <c:v>1.3608095232488691</c:v>
                </c:pt>
                <c:pt idx="53">
                  <c:v>1.3869885145328271</c:v>
                </c:pt>
                <c:pt idx="54">
                  <c:v>1.4131678674555843</c:v>
                </c:pt>
                <c:pt idx="55">
                  <c:v>1.4393475820289596</c:v>
                </c:pt>
                <c:pt idx="56">
                  <c:v>1.465527658264772</c:v>
                </c:pt>
                <c:pt idx="57">
                  <c:v>1.4917080961748423</c:v>
                </c:pt>
                <c:pt idx="58">
                  <c:v>1.5178888957709933</c:v>
                </c:pt>
                <c:pt idx="59">
                  <c:v>1.5440700570650494</c:v>
                </c:pt>
                <c:pt idx="60">
                  <c:v>1.5702515800688344</c:v>
                </c:pt>
                <c:pt idx="61">
                  <c:v>1.5964334647941751</c:v>
                </c:pt>
                <c:pt idx="62">
                  <c:v>1.6226157112528996</c:v>
                </c:pt>
                <c:pt idx="63">
                  <c:v>1.6487983194568354</c:v>
                </c:pt>
                <c:pt idx="64">
                  <c:v>1.6749812894178124</c:v>
                </c:pt>
                <c:pt idx="65">
                  <c:v>1.7011646211476614</c:v>
                </c:pt>
                <c:pt idx="66">
                  <c:v>1.7273483146582134</c:v>
                </c:pt>
                <c:pt idx="67">
                  <c:v>1.7535323699613019</c:v>
                </c:pt>
                <c:pt idx="68">
                  <c:v>1.7797167870687594</c:v>
                </c:pt>
                <c:pt idx="69">
                  <c:v>1.8059015659924196</c:v>
                </c:pt>
                <c:pt idx="70">
                  <c:v>1.8320867067441191</c:v>
                </c:pt>
                <c:pt idx="71">
                  <c:v>1.8582722093356929</c:v>
                </c:pt>
                <c:pt idx="72">
                  <c:v>1.8844580737789776</c:v>
                </c:pt>
                <c:pt idx="73">
                  <c:v>1.9106443000858113</c:v>
                </c:pt>
                <c:pt idx="74">
                  <c:v>1.9368308882680323</c:v>
                </c:pt>
                <c:pt idx="75">
                  <c:v>1.9630178383374794</c:v>
                </c:pt>
                <c:pt idx="76">
                  <c:v>1.989205150305992</c:v>
                </c:pt>
                <c:pt idx="77">
                  <c:v>2.0153928241854109</c:v>
                </c:pt>
                <c:pt idx="78">
                  <c:v>2.0415808599875778</c:v>
                </c:pt>
                <c:pt idx="79">
                  <c:v>2.0677692577243345</c:v>
                </c:pt>
                <c:pt idx="80">
                  <c:v>2.0939580174075223</c:v>
                </c:pt>
                <c:pt idx="81">
                  <c:v>2.1201471390489859</c:v>
                </c:pt>
                <c:pt idx="82">
                  <c:v>2.1463366226605682</c:v>
                </c:pt>
                <c:pt idx="83">
                  <c:v>2.172526468254115</c:v>
                </c:pt>
                <c:pt idx="84">
                  <c:v>2.1987166758414705</c:v>
                </c:pt>
                <c:pt idx="85">
                  <c:v>2.2249072454344807</c:v>
                </c:pt>
                <c:pt idx="86">
                  <c:v>2.2510981770449918</c:v>
                </c:pt>
                <c:pt idx="87">
                  <c:v>2.2772894706848521</c:v>
                </c:pt>
                <c:pt idx="88">
                  <c:v>2.3034811263659085</c:v>
                </c:pt>
                <c:pt idx="89">
                  <c:v>2.3296731441000089</c:v>
                </c:pt>
                <c:pt idx="90">
                  <c:v>2.3558655238990034</c:v>
                </c:pt>
                <c:pt idx="91">
                  <c:v>2.3820582657747411</c:v>
                </c:pt>
                <c:pt idx="92">
                  <c:v>2.4082513697390708</c:v>
                </c:pt>
                <c:pt idx="93">
                  <c:v>2.4344448358038453</c:v>
                </c:pt>
                <c:pt idx="94">
                  <c:v>2.4606386639809146</c:v>
                </c:pt>
                <c:pt idx="95">
                  <c:v>2.4868328542821314</c:v>
                </c:pt>
                <c:pt idx="96">
                  <c:v>2.5130274067193477</c:v>
                </c:pt>
                <c:pt idx="97">
                  <c:v>2.5392223213044169</c:v>
                </c:pt>
                <c:pt idx="98">
                  <c:v>2.5654175980491924</c:v>
                </c:pt>
                <c:pt idx="99">
                  <c:v>2.5916132369655291</c:v>
                </c:pt>
                <c:pt idx="100">
                  <c:v>2.6178092380652811</c:v>
                </c:pt>
              </c:numCache>
            </c:numRef>
          </c:val>
          <c:smooth val="1"/>
          <c:extLst>
            <c:ext xmlns:c16="http://schemas.microsoft.com/office/drawing/2014/chart" uri="{C3380CC4-5D6E-409C-BE32-E72D297353CC}">
              <c16:uniqueId val="{00000002-DE5E-470B-BC83-CF3F840E873B}"/>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zh-CN"/>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zh-CN"/>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Single'!$AN$110:$AN$210</c:f>
              <c:numCache>
                <c:formatCode>0.0</c:formatCode>
                <c:ptCount val="101"/>
                <c:pt idx="0">
                  <c:v>12</c:v>
                </c:pt>
                <c:pt idx="1">
                  <c:v>12</c:v>
                </c:pt>
                <c:pt idx="2">
                  <c:v>21.657735026918967</c:v>
                </c:pt>
                <c:pt idx="3">
                  <c:v>32.486602540378442</c:v>
                </c:pt>
                <c:pt idx="4">
                  <c:v>43.315470053837934</c:v>
                </c:pt>
                <c:pt idx="5">
                  <c:v>54.144337567297406</c:v>
                </c:pt>
                <c:pt idx="6">
                  <c:v>64.973205080756884</c:v>
                </c:pt>
                <c:pt idx="7">
                  <c:v>75.802072594216384</c:v>
                </c:pt>
                <c:pt idx="8">
                  <c:v>86.630940107675869</c:v>
                </c:pt>
                <c:pt idx="9">
                  <c:v>97.459807621135354</c:v>
                </c:pt>
                <c:pt idx="10">
                  <c:v>108.28867513459481</c:v>
                </c:pt>
                <c:pt idx="11">
                  <c:v>119.11754264805431</c:v>
                </c:pt>
                <c:pt idx="12">
                  <c:v>129.94641016151377</c:v>
                </c:pt>
                <c:pt idx="13">
                  <c:v>140.77527767497327</c:v>
                </c:pt>
                <c:pt idx="14">
                  <c:v>151.60414518843277</c:v>
                </c:pt>
                <c:pt idx="15">
                  <c:v>162.43301270189224</c:v>
                </c:pt>
                <c:pt idx="16">
                  <c:v>173.26188021535174</c:v>
                </c:pt>
                <c:pt idx="17">
                  <c:v>184.09074772881124</c:v>
                </c:pt>
                <c:pt idx="18">
                  <c:v>194.91961524227071</c:v>
                </c:pt>
                <c:pt idx="19">
                  <c:v>205.74848275573015</c:v>
                </c:pt>
                <c:pt idx="20">
                  <c:v>216.57735026918962</c:v>
                </c:pt>
                <c:pt idx="21">
                  <c:v>227.40621778264912</c:v>
                </c:pt>
                <c:pt idx="22">
                  <c:v>238.23508529610862</c:v>
                </c:pt>
                <c:pt idx="23">
                  <c:v>249.06395280956812</c:v>
                </c:pt>
                <c:pt idx="24">
                  <c:v>259.89282032302754</c:v>
                </c:pt>
                <c:pt idx="25">
                  <c:v>270.72168783648709</c:v>
                </c:pt>
                <c:pt idx="26">
                  <c:v>266.32104640833802</c:v>
                </c:pt>
                <c:pt idx="27">
                  <c:v>256.94188251338028</c:v>
                </c:pt>
                <c:pt idx="28">
                  <c:v>248.21614926300737</c:v>
                </c:pt>
                <c:pt idx="29">
                  <c:v>240.05646781900637</c:v>
                </c:pt>
                <c:pt idx="30">
                  <c:v>232.4145188813462</c:v>
                </c:pt>
                <c:pt idx="31">
                  <c:v>225.24334470133701</c:v>
                </c:pt>
                <c:pt idx="32">
                  <c:v>218.50074219239383</c:v>
                </c:pt>
                <c:pt idx="33">
                  <c:v>212.14940635533671</c:v>
                </c:pt>
                <c:pt idx="34">
                  <c:v>206.15623972516318</c:v>
                </c:pt>
                <c:pt idx="35">
                  <c:v>200.49177544252433</c:v>
                </c:pt>
                <c:pt idx="36">
                  <c:v>195.12969272011813</c:v>
                </c:pt>
                <c:pt idx="37">
                  <c:v>190.04640788961703</c:v>
                </c:pt>
                <c:pt idx="38">
                  <c:v>185.22072762321724</c:v>
                </c:pt>
                <c:pt idx="39">
                  <c:v>180.63355357426994</c:v>
                </c:pt>
                <c:pt idx="40">
                  <c:v>176.26762975656624</c:v>
                </c:pt>
                <c:pt idx="41">
                  <c:v>172.10732561715793</c:v>
                </c:pt>
                <c:pt idx="42">
                  <c:v>168.13844905429585</c:v>
                </c:pt>
                <c:pt idx="43">
                  <c:v>164.34808466630415</c:v>
                </c:pt>
                <c:pt idx="44">
                  <c:v>160.72445334671616</c:v>
                </c:pt>
                <c:pt idx="45">
                  <c:v>157.25679000983229</c:v>
                </c:pt>
                <c:pt idx="46">
                  <c:v>153.93523677287564</c:v>
                </c:pt>
                <c:pt idx="47">
                  <c:v>150.75074936228222</c:v>
                </c:pt>
                <c:pt idx="48">
                  <c:v>147.6950148727218</c:v>
                </c:pt>
                <c:pt idx="49">
                  <c:v>144.76037930411007</c:v>
                </c:pt>
                <c:pt idx="50">
                  <c:v>141.93978354666044</c:v>
                </c:pt>
                <c:pt idx="51">
                  <c:v>139.22670668681673</c:v>
                </c:pt>
                <c:pt idx="52">
                  <c:v>136.61511567556715</c:v>
                </c:pt>
                <c:pt idx="53">
                  <c:v>134.09942054142772</c:v>
                </c:pt>
                <c:pt idx="54">
                  <c:v>131.67443444832335</c:v>
                </c:pt>
                <c:pt idx="55">
                  <c:v>129.3353379977448</c:v>
                </c:pt>
                <c:pt idx="56">
                  <c:v>127.07764725816767</c:v>
                </c:pt>
                <c:pt idx="57">
                  <c:v>124.89718507547283</c:v>
                </c:pt>
                <c:pt idx="58">
                  <c:v>122.79005527813774</c:v>
                </c:pt>
                <c:pt idx="59">
                  <c:v>120.75261944207398</c:v>
                </c:pt>
                <c:pt idx="60">
                  <c:v>118.78147592360217</c:v>
                </c:pt>
                <c:pt idx="61">
                  <c:v>116.87344090639112</c:v>
                </c:pt>
                <c:pt idx="62">
                  <c:v>115.02553124022573</c:v>
                </c:pt>
                <c:pt idx="63">
                  <c:v>113.23494887703711</c:v>
                </c:pt>
                <c:pt idx="64">
                  <c:v>111.49906673340296</c:v>
                </c:pt>
                <c:pt idx="65">
                  <c:v>109.81541582928403</c:v>
                </c:pt>
                <c:pt idx="66">
                  <c:v>108.18167357057872</c:v>
                </c:pt>
                <c:pt idx="67">
                  <c:v>106.59565305854807</c:v>
                </c:pt>
                <c:pt idx="68">
                  <c:v>105.05529332263369</c:v>
                </c:pt>
                <c:pt idx="69">
                  <c:v>103.5586503849393</c:v>
                </c:pt>
                <c:pt idx="70">
                  <c:v>102.103889074913</c:v>
                </c:pt>
                <c:pt idx="71">
                  <c:v>100.68927552176329</c:v>
                </c:pt>
                <c:pt idx="72">
                  <c:v>99.313170260031427</c:v>
                </c:pt>
                <c:pt idx="73">
                  <c:v>97.97402189068039</c:v>
                </c:pt>
                <c:pt idx="74">
                  <c:v>96.670361246173485</c:v>
                </c:pt>
                <c:pt idx="75">
                  <c:v>95.400796013402598</c:v>
                </c:pt>
                <c:pt idx="76">
                  <c:v>94.164005773094516</c:v>
                </c:pt>
                <c:pt idx="77">
                  <c:v>92.958737418540764</c:v>
                </c:pt>
                <c:pt idx="78">
                  <c:v>91.783800920235223</c:v>
                </c:pt>
                <c:pt idx="79">
                  <c:v>90.63806540632936</c:v>
                </c:pt>
                <c:pt idx="80">
                  <c:v>89.52045553176643</c:v>
                </c:pt>
                <c:pt idx="81">
                  <c:v>88.429948111591244</c:v>
                </c:pt>
                <c:pt idx="82">
                  <c:v>87.365568996279109</c:v>
                </c:pt>
                <c:pt idx="83">
                  <c:v>86.326390169027135</c:v>
                </c:pt>
                <c:pt idx="84">
                  <c:v>85.311527046827933</c:v>
                </c:pt>
                <c:pt idx="85">
                  <c:v>84.320135968827898</c:v>
                </c:pt>
                <c:pt idx="86">
                  <c:v>83.351411856981272</c:v>
                </c:pt>
                <c:pt idx="87">
                  <c:v>82.404586035367132</c:v>
                </c:pt>
                <c:pt idx="88">
                  <c:v>81.47892419575409</c:v>
                </c:pt>
                <c:pt idx="89">
                  <c:v>80.57372449809759</c:v>
                </c:pt>
                <c:pt idx="90">
                  <c:v>79.688315795642055</c:v>
                </c:pt>
                <c:pt idx="91">
                  <c:v>78.822055975195312</c:v>
                </c:pt>
                <c:pt idx="92">
                  <c:v>77.974330403949381</c:v>
                </c:pt>
                <c:pt idx="93">
                  <c:v>77.144550474952482</c:v>
                </c:pt>
                <c:pt idx="94">
                  <c:v>76.332152243998493</c:v>
                </c:pt>
                <c:pt idx="95">
                  <c:v>75.536595151300148</c:v>
                </c:pt>
                <c:pt idx="96">
                  <c:v>74.757360821856906</c:v>
                </c:pt>
                <c:pt idx="97">
                  <c:v>73.993951938922734</c:v>
                </c:pt>
                <c:pt idx="98">
                  <c:v>73.245891185429556</c:v>
                </c:pt>
                <c:pt idx="99">
                  <c:v>72.512720248631155</c:v>
                </c:pt>
                <c:pt idx="100">
                  <c:v>71.793998883606463</c:v>
                </c:pt>
              </c:numCache>
            </c:numRef>
          </c:val>
          <c:smooth val="0"/>
          <c:extLst>
            <c:ext xmlns:c16="http://schemas.microsoft.com/office/drawing/2014/chart" uri="{C3380CC4-5D6E-409C-BE32-E72D297353CC}">
              <c16:uniqueId val="{00000000-33CF-4CE8-9C2E-6191AB4D2064}"/>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Single'!$AN$5:$AN$105</c:f>
              <c:numCache>
                <c:formatCode>0.0</c:formatCode>
                <c:ptCount val="101"/>
                <c:pt idx="0">
                  <c:v>12</c:v>
                </c:pt>
                <c:pt idx="1">
                  <c:v>12</c:v>
                </c:pt>
                <c:pt idx="2">
                  <c:v>21.657735026918967</c:v>
                </c:pt>
                <c:pt idx="3">
                  <c:v>32.486602540378442</c:v>
                </c:pt>
                <c:pt idx="4">
                  <c:v>43.315470053837934</c:v>
                </c:pt>
                <c:pt idx="5">
                  <c:v>54.144337567297406</c:v>
                </c:pt>
                <c:pt idx="6">
                  <c:v>64.973205080756884</c:v>
                </c:pt>
                <c:pt idx="7">
                  <c:v>75.802072594216384</c:v>
                </c:pt>
                <c:pt idx="8">
                  <c:v>86.630940107675869</c:v>
                </c:pt>
                <c:pt idx="9">
                  <c:v>97.459807621135354</c:v>
                </c:pt>
                <c:pt idx="10">
                  <c:v>108.28867513459481</c:v>
                </c:pt>
                <c:pt idx="11">
                  <c:v>119.11754264805431</c:v>
                </c:pt>
                <c:pt idx="12">
                  <c:v>129.94641016151377</c:v>
                </c:pt>
                <c:pt idx="13">
                  <c:v>140.77527767497327</c:v>
                </c:pt>
                <c:pt idx="14">
                  <c:v>151.60414518843277</c:v>
                </c:pt>
                <c:pt idx="15">
                  <c:v>162.43301270189224</c:v>
                </c:pt>
                <c:pt idx="16">
                  <c:v>173.26188021535174</c:v>
                </c:pt>
                <c:pt idx="17">
                  <c:v>184.09074772881124</c:v>
                </c:pt>
                <c:pt idx="18">
                  <c:v>194.91961524227071</c:v>
                </c:pt>
                <c:pt idx="19">
                  <c:v>205.74848275573015</c:v>
                </c:pt>
                <c:pt idx="20">
                  <c:v>216.57735026918962</c:v>
                </c:pt>
                <c:pt idx="21">
                  <c:v>227.40621778264912</c:v>
                </c:pt>
                <c:pt idx="22">
                  <c:v>238.23508529610862</c:v>
                </c:pt>
                <c:pt idx="23">
                  <c:v>249.06395280956812</c:v>
                </c:pt>
                <c:pt idx="24">
                  <c:v>259.89282032302754</c:v>
                </c:pt>
                <c:pt idx="25">
                  <c:v>270.72168783648709</c:v>
                </c:pt>
                <c:pt idx="26">
                  <c:v>281.55055534994653</c:v>
                </c:pt>
                <c:pt idx="27">
                  <c:v>292.37942286340603</c:v>
                </c:pt>
                <c:pt idx="28">
                  <c:v>303.20829037686553</c:v>
                </c:pt>
                <c:pt idx="29">
                  <c:v>314.03715789032492</c:v>
                </c:pt>
                <c:pt idx="30">
                  <c:v>324.86602540378448</c:v>
                </c:pt>
                <c:pt idx="31">
                  <c:v>335.69489291724392</c:v>
                </c:pt>
                <c:pt idx="32">
                  <c:v>346.52376043070348</c:v>
                </c:pt>
                <c:pt idx="33">
                  <c:v>350</c:v>
                </c:pt>
                <c:pt idx="34">
                  <c:v>350</c:v>
                </c:pt>
                <c:pt idx="35">
                  <c:v>350</c:v>
                </c:pt>
                <c:pt idx="36">
                  <c:v>350</c:v>
                </c:pt>
                <c:pt idx="37">
                  <c:v>350</c:v>
                </c:pt>
                <c:pt idx="38">
                  <c:v>350</c:v>
                </c:pt>
                <c:pt idx="39">
                  <c:v>350</c:v>
                </c:pt>
                <c:pt idx="40">
                  <c:v>350</c:v>
                </c:pt>
                <c:pt idx="41">
                  <c:v>344.82591939550809</c:v>
                </c:pt>
                <c:pt idx="42">
                  <c:v>337.18970611405882</c:v>
                </c:pt>
                <c:pt idx="43">
                  <c:v>329.8853537215868</c:v>
                </c:pt>
                <c:pt idx="44">
                  <c:v>322.88494505669894</c:v>
                </c:pt>
                <c:pt idx="45">
                  <c:v>316.18216594600614</c:v>
                </c:pt>
                <c:pt idx="46">
                  <c:v>309.7528998753005</c:v>
                </c:pt>
                <c:pt idx="47">
                  <c:v>303.58017563851553</c:v>
                </c:pt>
                <c:pt idx="48">
                  <c:v>297.64775774835562</c:v>
                </c:pt>
                <c:pt idx="49">
                  <c:v>291.9433795322679</c:v>
                </c:pt>
                <c:pt idx="50">
                  <c:v>286.45414027005842</c:v>
                </c:pt>
                <c:pt idx="51">
                  <c:v>281.16809432831474</c:v>
                </c:pt>
                <c:pt idx="52">
                  <c:v>276.0741643809103</c:v>
                </c:pt>
                <c:pt idx="53">
                  <c:v>271.16206392241293</c:v>
                </c:pt>
                <c:pt idx="54">
                  <c:v>266.42222793375663</c:v>
                </c:pt>
                <c:pt idx="55">
                  <c:v>261.84575071678023</c:v>
                </c:pt>
                <c:pt idx="56">
                  <c:v>257.42433004751598</c:v>
                </c:pt>
                <c:pt idx="57">
                  <c:v>253.15021691140421</c:v>
                </c:pt>
                <c:pt idx="58">
                  <c:v>249.01617018019326</c:v>
                </c:pt>
                <c:pt idx="59">
                  <c:v>245.01541567285798</c:v>
                </c:pt>
                <c:pt idx="60">
                  <c:v>241.14160911365371</c:v>
                </c:pt>
                <c:pt idx="61">
                  <c:v>237.38880256125086</c:v>
                </c:pt>
                <c:pt idx="62">
                  <c:v>233.75141393531158</c:v>
                </c:pt>
                <c:pt idx="63">
                  <c:v>230.22419931214012</c:v>
                </c:pt>
                <c:pt idx="64">
                  <c:v>226.80222770022655</c:v>
                </c:pt>
                <c:pt idx="65">
                  <c:v>223.480858040512</c:v>
                </c:pt>
                <c:pt idx="66">
                  <c:v>220.25571820577542</c:v>
                </c:pt>
                <c:pt idx="67">
                  <c:v>217.12268579931475</c:v>
                </c:pt>
                <c:pt idx="68">
                  <c:v>214.07787057559995</c:v>
                </c:pt>
                <c:pt idx="69">
                  <c:v>211.11759832527085</c:v>
                </c:pt>
                <c:pt idx="70">
                  <c:v>208.23839608412098</c:v>
                </c:pt>
                <c:pt idx="71">
                  <c:v>205.43697854087469</c:v>
                </c:pt>
                <c:pt idx="72">
                  <c:v>202.71023553191384</c:v>
                </c:pt>
                <c:pt idx="73">
                  <c:v>200.05522052287981</c:v>
                </c:pt>
                <c:pt idx="74">
                  <c:v>197.46913998746919</c:v>
                </c:pt>
                <c:pt idx="75">
                  <c:v>194.94934360293573</c:v>
                </c:pt>
                <c:pt idx="76">
                  <c:v>192.49331518996013</c:v>
                </c:pt>
                <c:pt idx="77">
                  <c:v>190.09866433177825</c:v>
                </c:pt>
                <c:pt idx="78">
                  <c:v>187.76311861388891</c:v>
                </c:pt>
                <c:pt idx="79">
                  <c:v>185.48451643138367</c:v>
                </c:pt>
                <c:pt idx="80">
                  <c:v>183.2608003160434</c:v>
                </c:pt>
                <c:pt idx="81">
                  <c:v>181.09001073990356</c:v>
                </c:pt>
                <c:pt idx="82">
                  <c:v>178.9702803560632</c:v>
                </c:pt>
                <c:pt idx="83">
                  <c:v>176.8998286411599</c:v>
                </c:pt>
                <c:pt idx="84">
                  <c:v>174.87695690720389</c:v>
                </c:pt>
                <c:pt idx="85">
                  <c:v>172.9000436534001</c:v>
                </c:pt>
                <c:pt idx="86">
                  <c:v>170.96754023122733</c:v>
                </c:pt>
                <c:pt idx="87">
                  <c:v>169.07796679841653</c:v>
                </c:pt>
                <c:pt idx="88">
                  <c:v>167.22990853961375</c:v>
                </c:pt>
                <c:pt idx="89">
                  <c:v>165.42201213344228</c:v>
                </c:pt>
                <c:pt idx="90">
                  <c:v>163.65298244742428</c:v>
                </c:pt>
                <c:pt idx="91">
                  <c:v>161.92157944379795</c:v>
                </c:pt>
                <c:pt idx="92">
                  <c:v>160.22661528069676</c:v>
                </c:pt>
                <c:pt idx="93">
                  <c:v>158.56695159444925</c:v>
                </c:pt>
                <c:pt idx="94">
                  <c:v>156.94149694993206</c:v>
                </c:pt>
                <c:pt idx="95">
                  <c:v>155.34920444697764</c:v>
                </c:pt>
                <c:pt idx="96">
                  <c:v>153.78906947180465</c:v>
                </c:pt>
                <c:pt idx="97">
                  <c:v>152.26012758332266</c:v>
                </c:pt>
                <c:pt idx="98">
                  <c:v>150.76145252496596</c:v>
                </c:pt>
                <c:pt idx="99">
                  <c:v>149.29215435344511</c:v>
                </c:pt>
                <c:pt idx="100">
                  <c:v>147.85137767647146</c:v>
                </c:pt>
              </c:numCache>
            </c:numRef>
          </c:val>
          <c:smooth val="0"/>
          <c:extLst>
            <c:ext xmlns:c16="http://schemas.microsoft.com/office/drawing/2014/chart" uri="{C3380CC4-5D6E-409C-BE32-E72D297353CC}">
              <c16:uniqueId val="{00000001-33CF-4CE8-9C2E-6191AB4D2064}"/>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Single'!$AN$216:$AN$316</c:f>
              <c:numCache>
                <c:formatCode>0.0</c:formatCode>
                <c:ptCount val="101"/>
                <c:pt idx="0">
                  <c:v>12</c:v>
                </c:pt>
                <c:pt idx="1">
                  <c:v>12</c:v>
                </c:pt>
                <c:pt idx="2">
                  <c:v>21.657735026918967</c:v>
                </c:pt>
                <c:pt idx="3">
                  <c:v>32.486602540378442</c:v>
                </c:pt>
                <c:pt idx="4">
                  <c:v>43.315470053837934</c:v>
                </c:pt>
                <c:pt idx="5">
                  <c:v>54.144337567297406</c:v>
                </c:pt>
                <c:pt idx="6">
                  <c:v>64.973205080756884</c:v>
                </c:pt>
                <c:pt idx="7">
                  <c:v>75.802072594216384</c:v>
                </c:pt>
                <c:pt idx="8">
                  <c:v>86.630940107675869</c:v>
                </c:pt>
                <c:pt idx="9">
                  <c:v>97.459807621135354</c:v>
                </c:pt>
                <c:pt idx="10">
                  <c:v>108.28867513459481</c:v>
                </c:pt>
                <c:pt idx="11">
                  <c:v>119.11754264805431</c:v>
                </c:pt>
                <c:pt idx="12">
                  <c:v>129.94641016151377</c:v>
                </c:pt>
                <c:pt idx="13">
                  <c:v>140.77527767497327</c:v>
                </c:pt>
                <c:pt idx="14">
                  <c:v>151.60414518843277</c:v>
                </c:pt>
                <c:pt idx="15">
                  <c:v>162.43301270189224</c:v>
                </c:pt>
                <c:pt idx="16">
                  <c:v>173.26188021535174</c:v>
                </c:pt>
                <c:pt idx="17">
                  <c:v>184.09074772881124</c:v>
                </c:pt>
                <c:pt idx="18">
                  <c:v>194.91961524227071</c:v>
                </c:pt>
                <c:pt idx="19">
                  <c:v>205.74848275573015</c:v>
                </c:pt>
                <c:pt idx="20">
                  <c:v>216.57735026918962</c:v>
                </c:pt>
                <c:pt idx="21">
                  <c:v>227.40621778264912</c:v>
                </c:pt>
                <c:pt idx="22">
                  <c:v>238.23508529610862</c:v>
                </c:pt>
                <c:pt idx="23">
                  <c:v>249.06395280956812</c:v>
                </c:pt>
                <c:pt idx="24">
                  <c:v>259.89282032302754</c:v>
                </c:pt>
                <c:pt idx="25">
                  <c:v>270.72168783648709</c:v>
                </c:pt>
                <c:pt idx="26">
                  <c:v>281.55055534994653</c:v>
                </c:pt>
                <c:pt idx="27">
                  <c:v>292.37942286340603</c:v>
                </c:pt>
                <c:pt idx="28">
                  <c:v>303.20829037686553</c:v>
                </c:pt>
                <c:pt idx="29">
                  <c:v>314.03715789032492</c:v>
                </c:pt>
                <c:pt idx="30">
                  <c:v>324.86602540378448</c:v>
                </c:pt>
                <c:pt idx="31">
                  <c:v>335.69489291724392</c:v>
                </c:pt>
                <c:pt idx="32">
                  <c:v>346.52376043070348</c:v>
                </c:pt>
                <c:pt idx="33">
                  <c:v>350</c:v>
                </c:pt>
                <c:pt idx="34">
                  <c:v>350</c:v>
                </c:pt>
                <c:pt idx="35">
                  <c:v>350</c:v>
                </c:pt>
                <c:pt idx="36">
                  <c:v>350</c:v>
                </c:pt>
                <c:pt idx="37">
                  <c:v>350</c:v>
                </c:pt>
                <c:pt idx="38">
                  <c:v>350</c:v>
                </c:pt>
                <c:pt idx="39">
                  <c:v>350</c:v>
                </c:pt>
                <c:pt idx="40">
                  <c:v>350</c:v>
                </c:pt>
                <c:pt idx="41">
                  <c:v>350</c:v>
                </c:pt>
                <c:pt idx="42">
                  <c:v>350</c:v>
                </c:pt>
                <c:pt idx="43">
                  <c:v>342.7332093045946</c:v>
                </c:pt>
                <c:pt idx="44">
                  <c:v>335.48698941212189</c:v>
                </c:pt>
                <c:pt idx="45">
                  <c:v>328.5417677161426</c:v>
                </c:pt>
                <c:pt idx="46">
                  <c:v>321.87330432552704</c:v>
                </c:pt>
                <c:pt idx="47">
                  <c:v>315.47617040094912</c:v>
                </c:pt>
                <c:pt idx="48">
                  <c:v>309.32921508077709</c:v>
                </c:pt>
                <c:pt idx="49">
                  <c:v>303.41745997808948</c:v>
                </c:pt>
                <c:pt idx="50">
                  <c:v>297.72683128287588</c:v>
                </c:pt>
                <c:pt idx="51">
                  <c:v>292.24635950879019</c:v>
                </c:pt>
                <c:pt idx="52">
                  <c:v>286.96461394009134</c:v>
                </c:pt>
                <c:pt idx="53">
                  <c:v>281.8709780748685</c:v>
                </c:pt>
                <c:pt idx="54">
                  <c:v>276.9555783975149</c:v>
                </c:pt>
                <c:pt idx="55">
                  <c:v>272.20922049981982</c:v>
                </c:pt>
                <c:pt idx="56">
                  <c:v>267.62333168110922</c:v>
                </c:pt>
                <c:pt idx="57">
                  <c:v>263.1899092735012</c:v>
                </c:pt>
                <c:pt idx="58">
                  <c:v>258.90147403697148</c:v>
                </c:pt>
                <c:pt idx="59">
                  <c:v>254.75102805326543</c:v>
                </c:pt>
                <c:pt idx="60">
                  <c:v>250.73201662001992</c:v>
                </c:pt>
                <c:pt idx="61">
                  <c:v>246.83829370863168</c:v>
                </c:pt>
                <c:pt idx="62">
                  <c:v>243.06409060300504</c:v>
                </c:pt>
                <c:pt idx="63">
                  <c:v>239.40398738260663</c:v>
                </c:pt>
                <c:pt idx="64">
                  <c:v>235.85288695334913</c:v>
                </c:pt>
                <c:pt idx="65">
                  <c:v>232.40599136462984</c:v>
                </c:pt>
                <c:pt idx="66">
                  <c:v>229.05878018111486</c:v>
                </c:pt>
                <c:pt idx="67">
                  <c:v>225.80699070425339</c:v>
                </c:pt>
                <c:pt idx="68">
                  <c:v>222.64659986155249</c:v>
                </c:pt>
                <c:pt idx="69">
                  <c:v>219.57380760181891</c:v>
                </c:pt>
                <c:pt idx="70">
                  <c:v>216.58502165226852</c:v>
                </c:pt>
                <c:pt idx="71">
                  <c:v>213.67684350894891</c:v>
                </c:pt>
                <c:pt idx="72">
                  <c:v>210.84605554560324</c:v>
                </c:pt>
                <c:pt idx="73">
                  <c:v>208.08960913817344</c:v>
                </c:pt>
                <c:pt idx="74">
                  <c:v>205.40461371279787</c:v>
                </c:pt>
                <c:pt idx="75">
                  <c:v>202.78832663459011</c:v>
                </c:pt>
                <c:pt idx="76">
                  <c:v>200.23814386284729</c:v>
                </c:pt>
                <c:pt idx="77">
                  <c:v>197.75159130575506</c:v>
                </c:pt>
                <c:pt idx="78">
                  <c:v>195.3263168142546</c:v>
                </c:pt>
                <c:pt idx="79">
                  <c:v>192.9600827606138</c:v>
                </c:pt>
                <c:pt idx="80">
                  <c:v>190.65075915248136</c:v>
                </c:pt>
                <c:pt idx="81">
                  <c:v>188.39631723788281</c:v>
                </c:pt>
                <c:pt idx="82">
                  <c:v>186.1948235608038</c:v>
                </c:pt>
                <c:pt idx="83">
                  <c:v>184.04443443074871</c:v>
                </c:pt>
                <c:pt idx="84">
                  <c:v>181.94339077302766</c:v>
                </c:pt>
                <c:pt idx="85">
                  <c:v>179.89001332953922</c:v>
                </c:pt>
                <c:pt idx="86">
                  <c:v>177.88269818253104</c:v>
                </c:pt>
                <c:pt idx="87">
                  <c:v>175.91991257625946</c:v>
                </c:pt>
                <c:pt idx="88">
                  <c:v>174.00019101367408</c:v>
                </c:pt>
                <c:pt idx="89">
                  <c:v>172.1221316072357</c:v>
                </c:pt>
                <c:pt idx="90">
                  <c:v>170.28439266477076</c:v>
                </c:pt>
                <c:pt idx="91">
                  <c:v>168.48568949289057</c:v>
                </c:pt>
                <c:pt idx="92">
                  <c:v>166.72479140196799</c:v>
                </c:pt>
                <c:pt idx="93">
                  <c:v>165.00051889800017</c:v>
                </c:pt>
                <c:pt idx="94">
                  <c:v>163.31174104789221</c:v>
                </c:pt>
                <c:pt idx="95">
                  <c:v>161.65737300579323</c:v>
                </c:pt>
                <c:pt idx="96">
                  <c:v>160.03637368911637</c:v>
                </c:pt>
                <c:pt idx="97">
                  <c:v>158.44774359378027</c:v>
                </c:pt>
                <c:pt idx="98">
                  <c:v>156.89052273903837</c:v>
                </c:pt>
                <c:pt idx="99">
                  <c:v>155.36378873301629</c:v>
                </c:pt>
                <c:pt idx="100">
                  <c:v>153.86665495076576</c:v>
                </c:pt>
              </c:numCache>
            </c:numRef>
          </c:val>
          <c:smooth val="0"/>
          <c:extLst>
            <c:ext xmlns:c16="http://schemas.microsoft.com/office/drawing/2014/chart" uri="{C3380CC4-5D6E-409C-BE32-E72D297353CC}">
              <c16:uniqueId val="{00000002-33CF-4CE8-9C2E-6191AB4D206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3CF-4CE8-9C2E-6191AB4D2064}"/>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3CF-4CE8-9C2E-6191AB4D2064}"/>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3CF-4CE8-9C2E-6191AB4D2064}"/>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3.0000004117549605E-3</c:v>
                </c:pt>
                <c:pt idx="1">
                  <c:v>3.0014270393178303E-3</c:v>
                </c:pt>
                <c:pt idx="2">
                  <c:v>5.4171486805569633E-3</c:v>
                </c:pt>
                <c:pt idx="3">
                  <c:v>8.1257230208354424E-3</c:v>
                </c:pt>
                <c:pt idx="4">
                  <c:v>1.0834297361113927E-2</c:v>
                </c:pt>
                <c:pt idx="5">
                  <c:v>1.3542871701392406E-2</c:v>
                </c:pt>
                <c:pt idx="6">
                  <c:v>1.6251446041670885E-2</c:v>
                </c:pt>
                <c:pt idx="7">
                  <c:v>1.8960020381949372E-2</c:v>
                </c:pt>
                <c:pt idx="8">
                  <c:v>2.1668594722227853E-2</c:v>
                </c:pt>
                <c:pt idx="9">
                  <c:v>2.4377169062506338E-2</c:v>
                </c:pt>
                <c:pt idx="10">
                  <c:v>2.7085743402784811E-2</c:v>
                </c:pt>
                <c:pt idx="11">
                  <c:v>2.9794317743063296E-2</c:v>
                </c:pt>
                <c:pt idx="12">
                  <c:v>3.2502892083341769E-2</c:v>
                </c:pt>
                <c:pt idx="13">
                  <c:v>3.5211466423620261E-2</c:v>
                </c:pt>
                <c:pt idx="14">
                  <c:v>3.7920040763898745E-2</c:v>
                </c:pt>
                <c:pt idx="15">
                  <c:v>4.0628615104177222E-2</c:v>
                </c:pt>
                <c:pt idx="16">
                  <c:v>4.3337189444455707E-2</c:v>
                </c:pt>
                <c:pt idx="17">
                  <c:v>4.6045763784734191E-2</c:v>
                </c:pt>
                <c:pt idx="18">
                  <c:v>4.8754338125012675E-2</c:v>
                </c:pt>
                <c:pt idx="19">
                  <c:v>5.1462912465291145E-2</c:v>
                </c:pt>
                <c:pt idx="20">
                  <c:v>5.4171486805569623E-2</c:v>
                </c:pt>
                <c:pt idx="21">
                  <c:v>5.6880061145848107E-2</c:v>
                </c:pt>
                <c:pt idx="22">
                  <c:v>5.9588635486126591E-2</c:v>
                </c:pt>
                <c:pt idx="23">
                  <c:v>6.2297209826405089E-2</c:v>
                </c:pt>
                <c:pt idx="24">
                  <c:v>6.5005784166683539E-2</c:v>
                </c:pt>
                <c:pt idx="25">
                  <c:v>6.7714358506962044E-2</c:v>
                </c:pt>
                <c:pt idx="26">
                  <c:v>7.0422932847240521E-2</c:v>
                </c:pt>
                <c:pt idx="27">
                  <c:v>7.3131507187518985E-2</c:v>
                </c:pt>
                <c:pt idx="28">
                  <c:v>7.584008152779749E-2</c:v>
                </c:pt>
                <c:pt idx="29">
                  <c:v>7.8548655868075939E-2</c:v>
                </c:pt>
                <c:pt idx="30">
                  <c:v>8.1257230208354445E-2</c:v>
                </c:pt>
                <c:pt idx="31">
                  <c:v>8.3965804548632922E-2</c:v>
                </c:pt>
                <c:pt idx="32">
                  <c:v>8.6674378888911413E-2</c:v>
                </c:pt>
                <c:pt idx="33">
                  <c:v>8.8460111463151997E-2</c:v>
                </c:pt>
                <c:pt idx="34">
                  <c:v>8.9792912749844356E-2</c:v>
                </c:pt>
                <c:pt idx="35">
                  <c:v>9.1106326396898904E-2</c:v>
                </c:pt>
                <c:pt idx="36">
                  <c:v>9.2401177622474545E-2</c:v>
                </c:pt>
                <c:pt idx="37">
                  <c:v>9.367823471348341E-2</c:v>
                </c:pt>
                <c:pt idx="38">
                  <c:v>9.4938214377114999E-2</c:v>
                </c:pt>
                <c:pt idx="39">
                  <c:v>9.6181827943485204E-2</c:v>
                </c:pt>
                <c:pt idx="40">
                  <c:v>9.7412427323139442E-2</c:v>
                </c:pt>
                <c:pt idx="41">
                  <c:v>9.7169921343519164E-2</c:v>
                </c:pt>
                <c:pt idx="42">
                  <c:v>9.6175115306375791E-2</c:v>
                </c:pt>
                <c:pt idx="43">
                  <c:v>9.5210493165742122E-2</c:v>
                </c:pt>
                <c:pt idx="44">
                  <c:v>9.4927204324753225E-2</c:v>
                </c:pt>
                <c:pt idx="45">
                  <c:v>9.5071680942189901E-2</c:v>
                </c:pt>
                <c:pt idx="46">
                  <c:v>9.521067095921612E-2</c:v>
                </c:pt>
                <c:pt idx="47">
                  <c:v>9.5344255670853209E-2</c:v>
                </c:pt>
                <c:pt idx="48">
                  <c:v>9.5472222331757284E-2</c:v>
                </c:pt>
                <c:pt idx="49">
                  <c:v>9.5595577914416516E-2</c:v>
                </c:pt>
                <c:pt idx="50">
                  <c:v>9.5714583282360655E-2</c:v>
                </c:pt>
                <c:pt idx="51">
                  <c:v>9.5829479986463337E-2</c:v>
                </c:pt>
                <c:pt idx="52">
                  <c:v>9.5940492019695317E-2</c:v>
                </c:pt>
                <c:pt idx="53">
                  <c:v>9.6047827383967332E-2</c:v>
                </c:pt>
                <c:pt idx="54">
                  <c:v>9.6151679492128161E-2</c:v>
                </c:pt>
                <c:pt idx="55">
                  <c:v>9.6252228425001848E-2</c:v>
                </c:pt>
                <c:pt idx="56">
                  <c:v>9.6349642060654481E-2</c:v>
                </c:pt>
                <c:pt idx="57">
                  <c:v>9.644407709079042E-2</c:v>
                </c:pt>
                <c:pt idx="58">
                  <c:v>9.6535679937223076E-2</c:v>
                </c:pt>
                <c:pt idx="59">
                  <c:v>9.6624587579697357E-2</c:v>
                </c:pt>
                <c:pt idx="60">
                  <c:v>9.6710928304908905E-2</c:v>
                </c:pt>
                <c:pt idx="61">
                  <c:v>9.6794822385335266E-2</c:v>
                </c:pt>
                <c:pt idx="62">
                  <c:v>9.6876382695433763E-2</c:v>
                </c:pt>
                <c:pt idx="63">
                  <c:v>9.6955715271847098E-2</c:v>
                </c:pt>
                <c:pt idx="64">
                  <c:v>9.7032919823462821E-2</c:v>
                </c:pt>
                <c:pt idx="65">
                  <c:v>9.7108090196487529E-2</c:v>
                </c:pt>
                <c:pt idx="66">
                  <c:v>9.718131479909678E-2</c:v>
                </c:pt>
                <c:pt idx="67">
                  <c:v>9.7252676989702205E-2</c:v>
                </c:pt>
                <c:pt idx="68">
                  <c:v>9.7322255432420485E-2</c:v>
                </c:pt>
                <c:pt idx="69">
                  <c:v>9.7390124422932545E-2</c:v>
                </c:pt>
                <c:pt idx="70">
                  <c:v>9.745635418757026E-2</c:v>
                </c:pt>
                <c:pt idx="71">
                  <c:v>9.7521011158162904E-2</c:v>
                </c:pt>
                <c:pt idx="72">
                  <c:v>9.7584158224904169E-2</c:v>
                </c:pt>
                <c:pt idx="73">
                  <c:v>9.7645854969263965E-2</c:v>
                </c:pt>
                <c:pt idx="74">
                  <c:v>9.7706157878758373E-2</c:v>
                </c:pt>
                <c:pt idx="75">
                  <c:v>9.7765120545204767E-2</c:v>
                </c:pt>
                <c:pt idx="76">
                  <c:v>9.7822793847925402E-2</c:v>
                </c:pt>
                <c:pt idx="77">
                  <c:v>9.7879226123215687E-2</c:v>
                </c:pt>
                <c:pt idx="78">
                  <c:v>9.7934463321264029E-2</c:v>
                </c:pt>
                <c:pt idx="79">
                  <c:v>9.7988549151593801E-2</c:v>
                </c:pt>
                <c:pt idx="80">
                  <c:v>9.8041525217994793E-2</c:v>
                </c:pt>
                <c:pt idx="81">
                  <c:v>9.8093431143820839E-2</c:v>
                </c:pt>
                <c:pt idx="82">
                  <c:v>9.8144304688445302E-2</c:v>
                </c:pt>
                <c:pt idx="83">
                  <c:v>9.8194181855594892E-2</c:v>
                </c:pt>
                <c:pt idx="84">
                  <c:v>9.8243096994214671E-2</c:v>
                </c:pt>
                <c:pt idx="85">
                  <c:v>9.8291082892458123E-2</c:v>
                </c:pt>
                <c:pt idx="86">
                  <c:v>9.8338170865342911E-2</c:v>
                </c:pt>
                <c:pt idx="87">
                  <c:v>9.8384390836565139E-2</c:v>
                </c:pt>
                <c:pt idx="88">
                  <c:v>9.8429771414920486E-2</c:v>
                </c:pt>
                <c:pt idx="89">
                  <c:v>9.8474339965743396E-2</c:v>
                </c:pt>
                <c:pt idx="90">
                  <c:v>9.8518122677738629E-2</c:v>
                </c:pt>
                <c:pt idx="91">
                  <c:v>9.8561144625548103E-2</c:v>
                </c:pt>
                <c:pt idx="92">
                  <c:v>9.860342982836777E-2</c:v>
                </c:pt>
                <c:pt idx="93">
                  <c:v>9.8645001304901697E-2</c:v>
                </c:pt>
                <c:pt idx="94">
                  <c:v>9.8685881124918176E-2</c:v>
                </c:pt>
                <c:pt idx="95">
                  <c:v>9.872609045765017E-2</c:v>
                </c:pt>
                <c:pt idx="96">
                  <c:v>9.8765649617263376E-2</c:v>
                </c:pt>
                <c:pt idx="97">
                  <c:v>9.8804578105596924E-2</c:v>
                </c:pt>
                <c:pt idx="98">
                  <c:v>9.8842894652365815E-2</c:v>
                </c:pt>
                <c:pt idx="99">
                  <c:v>9.8880617252999167E-2</c:v>
                </c:pt>
                <c:pt idx="100">
                  <c:v>9.8917763204274978E-2</c:v>
                </c:pt>
              </c:numCache>
            </c:numRef>
          </c:val>
          <c:smooth val="0"/>
          <c:extLst>
            <c:ext xmlns:c16="http://schemas.microsoft.com/office/drawing/2014/chart" uri="{C3380CC4-5D6E-409C-BE32-E72D297353CC}">
              <c16:uniqueId val="{00000006-33CF-4CE8-9C2E-6191AB4D2064}"/>
            </c:ext>
          </c:extLst>
        </c:ser>
        <c:ser>
          <c:idx val="7"/>
          <c:order val="7"/>
          <c:spPr>
            <a:ln w="31750">
              <a:solidFill>
                <a:srgbClr val="00B050"/>
              </a:solidFill>
            </a:ln>
          </c:spPr>
          <c:marker>
            <c:symbol val="none"/>
          </c:marker>
          <c:val>
            <c:numRef>
              <c:f>'Calculations - Single'!$AW$110:$AW$210</c:f>
              <c:numCache>
                <c:formatCode>0.000</c:formatCode>
                <c:ptCount val="101"/>
                <c:pt idx="0">
                  <c:v>1.6000011712148057E-2</c:v>
                </c:pt>
                <c:pt idx="1">
                  <c:v>1.6040675183498221E-2</c:v>
                </c:pt>
                <c:pt idx="2">
                  <c:v>2.8954372697331868E-2</c:v>
                </c:pt>
                <c:pt idx="3">
                  <c:v>4.3431559045997797E-2</c:v>
                </c:pt>
                <c:pt idx="4">
                  <c:v>5.7908745394663737E-2</c:v>
                </c:pt>
                <c:pt idx="5">
                  <c:v>7.2385931743329662E-2</c:v>
                </c:pt>
                <c:pt idx="6">
                  <c:v>8.6863118091995595E-2</c:v>
                </c:pt>
                <c:pt idx="7">
                  <c:v>0.10134030444066154</c:v>
                </c:pt>
                <c:pt idx="8">
                  <c:v>0.11581749078932747</c:v>
                </c:pt>
                <c:pt idx="9">
                  <c:v>0.13029467713799342</c:v>
                </c:pt>
                <c:pt idx="10">
                  <c:v>0.14477186348665932</c:v>
                </c:pt>
                <c:pt idx="11">
                  <c:v>0.15924904983532528</c:v>
                </c:pt>
                <c:pt idx="12">
                  <c:v>0.17372623618399119</c:v>
                </c:pt>
                <c:pt idx="13">
                  <c:v>0.18820342253265712</c:v>
                </c:pt>
                <c:pt idx="14">
                  <c:v>0.20268060888132308</c:v>
                </c:pt>
                <c:pt idx="15">
                  <c:v>0.21715779522998901</c:v>
                </c:pt>
                <c:pt idx="16">
                  <c:v>0.23163498157865495</c:v>
                </c:pt>
                <c:pt idx="17">
                  <c:v>0.24611216792732088</c:v>
                </c:pt>
                <c:pt idx="18">
                  <c:v>0.26058935427598684</c:v>
                </c:pt>
                <c:pt idx="19">
                  <c:v>0.27506654062465274</c:v>
                </c:pt>
                <c:pt idx="20">
                  <c:v>0.28954372697331865</c:v>
                </c:pt>
                <c:pt idx="21">
                  <c:v>0.30402091332198455</c:v>
                </c:pt>
                <c:pt idx="22">
                  <c:v>0.31849809967065057</c:v>
                </c:pt>
                <c:pt idx="23">
                  <c:v>0.33297528601931653</c:v>
                </c:pt>
                <c:pt idx="24">
                  <c:v>0.34745247236798238</c:v>
                </c:pt>
                <c:pt idx="25">
                  <c:v>0.36192965871664834</c:v>
                </c:pt>
                <c:pt idx="26">
                  <c:v>0.3562846177470394</c:v>
                </c:pt>
                <c:pt idx="27">
                  <c:v>0.3570761914275411</c:v>
                </c:pt>
                <c:pt idx="28">
                  <c:v>0.35774984071964744</c:v>
                </c:pt>
                <c:pt idx="29">
                  <c:v>0.35840805854134666</c:v>
                </c:pt>
                <c:pt idx="30">
                  <c:v>0.3590312017546064</c:v>
                </c:pt>
                <c:pt idx="31">
                  <c:v>0.35961904483019175</c:v>
                </c:pt>
                <c:pt idx="32">
                  <c:v>0.36017475252239273</c:v>
                </c:pt>
                <c:pt idx="33">
                  <c:v>0.36070112228469692</c:v>
                </c:pt>
                <c:pt idx="34">
                  <c:v>0.36120063605337099</c:v>
                </c:pt>
                <c:pt idx="35">
                  <c:v>0.36167550351049982</c:v>
                </c:pt>
                <c:pt idx="36">
                  <c:v>0.36212769841847009</c:v>
                </c:pt>
                <c:pt idx="37">
                  <c:v>0.3625589892867836</c:v>
                </c:pt>
                <c:pt idx="38">
                  <c:v>0.36297096537648671</c:v>
                </c:pt>
                <c:pt idx="39">
                  <c:v>0.36336505884875886</c:v>
                </c:pt>
                <c:pt idx="40">
                  <c:v>0.36374256370859109</c:v>
                </c:pt>
                <c:pt idx="41">
                  <c:v>0.3641046520718581</c:v>
                </c:pt>
                <c:pt idx="42">
                  <c:v>0.36445238818684822</c:v>
                </c:pt>
                <c:pt idx="43">
                  <c:v>0.36478674056376231</c:v>
                </c:pt>
                <c:pt idx="44">
                  <c:v>0.36510859250348493</c:v>
                </c:pt>
                <c:pt idx="45">
                  <c:v>0.3654187512667818</c:v>
                </c:pt>
                <c:pt idx="46">
                  <c:v>0.36571795608442786</c:v>
                </c:pt>
                <c:pt idx="47">
                  <c:v>0.36600688517567581</c:v>
                </c:pt>
                <c:pt idx="48">
                  <c:v>0.36628616191539948</c:v>
                </c:pt>
                <c:pt idx="49">
                  <c:v>0.36655636026799732</c:v>
                </c:pt>
                <c:pt idx="50">
                  <c:v>0.36681800958779109</c:v>
                </c:pt>
                <c:pt idx="51">
                  <c:v>0.36707159887044</c:v>
                </c:pt>
                <c:pt idx="52">
                  <c:v>0.36731758052724822</c:v>
                </c:pt>
                <c:pt idx="53">
                  <c:v>0.36755637374368733</c:v>
                </c:pt>
                <c:pt idx="54">
                  <c:v>0.36778836747460236</c:v>
                </c:pt>
                <c:pt idx="55">
                  <c:v>0.3680139231211495</c:v>
                </c:pt>
                <c:pt idx="56">
                  <c:v>0.368233376928228</c:v>
                </c:pt>
                <c:pt idx="57">
                  <c:v>0.36844704213587598</c:v>
                </c:pt>
                <c:pt idx="58">
                  <c:v>0.36865521091359044</c:v>
                </c:pt>
                <c:pt idx="59">
                  <c:v>0.36885815610270295</c:v>
                </c:pt>
                <c:pt idx="60">
                  <c:v>0.36905613278867005</c:v>
                </c:pt>
                <c:pt idx="61">
                  <c:v>0.36924937972234029</c:v>
                </c:pt>
                <c:pt idx="62">
                  <c:v>0.36943812060685294</c:v>
                </c:pt>
                <c:pt idx="63">
                  <c:v>0.36962256526476117</c:v>
                </c:pt>
                <c:pt idx="64">
                  <c:v>0.36980291069818566</c:v>
                </c:pt>
                <c:pt idx="65">
                  <c:v>0.36997934205326427</c:v>
                </c:pt>
                <c:pt idx="66">
                  <c:v>0.3701520334988293</c:v>
                </c:pt>
                <c:pt idx="67">
                  <c:v>0.37032114902808061</c:v>
                </c:pt>
                <c:pt idx="68">
                  <c:v>0.37048684319101421</c:v>
                </c:pt>
                <c:pt idx="69">
                  <c:v>0.37064926176448615</c:v>
                </c:pt>
                <c:pt idx="70">
                  <c:v>0.37080854236601934</c:v>
                </c:pt>
                <c:pt idx="71">
                  <c:v>0.37096481501678813</c:v>
                </c:pt>
                <c:pt idx="72">
                  <c:v>0.37111820265862344</c:v>
                </c:pt>
                <c:pt idx="73">
                  <c:v>0.37126882162935892</c:v>
                </c:pt>
                <c:pt idx="74">
                  <c:v>0.37141678210038587</c:v>
                </c:pt>
                <c:pt idx="75">
                  <c:v>0.37156218847987282</c:v>
                </c:pt>
                <c:pt idx="76">
                  <c:v>0.37170513978475395</c:v>
                </c:pt>
                <c:pt idx="77">
                  <c:v>0.37184572998427423</c:v>
                </c:pt>
                <c:pt idx="78">
                  <c:v>0.37198404831759296</c:v>
                </c:pt>
                <c:pt idx="79">
                  <c:v>0.37212017958770616</c:v>
                </c:pt>
                <c:pt idx="80">
                  <c:v>0.37225420443372137</c:v>
                </c:pt>
                <c:pt idx="81">
                  <c:v>0.3723861995833207</c:v>
                </c:pt>
                <c:pt idx="82">
                  <c:v>0.37251623808707696</c:v>
                </c:pt>
                <c:pt idx="83">
                  <c:v>0.37264438953612367</c:v>
                </c:pt>
                <c:pt idx="84">
                  <c:v>0.37277072026454561</c:v>
                </c:pt>
                <c:pt idx="85">
                  <c:v>0.37289529353772205</c:v>
                </c:pt>
                <c:pt idx="86">
                  <c:v>0.37301816972775287</c:v>
                </c:pt>
                <c:pt idx="87">
                  <c:v>0.37313940647698496</c:v>
                </c:pt>
                <c:pt idx="88">
                  <c:v>0.37325905885057181</c:v>
                </c:pt>
                <c:pt idx="89">
                  <c:v>0.37337717947891563</c:v>
                </c:pt>
                <c:pt idx="90">
                  <c:v>0.37349381869076409</c:v>
                </c:pt>
                <c:pt idx="91">
                  <c:v>0.37360902463767204</c:v>
                </c:pt>
                <c:pt idx="92">
                  <c:v>0.37372284341047179</c:v>
                </c:pt>
                <c:pt idx="93">
                  <c:v>0.37383531914834667</c:v>
                </c:pt>
                <c:pt idx="94">
                  <c:v>0.37394649414104963</c:v>
                </c:pt>
                <c:pt idx="95">
                  <c:v>0.37405640892476238</c:v>
                </c:pt>
                <c:pt idx="96">
                  <c:v>0.37416510237205586</c:v>
                </c:pt>
                <c:pt idx="97">
                  <c:v>0.37427261177636617</c:v>
                </c:pt>
                <c:pt idx="98">
                  <c:v>0.37437897293137656</c:v>
                </c:pt>
                <c:pt idx="99">
                  <c:v>0.37448422020565836</c:v>
                </c:pt>
                <c:pt idx="100">
                  <c:v>0.37458838661289739</c:v>
                </c:pt>
              </c:numCache>
            </c:numRef>
          </c:val>
          <c:smooth val="0"/>
          <c:extLst>
            <c:ext xmlns:c16="http://schemas.microsoft.com/office/drawing/2014/chart" uri="{C3380CC4-5D6E-409C-BE32-E72D297353CC}">
              <c16:uniqueId val="{00000007-33CF-4CE8-9C2E-6191AB4D2064}"/>
            </c:ext>
          </c:extLst>
        </c:ser>
        <c:ser>
          <c:idx val="8"/>
          <c:order val="8"/>
          <c:spPr>
            <a:ln w="31750">
              <a:solidFill>
                <a:srgbClr val="0000FF"/>
              </a:solidFill>
            </a:ln>
          </c:spPr>
          <c:marker>
            <c:symbol val="none"/>
          </c:marker>
          <c:val>
            <c:numRef>
              <c:f>'Calculations - Single'!$AW$216:$AW$316</c:f>
              <c:numCache>
                <c:formatCode>0.000</c:formatCode>
                <c:ptCount val="101"/>
                <c:pt idx="0">
                  <c:v>2.4000002635231671E-3</c:v>
                </c:pt>
                <c:pt idx="1">
                  <c:v>2.4009132182835186E-3</c:v>
                </c:pt>
                <c:pt idx="2">
                  <c:v>4.3332843824009145E-3</c:v>
                </c:pt>
                <c:pt idx="3">
                  <c:v>6.4999265736013709E-3</c:v>
                </c:pt>
                <c:pt idx="4">
                  <c:v>8.666568764801829E-3</c:v>
                </c:pt>
                <c:pt idx="5">
                  <c:v>1.0833210956002284E-2</c:v>
                </c:pt>
                <c:pt idx="6">
                  <c:v>1.2999853147202742E-2</c:v>
                </c:pt>
                <c:pt idx="7">
                  <c:v>1.5166495338403202E-2</c:v>
                </c:pt>
                <c:pt idx="8">
                  <c:v>1.7333137529603658E-2</c:v>
                </c:pt>
                <c:pt idx="9">
                  <c:v>1.9499779720804116E-2</c:v>
                </c:pt>
                <c:pt idx="10">
                  <c:v>2.1666421912004567E-2</c:v>
                </c:pt>
                <c:pt idx="11">
                  <c:v>2.3833064103205029E-2</c:v>
                </c:pt>
                <c:pt idx="12">
                  <c:v>2.5999706294405484E-2</c:v>
                </c:pt>
                <c:pt idx="13">
                  <c:v>2.8166348485605942E-2</c:v>
                </c:pt>
                <c:pt idx="14">
                  <c:v>3.0332990676806403E-2</c:v>
                </c:pt>
                <c:pt idx="15">
                  <c:v>3.2499632868006854E-2</c:v>
                </c:pt>
                <c:pt idx="16">
                  <c:v>3.4666275059207316E-2</c:v>
                </c:pt>
                <c:pt idx="17">
                  <c:v>3.6832917250407778E-2</c:v>
                </c:pt>
                <c:pt idx="18">
                  <c:v>3.8999559441608232E-2</c:v>
                </c:pt>
                <c:pt idx="19">
                  <c:v>4.1166201632808687E-2</c:v>
                </c:pt>
                <c:pt idx="20">
                  <c:v>4.3332843824009135E-2</c:v>
                </c:pt>
                <c:pt idx="21">
                  <c:v>4.5499486015209596E-2</c:v>
                </c:pt>
                <c:pt idx="22">
                  <c:v>4.7666128206410058E-2</c:v>
                </c:pt>
                <c:pt idx="23">
                  <c:v>4.9832770397610526E-2</c:v>
                </c:pt>
                <c:pt idx="24">
                  <c:v>5.1999412588810967E-2</c:v>
                </c:pt>
                <c:pt idx="25">
                  <c:v>5.4166054780011436E-2</c:v>
                </c:pt>
                <c:pt idx="26">
                  <c:v>5.6332696971211883E-2</c:v>
                </c:pt>
                <c:pt idx="27">
                  <c:v>5.8499339162412338E-2</c:v>
                </c:pt>
                <c:pt idx="28">
                  <c:v>6.0665981353612806E-2</c:v>
                </c:pt>
                <c:pt idx="29">
                  <c:v>6.283262354481324E-2</c:v>
                </c:pt>
                <c:pt idx="30">
                  <c:v>6.4999265736013709E-2</c:v>
                </c:pt>
                <c:pt idx="31">
                  <c:v>6.7165907927214177E-2</c:v>
                </c:pt>
                <c:pt idx="32">
                  <c:v>6.9332550118414632E-2</c:v>
                </c:pt>
                <c:pt idx="33">
                  <c:v>7.0760928314704596E-2</c:v>
                </c:pt>
                <c:pt idx="34">
                  <c:v>7.1826952098149266E-2</c:v>
                </c:pt>
                <c:pt idx="35">
                  <c:v>7.2877465758919971E-2</c:v>
                </c:pt>
                <c:pt idx="36">
                  <c:v>7.3913129471701505E-2</c:v>
                </c:pt>
                <c:pt idx="37">
                  <c:v>7.4934557866174589E-2</c:v>
                </c:pt>
                <c:pt idx="38">
                  <c:v>7.5942324308235581E-2</c:v>
                </c:pt>
                <c:pt idx="39">
                  <c:v>7.6936964677291525E-2</c:v>
                </c:pt>
                <c:pt idx="40">
                  <c:v>7.7918980710283636E-2</c:v>
                </c:pt>
                <c:pt idx="41">
                  <c:v>7.888976011084034E-2</c:v>
                </c:pt>
                <c:pt idx="42">
                  <c:v>7.9850024078735815E-2</c:v>
                </c:pt>
                <c:pt idx="43">
                  <c:v>7.9121499608957216E-2</c:v>
                </c:pt>
                <c:pt idx="44">
                  <c:v>7.8347993917247311E-2</c:v>
                </c:pt>
                <c:pt idx="45">
                  <c:v>7.7596923922610597E-2</c:v>
                </c:pt>
                <c:pt idx="46">
                  <c:v>7.7529860870275871E-2</c:v>
                </c:pt>
                <c:pt idx="47">
                  <c:v>7.7642428668448185E-2</c:v>
                </c:pt>
                <c:pt idx="48">
                  <c:v>7.7750892219504486E-2</c:v>
                </c:pt>
                <c:pt idx="49">
                  <c:v>7.7855293682974794E-2</c:v>
                </c:pt>
                <c:pt idx="50">
                  <c:v>7.7955580850759945E-2</c:v>
                </c:pt>
                <c:pt idx="51">
                  <c:v>7.8052398257731859E-2</c:v>
                </c:pt>
                <c:pt idx="52">
                  <c:v>7.814593463148424E-2</c:v>
                </c:pt>
                <c:pt idx="53">
                  <c:v>7.8236365256486085E-2</c:v>
                </c:pt>
                <c:pt idx="54">
                  <c:v>7.8323853150087233E-2</c:v>
                </c:pt>
                <c:pt idx="55">
                  <c:v>7.8408550117194206E-2</c:v>
                </c:pt>
                <c:pt idx="56">
                  <c:v>7.849059769797366E-2</c:v>
                </c:pt>
                <c:pt idx="57">
                  <c:v>7.8570128021030847E-2</c:v>
                </c:pt>
                <c:pt idx="58">
                  <c:v>7.8647264572882986E-2</c:v>
                </c:pt>
                <c:pt idx="59">
                  <c:v>7.8722122893153904E-2</c:v>
                </c:pt>
                <c:pt idx="60">
                  <c:v>7.8794811203723392E-2</c:v>
                </c:pt>
                <c:pt idx="61">
                  <c:v>7.8865430979037046E-2</c:v>
                </c:pt>
                <c:pt idx="62">
                  <c:v>7.8934077463897828E-2</c:v>
                </c:pt>
                <c:pt idx="63">
                  <c:v>7.9000840144296841E-2</c:v>
                </c:pt>
                <c:pt idx="64">
                  <c:v>7.9065803176177882E-2</c:v>
                </c:pt>
                <c:pt idx="65">
                  <c:v>7.9129045776456478E-2</c:v>
                </c:pt>
                <c:pt idx="66">
                  <c:v>7.9190642580113588E-2</c:v>
                </c:pt>
                <c:pt idx="67">
                  <c:v>7.9250663966749874E-2</c:v>
                </c:pt>
                <c:pt idx="68">
                  <c:v>7.9309176359603495E-2</c:v>
                </c:pt>
                <c:pt idx="69">
                  <c:v>7.9366242499704268E-2</c:v>
                </c:pt>
                <c:pt idx="70">
                  <c:v>7.9421921697542322E-2</c:v>
                </c:pt>
                <c:pt idx="71">
                  <c:v>7.9476270064374036E-2</c:v>
                </c:pt>
                <c:pt idx="72">
                  <c:v>7.9529340725061973E-2</c:v>
                </c:pt>
                <c:pt idx="73">
                  <c:v>7.9581184014146059E-2</c:v>
                </c:pt>
                <c:pt idx="74">
                  <c:v>7.9631847656667337E-2</c:v>
                </c:pt>
                <c:pt idx="75">
                  <c:v>7.9681376935109835E-2</c:v>
                </c:pt>
                <c:pt idx="76">
                  <c:v>7.9729814843688435E-2</c:v>
                </c:pt>
                <c:pt idx="77">
                  <c:v>7.977720223108771E-2</c:v>
                </c:pt>
                <c:pt idx="78">
                  <c:v>7.9823577932647452E-2</c:v>
                </c:pt>
                <c:pt idx="79">
                  <c:v>7.9868978892894835E-2</c:v>
                </c:pt>
                <c:pt idx="80">
                  <c:v>7.9913440279235276E-2</c:v>
                </c:pt>
                <c:pt idx="81">
                  <c:v>7.9956995587537508E-2</c:v>
                </c:pt>
                <c:pt idx="82">
                  <c:v>7.9999676740279357E-2</c:v>
                </c:pt>
                <c:pt idx="83">
                  <c:v>8.0041514177858514E-2</c:v>
                </c:pt>
                <c:pt idx="84">
                  <c:v>8.0082536943616986E-2</c:v>
                </c:pt>
                <c:pt idx="85">
                  <c:v>8.0122772763079136E-2</c:v>
                </c:pt>
                <c:pt idx="86">
                  <c:v>8.016224811785698E-2</c:v>
                </c:pt>
                <c:pt idx="87">
                  <c:v>8.0200988314636762E-2</c:v>
                </c:pt>
                <c:pt idx="88">
                  <c:v>8.023901754962498E-2</c:v>
                </c:pt>
                <c:pt idx="89">
                  <c:v>8.0276358968798631E-2</c:v>
                </c:pt>
                <c:pt idx="90">
                  <c:v>8.0313034724274424E-2</c:v>
                </c:pt>
                <c:pt idx="91">
                  <c:v>8.0349066027086469E-2</c:v>
                </c:pt>
                <c:pt idx="92">
                  <c:v>8.0384473196635553E-2</c:v>
                </c:pt>
                <c:pt idx="93">
                  <c:v>8.0419275707053192E-2</c:v>
                </c:pt>
                <c:pt idx="94">
                  <c:v>8.0453492230702403E-2</c:v>
                </c:pt>
                <c:pt idx="95">
                  <c:v>8.048714067901909E-2</c:v>
                </c:pt>
                <c:pt idx="96">
                  <c:v>8.0520238240882488E-2</c:v>
                </c:pt>
                <c:pt idx="97">
                  <c:v>8.0552801418686787E-2</c:v>
                </c:pt>
                <c:pt idx="98">
                  <c:v>8.0584846062272966E-2</c:v>
                </c:pt>
                <c:pt idx="99">
                  <c:v>8.0616387400868017E-2</c:v>
                </c:pt>
                <c:pt idx="100">
                  <c:v>8.0647440073166377E-2</c:v>
                </c:pt>
              </c:numCache>
            </c:numRef>
          </c:val>
          <c:smooth val="0"/>
          <c:extLst>
            <c:ext xmlns:c16="http://schemas.microsoft.com/office/drawing/2014/chart" uri="{C3380CC4-5D6E-409C-BE32-E72D297353CC}">
              <c16:uniqueId val="{00000008-33CF-4CE8-9C2E-6191AB4D2064}"/>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zh-CN"/>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zh-CN"/>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zh-CN"/>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1.0005071272711372</c:v>
                </c:pt>
                <c:pt idx="27">
                  <c:v>1.0391322566579686</c:v>
                </c:pt>
                <c:pt idx="28">
                  <c:v>1.0776504217524117</c:v>
                </c:pt>
                <c:pt idx="29">
                  <c:v>1.1162206562188752</c:v>
                </c:pt>
                <c:pt idx="30">
                  <c:v>1.1548037536912366</c:v>
                </c:pt>
                <c:pt idx="31">
                  <c:v>1.1933930551886156</c:v>
                </c:pt>
                <c:pt idx="32">
                  <c:v>1.2319885627002809</c:v>
                </c:pt>
                <c:pt idx="33">
                  <c:v>1.2705902782167176</c:v>
                </c:pt>
                <c:pt idx="34">
                  <c:v>1.3091982037295737</c:v>
                </c:pt>
                <c:pt idx="35">
                  <c:v>1.3478123412316161</c:v>
                </c:pt>
                <c:pt idx="36">
                  <c:v>1.3864326927166928</c:v>
                </c:pt>
                <c:pt idx="37">
                  <c:v>1.4250592601797021</c:v>
                </c:pt>
                <c:pt idx="38">
                  <c:v>1.4636920456165676</c:v>
                </c:pt>
                <c:pt idx="39">
                  <c:v>1.5023310510242163</c:v>
                </c:pt>
                <c:pt idx="40">
                  <c:v>1.5409762784005594</c:v>
                </c:pt>
                <c:pt idx="41">
                  <c:v>1.579627729744479</c:v>
                </c:pt>
                <c:pt idx="42">
                  <c:v>1.6182854070558128</c:v>
                </c:pt>
                <c:pt idx="43">
                  <c:v>1.6569493123353427</c:v>
                </c:pt>
                <c:pt idx="44">
                  <c:v>1.6956194475847877</c:v>
                </c:pt>
                <c:pt idx="45">
                  <c:v>1.7342958148067933</c:v>
                </c:pt>
                <c:pt idx="46">
                  <c:v>1.7729784160049249</c:v>
                </c:pt>
                <c:pt idx="47">
                  <c:v>1.8116672531836617</c:v>
                </c:pt>
                <c:pt idx="48">
                  <c:v>1.850362328348393</c:v>
                </c:pt>
                <c:pt idx="49">
                  <c:v>1.8890636435054107</c:v>
                </c:pt>
                <c:pt idx="50">
                  <c:v>1.9277712006619074</c:v>
                </c:pt>
                <c:pt idx="51">
                  <c:v>1.9664850018259725</c:v>
                </c:pt>
                <c:pt idx="52">
                  <c:v>2.0052050490065891</c:v>
                </c:pt>
                <c:pt idx="53">
                  <c:v>2.0439313442136307</c:v>
                </c:pt>
                <c:pt idx="54">
                  <c:v>2.0826638894578622</c:v>
                </c:pt>
                <c:pt idx="55">
                  <c:v>2.121402686750931</c:v>
                </c:pt>
                <c:pt idx="56">
                  <c:v>2.1601477381053749</c:v>
                </c:pt>
                <c:pt idx="57">
                  <c:v>2.1988990455346116</c:v>
                </c:pt>
                <c:pt idx="58">
                  <c:v>2.2376566110529428</c:v>
                </c:pt>
                <c:pt idx="59">
                  <c:v>2.2764204366755534</c:v>
                </c:pt>
                <c:pt idx="60">
                  <c:v>2.3151905244185049</c:v>
                </c:pt>
                <c:pt idx="61">
                  <c:v>2.3539668762987418</c:v>
                </c:pt>
                <c:pt idx="62">
                  <c:v>2.3927494943340877</c:v>
                </c:pt>
                <c:pt idx="63">
                  <c:v>2.4315383805432429</c:v>
                </c:pt>
                <c:pt idx="64">
                  <c:v>2.4703335369457866</c:v>
                </c:pt>
                <c:pt idx="65">
                  <c:v>2.5091349655621773</c:v>
                </c:pt>
                <c:pt idx="66">
                  <c:v>2.5479426684137478</c:v>
                </c:pt>
                <c:pt idx="67">
                  <c:v>2.5867566475227108</c:v>
                </c:pt>
                <c:pt idx="68">
                  <c:v>2.6255769049121551</c:v>
                </c:pt>
                <c:pt idx="69">
                  <c:v>2.6644034426060461</c:v>
                </c:pt>
                <c:pt idx="70">
                  <c:v>2.7032362626292272</c:v>
                </c:pt>
                <c:pt idx="71">
                  <c:v>2.7420753670074189</c:v>
                </c:pt>
                <c:pt idx="72">
                  <c:v>2.7809207577672153</c:v>
                </c:pt>
                <c:pt idx="73">
                  <c:v>2.8197724369360926</c:v>
                </c:pt>
                <c:pt idx="74">
                  <c:v>2.8586304065423995</c:v>
                </c:pt>
                <c:pt idx="75">
                  <c:v>2.8974946686153644</c:v>
                </c:pt>
                <c:pt idx="76">
                  <c:v>2.9363652251850945</c:v>
                </c:pt>
                <c:pt idx="77">
                  <c:v>2.975242078282569</c:v>
                </c:pt>
                <c:pt idx="78">
                  <c:v>3.0141252299396513</c:v>
                </c:pt>
                <c:pt idx="79">
                  <c:v>3.0530146821890791</c:v>
                </c:pt>
                <c:pt idx="80">
                  <c:v>3.0919104370644694</c:v>
                </c:pt>
                <c:pt idx="81">
                  <c:v>3.1308124966003166</c:v>
                </c:pt>
                <c:pt idx="82">
                  <c:v>3.1697208628319955</c:v>
                </c:pt>
                <c:pt idx="83">
                  <c:v>3.2086355377957592</c:v>
                </c:pt>
                <c:pt idx="84">
                  <c:v>3.2475565235287407</c:v>
                </c:pt>
                <c:pt idx="85">
                  <c:v>3.2864838220689507</c:v>
                </c:pt>
                <c:pt idx="86">
                  <c:v>3.3254174354552828</c:v>
                </c:pt>
                <c:pt idx="87">
                  <c:v>3.3643573657275083</c:v>
                </c:pt>
                <c:pt idx="88">
                  <c:v>3.4033036149262808</c:v>
                </c:pt>
                <c:pt idx="89">
                  <c:v>3.442256185093135</c:v>
                </c:pt>
                <c:pt idx="90">
                  <c:v>3.4812150782704867</c:v>
                </c:pt>
                <c:pt idx="91">
                  <c:v>3.520180296501632</c:v>
                </c:pt>
                <c:pt idx="92">
                  <c:v>3.5591518418307517</c:v>
                </c:pt>
                <c:pt idx="93">
                  <c:v>3.5981297163029073</c:v>
                </c:pt>
                <c:pt idx="94">
                  <c:v>3.637113921964044</c:v>
                </c:pt>
                <c:pt idx="95">
                  <c:v>3.6761044608609903</c:v>
                </c:pt>
                <c:pt idx="96">
                  <c:v>3.7151013350414588</c:v>
                </c:pt>
                <c:pt idx="97">
                  <c:v>3.7541045465540464</c:v>
                </c:pt>
                <c:pt idx="98">
                  <c:v>3.7931140974482314</c:v>
                </c:pt>
                <c:pt idx="99">
                  <c:v>3.8321299897743821</c:v>
                </c:pt>
                <c:pt idx="100">
                  <c:v>3.8711522255837494</c:v>
                </c:pt>
              </c:numCache>
            </c:numRef>
          </c:val>
          <c:smooth val="0"/>
          <c:extLst>
            <c:ext xmlns:c16="http://schemas.microsoft.com/office/drawing/2014/chart" uri="{C3380CC4-5D6E-409C-BE32-E72D297353CC}">
              <c16:uniqueId val="{00000000-6477-4C46-89EF-E7A1D5DEFAE7}"/>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Single'!$AJ$5:$AJ$105</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1.0104614196767883</c:v>
                </c:pt>
                <c:pt idx="34">
                  <c:v>1.0256779263015983</c:v>
                </c:pt>
                <c:pt idx="35">
                  <c:v>1.0406728592598156</c:v>
                </c:pt>
                <c:pt idx="36">
                  <c:v>1.0554556496253551</c:v>
                </c:pt>
                <c:pt idx="37">
                  <c:v>1.0700350778289236</c:v>
                </c:pt>
                <c:pt idx="38">
                  <c:v>1.0844193348183218</c:v>
                </c:pt>
                <c:pt idx="39">
                  <c:v>1.0986164202805047</c:v>
                </c:pt>
                <c:pt idx="40">
                  <c:v>1.1126561144308824</c:v>
                </c:pt>
                <c:pt idx="41">
                  <c:v>1.1265231142644092</c:v>
                </c:pt>
                <c:pt idx="42">
                  <c:v>1.140223726478891</c:v>
                </c:pt>
                <c:pt idx="43">
                  <c:v>1.1537638843267024</c:v>
                </c:pt>
                <c:pt idx="44">
                  <c:v>1.1752590596736758</c:v>
                </c:pt>
                <c:pt idx="45">
                  <c:v>1.2019813250222642</c:v>
                </c:pt>
                <c:pt idx="46">
                  <c:v>1.2287041749228464</c:v>
                </c:pt>
                <c:pt idx="47">
                  <c:v>1.2554272825231232</c:v>
                </c:pt>
                <c:pt idx="48">
                  <c:v>1.2821499301242532</c:v>
                </c:pt>
                <c:pt idx="49">
                  <c:v>1.3088730542803209</c:v>
                </c:pt>
                <c:pt idx="50">
                  <c:v>1.3355966550111888</c:v>
                </c:pt>
                <c:pt idx="51">
                  <c:v>1.3623207323367228</c:v>
                </c:pt>
                <c:pt idx="52">
                  <c:v>1.3890452862767919</c:v>
                </c:pt>
                <c:pt idx="53">
                  <c:v>1.4157703168512694</c:v>
                </c:pt>
                <c:pt idx="54">
                  <c:v>1.4424958240800307</c:v>
                </c:pt>
                <c:pt idx="55">
                  <c:v>1.4692218079829542</c:v>
                </c:pt>
                <c:pt idx="56">
                  <c:v>1.4959482685799217</c:v>
                </c:pt>
                <c:pt idx="57">
                  <c:v>1.5226752058908173</c:v>
                </c:pt>
                <c:pt idx="58">
                  <c:v>1.5494026199355269</c:v>
                </c:pt>
                <c:pt idx="59">
                  <c:v>1.5761305107339396</c:v>
                </c:pt>
                <c:pt idx="60">
                  <c:v>1.6028588783059465</c:v>
                </c:pt>
                <c:pt idx="61">
                  <c:v>1.6295877226714399</c:v>
                </c:pt>
                <c:pt idx="62">
                  <c:v>1.6563170438503159</c:v>
                </c:pt>
                <c:pt idx="63">
                  <c:v>1.6830468418624716</c:v>
                </c:pt>
                <c:pt idx="64">
                  <c:v>1.7097771167278051</c:v>
                </c:pt>
                <c:pt idx="65">
                  <c:v>1.7365078684662176</c:v>
                </c:pt>
                <c:pt idx="66">
                  <c:v>1.7632390970976126</c:v>
                </c:pt>
                <c:pt idx="67">
                  <c:v>1.7899708026418943</c:v>
                </c:pt>
                <c:pt idx="68">
                  <c:v>1.8167029851189676</c:v>
                </c:pt>
                <c:pt idx="69">
                  <c:v>1.843435644548741</c:v>
                </c:pt>
                <c:pt idx="70">
                  <c:v>1.8701687809511245</c:v>
                </c:pt>
                <c:pt idx="71">
                  <c:v>1.8969023943460284</c:v>
                </c:pt>
                <c:pt idx="72">
                  <c:v>1.9236364847533658</c:v>
                </c:pt>
                <c:pt idx="73">
                  <c:v>1.9503710521930491</c:v>
                </c:pt>
                <c:pt idx="74">
                  <c:v>1.9771060966849952</c:v>
                </c:pt>
                <c:pt idx="75">
                  <c:v>2.0038416182491208</c:v>
                </c:pt>
                <c:pt idx="76">
                  <c:v>2.0305776169053438</c:v>
                </c:pt>
                <c:pt idx="77">
                  <c:v>2.0573140926735847</c:v>
                </c:pt>
                <c:pt idx="78">
                  <c:v>2.084051045573764</c:v>
                </c:pt>
                <c:pt idx="79">
                  <c:v>2.1107884756258053</c:v>
                </c:pt>
                <c:pt idx="80">
                  <c:v>2.1375263828496305</c:v>
                </c:pt>
                <c:pt idx="81">
                  <c:v>2.1642647672651667</c:v>
                </c:pt>
                <c:pt idx="82">
                  <c:v>2.1910036288923402</c:v>
                </c:pt>
                <c:pt idx="83">
                  <c:v>2.2177429677510778</c:v>
                </c:pt>
                <c:pt idx="84">
                  <c:v>2.2444827838613102</c:v>
                </c:pt>
                <c:pt idx="85">
                  <c:v>2.2712230772429667</c:v>
                </c:pt>
                <c:pt idx="86">
                  <c:v>2.2979638479159799</c:v>
                </c:pt>
                <c:pt idx="87">
                  <c:v>2.3247050959002822</c:v>
                </c:pt>
                <c:pt idx="88">
                  <c:v>2.3514468212158084</c:v>
                </c:pt>
                <c:pt idx="89">
                  <c:v>2.3781890238824941</c:v>
                </c:pt>
                <c:pt idx="90">
                  <c:v>2.4049317039202749</c:v>
                </c:pt>
                <c:pt idx="91">
                  <c:v>2.4316748613490899</c:v>
                </c:pt>
                <c:pt idx="92">
                  <c:v>2.4584184961888798</c:v>
                </c:pt>
                <c:pt idx="93">
                  <c:v>2.4851626084595821</c:v>
                </c:pt>
                <c:pt idx="94">
                  <c:v>2.5119071981811398</c:v>
                </c:pt>
                <c:pt idx="95">
                  <c:v>2.5386522653734973</c:v>
                </c:pt>
                <c:pt idx="96">
                  <c:v>2.5653978100565973</c:v>
                </c:pt>
                <c:pt idx="97">
                  <c:v>2.5921438322503847</c:v>
                </c:pt>
                <c:pt idx="98">
                  <c:v>2.6188903319748076</c:v>
                </c:pt>
                <c:pt idx="99">
                  <c:v>2.6456373092498122</c:v>
                </c:pt>
                <c:pt idx="100">
                  <c:v>2.672384764095348</c:v>
                </c:pt>
              </c:numCache>
            </c:numRef>
          </c:val>
          <c:smooth val="0"/>
          <c:extLst>
            <c:ext xmlns:c16="http://schemas.microsoft.com/office/drawing/2014/chart" uri="{C3380CC4-5D6E-409C-BE32-E72D297353CC}">
              <c16:uniqueId val="{00000001-6477-4C46-89EF-E7A1D5DEFAE7}"/>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1.0104614196767883</c:v>
                </c:pt>
                <c:pt idx="34">
                  <c:v>1.0256779263015983</c:v>
                </c:pt>
                <c:pt idx="35">
                  <c:v>1.0406728592598156</c:v>
                </c:pt>
                <c:pt idx="36">
                  <c:v>1.0554556496253551</c:v>
                </c:pt>
                <c:pt idx="37">
                  <c:v>1.0700350778289236</c:v>
                </c:pt>
                <c:pt idx="38">
                  <c:v>1.0844193348183218</c:v>
                </c:pt>
                <c:pt idx="39">
                  <c:v>1.0986160760198176</c:v>
                </c:pt>
                <c:pt idx="40">
                  <c:v>1.1126324691099285</c:v>
                </c:pt>
                <c:pt idx="41">
                  <c:v>1.1264853022787895</c:v>
                </c:pt>
                <c:pt idx="42">
                  <c:v>1.1401839534470775</c:v>
                </c:pt>
                <c:pt idx="43">
                  <c:v>1.1537220970346636</c:v>
                </c:pt>
                <c:pt idx="44">
                  <c:v>1.1671053228522896</c:v>
                </c:pt>
                <c:pt idx="45">
                  <c:v>1.1803389046648407</c:v>
                </c:pt>
                <c:pt idx="46">
                  <c:v>1.2037412049315324</c:v>
                </c:pt>
                <c:pt idx="47">
                  <c:v>1.2299186990876112</c:v>
                </c:pt>
                <c:pt idx="48">
                  <c:v>1.2560966200639767</c:v>
                </c:pt>
                <c:pt idx="49">
                  <c:v>1.2822747191116404</c:v>
                </c:pt>
                <c:pt idx="50">
                  <c:v>1.3084526255500892</c:v>
                </c:pt>
                <c:pt idx="51">
                  <c:v>1.3346308935918947</c:v>
                </c:pt>
                <c:pt idx="52">
                  <c:v>1.3608095232488691</c:v>
                </c:pt>
                <c:pt idx="53">
                  <c:v>1.3869885145328271</c:v>
                </c:pt>
                <c:pt idx="54">
                  <c:v>1.4131678674555843</c:v>
                </c:pt>
                <c:pt idx="55">
                  <c:v>1.4393475820289596</c:v>
                </c:pt>
                <c:pt idx="56">
                  <c:v>1.465527658264772</c:v>
                </c:pt>
                <c:pt idx="57">
                  <c:v>1.4917080961748423</c:v>
                </c:pt>
                <c:pt idx="58">
                  <c:v>1.5178888957709933</c:v>
                </c:pt>
                <c:pt idx="59">
                  <c:v>1.5440700570650494</c:v>
                </c:pt>
                <c:pt idx="60">
                  <c:v>1.5702515800688344</c:v>
                </c:pt>
                <c:pt idx="61">
                  <c:v>1.5964334647941751</c:v>
                </c:pt>
                <c:pt idx="62">
                  <c:v>1.6226157112528996</c:v>
                </c:pt>
                <c:pt idx="63">
                  <c:v>1.6487983194568354</c:v>
                </c:pt>
                <c:pt idx="64">
                  <c:v>1.6749812894178124</c:v>
                </c:pt>
                <c:pt idx="65">
                  <c:v>1.7011646211476614</c:v>
                </c:pt>
                <c:pt idx="66">
                  <c:v>1.7273483146582134</c:v>
                </c:pt>
                <c:pt idx="67">
                  <c:v>1.7535323699613019</c:v>
                </c:pt>
                <c:pt idx="68">
                  <c:v>1.7797167870687594</c:v>
                </c:pt>
                <c:pt idx="69">
                  <c:v>1.8059015659924196</c:v>
                </c:pt>
                <c:pt idx="70">
                  <c:v>1.8320867067441191</c:v>
                </c:pt>
                <c:pt idx="71">
                  <c:v>1.8582722093356929</c:v>
                </c:pt>
                <c:pt idx="72">
                  <c:v>1.8844580737789776</c:v>
                </c:pt>
                <c:pt idx="73">
                  <c:v>1.9106443000858113</c:v>
                </c:pt>
                <c:pt idx="74">
                  <c:v>1.9368308882680323</c:v>
                </c:pt>
                <c:pt idx="75">
                  <c:v>1.9630178383374794</c:v>
                </c:pt>
                <c:pt idx="76">
                  <c:v>1.989205150305992</c:v>
                </c:pt>
                <c:pt idx="77">
                  <c:v>2.0153928241854109</c:v>
                </c:pt>
                <c:pt idx="78">
                  <c:v>2.0415808599875778</c:v>
                </c:pt>
                <c:pt idx="79">
                  <c:v>2.0677692577243345</c:v>
                </c:pt>
                <c:pt idx="80">
                  <c:v>2.0939580174075223</c:v>
                </c:pt>
                <c:pt idx="81">
                  <c:v>2.1201471390489859</c:v>
                </c:pt>
                <c:pt idx="82">
                  <c:v>2.1463366226605682</c:v>
                </c:pt>
                <c:pt idx="83">
                  <c:v>2.172526468254115</c:v>
                </c:pt>
                <c:pt idx="84">
                  <c:v>2.1987166758414705</c:v>
                </c:pt>
                <c:pt idx="85">
                  <c:v>2.2249072454344807</c:v>
                </c:pt>
                <c:pt idx="86">
                  <c:v>2.2510981770449918</c:v>
                </c:pt>
                <c:pt idx="87">
                  <c:v>2.2772894706848521</c:v>
                </c:pt>
                <c:pt idx="88">
                  <c:v>2.3034811263659085</c:v>
                </c:pt>
                <c:pt idx="89">
                  <c:v>2.3296731441000089</c:v>
                </c:pt>
                <c:pt idx="90">
                  <c:v>2.3558655238990034</c:v>
                </c:pt>
                <c:pt idx="91">
                  <c:v>2.3820582657747411</c:v>
                </c:pt>
                <c:pt idx="92">
                  <c:v>2.4082513697390708</c:v>
                </c:pt>
                <c:pt idx="93">
                  <c:v>2.4344448358038453</c:v>
                </c:pt>
                <c:pt idx="94">
                  <c:v>2.4606386639809146</c:v>
                </c:pt>
                <c:pt idx="95">
                  <c:v>2.4868328542821314</c:v>
                </c:pt>
                <c:pt idx="96">
                  <c:v>2.5130274067193477</c:v>
                </c:pt>
                <c:pt idx="97">
                  <c:v>2.5392223213044169</c:v>
                </c:pt>
                <c:pt idx="98">
                  <c:v>2.5654175980491924</c:v>
                </c:pt>
                <c:pt idx="99">
                  <c:v>2.5916132369655291</c:v>
                </c:pt>
                <c:pt idx="100">
                  <c:v>2.6178092380652811</c:v>
                </c:pt>
              </c:numCache>
            </c:numRef>
          </c:val>
          <c:smooth val="0"/>
          <c:extLst>
            <c:ext xmlns:c16="http://schemas.microsoft.com/office/drawing/2014/chart" uri="{C3380CC4-5D6E-409C-BE32-E72D297353CC}">
              <c16:uniqueId val="{00000002-6477-4C46-89EF-E7A1D5DEFAE7}"/>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1.0068571428571429</c:v>
                </c:pt>
                <c:pt idx="2">
                  <c:v>1.0123758485868108</c:v>
                </c:pt>
                <c:pt idx="3">
                  <c:v>1.0185637728802162</c:v>
                </c:pt>
                <c:pt idx="4">
                  <c:v>1.0247516971736217</c:v>
                </c:pt>
                <c:pt idx="5">
                  <c:v>1.030939621467027</c:v>
                </c:pt>
                <c:pt idx="6">
                  <c:v>1.0371275457604325</c:v>
                </c:pt>
                <c:pt idx="7">
                  <c:v>1.0433154700538378</c:v>
                </c:pt>
                <c:pt idx="8">
                  <c:v>1.0495033943472434</c:v>
                </c:pt>
                <c:pt idx="9">
                  <c:v>1.0556913186406487</c:v>
                </c:pt>
                <c:pt idx="10">
                  <c:v>1.0618792429340542</c:v>
                </c:pt>
                <c:pt idx="11">
                  <c:v>1.0680671672274595</c:v>
                </c:pt>
                <c:pt idx="12">
                  <c:v>1.0742550915208651</c:v>
                </c:pt>
                <c:pt idx="13">
                  <c:v>1.0804430158142704</c:v>
                </c:pt>
                <c:pt idx="14">
                  <c:v>1.0866309401076759</c:v>
                </c:pt>
                <c:pt idx="15">
                  <c:v>1.0928188644010812</c:v>
                </c:pt>
                <c:pt idx="16">
                  <c:v>1.0990067886944868</c:v>
                </c:pt>
                <c:pt idx="17">
                  <c:v>1.1051947129878921</c:v>
                </c:pt>
                <c:pt idx="18">
                  <c:v>1.1113826372812976</c:v>
                </c:pt>
                <c:pt idx="19">
                  <c:v>1.1175705615747029</c:v>
                </c:pt>
                <c:pt idx="20">
                  <c:v>1.1237584858681084</c:v>
                </c:pt>
                <c:pt idx="21">
                  <c:v>1.1299464101615138</c:v>
                </c:pt>
                <c:pt idx="22">
                  <c:v>1.1361343344549193</c:v>
                </c:pt>
                <c:pt idx="23">
                  <c:v>1.1423222587483246</c:v>
                </c:pt>
                <c:pt idx="24">
                  <c:v>1.1485101830417301</c:v>
                </c:pt>
                <c:pt idx="25">
                  <c:v>1.1546981073351354</c:v>
                </c:pt>
                <c:pt idx="26">
                  <c:v>1.2003756498304721</c:v>
                </c:pt>
                <c:pt idx="27">
                  <c:v>1.2289868567836804</c:v>
                </c:pt>
                <c:pt idx="28">
                  <c:v>1.2575188309277123</c:v>
                </c:pt>
                <c:pt idx="29">
                  <c:v>1.2860893749769446</c:v>
                </c:pt>
                <c:pt idx="30">
                  <c:v>1.3146694471786937</c:v>
                </c:pt>
                <c:pt idx="31">
                  <c:v>1.3432541149545301</c:v>
                </c:pt>
                <c:pt idx="32">
                  <c:v>1.3718433797779859</c:v>
                </c:pt>
                <c:pt idx="33">
                  <c:v>1.4004372431234944</c:v>
                </c:pt>
                <c:pt idx="34">
                  <c:v>1.4290357064663508</c:v>
                </c:pt>
                <c:pt idx="35">
                  <c:v>1.4576387712826786</c:v>
                </c:pt>
                <c:pt idx="36">
                  <c:v>1.4862464390494021</c:v>
                </c:pt>
                <c:pt idx="37">
                  <c:v>1.5148587112442238</c:v>
                </c:pt>
                <c:pt idx="38">
                  <c:v>1.5434755893456056</c:v>
                </c:pt>
                <c:pt idx="39">
                  <c:v>1.5720970748327527</c:v>
                </c:pt>
                <c:pt idx="40">
                  <c:v>1.6007231691855996</c:v>
                </c:pt>
                <c:pt idx="41">
                  <c:v>1.6293538738847992</c:v>
                </c:pt>
                <c:pt idx="42">
                  <c:v>1.6579891904117132</c:v>
                </c:pt>
                <c:pt idx="43">
                  <c:v>1.6866291202484021</c:v>
                </c:pt>
                <c:pt idx="44">
                  <c:v>1.7152736648776203</c:v>
                </c:pt>
                <c:pt idx="45">
                  <c:v>1.7439228257828097</c:v>
                </c:pt>
                <c:pt idx="46">
                  <c:v>1.7725766044480924</c:v>
                </c:pt>
                <c:pt idx="47">
                  <c:v>1.8012350023582679</c:v>
                </c:pt>
                <c:pt idx="48">
                  <c:v>1.8298980209988096</c:v>
                </c:pt>
                <c:pt idx="49">
                  <c:v>1.8585656618558597</c:v>
                </c:pt>
                <c:pt idx="50">
                  <c:v>1.8872379264162276</c:v>
                </c:pt>
                <c:pt idx="51">
                  <c:v>1.9159148161673869</c:v>
                </c:pt>
                <c:pt idx="52">
                  <c:v>1.9445963325974733</c:v>
                </c:pt>
                <c:pt idx="53">
                  <c:v>1.9732824771952819</c:v>
                </c:pt>
                <c:pt idx="54">
                  <c:v>2.0019732514502682</c:v>
                </c:pt>
                <c:pt idx="55">
                  <c:v>2.0306686568525416</c:v>
                </c:pt>
                <c:pt idx="56">
                  <c:v>2.0593686948928704</c:v>
                </c:pt>
                <c:pt idx="57">
                  <c:v>2.088073367062675</c:v>
                </c:pt>
                <c:pt idx="58">
                  <c:v>2.1167826748540315</c:v>
                </c:pt>
                <c:pt idx="59">
                  <c:v>2.145496619759669</c:v>
                </c:pt>
                <c:pt idx="60">
                  <c:v>2.1742152032729667</c:v>
                </c:pt>
                <c:pt idx="61">
                  <c:v>2.2029384268879566</c:v>
                </c:pt>
                <c:pt idx="62">
                  <c:v>2.231666292099324</c:v>
                </c:pt>
                <c:pt idx="63">
                  <c:v>2.260398800402402</c:v>
                </c:pt>
                <c:pt idx="64">
                  <c:v>2.289135953293175</c:v>
                </c:pt>
                <c:pt idx="65">
                  <c:v>2.3178777522682794</c:v>
                </c:pt>
                <c:pt idx="66">
                  <c:v>2.3466241988249985</c:v>
                </c:pt>
                <c:pt idx="67">
                  <c:v>2.3753752944612674</c:v>
                </c:pt>
                <c:pt idx="68">
                  <c:v>2.4041310406756704</c:v>
                </c:pt>
                <c:pt idx="69">
                  <c:v>2.4328914389674416</c:v>
                </c:pt>
                <c:pt idx="70">
                  <c:v>2.4616564908364644</c:v>
                </c:pt>
                <c:pt idx="71">
                  <c:v>2.4904261977832736</c:v>
                </c:pt>
                <c:pt idx="72">
                  <c:v>2.5192005613090487</c:v>
                </c:pt>
                <c:pt idx="73">
                  <c:v>2.547979582915624</c:v>
                </c:pt>
                <c:pt idx="74">
                  <c:v>2.5767632641054812</c:v>
                </c:pt>
                <c:pt idx="75">
                  <c:v>2.6055516063817512</c:v>
                </c:pt>
                <c:pt idx="76">
                  <c:v>2.6343446112482178</c:v>
                </c:pt>
                <c:pt idx="77">
                  <c:v>2.6631422802093105</c:v>
                </c:pt>
                <c:pt idx="78">
                  <c:v>2.691944614770112</c:v>
                </c:pt>
                <c:pt idx="79">
                  <c:v>2.7207516164363552</c:v>
                </c:pt>
                <c:pt idx="80">
                  <c:v>2.7495632867144217</c:v>
                </c:pt>
                <c:pt idx="81">
                  <c:v>2.7783796271113457</c:v>
                </c:pt>
                <c:pt idx="82">
                  <c:v>2.8072006391348117</c:v>
                </c:pt>
                <c:pt idx="83">
                  <c:v>2.8360263242931549</c:v>
                </c:pt>
                <c:pt idx="84">
                  <c:v>2.8648566840953635</c:v>
                </c:pt>
                <c:pt idx="85">
                  <c:v>2.8936917200510743</c:v>
                </c:pt>
                <c:pt idx="86">
                  <c:v>2.9225314336705797</c:v>
                </c:pt>
                <c:pt idx="87">
                  <c:v>2.9513758264648211</c:v>
                </c:pt>
                <c:pt idx="88">
                  <c:v>2.9802248999453931</c:v>
                </c:pt>
                <c:pt idx="89">
                  <c:v>3.0090786556245446</c:v>
                </c:pt>
                <c:pt idx="90">
                  <c:v>3.0379370950151756</c:v>
                </c:pt>
                <c:pt idx="91">
                  <c:v>3.0668002196308386</c:v>
                </c:pt>
                <c:pt idx="92">
                  <c:v>3.0956680309857418</c:v>
                </c:pt>
                <c:pt idx="93">
                  <c:v>3.1245405305947465</c:v>
                </c:pt>
                <c:pt idx="94">
                  <c:v>3.153417719973366</c:v>
                </c:pt>
                <c:pt idx="95">
                  <c:v>3.1822996006377702</c:v>
                </c:pt>
                <c:pt idx="96">
                  <c:v>3.2111861741047845</c:v>
                </c:pt>
                <c:pt idx="97">
                  <c:v>3.2400774418918861</c:v>
                </c:pt>
                <c:pt idx="98">
                  <c:v>3.2689734055172082</c:v>
                </c:pt>
                <c:pt idx="99">
                  <c:v>3.2978740664995421</c:v>
                </c:pt>
                <c:pt idx="100">
                  <c:v>3.3267794263583328</c:v>
                </c:pt>
              </c:numCache>
            </c:numRef>
          </c:val>
          <c:smooth val="0"/>
          <c:extLst>
            <c:ext xmlns:c16="http://schemas.microsoft.com/office/drawing/2014/chart" uri="{C3380CC4-5D6E-409C-BE32-E72D297353CC}">
              <c16:uniqueId val="{00000000-B28B-4852-801F-8278A9821D6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Single'!$AK$5:$AK$105</c:f>
              <c:numCache>
                <c:formatCode>0.000</c:formatCode>
                <c:ptCount val="101"/>
                <c:pt idx="0">
                  <c:v>1.0068571428571429</c:v>
                </c:pt>
                <c:pt idx="1">
                  <c:v>1.0068571428571429</c:v>
                </c:pt>
                <c:pt idx="2">
                  <c:v>1.0123758485868108</c:v>
                </c:pt>
                <c:pt idx="3">
                  <c:v>1.0185637728802162</c:v>
                </c:pt>
                <c:pt idx="4">
                  <c:v>1.0247516971736217</c:v>
                </c:pt>
                <c:pt idx="5">
                  <c:v>1.030939621467027</c:v>
                </c:pt>
                <c:pt idx="6">
                  <c:v>1.0371275457604325</c:v>
                </c:pt>
                <c:pt idx="7">
                  <c:v>1.0433154700538378</c:v>
                </c:pt>
                <c:pt idx="8">
                  <c:v>1.0495033943472434</c:v>
                </c:pt>
                <c:pt idx="9">
                  <c:v>1.0556913186406487</c:v>
                </c:pt>
                <c:pt idx="10">
                  <c:v>1.0618792429340542</c:v>
                </c:pt>
                <c:pt idx="11">
                  <c:v>1.0680671672274595</c:v>
                </c:pt>
                <c:pt idx="12">
                  <c:v>1.0742550915208651</c:v>
                </c:pt>
                <c:pt idx="13">
                  <c:v>1.0804430158142704</c:v>
                </c:pt>
                <c:pt idx="14">
                  <c:v>1.0866309401076759</c:v>
                </c:pt>
                <c:pt idx="15">
                  <c:v>1.0928188644010812</c:v>
                </c:pt>
                <c:pt idx="16">
                  <c:v>1.0990067886944868</c:v>
                </c:pt>
                <c:pt idx="17">
                  <c:v>1.1051947129878921</c:v>
                </c:pt>
                <c:pt idx="18">
                  <c:v>1.1113826372812976</c:v>
                </c:pt>
                <c:pt idx="19">
                  <c:v>1.1175705615747029</c:v>
                </c:pt>
                <c:pt idx="20">
                  <c:v>1.1237584858681084</c:v>
                </c:pt>
                <c:pt idx="21">
                  <c:v>1.1299464101615138</c:v>
                </c:pt>
                <c:pt idx="22">
                  <c:v>1.1361343344549193</c:v>
                </c:pt>
                <c:pt idx="23">
                  <c:v>1.1423222587483246</c:v>
                </c:pt>
                <c:pt idx="24">
                  <c:v>1.1485101830417301</c:v>
                </c:pt>
                <c:pt idx="25">
                  <c:v>1.1546981073351354</c:v>
                </c:pt>
                <c:pt idx="26">
                  <c:v>1.160886031628541</c:v>
                </c:pt>
                <c:pt idx="27">
                  <c:v>1.1670739559219463</c:v>
                </c:pt>
                <c:pt idx="28">
                  <c:v>1.1732618802153518</c:v>
                </c:pt>
                <c:pt idx="29">
                  <c:v>1.1794498045087571</c:v>
                </c:pt>
                <c:pt idx="30">
                  <c:v>1.1856377288021624</c:v>
                </c:pt>
                <c:pt idx="31">
                  <c:v>1.191825653095568</c:v>
                </c:pt>
                <c:pt idx="32">
                  <c:v>1.1980135773889735</c:v>
                </c:pt>
                <c:pt idx="33">
                  <c:v>1.2077491997605838</c:v>
                </c:pt>
                <c:pt idx="34">
                  <c:v>1.219020686149332</c:v>
                </c:pt>
                <c:pt idx="35">
                  <c:v>1.2301280438961597</c:v>
                </c:pt>
                <c:pt idx="36">
                  <c:v>1.2410782589817444</c:v>
                </c:pt>
                <c:pt idx="37">
                  <c:v>1.2518778354288322</c:v>
                </c:pt>
                <c:pt idx="38">
                  <c:v>1.2625328406061642</c:v>
                </c:pt>
                <c:pt idx="39">
                  <c:v>1.2730492002077811</c:v>
                </c:pt>
                <c:pt idx="40">
                  <c:v>1.2834489736525054</c:v>
                </c:pt>
                <c:pt idx="41">
                  <c:v>1.2937208253810437</c:v>
                </c:pt>
                <c:pt idx="42">
                  <c:v>1.3038694270214006</c:v>
                </c:pt>
                <c:pt idx="43">
                  <c:v>1.3138991735753351</c:v>
                </c:pt>
                <c:pt idx="44">
                  <c:v>1.3298215256842043</c:v>
                </c:pt>
                <c:pt idx="45">
                  <c:v>1.3496157963127882</c:v>
                </c:pt>
                <c:pt idx="46">
                  <c:v>1.3694104999428491</c:v>
                </c:pt>
                <c:pt idx="47">
                  <c:v>1.3892053944615728</c:v>
                </c:pt>
                <c:pt idx="48">
                  <c:v>1.4089999482401874</c:v>
                </c:pt>
                <c:pt idx="49">
                  <c:v>1.4287948550224598</c:v>
                </c:pt>
                <c:pt idx="50">
                  <c:v>1.4485901148231028</c:v>
                </c:pt>
                <c:pt idx="51">
                  <c:v>1.4683857276568317</c:v>
                </c:pt>
                <c:pt idx="52">
                  <c:v>1.4881816935383643</c:v>
                </c:pt>
                <c:pt idx="53">
                  <c:v>1.5079780124824218</c:v>
                </c:pt>
                <c:pt idx="54">
                  <c:v>1.5277746845037266</c:v>
                </c:pt>
                <c:pt idx="55">
                  <c:v>1.547571709617003</c:v>
                </c:pt>
                <c:pt idx="56">
                  <c:v>1.567369087836979</c:v>
                </c:pt>
                <c:pt idx="57">
                  <c:v>1.5871668191783832</c:v>
                </c:pt>
                <c:pt idx="58">
                  <c:v>1.6069649036559457</c:v>
                </c:pt>
                <c:pt idx="59">
                  <c:v>1.6267633412843998</c:v>
                </c:pt>
                <c:pt idx="60">
                  <c:v>1.6465621320784789</c:v>
                </c:pt>
                <c:pt idx="61">
                  <c:v>1.6663612760529185</c:v>
                </c:pt>
                <c:pt idx="62">
                  <c:v>1.6861607732224562</c:v>
                </c:pt>
                <c:pt idx="63">
                  <c:v>1.7059606236018308</c:v>
                </c:pt>
                <c:pt idx="64">
                  <c:v>1.7257608272057814</c:v>
                </c:pt>
                <c:pt idx="65">
                  <c:v>1.74556138404905</c:v>
                </c:pt>
                <c:pt idx="66">
                  <c:v>1.7653622941463798</c:v>
                </c:pt>
                <c:pt idx="67">
                  <c:v>1.7851635575125142</c:v>
                </c:pt>
                <c:pt idx="68">
                  <c:v>1.8049651741621981</c:v>
                </c:pt>
                <c:pt idx="69">
                  <c:v>1.8247671441101785</c:v>
                </c:pt>
                <c:pt idx="70">
                  <c:v>1.8445694673712032</c:v>
                </c:pt>
                <c:pt idx="71">
                  <c:v>1.8643721439600209</c:v>
                </c:pt>
                <c:pt idx="72">
                  <c:v>1.8841751738913821</c:v>
                </c:pt>
                <c:pt idx="73">
                  <c:v>1.9039785571800363</c:v>
                </c:pt>
                <c:pt idx="74">
                  <c:v>1.9237822938407372</c:v>
                </c:pt>
                <c:pt idx="75">
                  <c:v>1.9435863838882375</c:v>
                </c:pt>
                <c:pt idx="76">
                  <c:v>1.9633908273372915</c:v>
                </c:pt>
                <c:pt idx="77">
                  <c:v>1.9831956242026552</c:v>
                </c:pt>
                <c:pt idx="78">
                  <c:v>2.0030007744990845</c:v>
                </c:pt>
                <c:pt idx="79">
                  <c:v>2.0228062782413372</c:v>
                </c:pt>
                <c:pt idx="80">
                  <c:v>2.0426121354441706</c:v>
                </c:pt>
                <c:pt idx="81">
                  <c:v>2.0624183461223455</c:v>
                </c:pt>
                <c:pt idx="82">
                  <c:v>2.0822249102906225</c:v>
                </c:pt>
                <c:pt idx="83">
                  <c:v>2.1020318279637613</c:v>
                </c:pt>
                <c:pt idx="84">
                  <c:v>2.1218390991565261</c:v>
                </c:pt>
                <c:pt idx="85">
                  <c:v>2.1416467238836789</c:v>
                </c:pt>
                <c:pt idx="86">
                  <c:v>2.1614547021599853</c:v>
                </c:pt>
                <c:pt idx="87">
                  <c:v>2.1812630340002088</c:v>
                </c:pt>
                <c:pt idx="88">
                  <c:v>2.2010717194191174</c:v>
                </c:pt>
                <c:pt idx="89">
                  <c:v>2.2208807584314769</c:v>
                </c:pt>
                <c:pt idx="90">
                  <c:v>2.2406901510520552</c:v>
                </c:pt>
                <c:pt idx="91">
                  <c:v>2.2604998972956221</c:v>
                </c:pt>
                <c:pt idx="92">
                  <c:v>2.280309997176948</c:v>
                </c:pt>
                <c:pt idx="93">
                  <c:v>2.3001204507108017</c:v>
                </c:pt>
                <c:pt idx="94">
                  <c:v>2.3199312579119553</c:v>
                </c:pt>
                <c:pt idx="95">
                  <c:v>2.3397424187951832</c:v>
                </c:pt>
                <c:pt idx="96">
                  <c:v>2.3595539333752571</c:v>
                </c:pt>
                <c:pt idx="97">
                  <c:v>2.3793658016669514</c:v>
                </c:pt>
                <c:pt idx="98">
                  <c:v>2.3991780236850424</c:v>
                </c:pt>
                <c:pt idx="99">
                  <c:v>2.4189905994443053</c:v>
                </c:pt>
                <c:pt idx="100">
                  <c:v>2.4388035289595171</c:v>
                </c:pt>
              </c:numCache>
            </c:numRef>
          </c:val>
          <c:smooth val="0"/>
          <c:extLst>
            <c:ext xmlns:c16="http://schemas.microsoft.com/office/drawing/2014/chart" uri="{C3380CC4-5D6E-409C-BE32-E72D297353CC}">
              <c16:uniqueId val="{00000001-B28B-4852-801F-8278A9821D6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1.0068571428571429</c:v>
                </c:pt>
                <c:pt idx="2">
                  <c:v>1.0123758485868108</c:v>
                </c:pt>
                <c:pt idx="3">
                  <c:v>1.0185637728802162</c:v>
                </c:pt>
                <c:pt idx="4">
                  <c:v>1.0247516971736217</c:v>
                </c:pt>
                <c:pt idx="5">
                  <c:v>1.030939621467027</c:v>
                </c:pt>
                <c:pt idx="6">
                  <c:v>1.0371275457604325</c:v>
                </c:pt>
                <c:pt idx="7">
                  <c:v>1.0433154700538378</c:v>
                </c:pt>
                <c:pt idx="8">
                  <c:v>1.0495033943472434</c:v>
                </c:pt>
                <c:pt idx="9">
                  <c:v>1.0556913186406487</c:v>
                </c:pt>
                <c:pt idx="10">
                  <c:v>1.0618792429340542</c:v>
                </c:pt>
                <c:pt idx="11">
                  <c:v>1.0680671672274595</c:v>
                </c:pt>
                <c:pt idx="12">
                  <c:v>1.0742550915208651</c:v>
                </c:pt>
                <c:pt idx="13">
                  <c:v>1.0804430158142704</c:v>
                </c:pt>
                <c:pt idx="14">
                  <c:v>1.0866309401076759</c:v>
                </c:pt>
                <c:pt idx="15">
                  <c:v>1.0928188644010812</c:v>
                </c:pt>
                <c:pt idx="16">
                  <c:v>1.0990067886944868</c:v>
                </c:pt>
                <c:pt idx="17">
                  <c:v>1.1051947129878921</c:v>
                </c:pt>
                <c:pt idx="18">
                  <c:v>1.1113826372812976</c:v>
                </c:pt>
                <c:pt idx="19">
                  <c:v>1.1175705615747029</c:v>
                </c:pt>
                <c:pt idx="20">
                  <c:v>1.1237584858681084</c:v>
                </c:pt>
                <c:pt idx="21">
                  <c:v>1.1299464101615138</c:v>
                </c:pt>
                <c:pt idx="22">
                  <c:v>1.1361343344549193</c:v>
                </c:pt>
                <c:pt idx="23">
                  <c:v>1.1423222587483246</c:v>
                </c:pt>
                <c:pt idx="24">
                  <c:v>1.1485101830417301</c:v>
                </c:pt>
                <c:pt idx="25">
                  <c:v>1.1546981073351354</c:v>
                </c:pt>
                <c:pt idx="26">
                  <c:v>1.160886031628541</c:v>
                </c:pt>
                <c:pt idx="27">
                  <c:v>1.1670739559219463</c:v>
                </c:pt>
                <c:pt idx="28">
                  <c:v>1.1732618802153518</c:v>
                </c:pt>
                <c:pt idx="29">
                  <c:v>1.1794498045087571</c:v>
                </c:pt>
                <c:pt idx="30">
                  <c:v>1.1856377288021624</c:v>
                </c:pt>
                <c:pt idx="31">
                  <c:v>1.191825653095568</c:v>
                </c:pt>
                <c:pt idx="32">
                  <c:v>1.1980135773889735</c:v>
                </c:pt>
                <c:pt idx="33">
                  <c:v>1.2077491997605838</c:v>
                </c:pt>
                <c:pt idx="34">
                  <c:v>1.219020686149332</c:v>
                </c:pt>
                <c:pt idx="35">
                  <c:v>1.2301280438961597</c:v>
                </c:pt>
                <c:pt idx="36">
                  <c:v>1.2410782589817444</c:v>
                </c:pt>
                <c:pt idx="37">
                  <c:v>1.2518778354288322</c:v>
                </c:pt>
                <c:pt idx="38">
                  <c:v>1.2625328406061642</c:v>
                </c:pt>
                <c:pt idx="39">
                  <c:v>1.2730489451998648</c:v>
                </c:pt>
                <c:pt idx="40">
                  <c:v>1.2834314585999471</c:v>
                </c:pt>
                <c:pt idx="41">
                  <c:v>1.293692816502807</c:v>
                </c:pt>
                <c:pt idx="42">
                  <c:v>1.3038399655163535</c:v>
                </c:pt>
                <c:pt idx="43">
                  <c:v>1.3138682200256766</c:v>
                </c:pt>
                <c:pt idx="44">
                  <c:v>1.3237817206313256</c:v>
                </c:pt>
                <c:pt idx="45">
                  <c:v>1.333584373825808</c:v>
                </c:pt>
                <c:pt idx="46">
                  <c:v>1.3509194110603944</c:v>
                </c:pt>
                <c:pt idx="47">
                  <c:v>1.3703101474723045</c:v>
                </c:pt>
                <c:pt idx="48">
                  <c:v>1.3897012000473901</c:v>
                </c:pt>
                <c:pt idx="49">
                  <c:v>1.409092384527141</c:v>
                </c:pt>
                <c:pt idx="50">
                  <c:v>1.4284834263333994</c:v>
                </c:pt>
                <c:pt idx="51">
                  <c:v>1.4478747359939961</c:v>
                </c:pt>
                <c:pt idx="52">
                  <c:v>1.4672663135176807</c:v>
                </c:pt>
                <c:pt idx="53">
                  <c:v>1.4866581589132053</c:v>
                </c:pt>
                <c:pt idx="54">
                  <c:v>1.5060502721893216</c:v>
                </c:pt>
                <c:pt idx="55">
                  <c:v>1.5254426533547849</c:v>
                </c:pt>
                <c:pt idx="56">
                  <c:v>1.5448353024183497</c:v>
                </c:pt>
                <c:pt idx="57">
                  <c:v>1.564228219388772</c:v>
                </c:pt>
                <c:pt idx="58">
                  <c:v>1.5836214042748098</c:v>
                </c:pt>
                <c:pt idx="59">
                  <c:v>1.6030148570852218</c:v>
                </c:pt>
                <c:pt idx="60">
                  <c:v>1.6224085778287662</c:v>
                </c:pt>
                <c:pt idx="61">
                  <c:v>1.6418025665142038</c:v>
                </c:pt>
                <c:pt idx="62">
                  <c:v>1.661196823150296</c:v>
                </c:pt>
                <c:pt idx="63">
                  <c:v>1.6805913477458039</c:v>
                </c:pt>
                <c:pt idx="64">
                  <c:v>1.6999861403094907</c:v>
                </c:pt>
                <c:pt idx="65">
                  <c:v>1.7193812008501195</c:v>
                </c:pt>
                <c:pt idx="66">
                  <c:v>1.7387765293764543</c:v>
                </c:pt>
                <c:pt idx="67">
                  <c:v>1.7581721258972607</c:v>
                </c:pt>
                <c:pt idx="68">
                  <c:v>1.7775679904213031</c:v>
                </c:pt>
                <c:pt idx="69">
                  <c:v>1.7969641229573479</c:v>
                </c:pt>
                <c:pt idx="70">
                  <c:v>1.8163605235141622</c:v>
                </c:pt>
                <c:pt idx="71">
                  <c:v>1.8357571921005134</c:v>
                </c:pt>
                <c:pt idx="72">
                  <c:v>1.8551541287251685</c:v>
                </c:pt>
                <c:pt idx="73">
                  <c:v>1.8745513333968973</c:v>
                </c:pt>
                <c:pt idx="74">
                  <c:v>1.8939488061244683</c:v>
                </c:pt>
                <c:pt idx="75">
                  <c:v>1.9133465469166513</c:v>
                </c:pt>
                <c:pt idx="76">
                  <c:v>1.9327445557822163</c:v>
                </c:pt>
                <c:pt idx="77">
                  <c:v>1.9521428327299339</c:v>
                </c:pt>
                <c:pt idx="78">
                  <c:v>1.9715413777685762</c:v>
                </c:pt>
                <c:pt idx="79">
                  <c:v>1.9909401909069144</c:v>
                </c:pt>
                <c:pt idx="80">
                  <c:v>2.0103392721537201</c:v>
                </c:pt>
                <c:pt idx="81">
                  <c:v>2.0297386215177671</c:v>
                </c:pt>
                <c:pt idx="82">
                  <c:v>2.0491382390078283</c:v>
                </c:pt>
                <c:pt idx="83">
                  <c:v>2.0685381246326777</c:v>
                </c:pt>
                <c:pt idx="84">
                  <c:v>2.0879382784010891</c:v>
                </c:pt>
                <c:pt idx="85">
                  <c:v>2.1073387003218373</c:v>
                </c:pt>
                <c:pt idx="86">
                  <c:v>2.1267393904036975</c:v>
                </c:pt>
                <c:pt idx="87">
                  <c:v>2.1461403486554458</c:v>
                </c:pt>
                <c:pt idx="88">
                  <c:v>2.1655415750858582</c:v>
                </c:pt>
                <c:pt idx="89">
                  <c:v>2.18494306970371</c:v>
                </c:pt>
                <c:pt idx="90">
                  <c:v>2.2043448325177804</c:v>
                </c:pt>
                <c:pt idx="91">
                  <c:v>2.2237468635368454</c:v>
                </c:pt>
                <c:pt idx="92">
                  <c:v>2.243149162769682</c:v>
                </c:pt>
                <c:pt idx="93">
                  <c:v>2.2625517302250704</c:v>
                </c:pt>
                <c:pt idx="94">
                  <c:v>2.2819545659117884</c:v>
                </c:pt>
                <c:pt idx="95">
                  <c:v>2.301357669838616</c:v>
                </c:pt>
                <c:pt idx="96">
                  <c:v>2.3207610420143316</c:v>
                </c:pt>
                <c:pt idx="97">
                  <c:v>2.3401646824477162</c:v>
                </c:pt>
                <c:pt idx="98">
                  <c:v>2.3595685911475499</c:v>
                </c:pt>
                <c:pt idx="99">
                  <c:v>2.378972768122614</c:v>
                </c:pt>
                <c:pt idx="100">
                  <c:v>2.3983772133816896</c:v>
                </c:pt>
              </c:numCache>
            </c:numRef>
          </c:val>
          <c:smooth val="0"/>
          <c:extLst>
            <c:ext xmlns:c16="http://schemas.microsoft.com/office/drawing/2014/chart" uri="{C3380CC4-5D6E-409C-BE32-E72D297353CC}">
              <c16:uniqueId val="{00000002-B28B-4852-801F-8278A9821D66}"/>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Single'!$CB$5:$CB$105</c:f>
              <c:numCache>
                <c:formatCode>0.00</c:formatCode>
                <c:ptCount val="101"/>
                <c:pt idx="0">
                  <c:v>7.8266521065824093E-6</c:v>
                </c:pt>
                <c:pt idx="1">
                  <c:v>45.376262507393044</c:v>
                </c:pt>
                <c:pt idx="2">
                  <c:v>53.422512411507071</c:v>
                </c:pt>
                <c:pt idx="3">
                  <c:v>56.261035242187674</c:v>
                </c:pt>
                <c:pt idx="4">
                  <c:v>57.796482508422187</c:v>
                </c:pt>
                <c:pt idx="5">
                  <c:v>58.758635238929216</c:v>
                </c:pt>
                <c:pt idx="6">
                  <c:v>59.41805526566236</c:v>
                </c:pt>
                <c:pt idx="7">
                  <c:v>59.898194224027854</c:v>
                </c:pt>
                <c:pt idx="8">
                  <c:v>60.263412739733489</c:v>
                </c:pt>
                <c:pt idx="9">
                  <c:v>60.550557231930789</c:v>
                </c:pt>
                <c:pt idx="10">
                  <c:v>60.782243186383923</c:v>
                </c:pt>
                <c:pt idx="11">
                  <c:v>60.973120584038043</c:v>
                </c:pt>
                <c:pt idx="12">
                  <c:v>61.133097050069232</c:v>
                </c:pt>
                <c:pt idx="13">
                  <c:v>61.26911312455686</c:v>
                </c:pt>
                <c:pt idx="14">
                  <c:v>61.386175606721906</c:v>
                </c:pt>
                <c:pt idx="15">
                  <c:v>61.487987162643734</c:v>
                </c:pt>
                <c:pt idx="16">
                  <c:v>61.577344979082717</c:v>
                </c:pt>
                <c:pt idx="17">
                  <c:v>61.656401607621092</c:v>
                </c:pt>
                <c:pt idx="18">
                  <c:v>61.726840550351547</c:v>
                </c:pt>
                <c:pt idx="19">
                  <c:v>61.789997419269561</c:v>
                </c:pt>
                <c:pt idx="20">
                  <c:v>61.846945384773036</c:v>
                </c:pt>
                <c:pt idx="21">
                  <c:v>61.898556618078928</c:v>
                </c:pt>
                <c:pt idx="22">
                  <c:v>61.945547243983391</c:v>
                </c:pt>
                <c:pt idx="23">
                  <c:v>61.988510745910673</c:v>
                </c:pt>
                <c:pt idx="24">
                  <c:v>62.027943142006869</c:v>
                </c:pt>
                <c:pt idx="25">
                  <c:v>62.06426220397212</c:v>
                </c:pt>
                <c:pt idx="26">
                  <c:v>62.097822300802555</c:v>
                </c:pt>
                <c:pt idx="27">
                  <c:v>62.128925986934433</c:v>
                </c:pt>
                <c:pt idx="28">
                  <c:v>62.157833138451494</c:v>
                </c:pt>
                <c:pt idx="29">
                  <c:v>62.184768222010845</c:v>
                </c:pt>
                <c:pt idx="30">
                  <c:v>62.209926127066609</c:v>
                </c:pt>
                <c:pt idx="31">
                  <c:v>62.233476882117479</c:v>
                </c:pt>
                <c:pt idx="32">
                  <c:v>62.255569496406608</c:v>
                </c:pt>
                <c:pt idx="33">
                  <c:v>62.558580281018251</c:v>
                </c:pt>
                <c:pt idx="34">
                  <c:v>62.979343064335765</c:v>
                </c:pt>
                <c:pt idx="35">
                  <c:v>63.382750470284698</c:v>
                </c:pt>
                <c:pt idx="36">
                  <c:v>63.769906145216822</c:v>
                </c:pt>
                <c:pt idx="37">
                  <c:v>64.141819972211891</c:v>
                </c:pt>
                <c:pt idx="38">
                  <c:v>64.499417959188548</c:v>
                </c:pt>
                <c:pt idx="39">
                  <c:v>64.843548793532975</c:v>
                </c:pt>
                <c:pt idx="40">
                  <c:v>65.174859323559332</c:v>
                </c:pt>
                <c:pt idx="41">
                  <c:v>65.731238422040178</c:v>
                </c:pt>
                <c:pt idx="42">
                  <c:v>66.386659054800404</c:v>
                </c:pt>
                <c:pt idx="43">
                  <c:v>67.013201079893761</c:v>
                </c:pt>
                <c:pt idx="44">
                  <c:v>67.562694392387499</c:v>
                </c:pt>
                <c:pt idx="45">
                  <c:v>68.056061776577323</c:v>
                </c:pt>
                <c:pt idx="46">
                  <c:v>68.527901159144093</c:v>
                </c:pt>
                <c:pt idx="47">
                  <c:v>68.979440495811801</c:v>
                </c:pt>
                <c:pt idx="48">
                  <c:v>69.411856255905562</c:v>
                </c:pt>
                <c:pt idx="49">
                  <c:v>69.826115461578212</c:v>
                </c:pt>
                <c:pt idx="50">
                  <c:v>70.223198661329192</c:v>
                </c:pt>
                <c:pt idx="51">
                  <c:v>70.604023352758688</c:v>
                </c:pt>
                <c:pt idx="52">
                  <c:v>70.969448470244899</c:v>
                </c:pt>
                <c:pt idx="53">
                  <c:v>71.320278546204634</c:v>
                </c:pt>
                <c:pt idx="54">
                  <c:v>71.657267566529242</c:v>
                </c:pt>
                <c:pt idx="55">
                  <c:v>71.981122540477216</c:v>
                </c:pt>
                <c:pt idx="56">
                  <c:v>72.292506804706775</c:v>
                </c:pt>
                <c:pt idx="57">
                  <c:v>72.59204308033749</c:v>
                </c:pt>
                <c:pt idx="58">
                  <c:v>72.880316301012513</c:v>
                </c:pt>
                <c:pt idx="59">
                  <c:v>73.157876228939756</c:v>
                </c:pt>
                <c:pt idx="60">
                  <c:v>73.425239874867231</c:v>
                </c:pt>
                <c:pt idx="61">
                  <c:v>73.682893736917634</c:v>
                </c:pt>
                <c:pt idx="62">
                  <c:v>73.93129587219363</c:v>
                </c:pt>
                <c:pt idx="63">
                  <c:v>74.170877814083909</c:v>
                </c:pt>
                <c:pt idx="64">
                  <c:v>74.402046347256189</c:v>
                </c:pt>
                <c:pt idx="65">
                  <c:v>74.625185151429889</c:v>
                </c:pt>
                <c:pt idx="66">
                  <c:v>74.840656324174603</c:v>
                </c:pt>
                <c:pt idx="67">
                  <c:v>75.048801792188996</c:v>
                </c:pt>
                <c:pt idx="68">
                  <c:v>75.249944619773018</c:v>
                </c:pt>
                <c:pt idx="69">
                  <c:v>75.444390222517839</c:v>
                </c:pt>
                <c:pt idx="70">
                  <c:v>75.632427493597646</c:v>
                </c:pt>
                <c:pt idx="71">
                  <c:v>75.814329849456087</c:v>
                </c:pt>
                <c:pt idx="72">
                  <c:v>75.990356201133196</c:v>
                </c:pt>
                <c:pt idx="73">
                  <c:v>76.160751856974102</c:v>
                </c:pt>
                <c:pt idx="74">
                  <c:v>76.325749361997481</c:v>
                </c:pt>
                <c:pt idx="75">
                  <c:v>76.485569278773923</c:v>
                </c:pt>
                <c:pt idx="76">
                  <c:v>76.640420914272909</c:v>
                </c:pt>
                <c:pt idx="77">
                  <c:v>76.7905029967758</c:v>
                </c:pt>
                <c:pt idx="78">
                  <c:v>76.936004306622976</c:v>
                </c:pt>
                <c:pt idx="79">
                  <c:v>77.077104264258637</c:v>
                </c:pt>
                <c:pt idx="80">
                  <c:v>77.213973478759996</c:v>
                </c:pt>
                <c:pt idx="81">
                  <c:v>77.346774259781427</c:v>
                </c:pt>
                <c:pt idx="82">
                  <c:v>77.475661095611144</c:v>
                </c:pt>
                <c:pt idx="83">
                  <c:v>77.60078109982372</c:v>
                </c:pt>
                <c:pt idx="84">
                  <c:v>77.722274428814657</c:v>
                </c:pt>
                <c:pt idx="85">
                  <c:v>77.840274672324071</c:v>
                </c:pt>
                <c:pt idx="86">
                  <c:v>77.954909218890649</c:v>
                </c:pt>
                <c:pt idx="87">
                  <c:v>78.066299598026063</c:v>
                </c:pt>
                <c:pt idx="88">
                  <c:v>78.174561800760983</c:v>
                </c:pt>
                <c:pt idx="89">
                  <c:v>78.279806580086259</c:v>
                </c:pt>
                <c:pt idx="90">
                  <c:v>78.382139732696146</c:v>
                </c:pt>
                <c:pt idx="91">
                  <c:v>78.481662363332788</c:v>
                </c:pt>
                <c:pt idx="92">
                  <c:v>78.578471132932762</c:v>
                </c:pt>
                <c:pt idx="93">
                  <c:v>78.672658491685652</c:v>
                </c:pt>
                <c:pt idx="94">
                  <c:v>78.764312898031591</c:v>
                </c:pt>
                <c:pt idx="95">
                  <c:v>78.853519024547879</c:v>
                </c:pt>
                <c:pt idx="96">
                  <c:v>78.940357951604639</c:v>
                </c:pt>
                <c:pt idx="97">
                  <c:v>79.024907349604433</c:v>
                </c:pt>
                <c:pt idx="98">
                  <c:v>79.107241650561207</c:v>
                </c:pt>
                <c:pt idx="99">
                  <c:v>79.187432209718935</c:v>
                </c:pt>
                <c:pt idx="100">
                  <c:v>79.265547457859739</c:v>
                </c:pt>
              </c:numCache>
            </c:numRef>
          </c:val>
          <c:smooth val="0"/>
          <c:extLst>
            <c:ext xmlns:c16="http://schemas.microsoft.com/office/drawing/2014/chart" uri="{C3380CC4-5D6E-409C-BE32-E72D297353CC}">
              <c16:uniqueId val="{00000000-1E04-4A6B-B26C-C435E097FB7E}"/>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val>
            <c:numRef>
              <c:f>'Calculations - Single'!$BR$5:$BR$105</c:f>
              <c:numCache>
                <c:formatCode>0.0</c:formatCode>
                <c:ptCount val="101"/>
                <c:pt idx="0">
                  <c:v>6.2124999999999988E-7</c:v>
                </c:pt>
                <c:pt idx="1">
                  <c:v>7.4549999999999992</c:v>
                </c:pt>
                <c:pt idx="2">
                  <c:v>14.909999999999998</c:v>
                </c:pt>
                <c:pt idx="3">
                  <c:v>22.364999999999995</c:v>
                </c:pt>
                <c:pt idx="4">
                  <c:v>29.819999999999997</c:v>
                </c:pt>
                <c:pt idx="5">
                  <c:v>37.274999999999999</c:v>
                </c:pt>
                <c:pt idx="6">
                  <c:v>44.72999999999999</c:v>
                </c:pt>
                <c:pt idx="7">
                  <c:v>52.184999999999995</c:v>
                </c:pt>
                <c:pt idx="8">
                  <c:v>59.639999999999993</c:v>
                </c:pt>
                <c:pt idx="9">
                  <c:v>67.094999999999999</c:v>
                </c:pt>
                <c:pt idx="10">
                  <c:v>74.55</c:v>
                </c:pt>
                <c:pt idx="11">
                  <c:v>82.004999999999995</c:v>
                </c:pt>
                <c:pt idx="12">
                  <c:v>89.45999999999998</c:v>
                </c:pt>
                <c:pt idx="13">
                  <c:v>96.914999999999992</c:v>
                </c:pt>
                <c:pt idx="14">
                  <c:v>104.36999999999999</c:v>
                </c:pt>
                <c:pt idx="15">
                  <c:v>111.82499999999999</c:v>
                </c:pt>
                <c:pt idx="16">
                  <c:v>119.27999999999999</c:v>
                </c:pt>
                <c:pt idx="17">
                  <c:v>126.73500000000001</c:v>
                </c:pt>
                <c:pt idx="18">
                  <c:v>134.19</c:v>
                </c:pt>
                <c:pt idx="19">
                  <c:v>141.64499999999995</c:v>
                </c:pt>
                <c:pt idx="20">
                  <c:v>149.1</c:v>
                </c:pt>
                <c:pt idx="21">
                  <c:v>156.55500000000001</c:v>
                </c:pt>
                <c:pt idx="22">
                  <c:v>164.01</c:v>
                </c:pt>
                <c:pt idx="23">
                  <c:v>171.465</c:v>
                </c:pt>
                <c:pt idx="24">
                  <c:v>178.91999999999996</c:v>
                </c:pt>
                <c:pt idx="25">
                  <c:v>186.37499999999997</c:v>
                </c:pt>
                <c:pt idx="26">
                  <c:v>193.82999999999998</c:v>
                </c:pt>
                <c:pt idx="27">
                  <c:v>201.285</c:v>
                </c:pt>
                <c:pt idx="28">
                  <c:v>208.73999999999998</c:v>
                </c:pt>
                <c:pt idx="29">
                  <c:v>216.19499999999994</c:v>
                </c:pt>
                <c:pt idx="30">
                  <c:v>223.64999999999998</c:v>
                </c:pt>
                <c:pt idx="31">
                  <c:v>231.10499999999996</c:v>
                </c:pt>
                <c:pt idx="32">
                  <c:v>238.55999999999997</c:v>
                </c:pt>
                <c:pt idx="33">
                  <c:v>246.01499999999999</c:v>
                </c:pt>
                <c:pt idx="34">
                  <c:v>253.47000000000003</c:v>
                </c:pt>
                <c:pt idx="35">
                  <c:v>260.92499999999995</c:v>
                </c:pt>
                <c:pt idx="36">
                  <c:v>268.38</c:v>
                </c:pt>
                <c:pt idx="37">
                  <c:v>275.83499999999992</c:v>
                </c:pt>
                <c:pt idx="38">
                  <c:v>283.28999999999991</c:v>
                </c:pt>
                <c:pt idx="39">
                  <c:v>290.74499999999995</c:v>
                </c:pt>
                <c:pt idx="40">
                  <c:v>298.2</c:v>
                </c:pt>
                <c:pt idx="41">
                  <c:v>305.65499999999992</c:v>
                </c:pt>
                <c:pt idx="42">
                  <c:v>313.11</c:v>
                </c:pt>
                <c:pt idx="43">
                  <c:v>320.56499999999994</c:v>
                </c:pt>
                <c:pt idx="44">
                  <c:v>328.02</c:v>
                </c:pt>
                <c:pt idx="45">
                  <c:v>335.47499999999997</c:v>
                </c:pt>
                <c:pt idx="46">
                  <c:v>342.93</c:v>
                </c:pt>
                <c:pt idx="47">
                  <c:v>350.38499999999993</c:v>
                </c:pt>
                <c:pt idx="48">
                  <c:v>357.83999999999992</c:v>
                </c:pt>
                <c:pt idx="49">
                  <c:v>365.2949999999999</c:v>
                </c:pt>
                <c:pt idx="50">
                  <c:v>372.74999999999994</c:v>
                </c:pt>
                <c:pt idx="51">
                  <c:v>380.20499999999998</c:v>
                </c:pt>
                <c:pt idx="52">
                  <c:v>387.65999999999997</c:v>
                </c:pt>
                <c:pt idx="53">
                  <c:v>395.11500000000001</c:v>
                </c:pt>
                <c:pt idx="54">
                  <c:v>402.57</c:v>
                </c:pt>
                <c:pt idx="55">
                  <c:v>410.02499999999998</c:v>
                </c:pt>
                <c:pt idx="56">
                  <c:v>417.47999999999996</c:v>
                </c:pt>
                <c:pt idx="57">
                  <c:v>424.93499999999995</c:v>
                </c:pt>
                <c:pt idx="58">
                  <c:v>432.38999999999987</c:v>
                </c:pt>
                <c:pt idx="59">
                  <c:v>439.84499999999991</c:v>
                </c:pt>
                <c:pt idx="60">
                  <c:v>447.29999999999995</c:v>
                </c:pt>
                <c:pt idx="61">
                  <c:v>454.75499999999994</c:v>
                </c:pt>
                <c:pt idx="62">
                  <c:v>462.20999999999992</c:v>
                </c:pt>
                <c:pt idx="63">
                  <c:v>469.66500000000002</c:v>
                </c:pt>
                <c:pt idx="64">
                  <c:v>477.11999999999995</c:v>
                </c:pt>
                <c:pt idx="65">
                  <c:v>484.57499999999993</c:v>
                </c:pt>
                <c:pt idx="66">
                  <c:v>492.03</c:v>
                </c:pt>
                <c:pt idx="67">
                  <c:v>499.48499999999996</c:v>
                </c:pt>
                <c:pt idx="68">
                  <c:v>506.94000000000005</c:v>
                </c:pt>
                <c:pt idx="69">
                  <c:v>514.39499999999987</c:v>
                </c:pt>
                <c:pt idx="70">
                  <c:v>521.84999999999991</c:v>
                </c:pt>
                <c:pt idx="71">
                  <c:v>529.30499999999995</c:v>
                </c:pt>
                <c:pt idx="72">
                  <c:v>536.76</c:v>
                </c:pt>
                <c:pt idx="73">
                  <c:v>544.21499999999992</c:v>
                </c:pt>
                <c:pt idx="74">
                  <c:v>551.66999999999985</c:v>
                </c:pt>
                <c:pt idx="75">
                  <c:v>559.12499999999989</c:v>
                </c:pt>
                <c:pt idx="76">
                  <c:v>566.57999999999981</c:v>
                </c:pt>
                <c:pt idx="77">
                  <c:v>574.03499999999997</c:v>
                </c:pt>
                <c:pt idx="78">
                  <c:v>581.4899999999999</c:v>
                </c:pt>
                <c:pt idx="79">
                  <c:v>588.94499999999994</c:v>
                </c:pt>
                <c:pt idx="80">
                  <c:v>596.4</c:v>
                </c:pt>
                <c:pt idx="81">
                  <c:v>603.8549999999999</c:v>
                </c:pt>
                <c:pt idx="82">
                  <c:v>611.30999999999983</c:v>
                </c:pt>
                <c:pt idx="83">
                  <c:v>618.76499999999987</c:v>
                </c:pt>
                <c:pt idx="84">
                  <c:v>626.22</c:v>
                </c:pt>
                <c:pt idx="85">
                  <c:v>633.67499999999995</c:v>
                </c:pt>
                <c:pt idx="86">
                  <c:v>641.12999999999988</c:v>
                </c:pt>
                <c:pt idx="87">
                  <c:v>648.58499999999992</c:v>
                </c:pt>
                <c:pt idx="88">
                  <c:v>656.04</c:v>
                </c:pt>
                <c:pt idx="89">
                  <c:v>663.495</c:v>
                </c:pt>
                <c:pt idx="90">
                  <c:v>670.94999999999993</c:v>
                </c:pt>
                <c:pt idx="91">
                  <c:v>678.40499999999997</c:v>
                </c:pt>
                <c:pt idx="92">
                  <c:v>685.86</c:v>
                </c:pt>
                <c:pt idx="93">
                  <c:v>693.31500000000005</c:v>
                </c:pt>
                <c:pt idx="94">
                  <c:v>700.76999999999987</c:v>
                </c:pt>
                <c:pt idx="95">
                  <c:v>708.22499999999991</c:v>
                </c:pt>
                <c:pt idx="96">
                  <c:v>715.67999999999984</c:v>
                </c:pt>
                <c:pt idx="97">
                  <c:v>723.13499999999988</c:v>
                </c:pt>
                <c:pt idx="98">
                  <c:v>730.5899999999998</c:v>
                </c:pt>
                <c:pt idx="99">
                  <c:v>738.04499999999985</c:v>
                </c:pt>
                <c:pt idx="100">
                  <c:v>745.49999999999989</c:v>
                </c:pt>
              </c:numCache>
            </c:numRef>
          </c:val>
          <c:smooth val="0"/>
          <c:extLst>
            <c:ext xmlns:c16="http://schemas.microsoft.com/office/drawing/2014/chart" uri="{C3380CC4-5D6E-409C-BE32-E72D297353CC}">
              <c16:uniqueId val="{00000001-1E04-4A6B-B26C-C435E097FB7E}"/>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val>
            <c:numRef>
              <c:f>'Calculations - Single'!$BM$5:$BM$105</c:f>
              <c:numCache>
                <c:formatCode>0.0000</c:formatCode>
                <c:ptCount val="101"/>
                <c:pt idx="0">
                  <c:v>1.5462346876556126E-2</c:v>
                </c:pt>
                <c:pt idx="1">
                  <c:v>1.5467193684793339E-2</c:v>
                </c:pt>
                <c:pt idx="2">
                  <c:v>2.7915945359476887E-2</c:v>
                </c:pt>
                <c:pt idx="3">
                  <c:v>4.1874097696621683E-2</c:v>
                </c:pt>
                <c:pt idx="4">
                  <c:v>5.5832369807426244E-2</c:v>
                </c:pt>
                <c:pt idx="5">
                  <c:v>6.9790761693432166E-2</c:v>
                </c:pt>
                <c:pt idx="6">
                  <c:v>8.3749273356181181E-2</c:v>
                </c:pt>
                <c:pt idx="7">
                  <c:v>9.7707904797215028E-2</c:v>
                </c:pt>
                <c:pt idx="8">
                  <c:v>0.11166665601807538</c:v>
                </c:pt>
                <c:pt idx="9">
                  <c:v>0.12562552702030405</c:v>
                </c:pt>
                <c:pt idx="10">
                  <c:v>0.1395845178054427</c:v>
                </c:pt>
                <c:pt idx="11">
                  <c:v>0.15354362837503333</c:v>
                </c:pt>
                <c:pt idx="12">
                  <c:v>0.16750285873061763</c:v>
                </c:pt>
                <c:pt idx="13">
                  <c:v>0.18146220887373768</c:v>
                </c:pt>
                <c:pt idx="14">
                  <c:v>0.19542167880593514</c:v>
                </c:pt>
                <c:pt idx="15">
                  <c:v>0.20938126852875202</c:v>
                </c:pt>
                <c:pt idx="16">
                  <c:v>0.22334097804373026</c:v>
                </c:pt>
                <c:pt idx="17">
                  <c:v>0.23730080735241188</c:v>
                </c:pt>
                <c:pt idx="18">
                  <c:v>0.25126075645633894</c:v>
                </c:pt>
                <c:pt idx="19">
                  <c:v>0.26522082535705316</c:v>
                </c:pt>
                <c:pt idx="20">
                  <c:v>0.27918101405609691</c:v>
                </c:pt>
                <c:pt idx="21">
                  <c:v>0.29314132255501224</c:v>
                </c:pt>
                <c:pt idx="22">
                  <c:v>0.30710175085534108</c:v>
                </c:pt>
                <c:pt idx="23">
                  <c:v>0.32106229895862587</c:v>
                </c:pt>
                <c:pt idx="24">
                  <c:v>0.33502296686640831</c:v>
                </c:pt>
                <c:pt idx="25">
                  <c:v>0.34898375458023101</c:v>
                </c:pt>
                <c:pt idx="26">
                  <c:v>0.36294466210163606</c:v>
                </c:pt>
                <c:pt idx="27">
                  <c:v>0.37690568943216551</c:v>
                </c:pt>
                <c:pt idx="28">
                  <c:v>0.39086683657336196</c:v>
                </c:pt>
                <c:pt idx="29">
                  <c:v>0.40482810352676729</c:v>
                </c:pt>
                <c:pt idx="30">
                  <c:v>0.41878949029392432</c:v>
                </c:pt>
                <c:pt idx="31">
                  <c:v>0.4327509968763748</c:v>
                </c:pt>
                <c:pt idx="32">
                  <c:v>0.44671262327566175</c:v>
                </c:pt>
                <c:pt idx="33">
                  <c:v>0.45488900385616826</c:v>
                </c:pt>
                <c:pt idx="34">
                  <c:v>0.46026405195435016</c:v>
                </c:pt>
                <c:pt idx="35">
                  <c:v>0.46556206743508588</c:v>
                </c:pt>
                <c:pt idx="36">
                  <c:v>0.47078634827274429</c:v>
                </c:pt>
                <c:pt idx="37">
                  <c:v>0.47593996471455935</c:v>
                </c:pt>
                <c:pt idx="38">
                  <c:v>0.48102578069516116</c:v>
                </c:pt>
                <c:pt idx="39">
                  <c:v>0.48604663173354939</c:v>
                </c:pt>
                <c:pt idx="40">
                  <c:v>0.49101545905927702</c:v>
                </c:pt>
                <c:pt idx="41">
                  <c:v>0.48859170502942012</c:v>
                </c:pt>
                <c:pt idx="42">
                  <c:v>0.48244330908468125</c:v>
                </c:pt>
                <c:pt idx="43">
                  <c:v>0.47651025727368407</c:v>
                </c:pt>
                <c:pt idx="44">
                  <c:v>0.47341740824546891</c:v>
                </c:pt>
                <c:pt idx="45">
                  <c:v>0.47213925445799365</c:v>
                </c:pt>
                <c:pt idx="46">
                  <c:v>0.47091843759166091</c:v>
                </c:pt>
                <c:pt idx="47">
                  <c:v>0.4697504802260129</c:v>
                </c:pt>
                <c:pt idx="48">
                  <c:v>0.46862997889342617</c:v>
                </c:pt>
                <c:pt idx="49">
                  <c:v>0.46755736828044409</c:v>
                </c:pt>
                <c:pt idx="50">
                  <c:v>0.46653001505550989</c:v>
                </c:pt>
                <c:pt idx="51">
                  <c:v>0.46554548088049802</c:v>
                </c:pt>
                <c:pt idx="52">
                  <c:v>0.46460150469371453</c:v>
                </c:pt>
                <c:pt idx="53">
                  <c:v>0.46369598689014685</c:v>
                </c:pt>
                <c:pt idx="54">
                  <c:v>0.46282697516609289</c:v>
                </c:pt>
                <c:pt idx="55">
                  <c:v>0.46199265182739335</c:v>
                </c:pt>
                <c:pt idx="56">
                  <c:v>0.46119132238770655</c:v>
                </c:pt>
                <c:pt idx="57">
                  <c:v>0.46042140530639991</c:v>
                </c:pt>
                <c:pt idx="58">
                  <c:v>0.45968142273533813</c:v>
                </c:pt>
                <c:pt idx="59">
                  <c:v>0.45896999216071971</c:v>
                </c:pt>
                <c:pt idx="60">
                  <c:v>0.45828581884055669</c:v>
                </c:pt>
                <c:pt idx="61">
                  <c:v>0.45762768895081513</c:v>
                </c:pt>
                <c:pt idx="62">
                  <c:v>0.4569944633639309</c:v>
                </c:pt>
                <c:pt idx="63">
                  <c:v>0.45638507199266504</c:v>
                </c:pt>
                <c:pt idx="64">
                  <c:v>0.45579850864025512</c:v>
                </c:pt>
                <c:pt idx="65">
                  <c:v>0.45523382630476922</c:v>
                </c:pt>
                <c:pt idx="66">
                  <c:v>0.45469013289160243</c:v>
                </c:pt>
                <c:pt idx="67">
                  <c:v>0.45416658729331927</c:v>
                </c:pt>
                <c:pt idx="68">
                  <c:v>0.45366239580063933</c:v>
                </c:pt>
                <c:pt idx="69">
                  <c:v>0.45317680881238598</c:v>
                </c:pt>
                <c:pt idx="70">
                  <c:v>0.45270911781574014</c:v>
                </c:pt>
                <c:pt idx="71">
                  <c:v>0.45225865261124204</c:v>
                </c:pt>
                <c:pt idx="72">
                  <c:v>0.45182477875970567</c:v>
                </c:pt>
                <c:pt idx="73">
                  <c:v>0.45140689523061339</c:v>
                </c:pt>
                <c:pt idx="74">
                  <c:v>0.45100443223368447</c:v>
                </c:pt>
                <c:pt idx="75">
                  <c:v>0.45061684921718165</c:v>
                </c:pt>
                <c:pt idx="76">
                  <c:v>0.45024363301818943</c:v>
                </c:pt>
                <c:pt idx="77">
                  <c:v>0.44988429615157</c:v>
                </c:pt>
                <c:pt idx="78">
                  <c:v>0.44953837522561746</c:v>
                </c:pt>
                <c:pt idx="79">
                  <c:v>0.44920542947359887</c:v>
                </c:pt>
                <c:pt idx="80">
                  <c:v>0.44888503939140967</c:v>
                </c:pt>
                <c:pt idx="81">
                  <c:v>0.4485768054725075</c:v>
                </c:pt>
                <c:pt idx="82">
                  <c:v>0.44828034703211317</c:v>
                </c:pt>
                <c:pt idx="83">
                  <c:v>0.44799530111341551</c:v>
                </c:pt>
                <c:pt idx="84">
                  <c:v>0.44772132146918664</c:v>
                </c:pt>
                <c:pt idx="85">
                  <c:v>0.44745807761280687</c:v>
                </c:pt>
                <c:pt idx="86">
                  <c:v>0.44720525393324778</c:v>
                </c:pt>
                <c:pt idx="87">
                  <c:v>0.44696254886903414</c:v>
                </c:pt>
                <c:pt idx="88">
                  <c:v>0.44672967413665482</c:v>
                </c:pt>
                <c:pt idx="89">
                  <c:v>0.44650635400927657</c:v>
                </c:pt>
                <c:pt idx="90">
                  <c:v>0.44629232464197988</c:v>
                </c:pt>
                <c:pt idx="91">
                  <c:v>0.4460873334400503</c:v>
                </c:pt>
                <c:pt idx="92">
                  <c:v>0.44589113846715484</c:v>
                </c:pt>
                <c:pt idx="93">
                  <c:v>0.44570350789049762</c:v>
                </c:pt>
                <c:pt idx="94">
                  <c:v>0.44552421946028309</c:v>
                </c:pt>
                <c:pt idx="95">
                  <c:v>0.4453530600210418</c:v>
                </c:pt>
                <c:pt idx="96">
                  <c:v>0.44518982505256277</c:v>
                </c:pt>
                <c:pt idx="97">
                  <c:v>0.44503431823836226</c:v>
                </c:pt>
                <c:pt idx="98">
                  <c:v>0.44488635105978075</c:v>
                </c:pt>
                <c:pt idx="99">
                  <c:v>0.44474574241394965</c:v>
                </c:pt>
                <c:pt idx="100">
                  <c:v>0.4446123182540071</c:v>
                </c:pt>
              </c:numCache>
            </c:numRef>
          </c:val>
          <c:smooth val="0"/>
          <c:extLst>
            <c:ext xmlns:c16="http://schemas.microsoft.com/office/drawing/2014/chart" uri="{C3380CC4-5D6E-409C-BE32-E72D297353CC}">
              <c16:uniqueId val="{00000002-1E04-4A6B-B26C-C435E097FB7E}"/>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val>
            <c:numRef>
              <c:f>'Calculations - Single'!$BX$5:$BX$105</c:f>
              <c:numCache>
                <c:formatCode>0.0</c:formatCode>
                <c:ptCount val="101"/>
                <c:pt idx="0">
                  <c:v>12.421928017413927</c:v>
                </c:pt>
                <c:pt idx="1">
                  <c:v>13.322648518815051</c:v>
                </c:pt>
                <c:pt idx="2">
                  <c:v>14.233026830303141</c:v>
                </c:pt>
                <c:pt idx="3">
                  <c:v>15.144576274277764</c:v>
                </c:pt>
                <c:pt idx="4">
                  <c:v>16.056125718252396</c:v>
                </c:pt>
                <c:pt idx="5">
                  <c:v>16.967675162227021</c:v>
                </c:pt>
                <c:pt idx="6">
                  <c:v>17.879224606201653</c:v>
                </c:pt>
                <c:pt idx="7">
                  <c:v>18.790774050176278</c:v>
                </c:pt>
                <c:pt idx="8">
                  <c:v>19.70232349415091</c:v>
                </c:pt>
                <c:pt idx="9">
                  <c:v>20.613872938125535</c:v>
                </c:pt>
                <c:pt idx="10">
                  <c:v>21.525422382100167</c:v>
                </c:pt>
                <c:pt idx="11">
                  <c:v>22.436971826074796</c:v>
                </c:pt>
                <c:pt idx="12">
                  <c:v>23.348521270049428</c:v>
                </c:pt>
                <c:pt idx="13">
                  <c:v>24.260070714024049</c:v>
                </c:pt>
                <c:pt idx="14">
                  <c:v>25.171620157998678</c:v>
                </c:pt>
                <c:pt idx="15">
                  <c:v>26.083169601973303</c:v>
                </c:pt>
                <c:pt idx="16">
                  <c:v>26.994719045947935</c:v>
                </c:pt>
                <c:pt idx="17">
                  <c:v>27.906268489922564</c:v>
                </c:pt>
                <c:pt idx="18">
                  <c:v>28.817817933897199</c:v>
                </c:pt>
                <c:pt idx="19">
                  <c:v>29.729367377871824</c:v>
                </c:pt>
                <c:pt idx="20">
                  <c:v>30.640916821846449</c:v>
                </c:pt>
                <c:pt idx="21">
                  <c:v>31.552466265821089</c:v>
                </c:pt>
                <c:pt idx="22">
                  <c:v>32.46401570979571</c:v>
                </c:pt>
                <c:pt idx="23">
                  <c:v>33.375565153770332</c:v>
                </c:pt>
                <c:pt idx="24">
                  <c:v>34.287114597744967</c:v>
                </c:pt>
                <c:pt idx="25">
                  <c:v>35.198664041719589</c:v>
                </c:pt>
                <c:pt idx="26">
                  <c:v>36.110213485694231</c:v>
                </c:pt>
                <c:pt idx="27">
                  <c:v>37.021762929668846</c:v>
                </c:pt>
                <c:pt idx="28">
                  <c:v>37.933312373643481</c:v>
                </c:pt>
                <c:pt idx="29">
                  <c:v>38.844861817618103</c:v>
                </c:pt>
                <c:pt idx="30">
                  <c:v>39.756411261592731</c:v>
                </c:pt>
                <c:pt idx="31">
                  <c:v>40.667960705567367</c:v>
                </c:pt>
                <c:pt idx="32">
                  <c:v>41.579510149541989</c:v>
                </c:pt>
                <c:pt idx="33">
                  <c:v>42.752791260389074</c:v>
                </c:pt>
                <c:pt idx="34">
                  <c:v>44.049957002085279</c:v>
                </c:pt>
                <c:pt idx="35">
                  <c:v>45.347210414182854</c:v>
                </c:pt>
                <c:pt idx="36">
                  <c:v>46.644551165645495</c:v>
                </c:pt>
                <c:pt idx="37">
                  <c:v>47.941978939705798</c:v>
                </c:pt>
                <c:pt idx="38">
                  <c:v>49.23949343289167</c:v>
                </c:pt>
                <c:pt idx="39">
                  <c:v>50.537104037929161</c:v>
                </c:pt>
                <c:pt idx="40">
                  <c:v>51.83545511189525</c:v>
                </c:pt>
                <c:pt idx="41">
                  <c:v>53.12736942054164</c:v>
                </c:pt>
                <c:pt idx="42">
                  <c:v>54.415890937674391</c:v>
                </c:pt>
                <c:pt idx="43">
                  <c:v>55.704509635970446</c:v>
                </c:pt>
                <c:pt idx="44">
                  <c:v>57.236031723400508</c:v>
                </c:pt>
                <c:pt idx="45">
                  <c:v>58.93941459782797</c:v>
                </c:pt>
                <c:pt idx="46">
                  <c:v>60.660790800920836</c:v>
                </c:pt>
                <c:pt idx="47">
                  <c:v>62.400158710585814</c:v>
                </c:pt>
                <c:pt idx="48">
                  <c:v>64.157502107801974</c:v>
                </c:pt>
                <c:pt idx="49">
                  <c:v>65.932862730896943</c:v>
                </c:pt>
                <c:pt idx="50">
                  <c:v>67.726250509044092</c:v>
                </c:pt>
                <c:pt idx="51">
                  <c:v>69.537675504275541</c:v>
                </c:pt>
                <c:pt idx="52">
                  <c:v>71.367147911077595</c:v>
                </c:pt>
                <c:pt idx="53">
                  <c:v>73.214678056049053</c:v>
                </c:pt>
                <c:pt idx="54">
                  <c:v>75.080276397615222</c:v>
                </c:pt>
                <c:pt idx="55">
                  <c:v>76.96395352579087</c:v>
                </c:pt>
                <c:pt idx="56">
                  <c:v>78.865720161987255</c:v>
                </c:pt>
                <c:pt idx="57">
                  <c:v>80.785587158857382</c:v>
                </c:pt>
                <c:pt idx="58">
                  <c:v>82.723565500176178</c:v>
                </c:pt>
                <c:pt idx="59">
                  <c:v>84.679666300751663</c:v>
                </c:pt>
                <c:pt idx="60">
                  <c:v>86.653900806363694</c:v>
                </c:pt>
                <c:pt idx="61">
                  <c:v>88.646280393727935</c:v>
                </c:pt>
                <c:pt idx="62">
                  <c:v>90.656816570482263</c:v>
                </c:pt>
                <c:pt idx="63">
                  <c:v>92.685520975193626</c:v>
                </c:pt>
                <c:pt idx="64">
                  <c:v>94.732405377383287</c:v>
                </c:pt>
                <c:pt idx="65">
                  <c:v>96.797481677569351</c:v>
                </c:pt>
                <c:pt idx="66">
                  <c:v>98.880761907324228</c:v>
                </c:pt>
                <c:pt idx="67">
                  <c:v>100.98225822934643</c:v>
                </c:pt>
                <c:pt idx="68">
                  <c:v>103.10198293754516</c:v>
                </c:pt>
                <c:pt idx="69">
                  <c:v>105.2399484571372</c:v>
                </c:pt>
                <c:pt idx="70">
                  <c:v>107.3961673447544</c:v>
                </c:pt>
                <c:pt idx="71">
                  <c:v>109.57065228856138</c:v>
                </c:pt>
                <c:pt idx="72">
                  <c:v>111.76341610838297</c:v>
                </c:pt>
                <c:pt idx="73">
                  <c:v>113.97447175584028</c:v>
                </c:pt>
                <c:pt idx="74">
                  <c:v>116.20383231449517</c:v>
                </c:pt>
                <c:pt idx="75">
                  <c:v>118.45151100000218</c:v>
                </c:pt>
                <c:pt idx="76">
                  <c:v>120.71752116026786</c:v>
                </c:pt>
                <c:pt idx="77">
                  <c:v>123.00187627561724</c:v>
                </c:pt>
                <c:pt idx="78">
                  <c:v>125.30458995896593</c:v>
                </c:pt>
                <c:pt idx="79">
                  <c:v>127.6256759559995</c:v>
                </c:pt>
                <c:pt idx="80">
                  <c:v>129.96514814535752</c:v>
                </c:pt>
                <c:pt idx="81">
                  <c:v>132.32302053882412</c:v>
                </c:pt>
                <c:pt idx="82">
                  <c:v>134.69930728152306</c:v>
                </c:pt>
                <c:pt idx="83">
                  <c:v>137.09402265211818</c:v>
                </c:pt>
                <c:pt idx="84">
                  <c:v>139.5071810630192</c:v>
                </c:pt>
                <c:pt idx="85">
                  <c:v>141.93879706059121</c:v>
                </c:pt>
                <c:pt idx="86">
                  <c:v>144.38888532536927</c:v>
                </c:pt>
                <c:pt idx="87">
                  <c:v>146.8574606722776</c:v>
                </c:pt>
                <c:pt idx="88">
                  <c:v>149.34453805085226</c:v>
                </c:pt>
                <c:pt idx="89">
                  <c:v>151.85013254546871</c:v>
                </c:pt>
                <c:pt idx="90">
                  <c:v>154.37425937557271</c:v>
                </c:pt>
                <c:pt idx="91">
                  <c:v>156.91693389591543</c:v>
                </c:pt>
                <c:pt idx="92">
                  <c:v>159.47817159679252</c:v>
                </c:pt>
                <c:pt idx="93">
                  <c:v>162.05798810428627</c:v>
                </c:pt>
                <c:pt idx="94">
                  <c:v>164.65639918051181</c:v>
                </c:pt>
                <c:pt idx="95">
                  <c:v>167.27342072386747</c:v>
                </c:pt>
                <c:pt idx="96">
                  <c:v>169.90906876928693</c:v>
                </c:pt>
                <c:pt idx="97">
                  <c:v>172.56335948849676</c:v>
                </c:pt>
                <c:pt idx="98">
                  <c:v>175.2363091902761</c:v>
                </c:pt>
                <c:pt idx="99">
                  <c:v>177.9279343207198</c:v>
                </c:pt>
                <c:pt idx="100">
                  <c:v>180.63825146350538</c:v>
                </c:pt>
              </c:numCache>
            </c:numRef>
          </c:val>
          <c:smooth val="0"/>
          <c:extLst>
            <c:ext xmlns:c16="http://schemas.microsoft.com/office/drawing/2014/chart" uri="{C3380CC4-5D6E-409C-BE32-E72D297353CC}">
              <c16:uniqueId val="{00000003-1E04-4A6B-B26C-C435E097FB7E}"/>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zh-CN"/>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zh-CN"/>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zh-CN"/>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77.35740525636173</c:v>
                </c:pt>
                <c:pt idx="1">
                  <c:v>76.55765271134419</c:v>
                </c:pt>
                <c:pt idx="2">
                  <c:v>75.75791627186662</c:v>
                </c:pt>
                <c:pt idx="3">
                  <c:v>74.958175415509047</c:v>
                </c:pt>
                <c:pt idx="4">
                  <c:v>74.158935796135481</c:v>
                </c:pt>
                <c:pt idx="5">
                  <c:v>73.358853362910637</c:v>
                </c:pt>
                <c:pt idx="6">
                  <c:v>72.55905248061292</c:v>
                </c:pt>
                <c:pt idx="7">
                  <c:v>71.758996221171785</c:v>
                </c:pt>
                <c:pt idx="8">
                  <c:v>70.959259652534769</c:v>
                </c:pt>
                <c:pt idx="9">
                  <c:v>70.159230556202957</c:v>
                </c:pt>
                <c:pt idx="10">
                  <c:v>69.359363340222828</c:v>
                </c:pt>
                <c:pt idx="11">
                  <c:v>68.559539391114313</c:v>
                </c:pt>
                <c:pt idx="12">
                  <c:v>67.75933150014221</c:v>
                </c:pt>
                <c:pt idx="13">
                  <c:v>66.959504854947355</c:v>
                </c:pt>
                <c:pt idx="14">
                  <c:v>66.159417750693322</c:v>
                </c:pt>
                <c:pt idx="15">
                  <c:v>65.359374792916384</c:v>
                </c:pt>
                <c:pt idx="16">
                  <c:v>64.55930828014796</c:v>
                </c:pt>
                <c:pt idx="17">
                  <c:v>63.759328486731903</c:v>
                </c:pt>
                <c:pt idx="18">
                  <c:v>62.959199083393393</c:v>
                </c:pt>
                <c:pt idx="19">
                  <c:v>62.15913029254024</c:v>
                </c:pt>
                <c:pt idx="20">
                  <c:v>61.358956859911501</c:v>
                </c:pt>
                <c:pt idx="21">
                  <c:v>60.558835186227249</c:v>
                </c:pt>
                <c:pt idx="22">
                  <c:v>59.758586384260894</c:v>
                </c:pt>
                <c:pt idx="23">
                  <c:v>58.958399219727049</c:v>
                </c:pt>
                <c:pt idx="24">
                  <c:v>58.158059354393913</c:v>
                </c:pt>
                <c:pt idx="25">
                  <c:v>57.357678284216931</c:v>
                </c:pt>
                <c:pt idx="26">
                  <c:v>56.557055123261165</c:v>
                </c:pt>
                <c:pt idx="27">
                  <c:v>55.756427953150506</c:v>
                </c:pt>
                <c:pt idx="28">
                  <c:v>54.955746003854784</c:v>
                </c:pt>
                <c:pt idx="29">
                  <c:v>54.155483711528305</c:v>
                </c:pt>
                <c:pt idx="30">
                  <c:v>53.354260606050133</c:v>
                </c:pt>
                <c:pt idx="31">
                  <c:v>52.553163986120367</c:v>
                </c:pt>
                <c:pt idx="32">
                  <c:v>51.751612310054838</c:v>
                </c:pt>
                <c:pt idx="33">
                  <c:v>50.950131400663849</c:v>
                </c:pt>
                <c:pt idx="34">
                  <c:v>50.148049084696595</c:v>
                </c:pt>
                <c:pt idx="35">
                  <c:v>49.345752081289376</c:v>
                </c:pt>
                <c:pt idx="36">
                  <c:v>48.543040438882592</c:v>
                </c:pt>
                <c:pt idx="37">
                  <c:v>47.739389007912408</c:v>
                </c:pt>
                <c:pt idx="38">
                  <c:v>46.935452322964579</c:v>
                </c:pt>
                <c:pt idx="39">
                  <c:v>46.130450203116979</c:v>
                </c:pt>
                <c:pt idx="40">
                  <c:v>45.324528123500542</c:v>
                </c:pt>
                <c:pt idx="41">
                  <c:v>44.51742728365268</c:v>
                </c:pt>
                <c:pt idx="42">
                  <c:v>43.709033277254676</c:v>
                </c:pt>
                <c:pt idx="43">
                  <c:v>42.898840165829881</c:v>
                </c:pt>
                <c:pt idx="44">
                  <c:v>42.086745891217362</c:v>
                </c:pt>
                <c:pt idx="45">
                  <c:v>41.2722129496699</c:v>
                </c:pt>
                <c:pt idx="46">
                  <c:v>40.454968246329486</c:v>
                </c:pt>
                <c:pt idx="47">
                  <c:v>39.634326236195292</c:v>
                </c:pt>
                <c:pt idx="48">
                  <c:v>38.80989999875397</c:v>
                </c:pt>
                <c:pt idx="49">
                  <c:v>37.980803642782597</c:v>
                </c:pt>
                <c:pt idx="50">
                  <c:v>37.146397941352298</c:v>
                </c:pt>
                <c:pt idx="51">
                  <c:v>36.305627452189398</c:v>
                </c:pt>
                <c:pt idx="52">
                  <c:v>35.457810344066523</c:v>
                </c:pt>
                <c:pt idx="53">
                  <c:v>34.60188858727674</c:v>
                </c:pt>
                <c:pt idx="54">
                  <c:v>33.737319143096499</c:v>
                </c:pt>
                <c:pt idx="55">
                  <c:v>32.861523921861405</c:v>
                </c:pt>
                <c:pt idx="56">
                  <c:v>31.97462547441285</c:v>
                </c:pt>
                <c:pt idx="57">
                  <c:v>31.075013531862503</c:v>
                </c:pt>
                <c:pt idx="58">
                  <c:v>30.162481060928958</c:v>
                </c:pt>
                <c:pt idx="59">
                  <c:v>29.235724248833662</c:v>
                </c:pt>
                <c:pt idx="60">
                  <c:v>28.295006558662944</c:v>
                </c:pt>
                <c:pt idx="61">
                  <c:v>27.340374827113379</c:v>
                </c:pt>
                <c:pt idx="62">
                  <c:v>26.372011365918844</c:v>
                </c:pt>
                <c:pt idx="63">
                  <c:v>25.392112980908319</c:v>
                </c:pt>
                <c:pt idx="64">
                  <c:v>24.401745981440769</c:v>
                </c:pt>
                <c:pt idx="65">
                  <c:v>23.4036679864486</c:v>
                </c:pt>
                <c:pt idx="66">
                  <c:v>22.400616821759488</c:v>
                </c:pt>
                <c:pt idx="67">
                  <c:v>21.395843368685693</c:v>
                </c:pt>
                <c:pt idx="68">
                  <c:v>20.392273639949622</c:v>
                </c:pt>
                <c:pt idx="69">
                  <c:v>19.393310976618963</c:v>
                </c:pt>
                <c:pt idx="70">
                  <c:v>18.401622308471541</c:v>
                </c:pt>
                <c:pt idx="71">
                  <c:v>17.419855511938302</c:v>
                </c:pt>
                <c:pt idx="72">
                  <c:v>16.449721630379042</c:v>
                </c:pt>
                <c:pt idx="73">
                  <c:v>15.492804071981539</c:v>
                </c:pt>
                <c:pt idx="74">
                  <c:v>14.549627576938136</c:v>
                </c:pt>
                <c:pt idx="75">
                  <c:v>13.620578017197376</c:v>
                </c:pt>
                <c:pt idx="76">
                  <c:v>12.705225766882769</c:v>
                </c:pt>
                <c:pt idx="77">
                  <c:v>11.803285058649195</c:v>
                </c:pt>
                <c:pt idx="78">
                  <c:v>10.913872608314488</c:v>
                </c:pt>
                <c:pt idx="79">
                  <c:v>10.036508799770052</c:v>
                </c:pt>
                <c:pt idx="80">
                  <c:v>9.1686001233828307</c:v>
                </c:pt>
                <c:pt idx="81">
                  <c:v>8.3102206493603923</c:v>
                </c:pt>
                <c:pt idx="82">
                  <c:v>7.4596521062255627</c:v>
                </c:pt>
                <c:pt idx="83">
                  <c:v>6.6164117586095763</c:v>
                </c:pt>
                <c:pt idx="84">
                  <c:v>5.7788273532653855</c:v>
                </c:pt>
                <c:pt idx="85">
                  <c:v>4.9464264540276028</c:v>
                </c:pt>
                <c:pt idx="86">
                  <c:v>4.1182122440810085</c:v>
                </c:pt>
                <c:pt idx="87">
                  <c:v>3.2929468410947842</c:v>
                </c:pt>
                <c:pt idx="88">
                  <c:v>2.470687421247447</c:v>
                </c:pt>
                <c:pt idx="89">
                  <c:v>1.6500963748195163</c:v>
                </c:pt>
                <c:pt idx="90">
                  <c:v>0.83085184530799105</c:v>
                </c:pt>
                <c:pt idx="91">
                  <c:v>1.2277713429982537E-2</c:v>
                </c:pt>
                <c:pt idx="92">
                  <c:v>-0.80610627784744704</c:v>
                </c:pt>
                <c:pt idx="93">
                  <c:v>-1.6251368840337876</c:v>
                </c:pt>
                <c:pt idx="94">
                  <c:v>-1.829962571593498</c:v>
                </c:pt>
                <c:pt idx="95">
                  <c:v>-1.9330392296304686</c:v>
                </c:pt>
                <c:pt idx="96">
                  <c:v>-2.0349571478757325</c:v>
                </c:pt>
                <c:pt idx="97">
                  <c:v>-2.1380667061201568</c:v>
                </c:pt>
                <c:pt idx="98">
                  <c:v>-2.2400197954571697</c:v>
                </c:pt>
                <c:pt idx="99">
                  <c:v>-2.3431932931184463</c:v>
                </c:pt>
                <c:pt idx="100">
                  <c:v>-2.4452120017736991</c:v>
                </c:pt>
                <c:pt idx="101">
                  <c:v>-2.548400514913185</c:v>
                </c:pt>
                <c:pt idx="102">
                  <c:v>-2.6504371125779573</c:v>
                </c:pt>
                <c:pt idx="103">
                  <c:v>-2.7537451235415285</c:v>
                </c:pt>
                <c:pt idx="104">
                  <c:v>-2.8559018853249607</c:v>
                </c:pt>
                <c:pt idx="105">
                  <c:v>-2.9592776689077382</c:v>
                </c:pt>
                <c:pt idx="106">
                  <c:v>-3.0615041370931446</c:v>
                </c:pt>
                <c:pt idx="107">
                  <c:v>-3.164899770286123</c:v>
                </c:pt>
                <c:pt idx="108">
                  <c:v>-3.2671492007810792</c:v>
                </c:pt>
                <c:pt idx="109">
                  <c:v>-3.3705904050582074</c:v>
                </c:pt>
                <c:pt idx="110">
                  <c:v>-3.4728880745033308</c:v>
                </c:pt>
                <c:pt idx="111">
                  <c:v>-3.5764663529137088</c:v>
                </c:pt>
                <c:pt idx="112">
                  <c:v>-3.6789018880326863</c:v>
                </c:pt>
                <c:pt idx="113">
                  <c:v>-3.7825662795996875</c:v>
                </c:pt>
                <c:pt idx="114">
                  <c:v>-3.8850899817296494</c:v>
                </c:pt>
                <c:pt idx="115">
                  <c:v>-3.9888588292847995</c:v>
                </c:pt>
                <c:pt idx="116">
                  <c:v>-4.0914887870824925</c:v>
                </c:pt>
                <c:pt idx="117">
                  <c:v>-4.1953783265938611</c:v>
                </c:pt>
                <c:pt idx="118">
                  <c:v>-4.2981305769799052</c:v>
                </c:pt>
                <c:pt idx="119">
                  <c:v>-4.4020924181899765</c:v>
                </c:pt>
                <c:pt idx="120">
                  <c:v>-4.5049197827456853</c:v>
                </c:pt>
                <c:pt idx="121">
                  <c:v>-4.6089705529582314</c:v>
                </c:pt>
                <c:pt idx="122">
                  <c:v>-4.7118894589282236</c:v>
                </c:pt>
                <c:pt idx="123">
                  <c:v>-4.8161040018883581</c:v>
                </c:pt>
                <c:pt idx="124">
                  <c:v>-4.9191878475757793</c:v>
                </c:pt>
                <c:pt idx="125">
                  <c:v>-5.023516754862615</c:v>
                </c:pt>
                <c:pt idx="126">
                  <c:v>-5.1267173801889889</c:v>
                </c:pt>
                <c:pt idx="127">
                  <c:v>-5.2311724509579012</c:v>
                </c:pt>
                <c:pt idx="128">
                  <c:v>-5.334501585773701</c:v>
                </c:pt>
                <c:pt idx="129">
                  <c:v>-5.439093270789841</c:v>
                </c:pt>
                <c:pt idx="130">
                  <c:v>-5.5425613339580169</c:v>
                </c:pt>
                <c:pt idx="131">
                  <c:v>-5.6472988700375737</c:v>
                </c:pt>
                <c:pt idx="132">
                  <c:v>-5.6992454727615796</c:v>
                </c:pt>
                <c:pt idx="133">
                  <c:v>-5.7509151006794044</c:v>
                </c:pt>
                <c:pt idx="134">
                  <c:v>-5.8035295022243449</c:v>
                </c:pt>
                <c:pt idx="135">
                  <c:v>-5.8558604976828263</c:v>
                </c:pt>
                <c:pt idx="136">
                  <c:v>-5.9079114835959787</c:v>
                </c:pt>
                <c:pt idx="137">
                  <c:v>-5.9596857973226705</c:v>
                </c:pt>
                <c:pt idx="138">
                  <c:v>-6.0123528373052917</c:v>
                </c:pt>
                <c:pt idx="139">
                  <c:v>-6.0647373762984795</c:v>
                </c:pt>
                <c:pt idx="140">
                  <c:v>-6.1168428008575386</c:v>
                </c:pt>
                <c:pt idx="141">
                  <c:v>-6.1686724385682883</c:v>
                </c:pt>
                <c:pt idx="142">
                  <c:v>-6.2214488737525286</c:v>
                </c:pt>
                <c:pt idx="143">
                  <c:v>-6.2739431610290648</c:v>
                </c:pt>
                <c:pt idx="144">
                  <c:v>-6.3261586870693485</c:v>
                </c:pt>
                <c:pt idx="145">
                  <c:v>-6.3780987795505055</c:v>
                </c:pt>
                <c:pt idx="146">
                  <c:v>-6.4309603511905875</c:v>
                </c:pt>
                <c:pt idx="147">
                  <c:v>-6.483540445765291</c:v>
                </c:pt>
                <c:pt idx="148">
                  <c:v>-6.5358424445645911</c:v>
                </c:pt>
                <c:pt idx="149">
                  <c:v>-6.5878696699832755</c:v>
                </c:pt>
                <c:pt idx="150">
                  <c:v>-6.6408188651492015</c:v>
                </c:pt>
                <c:pt idx="151">
                  <c:v>-6.6934872867966817</c:v>
                </c:pt>
                <c:pt idx="152">
                  <c:v>-6.7458783104401263</c:v>
                </c:pt>
                <c:pt idx="153">
                  <c:v>-6.7979952528034291</c:v>
                </c:pt>
                <c:pt idx="154">
                  <c:v>-6.8510586196884615</c:v>
                </c:pt>
                <c:pt idx="155">
                  <c:v>-6.9038416977412886</c:v>
                </c:pt>
                <c:pt idx="156">
                  <c:v>-6.9563478608278277</c:v>
                </c:pt>
                <c:pt idx="157">
                  <c:v>-7.0085804240290193</c:v>
                </c:pt>
                <c:pt idx="158">
                  <c:v>-7.0617584105904321</c:v>
                </c:pt>
                <c:pt idx="159">
                  <c:v>-7.1146566534231681</c:v>
                </c:pt>
                <c:pt idx="160">
                  <c:v>-7.1672785238475818</c:v>
                </c:pt>
                <c:pt idx="161">
                  <c:v>-7.2196273344212933</c:v>
                </c:pt>
                <c:pt idx="162">
                  <c:v>-7.2728969236962051</c:v>
                </c:pt>
                <c:pt idx="163">
                  <c:v>-7.3258876211337292</c:v>
                </c:pt>
                <c:pt idx="164">
                  <c:v>-7.3786027901543108</c:v>
                </c:pt>
                <c:pt idx="165">
                  <c:v>-7.4310457355576407</c:v>
                </c:pt>
                <c:pt idx="166">
                  <c:v>-7.4844543355526181</c:v>
                </c:pt>
                <c:pt idx="167">
                  <c:v>-7.5375844678961563</c:v>
                </c:pt>
                <c:pt idx="168">
                  <c:v>-7.5904394959913457</c:v>
                </c:pt>
                <c:pt idx="169">
                  <c:v>-7.6430227245752933</c:v>
                </c:pt>
                <c:pt idx="170">
                  <c:v>-7.6964571139802889</c:v>
                </c:pt>
                <c:pt idx="171">
                  <c:v>-7.7496147022396853</c:v>
                </c:pt>
                <c:pt idx="172">
                  <c:v>-7.8024988304539242</c:v>
                </c:pt>
                <c:pt idx="173">
                  <c:v>-7.8551127815241166</c:v>
                </c:pt>
                <c:pt idx="174">
                  <c:v>-7.9087760317656643</c:v>
                </c:pt>
                <c:pt idx="175">
                  <c:v>-7.9621621168654002</c:v>
                </c:pt>
                <c:pt idx="176">
                  <c:v>-8.01527439244866</c:v>
                </c:pt>
                <c:pt idx="177">
                  <c:v>-8.0681161555496566</c:v>
                </c:pt>
                <c:pt idx="178">
                  <c:v>-8.1219801215263949</c:v>
                </c:pt>
                <c:pt idx="179">
                  <c:v>-8.1755669322020825</c:v>
                </c:pt>
                <c:pt idx="180">
                  <c:v>-8.2288799511636039</c:v>
                </c:pt>
                <c:pt idx="181">
                  <c:v>-8.281922483160745</c:v>
                </c:pt>
                <c:pt idx="182">
                  <c:v>-8.3357505774652481</c:v>
                </c:pt>
                <c:pt idx="183">
                  <c:v>-8.3893040212061472</c:v>
                </c:pt>
                <c:pt idx="184">
                  <c:v>-8.4425861407991416</c:v>
                </c:pt>
                <c:pt idx="185">
                  <c:v>-8.4956002046201142</c:v>
                </c:pt>
                <c:pt idx="186">
                  <c:v>-8.5497937374313189</c:v>
                </c:pt>
                <c:pt idx="187">
                  <c:v>-8.6037111083796791</c:v>
                </c:pt>
                <c:pt idx="188">
                  <c:v>-8.6573556796845388</c:v>
                </c:pt>
                <c:pt idx="189">
                  <c:v>-8.7107307546206965</c:v>
                </c:pt>
                <c:pt idx="190">
                  <c:v>-8.7648505379684369</c:v>
                </c:pt>
                <c:pt idx="191">
                  <c:v>-8.8186971861852204</c:v>
                </c:pt>
                <c:pt idx="192">
                  <c:v>-8.872274014922537</c:v>
                </c:pt>
                <c:pt idx="193">
                  <c:v>-8.9255842818927498</c:v>
                </c:pt>
                <c:pt idx="194">
                  <c:v>-8.9800184169525501</c:v>
                </c:pt>
                <c:pt idx="195">
                  <c:v>-9.0341785998506055</c:v>
                </c:pt>
                <c:pt idx="196">
                  <c:v>-9.0880681696007919</c:v>
                </c:pt>
                <c:pt idx="197">
                  <c:v>-9.1416904066496425</c:v>
                </c:pt>
                <c:pt idx="198">
                  <c:v>-9.1962140293214318</c:v>
                </c:pt>
                <c:pt idx="199">
                  <c:v>-9.2504652281284319</c:v>
                </c:pt>
                <c:pt idx="200">
                  <c:v>-9.3044473228080289</c:v>
                </c:pt>
                <c:pt idx="201">
                  <c:v>-9.3581635748882466</c:v>
                </c:pt>
                <c:pt idx="202">
                  <c:v>-9.4127597726487213</c:v>
                </c:pt>
                <c:pt idx="203">
                  <c:v>-9.4670853109867483</c:v>
                </c:pt>
                <c:pt idx="204">
                  <c:v>-9.5211434860388984</c:v>
                </c:pt>
                <c:pt idx="205">
                  <c:v>-9.5749375361845619</c:v>
                </c:pt>
                <c:pt idx="206">
                  <c:v>-9.6297776492868525</c:v>
                </c:pt>
                <c:pt idx="207">
                  <c:v>-9.6843472507549357</c:v>
                </c:pt>
                <c:pt idx="208">
                  <c:v>-9.7386496425508753</c:v>
                </c:pt>
                <c:pt idx="209">
                  <c:v>-9.7926880686387729</c:v>
                </c:pt>
                <c:pt idx="210">
                  <c:v>-9.8479304204739169</c:v>
                </c:pt>
                <c:pt idx="211">
                  <c:v>-9.9029009534587829</c:v>
                </c:pt>
                <c:pt idx="212">
                  <c:v>-9.9576030020389812</c:v>
                </c:pt>
                <c:pt idx="213">
                  <c:v>-10.012039841787635</c:v>
                </c:pt>
                <c:pt idx="214">
                  <c:v>-10.067291946555169</c:v>
                </c:pt>
                <c:pt idx="215">
                  <c:v>-10.12227486555598</c:v>
                </c:pt>
                <c:pt idx="216">
                  <c:v>-10.176991893491154</c:v>
                </c:pt>
                <c:pt idx="217">
                  <c:v>-10.23144626699894</c:v>
                </c:pt>
                <c:pt idx="218">
                  <c:v>-10.286873879330988</c:v>
                </c:pt>
                <c:pt idx="219">
                  <c:v>-10.342033391724389</c:v>
                </c:pt>
                <c:pt idx="220">
                  <c:v>-10.396928087323122</c:v>
                </c:pt>
                <c:pt idx="221">
                  <c:v>-10.451561191349953</c:v>
                </c:pt>
                <c:pt idx="222">
                  <c:v>-10.507145126137873</c:v>
                </c:pt>
                <c:pt idx="223">
                  <c:v>-10.562462312842392</c:v>
                </c:pt>
                <c:pt idx="224">
                  <c:v>-10.617516017996405</c:v>
                </c:pt>
                <c:pt idx="225">
                  <c:v>-10.672309450463667</c:v>
                </c:pt>
                <c:pt idx="226">
                  <c:v>-10.728201666160293</c:v>
                </c:pt>
                <c:pt idx="227">
                  <c:v>-10.783827119891335</c:v>
                </c:pt>
                <c:pt idx="228">
                  <c:v>-10.839189086398724</c:v>
                </c:pt>
                <c:pt idx="229">
                  <c:v>-10.894290782415965</c:v>
                </c:pt>
                <c:pt idx="230">
                  <c:v>-11.006374385337367</c:v>
                </c:pt>
                <c:pt idx="231">
                  <c:v>-11.062019817337614</c:v>
                </c:pt>
                <c:pt idx="232">
                  <c:v>-11.117405313363726</c:v>
                </c:pt>
                <c:pt idx="233">
                  <c:v>-11.173839633869676</c:v>
                </c:pt>
                <c:pt idx="234">
                  <c:v>-11.23000817523698</c:v>
                </c:pt>
                <c:pt idx="235">
                  <c:v>-11.285914209355317</c:v>
                </c:pt>
                <c:pt idx="236">
                  <c:v>-11.341560949850308</c:v>
                </c:pt>
                <c:pt idx="237">
                  <c:v>-11.398072791231517</c:v>
                </c:pt>
                <c:pt idx="238">
                  <c:v>-11.454321289167396</c:v>
                </c:pt>
                <c:pt idx="239">
                  <c:v>-11.510309677848646</c:v>
                </c:pt>
                <c:pt idx="240">
                  <c:v>-11.566041133918965</c:v>
                </c:pt>
                <c:pt idx="241">
                  <c:v>-11.622933939806551</c:v>
                </c:pt>
                <c:pt idx="242">
                  <c:v>-11.679563094196009</c:v>
                </c:pt>
                <c:pt idx="243">
                  <c:v>-11.735931843607235</c:v>
                </c:pt>
                <c:pt idx="244">
                  <c:v>-11.792043376536686</c:v>
                </c:pt>
                <c:pt idx="245">
                  <c:v>-11.849135808828926</c:v>
                </c:pt>
                <c:pt idx="246">
                  <c:v>-11.905966054919494</c:v>
                </c:pt>
                <c:pt idx="247">
                  <c:v>-11.962537340570947</c:v>
                </c:pt>
                <c:pt idx="248">
                  <c:v>-12.018852833821395</c:v>
                </c:pt>
                <c:pt idx="249">
                  <c:v>-12.076279901222675</c:v>
                </c:pt>
                <c:pt idx="250">
                  <c:v>-12.133445096366021</c:v>
                </c:pt>
                <c:pt idx="251">
                  <c:v>-12.190351644912798</c:v>
                </c:pt>
                <c:pt idx="252">
                  <c:v>-12.247002714598098</c:v>
                </c:pt>
                <c:pt idx="253">
                  <c:v>-12.304592335146747</c:v>
                </c:pt>
                <c:pt idx="254">
                  <c:v>-12.361922045868003</c:v>
                </c:pt>
                <c:pt idx="255">
                  <c:v>-12.418995041385871</c:v>
                </c:pt>
                <c:pt idx="256">
                  <c:v>-12.475814458925951</c:v>
                </c:pt>
                <c:pt idx="257">
                  <c:v>-12.533845594146889</c:v>
                </c:pt>
                <c:pt idx="258">
                  <c:v>-12.59161635198199</c:v>
                </c:pt>
                <c:pt idx="259">
                  <c:v>-12.649129940065855</c:v>
                </c:pt>
                <c:pt idx="260">
                  <c:v>-12.706389508099816</c:v>
                </c:pt>
                <c:pt idx="261">
                  <c:v>-12.764690907776735</c:v>
                </c:pt>
                <c:pt idx="262">
                  <c:v>-12.82273309389687</c:v>
                </c:pt>
                <c:pt idx="263">
                  <c:v>-12.880519256351562</c:v>
                </c:pt>
                <c:pt idx="264">
                  <c:v>-12.938052527291619</c:v>
                </c:pt>
                <c:pt idx="265">
                  <c:v>-12.996606133938986</c:v>
                </c:pt>
                <c:pt idx="266">
                  <c:v>-13.054901924160898</c:v>
                </c:pt>
                <c:pt idx="267">
                  <c:v>-13.112943065022737</c:v>
                </c:pt>
                <c:pt idx="268">
                  <c:v>-13.170732666157344</c:v>
                </c:pt>
                <c:pt idx="269">
                  <c:v>-13.229660614694234</c:v>
                </c:pt>
                <c:pt idx="270">
                  <c:v>-13.288331148231538</c:v>
                </c:pt>
                <c:pt idx="271">
                  <c:v>-13.346747428435808</c:v>
                </c:pt>
                <c:pt idx="272">
                  <c:v>-13.404912559420971</c:v>
                </c:pt>
                <c:pt idx="273">
                  <c:v>-13.464192586504968</c:v>
                </c:pt>
                <c:pt idx="274">
                  <c:v>-13.523215880199649</c:v>
                </c:pt>
                <c:pt idx="275">
                  <c:v>-13.581985590674995</c:v>
                </c:pt>
                <c:pt idx="276">
                  <c:v>-13.640504810567753</c:v>
                </c:pt>
                <c:pt idx="277">
                  <c:v>-13.699982379355367</c:v>
                </c:pt>
                <c:pt idx="278">
                  <c:v>-13.759205294588003</c:v>
                </c:pt>
                <c:pt idx="279">
                  <c:v>-13.818176668327599</c:v>
                </c:pt>
                <c:pt idx="280">
                  <c:v>-13.876899555763194</c:v>
                </c:pt>
                <c:pt idx="281">
                  <c:v>-13.936957607333669</c:v>
                </c:pt>
                <c:pt idx="282">
                  <c:v>-13.996759882791057</c:v>
                </c:pt>
                <c:pt idx="283">
                  <c:v>-14.056309513598029</c:v>
                </c:pt>
                <c:pt idx="284">
                  <c:v>-14.115609573598697</c:v>
                </c:pt>
                <c:pt idx="285">
                  <c:v>-14.175828705233606</c:v>
                </c:pt>
                <c:pt idx="286">
                  <c:v>-14.235794574532818</c:v>
                </c:pt>
                <c:pt idx="287">
                  <c:v>-14.295510264744173</c:v>
                </c:pt>
                <c:pt idx="288">
                  <c:v>-14.354978802397421</c:v>
                </c:pt>
                <c:pt idx="289">
                  <c:v>-14.415731610072406</c:v>
                </c:pt>
                <c:pt idx="290">
                  <c:v>-14.476230591158373</c:v>
                </c:pt>
                <c:pt idx="291">
                  <c:v>-14.536478835605228</c:v>
                </c:pt>
                <c:pt idx="292">
                  <c:v>-14.596479376198083</c:v>
                </c:pt>
                <c:pt idx="293">
                  <c:v>-14.657613231878905</c:v>
                </c:pt>
                <c:pt idx="294">
                  <c:v>-14.718494047910951</c:v>
                </c:pt>
                <c:pt idx="295">
                  <c:v>-14.779124895022047</c:v>
                </c:pt>
                <c:pt idx="296">
                  <c:v>-14.839508786961277</c:v>
                </c:pt>
                <c:pt idx="297">
                  <c:v>-14.901004282667657</c:v>
                </c:pt>
                <c:pt idx="298">
                  <c:v>-14.962247738494707</c:v>
                </c:pt>
                <c:pt idx="299">
                  <c:v>-15.023242200759251</c:v>
                </c:pt>
                <c:pt idx="300">
                  <c:v>-15.083990659113809</c:v>
                </c:pt>
                <c:pt idx="301">
                  <c:v>-15.1458297904973</c:v>
                </c:pt>
                <c:pt idx="302">
                  <c:v>-15.207418070220339</c:v>
                </c:pt>
                <c:pt idx="303">
                  <c:v>-15.268758515447189</c:v>
                </c:pt>
                <c:pt idx="304">
                  <c:v>-15.329854087112322</c:v>
                </c:pt>
                <c:pt idx="305">
                  <c:v>-15.392258765485378</c:v>
                </c:pt>
                <c:pt idx="306">
                  <c:v>-15.454412034262168</c:v>
                </c:pt>
                <c:pt idx="307">
                  <c:v>-15.516316911391241</c:v>
                </c:pt>
                <c:pt idx="308">
                  <c:v>-15.577976358286154</c:v>
                </c:pt>
                <c:pt idx="309">
                  <c:v>-15.64068491909326</c:v>
                </c:pt>
                <c:pt idx="310">
                  <c:v>-15.703143662526866</c:v>
                </c:pt>
                <c:pt idx="311">
                  <c:v>-15.765355567253101</c:v>
                </c:pt>
                <c:pt idx="312">
                  <c:v>-15.827323556099969</c:v>
                </c:pt>
                <c:pt idx="313">
                  <c:v>-15.890553045066845</c:v>
                </c:pt>
                <c:pt idx="314">
                  <c:v>-15.95353260985916</c:v>
                </c:pt>
                <c:pt idx="315">
                  <c:v>-16.016265218698006</c:v>
                </c:pt>
                <c:pt idx="316">
                  <c:v>-16.078753783953029</c:v>
                </c:pt>
                <c:pt idx="317">
                  <c:v>-16.142480327476967</c:v>
                </c:pt>
                <c:pt idx="318">
                  <c:v>-16.205957072358693</c:v>
                </c:pt>
                <c:pt idx="319">
                  <c:v>-16.269186970600494</c:v>
                </c:pt>
                <c:pt idx="320">
                  <c:v>-16.332172918493161</c:v>
                </c:pt>
                <c:pt idx="321">
                  <c:v>-16.396374093954037</c:v>
                </c:pt>
                <c:pt idx="322">
                  <c:v>-16.460325803315516</c:v>
                </c:pt>
                <c:pt idx="323">
                  <c:v>-16.524030977086927</c:v>
                </c:pt>
                <c:pt idx="324">
                  <c:v>-16.587492490351746</c:v>
                </c:pt>
                <c:pt idx="325">
                  <c:v>-16.652147220368853</c:v>
                </c:pt>
                <c:pt idx="326">
                  <c:v>-16.716552999619861</c:v>
                </c:pt>
                <c:pt idx="327">
                  <c:v>-16.780712732353756</c:v>
                </c:pt>
                <c:pt idx="328">
                  <c:v>-16.844629267815428</c:v>
                </c:pt>
                <c:pt idx="329">
                  <c:v>-16.909826352192574</c:v>
                </c:pt>
                <c:pt idx="330">
                  <c:v>-16.974774334765577</c:v>
                </c:pt>
                <c:pt idx="331">
                  <c:v>-17.039476103565768</c:v>
                </c:pt>
                <c:pt idx="332">
                  <c:v>-17.103934491808864</c:v>
                </c:pt>
                <c:pt idx="333">
                  <c:v>-17.169543340413419</c:v>
                </c:pt>
                <c:pt idx="334">
                  <c:v>-17.234903939631383</c:v>
                </c:pt>
                <c:pt idx="335">
                  <c:v>-17.300019142389012</c:v>
                </c:pt>
                <c:pt idx="336">
                  <c:v>-17.364891747484947</c:v>
                </c:pt>
                <c:pt idx="337">
                  <c:v>-17.43110564855251</c:v>
                </c:pt>
                <c:pt idx="338">
                  <c:v>-17.497070693011338</c:v>
                </c:pt>
                <c:pt idx="339">
                  <c:v>-17.562789722300728</c:v>
                </c:pt>
                <c:pt idx="340">
                  <c:v>-17.628265523850789</c:v>
                </c:pt>
                <c:pt idx="341">
                  <c:v>-17.695058562462869</c:v>
                </c:pt>
                <c:pt idx="342">
                  <c:v>-17.761602343304755</c:v>
                </c:pt>
                <c:pt idx="343">
                  <c:v>-17.827899691207417</c:v>
                </c:pt>
                <c:pt idx="344">
                  <c:v>-17.89395337727003</c:v>
                </c:pt>
                <c:pt idx="345">
                  <c:v>-17.961198624760087</c:v>
                </c:pt>
                <c:pt idx="346">
                  <c:v>-18.028195151242674</c:v>
                </c:pt>
                <c:pt idx="347">
                  <c:v>-18.094945747719823</c:v>
                </c:pt>
                <c:pt idx="348">
                  <c:v>-18.161453152208157</c:v>
                </c:pt>
                <c:pt idx="349">
                  <c:v>-18.229333334667665</c:v>
                </c:pt>
                <c:pt idx="350">
                  <c:v>-18.296963969126303</c:v>
                </c:pt>
                <c:pt idx="351">
                  <c:v>-18.36434783439902</c:v>
                </c:pt>
                <c:pt idx="352">
                  <c:v>-18.431487656553522</c:v>
                </c:pt>
                <c:pt idx="353">
                  <c:v>-18.499976010380642</c:v>
                </c:pt>
                <c:pt idx="354">
                  <c:v>-18.568214180768198</c:v>
                </c:pt>
                <c:pt idx="355">
                  <c:v>-18.636204929829152</c:v>
                </c:pt>
                <c:pt idx="356">
                  <c:v>-18.703950967323657</c:v>
                </c:pt>
                <c:pt idx="357">
                  <c:v>-18.772924019314377</c:v>
                </c:pt>
                <c:pt idx="358">
                  <c:v>-18.841647131372667</c:v>
                </c:pt>
                <c:pt idx="359">
                  <c:v>-18.910123033425108</c:v>
                </c:pt>
                <c:pt idx="360">
                  <c:v>-18.978354403875336</c:v>
                </c:pt>
                <c:pt idx="361">
                  <c:v>-19.047985023475427</c:v>
                </c:pt>
                <c:pt idx="362">
                  <c:v>-19.117364668810744</c:v>
                </c:pt>
                <c:pt idx="363">
                  <c:v>-19.18649605767185</c:v>
                </c:pt>
                <c:pt idx="364">
                  <c:v>-19.255381856703032</c:v>
                </c:pt>
                <c:pt idx="365">
                  <c:v>-19.325547338895646</c:v>
                </c:pt>
                <c:pt idx="366">
                  <c:v>-19.395461671783519</c:v>
                </c:pt>
                <c:pt idx="367">
                  <c:v>-19.465127546392882</c:v>
                </c:pt>
                <c:pt idx="368">
                  <c:v>-19.534547603400355</c:v>
                </c:pt>
                <c:pt idx="369">
                  <c:v>-19.60541323372453</c:v>
                </c:pt>
                <c:pt idx="370">
                  <c:v>-19.676026329886039</c:v>
                </c:pt>
                <c:pt idx="371">
                  <c:v>-19.746389575025031</c:v>
                </c:pt>
                <c:pt idx="372">
                  <c:v>-19.816505602317726</c:v>
                </c:pt>
                <c:pt idx="373">
                  <c:v>-19.887949545820565</c:v>
                </c:pt>
                <c:pt idx="374">
                  <c:v>-19.959140412245983</c:v>
                </c:pt>
                <c:pt idx="375">
                  <c:v>-20.030080863127591</c:v>
                </c:pt>
                <c:pt idx="376">
                  <c:v>-20.100773510823565</c:v>
                </c:pt>
                <c:pt idx="377">
                  <c:v>-20.172953903195673</c:v>
                </c:pt>
                <c:pt idx="378">
                  <c:v>-20.244879528675565</c:v>
                </c:pt>
                <c:pt idx="379">
                  <c:v>-20.316553045149824</c:v>
                </c:pt>
                <c:pt idx="380">
                  <c:v>-20.387977061744941</c:v>
                </c:pt>
                <c:pt idx="381">
                  <c:v>-20.460683103358896</c:v>
                </c:pt>
                <c:pt idx="382">
                  <c:v>-20.533134145277078</c:v>
                </c:pt>
                <c:pt idx="383">
                  <c:v>-20.60533281926384</c:v>
                </c:pt>
                <c:pt idx="384">
                  <c:v>-20.677281709356482</c:v>
                </c:pt>
                <c:pt idx="385">
                  <c:v>-20.750757227284318</c:v>
                </c:pt>
                <c:pt idx="386">
                  <c:v>-20.823975773398125</c:v>
                </c:pt>
                <c:pt idx="387">
                  <c:v>-20.896939980780029</c:v>
                </c:pt>
                <c:pt idx="388">
                  <c:v>-20.969652435230572</c:v>
                </c:pt>
                <c:pt idx="389">
                  <c:v>-21.043777582311833</c:v>
                </c:pt>
                <c:pt idx="390">
                  <c:v>-21.117644603730991</c:v>
                </c:pt>
                <c:pt idx="391">
                  <c:v>-21.191256122104051</c:v>
                </c:pt>
                <c:pt idx="392">
                  <c:v>-21.264614713573827</c:v>
                </c:pt>
                <c:pt idx="393">
                  <c:v>-21.339361963285576</c:v>
                </c:pt>
                <c:pt idx="394">
                  <c:v>-21.413850101145027</c:v>
                </c:pt>
                <c:pt idx="395">
                  <c:v>-21.488081738047349</c:v>
                </c:pt>
                <c:pt idx="396">
                  <c:v>-21.562059439331868</c:v>
                </c:pt>
                <c:pt idx="397">
                  <c:v>-21.637572507663837</c:v>
                </c:pt>
                <c:pt idx="398">
                  <c:v>-21.712824467799262</c:v>
                </c:pt>
                <c:pt idx="399">
                  <c:v>-21.787817935738172</c:v>
                </c:pt>
                <c:pt idx="400">
                  <c:v>-21.862555482538262</c:v>
                </c:pt>
                <c:pt idx="401">
                  <c:v>-21.938718088265794</c:v>
                </c:pt>
                <c:pt idx="402">
                  <c:v>-22.01461838737718</c:v>
                </c:pt>
                <c:pt idx="403">
                  <c:v>-22.090258991006749</c:v>
                </c:pt>
                <c:pt idx="404">
                  <c:v>-22.165642466278182</c:v>
                </c:pt>
                <c:pt idx="405">
                  <c:v>-22.242509736010856</c:v>
                </c:pt>
                <c:pt idx="406">
                  <c:v>-22.319113120725653</c:v>
                </c:pt>
                <c:pt idx="407">
                  <c:v>-22.395455234855277</c:v>
                </c:pt>
                <c:pt idx="408">
                  <c:v>-22.471538649662556</c:v>
                </c:pt>
                <c:pt idx="409">
                  <c:v>-22.549162370815807</c:v>
                </c:pt>
                <c:pt idx="410">
                  <c:v>-22.626520287704636</c:v>
                </c:pt>
                <c:pt idx="411">
                  <c:v>-22.70361502604905</c:v>
                </c:pt>
                <c:pt idx="412">
                  <c:v>-22.780449169162218</c:v>
                </c:pt>
                <c:pt idx="413">
                  <c:v>-22.858797428406461</c:v>
                </c:pt>
                <c:pt idx="414">
                  <c:v>-22.936878210674241</c:v>
                </c:pt>
                <c:pt idx="415">
                  <c:v>-23.014694152795151</c:v>
                </c:pt>
                <c:pt idx="416">
                  <c:v>-23.092247850063078</c:v>
                </c:pt>
                <c:pt idx="417">
                  <c:v>-23.171369586582351</c:v>
                </c:pt>
                <c:pt idx="418">
                  <c:v>-23.25022188297071</c:v>
                </c:pt>
                <c:pt idx="419">
                  <c:v>-23.328807395510957</c:v>
                </c:pt>
                <c:pt idx="420">
                  <c:v>-23.407128739754427</c:v>
                </c:pt>
                <c:pt idx="421">
                  <c:v>-23.486913232745206</c:v>
                </c:pt>
                <c:pt idx="422">
                  <c:v>-23.566427134829169</c:v>
                </c:pt>
                <c:pt idx="423">
                  <c:v>-23.645673114449007</c:v>
                </c:pt>
                <c:pt idx="424">
                  <c:v>-23.724653800376856</c:v>
                </c:pt>
                <c:pt idx="425">
                  <c:v>-23.805305451243083</c:v>
                </c:pt>
                <c:pt idx="426">
                  <c:v>-23.88568405646696</c:v>
                </c:pt>
                <c:pt idx="427">
                  <c:v>-23.965792321303176</c:v>
                </c:pt>
                <c:pt idx="428">
                  <c:v>-24.045632912027823</c:v>
                </c:pt>
                <c:pt idx="429">
                  <c:v>-24.127039946702524</c:v>
                </c:pt>
                <c:pt idx="430">
                  <c:v>-24.208172348086979</c:v>
                </c:pt>
                <c:pt idx="431">
                  <c:v>-24.289032851601799</c:v>
                </c:pt>
                <c:pt idx="432">
                  <c:v>-24.369624154639709</c:v>
                </c:pt>
                <c:pt idx="433">
                  <c:v>-24.451756002666421</c:v>
                </c:pt>
                <c:pt idx="434">
                  <c:v>-24.533611967713476</c:v>
                </c:pt>
                <c:pt idx="435">
                  <c:v>-24.615194817307042</c:v>
                </c:pt>
                <c:pt idx="436">
                  <c:v>-24.696507281988964</c:v>
                </c:pt>
                <c:pt idx="437">
                  <c:v>-24.77948375981526</c:v>
                </c:pt>
                <c:pt idx="438">
                  <c:v>-24.862182466751804</c:v>
                </c:pt>
                <c:pt idx="439">
                  <c:v>-24.944606219999834</c:v>
                </c:pt>
                <c:pt idx="440">
                  <c:v>-25.026757800649758</c:v>
                </c:pt>
                <c:pt idx="441">
                  <c:v>-25.110546121729538</c:v>
                </c:pt>
                <c:pt idx="442">
                  <c:v>-25.19405521020138</c:v>
                </c:pt>
                <c:pt idx="443">
                  <c:v>-25.277287935641407</c:v>
                </c:pt>
                <c:pt idx="444">
                  <c:v>-25.36024713250557</c:v>
                </c:pt>
                <c:pt idx="445">
                  <c:v>-25.444816692673587</c:v>
                </c:pt>
                <c:pt idx="446">
                  <c:v>-25.529106006202291</c:v>
                </c:pt>
                <c:pt idx="447">
                  <c:v>-25.613117998456879</c:v>
                </c:pt>
                <c:pt idx="448">
                  <c:v>-25.696855560784734</c:v>
                </c:pt>
                <c:pt idx="449">
                  <c:v>-25.782320850543215</c:v>
                </c:pt>
                <c:pt idx="450">
                  <c:v>-25.867504414891936</c:v>
                </c:pt>
                <c:pt idx="451">
                  <c:v>-25.952409254093844</c:v>
                </c:pt>
                <c:pt idx="452">
                  <c:v>-26.037038335395941</c:v>
                </c:pt>
                <c:pt idx="453">
                  <c:v>-26.123297422308369</c:v>
                </c:pt>
                <c:pt idx="454">
                  <c:v>-26.209274324035295</c:v>
                </c:pt>
                <c:pt idx="455">
                  <c:v>-26.294972113009642</c:v>
                </c:pt>
                <c:pt idx="456">
                  <c:v>-26.38039382990425</c:v>
                </c:pt>
                <c:pt idx="457">
                  <c:v>-26.467559904893832</c:v>
                </c:pt>
                <c:pt idx="458">
                  <c:v>-26.554443000490124</c:v>
                </c:pt>
                <c:pt idx="459">
                  <c:v>-26.641046282156282</c:v>
                </c:pt>
                <c:pt idx="460">
                  <c:v>-26.727372884806286</c:v>
                </c:pt>
                <c:pt idx="461">
                  <c:v>-26.81541752847048</c:v>
                </c:pt>
                <c:pt idx="462">
                  <c:v>-26.903179063186492</c:v>
                </c:pt>
                <c:pt idx="463">
                  <c:v>-26.990660754240675</c:v>
                </c:pt>
                <c:pt idx="464">
                  <c:v>-27.077865837775519</c:v>
                </c:pt>
                <c:pt idx="465">
                  <c:v>-27.166831729950264</c:v>
                </c:pt>
                <c:pt idx="466">
                  <c:v>-27.255514666242942</c:v>
                </c:pt>
                <c:pt idx="467">
                  <c:v>-27.34391802749785</c:v>
                </c:pt>
                <c:pt idx="468">
                  <c:v>-27.432045166954499</c:v>
                </c:pt>
                <c:pt idx="469">
                  <c:v>-27.521908170349569</c:v>
                </c:pt>
                <c:pt idx="470">
                  <c:v>-27.611489169218103</c:v>
                </c:pt>
                <c:pt idx="471">
                  <c:v>-27.700791669517738</c:v>
                </c:pt>
                <c:pt idx="472">
                  <c:v>-27.789819151404043</c:v>
                </c:pt>
                <c:pt idx="473">
                  <c:v>-27.880691322986447</c:v>
                </c:pt>
                <c:pt idx="474">
                  <c:v>-27.971282489583107</c:v>
                </c:pt>
                <c:pt idx="475">
                  <c:v>-28.061596309418793</c:v>
                </c:pt>
                <c:pt idx="476">
                  <c:v>-28.151636416887463</c:v>
                </c:pt>
                <c:pt idx="477">
                  <c:v>-28.243496990333362</c:v>
                </c:pt>
                <c:pt idx="478">
                  <c:v>-28.335078563388187</c:v>
                </c:pt>
                <c:pt idx="479">
                  <c:v>-28.426384960241986</c:v>
                </c:pt>
                <c:pt idx="480">
                  <c:v>-28.517419983619419</c:v>
                </c:pt>
                <c:pt idx="481">
                  <c:v>-28.610253099926382</c:v>
                </c:pt>
                <c:pt idx="482">
                  <c:v>-28.702810314321109</c:v>
                </c:pt>
                <c:pt idx="483">
                  <c:v>-28.79509563312002</c:v>
                </c:pt>
                <c:pt idx="484">
                  <c:v>-28.887113044004874</c:v>
                </c:pt>
                <c:pt idx="485">
                  <c:v>-28.980971986986425</c:v>
                </c:pt>
                <c:pt idx="486">
                  <c:v>-29.074558954634284</c:v>
                </c:pt>
                <c:pt idx="487">
                  <c:v>-29.167878163035855</c:v>
                </c:pt>
                <c:pt idx="488">
                  <c:v>-29.260933812985712</c:v>
                </c:pt>
                <c:pt idx="489">
                  <c:v>-29.355937901363355</c:v>
                </c:pt>
                <c:pt idx="490">
                  <c:v>-29.450674590622352</c:v>
                </c:pt>
                <c:pt idx="491">
                  <c:v>-29.545148347385592</c:v>
                </c:pt>
                <c:pt idx="492">
                  <c:v>-29.639363626953944</c:v>
                </c:pt>
                <c:pt idx="493">
                  <c:v>-29.735508483879514</c:v>
                </c:pt>
                <c:pt idx="494">
                  <c:v>-29.831392101674158</c:v>
                </c:pt>
                <c:pt idx="495">
                  <c:v>-29.927019226011602</c:v>
                </c:pt>
                <c:pt idx="496">
                  <c:v>-30.02239459610033</c:v>
                </c:pt>
                <c:pt idx="497">
                  <c:v>-30.119745252222142</c:v>
                </c:pt>
                <c:pt idx="498">
                  <c:v>-30.216842267157965</c:v>
                </c:pt>
                <c:pt idx="499">
                  <c:v>-30.313690709225835</c:v>
                </c:pt>
                <c:pt idx="500">
                  <c:v>-30.410295646207793</c:v>
                </c:pt>
                <c:pt idx="501">
                  <c:v>-30.508923169601129</c:v>
                </c:pt>
                <c:pt idx="502">
                  <c:v>-30.60730636012762</c:v>
                </c:pt>
                <c:pt idx="503">
                  <c:v>-30.705450660294581</c:v>
                </c:pt>
                <c:pt idx="504">
                  <c:v>-30.803361519363634</c:v>
                </c:pt>
                <c:pt idx="505">
                  <c:v>-30.903283862747529</c:v>
                </c:pt>
                <c:pt idx="506">
                  <c:v>-31.002973490907927</c:v>
                </c:pt>
                <c:pt idx="507">
                  <c:v>-31.102436271240084</c:v>
                </c:pt>
                <c:pt idx="508">
                  <c:v>-31.201678086871219</c:v>
                </c:pt>
                <c:pt idx="509">
                  <c:v>-31.302984349864715</c:v>
                </c:pt>
                <c:pt idx="510">
                  <c:v>-31.404071863208038</c:v>
                </c:pt>
                <c:pt idx="511">
                  <c:v>-31.504946991431293</c:v>
                </c:pt>
                <c:pt idx="512">
                  <c:v>-31.605616125911979</c:v>
                </c:pt>
                <c:pt idx="513">
                  <c:v>-31.70846552457089</c:v>
                </c:pt>
                <c:pt idx="514">
                  <c:v>-31.811112697065525</c:v>
                </c:pt>
                <c:pt idx="515">
                  <c:v>-31.913564604231922</c:v>
                </c:pt>
                <c:pt idx="516">
                  <c:v>-32.015828247682578</c:v>
                </c:pt>
                <c:pt idx="517">
                  <c:v>-32.120272969459215</c:v>
                </c:pt>
                <c:pt idx="518">
                  <c:v>-32.224535578226536</c:v>
                </c:pt>
                <c:pt idx="519">
                  <c:v>-32.328623725603705</c:v>
                </c:pt>
                <c:pt idx="520">
                  <c:v>-32.432545121323628</c:v>
                </c:pt>
                <c:pt idx="521">
                  <c:v>-32.538713329044995</c:v>
                </c:pt>
                <c:pt idx="522">
                  <c:v>-32.644723489253415</c:v>
                </c:pt>
                <c:pt idx="523">
                  <c:v>-32.750584073389447</c:v>
                </c:pt>
                <c:pt idx="524">
                  <c:v>-32.856303632775848</c:v>
                </c:pt>
                <c:pt idx="525">
                  <c:v>-32.964342098548592</c:v>
                </c:pt>
                <c:pt idx="526">
                  <c:v>-33.07225130065035</c:v>
                </c:pt>
                <c:pt idx="527">
                  <c:v>-33.18004068871835</c:v>
                </c:pt>
                <c:pt idx="528">
                  <c:v>-33.287719819723073</c:v>
                </c:pt>
                <c:pt idx="529">
                  <c:v>-33.397797719620776</c:v>
                </c:pt>
                <c:pt idx="530">
                  <c:v>-33.507780789925924</c:v>
                </c:pt>
                <c:pt idx="531">
                  <c:v>-33.617679654004398</c:v>
                </c:pt>
                <c:pt idx="532">
                  <c:v>-33.727505077325603</c:v>
                </c:pt>
                <c:pt idx="533">
                  <c:v>-33.839876564376127</c:v>
                </c:pt>
                <c:pt idx="534">
                  <c:v>-33.95219439749971</c:v>
                </c:pt>
                <c:pt idx="535">
                  <c:v>-34.064470635429664</c:v>
                </c:pt>
                <c:pt idx="536">
                  <c:v>-34.176717523637912</c:v>
                </c:pt>
                <c:pt idx="537">
                  <c:v>-34.291495453988411</c:v>
                </c:pt>
                <c:pt idx="538">
                  <c:v>-34.406269227140214</c:v>
                </c:pt>
                <c:pt idx="539">
                  <c:v>-34.521052603484932</c:v>
                </c:pt>
                <c:pt idx="540">
                  <c:v>-34.635859586349902</c:v>
                </c:pt>
                <c:pt idx="541">
                  <c:v>-34.753428374670918</c:v>
                </c:pt>
                <c:pt idx="542">
                  <c:v>-34.871052427003157</c:v>
                </c:pt>
                <c:pt idx="543">
                  <c:v>-34.9887476289991</c:v>
                </c:pt>
                <c:pt idx="544">
                  <c:v>-35.106530182604644</c:v>
                </c:pt>
                <c:pt idx="545">
                  <c:v>-35.227148720526714</c:v>
                </c:pt>
                <c:pt idx="546">
                  <c:v>-35.347894092295405</c:v>
                </c:pt>
                <c:pt idx="547">
                  <c:v>-35.468784771866794</c:v>
                </c:pt>
                <c:pt idx="548">
                  <c:v>-35.589839643717212</c:v>
                </c:pt>
                <c:pt idx="549">
                  <c:v>-35.713883547223531</c:v>
                </c:pt>
                <c:pt idx="550">
                  <c:v>-35.838140709016187</c:v>
                </c:pt>
                <c:pt idx="551">
                  <c:v>-35.96263280752359</c:v>
                </c:pt>
                <c:pt idx="552">
                  <c:v>-36.08738205431338</c:v>
                </c:pt>
                <c:pt idx="553">
                  <c:v>-36.215358025838334</c:v>
                </c:pt>
                <c:pt idx="554">
                  <c:v>-36.343652294055097</c:v>
                </c:pt>
                <c:pt idx="555">
                  <c:v>-36.472290568746494</c:v>
                </c:pt>
                <c:pt idx="556">
                  <c:v>-36.601299254871293</c:v>
                </c:pt>
                <c:pt idx="557">
                  <c:v>-36.866639527676114</c:v>
                </c:pt>
                <c:pt idx="558">
                  <c:v>-37.133889124121559</c:v>
                </c:pt>
                <c:pt idx="559">
                  <c:v>-37.409508355762263</c:v>
                </c:pt>
                <c:pt idx="560">
                  <c:v>-37.687687614400843</c:v>
                </c:pt>
                <c:pt idx="561">
                  <c:v>-37.975444542216358</c:v>
                </c:pt>
                <c:pt idx="562">
                  <c:v>-38.266568841005096</c:v>
                </c:pt>
                <c:pt idx="563">
                  <c:v>-38.567815203792712</c:v>
                </c:pt>
                <c:pt idx="564">
                  <c:v>-38.873412720262543</c:v>
                </c:pt>
                <c:pt idx="565">
                  <c:v>-39.191725626745956</c:v>
                </c:pt>
                <c:pt idx="566">
                  <c:v>-39.515657067085918</c:v>
                </c:pt>
                <c:pt idx="567">
                  <c:v>-39.854003976154161</c:v>
                </c:pt>
                <c:pt idx="568">
                  <c:v>-40.199569585700118</c:v>
                </c:pt>
                <c:pt idx="569">
                  <c:v>-40.560270453053455</c:v>
                </c:pt>
                <c:pt idx="570">
                  <c:v>-40.930152669776362</c:v>
                </c:pt>
                <c:pt idx="571">
                  <c:v>-41.320769794125141</c:v>
                </c:pt>
                <c:pt idx="572">
                  <c:v>-41.723260833150697</c:v>
                </c:pt>
                <c:pt idx="573">
                  <c:v>-42.146980074447427</c:v>
                </c:pt>
                <c:pt idx="574">
                  <c:v>-42.58588102201972</c:v>
                </c:pt>
                <c:pt idx="575">
                  <c:v>-43.05385423984621</c:v>
                </c:pt>
                <c:pt idx="576">
                  <c:v>-43.541672619878007</c:v>
                </c:pt>
                <c:pt idx="577">
                  <c:v>-45.887705732524026</c:v>
                </c:pt>
                <c:pt idx="578">
                  <c:v>-48.916415718523027</c:v>
                </c:pt>
                <c:pt idx="579">
                  <c:v>-63.693489612679663</c:v>
                </c:pt>
                <c:pt idx="580">
                  <c:v>-55.481734887085359</c:v>
                </c:pt>
                <c:pt idx="581">
                  <c:v>-50.605054982253328</c:v>
                </c:pt>
                <c:pt idx="582">
                  <c:v>-49.758946819017389</c:v>
                </c:pt>
                <c:pt idx="583">
                  <c:v>-50.443959541133637</c:v>
                </c:pt>
                <c:pt idx="584">
                  <c:v>-52.025132348916181</c:v>
                </c:pt>
                <c:pt idx="585">
                  <c:v>-54.691624721380947</c:v>
                </c:pt>
                <c:pt idx="586">
                  <c:v>-60.695250125260962</c:v>
                </c:pt>
                <c:pt idx="587">
                  <c:v>-71.699351709212721</c:v>
                </c:pt>
                <c:pt idx="588">
                  <c:v>-60.717654414977886</c:v>
                </c:pt>
                <c:pt idx="589">
                  <c:v>-60.428729650406069</c:v>
                </c:pt>
                <c:pt idx="590">
                  <c:v>-62.968869721910252</c:v>
                </c:pt>
                <c:pt idx="591">
                  <c:v>-77.335995970521935</c:v>
                </c:pt>
                <c:pt idx="592">
                  <c:v>-67.234250808183191</c:v>
                </c:pt>
                <c:pt idx="593">
                  <c:v>-66.780323396848786</c:v>
                </c:pt>
                <c:pt idx="594">
                  <c:v>-75.285278652179571</c:v>
                </c:pt>
                <c:pt idx="595">
                  <c:v>-71.140005842402857</c:v>
                </c:pt>
                <c:pt idx="596">
                  <c:v>-71.842458639628788</c:v>
                </c:pt>
                <c:pt idx="597">
                  <c:v>-78.049184652642751</c:v>
                </c:pt>
                <c:pt idx="598">
                  <c:v>-74.031006605793465</c:v>
                </c:pt>
                <c:pt idx="599">
                  <c:v>-78.864712748364084</c:v>
                </c:pt>
                <c:pt idx="600">
                  <c:v>-78.141930512720776</c:v>
                </c:pt>
              </c:numCache>
            </c:numRef>
          </c:yVal>
          <c:smooth val="0"/>
          <c:extLst>
            <c:ext xmlns:c16="http://schemas.microsoft.com/office/drawing/2014/chart" uri="{C3380CC4-5D6E-409C-BE32-E72D297353CC}">
              <c16:uniqueId val="{00000000-52E8-40C0-BDC9-E7AD10D908CE}"/>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91.313432236498173</c:v>
                </c:pt>
                <c:pt idx="1">
                  <c:v>91.18534403355271</c:v>
                </c:pt>
                <c:pt idx="2">
                  <c:v>91.067321296389039</c:v>
                </c:pt>
                <c:pt idx="3">
                  <c:v>90.958357860804739</c:v>
                </c:pt>
                <c:pt idx="4">
                  <c:v>90.857589586996014</c:v>
                </c:pt>
                <c:pt idx="5">
                  <c:v>90.763995669299334</c:v>
                </c:pt>
                <c:pt idx="6">
                  <c:v>90.676920714610233</c:v>
                </c:pt>
                <c:pt idx="7">
                  <c:v>90.595566105556358</c:v>
                </c:pt>
                <c:pt idx="8">
                  <c:v>90.519299122738403</c:v>
                </c:pt>
                <c:pt idx="9">
                  <c:v>90.447413354863201</c:v>
                </c:pt>
                <c:pt idx="10">
                  <c:v>90.379340590976682</c:v>
                </c:pt>
                <c:pt idx="11">
                  <c:v>90.314491561609429</c:v>
                </c:pt>
                <c:pt idx="12">
                  <c:v>90.252282970535731</c:v>
                </c:pt>
                <c:pt idx="13">
                  <c:v>90.192246627575557</c:v>
                </c:pt>
                <c:pt idx="14">
                  <c:v>90.133824292936126</c:v>
                </c:pt>
                <c:pt idx="15">
                  <c:v>90.076543266967775</c:v>
                </c:pt>
                <c:pt idx="16">
                  <c:v>90.019912801368591</c:v>
                </c:pt>
                <c:pt idx="17">
                  <c:v>89.963460581179518</c:v>
                </c:pt>
                <c:pt idx="18">
                  <c:v>89.906691474524052</c:v>
                </c:pt>
                <c:pt idx="19">
                  <c:v>89.849139583626524</c:v>
                </c:pt>
                <c:pt idx="20">
                  <c:v>89.790305790172141</c:v>
                </c:pt>
                <c:pt idx="21">
                  <c:v>89.729704017750961</c:v>
                </c:pt>
                <c:pt idx="22">
                  <c:v>89.666808509209901</c:v>
                </c:pt>
                <c:pt idx="23">
                  <c:v>89.601103377808897</c:v>
                </c:pt>
                <c:pt idx="24">
                  <c:v>89.53201718981795</c:v>
                </c:pt>
                <c:pt idx="25">
                  <c:v>89.458977799606203</c:v>
                </c:pt>
                <c:pt idx="26">
                  <c:v>89.381352316213096</c:v>
                </c:pt>
                <c:pt idx="27">
                  <c:v>89.298512981560066</c:v>
                </c:pt>
                <c:pt idx="28">
                  <c:v>89.209764299665252</c:v>
                </c:pt>
                <c:pt idx="29">
                  <c:v>89.114428360524386</c:v>
                </c:pt>
                <c:pt idx="30">
                  <c:v>89.011547767461536</c:v>
                </c:pt>
                <c:pt idx="31">
                  <c:v>88.900408732090682</c:v>
                </c:pt>
                <c:pt idx="32">
                  <c:v>88.780022686202415</c:v>
                </c:pt>
                <c:pt idx="33">
                  <c:v>88.649494646700191</c:v>
                </c:pt>
                <c:pt idx="34">
                  <c:v>88.507667897855598</c:v>
                </c:pt>
                <c:pt idx="35">
                  <c:v>88.35348375840077</c:v>
                </c:pt>
                <c:pt idx="36">
                  <c:v>88.185703824499328</c:v>
                </c:pt>
                <c:pt idx="37">
                  <c:v>88.002920685938562</c:v>
                </c:pt>
                <c:pt idx="38">
                  <c:v>87.80391025551792</c:v>
                </c:pt>
                <c:pt idx="39">
                  <c:v>87.587026196234802</c:v>
                </c:pt>
                <c:pt idx="40">
                  <c:v>87.350764297607924</c:v>
                </c:pt>
                <c:pt idx="41">
                  <c:v>87.093441847477976</c:v>
                </c:pt>
                <c:pt idx="42">
                  <c:v>86.813360206625489</c:v>
                </c:pt>
                <c:pt idx="43">
                  <c:v>86.508640056543157</c:v>
                </c:pt>
                <c:pt idx="44">
                  <c:v>86.177531625734034</c:v>
                </c:pt>
                <c:pt idx="45">
                  <c:v>85.818141954518197</c:v>
                </c:pt>
                <c:pt idx="46">
                  <c:v>85.42876911246347</c:v>
                </c:pt>
                <c:pt idx="47">
                  <c:v>85.007670833269515</c:v>
                </c:pt>
                <c:pt idx="48">
                  <c:v>84.553496771562138</c:v>
                </c:pt>
                <c:pt idx="49">
                  <c:v>84.064988759211261</c:v>
                </c:pt>
                <c:pt idx="50">
                  <c:v>83.541524285371253</c:v>
                </c:pt>
                <c:pt idx="51">
                  <c:v>82.982895380049428</c:v>
                </c:pt>
                <c:pt idx="52">
                  <c:v>82.390011897651675</c:v>
                </c:pt>
                <c:pt idx="53">
                  <c:v>81.764634808020645</c:v>
                </c:pt>
                <c:pt idx="54">
                  <c:v>81.110241471934216</c:v>
                </c:pt>
                <c:pt idx="55">
                  <c:v>80.430296737210057</c:v>
                </c:pt>
                <c:pt idx="56">
                  <c:v>79.732072188456101</c:v>
                </c:pt>
                <c:pt idx="57">
                  <c:v>79.023384607323862</c:v>
                </c:pt>
                <c:pt idx="58">
                  <c:v>78.315048934200632</c:v>
                </c:pt>
                <c:pt idx="59">
                  <c:v>77.618805625715879</c:v>
                </c:pt>
                <c:pt idx="60">
                  <c:v>76.949071047753264</c:v>
                </c:pt>
                <c:pt idx="61">
                  <c:v>76.321034108278823</c:v>
                </c:pt>
                <c:pt idx="62">
                  <c:v>75.750293648230524</c:v>
                </c:pt>
                <c:pt idx="63">
                  <c:v>75.252998472542288</c:v>
                </c:pt>
                <c:pt idx="64">
                  <c:v>74.843004114885701</c:v>
                </c:pt>
                <c:pt idx="65">
                  <c:v>74.532353260058827</c:v>
                </c:pt>
                <c:pt idx="66">
                  <c:v>74.329452461677562</c:v>
                </c:pt>
                <c:pt idx="67">
                  <c:v>74.238563823963005</c:v>
                </c:pt>
                <c:pt idx="68">
                  <c:v>74.259295248102276</c:v>
                </c:pt>
                <c:pt idx="69">
                  <c:v>74.386620435998708</c:v>
                </c:pt>
                <c:pt idx="70">
                  <c:v>74.61124402536538</c:v>
                </c:pt>
                <c:pt idx="71">
                  <c:v>74.920232735136679</c:v>
                </c:pt>
                <c:pt idx="72">
                  <c:v>75.298156255842045</c:v>
                </c:pt>
                <c:pt idx="73">
                  <c:v>75.727881856811905</c:v>
                </c:pt>
                <c:pt idx="74">
                  <c:v>76.191975558108481</c:v>
                </c:pt>
                <c:pt idx="75">
                  <c:v>76.673230900713321</c:v>
                </c:pt>
                <c:pt idx="76">
                  <c:v>77.155725274120343</c:v>
                </c:pt>
                <c:pt idx="77">
                  <c:v>77.624846166195482</c:v>
                </c:pt>
                <c:pt idx="78">
                  <c:v>78.067987074333729</c:v>
                </c:pt>
                <c:pt idx="79">
                  <c:v>78.474174770591134</c:v>
                </c:pt>
                <c:pt idx="80">
                  <c:v>78.835135824958812</c:v>
                </c:pt>
                <c:pt idx="81">
                  <c:v>79.142991915682657</c:v>
                </c:pt>
                <c:pt idx="82">
                  <c:v>79.391989736371045</c:v>
                </c:pt>
                <c:pt idx="83">
                  <c:v>79.577093643306156</c:v>
                </c:pt>
                <c:pt idx="84">
                  <c:v>79.694410128179697</c:v>
                </c:pt>
                <c:pt idx="85">
                  <c:v>79.740394031025602</c:v>
                </c:pt>
                <c:pt idx="86">
                  <c:v>79.711967549179022</c:v>
                </c:pt>
                <c:pt idx="87">
                  <c:v>79.606105388133059</c:v>
                </c:pt>
                <c:pt idx="88">
                  <c:v>79.419930111146556</c:v>
                </c:pt>
                <c:pt idx="89">
                  <c:v>79.150171756861411</c:v>
                </c:pt>
                <c:pt idx="90">
                  <c:v>78.793482405631991</c:v>
                </c:pt>
                <c:pt idx="91">
                  <c:v>78.346042393766012</c:v>
                </c:pt>
                <c:pt idx="92">
                  <c:v>77.803676511090117</c:v>
                </c:pt>
                <c:pt idx="93">
                  <c:v>77.161444606274131</c:v>
                </c:pt>
                <c:pt idx="94">
                  <c:v>76.984754898941475</c:v>
                </c:pt>
                <c:pt idx="95">
                  <c:v>76.893353628641663</c:v>
                </c:pt>
                <c:pt idx="96">
                  <c:v>76.801332481321793</c:v>
                </c:pt>
                <c:pt idx="97">
                  <c:v>76.706559087471504</c:v>
                </c:pt>
                <c:pt idx="98">
                  <c:v>76.61118152649378</c:v>
                </c:pt>
                <c:pt idx="99">
                  <c:v>76.512965113776573</c:v>
                </c:pt>
                <c:pt idx="100">
                  <c:v>76.414159870946605</c:v>
                </c:pt>
                <c:pt idx="101">
                  <c:v>76.312504423217035</c:v>
                </c:pt>
                <c:pt idx="102">
                  <c:v>76.2102760242703</c:v>
                </c:pt>
                <c:pt idx="103">
                  <c:v>76.105034054659001</c:v>
                </c:pt>
                <c:pt idx="104">
                  <c:v>75.999233871994051</c:v>
                </c:pt>
                <c:pt idx="105">
                  <c:v>75.890409123901179</c:v>
                </c:pt>
                <c:pt idx="106">
                  <c:v>75.781041496481635</c:v>
                </c:pt>
                <c:pt idx="107">
                  <c:v>75.66864015302906</c:v>
                </c:pt>
                <c:pt idx="108">
                  <c:v>75.555711773899887</c:v>
                </c:pt>
                <c:pt idx="109">
                  <c:v>75.439663080851304</c:v>
                </c:pt>
                <c:pt idx="110">
                  <c:v>75.323102944316531</c:v>
                </c:pt>
                <c:pt idx="111">
                  <c:v>75.203255637660561</c:v>
                </c:pt>
                <c:pt idx="112">
                  <c:v>75.08291164281097</c:v>
                </c:pt>
                <c:pt idx="113">
                  <c:v>74.95927241070558</c:v>
                </c:pt>
                <c:pt idx="114">
                  <c:v>74.835151820322821</c:v>
                </c:pt>
                <c:pt idx="115">
                  <c:v>74.707648579746717</c:v>
                </c:pt>
                <c:pt idx="116">
                  <c:v>74.579679228917442</c:v>
                </c:pt>
                <c:pt idx="117">
                  <c:v>74.448239752558109</c:v>
                </c:pt>
                <c:pt idx="118">
                  <c:v>74.316349381655442</c:v>
                </c:pt>
                <c:pt idx="119">
                  <c:v>74.180983674237595</c:v>
                </c:pt>
                <c:pt idx="120">
                  <c:v>74.045182819156977</c:v>
                </c:pt>
                <c:pt idx="121">
                  <c:v>73.905820348505884</c:v>
                </c:pt>
                <c:pt idx="122">
                  <c:v>73.766038453709257</c:v>
                </c:pt>
                <c:pt idx="123">
                  <c:v>73.622525581326627</c:v>
                </c:pt>
                <c:pt idx="124">
                  <c:v>73.478608573197562</c:v>
                </c:pt>
                <c:pt idx="125">
                  <c:v>73.330957447022541</c:v>
                </c:pt>
                <c:pt idx="126">
                  <c:v>73.182918045274278</c:v>
                </c:pt>
                <c:pt idx="127">
                  <c:v>73.031058968698176</c:v>
                </c:pt>
                <c:pt idx="128">
                  <c:v>72.878827582178133</c:v>
                </c:pt>
                <c:pt idx="129">
                  <c:v>72.722691370828457</c:v>
                </c:pt>
                <c:pt idx="130">
                  <c:v>72.566198960113667</c:v>
                </c:pt>
                <c:pt idx="131">
                  <c:v>72.40571706585034</c:v>
                </c:pt>
                <c:pt idx="132">
                  <c:v>72.325347658733051</c:v>
                </c:pt>
                <c:pt idx="133">
                  <c:v>72.244895265528712</c:v>
                </c:pt>
                <c:pt idx="134">
                  <c:v>72.162446429607016</c:v>
                </c:pt>
                <c:pt idx="135">
                  <c:v>72.079914681975978</c:v>
                </c:pt>
                <c:pt idx="136">
                  <c:v>71.997302014958649</c:v>
                </c:pt>
                <c:pt idx="137">
                  <c:v>71.914610378794734</c:v>
                </c:pt>
                <c:pt idx="138">
                  <c:v>71.82996163742645</c:v>
                </c:pt>
                <c:pt idx="139">
                  <c:v>71.745234296514738</c:v>
                </c:pt>
                <c:pt idx="140">
                  <c:v>71.660430312994066</c:v>
                </c:pt>
                <c:pt idx="141">
                  <c:v>71.575551602623392</c:v>
                </c:pt>
                <c:pt idx="142">
                  <c:v>71.488584679849865</c:v>
                </c:pt>
                <c:pt idx="143">
                  <c:v>71.401543379779142</c:v>
                </c:pt>
                <c:pt idx="144">
                  <c:v>71.314429630883936</c:v>
                </c:pt>
                <c:pt idx="145">
                  <c:v>71.227245321187567</c:v>
                </c:pt>
                <c:pt idx="146">
                  <c:v>71.137970360163763</c:v>
                </c:pt>
                <c:pt idx="147">
                  <c:v>71.048625405387682</c:v>
                </c:pt>
                <c:pt idx="148">
                  <c:v>70.959212354785151</c:v>
                </c:pt>
                <c:pt idx="149">
                  <c:v>70.869733066629351</c:v>
                </c:pt>
                <c:pt idx="150">
                  <c:v>70.778118238275511</c:v>
                </c:pt>
                <c:pt idx="151">
                  <c:v>70.686437886863345</c:v>
                </c:pt>
                <c:pt idx="152">
                  <c:v>70.594693880660756</c:v>
                </c:pt>
                <c:pt idx="153">
                  <c:v>70.502888049065376</c:v>
                </c:pt>
                <c:pt idx="154">
                  <c:v>70.408858907298495</c:v>
                </c:pt>
                <c:pt idx="155">
                  <c:v>70.314768753082731</c:v>
                </c:pt>
                <c:pt idx="156">
                  <c:v>70.220619428392922</c:v>
                </c:pt>
                <c:pt idx="157">
                  <c:v>70.126412737031345</c:v>
                </c:pt>
                <c:pt idx="158">
                  <c:v>70.029938487388804</c:v>
                </c:pt>
                <c:pt idx="159">
                  <c:v>69.933407853132309</c:v>
                </c:pt>
                <c:pt idx="160">
                  <c:v>69.836822650503848</c:v>
                </c:pt>
                <c:pt idx="161">
                  <c:v>69.740184658266045</c:v>
                </c:pt>
                <c:pt idx="162">
                  <c:v>69.641278790683273</c:v>
                </c:pt>
                <c:pt idx="163">
                  <c:v>69.542321335176567</c:v>
                </c:pt>
                <c:pt idx="164">
                  <c:v>69.443314080471751</c:v>
                </c:pt>
                <c:pt idx="165">
                  <c:v>69.344258778561866</c:v>
                </c:pt>
                <c:pt idx="166">
                  <c:v>69.242805327922298</c:v>
                </c:pt>
                <c:pt idx="167">
                  <c:v>69.141305125243647</c:v>
                </c:pt>
                <c:pt idx="168">
                  <c:v>69.039759937001946</c:v>
                </c:pt>
                <c:pt idx="169">
                  <c:v>68.938171493553583</c:v>
                </c:pt>
                <c:pt idx="170">
                  <c:v>68.834360145588974</c:v>
                </c:pt>
                <c:pt idx="171">
                  <c:v>68.73050720456456</c:v>
                </c:pt>
                <c:pt idx="172">
                  <c:v>68.626614404165991</c:v>
                </c:pt>
                <c:pt idx="173">
                  <c:v>68.522683442859986</c:v>
                </c:pt>
                <c:pt idx="174">
                  <c:v>68.416094499150375</c:v>
                </c:pt>
                <c:pt idx="175">
                  <c:v>68.309468952109853</c:v>
                </c:pt>
                <c:pt idx="176">
                  <c:v>68.202808522797881</c:v>
                </c:pt>
                <c:pt idx="177">
                  <c:v>68.096114897416413</c:v>
                </c:pt>
                <c:pt idx="178">
                  <c:v>67.986764955308203</c:v>
                </c:pt>
                <c:pt idx="179">
                  <c:v>67.87738364013353</c:v>
                </c:pt>
                <c:pt idx="180">
                  <c:v>67.767972657778273</c:v>
                </c:pt>
                <c:pt idx="181">
                  <c:v>67.658533679703368</c:v>
                </c:pt>
                <c:pt idx="182">
                  <c:v>67.54687877938612</c:v>
                </c:pt>
                <c:pt idx="183">
                  <c:v>67.435198159630815</c:v>
                </c:pt>
                <c:pt idx="184">
                  <c:v>67.323493489390032</c:v>
                </c:pt>
                <c:pt idx="185">
                  <c:v>67.211766404206116</c:v>
                </c:pt>
                <c:pt idx="186">
                  <c:v>67.0969506393253</c:v>
                </c:pt>
                <c:pt idx="187">
                  <c:v>66.982114607979071</c:v>
                </c:pt>
                <c:pt idx="188">
                  <c:v>66.867259979752006</c:v>
                </c:pt>
                <c:pt idx="189">
                  <c:v>66.752388390831527</c:v>
                </c:pt>
                <c:pt idx="190">
                  <c:v>66.635308806936109</c:v>
                </c:pt>
                <c:pt idx="191">
                  <c:v>66.518214937642313</c:v>
                </c:pt>
                <c:pt idx="192">
                  <c:v>66.401108413193455</c:v>
                </c:pt>
                <c:pt idx="193">
                  <c:v>66.283990831504411</c:v>
                </c:pt>
                <c:pt idx="194">
                  <c:v>66.16379289814482</c:v>
                </c:pt>
                <c:pt idx="195">
                  <c:v>66.043586629033214</c:v>
                </c:pt>
                <c:pt idx="196">
                  <c:v>65.923373650447687</c:v>
                </c:pt>
                <c:pt idx="197">
                  <c:v>65.803155556464617</c:v>
                </c:pt>
                <c:pt idx="198">
                  <c:v>65.680301290864222</c:v>
                </c:pt>
                <c:pt idx="199">
                  <c:v>65.557444949896535</c:v>
                </c:pt>
                <c:pt idx="200">
                  <c:v>65.434588135869589</c:v>
                </c:pt>
                <c:pt idx="201">
                  <c:v>65.311732419533641</c:v>
                </c:pt>
                <c:pt idx="202">
                  <c:v>65.186246814992316</c:v>
                </c:pt>
                <c:pt idx="203">
                  <c:v>65.060765571227691</c:v>
                </c:pt>
                <c:pt idx="204">
                  <c:v>64.935290265437501</c:v>
                </c:pt>
                <c:pt idx="205">
                  <c:v>64.809822443922172</c:v>
                </c:pt>
                <c:pt idx="206">
                  <c:v>64.68129307792131</c:v>
                </c:pt>
                <c:pt idx="207">
                  <c:v>64.552774756622867</c:v>
                </c:pt>
                <c:pt idx="208">
                  <c:v>64.424269046947558</c:v>
                </c:pt>
                <c:pt idx="209">
                  <c:v>64.295777485175932</c:v>
                </c:pt>
                <c:pt idx="210">
                  <c:v>64.163793936745463</c:v>
                </c:pt>
                <c:pt idx="211">
                  <c:v>64.031828510287824</c:v>
                </c:pt>
                <c:pt idx="212">
                  <c:v>63.899882775514698</c:v>
                </c:pt>
                <c:pt idx="213">
                  <c:v>63.767958271397063</c:v>
                </c:pt>
                <c:pt idx="214">
                  <c:v>63.633427477236651</c:v>
                </c:pt>
                <c:pt idx="215">
                  <c:v>63.498921908043457</c:v>
                </c:pt>
                <c:pt idx="216">
                  <c:v>63.364443102833889</c:v>
                </c:pt>
                <c:pt idx="217">
                  <c:v>63.229992570629761</c:v>
                </c:pt>
                <c:pt idx="218">
                  <c:v>63.092507180705056</c:v>
                </c:pt>
                <c:pt idx="219">
                  <c:v>62.955054468228226</c:v>
                </c:pt>
                <c:pt idx="220">
                  <c:v>62.817635955297121</c:v>
                </c:pt>
                <c:pt idx="221">
                  <c:v>62.680253134375391</c:v>
                </c:pt>
                <c:pt idx="222">
                  <c:v>62.539846057456671</c:v>
                </c:pt>
                <c:pt idx="223">
                  <c:v>62.399479344311928</c:v>
                </c:pt>
                <c:pt idx="224">
                  <c:v>62.25915449816037</c:v>
                </c:pt>
                <c:pt idx="225">
                  <c:v>62.118872992966104</c:v>
                </c:pt>
                <c:pt idx="226">
                  <c:v>61.975141862326652</c:v>
                </c:pt>
                <c:pt idx="227">
                  <c:v>61.831459304000319</c:v>
                </c:pt>
                <c:pt idx="228">
                  <c:v>61.687826813922499</c:v>
                </c:pt>
                <c:pt idx="229">
                  <c:v>61.544245858815927</c:v>
                </c:pt>
                <c:pt idx="230">
                  <c:v>61.250268250075024</c:v>
                </c:pt>
                <c:pt idx="231">
                  <c:v>61.103366575415109</c:v>
                </c:pt>
                <c:pt idx="232">
                  <c:v>60.956524938901893</c:v>
                </c:pt>
                <c:pt idx="233">
                  <c:v>60.806261131259291</c:v>
                </c:pt>
                <c:pt idx="234">
                  <c:v>60.65606324464845</c:v>
                </c:pt>
                <c:pt idx="235">
                  <c:v>60.505932751373905</c:v>
                </c:pt>
                <c:pt idx="236">
                  <c:v>60.355871094709059</c:v>
                </c:pt>
                <c:pt idx="237">
                  <c:v>60.202837122588861</c:v>
                </c:pt>
                <c:pt idx="238">
                  <c:v>60.049877754758597</c:v>
                </c:pt>
                <c:pt idx="239">
                  <c:v>59.896994435081595</c:v>
                </c:pt>
                <c:pt idx="240">
                  <c:v>59.744188578838219</c:v>
                </c:pt>
                <c:pt idx="241">
                  <c:v>59.587557667457901</c:v>
                </c:pt>
                <c:pt idx="242">
                  <c:v>59.431011157188124</c:v>
                </c:pt>
                <c:pt idx="243">
                  <c:v>59.274550485315856</c:v>
                </c:pt>
                <c:pt idx="244">
                  <c:v>59.118177060355563</c:v>
                </c:pt>
                <c:pt idx="245">
                  <c:v>58.958429901856533</c:v>
                </c:pt>
                <c:pt idx="246">
                  <c:v>58.798776786745492</c:v>
                </c:pt>
                <c:pt idx="247">
                  <c:v>58.639219130302806</c:v>
                </c:pt>
                <c:pt idx="248">
                  <c:v>58.479758319186715</c:v>
                </c:pt>
                <c:pt idx="249">
                  <c:v>58.316510057321892</c:v>
                </c:pt>
                <c:pt idx="250">
                  <c:v>58.153366279001901</c:v>
                </c:pt>
                <c:pt idx="251">
                  <c:v>57.990328385590473</c:v>
                </c:pt>
                <c:pt idx="252">
                  <c:v>57.82739774968185</c:v>
                </c:pt>
                <c:pt idx="253">
                  <c:v>57.661130929955732</c:v>
                </c:pt>
                <c:pt idx="254">
                  <c:v>57.494978759703102</c:v>
                </c:pt>
                <c:pt idx="255">
                  <c:v>57.328942611731861</c:v>
                </c:pt>
                <c:pt idx="256">
                  <c:v>57.163023830249529</c:v>
                </c:pt>
                <c:pt idx="257">
                  <c:v>56.992929980934619</c:v>
                </c:pt>
                <c:pt idx="258">
                  <c:v>56.822962434504831</c:v>
                </c:pt>
                <c:pt idx="259">
                  <c:v>56.653122552577344</c:v>
                </c:pt>
                <c:pt idx="260">
                  <c:v>56.483411667757593</c:v>
                </c:pt>
                <c:pt idx="261">
                  <c:v>56.309978504496115</c:v>
                </c:pt>
                <c:pt idx="262">
                  <c:v>56.136682997663925</c:v>
                </c:pt>
                <c:pt idx="263">
                  <c:v>55.963526482641527</c:v>
                </c:pt>
                <c:pt idx="264">
                  <c:v>55.790510265698586</c:v>
                </c:pt>
                <c:pt idx="265">
                  <c:v>55.613795583559281</c:v>
                </c:pt>
                <c:pt idx="266">
                  <c:v>55.43723017407288</c:v>
                </c:pt>
                <c:pt idx="267">
                  <c:v>55.260815342150948</c:v>
                </c:pt>
                <c:pt idx="268">
                  <c:v>55.084552363504315</c:v>
                </c:pt>
                <c:pt idx="269">
                  <c:v>54.90419052738396</c:v>
                </c:pt>
                <c:pt idx="270">
                  <c:v>54.723990586247268</c:v>
                </c:pt>
                <c:pt idx="271">
                  <c:v>54.54395381914982</c:v>
                </c:pt>
                <c:pt idx="272">
                  <c:v>54.364081475585778</c:v>
                </c:pt>
                <c:pt idx="273">
                  <c:v>54.180138419715988</c:v>
                </c:pt>
                <c:pt idx="274">
                  <c:v>53.996370191492005</c:v>
                </c:pt>
                <c:pt idx="275">
                  <c:v>53.812778038553816</c:v>
                </c:pt>
                <c:pt idx="276">
                  <c:v>53.629363178638982</c:v>
                </c:pt>
                <c:pt idx="277">
                  <c:v>53.442328864752682</c:v>
                </c:pt>
                <c:pt idx="278">
                  <c:v>53.255481744472064</c:v>
                </c:pt>
                <c:pt idx="279">
                  <c:v>53.068823020279225</c:v>
                </c:pt>
                <c:pt idx="280">
                  <c:v>52.882353864696469</c:v>
                </c:pt>
                <c:pt idx="281">
                  <c:v>52.691032167169283</c:v>
                </c:pt>
                <c:pt idx="282">
                  <c:v>52.499912860172401</c:v>
                </c:pt>
                <c:pt idx="283">
                  <c:v>52.308997119241766</c:v>
                </c:pt>
                <c:pt idx="284">
                  <c:v>52.118286089102057</c:v>
                </c:pt>
                <c:pt idx="285">
                  <c:v>51.924014732756291</c:v>
                </c:pt>
                <c:pt idx="286">
                  <c:v>51.729958574901559</c:v>
                </c:pt>
                <c:pt idx="287">
                  <c:v>51.53611873432834</c:v>
                </c:pt>
                <c:pt idx="288">
                  <c:v>51.342496298994377</c:v>
                </c:pt>
                <c:pt idx="289">
                  <c:v>51.144093407021927</c:v>
                </c:pt>
                <c:pt idx="290">
                  <c:v>50.945921533254477</c:v>
                </c:pt>
                <c:pt idx="291">
                  <c:v>50.747981754915145</c:v>
                </c:pt>
                <c:pt idx="292">
                  <c:v>50.550275117594651</c:v>
                </c:pt>
                <c:pt idx="293">
                  <c:v>50.348241972147747</c:v>
                </c:pt>
                <c:pt idx="294">
                  <c:v>50.146454983044976</c:v>
                </c:pt>
                <c:pt idx="295">
                  <c:v>49.944915171073461</c:v>
                </c:pt>
                <c:pt idx="296">
                  <c:v>49.743623524885834</c:v>
                </c:pt>
                <c:pt idx="297">
                  <c:v>49.538042884365183</c:v>
                </c:pt>
                <c:pt idx="298">
                  <c:v>49.332723737705379</c:v>
                </c:pt>
                <c:pt idx="299">
                  <c:v>49.127667041662704</c:v>
                </c:pt>
                <c:pt idx="300">
                  <c:v>48.922873720388424</c:v>
                </c:pt>
                <c:pt idx="301">
                  <c:v>48.713829945676792</c:v>
                </c:pt>
                <c:pt idx="302">
                  <c:v>48.505063159799107</c:v>
                </c:pt>
                <c:pt idx="303">
                  <c:v>48.296574247763317</c:v>
                </c:pt>
                <c:pt idx="304">
                  <c:v>48.088364061537845</c:v>
                </c:pt>
                <c:pt idx="305">
                  <c:v>47.875126482935002</c:v>
                </c:pt>
                <c:pt idx="306">
                  <c:v>47.662183760366872</c:v>
                </c:pt>
                <c:pt idx="307">
                  <c:v>47.449536708412268</c:v>
                </c:pt>
                <c:pt idx="308">
                  <c:v>47.23718610770203</c:v>
                </c:pt>
                <c:pt idx="309">
                  <c:v>47.020667349881961</c:v>
                </c:pt>
                <c:pt idx="310">
                  <c:v>46.804459208421036</c:v>
                </c:pt>
                <c:pt idx="311">
                  <c:v>46.588562408749027</c:v>
                </c:pt>
                <c:pt idx="312">
                  <c:v>46.372977642013154</c:v>
                </c:pt>
                <c:pt idx="313">
                  <c:v>46.152458938891158</c:v>
                </c:pt>
                <c:pt idx="314">
                  <c:v>45.932269036081493</c:v>
                </c:pt>
                <c:pt idx="315">
                  <c:v>45.712408568682093</c:v>
                </c:pt>
                <c:pt idx="316">
                  <c:v>45.492878136717735</c:v>
                </c:pt>
                <c:pt idx="317">
                  <c:v>45.268463296061043</c:v>
                </c:pt>
                <c:pt idx="318">
                  <c:v>45.044395556865624</c:v>
                </c:pt>
                <c:pt idx="319">
                  <c:v>44.820675452927844</c:v>
                </c:pt>
                <c:pt idx="320">
                  <c:v>44.59730348225537</c:v>
                </c:pt>
                <c:pt idx="321">
                  <c:v>44.369097668833632</c:v>
                </c:pt>
                <c:pt idx="322">
                  <c:v>44.141257312270994</c:v>
                </c:pt>
                <c:pt idx="323">
                  <c:v>43.913782834013517</c:v>
                </c:pt>
                <c:pt idx="324">
                  <c:v>43.686674619087455</c:v>
                </c:pt>
                <c:pt idx="325">
                  <c:v>43.454784061804276</c:v>
                </c:pt>
                <c:pt idx="326">
                  <c:v>43.223277306261593</c:v>
                </c:pt>
                <c:pt idx="327">
                  <c:v>42.992154650488771</c:v>
                </c:pt>
                <c:pt idx="328">
                  <c:v>42.761416355560215</c:v>
                </c:pt>
                <c:pt idx="329">
                  <c:v>42.525554621590118</c:v>
                </c:pt>
                <c:pt idx="330">
                  <c:v>42.290096303596101</c:v>
                </c:pt>
                <c:pt idx="331">
                  <c:v>42.055041565900638</c:v>
                </c:pt>
                <c:pt idx="332">
                  <c:v>41.820390535192132</c:v>
                </c:pt>
                <c:pt idx="333">
                  <c:v>41.581063948783395</c:v>
                </c:pt>
                <c:pt idx="334">
                  <c:v>41.342158932961382</c:v>
                </c:pt>
                <c:pt idx="335">
                  <c:v>41.103675505733776</c:v>
                </c:pt>
                <c:pt idx="336">
                  <c:v>40.865613647161467</c:v>
                </c:pt>
                <c:pt idx="337">
                  <c:v>40.622154073257491</c:v>
                </c:pt>
                <c:pt idx="338">
                  <c:v>40.3791368250848</c:v>
                </c:pt>
                <c:pt idx="339">
                  <c:v>40.136561762082295</c:v>
                </c:pt>
                <c:pt idx="340">
                  <c:v>39.894428705071306</c:v>
                </c:pt>
                <c:pt idx="341">
                  <c:v>39.646960758229284</c:v>
                </c:pt>
                <c:pt idx="342">
                  <c:v>39.399955718006652</c:v>
                </c:pt>
                <c:pt idx="343">
                  <c:v>39.15341327119333</c:v>
                </c:pt>
                <c:pt idx="344">
                  <c:v>38.907333065451212</c:v>
                </c:pt>
                <c:pt idx="345">
                  <c:v>38.656363689020054</c:v>
                </c:pt>
                <c:pt idx="346">
                  <c:v>38.40587606821839</c:v>
                </c:pt>
                <c:pt idx="347">
                  <c:v>38.155869705708085</c:v>
                </c:pt>
                <c:pt idx="348">
                  <c:v>37.906344064922479</c:v>
                </c:pt>
                <c:pt idx="349">
                  <c:v>37.651230283723976</c:v>
                </c:pt>
                <c:pt idx="350">
                  <c:v>37.396619697568383</c:v>
                </c:pt>
                <c:pt idx="351">
                  <c:v>37.142511606979809</c:v>
                </c:pt>
                <c:pt idx="352">
                  <c:v>36.888905272858892</c:v>
                </c:pt>
                <c:pt idx="353">
                  <c:v>36.629779698755641</c:v>
                </c:pt>
                <c:pt idx="354">
                  <c:v>36.371178367307806</c:v>
                </c:pt>
                <c:pt idx="355">
                  <c:v>36.113100361875127</c:v>
                </c:pt>
                <c:pt idx="356">
                  <c:v>35.855544726011459</c:v>
                </c:pt>
                <c:pt idx="357">
                  <c:v>35.592912319518234</c:v>
                </c:pt>
                <c:pt idx="358">
                  <c:v>35.330823166384874</c:v>
                </c:pt>
                <c:pt idx="359">
                  <c:v>35.069276123243213</c:v>
                </c:pt>
                <c:pt idx="360">
                  <c:v>34.808270007186735</c:v>
                </c:pt>
                <c:pt idx="361">
                  <c:v>34.541511650910365</c:v>
                </c:pt>
                <c:pt idx="362">
                  <c:v>34.27531806477802</c:v>
                </c:pt>
                <c:pt idx="363">
                  <c:v>34.009687855045627</c:v>
                </c:pt>
                <c:pt idx="364">
                  <c:v>33.744619588485563</c:v>
                </c:pt>
                <c:pt idx="365">
                  <c:v>33.474240196715101</c:v>
                </c:pt>
                <c:pt idx="366">
                  <c:v>33.204444850232193</c:v>
                </c:pt>
                <c:pt idx="367">
                  <c:v>32.935231896450176</c:v>
                </c:pt>
                <c:pt idx="368">
                  <c:v>32.666599643829159</c:v>
                </c:pt>
                <c:pt idx="369">
                  <c:v>32.391997950092588</c:v>
                </c:pt>
                <c:pt idx="370">
                  <c:v>32.118001993695799</c:v>
                </c:pt>
                <c:pt idx="371">
                  <c:v>31.844609835272962</c:v>
                </c:pt>
                <c:pt idx="372">
                  <c:v>31.571819496889731</c:v>
                </c:pt>
                <c:pt idx="373">
                  <c:v>31.29349893953642</c:v>
                </c:pt>
                <c:pt idx="374">
                  <c:v>31.015803344087232</c:v>
                </c:pt>
                <c:pt idx="375">
                  <c:v>30.738730477429812</c:v>
                </c:pt>
                <c:pt idx="376">
                  <c:v>30.462278068769251</c:v>
                </c:pt>
                <c:pt idx="377">
                  <c:v>30.179654123167069</c:v>
                </c:pt>
                <c:pt idx="378">
                  <c:v>29.89767664904619</c:v>
                </c:pt>
                <c:pt idx="379">
                  <c:v>29.616343087463321</c:v>
                </c:pt>
                <c:pt idx="380">
                  <c:v>29.335650842600757</c:v>
                </c:pt>
                <c:pt idx="381">
                  <c:v>29.049577814001651</c:v>
                </c:pt>
                <c:pt idx="382">
                  <c:v>28.764168411421338</c:v>
                </c:pt>
                <c:pt idx="383">
                  <c:v>28.479419755848113</c:v>
                </c:pt>
                <c:pt idx="384">
                  <c:v>28.195328932894427</c:v>
                </c:pt>
                <c:pt idx="385">
                  <c:v>27.90487684994315</c:v>
                </c:pt>
                <c:pt idx="386">
                  <c:v>27.615109303867342</c:v>
                </c:pt>
                <c:pt idx="387">
                  <c:v>27.326023049998639</c:v>
                </c:pt>
                <c:pt idx="388">
                  <c:v>27.037614809599091</c:v>
                </c:pt>
                <c:pt idx="389">
                  <c:v>26.743278608206509</c:v>
                </c:pt>
                <c:pt idx="390">
                  <c:v>26.449644887174145</c:v>
                </c:pt>
                <c:pt idx="391">
                  <c:v>26.156710033516703</c:v>
                </c:pt>
                <c:pt idx="392">
                  <c:v>25.864470402005509</c:v>
                </c:pt>
                <c:pt idx="393">
                  <c:v>25.566382457492637</c:v>
                </c:pt>
                <c:pt idx="394">
                  <c:v>25.269013508084583</c:v>
                </c:pt>
                <c:pt idx="395">
                  <c:v>24.972359560630736</c:v>
                </c:pt>
                <c:pt idx="396">
                  <c:v>24.676416591900619</c:v>
                </c:pt>
                <c:pt idx="397">
                  <c:v>24.374021724946459</c:v>
                </c:pt>
                <c:pt idx="398">
                  <c:v>24.07236414144532</c:v>
                </c:pt>
                <c:pt idx="399">
                  <c:v>23.771439427785197</c:v>
                </c:pt>
                <c:pt idx="400">
                  <c:v>23.471243142518915</c:v>
                </c:pt>
                <c:pt idx="401">
                  <c:v>23.165019040630483</c:v>
                </c:pt>
                <c:pt idx="402">
                  <c:v>22.859547147442868</c:v>
                </c:pt>
                <c:pt idx="403">
                  <c:v>22.554822631654417</c:v>
                </c:pt>
                <c:pt idx="404">
                  <c:v>22.250840636853212</c:v>
                </c:pt>
                <c:pt idx="405">
                  <c:v>21.940576147939339</c:v>
                </c:pt>
                <c:pt idx="406">
                  <c:v>21.631078639193305</c:v>
                </c:pt>
                <c:pt idx="407">
                  <c:v>21.322342835123408</c:v>
                </c:pt>
                <c:pt idx="408">
                  <c:v>21.014363438086463</c:v>
                </c:pt>
                <c:pt idx="409">
                  <c:v>20.699852923238069</c:v>
                </c:pt>
                <c:pt idx="410">
                  <c:v>20.386123842638568</c:v>
                </c:pt>
                <c:pt idx="411">
                  <c:v>20.07317044846215</c:v>
                </c:pt>
                <c:pt idx="412">
                  <c:v>19.760986973940817</c:v>
                </c:pt>
                <c:pt idx="413">
                  <c:v>19.442357235132505</c:v>
                </c:pt>
                <c:pt idx="414">
                  <c:v>19.124521257001931</c:v>
                </c:pt>
                <c:pt idx="415">
                  <c:v>18.807472808912962</c:v>
                </c:pt>
                <c:pt idx="416">
                  <c:v>18.491205644830643</c:v>
                </c:pt>
                <c:pt idx="417">
                  <c:v>18.168249812374853</c:v>
                </c:pt>
                <c:pt idx="418">
                  <c:v>17.846099424719341</c:v>
                </c:pt>
                <c:pt idx="419">
                  <c:v>17.524747739314392</c:v>
                </c:pt>
                <c:pt idx="420">
                  <c:v>17.20418800200892</c:v>
                </c:pt>
                <c:pt idx="421">
                  <c:v>16.877344772915308</c:v>
                </c:pt>
                <c:pt idx="422">
                  <c:v>16.55131463504631</c:v>
                </c:pt>
                <c:pt idx="423">
                  <c:v>16.226090346105934</c:v>
                </c:pt>
                <c:pt idx="424">
                  <c:v>15.901664656314125</c:v>
                </c:pt>
                <c:pt idx="425">
                  <c:v>15.570076779847852</c:v>
                </c:pt>
                <c:pt idx="426">
                  <c:v>15.239311859057011</c:v>
                </c:pt>
                <c:pt idx="427">
                  <c:v>14.909362078971213</c:v>
                </c:pt>
                <c:pt idx="428">
                  <c:v>14.580219621423225</c:v>
                </c:pt>
                <c:pt idx="429">
                  <c:v>14.244316166248041</c:v>
                </c:pt>
                <c:pt idx="430">
                  <c:v>13.909241128380671</c:v>
                </c:pt>
                <c:pt idx="431">
                  <c:v>13.574986133376854</c:v>
                </c:pt>
                <c:pt idx="432">
                  <c:v>13.241542808131754</c:v>
                </c:pt>
                <c:pt idx="433">
                  <c:v>12.901415858946933</c:v>
                </c:pt>
                <c:pt idx="434">
                  <c:v>12.56211987622487</c:v>
                </c:pt>
                <c:pt idx="435">
                  <c:v>12.223645919297297</c:v>
                </c:pt>
                <c:pt idx="436">
                  <c:v>11.885985053524138</c:v>
                </c:pt>
                <c:pt idx="437">
                  <c:v>11.541095614271768</c:v>
                </c:pt>
                <c:pt idx="438">
                  <c:v>11.197039622341265</c:v>
                </c:pt>
                <c:pt idx="439">
                  <c:v>10.853807513945043</c:v>
                </c:pt>
                <c:pt idx="440">
                  <c:v>10.511389736173101</c:v>
                </c:pt>
                <c:pt idx="441">
                  <c:v>10.161820409836594</c:v>
                </c:pt>
                <c:pt idx="442">
                  <c:v>9.8130836330618934</c:v>
                </c:pt>
                <c:pt idx="443">
                  <c:v>9.4651692103309699</c:v>
                </c:pt>
                <c:pt idx="444">
                  <c:v>9.1180669619230912</c:v>
                </c:pt>
                <c:pt idx="445">
                  <c:v>8.7638848374356257</c:v>
                </c:pt>
                <c:pt idx="446">
                  <c:v>8.4105308366974612</c:v>
                </c:pt>
                <c:pt idx="447">
                  <c:v>8.0579941247090687</c:v>
                </c:pt>
                <c:pt idx="448">
                  <c:v>7.7062638871609863</c:v>
                </c:pt>
                <c:pt idx="449">
                  <c:v>7.3469189927024559</c:v>
                </c:pt>
                <c:pt idx="450">
                  <c:v>6.9883968552089186</c:v>
                </c:pt>
                <c:pt idx="451">
                  <c:v>6.6306859351369667</c:v>
                </c:pt>
                <c:pt idx="452">
                  <c:v>6.2737747185817909</c:v>
                </c:pt>
                <c:pt idx="453">
                  <c:v>5.909614440533943</c:v>
                </c:pt>
                <c:pt idx="454">
                  <c:v>5.5462661438305929</c:v>
                </c:pt>
                <c:pt idx="455">
                  <c:v>5.1837176031864658</c:v>
                </c:pt>
                <c:pt idx="456">
                  <c:v>4.8219566236281253</c:v>
                </c:pt>
                <c:pt idx="457">
                  <c:v>4.4524135995295353</c:v>
                </c:pt>
                <c:pt idx="458">
                  <c:v>4.0836701947552854</c:v>
                </c:pt>
                <c:pt idx="459">
                  <c:v>3.7157134267172864</c:v>
                </c:pt>
                <c:pt idx="460">
                  <c:v>3.3485303477210664</c:v>
                </c:pt>
                <c:pt idx="461">
                  <c:v>2.9736227624804883</c:v>
                </c:pt>
                <c:pt idx="462">
                  <c:v>2.5994978413514502</c:v>
                </c:pt>
                <c:pt idx="463">
                  <c:v>2.2261418301052913</c:v>
                </c:pt>
                <c:pt idx="464">
                  <c:v>1.8535410135886821</c:v>
                </c:pt>
                <c:pt idx="465">
                  <c:v>1.4729750464503013</c:v>
                </c:pt>
                <c:pt idx="466">
                  <c:v>1.093171146380655</c:v>
                </c:pt>
                <c:pt idx="467">
                  <c:v>0.71411473848004903</c:v>
                </c:pt>
                <c:pt idx="468">
                  <c:v>0.33579129069602232</c:v>
                </c:pt>
                <c:pt idx="469">
                  <c:v>-5.045282755821745E-2</c:v>
                </c:pt>
                <c:pt idx="470">
                  <c:v>-0.43596065277000662</c:v>
                </c:pt>
                <c:pt idx="471">
                  <c:v>-0.8207476004262162</c:v>
                </c:pt>
                <c:pt idx="472">
                  <c:v>-1.2048290400734913</c:v>
                </c:pt>
                <c:pt idx="473">
                  <c:v>-1.5973675960726439</c:v>
                </c:pt>
                <c:pt idx="474">
                  <c:v>-1.989199009477062</c:v>
                </c:pt>
                <c:pt idx="475">
                  <c:v>-2.380339630457712</c:v>
                </c:pt>
                <c:pt idx="476">
                  <c:v>-2.7708057607131593</c:v>
                </c:pt>
                <c:pt idx="477">
                  <c:v>-3.1696976586682979</c:v>
                </c:pt>
                <c:pt idx="478">
                  <c:v>-3.5679176233705618</c:v>
                </c:pt>
                <c:pt idx="479">
                  <c:v>-3.9654829707525607</c:v>
                </c:pt>
                <c:pt idx="480">
                  <c:v>-4.3624109667575794</c:v>
                </c:pt>
                <c:pt idx="481">
                  <c:v>-4.7677443929680408</c:v>
                </c:pt>
                <c:pt idx="482">
                  <c:v>-5.1724474632191004</c:v>
                </c:pt>
                <c:pt idx="483">
                  <c:v>-5.5765384951415626</c:v>
                </c:pt>
                <c:pt idx="484">
                  <c:v>-5.9800357560740736</c:v>
                </c:pt>
                <c:pt idx="485">
                  <c:v>-6.3922101860693488</c:v>
                </c:pt>
                <c:pt idx="486">
                  <c:v>-6.8038017578766414</c:v>
                </c:pt>
                <c:pt idx="487">
                  <c:v>-7.214829872302488</c:v>
                </c:pt>
                <c:pt idx="488">
                  <c:v>-7.6253138808445726</c:v>
                </c:pt>
                <c:pt idx="489">
                  <c:v>-8.0450344230493727</c:v>
                </c:pt>
                <c:pt idx="490">
                  <c:v>-8.4642255240425754</c:v>
                </c:pt>
                <c:pt idx="491">
                  <c:v>-8.882907801614266</c:v>
                </c:pt>
                <c:pt idx="492">
                  <c:v>-9.3011018266409735</c:v>
                </c:pt>
                <c:pt idx="493">
                  <c:v>-9.7285437448721268</c:v>
                </c:pt>
                <c:pt idx="494">
                  <c:v>-10.155517859733521</c:v>
                </c:pt>
                <c:pt idx="495">
                  <c:v>-10.582046072295356</c:v>
                </c:pt>
                <c:pt idx="496">
                  <c:v>-11.008150241067</c:v>
                </c:pt>
                <c:pt idx="497">
                  <c:v>-11.443805486000002</c:v>
                </c:pt>
                <c:pt idx="498">
                  <c:v>-11.879062812104024</c:v>
                </c:pt>
                <c:pt idx="499">
                  <c:v>-12.313945525053924</c:v>
                </c:pt>
                <c:pt idx="500">
                  <c:v>-12.748476894452864</c:v>
                </c:pt>
                <c:pt idx="501">
                  <c:v>-13.192876730935723</c:v>
                </c:pt>
                <c:pt idx="502">
                  <c:v>-13.636957742758199</c:v>
                </c:pt>
                <c:pt idx="503">
                  <c:v>-14.080744779246373</c:v>
                </c:pt>
                <c:pt idx="504">
                  <c:v>-14.524262662629866</c:v>
                </c:pt>
                <c:pt idx="505">
                  <c:v>-14.977707911178754</c:v>
                </c:pt>
                <c:pt idx="506">
                  <c:v>-15.430923982048711</c:v>
                </c:pt>
                <c:pt idx="507">
                  <c:v>-15.883937379491499</c:v>
                </c:pt>
                <c:pt idx="508">
                  <c:v>-16.336774592543065</c:v>
                </c:pt>
                <c:pt idx="509">
                  <c:v>-16.799892397235993</c:v>
                </c:pt>
                <c:pt idx="510">
                  <c:v>-17.262881857875215</c:v>
                </c:pt>
                <c:pt idx="511">
                  <c:v>-17.72577131223386</c:v>
                </c:pt>
                <c:pt idx="512">
                  <c:v>-18.188589097946618</c:v>
                </c:pt>
                <c:pt idx="513">
                  <c:v>-18.662335982786857</c:v>
                </c:pt>
                <c:pt idx="514">
                  <c:v>-19.136067876674929</c:v>
                </c:pt>
                <c:pt idx="515">
                  <c:v>-19.60981520839394</c:v>
                </c:pt>
                <c:pt idx="516">
                  <c:v>-20.083608425314083</c:v>
                </c:pt>
                <c:pt idx="517">
                  <c:v>-20.568454701191968</c:v>
                </c:pt>
                <c:pt idx="518">
                  <c:v>-21.053413578908902</c:v>
                </c:pt>
                <c:pt idx="519">
                  <c:v>-21.538517762333129</c:v>
                </c:pt>
                <c:pt idx="520">
                  <c:v>-22.023799996656862</c:v>
                </c:pt>
                <c:pt idx="521">
                  <c:v>-22.520560817365066</c:v>
                </c:pt>
                <c:pt idx="522">
                  <c:v>-23.017577562890892</c:v>
                </c:pt>
                <c:pt idx="523">
                  <c:v>-23.514885479842775</c:v>
                </c:pt>
                <c:pt idx="524">
                  <c:v>-24.012519883250775</c:v>
                </c:pt>
                <c:pt idx="525">
                  <c:v>-24.522089244923734</c:v>
                </c:pt>
                <c:pt idx="526">
                  <c:v>-25.032075490524619</c:v>
                </c:pt>
                <c:pt idx="527">
                  <c:v>-25.542516713790775</c:v>
                </c:pt>
                <c:pt idx="528">
                  <c:v>-26.053451108599972</c:v>
                </c:pt>
                <c:pt idx="529">
                  <c:v>-26.576811728661681</c:v>
                </c:pt>
                <c:pt idx="530">
                  <c:v>-27.100769969623173</c:v>
                </c:pt>
                <c:pt idx="531">
                  <c:v>-27.62536711675574</c:v>
                </c:pt>
                <c:pt idx="532">
                  <c:v>-28.150644591890483</c:v>
                </c:pt>
                <c:pt idx="533">
                  <c:v>-28.689157033262546</c:v>
                </c:pt>
                <c:pt idx="534">
                  <c:v>-29.228470859815388</c:v>
                </c:pt>
                <c:pt idx="535">
                  <c:v>-29.768631004970189</c:v>
                </c:pt>
                <c:pt idx="536">
                  <c:v>-30.309682579967699</c:v>
                </c:pt>
                <c:pt idx="537">
                  <c:v>-30.863987315098939</c:v>
                </c:pt>
                <c:pt idx="538">
                  <c:v>-31.419320451597713</c:v>
                </c:pt>
                <c:pt idx="539">
                  <c:v>-31.975730862772082</c:v>
                </c:pt>
                <c:pt idx="540">
                  <c:v>-32.533267644016263</c:v>
                </c:pt>
                <c:pt idx="541">
                  <c:v>-33.105243778816202</c:v>
                </c:pt>
                <c:pt idx="542">
                  <c:v>-33.67850519990543</c:v>
                </c:pt>
                <c:pt idx="543">
                  <c:v>-34.253105341809004</c:v>
                </c:pt>
                <c:pt idx="544">
                  <c:v>-34.829097908513575</c:v>
                </c:pt>
                <c:pt idx="545">
                  <c:v>-35.419930318080077</c:v>
                </c:pt>
                <c:pt idx="546">
                  <c:v>-36.01233503863773</c:v>
                </c:pt>
                <c:pt idx="547">
                  <c:v>-36.606370502496105</c:v>
                </c:pt>
                <c:pt idx="548">
                  <c:v>-37.202095457827795</c:v>
                </c:pt>
                <c:pt idx="549">
                  <c:v>-37.813404543861026</c:v>
                </c:pt>
                <c:pt idx="550">
                  <c:v>-38.426607592989825</c:v>
                </c:pt>
                <c:pt idx="551">
                  <c:v>-39.041768570535936</c:v>
                </c:pt>
                <c:pt idx="552">
                  <c:v>-39.658951798992575</c:v>
                </c:pt>
                <c:pt idx="553">
                  <c:v>-40.2928255510231</c:v>
                </c:pt>
                <c:pt idx="554">
                  <c:v>-40.928955390632382</c:v>
                </c:pt>
                <c:pt idx="555">
                  <c:v>-41.567411451670466</c:v>
                </c:pt>
                <c:pt idx="556">
                  <c:v>-42.208264254824485</c:v>
                </c:pt>
                <c:pt idx="557">
                  <c:v>-43.527810138935166</c:v>
                </c:pt>
                <c:pt idx="558">
                  <c:v>-44.858308505907701</c:v>
                </c:pt>
                <c:pt idx="559">
                  <c:v>-46.231281214520976</c:v>
                </c:pt>
                <c:pt idx="560">
                  <c:v>-47.617031274100611</c:v>
                </c:pt>
                <c:pt idx="561">
                  <c:v>-49.049599627388886</c:v>
                </c:pt>
                <c:pt idx="562">
                  <c:v>-50.49699522121341</c:v>
                </c:pt>
                <c:pt idx="563">
                  <c:v>-51.991521235275485</c:v>
                </c:pt>
                <c:pt idx="564">
                  <c:v>-53.503067126801227</c:v>
                </c:pt>
                <c:pt idx="565">
                  <c:v>-55.071210089686929</c:v>
                </c:pt>
                <c:pt idx="566">
                  <c:v>-56.658911581433614</c:v>
                </c:pt>
                <c:pt idx="567">
                  <c:v>-58.306818696753368</c:v>
                </c:pt>
                <c:pt idx="568">
                  <c:v>-59.977033235683507</c:v>
                </c:pt>
                <c:pt idx="569">
                  <c:v>-61.704545357801408</c:v>
                </c:pt>
                <c:pt idx="570">
                  <c:v>-63.45709369274681</c:v>
                </c:pt>
                <c:pt idx="571">
                  <c:v>-65.284756972696101</c:v>
                </c:pt>
                <c:pt idx="572">
                  <c:v>-67.140702750138047</c:v>
                </c:pt>
                <c:pt idx="573">
                  <c:v>-69.062064609124945</c:v>
                </c:pt>
                <c:pt idx="574">
                  <c:v>-71.014556551847619</c:v>
                </c:pt>
                <c:pt idx="575">
                  <c:v>-73.051415310768704</c:v>
                </c:pt>
                <c:pt idx="576">
                  <c:v>-75.122609660646049</c:v>
                </c:pt>
                <c:pt idx="577">
                  <c:v>-84.282881553047389</c:v>
                </c:pt>
                <c:pt idx="578">
                  <c:v>-94.078044446729166</c:v>
                </c:pt>
                <c:pt idx="579">
                  <c:v>-117.34030234394788</c:v>
                </c:pt>
                <c:pt idx="580">
                  <c:v>36.513235663124135</c:v>
                </c:pt>
                <c:pt idx="581">
                  <c:v>10.865040909583513</c:v>
                </c:pt>
                <c:pt idx="582">
                  <c:v>-12.16898265274753</c:v>
                </c:pt>
                <c:pt idx="583">
                  <c:v>-33.052388685006463</c:v>
                </c:pt>
                <c:pt idx="584">
                  <c:v>-53.837368684679348</c:v>
                </c:pt>
                <c:pt idx="585">
                  <c:v>-77.858472002983092</c:v>
                </c:pt>
                <c:pt idx="586">
                  <c:v>-110.98910075310454</c:v>
                </c:pt>
                <c:pt idx="587">
                  <c:v>22.414284043316769</c:v>
                </c:pt>
                <c:pt idx="588">
                  <c:v>-22.694883578287573</c:v>
                </c:pt>
                <c:pt idx="589">
                  <c:v>-57.33496445385893</c:v>
                </c:pt>
                <c:pt idx="590">
                  <c:v>-92.256577040790319</c:v>
                </c:pt>
                <c:pt idx="591">
                  <c:v>-146.82657601204329</c:v>
                </c:pt>
                <c:pt idx="592">
                  <c:v>-33.591181286438456</c:v>
                </c:pt>
                <c:pt idx="593">
                  <c:v>-80.138559884848917</c:v>
                </c:pt>
                <c:pt idx="594">
                  <c:v>-139.64946928245581</c:v>
                </c:pt>
                <c:pt idx="595">
                  <c:v>-45.322215584279519</c:v>
                </c:pt>
                <c:pt idx="596">
                  <c:v>-103.96621487447169</c:v>
                </c:pt>
                <c:pt idx="597">
                  <c:v>-22.615230130571376</c:v>
                </c:pt>
                <c:pt idx="598">
                  <c:v>-99.180973731662107</c:v>
                </c:pt>
                <c:pt idx="599">
                  <c:v>-33.079445685873623</c:v>
                </c:pt>
                <c:pt idx="600">
                  <c:v>-122.64449567119402</c:v>
                </c:pt>
              </c:numCache>
            </c:numRef>
          </c:yVal>
          <c:smooth val="0"/>
          <c:extLst>
            <c:ext xmlns:c16="http://schemas.microsoft.com/office/drawing/2014/chart" uri="{C3380CC4-5D6E-409C-BE32-E72D297353CC}">
              <c16:uniqueId val="{00000001-52E8-40C0-BDC9-E7AD10D908CE}"/>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zh-CN"/>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zh-CN"/>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zh-CN"/>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zh-CN"/>
    </a:p>
  </c:txPr>
  <c:printSettings>
    <c:headerFooter alignWithMargins="0"/>
    <c:pageMargins b="1" l="0.75000000000000167" r="0.75000000000000167"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Single'!$AN$110:$AN$210</c:f>
              <c:numCache>
                <c:formatCode>0.0</c:formatCode>
                <c:ptCount val="101"/>
                <c:pt idx="0">
                  <c:v>12</c:v>
                </c:pt>
                <c:pt idx="1">
                  <c:v>12</c:v>
                </c:pt>
                <c:pt idx="2">
                  <c:v>21.657735026918967</c:v>
                </c:pt>
                <c:pt idx="3">
                  <c:v>32.486602540378442</c:v>
                </c:pt>
                <c:pt idx="4">
                  <c:v>43.315470053837934</c:v>
                </c:pt>
                <c:pt idx="5">
                  <c:v>54.144337567297406</c:v>
                </c:pt>
                <c:pt idx="6">
                  <c:v>64.973205080756884</c:v>
                </c:pt>
                <c:pt idx="7">
                  <c:v>75.802072594216384</c:v>
                </c:pt>
                <c:pt idx="8">
                  <c:v>86.630940107675869</c:v>
                </c:pt>
                <c:pt idx="9">
                  <c:v>97.459807621135354</c:v>
                </c:pt>
                <c:pt idx="10">
                  <c:v>108.28867513459481</c:v>
                </c:pt>
                <c:pt idx="11">
                  <c:v>119.11754264805431</c:v>
                </c:pt>
                <c:pt idx="12">
                  <c:v>129.94641016151377</c:v>
                </c:pt>
                <c:pt idx="13">
                  <c:v>140.77527767497327</c:v>
                </c:pt>
                <c:pt idx="14">
                  <c:v>151.60414518843277</c:v>
                </c:pt>
                <c:pt idx="15">
                  <c:v>162.43301270189224</c:v>
                </c:pt>
                <c:pt idx="16">
                  <c:v>173.26188021535174</c:v>
                </c:pt>
                <c:pt idx="17">
                  <c:v>184.09074772881124</c:v>
                </c:pt>
                <c:pt idx="18">
                  <c:v>194.91961524227071</c:v>
                </c:pt>
                <c:pt idx="19">
                  <c:v>205.74848275573015</c:v>
                </c:pt>
                <c:pt idx="20">
                  <c:v>216.57735026918962</c:v>
                </c:pt>
                <c:pt idx="21">
                  <c:v>227.40621778264912</c:v>
                </c:pt>
                <c:pt idx="22">
                  <c:v>238.23508529610862</c:v>
                </c:pt>
                <c:pt idx="23">
                  <c:v>249.06395280956812</c:v>
                </c:pt>
                <c:pt idx="24">
                  <c:v>259.89282032302754</c:v>
                </c:pt>
                <c:pt idx="25">
                  <c:v>270.72168783648709</c:v>
                </c:pt>
                <c:pt idx="26">
                  <c:v>266.32104640833802</c:v>
                </c:pt>
                <c:pt idx="27">
                  <c:v>256.94188251338028</c:v>
                </c:pt>
                <c:pt idx="28">
                  <c:v>248.21614926300737</c:v>
                </c:pt>
                <c:pt idx="29">
                  <c:v>240.05646781900637</c:v>
                </c:pt>
                <c:pt idx="30">
                  <c:v>232.4145188813462</c:v>
                </c:pt>
                <c:pt idx="31">
                  <c:v>225.24334470133701</c:v>
                </c:pt>
                <c:pt idx="32">
                  <c:v>218.50074219239383</c:v>
                </c:pt>
                <c:pt idx="33">
                  <c:v>212.14940635533671</c:v>
                </c:pt>
                <c:pt idx="34">
                  <c:v>206.15623972516318</c:v>
                </c:pt>
                <c:pt idx="35">
                  <c:v>200.49177544252433</c:v>
                </c:pt>
                <c:pt idx="36">
                  <c:v>195.12969272011813</c:v>
                </c:pt>
                <c:pt idx="37">
                  <c:v>190.04640788961703</c:v>
                </c:pt>
                <c:pt idx="38">
                  <c:v>185.22072762321724</c:v>
                </c:pt>
                <c:pt idx="39">
                  <c:v>180.63355357426994</c:v>
                </c:pt>
                <c:pt idx="40">
                  <c:v>176.26762975656624</c:v>
                </c:pt>
                <c:pt idx="41">
                  <c:v>172.10732561715793</c:v>
                </c:pt>
                <c:pt idx="42">
                  <c:v>168.13844905429585</c:v>
                </c:pt>
                <c:pt idx="43">
                  <c:v>164.34808466630415</c:v>
                </c:pt>
                <c:pt idx="44">
                  <c:v>160.72445334671616</c:v>
                </c:pt>
                <c:pt idx="45">
                  <c:v>157.25679000983229</c:v>
                </c:pt>
                <c:pt idx="46">
                  <c:v>153.93523677287564</c:v>
                </c:pt>
                <c:pt idx="47">
                  <c:v>150.75074936228222</c:v>
                </c:pt>
                <c:pt idx="48">
                  <c:v>147.6950148727218</c:v>
                </c:pt>
                <c:pt idx="49">
                  <c:v>144.76037930411007</c:v>
                </c:pt>
                <c:pt idx="50">
                  <c:v>141.93978354666044</c:v>
                </c:pt>
                <c:pt idx="51">
                  <c:v>139.22670668681673</c:v>
                </c:pt>
                <c:pt idx="52">
                  <c:v>136.61511567556715</c:v>
                </c:pt>
                <c:pt idx="53">
                  <c:v>134.09942054142772</c:v>
                </c:pt>
                <c:pt idx="54">
                  <c:v>131.67443444832335</c:v>
                </c:pt>
                <c:pt idx="55">
                  <c:v>129.3353379977448</c:v>
                </c:pt>
                <c:pt idx="56">
                  <c:v>127.07764725816767</c:v>
                </c:pt>
                <c:pt idx="57">
                  <c:v>124.89718507547283</c:v>
                </c:pt>
                <c:pt idx="58">
                  <c:v>122.79005527813774</c:v>
                </c:pt>
                <c:pt idx="59">
                  <c:v>120.75261944207398</c:v>
                </c:pt>
                <c:pt idx="60">
                  <c:v>118.78147592360217</c:v>
                </c:pt>
                <c:pt idx="61">
                  <c:v>116.87344090639112</c:v>
                </c:pt>
                <c:pt idx="62">
                  <c:v>115.02553124022573</c:v>
                </c:pt>
                <c:pt idx="63">
                  <c:v>113.23494887703711</c:v>
                </c:pt>
                <c:pt idx="64">
                  <c:v>111.49906673340296</c:v>
                </c:pt>
                <c:pt idx="65">
                  <c:v>109.81541582928403</c:v>
                </c:pt>
                <c:pt idx="66">
                  <c:v>108.18167357057872</c:v>
                </c:pt>
                <c:pt idx="67">
                  <c:v>106.59565305854807</c:v>
                </c:pt>
                <c:pt idx="68">
                  <c:v>105.05529332263369</c:v>
                </c:pt>
                <c:pt idx="69">
                  <c:v>103.5586503849393</c:v>
                </c:pt>
                <c:pt idx="70">
                  <c:v>102.103889074913</c:v>
                </c:pt>
                <c:pt idx="71">
                  <c:v>100.68927552176329</c:v>
                </c:pt>
                <c:pt idx="72">
                  <c:v>99.313170260031427</c:v>
                </c:pt>
                <c:pt idx="73">
                  <c:v>97.97402189068039</c:v>
                </c:pt>
                <c:pt idx="74">
                  <c:v>96.670361246173485</c:v>
                </c:pt>
                <c:pt idx="75">
                  <c:v>95.400796013402598</c:v>
                </c:pt>
                <c:pt idx="76">
                  <c:v>94.164005773094516</c:v>
                </c:pt>
                <c:pt idx="77">
                  <c:v>92.958737418540764</c:v>
                </c:pt>
                <c:pt idx="78">
                  <c:v>91.783800920235223</c:v>
                </c:pt>
                <c:pt idx="79">
                  <c:v>90.63806540632936</c:v>
                </c:pt>
                <c:pt idx="80">
                  <c:v>89.52045553176643</c:v>
                </c:pt>
                <c:pt idx="81">
                  <c:v>88.429948111591244</c:v>
                </c:pt>
                <c:pt idx="82">
                  <c:v>87.365568996279109</c:v>
                </c:pt>
                <c:pt idx="83">
                  <c:v>86.326390169027135</c:v>
                </c:pt>
                <c:pt idx="84">
                  <c:v>85.311527046827933</c:v>
                </c:pt>
                <c:pt idx="85">
                  <c:v>84.320135968827898</c:v>
                </c:pt>
                <c:pt idx="86">
                  <c:v>83.351411856981272</c:v>
                </c:pt>
                <c:pt idx="87">
                  <c:v>82.404586035367132</c:v>
                </c:pt>
                <c:pt idx="88">
                  <c:v>81.47892419575409</c:v>
                </c:pt>
                <c:pt idx="89">
                  <c:v>80.57372449809759</c:v>
                </c:pt>
                <c:pt idx="90">
                  <c:v>79.688315795642055</c:v>
                </c:pt>
                <c:pt idx="91">
                  <c:v>78.822055975195312</c:v>
                </c:pt>
                <c:pt idx="92">
                  <c:v>77.974330403949381</c:v>
                </c:pt>
                <c:pt idx="93">
                  <c:v>77.144550474952482</c:v>
                </c:pt>
                <c:pt idx="94">
                  <c:v>76.332152243998493</c:v>
                </c:pt>
                <c:pt idx="95">
                  <c:v>75.536595151300148</c:v>
                </c:pt>
                <c:pt idx="96">
                  <c:v>74.757360821856906</c:v>
                </c:pt>
                <c:pt idx="97">
                  <c:v>73.993951938922734</c:v>
                </c:pt>
                <c:pt idx="98">
                  <c:v>73.245891185429556</c:v>
                </c:pt>
                <c:pt idx="99">
                  <c:v>72.512720248631155</c:v>
                </c:pt>
                <c:pt idx="100">
                  <c:v>71.793998883606463</c:v>
                </c:pt>
              </c:numCache>
            </c:numRef>
          </c:val>
          <c:smooth val="0"/>
          <c:extLst>
            <c:ext xmlns:c16="http://schemas.microsoft.com/office/drawing/2014/chart" uri="{C3380CC4-5D6E-409C-BE32-E72D297353CC}">
              <c16:uniqueId val="{00000000-D9E7-4F5E-A983-604758A0F86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Single'!$AN$5:$AN$105</c:f>
              <c:numCache>
                <c:formatCode>0.0</c:formatCode>
                <c:ptCount val="101"/>
                <c:pt idx="0">
                  <c:v>12</c:v>
                </c:pt>
                <c:pt idx="1">
                  <c:v>12</c:v>
                </c:pt>
                <c:pt idx="2">
                  <c:v>21.657735026918967</c:v>
                </c:pt>
                <c:pt idx="3">
                  <c:v>32.486602540378442</c:v>
                </c:pt>
                <c:pt idx="4">
                  <c:v>43.315470053837934</c:v>
                </c:pt>
                <c:pt idx="5">
                  <c:v>54.144337567297406</c:v>
                </c:pt>
                <c:pt idx="6">
                  <c:v>64.973205080756884</c:v>
                </c:pt>
                <c:pt idx="7">
                  <c:v>75.802072594216384</c:v>
                </c:pt>
                <c:pt idx="8">
                  <c:v>86.630940107675869</c:v>
                </c:pt>
                <c:pt idx="9">
                  <c:v>97.459807621135354</c:v>
                </c:pt>
                <c:pt idx="10">
                  <c:v>108.28867513459481</c:v>
                </c:pt>
                <c:pt idx="11">
                  <c:v>119.11754264805431</c:v>
                </c:pt>
                <c:pt idx="12">
                  <c:v>129.94641016151377</c:v>
                </c:pt>
                <c:pt idx="13">
                  <c:v>140.77527767497327</c:v>
                </c:pt>
                <c:pt idx="14">
                  <c:v>151.60414518843277</c:v>
                </c:pt>
                <c:pt idx="15">
                  <c:v>162.43301270189224</c:v>
                </c:pt>
                <c:pt idx="16">
                  <c:v>173.26188021535174</c:v>
                </c:pt>
                <c:pt idx="17">
                  <c:v>184.09074772881124</c:v>
                </c:pt>
                <c:pt idx="18">
                  <c:v>194.91961524227071</c:v>
                </c:pt>
                <c:pt idx="19">
                  <c:v>205.74848275573015</c:v>
                </c:pt>
                <c:pt idx="20">
                  <c:v>216.57735026918962</c:v>
                </c:pt>
                <c:pt idx="21">
                  <c:v>227.40621778264912</c:v>
                </c:pt>
                <c:pt idx="22">
                  <c:v>238.23508529610862</c:v>
                </c:pt>
                <c:pt idx="23">
                  <c:v>249.06395280956812</c:v>
                </c:pt>
                <c:pt idx="24">
                  <c:v>259.89282032302754</c:v>
                </c:pt>
                <c:pt idx="25">
                  <c:v>270.72168783648709</c:v>
                </c:pt>
                <c:pt idx="26">
                  <c:v>281.55055534994653</c:v>
                </c:pt>
                <c:pt idx="27">
                  <c:v>292.37942286340603</c:v>
                </c:pt>
                <c:pt idx="28">
                  <c:v>303.20829037686553</c:v>
                </c:pt>
                <c:pt idx="29">
                  <c:v>314.03715789032492</c:v>
                </c:pt>
                <c:pt idx="30">
                  <c:v>324.86602540378448</c:v>
                </c:pt>
                <c:pt idx="31">
                  <c:v>335.69489291724392</c:v>
                </c:pt>
                <c:pt idx="32">
                  <c:v>346.52376043070348</c:v>
                </c:pt>
                <c:pt idx="33">
                  <c:v>350</c:v>
                </c:pt>
                <c:pt idx="34">
                  <c:v>350</c:v>
                </c:pt>
                <c:pt idx="35">
                  <c:v>350</c:v>
                </c:pt>
                <c:pt idx="36">
                  <c:v>350</c:v>
                </c:pt>
                <c:pt idx="37">
                  <c:v>350</c:v>
                </c:pt>
                <c:pt idx="38">
                  <c:v>350</c:v>
                </c:pt>
                <c:pt idx="39">
                  <c:v>350</c:v>
                </c:pt>
                <c:pt idx="40">
                  <c:v>350</c:v>
                </c:pt>
                <c:pt idx="41">
                  <c:v>344.82591939550809</c:v>
                </c:pt>
                <c:pt idx="42">
                  <c:v>337.18970611405882</c:v>
                </c:pt>
                <c:pt idx="43">
                  <c:v>329.8853537215868</c:v>
                </c:pt>
                <c:pt idx="44">
                  <c:v>322.88494505669894</c:v>
                </c:pt>
                <c:pt idx="45">
                  <c:v>316.18216594600614</c:v>
                </c:pt>
                <c:pt idx="46">
                  <c:v>309.7528998753005</c:v>
                </c:pt>
                <c:pt idx="47">
                  <c:v>303.58017563851553</c:v>
                </c:pt>
                <c:pt idx="48">
                  <c:v>297.64775774835562</c:v>
                </c:pt>
                <c:pt idx="49">
                  <c:v>291.9433795322679</c:v>
                </c:pt>
                <c:pt idx="50">
                  <c:v>286.45414027005842</c:v>
                </c:pt>
                <c:pt idx="51">
                  <c:v>281.16809432831474</c:v>
                </c:pt>
                <c:pt idx="52">
                  <c:v>276.0741643809103</c:v>
                </c:pt>
                <c:pt idx="53">
                  <c:v>271.16206392241293</c:v>
                </c:pt>
                <c:pt idx="54">
                  <c:v>266.42222793375663</c:v>
                </c:pt>
                <c:pt idx="55">
                  <c:v>261.84575071678023</c:v>
                </c:pt>
                <c:pt idx="56">
                  <c:v>257.42433004751598</c:v>
                </c:pt>
                <c:pt idx="57">
                  <c:v>253.15021691140421</c:v>
                </c:pt>
                <c:pt idx="58">
                  <c:v>249.01617018019326</c:v>
                </c:pt>
                <c:pt idx="59">
                  <c:v>245.01541567285798</c:v>
                </c:pt>
                <c:pt idx="60">
                  <c:v>241.14160911365371</c:v>
                </c:pt>
                <c:pt idx="61">
                  <c:v>237.38880256125086</c:v>
                </c:pt>
                <c:pt idx="62">
                  <c:v>233.75141393531158</c:v>
                </c:pt>
                <c:pt idx="63">
                  <c:v>230.22419931214012</c:v>
                </c:pt>
                <c:pt idx="64">
                  <c:v>226.80222770022655</c:v>
                </c:pt>
                <c:pt idx="65">
                  <c:v>223.480858040512</c:v>
                </c:pt>
                <c:pt idx="66">
                  <c:v>220.25571820577542</c:v>
                </c:pt>
                <c:pt idx="67">
                  <c:v>217.12268579931475</c:v>
                </c:pt>
                <c:pt idx="68">
                  <c:v>214.07787057559995</c:v>
                </c:pt>
                <c:pt idx="69">
                  <c:v>211.11759832527085</c:v>
                </c:pt>
                <c:pt idx="70">
                  <c:v>208.23839608412098</c:v>
                </c:pt>
                <c:pt idx="71">
                  <c:v>205.43697854087469</c:v>
                </c:pt>
                <c:pt idx="72">
                  <c:v>202.71023553191384</c:v>
                </c:pt>
                <c:pt idx="73">
                  <c:v>200.05522052287981</c:v>
                </c:pt>
                <c:pt idx="74">
                  <c:v>197.46913998746919</c:v>
                </c:pt>
                <c:pt idx="75">
                  <c:v>194.94934360293573</c:v>
                </c:pt>
                <c:pt idx="76">
                  <c:v>192.49331518996013</c:v>
                </c:pt>
                <c:pt idx="77">
                  <c:v>190.09866433177825</c:v>
                </c:pt>
                <c:pt idx="78">
                  <c:v>187.76311861388891</c:v>
                </c:pt>
                <c:pt idx="79">
                  <c:v>185.48451643138367</c:v>
                </c:pt>
                <c:pt idx="80">
                  <c:v>183.2608003160434</c:v>
                </c:pt>
                <c:pt idx="81">
                  <c:v>181.09001073990356</c:v>
                </c:pt>
                <c:pt idx="82">
                  <c:v>178.9702803560632</c:v>
                </c:pt>
                <c:pt idx="83">
                  <c:v>176.8998286411599</c:v>
                </c:pt>
                <c:pt idx="84">
                  <c:v>174.87695690720389</c:v>
                </c:pt>
                <c:pt idx="85">
                  <c:v>172.9000436534001</c:v>
                </c:pt>
                <c:pt idx="86">
                  <c:v>170.96754023122733</c:v>
                </c:pt>
                <c:pt idx="87">
                  <c:v>169.07796679841653</c:v>
                </c:pt>
                <c:pt idx="88">
                  <c:v>167.22990853961375</c:v>
                </c:pt>
                <c:pt idx="89">
                  <c:v>165.42201213344228</c:v>
                </c:pt>
                <c:pt idx="90">
                  <c:v>163.65298244742428</c:v>
                </c:pt>
                <c:pt idx="91">
                  <c:v>161.92157944379795</c:v>
                </c:pt>
                <c:pt idx="92">
                  <c:v>160.22661528069676</c:v>
                </c:pt>
                <c:pt idx="93">
                  <c:v>158.56695159444925</c:v>
                </c:pt>
                <c:pt idx="94">
                  <c:v>156.94149694993206</c:v>
                </c:pt>
                <c:pt idx="95">
                  <c:v>155.34920444697764</c:v>
                </c:pt>
                <c:pt idx="96">
                  <c:v>153.78906947180465</c:v>
                </c:pt>
                <c:pt idx="97">
                  <c:v>152.26012758332266</c:v>
                </c:pt>
                <c:pt idx="98">
                  <c:v>150.76145252496596</c:v>
                </c:pt>
                <c:pt idx="99">
                  <c:v>149.29215435344511</c:v>
                </c:pt>
                <c:pt idx="100">
                  <c:v>147.85137767647146</c:v>
                </c:pt>
              </c:numCache>
            </c:numRef>
          </c:val>
          <c:smooth val="0"/>
          <c:extLst>
            <c:ext xmlns:c16="http://schemas.microsoft.com/office/drawing/2014/chart" uri="{C3380CC4-5D6E-409C-BE32-E72D297353CC}">
              <c16:uniqueId val="{00000001-D9E7-4F5E-A983-604758A0F86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Single'!$AN$216:$AN$316</c:f>
              <c:numCache>
                <c:formatCode>0.0</c:formatCode>
                <c:ptCount val="101"/>
                <c:pt idx="0">
                  <c:v>12</c:v>
                </c:pt>
                <c:pt idx="1">
                  <c:v>12</c:v>
                </c:pt>
                <c:pt idx="2">
                  <c:v>21.657735026918967</c:v>
                </c:pt>
                <c:pt idx="3">
                  <c:v>32.486602540378442</c:v>
                </c:pt>
                <c:pt idx="4">
                  <c:v>43.315470053837934</c:v>
                </c:pt>
                <c:pt idx="5">
                  <c:v>54.144337567297406</c:v>
                </c:pt>
                <c:pt idx="6">
                  <c:v>64.973205080756884</c:v>
                </c:pt>
                <c:pt idx="7">
                  <c:v>75.802072594216384</c:v>
                </c:pt>
                <c:pt idx="8">
                  <c:v>86.630940107675869</c:v>
                </c:pt>
                <c:pt idx="9">
                  <c:v>97.459807621135354</c:v>
                </c:pt>
                <c:pt idx="10">
                  <c:v>108.28867513459481</c:v>
                </c:pt>
                <c:pt idx="11">
                  <c:v>119.11754264805431</c:v>
                </c:pt>
                <c:pt idx="12">
                  <c:v>129.94641016151377</c:v>
                </c:pt>
                <c:pt idx="13">
                  <c:v>140.77527767497327</c:v>
                </c:pt>
                <c:pt idx="14">
                  <c:v>151.60414518843277</c:v>
                </c:pt>
                <c:pt idx="15">
                  <c:v>162.43301270189224</c:v>
                </c:pt>
                <c:pt idx="16">
                  <c:v>173.26188021535174</c:v>
                </c:pt>
                <c:pt idx="17">
                  <c:v>184.09074772881124</c:v>
                </c:pt>
                <c:pt idx="18">
                  <c:v>194.91961524227071</c:v>
                </c:pt>
                <c:pt idx="19">
                  <c:v>205.74848275573015</c:v>
                </c:pt>
                <c:pt idx="20">
                  <c:v>216.57735026918962</c:v>
                </c:pt>
                <c:pt idx="21">
                  <c:v>227.40621778264912</c:v>
                </c:pt>
                <c:pt idx="22">
                  <c:v>238.23508529610862</c:v>
                </c:pt>
                <c:pt idx="23">
                  <c:v>249.06395280956812</c:v>
                </c:pt>
                <c:pt idx="24">
                  <c:v>259.89282032302754</c:v>
                </c:pt>
                <c:pt idx="25">
                  <c:v>270.72168783648709</c:v>
                </c:pt>
                <c:pt idx="26">
                  <c:v>281.55055534994653</c:v>
                </c:pt>
                <c:pt idx="27">
                  <c:v>292.37942286340603</c:v>
                </c:pt>
                <c:pt idx="28">
                  <c:v>303.20829037686553</c:v>
                </c:pt>
                <c:pt idx="29">
                  <c:v>314.03715789032492</c:v>
                </c:pt>
                <c:pt idx="30">
                  <c:v>324.86602540378448</c:v>
                </c:pt>
                <c:pt idx="31">
                  <c:v>335.69489291724392</c:v>
                </c:pt>
                <c:pt idx="32">
                  <c:v>346.52376043070348</c:v>
                </c:pt>
                <c:pt idx="33">
                  <c:v>350</c:v>
                </c:pt>
                <c:pt idx="34">
                  <c:v>350</c:v>
                </c:pt>
                <c:pt idx="35">
                  <c:v>350</c:v>
                </c:pt>
                <c:pt idx="36">
                  <c:v>350</c:v>
                </c:pt>
                <c:pt idx="37">
                  <c:v>350</c:v>
                </c:pt>
                <c:pt idx="38">
                  <c:v>350</c:v>
                </c:pt>
                <c:pt idx="39">
                  <c:v>350</c:v>
                </c:pt>
                <c:pt idx="40">
                  <c:v>350</c:v>
                </c:pt>
                <c:pt idx="41">
                  <c:v>350</c:v>
                </c:pt>
                <c:pt idx="42">
                  <c:v>350</c:v>
                </c:pt>
                <c:pt idx="43">
                  <c:v>342.7332093045946</c:v>
                </c:pt>
                <c:pt idx="44">
                  <c:v>335.48698941212189</c:v>
                </c:pt>
                <c:pt idx="45">
                  <c:v>328.5417677161426</c:v>
                </c:pt>
                <c:pt idx="46">
                  <c:v>321.87330432552704</c:v>
                </c:pt>
                <c:pt idx="47">
                  <c:v>315.47617040094912</c:v>
                </c:pt>
                <c:pt idx="48">
                  <c:v>309.32921508077709</c:v>
                </c:pt>
                <c:pt idx="49">
                  <c:v>303.41745997808948</c:v>
                </c:pt>
                <c:pt idx="50">
                  <c:v>297.72683128287588</c:v>
                </c:pt>
                <c:pt idx="51">
                  <c:v>292.24635950879019</c:v>
                </c:pt>
                <c:pt idx="52">
                  <c:v>286.96461394009134</c:v>
                </c:pt>
                <c:pt idx="53">
                  <c:v>281.8709780748685</c:v>
                </c:pt>
                <c:pt idx="54">
                  <c:v>276.9555783975149</c:v>
                </c:pt>
                <c:pt idx="55">
                  <c:v>272.20922049981982</c:v>
                </c:pt>
                <c:pt idx="56">
                  <c:v>267.62333168110922</c:v>
                </c:pt>
                <c:pt idx="57">
                  <c:v>263.1899092735012</c:v>
                </c:pt>
                <c:pt idx="58">
                  <c:v>258.90147403697148</c:v>
                </c:pt>
                <c:pt idx="59">
                  <c:v>254.75102805326543</c:v>
                </c:pt>
                <c:pt idx="60">
                  <c:v>250.73201662001992</c:v>
                </c:pt>
                <c:pt idx="61">
                  <c:v>246.83829370863168</c:v>
                </c:pt>
                <c:pt idx="62">
                  <c:v>243.06409060300504</c:v>
                </c:pt>
                <c:pt idx="63">
                  <c:v>239.40398738260663</c:v>
                </c:pt>
                <c:pt idx="64">
                  <c:v>235.85288695334913</c:v>
                </c:pt>
                <c:pt idx="65">
                  <c:v>232.40599136462984</c:v>
                </c:pt>
                <c:pt idx="66">
                  <c:v>229.05878018111486</c:v>
                </c:pt>
                <c:pt idx="67">
                  <c:v>225.80699070425339</c:v>
                </c:pt>
                <c:pt idx="68">
                  <c:v>222.64659986155249</c:v>
                </c:pt>
                <c:pt idx="69">
                  <c:v>219.57380760181891</c:v>
                </c:pt>
                <c:pt idx="70">
                  <c:v>216.58502165226852</c:v>
                </c:pt>
                <c:pt idx="71">
                  <c:v>213.67684350894891</c:v>
                </c:pt>
                <c:pt idx="72">
                  <c:v>210.84605554560324</c:v>
                </c:pt>
                <c:pt idx="73">
                  <c:v>208.08960913817344</c:v>
                </c:pt>
                <c:pt idx="74">
                  <c:v>205.40461371279787</c:v>
                </c:pt>
                <c:pt idx="75">
                  <c:v>202.78832663459011</c:v>
                </c:pt>
                <c:pt idx="76">
                  <c:v>200.23814386284729</c:v>
                </c:pt>
                <c:pt idx="77">
                  <c:v>197.75159130575506</c:v>
                </c:pt>
                <c:pt idx="78">
                  <c:v>195.3263168142546</c:v>
                </c:pt>
                <c:pt idx="79">
                  <c:v>192.9600827606138</c:v>
                </c:pt>
                <c:pt idx="80">
                  <c:v>190.65075915248136</c:v>
                </c:pt>
                <c:pt idx="81">
                  <c:v>188.39631723788281</c:v>
                </c:pt>
                <c:pt idx="82">
                  <c:v>186.1948235608038</c:v>
                </c:pt>
                <c:pt idx="83">
                  <c:v>184.04443443074871</c:v>
                </c:pt>
                <c:pt idx="84">
                  <c:v>181.94339077302766</c:v>
                </c:pt>
                <c:pt idx="85">
                  <c:v>179.89001332953922</c:v>
                </c:pt>
                <c:pt idx="86">
                  <c:v>177.88269818253104</c:v>
                </c:pt>
                <c:pt idx="87">
                  <c:v>175.91991257625946</c:v>
                </c:pt>
                <c:pt idx="88">
                  <c:v>174.00019101367408</c:v>
                </c:pt>
                <c:pt idx="89">
                  <c:v>172.1221316072357</c:v>
                </c:pt>
                <c:pt idx="90">
                  <c:v>170.28439266477076</c:v>
                </c:pt>
                <c:pt idx="91">
                  <c:v>168.48568949289057</c:v>
                </c:pt>
                <c:pt idx="92">
                  <c:v>166.72479140196799</c:v>
                </c:pt>
                <c:pt idx="93">
                  <c:v>165.00051889800017</c:v>
                </c:pt>
                <c:pt idx="94">
                  <c:v>163.31174104789221</c:v>
                </c:pt>
                <c:pt idx="95">
                  <c:v>161.65737300579323</c:v>
                </c:pt>
                <c:pt idx="96">
                  <c:v>160.03637368911637</c:v>
                </c:pt>
                <c:pt idx="97">
                  <c:v>158.44774359378027</c:v>
                </c:pt>
                <c:pt idx="98">
                  <c:v>156.89052273903837</c:v>
                </c:pt>
                <c:pt idx="99">
                  <c:v>155.36378873301629</c:v>
                </c:pt>
                <c:pt idx="100">
                  <c:v>153.86665495076576</c:v>
                </c:pt>
              </c:numCache>
            </c:numRef>
          </c:val>
          <c:smooth val="0"/>
          <c:extLst>
            <c:ext xmlns:c16="http://schemas.microsoft.com/office/drawing/2014/chart" uri="{C3380CC4-5D6E-409C-BE32-E72D297353CC}">
              <c16:uniqueId val="{00000002-D9E7-4F5E-A983-604758A0F86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9E7-4F5E-A983-604758A0F86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9E7-4F5E-A983-604758A0F86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9E7-4F5E-A983-604758A0F86A}"/>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zh-CN"/>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zh-CN"/>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1.0005071272711372</c:v>
                </c:pt>
                <c:pt idx="27">
                  <c:v>1.0391322566579686</c:v>
                </c:pt>
                <c:pt idx="28">
                  <c:v>1.0776504217524117</c:v>
                </c:pt>
                <c:pt idx="29">
                  <c:v>1.1162206562188752</c:v>
                </c:pt>
                <c:pt idx="30">
                  <c:v>1.1548037536912366</c:v>
                </c:pt>
                <c:pt idx="31">
                  <c:v>1.1933930551886156</c:v>
                </c:pt>
                <c:pt idx="32">
                  <c:v>1.2319885627002809</c:v>
                </c:pt>
                <c:pt idx="33">
                  <c:v>1.2705902782167176</c:v>
                </c:pt>
                <c:pt idx="34">
                  <c:v>1.3091982037295737</c:v>
                </c:pt>
                <c:pt idx="35">
                  <c:v>1.3478123412316161</c:v>
                </c:pt>
                <c:pt idx="36">
                  <c:v>1.3864326927166928</c:v>
                </c:pt>
                <c:pt idx="37">
                  <c:v>1.4250592601797021</c:v>
                </c:pt>
                <c:pt idx="38">
                  <c:v>1.4636920456165676</c:v>
                </c:pt>
                <c:pt idx="39">
                  <c:v>1.5023310510242163</c:v>
                </c:pt>
                <c:pt idx="40">
                  <c:v>1.5409762784005594</c:v>
                </c:pt>
                <c:pt idx="41">
                  <c:v>1.579627729744479</c:v>
                </c:pt>
                <c:pt idx="42">
                  <c:v>1.6182854070558128</c:v>
                </c:pt>
                <c:pt idx="43">
                  <c:v>1.6569493123353427</c:v>
                </c:pt>
                <c:pt idx="44">
                  <c:v>1.6956194475847877</c:v>
                </c:pt>
                <c:pt idx="45">
                  <c:v>1.7342958148067933</c:v>
                </c:pt>
                <c:pt idx="46">
                  <c:v>1.7729784160049249</c:v>
                </c:pt>
                <c:pt idx="47">
                  <c:v>1.8116672531836617</c:v>
                </c:pt>
                <c:pt idx="48">
                  <c:v>1.850362328348393</c:v>
                </c:pt>
                <c:pt idx="49">
                  <c:v>1.8890636435054107</c:v>
                </c:pt>
                <c:pt idx="50">
                  <c:v>1.9277712006619074</c:v>
                </c:pt>
                <c:pt idx="51">
                  <c:v>1.9664850018259725</c:v>
                </c:pt>
                <c:pt idx="52">
                  <c:v>2.0052050490065891</c:v>
                </c:pt>
                <c:pt idx="53">
                  <c:v>2.0439313442136307</c:v>
                </c:pt>
                <c:pt idx="54">
                  <c:v>2.0826638894578622</c:v>
                </c:pt>
                <c:pt idx="55">
                  <c:v>2.121402686750931</c:v>
                </c:pt>
                <c:pt idx="56">
                  <c:v>2.1601477381053749</c:v>
                </c:pt>
                <c:pt idx="57">
                  <c:v>2.1988990455346116</c:v>
                </c:pt>
                <c:pt idx="58">
                  <c:v>2.2376566110529428</c:v>
                </c:pt>
                <c:pt idx="59">
                  <c:v>2.2764204366755534</c:v>
                </c:pt>
                <c:pt idx="60">
                  <c:v>2.3151905244185049</c:v>
                </c:pt>
                <c:pt idx="61">
                  <c:v>2.3539668762987418</c:v>
                </c:pt>
                <c:pt idx="62">
                  <c:v>2.3927494943340877</c:v>
                </c:pt>
                <c:pt idx="63">
                  <c:v>2.4315383805432429</c:v>
                </c:pt>
                <c:pt idx="64">
                  <c:v>2.4703335369457866</c:v>
                </c:pt>
                <c:pt idx="65">
                  <c:v>2.5091349655621773</c:v>
                </c:pt>
                <c:pt idx="66">
                  <c:v>2.5479426684137478</c:v>
                </c:pt>
                <c:pt idx="67">
                  <c:v>2.5867566475227108</c:v>
                </c:pt>
                <c:pt idx="68">
                  <c:v>2.6255769049121551</c:v>
                </c:pt>
                <c:pt idx="69">
                  <c:v>2.6644034426060461</c:v>
                </c:pt>
                <c:pt idx="70">
                  <c:v>2.7032362626292272</c:v>
                </c:pt>
                <c:pt idx="71">
                  <c:v>2.7420753670074189</c:v>
                </c:pt>
                <c:pt idx="72">
                  <c:v>2.7809207577672153</c:v>
                </c:pt>
                <c:pt idx="73">
                  <c:v>2.8197724369360926</c:v>
                </c:pt>
                <c:pt idx="74">
                  <c:v>2.8586304065423995</c:v>
                </c:pt>
                <c:pt idx="75">
                  <c:v>2.8974946686153644</c:v>
                </c:pt>
                <c:pt idx="76">
                  <c:v>2.9363652251850945</c:v>
                </c:pt>
                <c:pt idx="77">
                  <c:v>2.975242078282569</c:v>
                </c:pt>
                <c:pt idx="78">
                  <c:v>3.0141252299396513</c:v>
                </c:pt>
                <c:pt idx="79">
                  <c:v>3.0530146821890791</c:v>
                </c:pt>
                <c:pt idx="80">
                  <c:v>3.0919104370644694</c:v>
                </c:pt>
                <c:pt idx="81">
                  <c:v>3.1308124966003166</c:v>
                </c:pt>
                <c:pt idx="82">
                  <c:v>3.1697208628319955</c:v>
                </c:pt>
                <c:pt idx="83">
                  <c:v>3.2086355377957592</c:v>
                </c:pt>
                <c:pt idx="84">
                  <c:v>3.2475565235287407</c:v>
                </c:pt>
                <c:pt idx="85">
                  <c:v>3.2864838220689507</c:v>
                </c:pt>
                <c:pt idx="86">
                  <c:v>3.3254174354552828</c:v>
                </c:pt>
                <c:pt idx="87">
                  <c:v>3.3643573657275083</c:v>
                </c:pt>
                <c:pt idx="88">
                  <c:v>3.4033036149262808</c:v>
                </c:pt>
                <c:pt idx="89">
                  <c:v>3.442256185093135</c:v>
                </c:pt>
                <c:pt idx="90">
                  <c:v>3.4812150782704867</c:v>
                </c:pt>
                <c:pt idx="91">
                  <c:v>3.520180296501632</c:v>
                </c:pt>
                <c:pt idx="92">
                  <c:v>3.5591518418307517</c:v>
                </c:pt>
                <c:pt idx="93">
                  <c:v>3.5981297163029073</c:v>
                </c:pt>
                <c:pt idx="94">
                  <c:v>3.637113921964044</c:v>
                </c:pt>
                <c:pt idx="95">
                  <c:v>3.6761044608609903</c:v>
                </c:pt>
                <c:pt idx="96">
                  <c:v>3.7151013350414588</c:v>
                </c:pt>
                <c:pt idx="97">
                  <c:v>3.7541045465540464</c:v>
                </c:pt>
                <c:pt idx="98">
                  <c:v>3.7931140974482314</c:v>
                </c:pt>
                <c:pt idx="99">
                  <c:v>3.8321299897743821</c:v>
                </c:pt>
                <c:pt idx="100">
                  <c:v>3.8711522255837494</c:v>
                </c:pt>
              </c:numCache>
            </c:numRef>
          </c:val>
          <c:smooth val="0"/>
          <c:extLst>
            <c:ext xmlns:c16="http://schemas.microsoft.com/office/drawing/2014/chart" uri="{C3380CC4-5D6E-409C-BE32-E72D297353CC}">
              <c16:uniqueId val="{00000000-B744-4C18-B26C-E1D454627484}"/>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Single'!$AJ$5:$AJ$105</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1.0104614196767883</c:v>
                </c:pt>
                <c:pt idx="34">
                  <c:v>1.0256779263015983</c:v>
                </c:pt>
                <c:pt idx="35">
                  <c:v>1.0406728592598156</c:v>
                </c:pt>
                <c:pt idx="36">
                  <c:v>1.0554556496253551</c:v>
                </c:pt>
                <c:pt idx="37">
                  <c:v>1.0700350778289236</c:v>
                </c:pt>
                <c:pt idx="38">
                  <c:v>1.0844193348183218</c:v>
                </c:pt>
                <c:pt idx="39">
                  <c:v>1.0986164202805047</c:v>
                </c:pt>
                <c:pt idx="40">
                  <c:v>1.1126561144308824</c:v>
                </c:pt>
                <c:pt idx="41">
                  <c:v>1.1265231142644092</c:v>
                </c:pt>
                <c:pt idx="42">
                  <c:v>1.140223726478891</c:v>
                </c:pt>
                <c:pt idx="43">
                  <c:v>1.1537638843267024</c:v>
                </c:pt>
                <c:pt idx="44">
                  <c:v>1.1752590596736758</c:v>
                </c:pt>
                <c:pt idx="45">
                  <c:v>1.2019813250222642</c:v>
                </c:pt>
                <c:pt idx="46">
                  <c:v>1.2287041749228464</c:v>
                </c:pt>
                <c:pt idx="47">
                  <c:v>1.2554272825231232</c:v>
                </c:pt>
                <c:pt idx="48">
                  <c:v>1.2821499301242532</c:v>
                </c:pt>
                <c:pt idx="49">
                  <c:v>1.3088730542803209</c:v>
                </c:pt>
                <c:pt idx="50">
                  <c:v>1.3355966550111888</c:v>
                </c:pt>
                <c:pt idx="51">
                  <c:v>1.3623207323367228</c:v>
                </c:pt>
                <c:pt idx="52">
                  <c:v>1.3890452862767919</c:v>
                </c:pt>
                <c:pt idx="53">
                  <c:v>1.4157703168512694</c:v>
                </c:pt>
                <c:pt idx="54">
                  <c:v>1.4424958240800307</c:v>
                </c:pt>
                <c:pt idx="55">
                  <c:v>1.4692218079829542</c:v>
                </c:pt>
                <c:pt idx="56">
                  <c:v>1.4959482685799217</c:v>
                </c:pt>
                <c:pt idx="57">
                  <c:v>1.5226752058908173</c:v>
                </c:pt>
                <c:pt idx="58">
                  <c:v>1.5494026199355269</c:v>
                </c:pt>
                <c:pt idx="59">
                  <c:v>1.5761305107339396</c:v>
                </c:pt>
                <c:pt idx="60">
                  <c:v>1.6028588783059465</c:v>
                </c:pt>
                <c:pt idx="61">
                  <c:v>1.6295877226714399</c:v>
                </c:pt>
                <c:pt idx="62">
                  <c:v>1.6563170438503159</c:v>
                </c:pt>
                <c:pt idx="63">
                  <c:v>1.6830468418624716</c:v>
                </c:pt>
                <c:pt idx="64">
                  <c:v>1.7097771167278051</c:v>
                </c:pt>
                <c:pt idx="65">
                  <c:v>1.7365078684662176</c:v>
                </c:pt>
                <c:pt idx="66">
                  <c:v>1.7632390970976126</c:v>
                </c:pt>
                <c:pt idx="67">
                  <c:v>1.7899708026418943</c:v>
                </c:pt>
                <c:pt idx="68">
                  <c:v>1.8167029851189676</c:v>
                </c:pt>
                <c:pt idx="69">
                  <c:v>1.843435644548741</c:v>
                </c:pt>
                <c:pt idx="70">
                  <c:v>1.8701687809511245</c:v>
                </c:pt>
                <c:pt idx="71">
                  <c:v>1.8969023943460284</c:v>
                </c:pt>
                <c:pt idx="72">
                  <c:v>1.9236364847533658</c:v>
                </c:pt>
                <c:pt idx="73">
                  <c:v>1.9503710521930491</c:v>
                </c:pt>
                <c:pt idx="74">
                  <c:v>1.9771060966849952</c:v>
                </c:pt>
                <c:pt idx="75">
                  <c:v>2.0038416182491208</c:v>
                </c:pt>
                <c:pt idx="76">
                  <c:v>2.0305776169053438</c:v>
                </c:pt>
                <c:pt idx="77">
                  <c:v>2.0573140926735847</c:v>
                </c:pt>
                <c:pt idx="78">
                  <c:v>2.084051045573764</c:v>
                </c:pt>
                <c:pt idx="79">
                  <c:v>2.1107884756258053</c:v>
                </c:pt>
                <c:pt idx="80">
                  <c:v>2.1375263828496305</c:v>
                </c:pt>
                <c:pt idx="81">
                  <c:v>2.1642647672651667</c:v>
                </c:pt>
                <c:pt idx="82">
                  <c:v>2.1910036288923402</c:v>
                </c:pt>
                <c:pt idx="83">
                  <c:v>2.2177429677510778</c:v>
                </c:pt>
                <c:pt idx="84">
                  <c:v>2.2444827838613102</c:v>
                </c:pt>
                <c:pt idx="85">
                  <c:v>2.2712230772429667</c:v>
                </c:pt>
                <c:pt idx="86">
                  <c:v>2.2979638479159799</c:v>
                </c:pt>
                <c:pt idx="87">
                  <c:v>2.3247050959002822</c:v>
                </c:pt>
                <c:pt idx="88">
                  <c:v>2.3514468212158084</c:v>
                </c:pt>
                <c:pt idx="89">
                  <c:v>2.3781890238824941</c:v>
                </c:pt>
                <c:pt idx="90">
                  <c:v>2.4049317039202749</c:v>
                </c:pt>
                <c:pt idx="91">
                  <c:v>2.4316748613490899</c:v>
                </c:pt>
                <c:pt idx="92">
                  <c:v>2.4584184961888798</c:v>
                </c:pt>
                <c:pt idx="93">
                  <c:v>2.4851626084595821</c:v>
                </c:pt>
                <c:pt idx="94">
                  <c:v>2.5119071981811398</c:v>
                </c:pt>
                <c:pt idx="95">
                  <c:v>2.5386522653734973</c:v>
                </c:pt>
                <c:pt idx="96">
                  <c:v>2.5653978100565973</c:v>
                </c:pt>
                <c:pt idx="97">
                  <c:v>2.5921438322503847</c:v>
                </c:pt>
                <c:pt idx="98">
                  <c:v>2.6188903319748076</c:v>
                </c:pt>
                <c:pt idx="99">
                  <c:v>2.6456373092498122</c:v>
                </c:pt>
                <c:pt idx="100">
                  <c:v>2.672384764095348</c:v>
                </c:pt>
              </c:numCache>
            </c:numRef>
          </c:val>
          <c:smooth val="1"/>
          <c:extLst>
            <c:ext xmlns:c16="http://schemas.microsoft.com/office/drawing/2014/chart" uri="{C3380CC4-5D6E-409C-BE32-E72D297353CC}">
              <c16:uniqueId val="{00000001-B744-4C18-B26C-E1D454627484}"/>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1.0104614196767883</c:v>
                </c:pt>
                <c:pt idx="34">
                  <c:v>1.0256779263015983</c:v>
                </c:pt>
                <c:pt idx="35">
                  <c:v>1.0406728592598156</c:v>
                </c:pt>
                <c:pt idx="36">
                  <c:v>1.0554556496253551</c:v>
                </c:pt>
                <c:pt idx="37">
                  <c:v>1.0700350778289236</c:v>
                </c:pt>
                <c:pt idx="38">
                  <c:v>1.0844193348183218</c:v>
                </c:pt>
                <c:pt idx="39">
                  <c:v>1.0986160760198176</c:v>
                </c:pt>
                <c:pt idx="40">
                  <c:v>1.1126324691099285</c:v>
                </c:pt>
                <c:pt idx="41">
                  <c:v>1.1264853022787895</c:v>
                </c:pt>
                <c:pt idx="42">
                  <c:v>1.1401839534470775</c:v>
                </c:pt>
                <c:pt idx="43">
                  <c:v>1.1537220970346636</c:v>
                </c:pt>
                <c:pt idx="44">
                  <c:v>1.1671053228522896</c:v>
                </c:pt>
                <c:pt idx="45">
                  <c:v>1.1803389046648407</c:v>
                </c:pt>
                <c:pt idx="46">
                  <c:v>1.2037412049315324</c:v>
                </c:pt>
                <c:pt idx="47">
                  <c:v>1.2299186990876112</c:v>
                </c:pt>
                <c:pt idx="48">
                  <c:v>1.2560966200639767</c:v>
                </c:pt>
                <c:pt idx="49">
                  <c:v>1.2822747191116404</c:v>
                </c:pt>
                <c:pt idx="50">
                  <c:v>1.3084526255500892</c:v>
                </c:pt>
                <c:pt idx="51">
                  <c:v>1.3346308935918947</c:v>
                </c:pt>
                <c:pt idx="52">
                  <c:v>1.3608095232488691</c:v>
                </c:pt>
                <c:pt idx="53">
                  <c:v>1.3869885145328271</c:v>
                </c:pt>
                <c:pt idx="54">
                  <c:v>1.4131678674555843</c:v>
                </c:pt>
                <c:pt idx="55">
                  <c:v>1.4393475820289596</c:v>
                </c:pt>
                <c:pt idx="56">
                  <c:v>1.465527658264772</c:v>
                </c:pt>
                <c:pt idx="57">
                  <c:v>1.4917080961748423</c:v>
                </c:pt>
                <c:pt idx="58">
                  <c:v>1.5178888957709933</c:v>
                </c:pt>
                <c:pt idx="59">
                  <c:v>1.5440700570650494</c:v>
                </c:pt>
                <c:pt idx="60">
                  <c:v>1.5702515800688344</c:v>
                </c:pt>
                <c:pt idx="61">
                  <c:v>1.5964334647941751</c:v>
                </c:pt>
                <c:pt idx="62">
                  <c:v>1.6226157112528996</c:v>
                </c:pt>
                <c:pt idx="63">
                  <c:v>1.6487983194568354</c:v>
                </c:pt>
                <c:pt idx="64">
                  <c:v>1.6749812894178124</c:v>
                </c:pt>
                <c:pt idx="65">
                  <c:v>1.7011646211476614</c:v>
                </c:pt>
                <c:pt idx="66">
                  <c:v>1.7273483146582134</c:v>
                </c:pt>
                <c:pt idx="67">
                  <c:v>1.7535323699613019</c:v>
                </c:pt>
                <c:pt idx="68">
                  <c:v>1.7797167870687594</c:v>
                </c:pt>
                <c:pt idx="69">
                  <c:v>1.8059015659924196</c:v>
                </c:pt>
                <c:pt idx="70">
                  <c:v>1.8320867067441191</c:v>
                </c:pt>
                <c:pt idx="71">
                  <c:v>1.8582722093356929</c:v>
                </c:pt>
                <c:pt idx="72">
                  <c:v>1.8844580737789776</c:v>
                </c:pt>
                <c:pt idx="73">
                  <c:v>1.9106443000858113</c:v>
                </c:pt>
                <c:pt idx="74">
                  <c:v>1.9368308882680323</c:v>
                </c:pt>
                <c:pt idx="75">
                  <c:v>1.9630178383374794</c:v>
                </c:pt>
                <c:pt idx="76">
                  <c:v>1.989205150305992</c:v>
                </c:pt>
                <c:pt idx="77">
                  <c:v>2.0153928241854109</c:v>
                </c:pt>
                <c:pt idx="78">
                  <c:v>2.0415808599875778</c:v>
                </c:pt>
                <c:pt idx="79">
                  <c:v>2.0677692577243345</c:v>
                </c:pt>
                <c:pt idx="80">
                  <c:v>2.0939580174075223</c:v>
                </c:pt>
                <c:pt idx="81">
                  <c:v>2.1201471390489859</c:v>
                </c:pt>
                <c:pt idx="82">
                  <c:v>2.1463366226605682</c:v>
                </c:pt>
                <c:pt idx="83">
                  <c:v>2.172526468254115</c:v>
                </c:pt>
                <c:pt idx="84">
                  <c:v>2.1987166758414705</c:v>
                </c:pt>
                <c:pt idx="85">
                  <c:v>2.2249072454344807</c:v>
                </c:pt>
                <c:pt idx="86">
                  <c:v>2.2510981770449918</c:v>
                </c:pt>
                <c:pt idx="87">
                  <c:v>2.2772894706848521</c:v>
                </c:pt>
                <c:pt idx="88">
                  <c:v>2.3034811263659085</c:v>
                </c:pt>
                <c:pt idx="89">
                  <c:v>2.3296731441000089</c:v>
                </c:pt>
                <c:pt idx="90">
                  <c:v>2.3558655238990034</c:v>
                </c:pt>
                <c:pt idx="91">
                  <c:v>2.3820582657747411</c:v>
                </c:pt>
                <c:pt idx="92">
                  <c:v>2.4082513697390708</c:v>
                </c:pt>
                <c:pt idx="93">
                  <c:v>2.4344448358038453</c:v>
                </c:pt>
                <c:pt idx="94">
                  <c:v>2.4606386639809146</c:v>
                </c:pt>
                <c:pt idx="95">
                  <c:v>2.4868328542821314</c:v>
                </c:pt>
                <c:pt idx="96">
                  <c:v>2.5130274067193477</c:v>
                </c:pt>
                <c:pt idx="97">
                  <c:v>2.5392223213044169</c:v>
                </c:pt>
                <c:pt idx="98">
                  <c:v>2.5654175980491924</c:v>
                </c:pt>
                <c:pt idx="99">
                  <c:v>2.5916132369655291</c:v>
                </c:pt>
                <c:pt idx="100">
                  <c:v>2.6178092380652811</c:v>
                </c:pt>
              </c:numCache>
            </c:numRef>
          </c:val>
          <c:smooth val="1"/>
          <c:extLst>
            <c:ext xmlns:c16="http://schemas.microsoft.com/office/drawing/2014/chart" uri="{C3380CC4-5D6E-409C-BE32-E72D297353CC}">
              <c16:uniqueId val="{00000002-B744-4C18-B26C-E1D454627484}"/>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zh-CN"/>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zh-CN"/>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11.429199855803537</c:v>
                </c:pt>
                <c:pt idx="2">
                  <c:v>34.287599567410609</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274.3089974105547</c:v>
                </c:pt>
                <c:pt idx="25">
                  <c:v>285.81873315363879</c:v>
                </c:pt>
                <c:pt idx="26">
                  <c:v>232.56778747425872</c:v>
                </c:pt>
                <c:pt idx="27">
                  <c:v>224.33868852390839</c:v>
                </c:pt>
                <c:pt idx="28">
                  <c:v>216.6718871445612</c:v>
                </c:pt>
                <c:pt idx="29">
                  <c:v>209.51165259458853</c:v>
                </c:pt>
                <c:pt idx="30">
                  <c:v>202.80938341866414</c:v>
                </c:pt>
                <c:pt idx="31">
                  <c:v>196.52250276996728</c:v>
                </c:pt>
                <c:pt idx="32">
                  <c:v>190.61355296115264</c:v>
                </c:pt>
                <c:pt idx="33">
                  <c:v>185.04944854792882</c:v>
                </c:pt>
                <c:pt idx="34">
                  <c:v>179.8008564802135</c:v>
                </c:pt>
                <c:pt idx="35">
                  <c:v>174.84167879628083</c:v>
                </c:pt>
                <c:pt idx="36">
                  <c:v>170.14861859970273</c:v>
                </c:pt>
                <c:pt idx="37">
                  <c:v>165.70081408520767</c:v>
                </c:pt>
                <c:pt idx="38">
                  <c:v>161.4795284830991</c:v>
                </c:pt>
                <c:pt idx="39">
                  <c:v>157.46788620176409</c:v>
                </c:pt>
                <c:pt idx="40">
                  <c:v>153.65064733213441</c:v>
                </c:pt>
                <c:pt idx="41">
                  <c:v>150.01401416107333</c:v>
                </c:pt>
                <c:pt idx="42">
                  <c:v>146.54546451528344</c:v>
                </c:pt>
                <c:pt idx="43">
                  <c:v>143.23360769314394</c:v>
                </c:pt>
                <c:pt idx="44">
                  <c:v>140.06805949164959</c:v>
                </c:pt>
                <c:pt idx="45">
                  <c:v>137.03933343954654</c:v>
                </c:pt>
                <c:pt idx="46">
                  <c:v>134.13874583669067</c:v>
                </c:pt>
                <c:pt idx="47">
                  <c:v>131.35833259742793</c:v>
                </c:pt>
                <c:pt idx="48">
                  <c:v>128.69077622090069</c:v>
                </c:pt>
                <c:pt idx="49">
                  <c:v>126.12934147808691</c:v>
                </c:pt>
                <c:pt idx="50">
                  <c:v>123.66781862542697</c:v>
                </c:pt>
                <c:pt idx="51">
                  <c:v>121.30047313705009</c:v>
                </c:pt>
                <c:pt idx="52">
                  <c:v>119.02200109899468</c:v>
                </c:pt>
                <c:pt idx="53">
                  <c:v>116.82748953509474</c:v>
                </c:pt>
                <c:pt idx="54">
                  <c:v>114.71238103991483</c:v>
                </c:pt>
                <c:pt idx="55">
                  <c:v>112.67244218292345</c:v>
                </c:pt>
                <c:pt idx="56">
                  <c:v>110.70373522294298</c:v>
                </c:pt>
                <c:pt idx="57">
                  <c:v>108.80259273520106</c:v>
                </c:pt>
                <c:pt idx="58">
                  <c:v>106.96559480698741</c:v>
                </c:pt>
                <c:pt idx="59">
                  <c:v>105.18954850358087</c:v>
                </c:pt>
                <c:pt idx="60">
                  <c:v>103.47146934506567</c:v>
                </c:pt>
                <c:pt idx="61">
                  <c:v>101.80856456798152</c:v>
                </c:pt>
                <c:pt idx="62">
                  <c:v>100.19821797433326</c:v>
                </c:pt>
                <c:pt idx="63">
                  <c:v>98.637976195069456</c:v>
                </c:pt>
                <c:pt idx="64">
                  <c:v>97.125536216328996</c:v>
                </c:pt>
                <c:pt idx="65">
                  <c:v>95.658734035068136</c:v>
                </c:pt>
                <c:pt idx="66">
                  <c:v>94.235534326545491</c:v>
                </c:pt>
                <c:pt idx="67">
                  <c:v>92.854021019911485</c:v>
                </c:pt>
                <c:pt idx="68">
                  <c:v>91.512388690134117</c:v>
                </c:pt>
                <c:pt idx="69">
                  <c:v>90.208934684938882</c:v>
                </c:pt>
                <c:pt idx="70">
                  <c:v>88.942051914570087</c:v>
                </c:pt>
                <c:pt idx="71">
                  <c:v>87.710222240171859</c:v>
                </c:pt>
                <c:pt idx="72">
                  <c:v>86.51201040359777</c:v>
                </c:pt>
                <c:pt idx="73">
                  <c:v>85.346058447617736</c:v>
                </c:pt>
                <c:pt idx="74">
                  <c:v>84.211080580915393</c:v>
                </c:pt>
                <c:pt idx="75">
                  <c:v>83.105858447052327</c:v>
                </c:pt>
                <c:pt idx="76">
                  <c:v>82.0292367608033</c:v>
                </c:pt>
                <c:pt idx="77">
                  <c:v>80.980119279005564</c:v>
                </c:pt>
                <c:pt idx="78">
                  <c:v>79.957465076382718</c:v>
                </c:pt>
                <c:pt idx="79">
                  <c:v>78.960285099747139</c:v>
                </c:pt>
                <c:pt idx="80">
                  <c:v>77.987638976603023</c:v>
                </c:pt>
                <c:pt idx="81">
                  <c:v>77.038632056503417</c:v>
                </c:pt>
                <c:pt idx="82">
                  <c:v>76.112412665595727</c:v>
                </c:pt>
                <c:pt idx="83">
                  <c:v>75.208169556645416</c:v>
                </c:pt>
                <c:pt idx="84">
                  <c:v>74.325129538491396</c:v>
                </c:pt>
                <c:pt idx="85">
                  <c:v>73.462555270372832</c:v>
                </c:pt>
                <c:pt idx="86">
                  <c:v>72.619743207903696</c:v>
                </c:pt>
                <c:pt idx="87">
                  <c:v>71.796021688667707</c:v>
                </c:pt>
                <c:pt idx="88">
                  <c:v>70.990749146486451</c:v>
                </c:pt>
                <c:pt idx="89">
                  <c:v>70.203312444381481</c:v>
                </c:pt>
                <c:pt idx="90">
                  <c:v>69.433125317128031</c:v>
                </c:pt>
                <c:pt idx="91">
                  <c:v>68.679626915085294</c:v>
                </c:pt>
                <c:pt idx="92">
                  <c:v>67.942280441702593</c:v>
                </c:pt>
                <c:pt idx="93">
                  <c:v>67.220571877745584</c:v>
                </c:pt>
                <c:pt idx="94">
                  <c:v>66.514008785870146</c:v>
                </c:pt>
                <c:pt idx="95">
                  <c:v>65.822119189702221</c:v>
                </c:pt>
                <c:pt idx="96">
                  <c:v>65.144450522061419</c:v>
                </c:pt>
                <c:pt idx="97">
                  <c:v>64.480568637402797</c:v>
                </c:pt>
                <c:pt idx="98">
                  <c:v>63.830056883949005</c:v>
                </c:pt>
                <c:pt idx="99">
                  <c:v>63.192515231345197</c:v>
                </c:pt>
                <c:pt idx="100">
                  <c:v>62.567559449998939</c:v>
                </c:pt>
              </c:numCache>
            </c:numRef>
          </c:val>
          <c:smooth val="0"/>
          <c:extLst>
            <c:ext xmlns:c16="http://schemas.microsoft.com/office/drawing/2014/chart" uri="{C3380CC4-5D6E-409C-BE32-E72D297353CC}">
              <c16:uniqueId val="{00000000-CEA8-405E-B5B3-AF38AAF3801C}"/>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11.429199855803537</c:v>
                </c:pt>
                <c:pt idx="2">
                  <c:v>22.858399711607074</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274.30079653928487</c:v>
                </c:pt>
                <c:pt idx="25">
                  <c:v>285.72999639508845</c:v>
                </c:pt>
                <c:pt idx="26">
                  <c:v>297.15919625089202</c:v>
                </c:pt>
                <c:pt idx="27">
                  <c:v>308.58839610669554</c:v>
                </c:pt>
                <c:pt idx="28">
                  <c:v>320.01759596249912</c:v>
                </c:pt>
                <c:pt idx="29">
                  <c:v>331.44679581830258</c:v>
                </c:pt>
                <c:pt idx="30">
                  <c:v>342.87599567410615</c:v>
                </c:pt>
                <c:pt idx="31">
                  <c:v>350</c:v>
                </c:pt>
                <c:pt idx="32">
                  <c:v>350</c:v>
                </c:pt>
                <c:pt idx="33">
                  <c:v>350</c:v>
                </c:pt>
                <c:pt idx="34">
                  <c:v>350</c:v>
                </c:pt>
                <c:pt idx="35">
                  <c:v>350</c:v>
                </c:pt>
                <c:pt idx="36">
                  <c:v>350</c:v>
                </c:pt>
                <c:pt idx="37">
                  <c:v>342.06488767918432</c:v>
                </c:pt>
                <c:pt idx="38">
                  <c:v>333.70459934951435</c:v>
                </c:pt>
                <c:pt idx="39">
                  <c:v>325.74525604945364</c:v>
                </c:pt>
                <c:pt idx="40">
                  <c:v>318.15869036820658</c:v>
                </c:pt>
                <c:pt idx="41">
                  <c:v>310.91931296617906</c:v>
                </c:pt>
                <c:pt idx="42">
                  <c:v>304.00382421996932</c:v>
                </c:pt>
                <c:pt idx="43">
                  <c:v>297.39096372323814</c:v>
                </c:pt>
                <c:pt idx="44">
                  <c:v>291.06129196949996</c:v>
                </c:pt>
                <c:pt idx="45">
                  <c:v>284.99699949442766</c:v>
                </c:pt>
                <c:pt idx="46">
                  <c:v>279.18173953096613</c:v>
                </c:pt>
                <c:pt idx="47">
                  <c:v>273.60048086579883</c:v>
                </c:pt>
                <c:pt idx="48">
                  <c:v>268.23937810819172</c:v>
                </c:pt>
                <c:pt idx="49">
                  <c:v>263.08565701378342</c:v>
                </c:pt>
                <c:pt idx="50">
                  <c:v>258.12751286372651</c:v>
                </c:pt>
                <c:pt idx="51">
                  <c:v>253.35402019746516</c:v>
                </c:pt>
                <c:pt idx="52">
                  <c:v>248.75505244629659</c:v>
                </c:pt>
                <c:pt idx="53">
                  <c:v>244.32121022352055</c:v>
                </c:pt>
                <c:pt idx="54">
                  <c:v>240.04375720252227</c:v>
                </c:pt>
                <c:pt idx="55">
                  <c:v>235.91456266228909</c:v>
                </c:pt>
                <c:pt idx="56">
                  <c:v>231.92604990530967</c:v>
                </c:pt>
                <c:pt idx="57">
                  <c:v>228.07114985933745</c:v>
                </c:pt>
                <c:pt idx="58">
                  <c:v>224.34325926523704</c:v>
                </c:pt>
                <c:pt idx="59">
                  <c:v>220.73620293064033</c:v>
                </c:pt>
                <c:pt idx="60">
                  <c:v>217.24419959551605</c:v>
                </c:pt>
                <c:pt idx="61">
                  <c:v>213.86183101275699</c:v>
                </c:pt>
                <c:pt idx="62">
                  <c:v>210.58401389596526</c:v>
                </c:pt>
                <c:pt idx="63">
                  <c:v>207.40597442896319</c:v>
                </c:pt>
                <c:pt idx="64">
                  <c:v>204.32322506819628</c:v>
                </c:pt>
                <c:pt idx="65">
                  <c:v>201.33154340095973</c:v>
                </c:pt>
                <c:pt idx="66">
                  <c:v>198.4269528499849</c:v>
                </c:pt>
                <c:pt idx="67">
                  <c:v>195.60570503896437</c:v>
                </c:pt>
                <c:pt idx="68">
                  <c:v>192.8642636545724</c:v>
                </c:pt>
                <c:pt idx="69">
                  <c:v>190.19928965888562</c:v>
                </c:pt>
                <c:pt idx="70">
                  <c:v>187.60762772218555</c:v>
                </c:pt>
                <c:pt idx="71">
                  <c:v>185.08629376023586</c:v>
                </c:pt>
                <c:pt idx="72">
                  <c:v>182.63246347253965</c:v>
                </c:pt>
                <c:pt idx="73">
                  <c:v>180.24346178902127</c:v>
                </c:pt>
                <c:pt idx="74">
                  <c:v>177.91675314222667</c:v>
                </c:pt>
                <c:pt idx="75">
                  <c:v>175.6499324906768</c:v>
                </c:pt>
                <c:pt idx="76">
                  <c:v>173.44071702656302</c:v>
                </c:pt>
                <c:pt idx="77">
                  <c:v>171.2869385076819</c:v>
                </c:pt>
                <c:pt idx="78">
                  <c:v>169.18653615946567</c:v>
                </c:pt>
                <c:pt idx="79">
                  <c:v>167.13755009826284</c:v>
                </c:pt>
                <c:pt idx="80">
                  <c:v>165.13811523175173</c:v>
                </c:pt>
                <c:pt idx="81">
                  <c:v>163.18645559658401</c:v>
                </c:pt>
                <c:pt idx="82">
                  <c:v>161.28087909712528</c:v>
                </c:pt>
                <c:pt idx="83">
                  <c:v>159.41977261253166</c:v>
                </c:pt>
                <c:pt idx="84">
                  <c:v>157.6015974424256</c:v>
                </c:pt>
                <c:pt idx="85">
                  <c:v>155.82488506414447</c:v>
                </c:pt>
                <c:pt idx="86">
                  <c:v>154.08823317697494</c:v>
                </c:pt>
                <c:pt idx="87">
                  <c:v>152.39030201097813</c:v>
                </c:pt>
                <c:pt idx="88">
                  <c:v>150.72981087998585</c:v>
                </c:pt>
                <c:pt idx="89">
                  <c:v>149.10553496012835</c:v>
                </c:pt>
                <c:pt idx="90">
                  <c:v>147.51630227686624</c:v>
                </c:pt>
                <c:pt idx="91">
                  <c:v>145.96099088494722</c:v>
                </c:pt>
                <c:pt idx="92">
                  <c:v>144.43852622703079</c:v>
                </c:pt>
                <c:pt idx="93">
                  <c:v>142.94787865790977</c:v>
                </c:pt>
                <c:pt idx="94">
                  <c:v>141.48806112234396</c:v>
                </c:pt>
                <c:pt idx="95">
                  <c:v>140.05812697549882</c:v>
                </c:pt>
                <c:pt idx="96">
                  <c:v>138.65716793587632</c:v>
                </c:pt>
                <c:pt idx="97">
                  <c:v>137.28431216143551</c:v>
                </c:pt>
                <c:pt idx="98">
                  <c:v>135.93872244034034</c:v>
                </c:pt>
                <c:pt idx="99">
                  <c:v>134.61959448844425</c:v>
                </c:pt>
                <c:pt idx="100">
                  <c:v>133.32615534623773</c:v>
                </c:pt>
              </c:numCache>
            </c:numRef>
          </c:val>
          <c:smooth val="0"/>
          <c:extLst>
            <c:ext xmlns:c16="http://schemas.microsoft.com/office/drawing/2014/chart" uri="{C3380CC4-5D6E-409C-BE32-E72D297353CC}">
              <c16:uniqueId val="{00000001-CEA8-405E-B5B3-AF38AAF3801C}"/>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11.428097574347452</c:v>
                </c:pt>
                <c:pt idx="2">
                  <c:v>22.856195148694905</c:v>
                </c:pt>
                <c:pt idx="3">
                  <c:v>34.284292723042356</c:v>
                </c:pt>
                <c:pt idx="4">
                  <c:v>45.71239029738981</c:v>
                </c:pt>
                <c:pt idx="5">
                  <c:v>57.140487871737257</c:v>
                </c:pt>
                <c:pt idx="6">
                  <c:v>68.568585446084711</c:v>
                </c:pt>
                <c:pt idx="7">
                  <c:v>79.996683020432158</c:v>
                </c:pt>
                <c:pt idx="8">
                  <c:v>91.424780594779619</c:v>
                </c:pt>
                <c:pt idx="9">
                  <c:v>102.85287816912705</c:v>
                </c:pt>
                <c:pt idx="10">
                  <c:v>114.28097574347451</c:v>
                </c:pt>
                <c:pt idx="11">
                  <c:v>125.70907331782196</c:v>
                </c:pt>
                <c:pt idx="12">
                  <c:v>137.13717089216942</c:v>
                </c:pt>
                <c:pt idx="13">
                  <c:v>148.56526846651687</c:v>
                </c:pt>
                <c:pt idx="14">
                  <c:v>159.99336604086432</c:v>
                </c:pt>
                <c:pt idx="15">
                  <c:v>171.42146361521176</c:v>
                </c:pt>
                <c:pt idx="16">
                  <c:v>182.84956118955924</c:v>
                </c:pt>
                <c:pt idx="17">
                  <c:v>194.27765876390671</c:v>
                </c:pt>
                <c:pt idx="18">
                  <c:v>205.7057563382541</c:v>
                </c:pt>
                <c:pt idx="19">
                  <c:v>217.13385391260158</c:v>
                </c:pt>
                <c:pt idx="20">
                  <c:v>228.56195148694903</c:v>
                </c:pt>
                <c:pt idx="21">
                  <c:v>239.99004906129645</c:v>
                </c:pt>
                <c:pt idx="22">
                  <c:v>251.41814663564392</c:v>
                </c:pt>
                <c:pt idx="23">
                  <c:v>262.84624420999143</c:v>
                </c:pt>
                <c:pt idx="24">
                  <c:v>274.27434178433884</c:v>
                </c:pt>
                <c:pt idx="25">
                  <c:v>285.70243935868626</c:v>
                </c:pt>
                <c:pt idx="26">
                  <c:v>297.13053693303374</c:v>
                </c:pt>
                <c:pt idx="27">
                  <c:v>308.55863450738116</c:v>
                </c:pt>
                <c:pt idx="28">
                  <c:v>319.98673208172863</c:v>
                </c:pt>
                <c:pt idx="29">
                  <c:v>331.41482965607605</c:v>
                </c:pt>
                <c:pt idx="30">
                  <c:v>342.84292723042353</c:v>
                </c:pt>
                <c:pt idx="31">
                  <c:v>350</c:v>
                </c:pt>
                <c:pt idx="32">
                  <c:v>350</c:v>
                </c:pt>
                <c:pt idx="33">
                  <c:v>350</c:v>
                </c:pt>
                <c:pt idx="34">
                  <c:v>350</c:v>
                </c:pt>
                <c:pt idx="35">
                  <c:v>350</c:v>
                </c:pt>
                <c:pt idx="36">
                  <c:v>350</c:v>
                </c:pt>
                <c:pt idx="37">
                  <c:v>350</c:v>
                </c:pt>
                <c:pt idx="38">
                  <c:v>347.29031336183277</c:v>
                </c:pt>
                <c:pt idx="39">
                  <c:v>339.02193511536296</c:v>
                </c:pt>
                <c:pt idx="40">
                  <c:v>331.14710888171953</c:v>
                </c:pt>
                <c:pt idx="41">
                  <c:v>323.6316884370118</c:v>
                </c:pt>
                <c:pt idx="42">
                  <c:v>316.45161802002781</c:v>
                </c:pt>
                <c:pt idx="43">
                  <c:v>309.58494181966313</c:v>
                </c:pt>
                <c:pt idx="44">
                  <c:v>303.01157972471009</c:v>
                </c:pt>
                <c:pt idx="45">
                  <c:v>296.71313120950413</c:v>
                </c:pt>
                <c:pt idx="46">
                  <c:v>290.67270332132875</c:v>
                </c:pt>
                <c:pt idx="47">
                  <c:v>284.87475938325167</c:v>
                </c:pt>
                <c:pt idx="48">
                  <c:v>279.30498555911231</c:v>
                </c:pt>
                <c:pt idx="49">
                  <c:v>273.9501728678668</c:v>
                </c:pt>
                <c:pt idx="50">
                  <c:v>268.79811259991232</c:v>
                </c:pt>
                <c:pt idx="51">
                  <c:v>263.83750339234251</c:v>
                </c:pt>
                <c:pt idx="52">
                  <c:v>259.05786847443676</c:v>
                </c:pt>
                <c:pt idx="53">
                  <c:v>254.44948180804505</c:v>
                </c:pt>
                <c:pt idx="54">
                  <c:v>250.00330202707954</c:v>
                </c:pt>
                <c:pt idx="55">
                  <c:v>245.71091323193824</c:v>
                </c:pt>
                <c:pt idx="56">
                  <c:v>241.5644718230981</c:v>
                </c:pt>
                <c:pt idx="57">
                  <c:v>237.55665866720429</c:v>
                </c:pt>
                <c:pt idx="58">
                  <c:v>233.68063598193595</c:v>
                </c:pt>
                <c:pt idx="59">
                  <c:v>229.93000840534623</c:v>
                </c:pt>
                <c:pt idx="60">
                  <c:v>226.29878778341359</c:v>
                </c:pt>
                <c:pt idx="61">
                  <c:v>222.7813612679891</c:v>
                </c:pt>
                <c:pt idx="62">
                  <c:v>219.37246236765296</c:v>
                </c:pt>
                <c:pt idx="63">
                  <c:v>216.06714463744603</c:v>
                </c:pt>
                <c:pt idx="64">
                  <c:v>212.86075773103443</c:v>
                </c:pt>
                <c:pt idx="65">
                  <c:v>209.74892557147845</c:v>
                </c:pt>
                <c:pt idx="66">
                  <c:v>206.7275264251152</c:v>
                </c:pt>
                <c:pt idx="67">
                  <c:v>203.79267468775902</c:v>
                </c:pt>
                <c:pt idx="68">
                  <c:v>200.94070421397345</c:v>
                </c:pt>
                <c:pt idx="69">
                  <c:v>198.16815303902263</c:v>
                </c:pt>
                <c:pt idx="70">
                  <c:v>195.47174935962721</c:v>
                </c:pt>
                <c:pt idx="71">
                  <c:v>192.84839865416504</c:v>
                </c:pt>
                <c:pt idx="72">
                  <c:v>190.29517183571159</c:v>
                </c:pt>
                <c:pt idx="73">
                  <c:v>187.80929434256774</c:v>
                </c:pt>
                <c:pt idx="74">
                  <c:v>185.38813608085047</c:v>
                </c:pt>
                <c:pt idx="75">
                  <c:v>183.0292021425044</c:v>
                </c:pt>
                <c:pt idx="76">
                  <c:v>180.73012422986972</c:v>
                </c:pt>
                <c:pt idx="77">
                  <c:v>178.48865272484576</c:v>
                </c:pt>
                <c:pt idx="78">
                  <c:v>176.30264934681989</c:v>
                </c:pt>
                <c:pt idx="79">
                  <c:v>174.17008034899317</c:v>
                </c:pt>
                <c:pt idx="80">
                  <c:v>172.0890102075974</c:v>
                </c:pt>
                <c:pt idx="81">
                  <c:v>170.05759576284143</c:v>
                </c:pt>
                <c:pt idx="82">
                  <c:v>168.07408077430799</c:v>
                </c:pt>
                <c:pt idx="83">
                  <c:v>166.13679085699624</c:v>
                </c:pt>
                <c:pt idx="84">
                  <c:v>164.24412876732012</c:v>
                </c:pt>
                <c:pt idx="85">
                  <c:v>162.39457001116918</c:v>
                </c:pt>
                <c:pt idx="86">
                  <c:v>160.58665874864991</c:v>
                </c:pt>
                <c:pt idx="87">
                  <c:v>158.81900397238655</c:v>
                </c:pt>
                <c:pt idx="88">
                  <c:v>157.09027593829671</c:v>
                </c:pt>
                <c:pt idx="89">
                  <c:v>155.39920282959557</c:v>
                </c:pt>
                <c:pt idx="90">
                  <c:v>153.7445676364386</c:v>
                </c:pt>
                <c:pt idx="91">
                  <c:v>152.12520523511509</c:v>
                </c:pt>
                <c:pt idx="92">
                  <c:v>150.53999965206083</c:v>
                </c:pt>
                <c:pt idx="93">
                  <c:v>148.98788149918798</c:v>
                </c:pt>
                <c:pt idx="94">
                  <c:v>147.46782556814725</c:v>
                </c:pt>
                <c:pt idx="95">
                  <c:v>145.97884857214834</c:v>
                </c:pt>
                <c:pt idx="96">
                  <c:v>144.52000702488675</c:v>
                </c:pt>
                <c:pt idx="97">
                  <c:v>143.09039524696323</c:v>
                </c:pt>
                <c:pt idx="98">
                  <c:v>141.68914349094229</c:v>
                </c:pt>
                <c:pt idx="99">
                  <c:v>140.31541617689518</c:v>
                </c:pt>
                <c:pt idx="100">
                  <c:v>138.96841023090536</c:v>
                </c:pt>
              </c:numCache>
            </c:numRef>
          </c:val>
          <c:smooth val="0"/>
          <c:extLst>
            <c:ext xmlns:c16="http://schemas.microsoft.com/office/drawing/2014/chart" uri="{C3380CC4-5D6E-409C-BE32-E72D297353CC}">
              <c16:uniqueId val="{00000002-CEA8-405E-B5B3-AF38AAF3801C}"/>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CEA8-405E-B5B3-AF38AAF3801C}"/>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CEA8-405E-B5B3-AF38AAF3801C}"/>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CEA8-405E-B5B3-AF38AAF3801C}"/>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2.5000008807116725E-3</c:v>
                </c:pt>
                <c:pt idx="1">
                  <c:v>2.8595797468833834E-3</c:v>
                </c:pt>
                <c:pt idx="2">
                  <c:v>5.7191594937667668E-3</c:v>
                </c:pt>
                <c:pt idx="3">
                  <c:v>8.5787392406501493E-3</c:v>
                </c:pt>
                <c:pt idx="4">
                  <c:v>1.1438318987533534E-2</c:v>
                </c:pt>
                <c:pt idx="5">
                  <c:v>1.4297898734416916E-2</c:v>
                </c:pt>
                <c:pt idx="6">
                  <c:v>1.7157478481300299E-2</c:v>
                </c:pt>
                <c:pt idx="7">
                  <c:v>2.0017058228183688E-2</c:v>
                </c:pt>
                <c:pt idx="8">
                  <c:v>2.2876637975067067E-2</c:v>
                </c:pt>
                <c:pt idx="9">
                  <c:v>2.5736217721950453E-2</c:v>
                </c:pt>
                <c:pt idx="10">
                  <c:v>2.8595797468833832E-2</c:v>
                </c:pt>
                <c:pt idx="11">
                  <c:v>3.1455377215717222E-2</c:v>
                </c:pt>
                <c:pt idx="12">
                  <c:v>3.4314956962600597E-2</c:v>
                </c:pt>
                <c:pt idx="13">
                  <c:v>3.7174536709483987E-2</c:v>
                </c:pt>
                <c:pt idx="14">
                  <c:v>4.0034116456367376E-2</c:v>
                </c:pt>
                <c:pt idx="15">
                  <c:v>4.2893696203250752E-2</c:v>
                </c:pt>
                <c:pt idx="16">
                  <c:v>4.5753275950134134E-2</c:v>
                </c:pt>
                <c:pt idx="17">
                  <c:v>4.8612855697017524E-2</c:v>
                </c:pt>
                <c:pt idx="18">
                  <c:v>5.1472435443900906E-2</c:v>
                </c:pt>
                <c:pt idx="19">
                  <c:v>5.4332015190784282E-2</c:v>
                </c:pt>
                <c:pt idx="20">
                  <c:v>5.7191594937667664E-2</c:v>
                </c:pt>
                <c:pt idx="21">
                  <c:v>6.0051174684551054E-2</c:v>
                </c:pt>
                <c:pt idx="22">
                  <c:v>6.2910754431434443E-2</c:v>
                </c:pt>
                <c:pt idx="23">
                  <c:v>6.5770334178317832E-2</c:v>
                </c:pt>
                <c:pt idx="24">
                  <c:v>6.8629913925201194E-2</c:v>
                </c:pt>
                <c:pt idx="25">
                  <c:v>7.1489493672084597E-2</c:v>
                </c:pt>
                <c:pt idx="26">
                  <c:v>7.4349073418967973E-2</c:v>
                </c:pt>
                <c:pt idx="27">
                  <c:v>7.8303866069973138E-2</c:v>
                </c:pt>
                <c:pt idx="28">
                  <c:v>8.269411536834087E-2</c:v>
                </c:pt>
                <c:pt idx="29">
                  <c:v>8.7163478866466026E-2</c:v>
                </c:pt>
                <c:pt idx="30">
                  <c:v>9.1710580139960335E-2</c:v>
                </c:pt>
                <c:pt idx="31">
                  <c:v>9.5163915317655015E-2</c:v>
                </c:pt>
                <c:pt idx="32">
                  <c:v>9.6687875039165011E-2</c:v>
                </c:pt>
                <c:pt idx="33">
                  <c:v>9.8188241380845406E-2</c:v>
                </c:pt>
                <c:pt idx="34">
                  <c:v>9.9666079015165304E-2</c:v>
                </c:pt>
                <c:pt idx="35">
                  <c:v>0.1011223748711311</c:v>
                </c:pt>
                <c:pt idx="36">
                  <c:v>0.10255804585718102</c:v>
                </c:pt>
                <c:pt idx="37">
                  <c:v>0.10161691403714769</c:v>
                </c:pt>
                <c:pt idx="38">
                  <c:v>0.10046642378958864</c:v>
                </c:pt>
                <c:pt idx="39">
                  <c:v>9.9354528279136961E-2</c:v>
                </c:pt>
                <c:pt idx="40">
                  <c:v>9.8279142550035017E-2</c:v>
                </c:pt>
                <c:pt idx="41">
                  <c:v>9.7238334359027151E-2</c:v>
                </c:pt>
                <c:pt idx="42">
                  <c:v>9.6230310260656135E-2</c:v>
                </c:pt>
                <c:pt idx="43">
                  <c:v>9.5253403189159924E-2</c:v>
                </c:pt>
                <c:pt idx="44">
                  <c:v>9.4306061353772605E-2</c:v>
                </c:pt>
                <c:pt idx="45">
                  <c:v>9.3386838289038349E-2</c:v>
                </c:pt>
                <c:pt idx="46">
                  <c:v>0.10063047445817067</c:v>
                </c:pt>
                <c:pt idx="47">
                  <c:v>0.1007584186966755</c:v>
                </c:pt>
                <c:pt idx="48">
                  <c:v>0.10088169061148257</c:v>
                </c:pt>
                <c:pt idx="49">
                  <c:v>0.10100056132221041</c:v>
                </c:pt>
                <c:pt idx="50">
                  <c:v>0.10111528137134029</c:v>
                </c:pt>
                <c:pt idx="51">
                  <c:v>0.10122608264004121</c:v>
                </c:pt>
                <c:pt idx="52">
                  <c:v>0.1013331800538611</c:v>
                </c:pt>
                <c:pt idx="53">
                  <c:v>0.10143677310469139</c:v>
                </c:pt>
                <c:pt idx="54">
                  <c:v>0.10153704721168572</c:v>
                </c:pt>
                <c:pt idx="55">
                  <c:v>0.10163417494066969</c:v>
                </c:pt>
                <c:pt idx="56">
                  <c:v>0.10172831709891535</c:v>
                </c:pt>
                <c:pt idx="57">
                  <c:v>0.10181962371989424</c:v>
                </c:pt>
                <c:pt idx="58">
                  <c:v>0.10190823495069506</c:v>
                </c:pt>
                <c:pt idx="59">
                  <c:v>0.10199428185314938</c:v>
                </c:pt>
                <c:pt idx="60">
                  <c:v>0.10207788712829834</c:v>
                </c:pt>
                <c:pt idx="61">
                  <c:v>0.10215916577262385</c:v>
                </c:pt>
                <c:pt idx="62">
                  <c:v>0.10223822567342675</c:v>
                </c:pt>
                <c:pt idx="63">
                  <c:v>0.10231516814983502</c:v>
                </c:pt>
                <c:pt idx="64">
                  <c:v>0.10239008844514777</c:v>
                </c:pt>
                <c:pt idx="65">
                  <c:v>0.10246307617554698</c:v>
                </c:pt>
                <c:pt idx="66">
                  <c:v>0.10253421573962145</c:v>
                </c:pt>
                <c:pt idx="67">
                  <c:v>0.1026035866926399</c:v>
                </c:pt>
                <c:pt idx="68">
                  <c:v>0.10267126408906224</c:v>
                </c:pt>
                <c:pt idx="69">
                  <c:v>0.10273731879638988</c:v>
                </c:pt>
                <c:pt idx="70">
                  <c:v>0.10280181778311497</c:v>
                </c:pt>
                <c:pt idx="71">
                  <c:v>0.10286482438322843</c:v>
                </c:pt>
                <c:pt idx="72">
                  <c:v>0.10292639853948293</c:v>
                </c:pt>
                <c:pt idx="73">
                  <c:v>0.10298659702737598</c:v>
                </c:pt>
                <c:pt idx="74">
                  <c:v>0.10304547366161164</c:v>
                </c:pt>
                <c:pt idx="75">
                  <c:v>0.10310307948662058</c:v>
                </c:pt>
                <c:pt idx="76">
                  <c:v>0.10315946295255514</c:v>
                </c:pt>
                <c:pt idx="77">
                  <c:v>0.10321467007803584</c:v>
                </c:pt>
                <c:pt idx="78">
                  <c:v>0.10326874460079802</c:v>
                </c:pt>
                <c:pt idx="79">
                  <c:v>0.10332172811727583</c:v>
                </c:pt>
                <c:pt idx="80">
                  <c:v>0.10337366021205931</c:v>
                </c:pt>
                <c:pt idx="81">
                  <c:v>0.10342457857807179</c:v>
                </c:pt>
                <c:pt idx="82">
                  <c:v>0.10347451912823458</c:v>
                </c:pt>
                <c:pt idx="83">
                  <c:v>0.10352351609931378</c:v>
                </c:pt>
                <c:pt idx="84">
                  <c:v>0.1035716021485812</c:v>
                </c:pt>
                <c:pt idx="85">
                  <c:v>0.10361880844386209</c:v>
                </c:pt>
                <c:pt idx="86">
                  <c:v>0.10366516474749186</c:v>
                </c:pt>
                <c:pt idx="87">
                  <c:v>0.10371069949465755</c:v>
                </c:pt>
                <c:pt idx="88">
                  <c:v>0.10375543986655661</c:v>
                </c:pt>
                <c:pt idx="89">
                  <c:v>0.1037994118587692</c:v>
                </c:pt>
                <c:pt idx="90">
                  <c:v>0.10384264034520538</c:v>
                </c:pt>
                <c:pt idx="91">
                  <c:v>0.10388514913795717</c:v>
                </c:pt>
                <c:pt idx="92">
                  <c:v>0.1039269610433592</c:v>
                </c:pt>
                <c:pt idx="93">
                  <c:v>0.10396809791453436</c:v>
                </c:pt>
                <c:pt idx="94">
                  <c:v>0.1040085807006792</c:v>
                </c:pt>
                <c:pt idx="95">
                  <c:v>0.10404842949332287</c:v>
                </c:pt>
                <c:pt idx="96">
                  <c:v>0.10408766356977385</c:v>
                </c:pt>
                <c:pt idx="97">
                  <c:v>0.10412630143395242</c:v>
                </c:pt>
                <c:pt idx="98">
                  <c:v>0.10416436085478997</c:v>
                </c:pt>
                <c:pt idx="99">
                  <c:v>0.1042018589023629</c:v>
                </c:pt>
                <c:pt idx="100">
                  <c:v>0.1042388119819161</c:v>
                </c:pt>
              </c:numCache>
            </c:numRef>
          </c:val>
          <c:smooth val="0"/>
          <c:extLst>
            <c:ext xmlns:c16="http://schemas.microsoft.com/office/drawing/2014/chart" uri="{C3380CC4-5D6E-409C-BE32-E72D297353CC}">
              <c16:uniqueId val="{00000006-CEA8-405E-B5B3-AF38AAF3801C}"/>
            </c:ext>
          </c:extLst>
        </c:ser>
        <c:ser>
          <c:idx val="16"/>
          <c:order val="16"/>
          <c:spPr>
            <a:ln w="25400">
              <a:solidFill>
                <a:srgbClr val="00B050"/>
              </a:solidFill>
              <a:prstDash val="dash"/>
            </a:ln>
          </c:spPr>
          <c:marker>
            <c:symbol val="none"/>
          </c:marker>
          <c:val>
            <c:numRef>
              <c:f>'Calculations - Dual'!$AU$110:$AU$210</c:f>
              <c:numCache>
                <c:formatCode>0.000</c:formatCode>
                <c:ptCount val="101"/>
                <c:pt idx="0">
                  <c:v>1.3340318218830163E-2</c:v>
                </c:pt>
                <c:pt idx="1">
                  <c:v>1.5304005285722091E-2</c:v>
                </c:pt>
                <c:pt idx="2">
                  <c:v>4.5912015857166269E-2</c:v>
                </c:pt>
                <c:pt idx="3">
                  <c:v>4.5912015857166269E-2</c:v>
                </c:pt>
                <c:pt idx="4">
                  <c:v>6.1216021142888363E-2</c:v>
                </c:pt>
                <c:pt idx="5">
                  <c:v>7.6520026428610458E-2</c:v>
                </c:pt>
                <c:pt idx="6">
                  <c:v>9.1824031714332538E-2</c:v>
                </c:pt>
                <c:pt idx="7">
                  <c:v>0.10712803700005467</c:v>
                </c:pt>
                <c:pt idx="8">
                  <c:v>0.12243204228577673</c:v>
                </c:pt>
                <c:pt idx="9">
                  <c:v>0.13773604757149885</c:v>
                </c:pt>
                <c:pt idx="10">
                  <c:v>0.15304005285722092</c:v>
                </c:pt>
                <c:pt idx="11">
                  <c:v>0.16834405814294304</c:v>
                </c:pt>
                <c:pt idx="12">
                  <c:v>0.18364806342866508</c:v>
                </c:pt>
                <c:pt idx="13">
                  <c:v>0.19895206871438723</c:v>
                </c:pt>
                <c:pt idx="14">
                  <c:v>0.21425607400010935</c:v>
                </c:pt>
                <c:pt idx="15">
                  <c:v>0.22956007928583139</c:v>
                </c:pt>
                <c:pt idx="16">
                  <c:v>0.24486408457155345</c:v>
                </c:pt>
                <c:pt idx="17">
                  <c:v>0.26016808985727558</c:v>
                </c:pt>
                <c:pt idx="18">
                  <c:v>0.2754720951429977</c:v>
                </c:pt>
                <c:pt idx="19">
                  <c:v>0.29077610042871976</c:v>
                </c:pt>
                <c:pt idx="20">
                  <c:v>0.30608010571444183</c:v>
                </c:pt>
                <c:pt idx="21">
                  <c:v>0.32138411100016395</c:v>
                </c:pt>
                <c:pt idx="22">
                  <c:v>0.33963323967863551</c:v>
                </c:pt>
                <c:pt idx="23">
                  <c:v>0.37121071030991365</c:v>
                </c:pt>
                <c:pt idx="24">
                  <c:v>0.40421417401502335</c:v>
                </c:pt>
                <c:pt idx="25">
                  <c:v>0.43883025558050681</c:v>
                </c:pt>
                <c:pt idx="26">
                  <c:v>0.37145097172141589</c:v>
                </c:pt>
                <c:pt idx="27">
                  <c:v>0.37215898148859378</c:v>
                </c:pt>
                <c:pt idx="28">
                  <c:v>0.37282340419309495</c:v>
                </c:pt>
                <c:pt idx="29">
                  <c:v>0.3734485608269425</c:v>
                </c:pt>
                <c:pt idx="30">
                  <c:v>0.3740382196248519</c:v>
                </c:pt>
                <c:pt idx="31">
                  <c:v>0.37459568171357854</c:v>
                </c:pt>
                <c:pt idx="32">
                  <c:v>0.37512385131439674</c:v>
                </c:pt>
                <c:pt idx="33">
                  <c:v>0.37562529365401792</c:v>
                </c:pt>
                <c:pt idx="34">
                  <c:v>0.3761022830235341</c:v>
                </c:pt>
                <c:pt idx="35">
                  <c:v>0.3765568428868652</c:v>
                </c:pt>
                <c:pt idx="36">
                  <c:v>0.37699077953201043</c:v>
                </c:pt>
                <c:pt idx="37">
                  <c:v>0.37740571044624371</c:v>
                </c:pt>
                <c:pt idx="38">
                  <c:v>0.37780308835575421</c:v>
                </c:pt>
                <c:pt idx="39">
                  <c:v>0.37818422168339733</c:v>
                </c:pt>
                <c:pt idx="40">
                  <c:v>0.37855029203211393</c:v>
                </c:pt>
                <c:pt idx="41">
                  <c:v>0.37890236918659204</c:v>
                </c:pt>
                <c:pt idx="42">
                  <c:v>0.37924142403466932</c:v>
                </c:pt>
                <c:pt idx="43">
                  <c:v>0.37956833973741655</c:v>
                </c:pt>
                <c:pt idx="44">
                  <c:v>0.37988392141871585</c:v>
                </c:pt>
                <c:pt idx="45">
                  <c:v>0.38018890459831756</c:v>
                </c:pt>
                <c:pt idx="46">
                  <c:v>0.38048396255445505</c:v>
                </c:pt>
                <c:pt idx="47">
                  <c:v>0.38076971277125438</c:v>
                </c:pt>
                <c:pt idx="48">
                  <c:v>0.38104672260097011</c:v>
                </c:pt>
                <c:pt idx="49">
                  <c:v>0.3813155142503824</c:v>
                </c:pt>
                <c:pt idx="50">
                  <c:v>0.38157656918363436</c:v>
                </c:pt>
                <c:pt idx="51">
                  <c:v>0.38183033201965982</c:v>
                </c:pt>
                <c:pt idx="52">
                  <c:v>0.3820772139906175</c:v>
                </c:pt>
                <c:pt idx="53">
                  <c:v>0.38231759601795801</c:v>
                </c:pt>
                <c:pt idx="54">
                  <c:v>0.38255183145454924</c:v>
                </c:pt>
                <c:pt idx="55">
                  <c:v>0.38278024853440684</c:v>
                </c:pt>
                <c:pt idx="56">
                  <c:v>0.38300315256576656</c:v>
                </c:pt>
                <c:pt idx="57">
                  <c:v>0.38322082789833356</c:v>
                </c:pt>
                <c:pt idx="58">
                  <c:v>0.38343353969137933</c:v>
                </c:pt>
                <c:pt idx="59">
                  <c:v>0.38364153550581631</c:v>
                </c:pt>
                <c:pt idx="60">
                  <c:v>0.38384504674036263</c:v>
                </c:pt>
                <c:pt idx="61">
                  <c:v>0.38404428992932155</c:v>
                </c:pt>
                <c:pt idx="62">
                  <c:v>0.38423946791728808</c:v>
                </c:pt>
                <c:pt idx="63">
                  <c:v>0.38443077092418815</c:v>
                </c:pt>
                <c:pt idx="64">
                  <c:v>0.38461837751240935</c:v>
                </c:pt>
                <c:pt idx="65">
                  <c:v>0.38480245546636821</c:v>
                </c:pt>
                <c:pt idx="66">
                  <c:v>0.38498316259362469</c:v>
                </c:pt>
                <c:pt idx="67">
                  <c:v>0.38516064745558787</c:v>
                </c:pt>
                <c:pt idx="68">
                  <c:v>0.38533505003492852</c:v>
                </c:pt>
                <c:pt idx="69">
                  <c:v>0.3855065023460042</c:v>
                </c:pt>
                <c:pt idx="70">
                  <c:v>0.38567512899389245</c:v>
                </c:pt>
                <c:pt idx="71">
                  <c:v>0.38584104768701222</c:v>
                </c:pt>
                <c:pt idx="72">
                  <c:v>0.38600436970776503</c:v>
                </c:pt>
                <c:pt idx="73">
                  <c:v>0.38616520034515611</c:v>
                </c:pt>
                <c:pt idx="74">
                  <c:v>0.38632363929292746</c:v>
                </c:pt>
                <c:pt idx="75">
                  <c:v>0.38647978101637098</c:v>
                </c:pt>
                <c:pt idx="76">
                  <c:v>0.38663371509065764</c:v>
                </c:pt>
                <c:pt idx="77">
                  <c:v>0.386785526513232</c:v>
                </c:pt>
                <c:pt idx="78">
                  <c:v>0.38693529599255855</c:v>
                </c:pt>
                <c:pt idx="79">
                  <c:v>0.38708310021528669</c:v>
                </c:pt>
                <c:pt idx="80">
                  <c:v>0.38722901209369076</c:v>
                </c:pt>
                <c:pt idx="81">
                  <c:v>0.38737310099506223</c:v>
                </c:pt>
                <c:pt idx="82">
                  <c:v>0.38751543295457525</c:v>
                </c:pt>
                <c:pt idx="83">
                  <c:v>0.38765607087299403</c:v>
                </c:pt>
                <c:pt idx="84">
                  <c:v>0.38779507470046892</c:v>
                </c:pt>
                <c:pt idx="85">
                  <c:v>0.38793250160755055</c:v>
                </c:pt>
                <c:pt idx="86">
                  <c:v>0.38806840614444421</c:v>
                </c:pt>
                <c:pt idx="87">
                  <c:v>0.38820284038944047</c:v>
                </c:pt>
                <c:pt idx="88">
                  <c:v>0.3883358540873692</c:v>
                </c:pt>
                <c:pt idx="89">
                  <c:v>0.38846749477885012</c:v>
                </c:pt>
                <c:pt idx="90">
                  <c:v>0.38859780792104698</c:v>
                </c:pt>
                <c:pt idx="91">
                  <c:v>0.38872683700056926</c:v>
                </c:pt>
                <c:pt idx="92">
                  <c:v>0.38885462363911083</c:v>
                </c:pt>
                <c:pt idx="93">
                  <c:v>0.38898120769236511</c:v>
                </c:pt>
                <c:pt idx="94">
                  <c:v>0.38910662734271001</c:v>
                </c:pt>
                <c:pt idx="95">
                  <c:v>0.38923091918611696</c:v>
                </c:pt>
                <c:pt idx="96">
                  <c:v>0.3893541183136987</c:v>
                </c:pt>
                <c:pt idx="97">
                  <c:v>0.38947625838827771</c:v>
                </c:pt>
                <c:pt idx="98">
                  <c:v>0.38959737171632691</c:v>
                </c:pt>
                <c:pt idx="99">
                  <c:v>0.38971748931560551</c:v>
                </c:pt>
                <c:pt idx="100">
                  <c:v>0.38983664097878806</c:v>
                </c:pt>
              </c:numCache>
            </c:numRef>
          </c:val>
          <c:smooth val="0"/>
          <c:extLst>
            <c:ext xmlns:c16="http://schemas.microsoft.com/office/drawing/2014/chart" uri="{C3380CC4-5D6E-409C-BE32-E72D297353CC}">
              <c16:uniqueId val="{00000007-CEA8-405E-B5B3-AF38AAF3801C}"/>
            </c:ext>
          </c:extLst>
        </c:ser>
        <c:ser>
          <c:idx val="17"/>
          <c:order val="17"/>
          <c:spPr>
            <a:ln w="25400">
              <a:solidFill>
                <a:srgbClr val="FF0000"/>
              </a:solidFill>
            </a:ln>
          </c:spPr>
          <c:marker>
            <c:symbol val="none"/>
          </c:marker>
          <c:val>
            <c:numRef>
              <c:f>'Calculations - Dual'!$AU$216:$AU$316</c:f>
              <c:numCache>
                <c:formatCode>0.000</c:formatCode>
                <c:ptCount val="101"/>
                <c:pt idx="0">
                  <c:v>2.0001523973290627E-3</c:v>
                </c:pt>
                <c:pt idx="1">
                  <c:v>2.2870272982221944E-3</c:v>
                </c:pt>
                <c:pt idx="2">
                  <c:v>4.5740545964443888E-3</c:v>
                </c:pt>
                <c:pt idx="3">
                  <c:v>6.8610818946665836E-3</c:v>
                </c:pt>
                <c:pt idx="4">
                  <c:v>9.1481091928887776E-3</c:v>
                </c:pt>
                <c:pt idx="5">
                  <c:v>1.1435136491110973E-2</c:v>
                </c:pt>
                <c:pt idx="6">
                  <c:v>1.3722163789333167E-2</c:v>
                </c:pt>
                <c:pt idx="7">
                  <c:v>1.6009191087555358E-2</c:v>
                </c:pt>
                <c:pt idx="8">
                  <c:v>1.8296218385777555E-2</c:v>
                </c:pt>
                <c:pt idx="9">
                  <c:v>2.0583245683999749E-2</c:v>
                </c:pt>
                <c:pt idx="10">
                  <c:v>2.2870272982221947E-2</c:v>
                </c:pt>
                <c:pt idx="11">
                  <c:v>2.5157300280444141E-2</c:v>
                </c:pt>
                <c:pt idx="12">
                  <c:v>2.7444327578666335E-2</c:v>
                </c:pt>
                <c:pt idx="13">
                  <c:v>2.9731354876888525E-2</c:v>
                </c:pt>
                <c:pt idx="14">
                  <c:v>3.2018382175110716E-2</c:v>
                </c:pt>
                <c:pt idx="15">
                  <c:v>3.4305409473332917E-2</c:v>
                </c:pt>
                <c:pt idx="16">
                  <c:v>3.659243677155511E-2</c:v>
                </c:pt>
                <c:pt idx="17">
                  <c:v>3.8879464069777318E-2</c:v>
                </c:pt>
                <c:pt idx="18">
                  <c:v>4.1166491367999498E-2</c:v>
                </c:pt>
                <c:pt idx="19">
                  <c:v>4.3453518666221692E-2</c:v>
                </c:pt>
                <c:pt idx="20">
                  <c:v>4.5740545964443893E-2</c:v>
                </c:pt>
                <c:pt idx="21">
                  <c:v>4.8027573262666073E-2</c:v>
                </c:pt>
                <c:pt idx="22">
                  <c:v>5.0314600560888281E-2</c:v>
                </c:pt>
                <c:pt idx="23">
                  <c:v>5.2601627859110482E-2</c:v>
                </c:pt>
                <c:pt idx="24">
                  <c:v>5.4888655157332669E-2</c:v>
                </c:pt>
                <c:pt idx="25">
                  <c:v>5.7175682455554863E-2</c:v>
                </c:pt>
                <c:pt idx="26">
                  <c:v>5.946270975377705E-2</c:v>
                </c:pt>
                <c:pt idx="27">
                  <c:v>6.2625663597437126E-2</c:v>
                </c:pt>
                <c:pt idx="28">
                  <c:v>6.6136885832911038E-2</c:v>
                </c:pt>
                <c:pt idx="29">
                  <c:v>6.971138181856433E-2</c:v>
                </c:pt>
                <c:pt idx="30">
                  <c:v>7.3348050721257621E-2</c:v>
                </c:pt>
                <c:pt idx="31">
                  <c:v>7.6117224177250975E-2</c:v>
                </c:pt>
                <c:pt idx="32">
                  <c:v>7.7335942980453737E-2</c:v>
                </c:pt>
                <c:pt idx="33">
                  <c:v>7.8535787064602763E-2</c:v>
                </c:pt>
                <c:pt idx="34">
                  <c:v>7.9717608167904644E-2</c:v>
                </c:pt>
                <c:pt idx="35">
                  <c:v>8.0882195833785545E-2</c:v>
                </c:pt>
                <c:pt idx="36">
                  <c:v>7.7324577572738737E-2</c:v>
                </c:pt>
                <c:pt idx="37">
                  <c:v>7.9470613385205807E-2</c:v>
                </c:pt>
                <c:pt idx="38">
                  <c:v>8.0984701697209019E-2</c:v>
                </c:pt>
                <c:pt idx="39">
                  <c:v>8.1134009892124909E-2</c:v>
                </c:pt>
                <c:pt idx="40">
                  <c:v>8.1277732057122215E-2</c:v>
                </c:pt>
                <c:pt idx="41">
                  <c:v>8.1415219543597969E-2</c:v>
                </c:pt>
                <c:pt idx="42">
                  <c:v>8.1546889660942576E-2</c:v>
                </c:pt>
                <c:pt idx="43">
                  <c:v>8.1673123289481425E-2</c:v>
                </c:pt>
                <c:pt idx="44">
                  <c:v>8.1794268770674722E-2</c:v>
                </c:pt>
                <c:pt idx="45">
                  <c:v>8.1910645309227953E-2</c:v>
                </c:pt>
                <c:pt idx="46">
                  <c:v>8.2022545957095294E-2</c:v>
                </c:pt>
                <c:pt idx="47">
                  <c:v>8.213024023812017E-2</c:v>
                </c:pt>
                <c:pt idx="48">
                  <c:v>8.2233976462810526E-2</c:v>
                </c:pt>
                <c:pt idx="49">
                  <c:v>8.2333983775105229E-2</c:v>
                </c:pt>
                <c:pt idx="50">
                  <c:v>8.2430473966648238E-2</c:v>
                </c:pt>
                <c:pt idx="51">
                  <c:v>8.252364308880876E-2</c:v>
                </c:pt>
                <c:pt idx="52">
                  <c:v>8.2613672888272052E-2</c:v>
                </c:pt>
                <c:pt idx="53">
                  <c:v>8.2700732088325651E-2</c:v>
                </c:pt>
                <c:pt idx="54">
                  <c:v>8.2784977534849633E-2</c:v>
                </c:pt>
                <c:pt idx="55">
                  <c:v>8.2866555223390301E-2</c:v>
                </c:pt>
                <c:pt idx="56">
                  <c:v>8.2945601221469267E-2</c:v>
                </c:pt>
                <c:pt idx="57">
                  <c:v>8.3022242498386134E-2</c:v>
                </c:pt>
                <c:pt idx="58">
                  <c:v>8.3096597673162062E-2</c:v>
                </c:pt>
                <c:pt idx="59">
                  <c:v>8.3168777689892767E-2</c:v>
                </c:pt>
                <c:pt idx="60">
                  <c:v>8.3238886428599362E-2</c:v>
                </c:pt>
                <c:pt idx="61">
                  <c:v>8.3307021258652206E-2</c:v>
                </c:pt>
                <c:pt idx="62">
                  <c:v>8.3373273540968407E-2</c:v>
                </c:pt>
                <c:pt idx="63">
                  <c:v>8.3437729084431658E-2</c:v>
                </c:pt>
                <c:pt idx="64">
                  <c:v>8.3500468561329172E-2</c:v>
                </c:pt>
                <c:pt idx="65">
                  <c:v>8.3561567886036428E-2</c:v>
                </c:pt>
                <c:pt idx="66">
                  <c:v>8.3621098560686946E-2</c:v>
                </c:pt>
                <c:pt idx="67">
                  <c:v>8.3679127991137817E-2</c:v>
                </c:pt>
                <c:pt idx="68">
                  <c:v>8.3735719776166659E-2</c:v>
                </c:pt>
                <c:pt idx="69">
                  <c:v>8.3790933972508821E-2</c:v>
                </c:pt>
                <c:pt idx="70">
                  <c:v>8.3844827338057412E-2</c:v>
                </c:pt>
                <c:pt idx="71">
                  <c:v>8.3897453555296778E-2</c:v>
                </c:pt>
                <c:pt idx="72">
                  <c:v>8.3948863436818538E-2</c:v>
                </c:pt>
                <c:pt idx="73">
                  <c:v>8.399910511457484E-2</c:v>
                </c:pt>
                <c:pt idx="74">
                  <c:v>8.4048224214349876E-2</c:v>
                </c:pt>
                <c:pt idx="75">
                  <c:v>8.4096264016780012E-2</c:v>
                </c:pt>
                <c:pt idx="76">
                  <c:v>8.4143265606116985E-2</c:v>
                </c:pt>
                <c:pt idx="77">
                  <c:v>8.418926800780864E-2</c:v>
                </c:pt>
                <c:pt idx="78">
                  <c:v>8.423430831586623E-2</c:v>
                </c:pt>
                <c:pt idx="79">
                  <c:v>8.4278421810891471E-2</c:v>
                </c:pt>
                <c:pt idx="80">
                  <c:v>8.432164206955392E-2</c:v>
                </c:pt>
                <c:pt idx="81">
                  <c:v>8.436400106623089E-2</c:v>
                </c:pt>
                <c:pt idx="82">
                  <c:v>8.4405529267458451E-2</c:v>
                </c:pt>
                <c:pt idx="83">
                  <c:v>8.4446255719778832E-2</c:v>
                </c:pt>
                <c:pt idx="84">
                  <c:v>8.4486208131516832E-2</c:v>
                </c:pt>
                <c:pt idx="85">
                  <c:v>8.4525412948969536E-2</c:v>
                </c:pt>
                <c:pt idx="86">
                  <c:v>8.4563895427449104E-2</c:v>
                </c:pt>
                <c:pt idx="87">
                  <c:v>8.4601679697580048E-2</c:v>
                </c:pt>
                <c:pt idx="88">
                  <c:v>8.463878882721651E-2</c:v>
                </c:pt>
                <c:pt idx="89">
                  <c:v>8.4675244879313979E-2</c:v>
                </c:pt>
                <c:pt idx="90">
                  <c:v>8.4711068966059816E-2</c:v>
                </c:pt>
                <c:pt idx="91">
                  <c:v>8.4746281299542134E-2</c:v>
                </c:pt>
                <c:pt idx="92">
                  <c:v>8.4780901239212725E-2</c:v>
                </c:pt>
                <c:pt idx="93">
                  <c:v>8.4814947336377858E-2</c:v>
                </c:pt>
                <c:pt idx="94">
                  <c:v>8.4848437375931868E-2</c:v>
                </c:pt>
                <c:pt idx="95">
                  <c:v>8.4881388415531375E-2</c:v>
                </c:pt>
                <c:pt idx="96">
                  <c:v>8.491381682239052E-2</c:v>
                </c:pt>
                <c:pt idx="97">
                  <c:v>8.4945738307865032E-2</c:v>
                </c:pt>
                <c:pt idx="98">
                  <c:v>8.4977167959977701E-2</c:v>
                </c:pt>
                <c:pt idx="99">
                  <c:v>8.500812027402764E-2</c:v>
                </c:pt>
                <c:pt idx="100">
                  <c:v>8.5038609181413122E-2</c:v>
                </c:pt>
              </c:numCache>
            </c:numRef>
          </c:val>
          <c:smooth val="0"/>
          <c:extLst>
            <c:ext xmlns:c16="http://schemas.microsoft.com/office/drawing/2014/chart" uri="{C3380CC4-5D6E-409C-BE32-E72D297353CC}">
              <c16:uniqueId val="{00000008-CEA8-405E-B5B3-AF38AAF3801C}"/>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11.429199855803537</c:v>
                </c:pt>
                <c:pt idx="2">
                  <c:v>34.287599567410609</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274.3089974105547</c:v>
                </c:pt>
                <c:pt idx="25">
                  <c:v>285.81873315363879</c:v>
                </c:pt>
                <c:pt idx="26">
                  <c:v>232.56778747425872</c:v>
                </c:pt>
                <c:pt idx="27">
                  <c:v>224.33868852390839</c:v>
                </c:pt>
                <c:pt idx="28">
                  <c:v>216.6718871445612</c:v>
                </c:pt>
                <c:pt idx="29">
                  <c:v>209.51165259458853</c:v>
                </c:pt>
                <c:pt idx="30">
                  <c:v>202.80938341866414</c:v>
                </c:pt>
                <c:pt idx="31">
                  <c:v>196.52250276996728</c:v>
                </c:pt>
                <c:pt idx="32">
                  <c:v>190.61355296115264</c:v>
                </c:pt>
                <c:pt idx="33">
                  <c:v>185.04944854792882</c:v>
                </c:pt>
                <c:pt idx="34">
                  <c:v>179.8008564802135</c:v>
                </c:pt>
                <c:pt idx="35">
                  <c:v>174.84167879628083</c:v>
                </c:pt>
                <c:pt idx="36">
                  <c:v>170.14861859970273</c:v>
                </c:pt>
                <c:pt idx="37">
                  <c:v>165.70081408520767</c:v>
                </c:pt>
                <c:pt idx="38">
                  <c:v>161.4795284830991</c:v>
                </c:pt>
                <c:pt idx="39">
                  <c:v>157.46788620176409</c:v>
                </c:pt>
                <c:pt idx="40">
                  <c:v>153.65064733213441</c:v>
                </c:pt>
                <c:pt idx="41">
                  <c:v>150.01401416107333</c:v>
                </c:pt>
                <c:pt idx="42">
                  <c:v>146.54546451528344</c:v>
                </c:pt>
                <c:pt idx="43">
                  <c:v>143.23360769314394</c:v>
                </c:pt>
                <c:pt idx="44">
                  <c:v>140.06805949164959</c:v>
                </c:pt>
                <c:pt idx="45">
                  <c:v>137.03933343954654</c:v>
                </c:pt>
                <c:pt idx="46">
                  <c:v>134.13874583669067</c:v>
                </c:pt>
                <c:pt idx="47">
                  <c:v>131.35833259742793</c:v>
                </c:pt>
                <c:pt idx="48">
                  <c:v>128.69077622090069</c:v>
                </c:pt>
                <c:pt idx="49">
                  <c:v>126.12934147808691</c:v>
                </c:pt>
                <c:pt idx="50">
                  <c:v>123.66781862542697</c:v>
                </c:pt>
                <c:pt idx="51">
                  <c:v>121.30047313705009</c:v>
                </c:pt>
                <c:pt idx="52">
                  <c:v>119.02200109899468</c:v>
                </c:pt>
                <c:pt idx="53">
                  <c:v>116.82748953509474</c:v>
                </c:pt>
                <c:pt idx="54">
                  <c:v>114.71238103991483</c:v>
                </c:pt>
                <c:pt idx="55">
                  <c:v>112.67244218292345</c:v>
                </c:pt>
                <c:pt idx="56">
                  <c:v>110.70373522294298</c:v>
                </c:pt>
                <c:pt idx="57">
                  <c:v>108.80259273520106</c:v>
                </c:pt>
                <c:pt idx="58">
                  <c:v>106.96559480698741</c:v>
                </c:pt>
                <c:pt idx="59">
                  <c:v>105.18954850358087</c:v>
                </c:pt>
                <c:pt idx="60">
                  <c:v>103.47146934506567</c:v>
                </c:pt>
                <c:pt idx="61">
                  <c:v>101.80856456798152</c:v>
                </c:pt>
                <c:pt idx="62">
                  <c:v>100.19821797433326</c:v>
                </c:pt>
                <c:pt idx="63">
                  <c:v>98.637976195069456</c:v>
                </c:pt>
                <c:pt idx="64">
                  <c:v>97.125536216328996</c:v>
                </c:pt>
                <c:pt idx="65">
                  <c:v>95.658734035068136</c:v>
                </c:pt>
                <c:pt idx="66">
                  <c:v>94.235534326545491</c:v>
                </c:pt>
                <c:pt idx="67">
                  <c:v>92.854021019911485</c:v>
                </c:pt>
                <c:pt idx="68">
                  <c:v>91.512388690134117</c:v>
                </c:pt>
                <c:pt idx="69">
                  <c:v>90.208934684938882</c:v>
                </c:pt>
                <c:pt idx="70">
                  <c:v>88.942051914570087</c:v>
                </c:pt>
                <c:pt idx="71">
                  <c:v>87.710222240171859</c:v>
                </c:pt>
                <c:pt idx="72">
                  <c:v>86.51201040359777</c:v>
                </c:pt>
                <c:pt idx="73">
                  <c:v>85.346058447617736</c:v>
                </c:pt>
                <c:pt idx="74">
                  <c:v>84.211080580915393</c:v>
                </c:pt>
                <c:pt idx="75">
                  <c:v>83.105858447052327</c:v>
                </c:pt>
                <c:pt idx="76">
                  <c:v>82.0292367608033</c:v>
                </c:pt>
                <c:pt idx="77">
                  <c:v>80.980119279005564</c:v>
                </c:pt>
                <c:pt idx="78">
                  <c:v>79.957465076382718</c:v>
                </c:pt>
                <c:pt idx="79">
                  <c:v>78.960285099747139</c:v>
                </c:pt>
                <c:pt idx="80">
                  <c:v>77.987638976603023</c:v>
                </c:pt>
                <c:pt idx="81">
                  <c:v>77.038632056503417</c:v>
                </c:pt>
                <c:pt idx="82">
                  <c:v>76.112412665595727</c:v>
                </c:pt>
                <c:pt idx="83">
                  <c:v>75.208169556645416</c:v>
                </c:pt>
                <c:pt idx="84">
                  <c:v>74.325129538491396</c:v>
                </c:pt>
                <c:pt idx="85">
                  <c:v>73.462555270372832</c:v>
                </c:pt>
                <c:pt idx="86">
                  <c:v>72.619743207903696</c:v>
                </c:pt>
                <c:pt idx="87">
                  <c:v>71.796021688667707</c:v>
                </c:pt>
                <c:pt idx="88">
                  <c:v>70.990749146486451</c:v>
                </c:pt>
                <c:pt idx="89">
                  <c:v>70.203312444381481</c:v>
                </c:pt>
                <c:pt idx="90">
                  <c:v>69.433125317128031</c:v>
                </c:pt>
                <c:pt idx="91">
                  <c:v>68.679626915085294</c:v>
                </c:pt>
                <c:pt idx="92">
                  <c:v>67.942280441702593</c:v>
                </c:pt>
                <c:pt idx="93">
                  <c:v>67.220571877745584</c:v>
                </c:pt>
                <c:pt idx="94">
                  <c:v>66.514008785870146</c:v>
                </c:pt>
                <c:pt idx="95">
                  <c:v>65.822119189702221</c:v>
                </c:pt>
                <c:pt idx="96">
                  <c:v>65.144450522061419</c:v>
                </c:pt>
                <c:pt idx="97">
                  <c:v>64.480568637402797</c:v>
                </c:pt>
                <c:pt idx="98">
                  <c:v>63.830056883949005</c:v>
                </c:pt>
                <c:pt idx="99">
                  <c:v>63.192515231345197</c:v>
                </c:pt>
                <c:pt idx="100">
                  <c:v>62.567559449998939</c:v>
                </c:pt>
              </c:numCache>
            </c:numRef>
          </c:val>
          <c:smooth val="0"/>
          <c:extLst>
            <c:ext xmlns:c16="http://schemas.microsoft.com/office/drawing/2014/chart" uri="{C3380CC4-5D6E-409C-BE32-E72D297353CC}">
              <c16:uniqueId val="{00000009-CEA8-405E-B5B3-AF38AAF3801C}"/>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11.429199855803537</c:v>
                </c:pt>
                <c:pt idx="2">
                  <c:v>22.858399711607074</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274.30079653928487</c:v>
                </c:pt>
                <c:pt idx="25">
                  <c:v>285.72999639508845</c:v>
                </c:pt>
                <c:pt idx="26">
                  <c:v>297.15919625089202</c:v>
                </c:pt>
                <c:pt idx="27">
                  <c:v>308.58839610669554</c:v>
                </c:pt>
                <c:pt idx="28">
                  <c:v>320.01759596249912</c:v>
                </c:pt>
                <c:pt idx="29">
                  <c:v>331.44679581830258</c:v>
                </c:pt>
                <c:pt idx="30">
                  <c:v>342.87599567410615</c:v>
                </c:pt>
                <c:pt idx="31">
                  <c:v>350</c:v>
                </c:pt>
                <c:pt idx="32">
                  <c:v>350</c:v>
                </c:pt>
                <c:pt idx="33">
                  <c:v>350</c:v>
                </c:pt>
                <c:pt idx="34">
                  <c:v>350</c:v>
                </c:pt>
                <c:pt idx="35">
                  <c:v>350</c:v>
                </c:pt>
                <c:pt idx="36">
                  <c:v>350</c:v>
                </c:pt>
                <c:pt idx="37">
                  <c:v>342.06488767918432</c:v>
                </c:pt>
                <c:pt idx="38">
                  <c:v>333.70459934951435</c:v>
                </c:pt>
                <c:pt idx="39">
                  <c:v>325.74525604945364</c:v>
                </c:pt>
                <c:pt idx="40">
                  <c:v>318.15869036820658</c:v>
                </c:pt>
                <c:pt idx="41">
                  <c:v>310.91931296617906</c:v>
                </c:pt>
                <c:pt idx="42">
                  <c:v>304.00382421996932</c:v>
                </c:pt>
                <c:pt idx="43">
                  <c:v>297.39096372323814</c:v>
                </c:pt>
                <c:pt idx="44">
                  <c:v>291.06129196949996</c:v>
                </c:pt>
                <c:pt idx="45">
                  <c:v>284.99699949442766</c:v>
                </c:pt>
                <c:pt idx="46">
                  <c:v>279.18173953096613</c:v>
                </c:pt>
                <c:pt idx="47">
                  <c:v>273.60048086579883</c:v>
                </c:pt>
                <c:pt idx="48">
                  <c:v>268.23937810819172</c:v>
                </c:pt>
                <c:pt idx="49">
                  <c:v>263.08565701378342</c:v>
                </c:pt>
                <c:pt idx="50">
                  <c:v>258.12751286372651</c:v>
                </c:pt>
                <c:pt idx="51">
                  <c:v>253.35402019746516</c:v>
                </c:pt>
                <c:pt idx="52">
                  <c:v>248.75505244629659</c:v>
                </c:pt>
                <c:pt idx="53">
                  <c:v>244.32121022352055</c:v>
                </c:pt>
                <c:pt idx="54">
                  <c:v>240.04375720252227</c:v>
                </c:pt>
                <c:pt idx="55">
                  <c:v>235.91456266228909</c:v>
                </c:pt>
                <c:pt idx="56">
                  <c:v>231.92604990530967</c:v>
                </c:pt>
                <c:pt idx="57">
                  <c:v>228.07114985933745</c:v>
                </c:pt>
                <c:pt idx="58">
                  <c:v>224.34325926523704</c:v>
                </c:pt>
                <c:pt idx="59">
                  <c:v>220.73620293064033</c:v>
                </c:pt>
                <c:pt idx="60">
                  <c:v>217.24419959551605</c:v>
                </c:pt>
                <c:pt idx="61">
                  <c:v>213.86183101275699</c:v>
                </c:pt>
                <c:pt idx="62">
                  <c:v>210.58401389596526</c:v>
                </c:pt>
                <c:pt idx="63">
                  <c:v>207.40597442896319</c:v>
                </c:pt>
                <c:pt idx="64">
                  <c:v>204.32322506819628</c:v>
                </c:pt>
                <c:pt idx="65">
                  <c:v>201.33154340095973</c:v>
                </c:pt>
                <c:pt idx="66">
                  <c:v>198.4269528499849</c:v>
                </c:pt>
                <c:pt idx="67">
                  <c:v>195.60570503896437</c:v>
                </c:pt>
                <c:pt idx="68">
                  <c:v>192.8642636545724</c:v>
                </c:pt>
                <c:pt idx="69">
                  <c:v>190.19928965888562</c:v>
                </c:pt>
                <c:pt idx="70">
                  <c:v>187.60762772218555</c:v>
                </c:pt>
                <c:pt idx="71">
                  <c:v>185.08629376023586</c:v>
                </c:pt>
                <c:pt idx="72">
                  <c:v>182.63246347253965</c:v>
                </c:pt>
                <c:pt idx="73">
                  <c:v>180.24346178902127</c:v>
                </c:pt>
                <c:pt idx="74">
                  <c:v>177.91675314222667</c:v>
                </c:pt>
                <c:pt idx="75">
                  <c:v>175.6499324906768</c:v>
                </c:pt>
                <c:pt idx="76">
                  <c:v>173.44071702656302</c:v>
                </c:pt>
                <c:pt idx="77">
                  <c:v>171.2869385076819</c:v>
                </c:pt>
                <c:pt idx="78">
                  <c:v>169.18653615946567</c:v>
                </c:pt>
                <c:pt idx="79">
                  <c:v>167.13755009826284</c:v>
                </c:pt>
                <c:pt idx="80">
                  <c:v>165.13811523175173</c:v>
                </c:pt>
                <c:pt idx="81">
                  <c:v>163.18645559658401</c:v>
                </c:pt>
                <c:pt idx="82">
                  <c:v>161.28087909712528</c:v>
                </c:pt>
                <c:pt idx="83">
                  <c:v>159.41977261253166</c:v>
                </c:pt>
                <c:pt idx="84">
                  <c:v>157.6015974424256</c:v>
                </c:pt>
                <c:pt idx="85">
                  <c:v>155.82488506414447</c:v>
                </c:pt>
                <c:pt idx="86">
                  <c:v>154.08823317697494</c:v>
                </c:pt>
                <c:pt idx="87">
                  <c:v>152.39030201097813</c:v>
                </c:pt>
                <c:pt idx="88">
                  <c:v>150.72981087998585</c:v>
                </c:pt>
                <c:pt idx="89">
                  <c:v>149.10553496012835</c:v>
                </c:pt>
                <c:pt idx="90">
                  <c:v>147.51630227686624</c:v>
                </c:pt>
                <c:pt idx="91">
                  <c:v>145.96099088494722</c:v>
                </c:pt>
                <c:pt idx="92">
                  <c:v>144.43852622703079</c:v>
                </c:pt>
                <c:pt idx="93">
                  <c:v>142.94787865790977</c:v>
                </c:pt>
                <c:pt idx="94">
                  <c:v>141.48806112234396</c:v>
                </c:pt>
                <c:pt idx="95">
                  <c:v>140.05812697549882</c:v>
                </c:pt>
                <c:pt idx="96">
                  <c:v>138.65716793587632</c:v>
                </c:pt>
                <c:pt idx="97">
                  <c:v>137.28431216143551</c:v>
                </c:pt>
                <c:pt idx="98">
                  <c:v>135.93872244034034</c:v>
                </c:pt>
                <c:pt idx="99">
                  <c:v>134.61959448844425</c:v>
                </c:pt>
                <c:pt idx="100">
                  <c:v>133.32615534623773</c:v>
                </c:pt>
              </c:numCache>
            </c:numRef>
          </c:val>
          <c:smooth val="0"/>
          <c:extLst>
            <c:ext xmlns:c16="http://schemas.microsoft.com/office/drawing/2014/chart" uri="{C3380CC4-5D6E-409C-BE32-E72D297353CC}">
              <c16:uniqueId val="{0000000A-CEA8-405E-B5B3-AF38AAF3801C}"/>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11.428097574347452</c:v>
                </c:pt>
                <c:pt idx="2">
                  <c:v>22.856195148694905</c:v>
                </c:pt>
                <c:pt idx="3">
                  <c:v>34.284292723042356</c:v>
                </c:pt>
                <c:pt idx="4">
                  <c:v>45.71239029738981</c:v>
                </c:pt>
                <c:pt idx="5">
                  <c:v>57.140487871737257</c:v>
                </c:pt>
                <c:pt idx="6">
                  <c:v>68.568585446084711</c:v>
                </c:pt>
                <c:pt idx="7">
                  <c:v>79.996683020432158</c:v>
                </c:pt>
                <c:pt idx="8">
                  <c:v>91.424780594779619</c:v>
                </c:pt>
                <c:pt idx="9">
                  <c:v>102.85287816912705</c:v>
                </c:pt>
                <c:pt idx="10">
                  <c:v>114.28097574347451</c:v>
                </c:pt>
                <c:pt idx="11">
                  <c:v>125.70907331782196</c:v>
                </c:pt>
                <c:pt idx="12">
                  <c:v>137.13717089216942</c:v>
                </c:pt>
                <c:pt idx="13">
                  <c:v>148.56526846651687</c:v>
                </c:pt>
                <c:pt idx="14">
                  <c:v>159.99336604086432</c:v>
                </c:pt>
                <c:pt idx="15">
                  <c:v>171.42146361521176</c:v>
                </c:pt>
                <c:pt idx="16">
                  <c:v>182.84956118955924</c:v>
                </c:pt>
                <c:pt idx="17">
                  <c:v>194.27765876390671</c:v>
                </c:pt>
                <c:pt idx="18">
                  <c:v>205.7057563382541</c:v>
                </c:pt>
                <c:pt idx="19">
                  <c:v>217.13385391260158</c:v>
                </c:pt>
                <c:pt idx="20">
                  <c:v>228.56195148694903</c:v>
                </c:pt>
                <c:pt idx="21">
                  <c:v>239.99004906129645</c:v>
                </c:pt>
                <c:pt idx="22">
                  <c:v>251.41814663564392</c:v>
                </c:pt>
                <c:pt idx="23">
                  <c:v>262.84624420999143</c:v>
                </c:pt>
                <c:pt idx="24">
                  <c:v>274.27434178433884</c:v>
                </c:pt>
                <c:pt idx="25">
                  <c:v>285.70243935868626</c:v>
                </c:pt>
                <c:pt idx="26">
                  <c:v>297.13053693303374</c:v>
                </c:pt>
                <c:pt idx="27">
                  <c:v>308.55863450738116</c:v>
                </c:pt>
                <c:pt idx="28">
                  <c:v>319.98673208172863</c:v>
                </c:pt>
                <c:pt idx="29">
                  <c:v>331.41482965607605</c:v>
                </c:pt>
                <c:pt idx="30">
                  <c:v>342.84292723042353</c:v>
                </c:pt>
                <c:pt idx="31">
                  <c:v>350</c:v>
                </c:pt>
                <c:pt idx="32">
                  <c:v>350</c:v>
                </c:pt>
                <c:pt idx="33">
                  <c:v>350</c:v>
                </c:pt>
                <c:pt idx="34">
                  <c:v>350</c:v>
                </c:pt>
                <c:pt idx="35">
                  <c:v>350</c:v>
                </c:pt>
                <c:pt idx="36">
                  <c:v>350</c:v>
                </c:pt>
                <c:pt idx="37">
                  <c:v>350</c:v>
                </c:pt>
                <c:pt idx="38">
                  <c:v>347.29031336183277</c:v>
                </c:pt>
                <c:pt idx="39">
                  <c:v>339.02193511536296</c:v>
                </c:pt>
                <c:pt idx="40">
                  <c:v>331.14710888171953</c:v>
                </c:pt>
                <c:pt idx="41">
                  <c:v>323.6316884370118</c:v>
                </c:pt>
                <c:pt idx="42">
                  <c:v>316.45161802002781</c:v>
                </c:pt>
                <c:pt idx="43">
                  <c:v>309.58494181966313</c:v>
                </c:pt>
                <c:pt idx="44">
                  <c:v>303.01157972471009</c:v>
                </c:pt>
                <c:pt idx="45">
                  <c:v>296.71313120950413</c:v>
                </c:pt>
                <c:pt idx="46">
                  <c:v>290.67270332132875</c:v>
                </c:pt>
                <c:pt idx="47">
                  <c:v>284.87475938325167</c:v>
                </c:pt>
                <c:pt idx="48">
                  <c:v>279.30498555911231</c:v>
                </c:pt>
                <c:pt idx="49">
                  <c:v>273.9501728678668</c:v>
                </c:pt>
                <c:pt idx="50">
                  <c:v>268.79811259991232</c:v>
                </c:pt>
                <c:pt idx="51">
                  <c:v>263.83750339234251</c:v>
                </c:pt>
                <c:pt idx="52">
                  <c:v>259.05786847443676</c:v>
                </c:pt>
                <c:pt idx="53">
                  <c:v>254.44948180804505</c:v>
                </c:pt>
                <c:pt idx="54">
                  <c:v>250.00330202707954</c:v>
                </c:pt>
                <c:pt idx="55">
                  <c:v>245.71091323193824</c:v>
                </c:pt>
                <c:pt idx="56">
                  <c:v>241.5644718230981</c:v>
                </c:pt>
                <c:pt idx="57">
                  <c:v>237.55665866720429</c:v>
                </c:pt>
                <c:pt idx="58">
                  <c:v>233.68063598193595</c:v>
                </c:pt>
                <c:pt idx="59">
                  <c:v>229.93000840534623</c:v>
                </c:pt>
                <c:pt idx="60">
                  <c:v>226.29878778341359</c:v>
                </c:pt>
                <c:pt idx="61">
                  <c:v>222.7813612679891</c:v>
                </c:pt>
                <c:pt idx="62">
                  <c:v>219.37246236765296</c:v>
                </c:pt>
                <c:pt idx="63">
                  <c:v>216.06714463744603</c:v>
                </c:pt>
                <c:pt idx="64">
                  <c:v>212.86075773103443</c:v>
                </c:pt>
                <c:pt idx="65">
                  <c:v>209.74892557147845</c:v>
                </c:pt>
                <c:pt idx="66">
                  <c:v>206.7275264251152</c:v>
                </c:pt>
                <c:pt idx="67">
                  <c:v>203.79267468775902</c:v>
                </c:pt>
                <c:pt idx="68">
                  <c:v>200.94070421397345</c:v>
                </c:pt>
                <c:pt idx="69">
                  <c:v>198.16815303902263</c:v>
                </c:pt>
                <c:pt idx="70">
                  <c:v>195.47174935962721</c:v>
                </c:pt>
                <c:pt idx="71">
                  <c:v>192.84839865416504</c:v>
                </c:pt>
                <c:pt idx="72">
                  <c:v>190.29517183571159</c:v>
                </c:pt>
                <c:pt idx="73">
                  <c:v>187.80929434256774</c:v>
                </c:pt>
                <c:pt idx="74">
                  <c:v>185.38813608085047</c:v>
                </c:pt>
                <c:pt idx="75">
                  <c:v>183.0292021425044</c:v>
                </c:pt>
                <c:pt idx="76">
                  <c:v>180.73012422986972</c:v>
                </c:pt>
                <c:pt idx="77">
                  <c:v>178.48865272484576</c:v>
                </c:pt>
                <c:pt idx="78">
                  <c:v>176.30264934681989</c:v>
                </c:pt>
                <c:pt idx="79">
                  <c:v>174.17008034899317</c:v>
                </c:pt>
                <c:pt idx="80">
                  <c:v>172.0890102075974</c:v>
                </c:pt>
                <c:pt idx="81">
                  <c:v>170.05759576284143</c:v>
                </c:pt>
                <c:pt idx="82">
                  <c:v>168.07408077430799</c:v>
                </c:pt>
                <c:pt idx="83">
                  <c:v>166.13679085699624</c:v>
                </c:pt>
                <c:pt idx="84">
                  <c:v>164.24412876732012</c:v>
                </c:pt>
                <c:pt idx="85">
                  <c:v>162.39457001116918</c:v>
                </c:pt>
                <c:pt idx="86">
                  <c:v>160.58665874864991</c:v>
                </c:pt>
                <c:pt idx="87">
                  <c:v>158.81900397238655</c:v>
                </c:pt>
                <c:pt idx="88">
                  <c:v>157.09027593829671</c:v>
                </c:pt>
                <c:pt idx="89">
                  <c:v>155.39920282959557</c:v>
                </c:pt>
                <c:pt idx="90">
                  <c:v>153.7445676364386</c:v>
                </c:pt>
                <c:pt idx="91">
                  <c:v>152.12520523511509</c:v>
                </c:pt>
                <c:pt idx="92">
                  <c:v>150.53999965206083</c:v>
                </c:pt>
                <c:pt idx="93">
                  <c:v>148.98788149918798</c:v>
                </c:pt>
                <c:pt idx="94">
                  <c:v>147.46782556814725</c:v>
                </c:pt>
                <c:pt idx="95">
                  <c:v>145.97884857214834</c:v>
                </c:pt>
                <c:pt idx="96">
                  <c:v>144.52000702488675</c:v>
                </c:pt>
                <c:pt idx="97">
                  <c:v>143.09039524696323</c:v>
                </c:pt>
                <c:pt idx="98">
                  <c:v>141.68914349094229</c:v>
                </c:pt>
                <c:pt idx="99">
                  <c:v>140.31541617689518</c:v>
                </c:pt>
                <c:pt idx="100">
                  <c:v>138.96841023090536</c:v>
                </c:pt>
              </c:numCache>
            </c:numRef>
          </c:val>
          <c:smooth val="0"/>
          <c:extLst>
            <c:ext xmlns:c16="http://schemas.microsoft.com/office/drawing/2014/chart" uri="{C3380CC4-5D6E-409C-BE32-E72D297353CC}">
              <c16:uniqueId val="{0000000B-CEA8-405E-B5B3-AF38AAF3801C}"/>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CEA8-405E-B5B3-AF38AAF3801C}"/>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CEA8-405E-B5B3-AF38AAF3801C}"/>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CEA8-405E-B5B3-AF38AAF3801C}"/>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2.5000008807116725E-3</c:v>
                </c:pt>
                <c:pt idx="1">
                  <c:v>2.8595797468833834E-3</c:v>
                </c:pt>
                <c:pt idx="2">
                  <c:v>5.7191594937667668E-3</c:v>
                </c:pt>
                <c:pt idx="3">
                  <c:v>8.5787392406501493E-3</c:v>
                </c:pt>
                <c:pt idx="4">
                  <c:v>1.1438318987533534E-2</c:v>
                </c:pt>
                <c:pt idx="5">
                  <c:v>1.4297898734416916E-2</c:v>
                </c:pt>
                <c:pt idx="6">
                  <c:v>1.7157478481300299E-2</c:v>
                </c:pt>
                <c:pt idx="7">
                  <c:v>2.0017058228183688E-2</c:v>
                </c:pt>
                <c:pt idx="8">
                  <c:v>2.2876637975067067E-2</c:v>
                </c:pt>
                <c:pt idx="9">
                  <c:v>2.5736217721950453E-2</c:v>
                </c:pt>
                <c:pt idx="10">
                  <c:v>2.8595797468833832E-2</c:v>
                </c:pt>
                <c:pt idx="11">
                  <c:v>3.1455377215717222E-2</c:v>
                </c:pt>
                <c:pt idx="12">
                  <c:v>3.4314956962600597E-2</c:v>
                </c:pt>
                <c:pt idx="13">
                  <c:v>3.7174536709483987E-2</c:v>
                </c:pt>
                <c:pt idx="14">
                  <c:v>4.0034116456367376E-2</c:v>
                </c:pt>
                <c:pt idx="15">
                  <c:v>4.2893696203250752E-2</c:v>
                </c:pt>
                <c:pt idx="16">
                  <c:v>4.5753275950134134E-2</c:v>
                </c:pt>
                <c:pt idx="17">
                  <c:v>4.8612855697017524E-2</c:v>
                </c:pt>
                <c:pt idx="18">
                  <c:v>5.1472435443900906E-2</c:v>
                </c:pt>
                <c:pt idx="19">
                  <c:v>5.4332015190784282E-2</c:v>
                </c:pt>
                <c:pt idx="20">
                  <c:v>5.7191594937667664E-2</c:v>
                </c:pt>
                <c:pt idx="21">
                  <c:v>6.0051174684551054E-2</c:v>
                </c:pt>
                <c:pt idx="22">
                  <c:v>6.2910754431434443E-2</c:v>
                </c:pt>
                <c:pt idx="23">
                  <c:v>6.5770334178317832E-2</c:v>
                </c:pt>
                <c:pt idx="24">
                  <c:v>6.8629913925201194E-2</c:v>
                </c:pt>
                <c:pt idx="25">
                  <c:v>7.1489493672084597E-2</c:v>
                </c:pt>
                <c:pt idx="26">
                  <c:v>7.4349073418967973E-2</c:v>
                </c:pt>
                <c:pt idx="27">
                  <c:v>7.8303866069973138E-2</c:v>
                </c:pt>
                <c:pt idx="28">
                  <c:v>8.269411536834087E-2</c:v>
                </c:pt>
                <c:pt idx="29">
                  <c:v>8.7163478866466026E-2</c:v>
                </c:pt>
                <c:pt idx="30">
                  <c:v>9.1710580139960335E-2</c:v>
                </c:pt>
                <c:pt idx="31">
                  <c:v>9.5163915317655015E-2</c:v>
                </c:pt>
                <c:pt idx="32">
                  <c:v>9.6687875039165011E-2</c:v>
                </c:pt>
                <c:pt idx="33">
                  <c:v>9.8188241380845406E-2</c:v>
                </c:pt>
                <c:pt idx="34">
                  <c:v>9.9666079015165304E-2</c:v>
                </c:pt>
                <c:pt idx="35">
                  <c:v>0.1011223748711311</c:v>
                </c:pt>
                <c:pt idx="36">
                  <c:v>0.10255804585718102</c:v>
                </c:pt>
                <c:pt idx="37">
                  <c:v>0.10161691403714769</c:v>
                </c:pt>
                <c:pt idx="38">
                  <c:v>0.10046642378958864</c:v>
                </c:pt>
                <c:pt idx="39">
                  <c:v>9.9354528279136961E-2</c:v>
                </c:pt>
                <c:pt idx="40">
                  <c:v>9.8279142550035017E-2</c:v>
                </c:pt>
                <c:pt idx="41">
                  <c:v>9.7238334359027151E-2</c:v>
                </c:pt>
                <c:pt idx="42">
                  <c:v>9.6230310260656135E-2</c:v>
                </c:pt>
                <c:pt idx="43">
                  <c:v>9.5253403189159924E-2</c:v>
                </c:pt>
                <c:pt idx="44">
                  <c:v>9.4306061353772605E-2</c:v>
                </c:pt>
                <c:pt idx="45">
                  <c:v>9.3386838289038349E-2</c:v>
                </c:pt>
                <c:pt idx="46">
                  <c:v>0.10063047445817067</c:v>
                </c:pt>
                <c:pt idx="47">
                  <c:v>0.1007584186966755</c:v>
                </c:pt>
                <c:pt idx="48">
                  <c:v>0.10088169061148257</c:v>
                </c:pt>
                <c:pt idx="49">
                  <c:v>0.10100056132221041</c:v>
                </c:pt>
                <c:pt idx="50">
                  <c:v>0.10111528137134029</c:v>
                </c:pt>
                <c:pt idx="51">
                  <c:v>0.10122608264004121</c:v>
                </c:pt>
                <c:pt idx="52">
                  <c:v>0.1013331800538611</c:v>
                </c:pt>
                <c:pt idx="53">
                  <c:v>0.10143677310469139</c:v>
                </c:pt>
                <c:pt idx="54">
                  <c:v>0.10153704721168572</c:v>
                </c:pt>
                <c:pt idx="55">
                  <c:v>0.10163417494066969</c:v>
                </c:pt>
                <c:pt idx="56">
                  <c:v>0.10172831709891535</c:v>
                </c:pt>
                <c:pt idx="57">
                  <c:v>0.10181962371989424</c:v>
                </c:pt>
                <c:pt idx="58">
                  <c:v>0.10190823495069506</c:v>
                </c:pt>
                <c:pt idx="59">
                  <c:v>0.10199428185314938</c:v>
                </c:pt>
                <c:pt idx="60">
                  <c:v>0.10207788712829834</c:v>
                </c:pt>
                <c:pt idx="61">
                  <c:v>0.10215916577262385</c:v>
                </c:pt>
                <c:pt idx="62">
                  <c:v>0.10223822567342675</c:v>
                </c:pt>
                <c:pt idx="63">
                  <c:v>0.10231516814983502</c:v>
                </c:pt>
                <c:pt idx="64">
                  <c:v>0.10239008844514777</c:v>
                </c:pt>
                <c:pt idx="65">
                  <c:v>0.10246307617554698</c:v>
                </c:pt>
                <c:pt idx="66">
                  <c:v>0.10253421573962145</c:v>
                </c:pt>
                <c:pt idx="67">
                  <c:v>0.1026035866926399</c:v>
                </c:pt>
                <c:pt idx="68">
                  <c:v>0.10267126408906224</c:v>
                </c:pt>
                <c:pt idx="69">
                  <c:v>0.10273731879638988</c:v>
                </c:pt>
                <c:pt idx="70">
                  <c:v>0.10280181778311497</c:v>
                </c:pt>
                <c:pt idx="71">
                  <c:v>0.10286482438322843</c:v>
                </c:pt>
                <c:pt idx="72">
                  <c:v>0.10292639853948293</c:v>
                </c:pt>
                <c:pt idx="73">
                  <c:v>0.10298659702737598</c:v>
                </c:pt>
                <c:pt idx="74">
                  <c:v>0.10304547366161164</c:v>
                </c:pt>
                <c:pt idx="75">
                  <c:v>0.10310307948662058</c:v>
                </c:pt>
                <c:pt idx="76">
                  <c:v>0.10315946295255514</c:v>
                </c:pt>
                <c:pt idx="77">
                  <c:v>0.10321467007803584</c:v>
                </c:pt>
                <c:pt idx="78">
                  <c:v>0.10326874460079802</c:v>
                </c:pt>
                <c:pt idx="79">
                  <c:v>0.10332172811727583</c:v>
                </c:pt>
                <c:pt idx="80">
                  <c:v>0.10337366021205931</c:v>
                </c:pt>
                <c:pt idx="81">
                  <c:v>0.10342457857807179</c:v>
                </c:pt>
                <c:pt idx="82">
                  <c:v>0.10347451912823458</c:v>
                </c:pt>
                <c:pt idx="83">
                  <c:v>0.10352351609931378</c:v>
                </c:pt>
                <c:pt idx="84">
                  <c:v>0.1035716021485812</c:v>
                </c:pt>
                <c:pt idx="85">
                  <c:v>0.10361880844386209</c:v>
                </c:pt>
                <c:pt idx="86">
                  <c:v>0.10366516474749186</c:v>
                </c:pt>
                <c:pt idx="87">
                  <c:v>0.10371069949465755</c:v>
                </c:pt>
                <c:pt idx="88">
                  <c:v>0.10375543986655661</c:v>
                </c:pt>
                <c:pt idx="89">
                  <c:v>0.1037994118587692</c:v>
                </c:pt>
                <c:pt idx="90">
                  <c:v>0.10384264034520538</c:v>
                </c:pt>
                <c:pt idx="91">
                  <c:v>0.10388514913795717</c:v>
                </c:pt>
                <c:pt idx="92">
                  <c:v>0.1039269610433592</c:v>
                </c:pt>
                <c:pt idx="93">
                  <c:v>0.10396809791453436</c:v>
                </c:pt>
                <c:pt idx="94">
                  <c:v>0.1040085807006792</c:v>
                </c:pt>
                <c:pt idx="95">
                  <c:v>0.10404842949332287</c:v>
                </c:pt>
                <c:pt idx="96">
                  <c:v>0.10408766356977385</c:v>
                </c:pt>
                <c:pt idx="97">
                  <c:v>0.10412630143395242</c:v>
                </c:pt>
                <c:pt idx="98">
                  <c:v>0.10416436085478997</c:v>
                </c:pt>
                <c:pt idx="99">
                  <c:v>0.1042018589023629</c:v>
                </c:pt>
                <c:pt idx="100">
                  <c:v>0.1042388119819161</c:v>
                </c:pt>
              </c:numCache>
            </c:numRef>
          </c:val>
          <c:smooth val="0"/>
          <c:extLst>
            <c:ext xmlns:c16="http://schemas.microsoft.com/office/drawing/2014/chart" uri="{C3380CC4-5D6E-409C-BE32-E72D297353CC}">
              <c16:uniqueId val="{0000000F-CEA8-405E-B5B3-AF38AAF3801C}"/>
            </c:ext>
          </c:extLst>
        </c:ser>
        <c:ser>
          <c:idx val="7"/>
          <c:order val="7"/>
          <c:spPr>
            <a:ln w="25400">
              <a:solidFill>
                <a:srgbClr val="00B050"/>
              </a:solidFill>
              <a:prstDash val="dash"/>
            </a:ln>
          </c:spPr>
          <c:marker>
            <c:symbol val="none"/>
          </c:marker>
          <c:val>
            <c:numRef>
              <c:f>'Calculations - Dual'!$AU$110:$AU$210</c:f>
              <c:numCache>
                <c:formatCode>0.000</c:formatCode>
                <c:ptCount val="101"/>
                <c:pt idx="0">
                  <c:v>1.3340318218830163E-2</c:v>
                </c:pt>
                <c:pt idx="1">
                  <c:v>1.5304005285722091E-2</c:v>
                </c:pt>
                <c:pt idx="2">
                  <c:v>4.5912015857166269E-2</c:v>
                </c:pt>
                <c:pt idx="3">
                  <c:v>4.5912015857166269E-2</c:v>
                </c:pt>
                <c:pt idx="4">
                  <c:v>6.1216021142888363E-2</c:v>
                </c:pt>
                <c:pt idx="5">
                  <c:v>7.6520026428610458E-2</c:v>
                </c:pt>
                <c:pt idx="6">
                  <c:v>9.1824031714332538E-2</c:v>
                </c:pt>
                <c:pt idx="7">
                  <c:v>0.10712803700005467</c:v>
                </c:pt>
                <c:pt idx="8">
                  <c:v>0.12243204228577673</c:v>
                </c:pt>
                <c:pt idx="9">
                  <c:v>0.13773604757149885</c:v>
                </c:pt>
                <c:pt idx="10">
                  <c:v>0.15304005285722092</c:v>
                </c:pt>
                <c:pt idx="11">
                  <c:v>0.16834405814294304</c:v>
                </c:pt>
                <c:pt idx="12">
                  <c:v>0.18364806342866508</c:v>
                </c:pt>
                <c:pt idx="13">
                  <c:v>0.19895206871438723</c:v>
                </c:pt>
                <c:pt idx="14">
                  <c:v>0.21425607400010935</c:v>
                </c:pt>
                <c:pt idx="15">
                  <c:v>0.22956007928583139</c:v>
                </c:pt>
                <c:pt idx="16">
                  <c:v>0.24486408457155345</c:v>
                </c:pt>
                <c:pt idx="17">
                  <c:v>0.26016808985727558</c:v>
                </c:pt>
                <c:pt idx="18">
                  <c:v>0.2754720951429977</c:v>
                </c:pt>
                <c:pt idx="19">
                  <c:v>0.29077610042871976</c:v>
                </c:pt>
                <c:pt idx="20">
                  <c:v>0.30608010571444183</c:v>
                </c:pt>
                <c:pt idx="21">
                  <c:v>0.32138411100016395</c:v>
                </c:pt>
                <c:pt idx="22">
                  <c:v>0.33963323967863551</c:v>
                </c:pt>
                <c:pt idx="23">
                  <c:v>0.37121071030991365</c:v>
                </c:pt>
                <c:pt idx="24">
                  <c:v>0.40421417401502335</c:v>
                </c:pt>
                <c:pt idx="25">
                  <c:v>0.43883025558050681</c:v>
                </c:pt>
                <c:pt idx="26">
                  <c:v>0.37145097172141589</c:v>
                </c:pt>
                <c:pt idx="27">
                  <c:v>0.37215898148859378</c:v>
                </c:pt>
                <c:pt idx="28">
                  <c:v>0.37282340419309495</c:v>
                </c:pt>
                <c:pt idx="29">
                  <c:v>0.3734485608269425</c:v>
                </c:pt>
                <c:pt idx="30">
                  <c:v>0.3740382196248519</c:v>
                </c:pt>
                <c:pt idx="31">
                  <c:v>0.37459568171357854</c:v>
                </c:pt>
                <c:pt idx="32">
                  <c:v>0.37512385131439674</c:v>
                </c:pt>
                <c:pt idx="33">
                  <c:v>0.37562529365401792</c:v>
                </c:pt>
                <c:pt idx="34">
                  <c:v>0.3761022830235341</c:v>
                </c:pt>
                <c:pt idx="35">
                  <c:v>0.3765568428868652</c:v>
                </c:pt>
                <c:pt idx="36">
                  <c:v>0.37699077953201043</c:v>
                </c:pt>
                <c:pt idx="37">
                  <c:v>0.37740571044624371</c:v>
                </c:pt>
                <c:pt idx="38">
                  <c:v>0.37780308835575421</c:v>
                </c:pt>
                <c:pt idx="39">
                  <c:v>0.37818422168339733</c:v>
                </c:pt>
                <c:pt idx="40">
                  <c:v>0.37855029203211393</c:v>
                </c:pt>
                <c:pt idx="41">
                  <c:v>0.37890236918659204</c:v>
                </c:pt>
                <c:pt idx="42">
                  <c:v>0.37924142403466932</c:v>
                </c:pt>
                <c:pt idx="43">
                  <c:v>0.37956833973741655</c:v>
                </c:pt>
                <c:pt idx="44">
                  <c:v>0.37988392141871585</c:v>
                </c:pt>
                <c:pt idx="45">
                  <c:v>0.38018890459831756</c:v>
                </c:pt>
                <c:pt idx="46">
                  <c:v>0.38048396255445505</c:v>
                </c:pt>
                <c:pt idx="47">
                  <c:v>0.38076971277125438</c:v>
                </c:pt>
                <c:pt idx="48">
                  <c:v>0.38104672260097011</c:v>
                </c:pt>
                <c:pt idx="49">
                  <c:v>0.3813155142503824</c:v>
                </c:pt>
                <c:pt idx="50">
                  <c:v>0.38157656918363436</c:v>
                </c:pt>
                <c:pt idx="51">
                  <c:v>0.38183033201965982</c:v>
                </c:pt>
                <c:pt idx="52">
                  <c:v>0.3820772139906175</c:v>
                </c:pt>
                <c:pt idx="53">
                  <c:v>0.38231759601795801</c:v>
                </c:pt>
                <c:pt idx="54">
                  <c:v>0.38255183145454924</c:v>
                </c:pt>
                <c:pt idx="55">
                  <c:v>0.38278024853440684</c:v>
                </c:pt>
                <c:pt idx="56">
                  <c:v>0.38300315256576656</c:v>
                </c:pt>
                <c:pt idx="57">
                  <c:v>0.38322082789833356</c:v>
                </c:pt>
                <c:pt idx="58">
                  <c:v>0.38343353969137933</c:v>
                </c:pt>
                <c:pt idx="59">
                  <c:v>0.38364153550581631</c:v>
                </c:pt>
                <c:pt idx="60">
                  <c:v>0.38384504674036263</c:v>
                </c:pt>
                <c:pt idx="61">
                  <c:v>0.38404428992932155</c:v>
                </c:pt>
                <c:pt idx="62">
                  <c:v>0.38423946791728808</c:v>
                </c:pt>
                <c:pt idx="63">
                  <c:v>0.38443077092418815</c:v>
                </c:pt>
                <c:pt idx="64">
                  <c:v>0.38461837751240935</c:v>
                </c:pt>
                <c:pt idx="65">
                  <c:v>0.38480245546636821</c:v>
                </c:pt>
                <c:pt idx="66">
                  <c:v>0.38498316259362469</c:v>
                </c:pt>
                <c:pt idx="67">
                  <c:v>0.38516064745558787</c:v>
                </c:pt>
                <c:pt idx="68">
                  <c:v>0.38533505003492852</c:v>
                </c:pt>
                <c:pt idx="69">
                  <c:v>0.3855065023460042</c:v>
                </c:pt>
                <c:pt idx="70">
                  <c:v>0.38567512899389245</c:v>
                </c:pt>
                <c:pt idx="71">
                  <c:v>0.38584104768701222</c:v>
                </c:pt>
                <c:pt idx="72">
                  <c:v>0.38600436970776503</c:v>
                </c:pt>
                <c:pt idx="73">
                  <c:v>0.38616520034515611</c:v>
                </c:pt>
                <c:pt idx="74">
                  <c:v>0.38632363929292746</c:v>
                </c:pt>
                <c:pt idx="75">
                  <c:v>0.38647978101637098</c:v>
                </c:pt>
                <c:pt idx="76">
                  <c:v>0.38663371509065764</c:v>
                </c:pt>
                <c:pt idx="77">
                  <c:v>0.386785526513232</c:v>
                </c:pt>
                <c:pt idx="78">
                  <c:v>0.38693529599255855</c:v>
                </c:pt>
                <c:pt idx="79">
                  <c:v>0.38708310021528669</c:v>
                </c:pt>
                <c:pt idx="80">
                  <c:v>0.38722901209369076</c:v>
                </c:pt>
                <c:pt idx="81">
                  <c:v>0.38737310099506223</c:v>
                </c:pt>
                <c:pt idx="82">
                  <c:v>0.38751543295457525</c:v>
                </c:pt>
                <c:pt idx="83">
                  <c:v>0.38765607087299403</c:v>
                </c:pt>
                <c:pt idx="84">
                  <c:v>0.38779507470046892</c:v>
                </c:pt>
                <c:pt idx="85">
                  <c:v>0.38793250160755055</c:v>
                </c:pt>
                <c:pt idx="86">
                  <c:v>0.38806840614444421</c:v>
                </c:pt>
                <c:pt idx="87">
                  <c:v>0.38820284038944047</c:v>
                </c:pt>
                <c:pt idx="88">
                  <c:v>0.3883358540873692</c:v>
                </c:pt>
                <c:pt idx="89">
                  <c:v>0.38846749477885012</c:v>
                </c:pt>
                <c:pt idx="90">
                  <c:v>0.38859780792104698</c:v>
                </c:pt>
                <c:pt idx="91">
                  <c:v>0.38872683700056926</c:v>
                </c:pt>
                <c:pt idx="92">
                  <c:v>0.38885462363911083</c:v>
                </c:pt>
                <c:pt idx="93">
                  <c:v>0.38898120769236511</c:v>
                </c:pt>
                <c:pt idx="94">
                  <c:v>0.38910662734271001</c:v>
                </c:pt>
                <c:pt idx="95">
                  <c:v>0.38923091918611696</c:v>
                </c:pt>
                <c:pt idx="96">
                  <c:v>0.3893541183136987</c:v>
                </c:pt>
                <c:pt idx="97">
                  <c:v>0.38947625838827771</c:v>
                </c:pt>
                <c:pt idx="98">
                  <c:v>0.38959737171632691</c:v>
                </c:pt>
                <c:pt idx="99">
                  <c:v>0.38971748931560551</c:v>
                </c:pt>
                <c:pt idx="100">
                  <c:v>0.38983664097878806</c:v>
                </c:pt>
              </c:numCache>
            </c:numRef>
          </c:val>
          <c:smooth val="0"/>
          <c:extLst>
            <c:ext xmlns:c16="http://schemas.microsoft.com/office/drawing/2014/chart" uri="{C3380CC4-5D6E-409C-BE32-E72D297353CC}">
              <c16:uniqueId val="{00000010-CEA8-405E-B5B3-AF38AAF3801C}"/>
            </c:ext>
          </c:extLst>
        </c:ser>
        <c:ser>
          <c:idx val="8"/>
          <c:order val="8"/>
          <c:spPr>
            <a:ln w="25400">
              <a:solidFill>
                <a:srgbClr val="FF0000"/>
              </a:solidFill>
            </a:ln>
          </c:spPr>
          <c:marker>
            <c:symbol val="none"/>
          </c:marker>
          <c:val>
            <c:numRef>
              <c:f>'Calculations - Dual'!$AU$216:$AU$316</c:f>
              <c:numCache>
                <c:formatCode>0.000</c:formatCode>
                <c:ptCount val="101"/>
                <c:pt idx="0">
                  <c:v>2.0001523973290627E-3</c:v>
                </c:pt>
                <c:pt idx="1">
                  <c:v>2.2870272982221944E-3</c:v>
                </c:pt>
                <c:pt idx="2">
                  <c:v>4.5740545964443888E-3</c:v>
                </c:pt>
                <c:pt idx="3">
                  <c:v>6.8610818946665836E-3</c:v>
                </c:pt>
                <c:pt idx="4">
                  <c:v>9.1481091928887776E-3</c:v>
                </c:pt>
                <c:pt idx="5">
                  <c:v>1.1435136491110973E-2</c:v>
                </c:pt>
                <c:pt idx="6">
                  <c:v>1.3722163789333167E-2</c:v>
                </c:pt>
                <c:pt idx="7">
                  <c:v>1.6009191087555358E-2</c:v>
                </c:pt>
                <c:pt idx="8">
                  <c:v>1.8296218385777555E-2</c:v>
                </c:pt>
                <c:pt idx="9">
                  <c:v>2.0583245683999749E-2</c:v>
                </c:pt>
                <c:pt idx="10">
                  <c:v>2.2870272982221947E-2</c:v>
                </c:pt>
                <c:pt idx="11">
                  <c:v>2.5157300280444141E-2</c:v>
                </c:pt>
                <c:pt idx="12">
                  <c:v>2.7444327578666335E-2</c:v>
                </c:pt>
                <c:pt idx="13">
                  <c:v>2.9731354876888525E-2</c:v>
                </c:pt>
                <c:pt idx="14">
                  <c:v>3.2018382175110716E-2</c:v>
                </c:pt>
                <c:pt idx="15">
                  <c:v>3.4305409473332917E-2</c:v>
                </c:pt>
                <c:pt idx="16">
                  <c:v>3.659243677155511E-2</c:v>
                </c:pt>
                <c:pt idx="17">
                  <c:v>3.8879464069777318E-2</c:v>
                </c:pt>
                <c:pt idx="18">
                  <c:v>4.1166491367999498E-2</c:v>
                </c:pt>
                <c:pt idx="19">
                  <c:v>4.3453518666221692E-2</c:v>
                </c:pt>
                <c:pt idx="20">
                  <c:v>4.5740545964443893E-2</c:v>
                </c:pt>
                <c:pt idx="21">
                  <c:v>4.8027573262666073E-2</c:v>
                </c:pt>
                <c:pt idx="22">
                  <c:v>5.0314600560888281E-2</c:v>
                </c:pt>
                <c:pt idx="23">
                  <c:v>5.2601627859110482E-2</c:v>
                </c:pt>
                <c:pt idx="24">
                  <c:v>5.4888655157332669E-2</c:v>
                </c:pt>
                <c:pt idx="25">
                  <c:v>5.7175682455554863E-2</c:v>
                </c:pt>
                <c:pt idx="26">
                  <c:v>5.946270975377705E-2</c:v>
                </c:pt>
                <c:pt idx="27">
                  <c:v>6.2625663597437126E-2</c:v>
                </c:pt>
                <c:pt idx="28">
                  <c:v>6.6136885832911038E-2</c:v>
                </c:pt>
                <c:pt idx="29">
                  <c:v>6.971138181856433E-2</c:v>
                </c:pt>
                <c:pt idx="30">
                  <c:v>7.3348050721257621E-2</c:v>
                </c:pt>
                <c:pt idx="31">
                  <c:v>7.6117224177250975E-2</c:v>
                </c:pt>
                <c:pt idx="32">
                  <c:v>7.7335942980453737E-2</c:v>
                </c:pt>
                <c:pt idx="33">
                  <c:v>7.8535787064602763E-2</c:v>
                </c:pt>
                <c:pt idx="34">
                  <c:v>7.9717608167904644E-2</c:v>
                </c:pt>
                <c:pt idx="35">
                  <c:v>8.0882195833785545E-2</c:v>
                </c:pt>
                <c:pt idx="36">
                  <c:v>7.7324577572738737E-2</c:v>
                </c:pt>
                <c:pt idx="37">
                  <c:v>7.9470613385205807E-2</c:v>
                </c:pt>
                <c:pt idx="38">
                  <c:v>8.0984701697209019E-2</c:v>
                </c:pt>
                <c:pt idx="39">
                  <c:v>8.1134009892124909E-2</c:v>
                </c:pt>
                <c:pt idx="40">
                  <c:v>8.1277732057122215E-2</c:v>
                </c:pt>
                <c:pt idx="41">
                  <c:v>8.1415219543597969E-2</c:v>
                </c:pt>
                <c:pt idx="42">
                  <c:v>8.1546889660942576E-2</c:v>
                </c:pt>
                <c:pt idx="43">
                  <c:v>8.1673123289481425E-2</c:v>
                </c:pt>
                <c:pt idx="44">
                  <c:v>8.1794268770674722E-2</c:v>
                </c:pt>
                <c:pt idx="45">
                  <c:v>8.1910645309227953E-2</c:v>
                </c:pt>
                <c:pt idx="46">
                  <c:v>8.2022545957095294E-2</c:v>
                </c:pt>
                <c:pt idx="47">
                  <c:v>8.213024023812017E-2</c:v>
                </c:pt>
                <c:pt idx="48">
                  <c:v>8.2233976462810526E-2</c:v>
                </c:pt>
                <c:pt idx="49">
                  <c:v>8.2333983775105229E-2</c:v>
                </c:pt>
                <c:pt idx="50">
                  <c:v>8.2430473966648238E-2</c:v>
                </c:pt>
                <c:pt idx="51">
                  <c:v>8.252364308880876E-2</c:v>
                </c:pt>
                <c:pt idx="52">
                  <c:v>8.2613672888272052E-2</c:v>
                </c:pt>
                <c:pt idx="53">
                  <c:v>8.2700732088325651E-2</c:v>
                </c:pt>
                <c:pt idx="54">
                  <c:v>8.2784977534849633E-2</c:v>
                </c:pt>
                <c:pt idx="55">
                  <c:v>8.2866555223390301E-2</c:v>
                </c:pt>
                <c:pt idx="56">
                  <c:v>8.2945601221469267E-2</c:v>
                </c:pt>
                <c:pt idx="57">
                  <c:v>8.3022242498386134E-2</c:v>
                </c:pt>
                <c:pt idx="58">
                  <c:v>8.3096597673162062E-2</c:v>
                </c:pt>
                <c:pt idx="59">
                  <c:v>8.3168777689892767E-2</c:v>
                </c:pt>
                <c:pt idx="60">
                  <c:v>8.3238886428599362E-2</c:v>
                </c:pt>
                <c:pt idx="61">
                  <c:v>8.3307021258652206E-2</c:v>
                </c:pt>
                <c:pt idx="62">
                  <c:v>8.3373273540968407E-2</c:v>
                </c:pt>
                <c:pt idx="63">
                  <c:v>8.3437729084431658E-2</c:v>
                </c:pt>
                <c:pt idx="64">
                  <c:v>8.3500468561329172E-2</c:v>
                </c:pt>
                <c:pt idx="65">
                  <c:v>8.3561567886036428E-2</c:v>
                </c:pt>
                <c:pt idx="66">
                  <c:v>8.3621098560686946E-2</c:v>
                </c:pt>
                <c:pt idx="67">
                  <c:v>8.3679127991137817E-2</c:v>
                </c:pt>
                <c:pt idx="68">
                  <c:v>8.3735719776166659E-2</c:v>
                </c:pt>
                <c:pt idx="69">
                  <c:v>8.3790933972508821E-2</c:v>
                </c:pt>
                <c:pt idx="70">
                  <c:v>8.3844827338057412E-2</c:v>
                </c:pt>
                <c:pt idx="71">
                  <c:v>8.3897453555296778E-2</c:v>
                </c:pt>
                <c:pt idx="72">
                  <c:v>8.3948863436818538E-2</c:v>
                </c:pt>
                <c:pt idx="73">
                  <c:v>8.399910511457484E-2</c:v>
                </c:pt>
                <c:pt idx="74">
                  <c:v>8.4048224214349876E-2</c:v>
                </c:pt>
                <c:pt idx="75">
                  <c:v>8.4096264016780012E-2</c:v>
                </c:pt>
                <c:pt idx="76">
                  <c:v>8.4143265606116985E-2</c:v>
                </c:pt>
                <c:pt idx="77">
                  <c:v>8.418926800780864E-2</c:v>
                </c:pt>
                <c:pt idx="78">
                  <c:v>8.423430831586623E-2</c:v>
                </c:pt>
                <c:pt idx="79">
                  <c:v>8.4278421810891471E-2</c:v>
                </c:pt>
                <c:pt idx="80">
                  <c:v>8.432164206955392E-2</c:v>
                </c:pt>
                <c:pt idx="81">
                  <c:v>8.436400106623089E-2</c:v>
                </c:pt>
                <c:pt idx="82">
                  <c:v>8.4405529267458451E-2</c:v>
                </c:pt>
                <c:pt idx="83">
                  <c:v>8.4446255719778832E-2</c:v>
                </c:pt>
                <c:pt idx="84">
                  <c:v>8.4486208131516832E-2</c:v>
                </c:pt>
                <c:pt idx="85">
                  <c:v>8.4525412948969536E-2</c:v>
                </c:pt>
                <c:pt idx="86">
                  <c:v>8.4563895427449104E-2</c:v>
                </c:pt>
                <c:pt idx="87">
                  <c:v>8.4601679697580048E-2</c:v>
                </c:pt>
                <c:pt idx="88">
                  <c:v>8.463878882721651E-2</c:v>
                </c:pt>
                <c:pt idx="89">
                  <c:v>8.4675244879313979E-2</c:v>
                </c:pt>
                <c:pt idx="90">
                  <c:v>8.4711068966059816E-2</c:v>
                </c:pt>
                <c:pt idx="91">
                  <c:v>8.4746281299542134E-2</c:v>
                </c:pt>
                <c:pt idx="92">
                  <c:v>8.4780901239212725E-2</c:v>
                </c:pt>
                <c:pt idx="93">
                  <c:v>8.4814947336377858E-2</c:v>
                </c:pt>
                <c:pt idx="94">
                  <c:v>8.4848437375931868E-2</c:v>
                </c:pt>
                <c:pt idx="95">
                  <c:v>8.4881388415531375E-2</c:v>
                </c:pt>
                <c:pt idx="96">
                  <c:v>8.491381682239052E-2</c:v>
                </c:pt>
                <c:pt idx="97">
                  <c:v>8.4945738307865032E-2</c:v>
                </c:pt>
                <c:pt idx="98">
                  <c:v>8.4977167959977701E-2</c:v>
                </c:pt>
                <c:pt idx="99">
                  <c:v>8.500812027402764E-2</c:v>
                </c:pt>
                <c:pt idx="100">
                  <c:v>8.5038609181413122E-2</c:v>
                </c:pt>
              </c:numCache>
            </c:numRef>
          </c:val>
          <c:smooth val="0"/>
          <c:extLst>
            <c:ext xmlns:c16="http://schemas.microsoft.com/office/drawing/2014/chart" uri="{C3380CC4-5D6E-409C-BE32-E72D297353CC}">
              <c16:uniqueId val="{00000011-CEA8-405E-B5B3-AF38AAF3801C}"/>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zh-CN"/>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zh-CN"/>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zh-CN"/>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1.0087473339577233</c:v>
                </c:pt>
                <c:pt idx="23">
                  <c:v>1.0545994855012562</c:v>
                </c:pt>
                <c:pt idx="24">
                  <c:v>1.1004451630636245</c:v>
                </c:pt>
                <c:pt idx="25">
                  <c:v>1.146233842431297</c:v>
                </c:pt>
                <c:pt idx="26">
                  <c:v>1.1921709163932037</c:v>
                </c:pt>
                <c:pt idx="27">
                  <c:v>1.2380292896407363</c:v>
                </c:pt>
                <c:pt idx="28">
                  <c:v>1.2838881340329518</c:v>
                </c:pt>
                <c:pt idx="29">
                  <c:v>1.3297474552554853</c:v>
                </c:pt>
                <c:pt idx="30">
                  <c:v>1.3756072589957764</c:v>
                </c:pt>
                <c:pt idx="31">
                  <c:v>1.421467550943069</c:v>
                </c:pt>
                <c:pt idx="32">
                  <c:v>1.4673283367884169</c:v>
                </c:pt>
                <c:pt idx="33">
                  <c:v>1.5131896222246846</c:v>
                </c:pt>
                <c:pt idx="34">
                  <c:v>1.5590514129465538</c:v>
                </c:pt>
                <c:pt idx="35">
                  <c:v>1.6049137146505219</c:v>
                </c:pt>
                <c:pt idx="36">
                  <c:v>1.6507765330349082</c:v>
                </c:pt>
                <c:pt idx="37">
                  <c:v>1.6966398737998563</c:v>
                </c:pt>
                <c:pt idx="38">
                  <c:v>1.7425037426473353</c:v>
                </c:pt>
                <c:pt idx="39">
                  <c:v>1.7883681452811457</c:v>
                </c:pt>
                <c:pt idx="40">
                  <c:v>1.8342330874069199</c:v>
                </c:pt>
                <c:pt idx="41">
                  <c:v>1.880098574732127</c:v>
                </c:pt>
                <c:pt idx="42">
                  <c:v>1.9259646129660746</c:v>
                </c:pt>
                <c:pt idx="43">
                  <c:v>1.9718312078199107</c:v>
                </c:pt>
                <c:pt idx="44">
                  <c:v>2.0176983650066314</c:v>
                </c:pt>
                <c:pt idx="45">
                  <c:v>2.063566090241078</c:v>
                </c:pt>
                <c:pt idx="46">
                  <c:v>2.1094343892399441</c:v>
                </c:pt>
                <c:pt idx="47">
                  <c:v>2.1553032677217758</c:v>
                </c:pt>
                <c:pt idx="48">
                  <c:v>2.2011727314069778</c:v>
                </c:pt>
                <c:pt idx="49">
                  <c:v>2.2470427860178148</c:v>
                </c:pt>
                <c:pt idx="50">
                  <c:v>2.2929134372784135</c:v>
                </c:pt>
                <c:pt idx="51">
                  <c:v>2.3387846909147649</c:v>
                </c:pt>
                <c:pt idx="52">
                  <c:v>2.3846565526547341</c:v>
                </c:pt>
                <c:pt idx="53">
                  <c:v>2.4305290282280541</c:v>
                </c:pt>
                <c:pt idx="54">
                  <c:v>2.4764021233663338</c:v>
                </c:pt>
                <c:pt idx="55">
                  <c:v>2.5222758438030612</c:v>
                </c:pt>
                <c:pt idx="56">
                  <c:v>2.5681501952736046</c:v>
                </c:pt>
                <c:pt idx="57">
                  <c:v>2.6140251835152171</c:v>
                </c:pt>
                <c:pt idx="58">
                  <c:v>2.6599008142670386</c:v>
                </c:pt>
                <c:pt idx="59">
                  <c:v>2.7057770932700995</c:v>
                </c:pt>
                <c:pt idx="60">
                  <c:v>2.7516540262673255</c:v>
                </c:pt>
                <c:pt idx="61">
                  <c:v>2.7975316190035349</c:v>
                </c:pt>
                <c:pt idx="62">
                  <c:v>2.8434098772254472</c:v>
                </c:pt>
                <c:pt idx="63">
                  <c:v>2.8892888066816869</c:v>
                </c:pt>
                <c:pt idx="64">
                  <c:v>2.9351684131227795</c:v>
                </c:pt>
                <c:pt idx="65">
                  <c:v>2.9810487023011629</c:v>
                </c:pt>
                <c:pt idx="66">
                  <c:v>3.0269296799711851</c:v>
                </c:pt>
                <c:pt idx="67">
                  <c:v>3.0728113518891091</c:v>
                </c:pt>
                <c:pt idx="68">
                  <c:v>3.118693723813116</c:v>
                </c:pt>
                <c:pt idx="69">
                  <c:v>3.1645768015033067</c:v>
                </c:pt>
                <c:pt idx="70">
                  <c:v>3.2104605907217079</c:v>
                </c:pt>
                <c:pt idx="71">
                  <c:v>3.2563450972322729</c:v>
                </c:pt>
                <c:pt idx="72">
                  <c:v>3.3022303268008839</c:v>
                </c:pt>
                <c:pt idx="73">
                  <c:v>3.3481162851953576</c:v>
                </c:pt>
                <c:pt idx="74">
                  <c:v>3.3940029781854455</c:v>
                </c:pt>
                <c:pt idx="75">
                  <c:v>3.4398904115428417</c:v>
                </c:pt>
                <c:pt idx="76">
                  <c:v>3.4857785910411785</c:v>
                </c:pt>
                <c:pt idx="77">
                  <c:v>3.5316675224560372</c:v>
                </c:pt>
                <c:pt idx="78">
                  <c:v>3.5775572115649461</c:v>
                </c:pt>
                <c:pt idx="79">
                  <c:v>3.6234476641473874</c:v>
                </c:pt>
                <c:pt idx="80">
                  <c:v>3.6693388859847929</c:v>
                </c:pt>
                <c:pt idx="81">
                  <c:v>3.715230882860558</c:v>
                </c:pt>
                <c:pt idx="82">
                  <c:v>3.7611236605600382</c:v>
                </c:pt>
                <c:pt idx="83">
                  <c:v>3.8070172248705521</c:v>
                </c:pt>
                <c:pt idx="84">
                  <c:v>3.8529115815813824</c:v>
                </c:pt>
                <c:pt idx="85">
                  <c:v>3.8988067364837891</c:v>
                </c:pt>
                <c:pt idx="86">
                  <c:v>3.9447026953710007</c:v>
                </c:pt>
                <c:pt idx="87">
                  <c:v>3.9905994640382247</c:v>
                </c:pt>
                <c:pt idx="88">
                  <c:v>4.0364970482826443</c:v>
                </c:pt>
                <c:pt idx="89">
                  <c:v>4.0823954539034322</c:v>
                </c:pt>
                <c:pt idx="90">
                  <c:v>4.128294686701742</c:v>
                </c:pt>
                <c:pt idx="91">
                  <c:v>4.1741947524807186</c:v>
                </c:pt>
                <c:pt idx="92">
                  <c:v>4.2200956570454986</c:v>
                </c:pt>
                <c:pt idx="93">
                  <c:v>4.2659974062032129</c:v>
                </c:pt>
                <c:pt idx="94">
                  <c:v>4.3119000057629924</c:v>
                </c:pt>
                <c:pt idx="95">
                  <c:v>4.3578034615359718</c:v>
                </c:pt>
                <c:pt idx="96">
                  <c:v>4.4037077793352859</c:v>
                </c:pt>
                <c:pt idx="97">
                  <c:v>4.4496129649760805</c:v>
                </c:pt>
                <c:pt idx="98">
                  <c:v>4.4955190242755112</c:v>
                </c:pt>
                <c:pt idx="99">
                  <c:v>4.5414259630527489</c:v>
                </c:pt>
                <c:pt idx="100">
                  <c:v>4.5873337871289825</c:v>
                </c:pt>
              </c:numCache>
            </c:numRef>
          </c:val>
          <c:smooth val="0"/>
          <c:extLst>
            <c:ext xmlns:c16="http://schemas.microsoft.com/office/drawing/2014/chart" uri="{C3380CC4-5D6E-409C-BE32-E72D297353CC}">
              <c16:uniqueId val="{00000000-E5BE-46CE-908E-4F68425D4B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Dual'!$AI$5:$AI$105</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1.0141851056742199</c:v>
                </c:pt>
                <c:pt idx="28">
                  <c:v>1.0327955589886444</c:v>
                </c:pt>
                <c:pt idx="29">
                  <c:v>1.051076545624487</c:v>
                </c:pt>
                <c:pt idx="30">
                  <c:v>1.0690449676496976</c:v>
                </c:pt>
                <c:pt idx="31">
                  <c:v>1.0867163295692124</c:v>
                </c:pt>
                <c:pt idx="32">
                  <c:v>1.1041048949477668</c:v>
                </c:pt>
                <c:pt idx="33">
                  <c:v>1.1212238211627761</c:v>
                </c:pt>
                <c:pt idx="34">
                  <c:v>1.1380852759077833</c:v>
                </c:pt>
                <c:pt idx="35">
                  <c:v>1.1547005383792515</c:v>
                </c:pt>
                <c:pt idx="36">
                  <c:v>1.1710800875382397</c:v>
                </c:pt>
                <c:pt idx="37">
                  <c:v>1.1872336794093272</c:v>
                </c:pt>
                <c:pt idx="38">
                  <c:v>1.2031704150364766</c:v>
                </c:pt>
                <c:pt idx="39">
                  <c:v>1.218898800440088</c:v>
                </c:pt>
                <c:pt idx="40">
                  <c:v>1.2344267996967353</c:v>
                </c:pt>
                <c:pt idx="41">
                  <c:v>1.2497618820818475</c:v>
                </c:pt>
                <c:pt idx="42">
                  <c:v>1.2649110640673518</c:v>
                </c:pt>
                <c:pt idx="43">
                  <c:v>1.2798809468443688</c:v>
                </c:pt>
                <c:pt idx="44">
                  <c:v>1.2946777499402993</c:v>
                </c:pt>
                <c:pt idx="45">
                  <c:v>1.3093073414159542</c:v>
                </c:pt>
                <c:pt idx="46">
                  <c:v>1.4402186094869731</c:v>
                </c:pt>
                <c:pt idx="47">
                  <c:v>1.47143161043087</c:v>
                </c:pt>
                <c:pt idx="48">
                  <c:v>1.5026405377054191</c:v>
                </c:pt>
                <c:pt idx="49">
                  <c:v>1.5338453922858442</c:v>
                </c:pt>
                <c:pt idx="50">
                  <c:v>1.5650461751470783</c:v>
                </c:pt>
                <c:pt idx="51">
                  <c:v>1.5962428872637622</c:v>
                </c:pt>
                <c:pt idx="52">
                  <c:v>1.6274355296102461</c:v>
                </c:pt>
                <c:pt idx="53">
                  <c:v>1.6586241031605882</c:v>
                </c:pt>
                <c:pt idx="54">
                  <c:v>1.6898086088885556</c:v>
                </c:pt>
                <c:pt idx="55">
                  <c:v>1.7209890477676244</c:v>
                </c:pt>
                <c:pt idx="56">
                  <c:v>1.7521654207709807</c:v>
                </c:pt>
                <c:pt idx="57">
                  <c:v>1.7833377288715178</c:v>
                </c:pt>
                <c:pt idx="58">
                  <c:v>1.81450597304184</c:v>
                </c:pt>
                <c:pt idx="59">
                  <c:v>1.8456701542542608</c:v>
                </c:pt>
                <c:pt idx="60">
                  <c:v>1.876830273480802</c:v>
                </c:pt>
                <c:pt idx="61">
                  <c:v>1.9079863316931964</c:v>
                </c:pt>
                <c:pt idx="62">
                  <c:v>1.9391383298628855</c:v>
                </c:pt>
                <c:pt idx="63">
                  <c:v>1.9702862689610208</c:v>
                </c:pt>
                <c:pt idx="64">
                  <c:v>2.0014301499584639</c:v>
                </c:pt>
                <c:pt idx="65">
                  <c:v>2.0325699738257872</c:v>
                </c:pt>
                <c:pt idx="66">
                  <c:v>2.0637057415332714</c:v>
                </c:pt>
                <c:pt idx="67">
                  <c:v>2.0948374540509098</c:v>
                </c:pt>
                <c:pt idx="68">
                  <c:v>2.1259651123484038</c:v>
                </c:pt>
                <c:pt idx="69">
                  <c:v>2.1570887173951672</c:v>
                </c:pt>
                <c:pt idx="70">
                  <c:v>2.1882082701603229</c:v>
                </c:pt>
                <c:pt idx="71">
                  <c:v>2.2193237716127059</c:v>
                </c:pt>
                <c:pt idx="72">
                  <c:v>2.2504352227208608</c:v>
                </c:pt>
                <c:pt idx="73">
                  <c:v>2.2815426244530435</c:v>
                </c:pt>
                <c:pt idx="74">
                  <c:v>2.3126459777772208</c:v>
                </c:pt>
                <c:pt idx="75">
                  <c:v>2.3437452836610722</c:v>
                </c:pt>
                <c:pt idx="76">
                  <c:v>2.374840543071985</c:v>
                </c:pt>
                <c:pt idx="77">
                  <c:v>2.4059317569770617</c:v>
                </c:pt>
                <c:pt idx="78">
                  <c:v>2.4370189263431143</c:v>
                </c:pt>
                <c:pt idx="79">
                  <c:v>2.4681020521366661</c:v>
                </c:pt>
                <c:pt idx="80">
                  <c:v>2.4991811353239535</c:v>
                </c:pt>
                <c:pt idx="81">
                  <c:v>2.5302561768709229</c:v>
                </c:pt>
                <c:pt idx="82">
                  <c:v>2.5613271777432334</c:v>
                </c:pt>
                <c:pt idx="83">
                  <c:v>2.5923941389062577</c:v>
                </c:pt>
                <c:pt idx="84">
                  <c:v>2.6234570613250785</c:v>
                </c:pt>
                <c:pt idx="85">
                  <c:v>2.6545159459644907</c:v>
                </c:pt>
                <c:pt idx="86">
                  <c:v>2.6855707937890037</c:v>
                </c:pt>
                <c:pt idx="87">
                  <c:v>2.7166216057628372</c:v>
                </c:pt>
                <c:pt idx="88">
                  <c:v>2.7476683828499238</c:v>
                </c:pt>
                <c:pt idx="89">
                  <c:v>2.7787111260139112</c:v>
                </c:pt>
                <c:pt idx="90">
                  <c:v>2.8097498362181557</c:v>
                </c:pt>
                <c:pt idx="91">
                  <c:v>2.8407845144257302</c:v>
                </c:pt>
                <c:pt idx="92">
                  <c:v>2.8718151615994176</c:v>
                </c:pt>
                <c:pt idx="93">
                  <c:v>2.9028417787017164</c:v>
                </c:pt>
                <c:pt idx="94">
                  <c:v>2.9338643666948383</c:v>
                </c:pt>
                <c:pt idx="95">
                  <c:v>2.9648829265407062</c:v>
                </c:pt>
                <c:pt idx="96">
                  <c:v>2.9958974592009575</c:v>
                </c:pt>
                <c:pt idx="97">
                  <c:v>3.0269079656369446</c:v>
                </c:pt>
                <c:pt idx="98">
                  <c:v>3.0579144468097312</c:v>
                </c:pt>
                <c:pt idx="99">
                  <c:v>3.0889169036800959</c:v>
                </c:pt>
                <c:pt idx="100">
                  <c:v>3.1199153372085324</c:v>
                </c:pt>
              </c:numCache>
            </c:numRef>
          </c:val>
          <c:smooth val="0"/>
          <c:extLst>
            <c:ext xmlns:c16="http://schemas.microsoft.com/office/drawing/2014/chart" uri="{C3380CC4-5D6E-409C-BE32-E72D297353CC}">
              <c16:uniqueId val="{00000001-E5BE-46CE-908E-4F68425D4B37}"/>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1.0141851056742199</c:v>
                </c:pt>
                <c:pt idx="28">
                  <c:v>1.0327955589886444</c:v>
                </c:pt>
                <c:pt idx="29">
                  <c:v>1.051076545624487</c:v>
                </c:pt>
                <c:pt idx="30">
                  <c:v>1.0690449676496976</c:v>
                </c:pt>
                <c:pt idx="31">
                  <c:v>1.0867163295692124</c:v>
                </c:pt>
                <c:pt idx="32">
                  <c:v>1.1041048949477668</c:v>
                </c:pt>
                <c:pt idx="33">
                  <c:v>1.1212238211627761</c:v>
                </c:pt>
                <c:pt idx="34">
                  <c:v>1.1380852759077833</c:v>
                </c:pt>
                <c:pt idx="35">
                  <c:v>1.1547005383792515</c:v>
                </c:pt>
                <c:pt idx="36">
                  <c:v>1.10390052442357</c:v>
                </c:pt>
                <c:pt idx="37">
                  <c:v>1.1345273057728043</c:v>
                </c:pt>
                <c:pt idx="38">
                  <c:v>1.1651525951690098</c:v>
                </c:pt>
                <c:pt idx="39">
                  <c:v>1.1957525066687495</c:v>
                </c:pt>
                <c:pt idx="40">
                  <c:v>1.2263345754735218</c:v>
                </c:pt>
                <c:pt idx="41">
                  <c:v>1.2569127435207985</c:v>
                </c:pt>
                <c:pt idx="42">
                  <c:v>1.2874870116740789</c:v>
                </c:pt>
                <c:pt idx="43">
                  <c:v>1.3180573807966141</c:v>
                </c:pt>
                <c:pt idx="44">
                  <c:v>1.3486238517514111</c:v>
                </c:pt>
                <c:pt idx="45">
                  <c:v>1.3791864254012312</c:v>
                </c:pt>
                <c:pt idx="46">
                  <c:v>1.4097451026085916</c:v>
                </c:pt>
                <c:pt idx="47">
                  <c:v>1.4402998842357626</c:v>
                </c:pt>
                <c:pt idx="48">
                  <c:v>1.4708507711447723</c:v>
                </c:pt>
                <c:pt idx="49">
                  <c:v>1.5013977641974008</c:v>
                </c:pt>
                <c:pt idx="50">
                  <c:v>1.5319408642551857</c:v>
                </c:pt>
                <c:pt idx="51">
                  <c:v>1.5624800721794188</c:v>
                </c:pt>
                <c:pt idx="52">
                  <c:v>1.5930153888311478</c:v>
                </c:pt>
                <c:pt idx="53">
                  <c:v>1.6235468150711758</c:v>
                </c:pt>
                <c:pt idx="54">
                  <c:v>1.6540743517600607</c:v>
                </c:pt>
                <c:pt idx="55">
                  <c:v>1.6845979997581175</c:v>
                </c:pt>
                <c:pt idx="56">
                  <c:v>1.7151177599254157</c:v>
                </c:pt>
                <c:pt idx="57">
                  <c:v>1.7456336331217808</c:v>
                </c:pt>
                <c:pt idx="58">
                  <c:v>1.7761456202067949</c:v>
                </c:pt>
                <c:pt idx="59">
                  <c:v>1.8066537220397958</c:v>
                </c:pt>
                <c:pt idx="60">
                  <c:v>1.8371579394798769</c:v>
                </c:pt>
                <c:pt idx="61">
                  <c:v>1.8676582733858882</c:v>
                </c:pt>
                <c:pt idx="62">
                  <c:v>1.8981547246164363</c:v>
                </c:pt>
                <c:pt idx="63">
                  <c:v>1.9286472940298831</c:v>
                </c:pt>
                <c:pt idx="64">
                  <c:v>1.9591359824843482</c:v>
                </c:pt>
                <c:pt idx="65">
                  <c:v>1.9896207908377068</c:v>
                </c:pt>
                <c:pt idx="66">
                  <c:v>2.0201017199475912</c:v>
                </c:pt>
                <c:pt idx="67">
                  <c:v>2.0505787706713896</c:v>
                </c:pt>
                <c:pt idx="68">
                  <c:v>2.0810519438662491</c:v>
                </c:pt>
                <c:pt idx="69">
                  <c:v>2.1115212403890702</c:v>
                </c:pt>
                <c:pt idx="70">
                  <c:v>2.1419866610965141</c:v>
                </c:pt>
                <c:pt idx="71">
                  <c:v>2.1724482068449968</c:v>
                </c:pt>
                <c:pt idx="72">
                  <c:v>2.2029058784906916</c:v>
                </c:pt>
                <c:pt idx="73">
                  <c:v>2.2333596768895294</c:v>
                </c:pt>
                <c:pt idx="74">
                  <c:v>2.2638096028971986</c:v>
                </c:pt>
                <c:pt idx="75">
                  <c:v>2.2942556573691446</c:v>
                </c:pt>
                <c:pt idx="76">
                  <c:v>2.324697841160571</c:v>
                </c:pt>
                <c:pt idx="77">
                  <c:v>2.3551361551264374</c:v>
                </c:pt>
                <c:pt idx="78">
                  <c:v>2.3855706001214632</c:v>
                </c:pt>
                <c:pt idx="79">
                  <c:v>2.4160011770001231</c:v>
                </c:pt>
                <c:pt idx="80">
                  <c:v>2.446427886616652</c:v>
                </c:pt>
                <c:pt idx="81">
                  <c:v>2.4768507298250411</c:v>
                </c:pt>
                <c:pt idx="82">
                  <c:v>2.5072697074790411</c:v>
                </c:pt>
                <c:pt idx="83">
                  <c:v>2.5376848204321591</c:v>
                </c:pt>
                <c:pt idx="84">
                  <c:v>2.5680960695376607</c:v>
                </c:pt>
                <c:pt idx="85">
                  <c:v>2.5985034556485713</c:v>
                </c:pt>
                <c:pt idx="86">
                  <c:v>2.6289069796176738</c:v>
                </c:pt>
                <c:pt idx="87">
                  <c:v>2.6593066422975067</c:v>
                </c:pt>
                <c:pt idx="88">
                  <c:v>2.6897024445403726</c:v>
                </c:pt>
                <c:pt idx="89">
                  <c:v>2.7200943871983276</c:v>
                </c:pt>
                <c:pt idx="90">
                  <c:v>2.7504824711231901</c:v>
                </c:pt>
                <c:pt idx="91">
                  <c:v>2.7808666971665357</c:v>
                </c:pt>
                <c:pt idx="92">
                  <c:v>2.8112470661796971</c:v>
                </c:pt>
                <c:pt idx="93">
                  <c:v>2.8416235790137696</c:v>
                </c:pt>
                <c:pt idx="94">
                  <c:v>2.8719962365196054</c:v>
                </c:pt>
                <c:pt idx="95">
                  <c:v>2.9023650395478149</c:v>
                </c:pt>
                <c:pt idx="96">
                  <c:v>2.9327299889487719</c:v>
                </c:pt>
                <c:pt idx="97">
                  <c:v>2.963091085572604</c:v>
                </c:pt>
                <c:pt idx="98">
                  <c:v>2.9934483302692012</c:v>
                </c:pt>
                <c:pt idx="99">
                  <c:v>3.0238017238882136</c:v>
                </c:pt>
                <c:pt idx="100">
                  <c:v>3.0541512672790483</c:v>
                </c:pt>
              </c:numCache>
            </c:numRef>
          </c:val>
          <c:smooth val="0"/>
          <c:extLst>
            <c:ext xmlns:c16="http://schemas.microsoft.com/office/drawing/2014/chart" uri="{C3380CC4-5D6E-409C-BE32-E72D297353CC}">
              <c16:uniqueId val="{00000002-E5BE-46CE-908E-4F68425D4B37}"/>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1.0065309713461734</c:v>
                </c:pt>
                <c:pt idx="2">
                  <c:v>1.0195929140385203</c:v>
                </c:pt>
                <c:pt idx="3">
                  <c:v>1.0195929140385203</c:v>
                </c:pt>
                <c:pt idx="4">
                  <c:v>1.0261238853846939</c:v>
                </c:pt>
                <c:pt idx="5">
                  <c:v>1.0326548567308673</c:v>
                </c:pt>
                <c:pt idx="6">
                  <c:v>1.0391858280770407</c:v>
                </c:pt>
                <c:pt idx="7">
                  <c:v>1.0457167994232142</c:v>
                </c:pt>
                <c:pt idx="8">
                  <c:v>1.0522477707693876</c:v>
                </c:pt>
                <c:pt idx="9">
                  <c:v>1.058778742115561</c:v>
                </c:pt>
                <c:pt idx="10">
                  <c:v>1.0653097134617344</c:v>
                </c:pt>
                <c:pt idx="11">
                  <c:v>1.0718406848079081</c:v>
                </c:pt>
                <c:pt idx="12">
                  <c:v>1.0783716561540815</c:v>
                </c:pt>
                <c:pt idx="13">
                  <c:v>1.0849026275002549</c:v>
                </c:pt>
                <c:pt idx="14">
                  <c:v>1.0914335988464283</c:v>
                </c:pt>
                <c:pt idx="15">
                  <c:v>1.0979645701926017</c:v>
                </c:pt>
                <c:pt idx="16">
                  <c:v>1.1044955415387752</c:v>
                </c:pt>
                <c:pt idx="17">
                  <c:v>1.1110265128849486</c:v>
                </c:pt>
                <c:pt idx="18">
                  <c:v>1.117557484231122</c:v>
                </c:pt>
                <c:pt idx="19">
                  <c:v>1.1240884555772956</c:v>
                </c:pt>
                <c:pt idx="20">
                  <c:v>1.1306194269234691</c:v>
                </c:pt>
                <c:pt idx="21">
                  <c:v>1.1371503982696425</c:v>
                </c:pt>
                <c:pt idx="22">
                  <c:v>1.1436813696158159</c:v>
                </c:pt>
                <c:pt idx="23">
                  <c:v>1.1502123409619893</c:v>
                </c:pt>
                <c:pt idx="24">
                  <c:v>1.1567479985203168</c:v>
                </c:pt>
                <c:pt idx="25">
                  <c:v>1.1633249903735079</c:v>
                </c:pt>
                <c:pt idx="26">
                  <c:v>1.3423488269579287</c:v>
                </c:pt>
                <c:pt idx="27">
                  <c:v>1.3763179923264712</c:v>
                </c:pt>
                <c:pt idx="28">
                  <c:v>1.4102875066910754</c:v>
                </c:pt>
                <c:pt idx="29">
                  <c:v>1.4442573742633225</c:v>
                </c:pt>
                <c:pt idx="30">
                  <c:v>1.4782275992561307</c:v>
                </c:pt>
                <c:pt idx="31">
                  <c:v>1.5121981858837548</c:v>
                </c:pt>
                <c:pt idx="32">
                  <c:v>1.5461691383617904</c:v>
                </c:pt>
                <c:pt idx="33">
                  <c:v>1.5801404609071736</c:v>
                </c:pt>
                <c:pt idx="34">
                  <c:v>1.6141121577381881</c:v>
                </c:pt>
                <c:pt idx="35">
                  <c:v>1.6480842330744607</c:v>
                </c:pt>
                <c:pt idx="36">
                  <c:v>1.682056691136969</c:v>
                </c:pt>
                <c:pt idx="37">
                  <c:v>1.7160295361480418</c:v>
                </c:pt>
                <c:pt idx="38">
                  <c:v>1.7500027723313596</c:v>
                </c:pt>
                <c:pt idx="39">
                  <c:v>1.7839764039119599</c:v>
                </c:pt>
                <c:pt idx="40">
                  <c:v>1.817950435116237</c:v>
                </c:pt>
                <c:pt idx="41">
                  <c:v>1.851924870171946</c:v>
                </c:pt>
                <c:pt idx="42">
                  <c:v>1.8858997133082034</c:v>
                </c:pt>
                <c:pt idx="43">
                  <c:v>1.9198749687554895</c:v>
                </c:pt>
                <c:pt idx="44">
                  <c:v>1.9538506407456528</c:v>
                </c:pt>
                <c:pt idx="45">
                  <c:v>1.9878267335119095</c:v>
                </c:pt>
                <c:pt idx="46">
                  <c:v>2.0218032512888473</c:v>
                </c:pt>
                <c:pt idx="47">
                  <c:v>2.0557801983124264</c:v>
                </c:pt>
                <c:pt idx="48">
                  <c:v>2.0897575788199836</c:v>
                </c:pt>
                <c:pt idx="49">
                  <c:v>2.1237353970502331</c:v>
                </c:pt>
                <c:pt idx="50">
                  <c:v>2.1577136572432689</c:v>
                </c:pt>
                <c:pt idx="51">
                  <c:v>2.1916923636405663</c:v>
                </c:pt>
                <c:pt idx="52">
                  <c:v>2.2256715204849882</c:v>
                </c:pt>
                <c:pt idx="53">
                  <c:v>2.2596511320207808</c:v>
                </c:pt>
                <c:pt idx="54">
                  <c:v>2.2936312024935805</c:v>
                </c:pt>
                <c:pt idx="55">
                  <c:v>2.3276117361504158</c:v>
                </c:pt>
                <c:pt idx="56">
                  <c:v>2.361592737239707</c:v>
                </c:pt>
                <c:pt idx="57">
                  <c:v>2.3955742100112718</c:v>
                </c:pt>
                <c:pt idx="58">
                  <c:v>2.4295561587163252</c:v>
                </c:pt>
                <c:pt idx="59">
                  <c:v>2.4635385876074811</c:v>
                </c:pt>
                <c:pt idx="60">
                  <c:v>2.4975215009387597</c:v>
                </c:pt>
                <c:pt idx="61">
                  <c:v>2.5315049029655814</c:v>
                </c:pt>
                <c:pt idx="62">
                  <c:v>2.5654887979447758</c:v>
                </c:pt>
                <c:pt idx="63">
                  <c:v>2.5994731901345829</c:v>
                </c:pt>
                <c:pt idx="64">
                  <c:v>2.6334580837946513</c:v>
                </c:pt>
                <c:pt idx="65">
                  <c:v>2.6674434831860463</c:v>
                </c:pt>
                <c:pt idx="66">
                  <c:v>2.7014293925712485</c:v>
                </c:pt>
                <c:pt idx="67">
                  <c:v>2.7354158162141546</c:v>
                </c:pt>
                <c:pt idx="68">
                  <c:v>2.7694027583800862</c:v>
                </c:pt>
                <c:pt idx="69">
                  <c:v>2.8033902233357826</c:v>
                </c:pt>
                <c:pt idx="70">
                  <c:v>2.8373782153494131</c:v>
                </c:pt>
                <c:pt idx="71">
                  <c:v>2.8713667386905728</c:v>
                </c:pt>
                <c:pt idx="72">
                  <c:v>2.9053557976302842</c:v>
                </c:pt>
                <c:pt idx="73">
                  <c:v>2.9393453964410057</c:v>
                </c:pt>
                <c:pt idx="74">
                  <c:v>2.9733355393966261</c:v>
                </c:pt>
                <c:pt idx="75">
                  <c:v>3.0073262307724757</c:v>
                </c:pt>
                <c:pt idx="76">
                  <c:v>3.0413174748453171</c:v>
                </c:pt>
                <c:pt idx="77">
                  <c:v>3.0753092758933609</c:v>
                </c:pt>
                <c:pt idx="78">
                  <c:v>3.1093016381962562</c:v>
                </c:pt>
                <c:pt idx="79">
                  <c:v>3.1432945660351015</c:v>
                </c:pt>
                <c:pt idx="80">
                  <c:v>3.1772880636924392</c:v>
                </c:pt>
                <c:pt idx="81">
                  <c:v>3.2112821354522652</c:v>
                </c:pt>
                <c:pt idx="82">
                  <c:v>3.2452767856000282</c:v>
                </c:pt>
                <c:pt idx="83">
                  <c:v>3.2792720184226312</c:v>
                </c:pt>
                <c:pt idx="84">
                  <c:v>3.3132678382084313</c:v>
                </c:pt>
                <c:pt idx="85">
                  <c:v>3.3472642492472513</c:v>
                </c:pt>
                <c:pt idx="86">
                  <c:v>3.3812612558303705</c:v>
                </c:pt>
                <c:pt idx="87">
                  <c:v>3.4152588622505364</c:v>
                </c:pt>
                <c:pt idx="88">
                  <c:v>3.4492570728019585</c:v>
                </c:pt>
                <c:pt idx="89">
                  <c:v>3.4832558917803205</c:v>
                </c:pt>
                <c:pt idx="90">
                  <c:v>3.5172553234827717</c:v>
                </c:pt>
                <c:pt idx="91">
                  <c:v>3.5512553722079394</c:v>
                </c:pt>
                <c:pt idx="92">
                  <c:v>3.5852560422559243</c:v>
                </c:pt>
                <c:pt idx="93">
                  <c:v>3.619257337928306</c:v>
                </c:pt>
                <c:pt idx="94">
                  <c:v>3.6532592635281427</c:v>
                </c:pt>
                <c:pt idx="95">
                  <c:v>3.6872618233599788</c:v>
                </c:pt>
                <c:pt idx="96">
                  <c:v>3.7212650217298417</c:v>
                </c:pt>
                <c:pt idx="97">
                  <c:v>3.7552688629452451</c:v>
                </c:pt>
                <c:pt idx="98">
                  <c:v>3.7892733513151935</c:v>
                </c:pt>
                <c:pt idx="99">
                  <c:v>3.8232784911501847</c:v>
                </c:pt>
                <c:pt idx="100">
                  <c:v>3.8572842867622095</c:v>
                </c:pt>
              </c:numCache>
            </c:numRef>
          </c:val>
          <c:smooth val="0"/>
          <c:extLst>
            <c:ext xmlns:c16="http://schemas.microsoft.com/office/drawing/2014/chart" uri="{C3380CC4-5D6E-409C-BE32-E72D297353CC}">
              <c16:uniqueId val="{00000000-DC32-4242-87FA-45A0737872EA}"/>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Dual'!$AJ$5:$AJ$105</c:f>
              <c:numCache>
                <c:formatCode>0.000</c:formatCode>
                <c:ptCount val="101"/>
                <c:pt idx="0">
                  <c:v>1.0057142857142858</c:v>
                </c:pt>
                <c:pt idx="1">
                  <c:v>1.0065309713461734</c:v>
                </c:pt>
                <c:pt idx="2">
                  <c:v>1.0130619426923468</c:v>
                </c:pt>
                <c:pt idx="3">
                  <c:v>1.0195929140385203</c:v>
                </c:pt>
                <c:pt idx="4">
                  <c:v>1.0261238853846939</c:v>
                </c:pt>
                <c:pt idx="5">
                  <c:v>1.0326548567308673</c:v>
                </c:pt>
                <c:pt idx="6">
                  <c:v>1.0391858280770407</c:v>
                </c:pt>
                <c:pt idx="7">
                  <c:v>1.0457167994232142</c:v>
                </c:pt>
                <c:pt idx="8">
                  <c:v>1.0522477707693876</c:v>
                </c:pt>
                <c:pt idx="9">
                  <c:v>1.058778742115561</c:v>
                </c:pt>
                <c:pt idx="10">
                  <c:v>1.0653097134617344</c:v>
                </c:pt>
                <c:pt idx="11">
                  <c:v>1.0718406848079081</c:v>
                </c:pt>
                <c:pt idx="12">
                  <c:v>1.0783716561540815</c:v>
                </c:pt>
                <c:pt idx="13">
                  <c:v>1.0849026275002549</c:v>
                </c:pt>
                <c:pt idx="14">
                  <c:v>1.0914335988464283</c:v>
                </c:pt>
                <c:pt idx="15">
                  <c:v>1.0979645701926017</c:v>
                </c:pt>
                <c:pt idx="16">
                  <c:v>1.1044955415387752</c:v>
                </c:pt>
                <c:pt idx="17">
                  <c:v>1.1110265128849486</c:v>
                </c:pt>
                <c:pt idx="18">
                  <c:v>1.117557484231122</c:v>
                </c:pt>
                <c:pt idx="19">
                  <c:v>1.1240884555772956</c:v>
                </c:pt>
                <c:pt idx="20">
                  <c:v>1.1306194269234691</c:v>
                </c:pt>
                <c:pt idx="21">
                  <c:v>1.1371503982696425</c:v>
                </c:pt>
                <c:pt idx="22">
                  <c:v>1.1436813696158159</c:v>
                </c:pt>
                <c:pt idx="23">
                  <c:v>1.1502123409619893</c:v>
                </c:pt>
                <c:pt idx="24">
                  <c:v>1.1567433123081627</c:v>
                </c:pt>
                <c:pt idx="25">
                  <c:v>1.1632742836543364</c:v>
                </c:pt>
                <c:pt idx="26">
                  <c:v>1.1698052550005098</c:v>
                </c:pt>
                <c:pt idx="27">
                  <c:v>1.1763362263466832</c:v>
                </c:pt>
                <c:pt idx="28">
                  <c:v>1.1828671976928566</c:v>
                </c:pt>
                <c:pt idx="29">
                  <c:v>1.1893981690390301</c:v>
                </c:pt>
                <c:pt idx="30">
                  <c:v>1.1959291403852035</c:v>
                </c:pt>
                <c:pt idx="31">
                  <c:v>1.2642343181994165</c:v>
                </c:pt>
                <c:pt idx="32">
                  <c:v>1.2771147369983458</c:v>
                </c:pt>
                <c:pt idx="33">
                  <c:v>1.2897954230835378</c:v>
                </c:pt>
                <c:pt idx="34">
                  <c:v>1.3022853895613209</c:v>
                </c:pt>
                <c:pt idx="35">
                  <c:v>1.314592991392038</c:v>
                </c:pt>
                <c:pt idx="36">
                  <c:v>1.3267259907690663</c:v>
                </c:pt>
                <c:pt idx="37">
                  <c:v>1.3386916143772793</c:v>
                </c:pt>
                <c:pt idx="38">
                  <c:v>1.3504966037307233</c:v>
                </c:pt>
                <c:pt idx="39">
                  <c:v>1.3621472595852504</c:v>
                </c:pt>
                <c:pt idx="40">
                  <c:v>1.3736494812568409</c:v>
                </c:pt>
                <c:pt idx="41">
                  <c:v>1.3850088015421091</c:v>
                </c:pt>
                <c:pt idx="42">
                  <c:v>1.3962304178276679</c:v>
                </c:pt>
                <c:pt idx="43">
                  <c:v>1.4073192198847175</c:v>
                </c:pt>
                <c:pt idx="44">
                  <c:v>1.418279814770592</c:v>
                </c:pt>
                <c:pt idx="45">
                  <c:v>1.429116549197003</c:v>
                </c:pt>
                <c:pt idx="46">
                  <c:v>1.5260878588792393</c:v>
                </c:pt>
                <c:pt idx="47">
                  <c:v>1.549208600319163</c:v>
                </c:pt>
                <c:pt idx="48">
                  <c:v>1.5723263242262364</c:v>
                </c:pt>
                <c:pt idx="49">
                  <c:v>1.5954410313228475</c:v>
                </c:pt>
                <c:pt idx="50">
                  <c:v>1.6185527223311691</c:v>
                </c:pt>
                <c:pt idx="51">
                  <c:v>1.6416613979731571</c:v>
                </c:pt>
                <c:pt idx="52">
                  <c:v>1.6647670589705525</c:v>
                </c:pt>
                <c:pt idx="53">
                  <c:v>1.6878697060448802</c:v>
                </c:pt>
                <c:pt idx="54">
                  <c:v>1.7109693399174484</c:v>
                </c:pt>
                <c:pt idx="55">
                  <c:v>1.7340659613093514</c:v>
                </c:pt>
                <c:pt idx="56">
                  <c:v>1.7571595709414671</c:v>
                </c:pt>
                <c:pt idx="57">
                  <c:v>1.7802501695344575</c:v>
                </c:pt>
                <c:pt idx="58">
                  <c:v>1.8033377578087704</c:v>
                </c:pt>
                <c:pt idx="59">
                  <c:v>1.8264223364846377</c:v>
                </c:pt>
                <c:pt idx="60">
                  <c:v>1.8495039062820755</c:v>
                </c:pt>
                <c:pt idx="61">
                  <c:v>1.8725824679208862</c:v>
                </c:pt>
                <c:pt idx="62">
                  <c:v>1.8956580221206558</c:v>
                </c:pt>
                <c:pt idx="63">
                  <c:v>1.9187305696007562</c:v>
                </c:pt>
                <c:pt idx="64">
                  <c:v>1.9418001110803436</c:v>
                </c:pt>
                <c:pt idx="65">
                  <c:v>1.9648666472783609</c:v>
                </c:pt>
                <c:pt idx="66">
                  <c:v>1.9879301789135342</c:v>
                </c:pt>
                <c:pt idx="67">
                  <c:v>2.0109907067043777</c:v>
                </c:pt>
                <c:pt idx="68">
                  <c:v>2.0340482313691881</c:v>
                </c:pt>
                <c:pt idx="69">
                  <c:v>2.0571027536260496</c:v>
                </c:pt>
                <c:pt idx="70">
                  <c:v>2.0801542741928318</c:v>
                </c:pt>
                <c:pt idx="71">
                  <c:v>2.1032027937871893</c:v>
                </c:pt>
                <c:pt idx="72">
                  <c:v>2.1262483131265633</c:v>
                </c:pt>
                <c:pt idx="73">
                  <c:v>2.1492908329281804</c:v>
                </c:pt>
                <c:pt idx="74">
                  <c:v>2.1723303539090524</c:v>
                </c:pt>
                <c:pt idx="75">
                  <c:v>2.1953668767859793</c:v>
                </c:pt>
                <c:pt idx="76">
                  <c:v>2.2184004022755444</c:v>
                </c:pt>
                <c:pt idx="77">
                  <c:v>2.2414309310941198</c:v>
                </c:pt>
                <c:pt idx="78">
                  <c:v>2.2644584639578627</c:v>
                </c:pt>
                <c:pt idx="79">
                  <c:v>2.2874830015827157</c:v>
                </c:pt>
                <c:pt idx="80">
                  <c:v>2.3105045446844099</c:v>
                </c:pt>
                <c:pt idx="81">
                  <c:v>2.3335230939784615</c:v>
                </c:pt>
                <c:pt idx="82">
                  <c:v>2.3565386501801728</c:v>
                </c:pt>
                <c:pt idx="83">
                  <c:v>2.3795512140046351</c:v>
                </c:pt>
                <c:pt idx="84">
                  <c:v>2.4025607861667249</c:v>
                </c:pt>
                <c:pt idx="85">
                  <c:v>2.4255673673811042</c:v>
                </c:pt>
                <c:pt idx="86">
                  <c:v>2.4485709583622253</c:v>
                </c:pt>
                <c:pt idx="87">
                  <c:v>2.4715715598243237</c:v>
                </c:pt>
                <c:pt idx="88">
                  <c:v>2.494569172481425</c:v>
                </c:pt>
                <c:pt idx="89">
                  <c:v>2.5175637970473419</c:v>
                </c:pt>
                <c:pt idx="90">
                  <c:v>2.5405554342356709</c:v>
                </c:pt>
                <c:pt idx="91">
                  <c:v>2.5635440847598003</c:v>
                </c:pt>
                <c:pt idx="92">
                  <c:v>2.586529749332902</c:v>
                </c:pt>
                <c:pt idx="93">
                  <c:v>2.6095124286679381</c:v>
                </c:pt>
                <c:pt idx="94">
                  <c:v>2.6324921234776579</c:v>
                </c:pt>
                <c:pt idx="95">
                  <c:v>2.6554688344745969</c:v>
                </c:pt>
                <c:pt idx="96">
                  <c:v>2.6784425623710799</c:v>
                </c:pt>
                <c:pt idx="97">
                  <c:v>2.7014133078792182</c:v>
                </c:pt>
                <c:pt idx="98">
                  <c:v>2.724381071710912</c:v>
                </c:pt>
                <c:pt idx="99">
                  <c:v>2.7473458545778486</c:v>
                </c:pt>
                <c:pt idx="100">
                  <c:v>2.7703076571915055</c:v>
                </c:pt>
              </c:numCache>
            </c:numRef>
          </c:val>
          <c:smooth val="0"/>
          <c:extLst>
            <c:ext xmlns:c16="http://schemas.microsoft.com/office/drawing/2014/chart" uri="{C3380CC4-5D6E-409C-BE32-E72D297353CC}">
              <c16:uniqueId val="{00000001-DC32-4242-87FA-45A0737872EA}"/>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1.0065303414710556</c:v>
                </c:pt>
                <c:pt idx="2">
                  <c:v>1.0130606829421114</c:v>
                </c:pt>
                <c:pt idx="3">
                  <c:v>1.019591024413167</c:v>
                </c:pt>
                <c:pt idx="4">
                  <c:v>1.0261213658842228</c:v>
                </c:pt>
                <c:pt idx="5">
                  <c:v>1.0326517073552783</c:v>
                </c:pt>
                <c:pt idx="6">
                  <c:v>1.0391820488263341</c:v>
                </c:pt>
                <c:pt idx="7">
                  <c:v>1.0457123902973897</c:v>
                </c:pt>
                <c:pt idx="8">
                  <c:v>1.0522427317684455</c:v>
                </c:pt>
                <c:pt idx="9">
                  <c:v>1.0587730732395011</c:v>
                </c:pt>
                <c:pt idx="10">
                  <c:v>1.0653034147105569</c:v>
                </c:pt>
                <c:pt idx="11">
                  <c:v>1.0718337561816125</c:v>
                </c:pt>
                <c:pt idx="12">
                  <c:v>1.0783640976526683</c:v>
                </c:pt>
                <c:pt idx="13">
                  <c:v>1.0848944391237239</c:v>
                </c:pt>
                <c:pt idx="14">
                  <c:v>1.0914247805947797</c:v>
                </c:pt>
                <c:pt idx="15">
                  <c:v>1.0979551220658352</c:v>
                </c:pt>
                <c:pt idx="16">
                  <c:v>1.104485463536891</c:v>
                </c:pt>
                <c:pt idx="17">
                  <c:v>1.1110158050079466</c:v>
                </c:pt>
                <c:pt idx="18">
                  <c:v>1.1175461464790024</c:v>
                </c:pt>
                <c:pt idx="19">
                  <c:v>1.124076487950058</c:v>
                </c:pt>
                <c:pt idx="20">
                  <c:v>1.1306068294211138</c:v>
                </c:pt>
                <c:pt idx="21">
                  <c:v>1.1371371708921694</c:v>
                </c:pt>
                <c:pt idx="22">
                  <c:v>1.1436675123632252</c:v>
                </c:pt>
                <c:pt idx="23">
                  <c:v>1.1501978538342807</c:v>
                </c:pt>
                <c:pt idx="24">
                  <c:v>1.1567281953053365</c:v>
                </c:pt>
                <c:pt idx="25">
                  <c:v>1.1632585367763921</c:v>
                </c:pt>
                <c:pt idx="26">
                  <c:v>1.1697888782474479</c:v>
                </c:pt>
                <c:pt idx="27">
                  <c:v>1.1763192197185035</c:v>
                </c:pt>
                <c:pt idx="28">
                  <c:v>1.1828495611895593</c:v>
                </c:pt>
                <c:pt idx="29">
                  <c:v>1.1893799026606149</c:v>
                </c:pt>
                <c:pt idx="30">
                  <c:v>1.1959102441316707</c:v>
                </c:pt>
                <c:pt idx="31">
                  <c:v>1.2642343181994165</c:v>
                </c:pt>
                <c:pt idx="32">
                  <c:v>1.2771147369983458</c:v>
                </c:pt>
                <c:pt idx="33">
                  <c:v>1.2897954230835378</c:v>
                </c:pt>
                <c:pt idx="34">
                  <c:v>1.3022853895613209</c:v>
                </c:pt>
                <c:pt idx="35">
                  <c:v>1.314592991392038</c:v>
                </c:pt>
                <c:pt idx="36">
                  <c:v>1.2769633514248666</c:v>
                </c:pt>
                <c:pt idx="37">
                  <c:v>1.2996498561280032</c:v>
                </c:pt>
                <c:pt idx="38">
                  <c:v>1.3223352556807479</c:v>
                </c:pt>
                <c:pt idx="39">
                  <c:v>1.3450018567916664</c:v>
                </c:pt>
                <c:pt idx="40">
                  <c:v>1.3676552410914975</c:v>
                </c:pt>
                <c:pt idx="41">
                  <c:v>1.3903057359413322</c:v>
                </c:pt>
                <c:pt idx="42">
                  <c:v>1.4129533419807991</c:v>
                </c:pt>
                <c:pt idx="43">
                  <c:v>1.4355980598493436</c:v>
                </c:pt>
                <c:pt idx="44">
                  <c:v>1.4582398901862303</c:v>
                </c:pt>
                <c:pt idx="45">
                  <c:v>1.4808788336305416</c:v>
                </c:pt>
                <c:pt idx="46">
                  <c:v>1.5035148908211791</c:v>
                </c:pt>
                <c:pt idx="47">
                  <c:v>1.5261480623968611</c:v>
                </c:pt>
                <c:pt idx="48">
                  <c:v>1.5487783489961275</c:v>
                </c:pt>
                <c:pt idx="49">
                  <c:v>1.5714057512573338</c:v>
                </c:pt>
                <c:pt idx="50">
                  <c:v>1.5940302698186559</c:v>
                </c:pt>
                <c:pt idx="51">
                  <c:v>1.6166519053180879</c:v>
                </c:pt>
                <c:pt idx="52">
                  <c:v>1.6392706583934427</c:v>
                </c:pt>
                <c:pt idx="53">
                  <c:v>1.6618865296823524</c:v>
                </c:pt>
                <c:pt idx="54">
                  <c:v>1.6844995198222672</c:v>
                </c:pt>
                <c:pt idx="55">
                  <c:v>1.7071096294504575</c:v>
                </c:pt>
                <c:pt idx="56">
                  <c:v>1.7297168592040115</c:v>
                </c:pt>
                <c:pt idx="57">
                  <c:v>1.7523212097198375</c:v>
                </c:pt>
                <c:pt idx="58">
                  <c:v>1.7749226816346628</c:v>
                </c:pt>
                <c:pt idx="59">
                  <c:v>1.7975212755850338</c:v>
                </c:pt>
                <c:pt idx="60">
                  <c:v>1.8201169922073162</c:v>
                </c:pt>
                <c:pt idx="61">
                  <c:v>1.8427098321376949</c:v>
                </c:pt>
                <c:pt idx="62">
                  <c:v>1.8652997960121751</c:v>
                </c:pt>
                <c:pt idx="63">
                  <c:v>1.8878868844665799</c:v>
                </c:pt>
                <c:pt idx="64">
                  <c:v>1.9104710981365542</c:v>
                </c:pt>
                <c:pt idx="65">
                  <c:v>1.9330524376575606</c:v>
                </c:pt>
                <c:pt idx="66">
                  <c:v>1.9556309036648822</c:v>
                </c:pt>
                <c:pt idx="67">
                  <c:v>1.9782064967936219</c:v>
                </c:pt>
                <c:pt idx="68">
                  <c:v>2.0007792176787031</c:v>
                </c:pt>
                <c:pt idx="69">
                  <c:v>2.0233490669548666</c:v>
                </c:pt>
                <c:pt idx="70">
                  <c:v>2.0459160452566771</c:v>
                </c:pt>
                <c:pt idx="71">
                  <c:v>2.0684801532185162</c:v>
                </c:pt>
                <c:pt idx="72">
                  <c:v>2.0910413914745862</c:v>
                </c:pt>
                <c:pt idx="73">
                  <c:v>2.1135997606589108</c:v>
                </c:pt>
                <c:pt idx="74">
                  <c:v>2.1361552614053321</c:v>
                </c:pt>
                <c:pt idx="75">
                  <c:v>2.1587078943475144</c:v>
                </c:pt>
                <c:pt idx="76">
                  <c:v>2.1812576601189413</c:v>
                </c:pt>
                <c:pt idx="77">
                  <c:v>2.2038045593529167</c:v>
                </c:pt>
                <c:pt idx="78">
                  <c:v>2.226348592682565</c:v>
                </c:pt>
                <c:pt idx="79">
                  <c:v>2.2488897607408318</c:v>
                </c:pt>
                <c:pt idx="80">
                  <c:v>2.2714280641604829</c:v>
                </c:pt>
                <c:pt idx="81">
                  <c:v>2.2939635035741044</c:v>
                </c:pt>
                <c:pt idx="82">
                  <c:v>2.3164960796141045</c:v>
                </c:pt>
                <c:pt idx="83">
                  <c:v>2.3390257929127105</c:v>
                </c:pt>
                <c:pt idx="84">
                  <c:v>2.361552644101971</c:v>
                </c:pt>
                <c:pt idx="85">
                  <c:v>2.3840766338137565</c:v>
                </c:pt>
                <c:pt idx="86">
                  <c:v>2.4065977626797581</c:v>
                </c:pt>
                <c:pt idx="87">
                  <c:v>2.4291160313314863</c:v>
                </c:pt>
                <c:pt idx="88">
                  <c:v>2.4516314404002761</c:v>
                </c:pt>
                <c:pt idx="89">
                  <c:v>2.4741439905172795</c:v>
                </c:pt>
                <c:pt idx="90">
                  <c:v>2.4966536823134744</c:v>
                </c:pt>
                <c:pt idx="91">
                  <c:v>2.5191605164196558</c:v>
                </c:pt>
                <c:pt idx="92">
                  <c:v>2.5416644934664423</c:v>
                </c:pt>
                <c:pt idx="93">
                  <c:v>2.5641656140842741</c:v>
                </c:pt>
                <c:pt idx="94">
                  <c:v>2.5866638789034111</c:v>
                </c:pt>
                <c:pt idx="95">
                  <c:v>2.6091592885539372</c:v>
                </c:pt>
                <c:pt idx="96">
                  <c:v>2.631651843665757</c:v>
                </c:pt>
                <c:pt idx="97">
                  <c:v>2.6541415448685957</c:v>
                </c:pt>
                <c:pt idx="98">
                  <c:v>2.6766283927920007</c:v>
                </c:pt>
                <c:pt idx="99">
                  <c:v>2.6991123880653434</c:v>
                </c:pt>
                <c:pt idx="100">
                  <c:v>2.7215935313178132</c:v>
                </c:pt>
              </c:numCache>
            </c:numRef>
          </c:val>
          <c:smooth val="0"/>
          <c:extLst>
            <c:ext xmlns:c16="http://schemas.microsoft.com/office/drawing/2014/chart" uri="{C3380CC4-5D6E-409C-BE32-E72D297353CC}">
              <c16:uniqueId val="{00000002-DC32-4242-87FA-45A0737872EA}"/>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5.0955234442466989E-5</c:v>
                </c:pt>
                <c:pt idx="1">
                  <c:v>69.006643461176679</c:v>
                </c:pt>
                <c:pt idx="2">
                  <c:v>72.916417014324637</c:v>
                </c:pt>
                <c:pt idx="3">
                  <c:v>74.293175645518801</c:v>
                </c:pt>
                <c:pt idx="4">
                  <c:v>74.97604989845469</c:v>
                </c:pt>
                <c:pt idx="5">
                  <c:v>75.368301665403308</c:v>
                </c:pt>
                <c:pt idx="6">
                  <c:v>75.610017472941806</c:v>
                </c:pt>
                <c:pt idx="7">
                  <c:v>75.762809533835863</c:v>
                </c:pt>
                <c:pt idx="8">
                  <c:v>75.858087135937865</c:v>
                </c:pt>
                <c:pt idx="9">
                  <c:v>75.91358808191319</c:v>
                </c:pt>
                <c:pt idx="10">
                  <c:v>75.940116940623383</c:v>
                </c:pt>
                <c:pt idx="11">
                  <c:v>75.944651819665324</c:v>
                </c:pt>
                <c:pt idx="12">
                  <c:v>75.93191561124506</c:v>
                </c:pt>
                <c:pt idx="13">
                  <c:v>75.905230219308834</c:v>
                </c:pt>
                <c:pt idx="14">
                  <c:v>75.867008804728769</c:v>
                </c:pt>
                <c:pt idx="15">
                  <c:v>75.819053376776907</c:v>
                </c:pt>
                <c:pt idx="16">
                  <c:v>75.762742096563912</c:v>
                </c:pt>
                <c:pt idx="17">
                  <c:v>75.699151281145788</c:v>
                </c:pt>
                <c:pt idx="18">
                  <c:v>75.629137262816286</c:v>
                </c:pt>
                <c:pt idx="19">
                  <c:v>75.553392751266756</c:v>
                </c:pt>
                <c:pt idx="20">
                  <c:v>75.472486534033209</c:v>
                </c:pt>
                <c:pt idx="21">
                  <c:v>75.386892011908188</c:v>
                </c:pt>
                <c:pt idx="22">
                  <c:v>75.29700808357596</c:v>
                </c:pt>
                <c:pt idx="23">
                  <c:v>75.203174681624546</c:v>
                </c:pt>
                <c:pt idx="24">
                  <c:v>75.105684501321093</c:v>
                </c:pt>
                <c:pt idx="25">
                  <c:v>75.004791974696445</c:v>
                </c:pt>
                <c:pt idx="26">
                  <c:v>74.90072022162704</c:v>
                </c:pt>
                <c:pt idx="27">
                  <c:v>74.592075918983809</c:v>
                </c:pt>
                <c:pt idx="28">
                  <c:v>74.208725472730535</c:v>
                </c:pt>
                <c:pt idx="29">
                  <c:v>73.816992767040972</c:v>
                </c:pt>
                <c:pt idx="30">
                  <c:v>73.416680701914345</c:v>
                </c:pt>
                <c:pt idx="31">
                  <c:v>73.230786042724745</c:v>
                </c:pt>
                <c:pt idx="32">
                  <c:v>73.404977743770232</c:v>
                </c:pt>
                <c:pt idx="33">
                  <c:v>73.570371400333045</c:v>
                </c:pt>
                <c:pt idx="34">
                  <c:v>73.7276303746699</c:v>
                </c:pt>
                <c:pt idx="35">
                  <c:v>73.877351325041758</c:v>
                </c:pt>
                <c:pt idx="36">
                  <c:v>74.020072520151089</c:v>
                </c:pt>
                <c:pt idx="37">
                  <c:v>74.560302839419251</c:v>
                </c:pt>
                <c:pt idx="38">
                  <c:v>75.112261119712159</c:v>
                </c:pt>
                <c:pt idx="39">
                  <c:v>75.63429116735368</c:v>
                </c:pt>
                <c:pt idx="40">
                  <c:v>76.128461572133205</c:v>
                </c:pt>
                <c:pt idx="41">
                  <c:v>76.596673837377324</c:v>
                </c:pt>
                <c:pt idx="42">
                  <c:v>77.040677137380484</c:v>
                </c:pt>
                <c:pt idx="43">
                  <c:v>77.462081756125372</c:v>
                </c:pt>
                <c:pt idx="44">
                  <c:v>77.862371308262311</c:v>
                </c:pt>
                <c:pt idx="45">
                  <c:v>78.242913841709168</c:v>
                </c:pt>
                <c:pt idx="46">
                  <c:v>77.476937848811289</c:v>
                </c:pt>
                <c:pt idx="47">
                  <c:v>77.701798022468409</c:v>
                </c:pt>
                <c:pt idx="48">
                  <c:v>77.917673590430113</c:v>
                </c:pt>
                <c:pt idx="49">
                  <c:v>78.125061989870773</c:v>
                </c:pt>
                <c:pt idx="50">
                  <c:v>78.324424738922431</c:v>
                </c:pt>
                <c:pt idx="51">
                  <c:v>78.516190609417663</c:v>
                </c:pt>
                <c:pt idx="52">
                  <c:v>78.700758470393467</c:v>
                </c:pt>
                <c:pt idx="53">
                  <c:v>78.878499841388631</c:v>
                </c:pt>
                <c:pt idx="54">
                  <c:v>79.049761189386587</c:v>
                </c:pt>
                <c:pt idx="55">
                  <c:v>79.214865998834796</c:v>
                </c:pt>
                <c:pt idx="56">
                  <c:v>79.374116640385225</c:v>
                </c:pt>
                <c:pt idx="57">
                  <c:v>79.527796060753005</c:v>
                </c:pt>
                <c:pt idx="58">
                  <c:v>79.676169313295688</c:v>
                </c:pt>
                <c:pt idx="59">
                  <c:v>79.819484946506194</c:v>
                </c:pt>
                <c:pt idx="60">
                  <c:v>79.957976265530277</c:v>
                </c:pt>
                <c:pt idx="61">
                  <c:v>80.09186248001518</c:v>
                </c:pt>
                <c:pt idx="62">
                  <c:v>80.221349750031052</c:v>
                </c:pt>
                <c:pt idx="63">
                  <c:v>80.346632140443404</c:v>
                </c:pt>
                <c:pt idx="64">
                  <c:v>80.467892492928897</c:v>
                </c:pt>
                <c:pt idx="65">
                  <c:v>80.585303223788316</c:v>
                </c:pt>
                <c:pt idx="66">
                  <c:v>80.699027054804048</c:v>
                </c:pt>
                <c:pt idx="67">
                  <c:v>80.809217683592365</c:v>
                </c:pt>
                <c:pt idx="68">
                  <c:v>80.91602039920302</c:v>
                </c:pt>
                <c:pt idx="69">
                  <c:v>81.019572648102397</c:v>
                </c:pt>
                <c:pt idx="70">
                  <c:v>81.120004555134784</c:v>
                </c:pt>
                <c:pt idx="71">
                  <c:v>81.217439403577259</c:v>
                </c:pt>
                <c:pt idx="72">
                  <c:v>81.311994077980117</c:v>
                </c:pt>
                <c:pt idx="73">
                  <c:v>81.403779473109495</c:v>
                </c:pt>
                <c:pt idx="74">
                  <c:v>81.492900871975976</c:v>
                </c:pt>
                <c:pt idx="75">
                  <c:v>81.579458295637139</c:v>
                </c:pt>
                <c:pt idx="76">
                  <c:v>81.663546827198346</c:v>
                </c:pt>
                <c:pt idx="77">
                  <c:v>81.745256912201711</c:v>
                </c:pt>
                <c:pt idx="78">
                  <c:v>81.824674637383666</c:v>
                </c:pt>
                <c:pt idx="79">
                  <c:v>81.901881989593718</c:v>
                </c:pt>
                <c:pt idx="80">
                  <c:v>81.976957096500286</c:v>
                </c:pt>
                <c:pt idx="81">
                  <c:v>82.049974450558665</c:v>
                </c:pt>
                <c:pt idx="82">
                  <c:v>82.121005117581362</c:v>
                </c:pt>
                <c:pt idx="83">
                  <c:v>82.190116931130348</c:v>
                </c:pt>
                <c:pt idx="84">
                  <c:v>82.257374673841468</c:v>
                </c:pt>
                <c:pt idx="85">
                  <c:v>82.322840246693119</c:v>
                </c:pt>
                <c:pt idx="86">
                  <c:v>82.386572827143112</c:v>
                </c:pt>
                <c:pt idx="87">
                  <c:v>82.448629016977321</c:v>
                </c:pt>
                <c:pt idx="88">
                  <c:v>82.509062980641474</c:v>
                </c:pt>
                <c:pt idx="89">
                  <c:v>82.567926574763234</c:v>
                </c:pt>
                <c:pt idx="90">
                  <c:v>82.625269469510016</c:v>
                </c:pt>
                <c:pt idx="91">
                  <c:v>82.681139262377641</c:v>
                </c:pt>
                <c:pt idx="92">
                  <c:v>82.735581584953053</c:v>
                </c:pt>
                <c:pt idx="93">
                  <c:v>82.788640203152326</c:v>
                </c:pt>
                <c:pt idx="94">
                  <c:v>82.840357111393431</c:v>
                </c:pt>
                <c:pt idx="95">
                  <c:v>82.890772621127709</c:v>
                </c:pt>
                <c:pt idx="96">
                  <c:v>82.939925444119595</c:v>
                </c:pt>
                <c:pt idx="97">
                  <c:v>82.987852770834479</c:v>
                </c:pt>
                <c:pt idx="98">
                  <c:v>83.034590344266007</c:v>
                </c:pt>
                <c:pt idx="99">
                  <c:v>83.080172529509511</c:v>
                </c:pt>
                <c:pt idx="100">
                  <c:v>81.588833176904942</c:v>
                </c:pt>
              </c:numCache>
            </c:numRef>
          </c:val>
          <c:smooth val="0"/>
          <c:extLst>
            <c:ext xmlns:c16="http://schemas.microsoft.com/office/drawing/2014/chart" uri="{C3380CC4-5D6E-409C-BE32-E72D297353CC}">
              <c16:uniqueId val="{00000000-AC8A-4551-AD17-C0E237FEA675}"/>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8.5643749999999983</c:v>
                </c:pt>
                <c:pt idx="2">
                  <c:v>17.128749999999997</c:v>
                </c:pt>
                <c:pt idx="3">
                  <c:v>25.693124999999998</c:v>
                </c:pt>
                <c:pt idx="4">
                  <c:v>34.257499999999993</c:v>
                </c:pt>
                <c:pt idx="5">
                  <c:v>42.821874999999999</c:v>
                </c:pt>
                <c:pt idx="6">
                  <c:v>51.386249999999997</c:v>
                </c:pt>
                <c:pt idx="7">
                  <c:v>59.950624999999995</c:v>
                </c:pt>
                <c:pt idx="8">
                  <c:v>68.514999999999986</c:v>
                </c:pt>
                <c:pt idx="9">
                  <c:v>77.079374999999999</c:v>
                </c:pt>
                <c:pt idx="10">
                  <c:v>85.643749999999997</c:v>
                </c:pt>
                <c:pt idx="11">
                  <c:v>94.208124999999995</c:v>
                </c:pt>
                <c:pt idx="12">
                  <c:v>102.77249999999999</c:v>
                </c:pt>
                <c:pt idx="13">
                  <c:v>111.33687499999999</c:v>
                </c:pt>
                <c:pt idx="14">
                  <c:v>119.90124999999999</c:v>
                </c:pt>
                <c:pt idx="15">
                  <c:v>128.46562499999999</c:v>
                </c:pt>
                <c:pt idx="16">
                  <c:v>137.02999999999997</c:v>
                </c:pt>
                <c:pt idx="17">
                  <c:v>145.59437500000001</c:v>
                </c:pt>
                <c:pt idx="18">
                  <c:v>154.15875</c:v>
                </c:pt>
                <c:pt idx="19">
                  <c:v>162.72312499999998</c:v>
                </c:pt>
                <c:pt idx="20">
                  <c:v>171.28749999999999</c:v>
                </c:pt>
                <c:pt idx="21">
                  <c:v>179.85187500000001</c:v>
                </c:pt>
                <c:pt idx="22">
                  <c:v>188.41624999999999</c:v>
                </c:pt>
                <c:pt idx="23">
                  <c:v>196.98062500000003</c:v>
                </c:pt>
                <c:pt idx="24">
                  <c:v>205.54499999999999</c:v>
                </c:pt>
                <c:pt idx="25">
                  <c:v>214.109375</c:v>
                </c:pt>
                <c:pt idx="26">
                  <c:v>222.67374999999998</c:v>
                </c:pt>
                <c:pt idx="27">
                  <c:v>231.238125</c:v>
                </c:pt>
                <c:pt idx="28">
                  <c:v>239.80249999999998</c:v>
                </c:pt>
                <c:pt idx="29">
                  <c:v>248.36687499999994</c:v>
                </c:pt>
                <c:pt idx="30">
                  <c:v>256.93124999999998</c:v>
                </c:pt>
                <c:pt idx="31">
                  <c:v>265.49562499999996</c:v>
                </c:pt>
                <c:pt idx="32">
                  <c:v>274.05999999999995</c:v>
                </c:pt>
                <c:pt idx="33">
                  <c:v>282.62437499999999</c:v>
                </c:pt>
                <c:pt idx="34">
                  <c:v>291.18875000000003</c:v>
                </c:pt>
                <c:pt idx="35">
                  <c:v>299.75312499999995</c:v>
                </c:pt>
                <c:pt idx="36">
                  <c:v>308.3175</c:v>
                </c:pt>
                <c:pt idx="37">
                  <c:v>316.88187499999992</c:v>
                </c:pt>
                <c:pt idx="38">
                  <c:v>325.44624999999996</c:v>
                </c:pt>
                <c:pt idx="39">
                  <c:v>334.01062499999989</c:v>
                </c:pt>
                <c:pt idx="40">
                  <c:v>342.57499999999999</c:v>
                </c:pt>
                <c:pt idx="41">
                  <c:v>351.13937499999992</c:v>
                </c:pt>
                <c:pt idx="42">
                  <c:v>359.70375000000001</c:v>
                </c:pt>
                <c:pt idx="43">
                  <c:v>368.26812499999994</c:v>
                </c:pt>
                <c:pt idx="44">
                  <c:v>376.83249999999998</c:v>
                </c:pt>
                <c:pt idx="45">
                  <c:v>385.39687499999997</c:v>
                </c:pt>
                <c:pt idx="46">
                  <c:v>393.96125000000006</c:v>
                </c:pt>
                <c:pt idx="47">
                  <c:v>402.52562499999993</c:v>
                </c:pt>
                <c:pt idx="48">
                  <c:v>411.09</c:v>
                </c:pt>
                <c:pt idx="49">
                  <c:v>419.6543749999999</c:v>
                </c:pt>
                <c:pt idx="50">
                  <c:v>428.21875</c:v>
                </c:pt>
                <c:pt idx="51">
                  <c:v>436.78312499999993</c:v>
                </c:pt>
                <c:pt idx="52">
                  <c:v>445.34749999999997</c:v>
                </c:pt>
                <c:pt idx="53">
                  <c:v>453.91187499999995</c:v>
                </c:pt>
                <c:pt idx="54">
                  <c:v>462.47624999999999</c:v>
                </c:pt>
                <c:pt idx="55">
                  <c:v>471.04062499999998</c:v>
                </c:pt>
                <c:pt idx="56">
                  <c:v>479.60499999999996</c:v>
                </c:pt>
                <c:pt idx="57">
                  <c:v>488.16937499999995</c:v>
                </c:pt>
                <c:pt idx="58">
                  <c:v>496.73374999999987</c:v>
                </c:pt>
                <c:pt idx="59">
                  <c:v>505.29812499999991</c:v>
                </c:pt>
                <c:pt idx="60">
                  <c:v>513.86249999999995</c:v>
                </c:pt>
                <c:pt idx="61">
                  <c:v>522.426875</c:v>
                </c:pt>
                <c:pt idx="62">
                  <c:v>530.99124999999992</c:v>
                </c:pt>
                <c:pt idx="63">
                  <c:v>539.55562499999996</c:v>
                </c:pt>
                <c:pt idx="64">
                  <c:v>548.11999999999989</c:v>
                </c:pt>
                <c:pt idx="65">
                  <c:v>556.68437499999993</c:v>
                </c:pt>
                <c:pt idx="66">
                  <c:v>565.24874999999997</c:v>
                </c:pt>
                <c:pt idx="67">
                  <c:v>573.8131249999999</c:v>
                </c:pt>
                <c:pt idx="68">
                  <c:v>582.37750000000005</c:v>
                </c:pt>
                <c:pt idx="69">
                  <c:v>590.94187499999987</c:v>
                </c:pt>
                <c:pt idx="70">
                  <c:v>599.50624999999991</c:v>
                </c:pt>
                <c:pt idx="71">
                  <c:v>608.07062499999984</c:v>
                </c:pt>
                <c:pt idx="72">
                  <c:v>616.63499999999999</c:v>
                </c:pt>
                <c:pt idx="73">
                  <c:v>625.19937499999992</c:v>
                </c:pt>
                <c:pt idx="74">
                  <c:v>633.76374999999985</c:v>
                </c:pt>
                <c:pt idx="75">
                  <c:v>642.32812499999989</c:v>
                </c:pt>
                <c:pt idx="76">
                  <c:v>650.89249999999993</c:v>
                </c:pt>
                <c:pt idx="77">
                  <c:v>659.45687499999997</c:v>
                </c:pt>
                <c:pt idx="78">
                  <c:v>668.02124999999978</c:v>
                </c:pt>
                <c:pt idx="79">
                  <c:v>676.58562499999994</c:v>
                </c:pt>
                <c:pt idx="80">
                  <c:v>685.15</c:v>
                </c:pt>
                <c:pt idx="81">
                  <c:v>693.7143749999999</c:v>
                </c:pt>
                <c:pt idx="82">
                  <c:v>702.27874999999983</c:v>
                </c:pt>
                <c:pt idx="83">
                  <c:v>710.84312499999987</c:v>
                </c:pt>
                <c:pt idx="84">
                  <c:v>719.40750000000003</c:v>
                </c:pt>
                <c:pt idx="85">
                  <c:v>727.97187499999995</c:v>
                </c:pt>
                <c:pt idx="86">
                  <c:v>736.53624999999988</c:v>
                </c:pt>
                <c:pt idx="87">
                  <c:v>745.10062499999992</c:v>
                </c:pt>
                <c:pt idx="88">
                  <c:v>753.66499999999996</c:v>
                </c:pt>
                <c:pt idx="89">
                  <c:v>762.22937500000012</c:v>
                </c:pt>
                <c:pt idx="90">
                  <c:v>770.79374999999993</c:v>
                </c:pt>
                <c:pt idx="91">
                  <c:v>779.35812499999986</c:v>
                </c:pt>
                <c:pt idx="92">
                  <c:v>787.92250000000013</c:v>
                </c:pt>
                <c:pt idx="93">
                  <c:v>796.48687500000005</c:v>
                </c:pt>
                <c:pt idx="94">
                  <c:v>805.05124999999987</c:v>
                </c:pt>
                <c:pt idx="95">
                  <c:v>813.6156249999998</c:v>
                </c:pt>
                <c:pt idx="96">
                  <c:v>822.18</c:v>
                </c:pt>
                <c:pt idx="97">
                  <c:v>830.74437499999988</c:v>
                </c:pt>
                <c:pt idx="98">
                  <c:v>839.3087499999998</c:v>
                </c:pt>
                <c:pt idx="99">
                  <c:v>847.87312499999973</c:v>
                </c:pt>
                <c:pt idx="100">
                  <c:v>856.4375</c:v>
                </c:pt>
              </c:numCache>
            </c:numRef>
          </c:val>
          <c:smooth val="0"/>
          <c:extLst>
            <c:ext xmlns:c16="http://schemas.microsoft.com/office/drawing/2014/chart" uri="{C3380CC4-5D6E-409C-BE32-E72D297353CC}">
              <c16:uniqueId val="{00000001-AC8A-4551-AD17-C0E237FEA675}"/>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12.973654390204805</c:v>
                </c:pt>
                <c:pt idx="1">
                  <c:v>14.819904255778249</c:v>
                </c:pt>
                <c:pt idx="2">
                  <c:v>29.639942768488211</c:v>
                </c:pt>
                <c:pt idx="3">
                  <c:v>44.46011553995428</c:v>
                </c:pt>
                <c:pt idx="4">
                  <c:v>59.280422572000909</c:v>
                </c:pt>
                <c:pt idx="5">
                  <c:v>74.100863866452542</c:v>
                </c:pt>
                <c:pt idx="6">
                  <c:v>88.921439425133727</c:v>
                </c:pt>
                <c:pt idx="7">
                  <c:v>103.74214924986899</c:v>
                </c:pt>
                <c:pt idx="8">
                  <c:v>118.56299334248287</c:v>
                </c:pt>
                <c:pt idx="9">
                  <c:v>133.38397170479999</c:v>
                </c:pt>
                <c:pt idx="10">
                  <c:v>148.20508433864492</c:v>
                </c:pt>
                <c:pt idx="11">
                  <c:v>163.0263312458425</c:v>
                </c:pt>
                <c:pt idx="12">
                  <c:v>177.84771242821725</c:v>
                </c:pt>
                <c:pt idx="13">
                  <c:v>192.66922788759408</c:v>
                </c:pt>
                <c:pt idx="14">
                  <c:v>207.49087762579759</c:v>
                </c:pt>
                <c:pt idx="15">
                  <c:v>222.31266164465262</c:v>
                </c:pt>
                <c:pt idx="16">
                  <c:v>237.13457994598411</c:v>
                </c:pt>
                <c:pt idx="17">
                  <c:v>251.95663253161683</c:v>
                </c:pt>
                <c:pt idx="18">
                  <c:v>266.77881940337573</c:v>
                </c:pt>
                <c:pt idx="19">
                  <c:v>281.60114056308566</c:v>
                </c:pt>
                <c:pt idx="20">
                  <c:v>296.42359601257164</c:v>
                </c:pt>
                <c:pt idx="21">
                  <c:v>311.24618575365878</c:v>
                </c:pt>
                <c:pt idx="22">
                  <c:v>326.06890978817199</c:v>
                </c:pt>
                <c:pt idx="23">
                  <c:v>340.89176811793641</c:v>
                </c:pt>
                <c:pt idx="24">
                  <c:v>355.71476074477681</c:v>
                </c:pt>
                <c:pt idx="25">
                  <c:v>370.53788767051884</c:v>
                </c:pt>
                <c:pt idx="26">
                  <c:v>385.36114889698746</c:v>
                </c:pt>
                <c:pt idx="27">
                  <c:v>404.62094852196145</c:v>
                </c:pt>
                <c:pt idx="28">
                  <c:v>425.6464722998229</c:v>
                </c:pt>
                <c:pt idx="29">
                  <c:v>446.9946645736415</c:v>
                </c:pt>
                <c:pt idx="30">
                  <c:v>468.66011173588845</c:v>
                </c:pt>
                <c:pt idx="31">
                  <c:v>484.67358968610063</c:v>
                </c:pt>
                <c:pt idx="32">
                  <c:v>490.84631307818313</c:v>
                </c:pt>
                <c:pt idx="33">
                  <c:v>496.92492495950029</c:v>
                </c:pt>
                <c:pt idx="34">
                  <c:v>502.91370097774501</c:v>
                </c:pt>
                <c:pt idx="35">
                  <c:v>508.81660424716756</c:v>
                </c:pt>
                <c:pt idx="36">
                  <c:v>514.63731640890319</c:v>
                </c:pt>
                <c:pt idx="37">
                  <c:v>508.57789261124685</c:v>
                </c:pt>
                <c:pt idx="38">
                  <c:v>501.5435115876187</c:v>
                </c:pt>
                <c:pt idx="39">
                  <c:v>494.78005110217993</c:v>
                </c:pt>
                <c:pt idx="40">
                  <c:v>488.27099726400564</c:v>
                </c:pt>
                <c:pt idx="41">
                  <c:v>482.00119427615209</c:v>
                </c:pt>
                <c:pt idx="42">
                  <c:v>475.95670527660559</c:v>
                </c:pt>
                <c:pt idx="43">
                  <c:v>470.12469011936105</c:v>
                </c:pt>
                <c:pt idx="44">
                  <c:v>464.49329772212155</c:v>
                </c:pt>
                <c:pt idx="45">
                  <c:v>459.05157098134072</c:v>
                </c:pt>
                <c:pt idx="46">
                  <c:v>486.9413939773417</c:v>
                </c:pt>
                <c:pt idx="47">
                  <c:v>485.9179846479505</c:v>
                </c:pt>
                <c:pt idx="48">
                  <c:v>484.94115127786358</c:v>
                </c:pt>
                <c:pt idx="49">
                  <c:v>484.00830192281694</c:v>
                </c:pt>
                <c:pt idx="50">
                  <c:v>483.1170413599387</c:v>
                </c:pt>
                <c:pt idx="51">
                  <c:v>482.2651527724534</c:v>
                </c:pt>
                <c:pt idx="52">
                  <c:v>481.45058144326561</c:v>
                </c:pt>
                <c:pt idx="53">
                  <c:v>480.67142020496857</c:v>
                </c:pt>
                <c:pt idx="54">
                  <c:v>479.9258964294545</c:v>
                </c:pt>
                <c:pt idx="55">
                  <c:v>479.21236037035101</c:v>
                </c:pt>
                <c:pt idx="56">
                  <c:v>478.52927469696846</c:v>
                </c:pt>
                <c:pt idx="57">
                  <c:v>477.87520508005855</c:v>
                </c:pt>
                <c:pt idx="58">
                  <c:v>477.24881170809323</c:v>
                </c:pt>
                <c:pt idx="59">
                  <c:v>476.64884162849808</c:v>
                </c:pt>
                <c:pt idx="60">
                  <c:v>476.07412182174784</c:v>
                </c:pt>
                <c:pt idx="61">
                  <c:v>475.5235529277918</c:v>
                </c:pt>
                <c:pt idx="62">
                  <c:v>474.99610355423283</c:v>
                </c:pt>
                <c:pt idx="63">
                  <c:v>474.49080510428763</c:v>
                </c:pt>
                <c:pt idx="64">
                  <c:v>474.00674706997324</c:v>
                </c:pt>
                <c:pt idx="65">
                  <c:v>473.54307274242313</c:v>
                </c:pt>
                <c:pt idx="66">
                  <c:v>473.09897529683025</c:v>
                </c:pt>
                <c:pt idx="67">
                  <c:v>472.67369421439798</c:v>
                </c:pt>
                <c:pt idx="68">
                  <c:v>472.26651200792935</c:v>
                </c:pt>
                <c:pt idx="69">
                  <c:v>471.87675122141411</c:v>
                </c:pt>
                <c:pt idx="70">
                  <c:v>471.50377167723286</c:v>
                </c:pt>
                <c:pt idx="71">
                  <c:v>471.1469679474601</c:v>
                </c:pt>
                <c:pt idx="72">
                  <c:v>470.80576702826579</c:v>
                </c:pt>
                <c:pt idx="73">
                  <c:v>470.47962619863858</c:v>
                </c:pt>
                <c:pt idx="74">
                  <c:v>470.16803104660607</c:v>
                </c:pt>
                <c:pt idx="75">
                  <c:v>469.87049364786651</c:v>
                </c:pt>
                <c:pt idx="76">
                  <c:v>469.58655088327117</c:v>
                </c:pt>
                <c:pt idx="77">
                  <c:v>469.31576288296901</c:v>
                </c:pt>
                <c:pt idx="78">
                  <c:v>469.05771158622139</c:v>
                </c:pt>
                <c:pt idx="79">
                  <c:v>468.81199940698008</c:v>
                </c:pt>
                <c:pt idx="80">
                  <c:v>468.57824799627656</c:v>
                </c:pt>
                <c:pt idx="81">
                  <c:v>468.35609709332391</c:v>
                </c:pt>
                <c:pt idx="82">
                  <c:v>468.14520345800361</c:v>
                </c:pt>
                <c:pt idx="83">
                  <c:v>467.94523987808668</c:v>
                </c:pt>
                <c:pt idx="84">
                  <c:v>467.75589424515744</c:v>
                </c:pt>
                <c:pt idx="85">
                  <c:v>467.57686869375601</c:v>
                </c:pt>
                <c:pt idx="86">
                  <c:v>467.40787879874983</c:v>
                </c:pt>
                <c:pt idx="87">
                  <c:v>467.2486528263903</c:v>
                </c:pt>
                <c:pt idx="88">
                  <c:v>467.09893103491532</c:v>
                </c:pt>
                <c:pt idx="89">
                  <c:v>466.95846502090654</c:v>
                </c:pt>
                <c:pt idx="90">
                  <c:v>466.82701710795828</c:v>
                </c:pt>
                <c:pt idx="91">
                  <c:v>466.7043597744875</c:v>
                </c:pt>
                <c:pt idx="92">
                  <c:v>466.59027511779664</c:v>
                </c:pt>
                <c:pt idx="93">
                  <c:v>466.48455435173622</c:v>
                </c:pt>
                <c:pt idx="94">
                  <c:v>466.38699733553557</c:v>
                </c:pt>
                <c:pt idx="95">
                  <c:v>466.29741213156819</c:v>
                </c:pt>
                <c:pt idx="96">
                  <c:v>466.21561458999963</c:v>
                </c:pt>
                <c:pt idx="97">
                  <c:v>466.14142795843168</c:v>
                </c:pt>
                <c:pt idx="98">
                  <c:v>466.07468251480276</c:v>
                </c:pt>
                <c:pt idx="99">
                  <c:v>466.01521522194719</c:v>
                </c:pt>
                <c:pt idx="100">
                  <c:v>465.96286940233421</c:v>
                </c:pt>
              </c:numCache>
            </c:numRef>
          </c:val>
          <c:smooth val="0"/>
          <c:extLst>
            <c:ext xmlns:c16="http://schemas.microsoft.com/office/drawing/2014/chart" uri="{C3380CC4-5D6E-409C-BE32-E72D297353CC}">
              <c16:uniqueId val="{00000002-AC8A-4551-AD17-C0E237FEA675}"/>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12.538921452860796</c:v>
                </c:pt>
                <c:pt idx="1">
                  <c:v>12.546587668662465</c:v>
                </c:pt>
                <c:pt idx="2">
                  <c:v>12.660629942976806</c:v>
                </c:pt>
                <c:pt idx="3">
                  <c:v>12.891235503352711</c:v>
                </c:pt>
                <c:pt idx="4">
                  <c:v>13.265037084313851</c:v>
                </c:pt>
                <c:pt idx="5">
                  <c:v>13.804358814208021</c:v>
                </c:pt>
                <c:pt idx="6">
                  <c:v>14.528825685810748</c:v>
                </c:pt>
                <c:pt idx="7">
                  <c:v>15.45616102014977</c:v>
                </c:pt>
                <c:pt idx="8">
                  <c:v>16.602653195728173</c:v>
                </c:pt>
                <c:pt idx="9">
                  <c:v>17.983457341791748</c:v>
                </c:pt>
                <c:pt idx="10">
                  <c:v>19.612803896005065</c:v>
                </c:pt>
                <c:pt idx="11">
                  <c:v>21.504149982292478</c:v>
                </c:pt>
                <c:pt idx="12">
                  <c:v>23.670293444164233</c:v>
                </c:pt>
                <c:pt idx="13">
                  <c:v>26.123461300782388</c:v>
                </c:pt>
                <c:pt idx="14">
                  <c:v>28.875380010790053</c:v>
                </c:pt>
                <c:pt idx="15">
                  <c:v>31.937332392020206</c:v>
                </c:pt>
                <c:pt idx="16">
                  <c:v>35.320204499340491</c:v>
                </c:pt>
                <c:pt idx="17">
                  <c:v>39.034524780331431</c:v>
                </c:pt>
                <c:pt idx="18">
                  <c:v>43.090497181469743</c:v>
                </c:pt>
                <c:pt idx="19">
                  <c:v>47.498029438372363</c:v>
                </c:pt>
                <c:pt idx="20">
                  <c:v>52.266757477790428</c:v>
                </c:pt>
                <c:pt idx="21">
                  <c:v>57.406066641095293</c:v>
                </c:pt>
                <c:pt idx="22">
                  <c:v>62.925110280575694</c:v>
                </c:pt>
                <c:pt idx="23">
                  <c:v>68.832826162644437</c:v>
                </c:pt>
                <c:pt idx="24">
                  <c:v>75.137951023934562</c:v>
                </c:pt>
                <c:pt idx="25">
                  <c:v>81.849033559085385</c:v>
                </c:pt>
                <c:pt idx="26">
                  <c:v>88.974446067115224</c:v>
                </c:pt>
                <c:pt idx="27">
                  <c:v>99.890874965899641</c:v>
                </c:pt>
                <c:pt idx="28">
                  <c:v>113.06399329899028</c:v>
                </c:pt>
                <c:pt idx="29">
                  <c:v>127.54622872530264</c:v>
                </c:pt>
                <c:pt idx="30">
                  <c:v>143.42049913052108</c:v>
                </c:pt>
                <c:pt idx="31">
                  <c:v>156.38462969446289</c:v>
                </c:pt>
                <c:pt idx="32">
                  <c:v>162.5955957651359</c:v>
                </c:pt>
                <c:pt idx="33">
                  <c:v>168.85177747212606</c:v>
                </c:pt>
                <c:pt idx="34">
                  <c:v>175.15215571105477</c:v>
                </c:pt>
                <c:pt idx="35">
                  <c:v>181.49576414160342</c:v>
                </c:pt>
                <c:pt idx="36">
                  <c:v>187.88168502245369</c:v>
                </c:pt>
                <c:pt idx="37">
                  <c:v>184.48118927429778</c:v>
                </c:pt>
                <c:pt idx="38">
                  <c:v>180.28554963609676</c:v>
                </c:pt>
                <c:pt idx="39">
                  <c:v>176.32235377532797</c:v>
                </c:pt>
                <c:pt idx="40">
                  <c:v>172.57534334451032</c:v>
                </c:pt>
                <c:pt idx="41">
                  <c:v>169.02970741729746</c:v>
                </c:pt>
                <c:pt idx="42">
                  <c:v>165.67192762597503</c:v>
                </c:pt>
                <c:pt idx="43">
                  <c:v>162.48964248123053</c:v>
                </c:pt>
                <c:pt idx="44">
                  <c:v>159.47152819553591</c:v>
                </c:pt>
                <c:pt idx="45">
                  <c:v>156.6071937447679</c:v>
                </c:pt>
                <c:pt idx="46">
                  <c:v>188.89788012334262</c:v>
                </c:pt>
                <c:pt idx="47">
                  <c:v>190.56925194986002</c:v>
                </c:pt>
                <c:pt idx="48">
                  <c:v>192.24740614512245</c:v>
                </c:pt>
                <c:pt idx="49">
                  <c:v>193.93334176353454</c:v>
                </c:pt>
                <c:pt idx="50">
                  <c:v>195.62798569062639</c:v>
                </c:pt>
                <c:pt idx="51">
                  <c:v>197.3321990850458</c:v>
                </c:pt>
                <c:pt idx="52">
                  <c:v>199.04678314587963</c:v>
                </c:pt>
                <c:pt idx="53">
                  <c:v>200.77248428618032</c:v>
                </c:pt>
                <c:pt idx="54">
                  <c:v>202.50999878271085</c:v>
                </c:pt>
                <c:pt idx="55">
                  <c:v>204.25997696265537</c:v>
                </c:pt>
                <c:pt idx="56">
                  <c:v>206.02302698013077</c:v>
                </c:pt>
                <c:pt idx="57">
                  <c:v>207.79971822856891</c:v>
                </c:pt>
                <c:pt idx="58">
                  <c:v>209.59058442923742</c:v>
                </c:pt>
                <c:pt idx="59">
                  <c:v>211.39612643113838</c:v>
                </c:pt>
                <c:pt idx="60">
                  <c:v>213.21681475324854</c:v>
                </c:pt>
                <c:pt idx="61">
                  <c:v>215.0530918963043</c:v>
                </c:pt>
                <c:pt idx="62">
                  <c:v>216.90537444811505</c:v>
                </c:pt>
                <c:pt idx="63">
                  <c:v>218.77405500358481</c:v>
                </c:pt>
                <c:pt idx="64">
                  <c:v>220.65950391817066</c:v>
                </c:pt>
                <c:pt idx="65">
                  <c:v>222.56207091138302</c:v>
                </c:pt>
                <c:pt idx="66">
                  <c:v>224.48208653505793</c:v>
                </c:pt>
                <c:pt idx="67">
                  <c:v>226.41986351952326</c:v>
                </c:pt>
                <c:pt idx="68">
                  <c:v>228.37569800932275</c:v>
                </c:pt>
                <c:pt idx="69">
                  <c:v>230.34987069892449</c:v>
                </c:pt>
                <c:pt idx="70">
                  <c:v>232.34264787772449</c:v>
                </c:pt>
                <c:pt idx="71">
                  <c:v>234.35428239267995</c:v>
                </c:pt>
                <c:pt idx="72">
                  <c:v>236.38501453604289</c:v>
                </c:pt>
                <c:pt idx="73">
                  <c:v>238.43507286490714</c:v>
                </c:pt>
                <c:pt idx="74">
                  <c:v>240.50467495858982</c:v>
                </c:pt>
                <c:pt idx="75">
                  <c:v>242.59402811929033</c:v>
                </c:pt>
                <c:pt idx="76">
                  <c:v>244.70333002090229</c:v>
                </c:pt>
                <c:pt idx="77">
                  <c:v>246.83276931041974</c:v>
                </c:pt>
                <c:pt idx="78">
                  <c:v>248.98252616590779</c:v>
                </c:pt>
                <c:pt idx="79">
                  <c:v>251.15277281466948</c:v>
                </c:pt>
                <c:pt idx="80">
                  <c:v>253.34367401487256</c:v>
                </c:pt>
                <c:pt idx="81">
                  <c:v>255.55538750361168</c:v>
                </c:pt>
                <c:pt idx="82">
                  <c:v>257.78806441410029</c:v>
                </c:pt>
                <c:pt idx="83">
                  <c:v>260.04184966445024</c:v>
                </c:pt>
                <c:pt idx="84">
                  <c:v>262.3168823202663</c:v>
                </c:pt>
                <c:pt idx="85">
                  <c:v>264.61329593309534</c:v>
                </c:pt>
                <c:pt idx="86">
                  <c:v>266.93121885658093</c:v>
                </c:pt>
                <c:pt idx="87">
                  <c:v>269.27077454202561</c:v>
                </c:pt>
                <c:pt idx="88">
                  <c:v>271.63208181490302</c:v>
                </c:pt>
                <c:pt idx="89">
                  <c:v>274.01525513374139</c:v>
                </c:pt>
                <c:pt idx="90">
                  <c:v>276.42040483267903</c:v>
                </c:pt>
                <c:pt idx="91">
                  <c:v>278.84763734887207</c:v>
                </c:pt>
                <c:pt idx="92">
                  <c:v>281.29705543586545</c:v>
                </c:pt>
                <c:pt idx="93">
                  <c:v>283.76875836390695</c:v>
                </c:pt>
                <c:pt idx="94">
                  <c:v>286.26284210814873</c:v>
                </c:pt>
                <c:pt idx="95">
                  <c:v>288.77939952556852</c:v>
                </c:pt>
                <c:pt idx="96">
                  <c:v>291.31852052140158</c:v>
                </c:pt>
                <c:pt idx="97">
                  <c:v>293.88029220579898</c:v>
                </c:pt>
                <c:pt idx="98">
                  <c:v>296.46479904137794</c:v>
                </c:pt>
                <c:pt idx="99">
                  <c:v>299.07212298227904</c:v>
                </c:pt>
                <c:pt idx="100">
                  <c:v>301.70234360529219</c:v>
                </c:pt>
              </c:numCache>
            </c:numRef>
          </c:val>
          <c:smooth val="0"/>
          <c:extLst>
            <c:ext xmlns:c16="http://schemas.microsoft.com/office/drawing/2014/chart" uri="{C3380CC4-5D6E-409C-BE32-E72D297353CC}">
              <c16:uniqueId val="{00000003-AC8A-4551-AD17-C0E237FEA675}"/>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zh-CN"/>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zh-CN"/>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zh-CN"/>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11.429199855803537</c:v>
                </c:pt>
                <c:pt idx="2">
                  <c:v>34.287599567410609</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274.3089974105547</c:v>
                </c:pt>
                <c:pt idx="25">
                  <c:v>285.81873315363879</c:v>
                </c:pt>
                <c:pt idx="26">
                  <c:v>232.56778747425872</c:v>
                </c:pt>
                <c:pt idx="27">
                  <c:v>224.33868852390839</c:v>
                </c:pt>
                <c:pt idx="28">
                  <c:v>216.6718871445612</c:v>
                </c:pt>
                <c:pt idx="29">
                  <c:v>209.51165259458853</c:v>
                </c:pt>
                <c:pt idx="30">
                  <c:v>202.80938341866414</c:v>
                </c:pt>
                <c:pt idx="31">
                  <c:v>196.52250276996728</c:v>
                </c:pt>
                <c:pt idx="32">
                  <c:v>190.61355296115264</c:v>
                </c:pt>
                <c:pt idx="33">
                  <c:v>185.04944854792882</c:v>
                </c:pt>
                <c:pt idx="34">
                  <c:v>179.8008564802135</c:v>
                </c:pt>
                <c:pt idx="35">
                  <c:v>174.84167879628083</c:v>
                </c:pt>
                <c:pt idx="36">
                  <c:v>170.14861859970273</c:v>
                </c:pt>
                <c:pt idx="37">
                  <c:v>165.70081408520767</c:v>
                </c:pt>
                <c:pt idx="38">
                  <c:v>161.4795284830991</c:v>
                </c:pt>
                <c:pt idx="39">
                  <c:v>157.46788620176409</c:v>
                </c:pt>
                <c:pt idx="40">
                  <c:v>153.65064733213441</c:v>
                </c:pt>
                <c:pt idx="41">
                  <c:v>150.01401416107333</c:v>
                </c:pt>
                <c:pt idx="42">
                  <c:v>146.54546451528344</c:v>
                </c:pt>
                <c:pt idx="43">
                  <c:v>143.23360769314394</c:v>
                </c:pt>
                <c:pt idx="44">
                  <c:v>140.06805949164959</c:v>
                </c:pt>
                <c:pt idx="45">
                  <c:v>137.03933343954654</c:v>
                </c:pt>
                <c:pt idx="46">
                  <c:v>134.13874583669067</c:v>
                </c:pt>
                <c:pt idx="47">
                  <c:v>131.35833259742793</c:v>
                </c:pt>
                <c:pt idx="48">
                  <c:v>128.69077622090069</c:v>
                </c:pt>
                <c:pt idx="49">
                  <c:v>126.12934147808691</c:v>
                </c:pt>
                <c:pt idx="50">
                  <c:v>123.66781862542697</c:v>
                </c:pt>
                <c:pt idx="51">
                  <c:v>121.30047313705009</c:v>
                </c:pt>
                <c:pt idx="52">
                  <c:v>119.02200109899468</c:v>
                </c:pt>
                <c:pt idx="53">
                  <c:v>116.82748953509474</c:v>
                </c:pt>
                <c:pt idx="54">
                  <c:v>114.71238103991483</c:v>
                </c:pt>
                <c:pt idx="55">
                  <c:v>112.67244218292345</c:v>
                </c:pt>
                <c:pt idx="56">
                  <c:v>110.70373522294298</c:v>
                </c:pt>
                <c:pt idx="57">
                  <c:v>108.80259273520106</c:v>
                </c:pt>
                <c:pt idx="58">
                  <c:v>106.96559480698741</c:v>
                </c:pt>
                <c:pt idx="59">
                  <c:v>105.18954850358087</c:v>
                </c:pt>
                <c:pt idx="60">
                  <c:v>103.47146934506567</c:v>
                </c:pt>
                <c:pt idx="61">
                  <c:v>101.80856456798152</c:v>
                </c:pt>
                <c:pt idx="62">
                  <c:v>100.19821797433326</c:v>
                </c:pt>
                <c:pt idx="63">
                  <c:v>98.637976195069456</c:v>
                </c:pt>
                <c:pt idx="64">
                  <c:v>97.125536216328996</c:v>
                </c:pt>
                <c:pt idx="65">
                  <c:v>95.658734035068136</c:v>
                </c:pt>
                <c:pt idx="66">
                  <c:v>94.235534326545491</c:v>
                </c:pt>
                <c:pt idx="67">
                  <c:v>92.854021019911485</c:v>
                </c:pt>
                <c:pt idx="68">
                  <c:v>91.512388690134117</c:v>
                </c:pt>
                <c:pt idx="69">
                  <c:v>90.208934684938882</c:v>
                </c:pt>
                <c:pt idx="70">
                  <c:v>88.942051914570087</c:v>
                </c:pt>
                <c:pt idx="71">
                  <c:v>87.710222240171859</c:v>
                </c:pt>
                <c:pt idx="72">
                  <c:v>86.51201040359777</c:v>
                </c:pt>
                <c:pt idx="73">
                  <c:v>85.346058447617736</c:v>
                </c:pt>
                <c:pt idx="74">
                  <c:v>84.211080580915393</c:v>
                </c:pt>
                <c:pt idx="75">
                  <c:v>83.105858447052327</c:v>
                </c:pt>
                <c:pt idx="76">
                  <c:v>82.0292367608033</c:v>
                </c:pt>
                <c:pt idx="77">
                  <c:v>80.980119279005564</c:v>
                </c:pt>
                <c:pt idx="78">
                  <c:v>79.957465076382718</c:v>
                </c:pt>
                <c:pt idx="79">
                  <c:v>78.960285099747139</c:v>
                </c:pt>
                <c:pt idx="80">
                  <c:v>77.987638976603023</c:v>
                </c:pt>
                <c:pt idx="81">
                  <c:v>77.038632056503417</c:v>
                </c:pt>
                <c:pt idx="82">
                  <c:v>76.112412665595727</c:v>
                </c:pt>
                <c:pt idx="83">
                  <c:v>75.208169556645416</c:v>
                </c:pt>
                <c:pt idx="84">
                  <c:v>74.325129538491396</c:v>
                </c:pt>
                <c:pt idx="85">
                  <c:v>73.462555270372832</c:v>
                </c:pt>
                <c:pt idx="86">
                  <c:v>72.619743207903696</c:v>
                </c:pt>
                <c:pt idx="87">
                  <c:v>71.796021688667707</c:v>
                </c:pt>
                <c:pt idx="88">
                  <c:v>70.990749146486451</c:v>
                </c:pt>
                <c:pt idx="89">
                  <c:v>70.203312444381481</c:v>
                </c:pt>
                <c:pt idx="90">
                  <c:v>69.433125317128031</c:v>
                </c:pt>
                <c:pt idx="91">
                  <c:v>68.679626915085294</c:v>
                </c:pt>
                <c:pt idx="92">
                  <c:v>67.942280441702593</c:v>
                </c:pt>
                <c:pt idx="93">
                  <c:v>67.220571877745584</c:v>
                </c:pt>
                <c:pt idx="94">
                  <c:v>66.514008785870146</c:v>
                </c:pt>
                <c:pt idx="95">
                  <c:v>65.822119189702221</c:v>
                </c:pt>
                <c:pt idx="96">
                  <c:v>65.144450522061419</c:v>
                </c:pt>
                <c:pt idx="97">
                  <c:v>64.480568637402797</c:v>
                </c:pt>
                <c:pt idx="98">
                  <c:v>63.830056883949005</c:v>
                </c:pt>
                <c:pt idx="99">
                  <c:v>63.192515231345197</c:v>
                </c:pt>
                <c:pt idx="100">
                  <c:v>62.567559449998939</c:v>
                </c:pt>
              </c:numCache>
            </c:numRef>
          </c:val>
          <c:smooth val="0"/>
          <c:extLst>
            <c:ext xmlns:c16="http://schemas.microsoft.com/office/drawing/2014/chart" uri="{C3380CC4-5D6E-409C-BE32-E72D297353CC}">
              <c16:uniqueId val="{00000000-14B5-4C6D-ADBB-33FE896DCEBE}"/>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11.429199855803537</c:v>
                </c:pt>
                <c:pt idx="2">
                  <c:v>22.858399711607074</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274.30079653928487</c:v>
                </c:pt>
                <c:pt idx="25">
                  <c:v>285.72999639508845</c:v>
                </c:pt>
                <c:pt idx="26">
                  <c:v>297.15919625089202</c:v>
                </c:pt>
                <c:pt idx="27">
                  <c:v>308.58839610669554</c:v>
                </c:pt>
                <c:pt idx="28">
                  <c:v>320.01759596249912</c:v>
                </c:pt>
                <c:pt idx="29">
                  <c:v>331.44679581830258</c:v>
                </c:pt>
                <c:pt idx="30">
                  <c:v>342.87599567410615</c:v>
                </c:pt>
                <c:pt idx="31">
                  <c:v>350</c:v>
                </c:pt>
                <c:pt idx="32">
                  <c:v>350</c:v>
                </c:pt>
                <c:pt idx="33">
                  <c:v>350</c:v>
                </c:pt>
                <c:pt idx="34">
                  <c:v>350</c:v>
                </c:pt>
                <c:pt idx="35">
                  <c:v>350</c:v>
                </c:pt>
                <c:pt idx="36">
                  <c:v>350</c:v>
                </c:pt>
                <c:pt idx="37">
                  <c:v>342.06488767918432</c:v>
                </c:pt>
                <c:pt idx="38">
                  <c:v>333.70459934951435</c:v>
                </c:pt>
                <c:pt idx="39">
                  <c:v>325.74525604945364</c:v>
                </c:pt>
                <c:pt idx="40">
                  <c:v>318.15869036820658</c:v>
                </c:pt>
                <c:pt idx="41">
                  <c:v>310.91931296617906</c:v>
                </c:pt>
                <c:pt idx="42">
                  <c:v>304.00382421996932</c:v>
                </c:pt>
                <c:pt idx="43">
                  <c:v>297.39096372323814</c:v>
                </c:pt>
                <c:pt idx="44">
                  <c:v>291.06129196949996</c:v>
                </c:pt>
                <c:pt idx="45">
                  <c:v>284.99699949442766</c:v>
                </c:pt>
                <c:pt idx="46">
                  <c:v>279.18173953096613</c:v>
                </c:pt>
                <c:pt idx="47">
                  <c:v>273.60048086579883</c:v>
                </c:pt>
                <c:pt idx="48">
                  <c:v>268.23937810819172</c:v>
                </c:pt>
                <c:pt idx="49">
                  <c:v>263.08565701378342</c:v>
                </c:pt>
                <c:pt idx="50">
                  <c:v>258.12751286372651</c:v>
                </c:pt>
                <c:pt idx="51">
                  <c:v>253.35402019746516</c:v>
                </c:pt>
                <c:pt idx="52">
                  <c:v>248.75505244629659</c:v>
                </c:pt>
                <c:pt idx="53">
                  <c:v>244.32121022352055</c:v>
                </c:pt>
                <c:pt idx="54">
                  <c:v>240.04375720252227</c:v>
                </c:pt>
                <c:pt idx="55">
                  <c:v>235.91456266228909</c:v>
                </c:pt>
                <c:pt idx="56">
                  <c:v>231.92604990530967</c:v>
                </c:pt>
                <c:pt idx="57">
                  <c:v>228.07114985933745</c:v>
                </c:pt>
                <c:pt idx="58">
                  <c:v>224.34325926523704</c:v>
                </c:pt>
                <c:pt idx="59">
                  <c:v>220.73620293064033</c:v>
                </c:pt>
                <c:pt idx="60">
                  <c:v>217.24419959551605</c:v>
                </c:pt>
                <c:pt idx="61">
                  <c:v>213.86183101275699</c:v>
                </c:pt>
                <c:pt idx="62">
                  <c:v>210.58401389596526</c:v>
                </c:pt>
                <c:pt idx="63">
                  <c:v>207.40597442896319</c:v>
                </c:pt>
                <c:pt idx="64">
                  <c:v>204.32322506819628</c:v>
                </c:pt>
                <c:pt idx="65">
                  <c:v>201.33154340095973</c:v>
                </c:pt>
                <c:pt idx="66">
                  <c:v>198.4269528499849</c:v>
                </c:pt>
                <c:pt idx="67">
                  <c:v>195.60570503896437</c:v>
                </c:pt>
                <c:pt idx="68">
                  <c:v>192.8642636545724</c:v>
                </c:pt>
                <c:pt idx="69">
                  <c:v>190.19928965888562</c:v>
                </c:pt>
                <c:pt idx="70">
                  <c:v>187.60762772218555</c:v>
                </c:pt>
                <c:pt idx="71">
                  <c:v>185.08629376023586</c:v>
                </c:pt>
                <c:pt idx="72">
                  <c:v>182.63246347253965</c:v>
                </c:pt>
                <c:pt idx="73">
                  <c:v>180.24346178902127</c:v>
                </c:pt>
                <c:pt idx="74">
                  <c:v>177.91675314222667</c:v>
                </c:pt>
                <c:pt idx="75">
                  <c:v>175.6499324906768</c:v>
                </c:pt>
                <c:pt idx="76">
                  <c:v>173.44071702656302</c:v>
                </c:pt>
                <c:pt idx="77">
                  <c:v>171.2869385076819</c:v>
                </c:pt>
                <c:pt idx="78">
                  <c:v>169.18653615946567</c:v>
                </c:pt>
                <c:pt idx="79">
                  <c:v>167.13755009826284</c:v>
                </c:pt>
                <c:pt idx="80">
                  <c:v>165.13811523175173</c:v>
                </c:pt>
                <c:pt idx="81">
                  <c:v>163.18645559658401</c:v>
                </c:pt>
                <c:pt idx="82">
                  <c:v>161.28087909712528</c:v>
                </c:pt>
                <c:pt idx="83">
                  <c:v>159.41977261253166</c:v>
                </c:pt>
                <c:pt idx="84">
                  <c:v>157.6015974424256</c:v>
                </c:pt>
                <c:pt idx="85">
                  <c:v>155.82488506414447</c:v>
                </c:pt>
                <c:pt idx="86">
                  <c:v>154.08823317697494</c:v>
                </c:pt>
                <c:pt idx="87">
                  <c:v>152.39030201097813</c:v>
                </c:pt>
                <c:pt idx="88">
                  <c:v>150.72981087998585</c:v>
                </c:pt>
                <c:pt idx="89">
                  <c:v>149.10553496012835</c:v>
                </c:pt>
                <c:pt idx="90">
                  <c:v>147.51630227686624</c:v>
                </c:pt>
                <c:pt idx="91">
                  <c:v>145.96099088494722</c:v>
                </c:pt>
                <c:pt idx="92">
                  <c:v>144.43852622703079</c:v>
                </c:pt>
                <c:pt idx="93">
                  <c:v>142.94787865790977</c:v>
                </c:pt>
                <c:pt idx="94">
                  <c:v>141.48806112234396</c:v>
                </c:pt>
                <c:pt idx="95">
                  <c:v>140.05812697549882</c:v>
                </c:pt>
                <c:pt idx="96">
                  <c:v>138.65716793587632</c:v>
                </c:pt>
                <c:pt idx="97">
                  <c:v>137.28431216143551</c:v>
                </c:pt>
                <c:pt idx="98">
                  <c:v>135.93872244034034</c:v>
                </c:pt>
                <c:pt idx="99">
                  <c:v>134.61959448844425</c:v>
                </c:pt>
                <c:pt idx="100">
                  <c:v>133.32615534623773</c:v>
                </c:pt>
              </c:numCache>
            </c:numRef>
          </c:val>
          <c:smooth val="0"/>
          <c:extLst>
            <c:ext xmlns:c16="http://schemas.microsoft.com/office/drawing/2014/chart" uri="{C3380CC4-5D6E-409C-BE32-E72D297353CC}">
              <c16:uniqueId val="{00000001-14B5-4C6D-ADBB-33FE896DCEBE}"/>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11.428097574347452</c:v>
                </c:pt>
                <c:pt idx="2">
                  <c:v>22.856195148694905</c:v>
                </c:pt>
                <c:pt idx="3">
                  <c:v>34.284292723042356</c:v>
                </c:pt>
                <c:pt idx="4">
                  <c:v>45.71239029738981</c:v>
                </c:pt>
                <c:pt idx="5">
                  <c:v>57.140487871737257</c:v>
                </c:pt>
                <c:pt idx="6">
                  <c:v>68.568585446084711</c:v>
                </c:pt>
                <c:pt idx="7">
                  <c:v>79.996683020432158</c:v>
                </c:pt>
                <c:pt idx="8">
                  <c:v>91.424780594779619</c:v>
                </c:pt>
                <c:pt idx="9">
                  <c:v>102.85287816912705</c:v>
                </c:pt>
                <c:pt idx="10">
                  <c:v>114.28097574347451</c:v>
                </c:pt>
                <c:pt idx="11">
                  <c:v>125.70907331782196</c:v>
                </c:pt>
                <c:pt idx="12">
                  <c:v>137.13717089216942</c:v>
                </c:pt>
                <c:pt idx="13">
                  <c:v>148.56526846651687</c:v>
                </c:pt>
                <c:pt idx="14">
                  <c:v>159.99336604086432</c:v>
                </c:pt>
                <c:pt idx="15">
                  <c:v>171.42146361521176</c:v>
                </c:pt>
                <c:pt idx="16">
                  <c:v>182.84956118955924</c:v>
                </c:pt>
                <c:pt idx="17">
                  <c:v>194.27765876390671</c:v>
                </c:pt>
                <c:pt idx="18">
                  <c:v>205.7057563382541</c:v>
                </c:pt>
                <c:pt idx="19">
                  <c:v>217.13385391260158</c:v>
                </c:pt>
                <c:pt idx="20">
                  <c:v>228.56195148694903</c:v>
                </c:pt>
                <c:pt idx="21">
                  <c:v>239.99004906129645</c:v>
                </c:pt>
                <c:pt idx="22">
                  <c:v>251.41814663564392</c:v>
                </c:pt>
                <c:pt idx="23">
                  <c:v>262.84624420999143</c:v>
                </c:pt>
                <c:pt idx="24">
                  <c:v>274.27434178433884</c:v>
                </c:pt>
                <c:pt idx="25">
                  <c:v>285.70243935868626</c:v>
                </c:pt>
                <c:pt idx="26">
                  <c:v>297.13053693303374</c:v>
                </c:pt>
                <c:pt idx="27">
                  <c:v>308.55863450738116</c:v>
                </c:pt>
                <c:pt idx="28">
                  <c:v>319.98673208172863</c:v>
                </c:pt>
                <c:pt idx="29">
                  <c:v>331.41482965607605</c:v>
                </c:pt>
                <c:pt idx="30">
                  <c:v>342.84292723042353</c:v>
                </c:pt>
                <c:pt idx="31">
                  <c:v>350</c:v>
                </c:pt>
                <c:pt idx="32">
                  <c:v>350</c:v>
                </c:pt>
                <c:pt idx="33">
                  <c:v>350</c:v>
                </c:pt>
                <c:pt idx="34">
                  <c:v>350</c:v>
                </c:pt>
                <c:pt idx="35">
                  <c:v>350</c:v>
                </c:pt>
                <c:pt idx="36">
                  <c:v>350</c:v>
                </c:pt>
                <c:pt idx="37">
                  <c:v>350</c:v>
                </c:pt>
                <c:pt idx="38">
                  <c:v>347.29031336183277</c:v>
                </c:pt>
                <c:pt idx="39">
                  <c:v>339.02193511536296</c:v>
                </c:pt>
                <c:pt idx="40">
                  <c:v>331.14710888171953</c:v>
                </c:pt>
                <c:pt idx="41">
                  <c:v>323.6316884370118</c:v>
                </c:pt>
                <c:pt idx="42">
                  <c:v>316.45161802002781</c:v>
                </c:pt>
                <c:pt idx="43">
                  <c:v>309.58494181966313</c:v>
                </c:pt>
                <c:pt idx="44">
                  <c:v>303.01157972471009</c:v>
                </c:pt>
                <c:pt idx="45">
                  <c:v>296.71313120950413</c:v>
                </c:pt>
                <c:pt idx="46">
                  <c:v>290.67270332132875</c:v>
                </c:pt>
                <c:pt idx="47">
                  <c:v>284.87475938325167</c:v>
                </c:pt>
                <c:pt idx="48">
                  <c:v>279.30498555911231</c:v>
                </c:pt>
                <c:pt idx="49">
                  <c:v>273.9501728678668</c:v>
                </c:pt>
                <c:pt idx="50">
                  <c:v>268.79811259991232</c:v>
                </c:pt>
                <c:pt idx="51">
                  <c:v>263.83750339234251</c:v>
                </c:pt>
                <c:pt idx="52">
                  <c:v>259.05786847443676</c:v>
                </c:pt>
                <c:pt idx="53">
                  <c:v>254.44948180804505</c:v>
                </c:pt>
                <c:pt idx="54">
                  <c:v>250.00330202707954</c:v>
                </c:pt>
                <c:pt idx="55">
                  <c:v>245.71091323193824</c:v>
                </c:pt>
                <c:pt idx="56">
                  <c:v>241.5644718230981</c:v>
                </c:pt>
                <c:pt idx="57">
                  <c:v>237.55665866720429</c:v>
                </c:pt>
                <c:pt idx="58">
                  <c:v>233.68063598193595</c:v>
                </c:pt>
                <c:pt idx="59">
                  <c:v>229.93000840534623</c:v>
                </c:pt>
                <c:pt idx="60">
                  <c:v>226.29878778341359</c:v>
                </c:pt>
                <c:pt idx="61">
                  <c:v>222.7813612679891</c:v>
                </c:pt>
                <c:pt idx="62">
                  <c:v>219.37246236765296</c:v>
                </c:pt>
                <c:pt idx="63">
                  <c:v>216.06714463744603</c:v>
                </c:pt>
                <c:pt idx="64">
                  <c:v>212.86075773103443</c:v>
                </c:pt>
                <c:pt idx="65">
                  <c:v>209.74892557147845</c:v>
                </c:pt>
                <c:pt idx="66">
                  <c:v>206.7275264251152</c:v>
                </c:pt>
                <c:pt idx="67">
                  <c:v>203.79267468775902</c:v>
                </c:pt>
                <c:pt idx="68">
                  <c:v>200.94070421397345</c:v>
                </c:pt>
                <c:pt idx="69">
                  <c:v>198.16815303902263</c:v>
                </c:pt>
                <c:pt idx="70">
                  <c:v>195.47174935962721</c:v>
                </c:pt>
                <c:pt idx="71">
                  <c:v>192.84839865416504</c:v>
                </c:pt>
                <c:pt idx="72">
                  <c:v>190.29517183571159</c:v>
                </c:pt>
                <c:pt idx="73">
                  <c:v>187.80929434256774</c:v>
                </c:pt>
                <c:pt idx="74">
                  <c:v>185.38813608085047</c:v>
                </c:pt>
                <c:pt idx="75">
                  <c:v>183.0292021425044</c:v>
                </c:pt>
                <c:pt idx="76">
                  <c:v>180.73012422986972</c:v>
                </c:pt>
                <c:pt idx="77">
                  <c:v>178.48865272484576</c:v>
                </c:pt>
                <c:pt idx="78">
                  <c:v>176.30264934681989</c:v>
                </c:pt>
                <c:pt idx="79">
                  <c:v>174.17008034899317</c:v>
                </c:pt>
                <c:pt idx="80">
                  <c:v>172.0890102075974</c:v>
                </c:pt>
                <c:pt idx="81">
                  <c:v>170.05759576284143</c:v>
                </c:pt>
                <c:pt idx="82">
                  <c:v>168.07408077430799</c:v>
                </c:pt>
                <c:pt idx="83">
                  <c:v>166.13679085699624</c:v>
                </c:pt>
                <c:pt idx="84">
                  <c:v>164.24412876732012</c:v>
                </c:pt>
                <c:pt idx="85">
                  <c:v>162.39457001116918</c:v>
                </c:pt>
                <c:pt idx="86">
                  <c:v>160.58665874864991</c:v>
                </c:pt>
                <c:pt idx="87">
                  <c:v>158.81900397238655</c:v>
                </c:pt>
                <c:pt idx="88">
                  <c:v>157.09027593829671</c:v>
                </c:pt>
                <c:pt idx="89">
                  <c:v>155.39920282959557</c:v>
                </c:pt>
                <c:pt idx="90">
                  <c:v>153.7445676364386</c:v>
                </c:pt>
                <c:pt idx="91">
                  <c:v>152.12520523511509</c:v>
                </c:pt>
                <c:pt idx="92">
                  <c:v>150.53999965206083</c:v>
                </c:pt>
                <c:pt idx="93">
                  <c:v>148.98788149918798</c:v>
                </c:pt>
                <c:pt idx="94">
                  <c:v>147.46782556814725</c:v>
                </c:pt>
                <c:pt idx="95">
                  <c:v>145.97884857214834</c:v>
                </c:pt>
                <c:pt idx="96">
                  <c:v>144.52000702488675</c:v>
                </c:pt>
                <c:pt idx="97">
                  <c:v>143.09039524696323</c:v>
                </c:pt>
                <c:pt idx="98">
                  <c:v>141.68914349094229</c:v>
                </c:pt>
                <c:pt idx="99">
                  <c:v>140.31541617689518</c:v>
                </c:pt>
                <c:pt idx="100">
                  <c:v>138.96841023090536</c:v>
                </c:pt>
              </c:numCache>
            </c:numRef>
          </c:val>
          <c:smooth val="0"/>
          <c:extLst>
            <c:ext xmlns:c16="http://schemas.microsoft.com/office/drawing/2014/chart" uri="{C3380CC4-5D6E-409C-BE32-E72D297353CC}">
              <c16:uniqueId val="{00000002-14B5-4C6D-ADBB-33FE896DCEBE}"/>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B5-4C6D-ADBB-33FE896DCEBE}"/>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B5-4C6D-ADBB-33FE896DCEBE}"/>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B5-4C6D-ADBB-33FE896DCEBE}"/>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11.429199855803537</c:v>
                </c:pt>
                <c:pt idx="2">
                  <c:v>34.287599567410609</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274.3089974105547</c:v>
                </c:pt>
                <c:pt idx="25">
                  <c:v>285.81873315363879</c:v>
                </c:pt>
                <c:pt idx="26">
                  <c:v>232.56778747425872</c:v>
                </c:pt>
                <c:pt idx="27">
                  <c:v>224.33868852390839</c:v>
                </c:pt>
                <c:pt idx="28">
                  <c:v>216.6718871445612</c:v>
                </c:pt>
                <c:pt idx="29">
                  <c:v>209.51165259458853</c:v>
                </c:pt>
                <c:pt idx="30">
                  <c:v>202.80938341866414</c:v>
                </c:pt>
                <c:pt idx="31">
                  <c:v>196.52250276996728</c:v>
                </c:pt>
                <c:pt idx="32">
                  <c:v>190.61355296115264</c:v>
                </c:pt>
                <c:pt idx="33">
                  <c:v>185.04944854792882</c:v>
                </c:pt>
                <c:pt idx="34">
                  <c:v>179.8008564802135</c:v>
                </c:pt>
                <c:pt idx="35">
                  <c:v>174.84167879628083</c:v>
                </c:pt>
                <c:pt idx="36">
                  <c:v>170.14861859970273</c:v>
                </c:pt>
                <c:pt idx="37">
                  <c:v>165.70081408520767</c:v>
                </c:pt>
                <c:pt idx="38">
                  <c:v>161.4795284830991</c:v>
                </c:pt>
                <c:pt idx="39">
                  <c:v>157.46788620176409</c:v>
                </c:pt>
                <c:pt idx="40">
                  <c:v>153.65064733213441</c:v>
                </c:pt>
                <c:pt idx="41">
                  <c:v>150.01401416107333</c:v>
                </c:pt>
                <c:pt idx="42">
                  <c:v>146.54546451528344</c:v>
                </c:pt>
                <c:pt idx="43">
                  <c:v>143.23360769314394</c:v>
                </c:pt>
                <c:pt idx="44">
                  <c:v>140.06805949164959</c:v>
                </c:pt>
                <c:pt idx="45">
                  <c:v>137.03933343954654</c:v>
                </c:pt>
                <c:pt idx="46">
                  <c:v>134.13874583669067</c:v>
                </c:pt>
                <c:pt idx="47">
                  <c:v>131.35833259742793</c:v>
                </c:pt>
                <c:pt idx="48">
                  <c:v>128.69077622090069</c:v>
                </c:pt>
                <c:pt idx="49">
                  <c:v>126.12934147808691</c:v>
                </c:pt>
                <c:pt idx="50">
                  <c:v>123.66781862542697</c:v>
                </c:pt>
                <c:pt idx="51">
                  <c:v>121.30047313705009</c:v>
                </c:pt>
                <c:pt idx="52">
                  <c:v>119.02200109899468</c:v>
                </c:pt>
                <c:pt idx="53">
                  <c:v>116.82748953509474</c:v>
                </c:pt>
                <c:pt idx="54">
                  <c:v>114.71238103991483</c:v>
                </c:pt>
                <c:pt idx="55">
                  <c:v>112.67244218292345</c:v>
                </c:pt>
                <c:pt idx="56">
                  <c:v>110.70373522294298</c:v>
                </c:pt>
                <c:pt idx="57">
                  <c:v>108.80259273520106</c:v>
                </c:pt>
                <c:pt idx="58">
                  <c:v>106.96559480698741</c:v>
                </c:pt>
                <c:pt idx="59">
                  <c:v>105.18954850358087</c:v>
                </c:pt>
                <c:pt idx="60">
                  <c:v>103.47146934506567</c:v>
                </c:pt>
                <c:pt idx="61">
                  <c:v>101.80856456798152</c:v>
                </c:pt>
                <c:pt idx="62">
                  <c:v>100.19821797433326</c:v>
                </c:pt>
                <c:pt idx="63">
                  <c:v>98.637976195069456</c:v>
                </c:pt>
                <c:pt idx="64">
                  <c:v>97.125536216328996</c:v>
                </c:pt>
                <c:pt idx="65">
                  <c:v>95.658734035068136</c:v>
                </c:pt>
                <c:pt idx="66">
                  <c:v>94.235534326545491</c:v>
                </c:pt>
                <c:pt idx="67">
                  <c:v>92.854021019911485</c:v>
                </c:pt>
                <c:pt idx="68">
                  <c:v>91.512388690134117</c:v>
                </c:pt>
                <c:pt idx="69">
                  <c:v>90.208934684938882</c:v>
                </c:pt>
                <c:pt idx="70">
                  <c:v>88.942051914570087</c:v>
                </c:pt>
                <c:pt idx="71">
                  <c:v>87.710222240171859</c:v>
                </c:pt>
                <c:pt idx="72">
                  <c:v>86.51201040359777</c:v>
                </c:pt>
                <c:pt idx="73">
                  <c:v>85.346058447617736</c:v>
                </c:pt>
                <c:pt idx="74">
                  <c:v>84.211080580915393</c:v>
                </c:pt>
                <c:pt idx="75">
                  <c:v>83.105858447052327</c:v>
                </c:pt>
                <c:pt idx="76">
                  <c:v>82.0292367608033</c:v>
                </c:pt>
                <c:pt idx="77">
                  <c:v>80.980119279005564</c:v>
                </c:pt>
                <c:pt idx="78">
                  <c:v>79.957465076382718</c:v>
                </c:pt>
                <c:pt idx="79">
                  <c:v>78.960285099747139</c:v>
                </c:pt>
                <c:pt idx="80">
                  <c:v>77.987638976603023</c:v>
                </c:pt>
                <c:pt idx="81">
                  <c:v>77.038632056503417</c:v>
                </c:pt>
                <c:pt idx="82">
                  <c:v>76.112412665595727</c:v>
                </c:pt>
                <c:pt idx="83">
                  <c:v>75.208169556645416</c:v>
                </c:pt>
                <c:pt idx="84">
                  <c:v>74.325129538491396</c:v>
                </c:pt>
                <c:pt idx="85">
                  <c:v>73.462555270372832</c:v>
                </c:pt>
                <c:pt idx="86">
                  <c:v>72.619743207903696</c:v>
                </c:pt>
                <c:pt idx="87">
                  <c:v>71.796021688667707</c:v>
                </c:pt>
                <c:pt idx="88">
                  <c:v>70.990749146486451</c:v>
                </c:pt>
                <c:pt idx="89">
                  <c:v>70.203312444381481</c:v>
                </c:pt>
                <c:pt idx="90">
                  <c:v>69.433125317128031</c:v>
                </c:pt>
                <c:pt idx="91">
                  <c:v>68.679626915085294</c:v>
                </c:pt>
                <c:pt idx="92">
                  <c:v>67.942280441702593</c:v>
                </c:pt>
                <c:pt idx="93">
                  <c:v>67.220571877745584</c:v>
                </c:pt>
                <c:pt idx="94">
                  <c:v>66.514008785870146</c:v>
                </c:pt>
                <c:pt idx="95">
                  <c:v>65.822119189702221</c:v>
                </c:pt>
                <c:pt idx="96">
                  <c:v>65.144450522061419</c:v>
                </c:pt>
                <c:pt idx="97">
                  <c:v>64.480568637402797</c:v>
                </c:pt>
                <c:pt idx="98">
                  <c:v>63.830056883949005</c:v>
                </c:pt>
                <c:pt idx="99">
                  <c:v>63.192515231345197</c:v>
                </c:pt>
                <c:pt idx="100">
                  <c:v>62.567559449998939</c:v>
                </c:pt>
              </c:numCache>
            </c:numRef>
          </c:val>
          <c:smooth val="0"/>
          <c:extLst>
            <c:ext xmlns:c16="http://schemas.microsoft.com/office/drawing/2014/chart" uri="{C3380CC4-5D6E-409C-BE32-E72D297353CC}">
              <c16:uniqueId val="{00000006-14B5-4C6D-ADBB-33FE896DCEBE}"/>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11.429199855803537</c:v>
                </c:pt>
                <c:pt idx="2">
                  <c:v>22.858399711607074</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274.30079653928487</c:v>
                </c:pt>
                <c:pt idx="25">
                  <c:v>285.72999639508845</c:v>
                </c:pt>
                <c:pt idx="26">
                  <c:v>297.15919625089202</c:v>
                </c:pt>
                <c:pt idx="27">
                  <c:v>308.58839610669554</c:v>
                </c:pt>
                <c:pt idx="28">
                  <c:v>320.01759596249912</c:v>
                </c:pt>
                <c:pt idx="29">
                  <c:v>331.44679581830258</c:v>
                </c:pt>
                <c:pt idx="30">
                  <c:v>342.87599567410615</c:v>
                </c:pt>
                <c:pt idx="31">
                  <c:v>350</c:v>
                </c:pt>
                <c:pt idx="32">
                  <c:v>350</c:v>
                </c:pt>
                <c:pt idx="33">
                  <c:v>350</c:v>
                </c:pt>
                <c:pt idx="34">
                  <c:v>350</c:v>
                </c:pt>
                <c:pt idx="35">
                  <c:v>350</c:v>
                </c:pt>
                <c:pt idx="36">
                  <c:v>350</c:v>
                </c:pt>
                <c:pt idx="37">
                  <c:v>342.06488767918432</c:v>
                </c:pt>
                <c:pt idx="38">
                  <c:v>333.70459934951435</c:v>
                </c:pt>
                <c:pt idx="39">
                  <c:v>325.74525604945364</c:v>
                </c:pt>
                <c:pt idx="40">
                  <c:v>318.15869036820658</c:v>
                </c:pt>
                <c:pt idx="41">
                  <c:v>310.91931296617906</c:v>
                </c:pt>
                <c:pt idx="42">
                  <c:v>304.00382421996932</c:v>
                </c:pt>
                <c:pt idx="43">
                  <c:v>297.39096372323814</c:v>
                </c:pt>
                <c:pt idx="44">
                  <c:v>291.06129196949996</c:v>
                </c:pt>
                <c:pt idx="45">
                  <c:v>284.99699949442766</c:v>
                </c:pt>
                <c:pt idx="46">
                  <c:v>279.18173953096613</c:v>
                </c:pt>
                <c:pt idx="47">
                  <c:v>273.60048086579883</c:v>
                </c:pt>
                <c:pt idx="48">
                  <c:v>268.23937810819172</c:v>
                </c:pt>
                <c:pt idx="49">
                  <c:v>263.08565701378342</c:v>
                </c:pt>
                <c:pt idx="50">
                  <c:v>258.12751286372651</c:v>
                </c:pt>
                <c:pt idx="51">
                  <c:v>253.35402019746516</c:v>
                </c:pt>
                <c:pt idx="52">
                  <c:v>248.75505244629659</c:v>
                </c:pt>
                <c:pt idx="53">
                  <c:v>244.32121022352055</c:v>
                </c:pt>
                <c:pt idx="54">
                  <c:v>240.04375720252227</c:v>
                </c:pt>
                <c:pt idx="55">
                  <c:v>235.91456266228909</c:v>
                </c:pt>
                <c:pt idx="56">
                  <c:v>231.92604990530967</c:v>
                </c:pt>
                <c:pt idx="57">
                  <c:v>228.07114985933745</c:v>
                </c:pt>
                <c:pt idx="58">
                  <c:v>224.34325926523704</c:v>
                </c:pt>
                <c:pt idx="59">
                  <c:v>220.73620293064033</c:v>
                </c:pt>
                <c:pt idx="60">
                  <c:v>217.24419959551605</c:v>
                </c:pt>
                <c:pt idx="61">
                  <c:v>213.86183101275699</c:v>
                </c:pt>
                <c:pt idx="62">
                  <c:v>210.58401389596526</c:v>
                </c:pt>
                <c:pt idx="63">
                  <c:v>207.40597442896319</c:v>
                </c:pt>
                <c:pt idx="64">
                  <c:v>204.32322506819628</c:v>
                </c:pt>
                <c:pt idx="65">
                  <c:v>201.33154340095973</c:v>
                </c:pt>
                <c:pt idx="66">
                  <c:v>198.4269528499849</c:v>
                </c:pt>
                <c:pt idx="67">
                  <c:v>195.60570503896437</c:v>
                </c:pt>
                <c:pt idx="68">
                  <c:v>192.8642636545724</c:v>
                </c:pt>
                <c:pt idx="69">
                  <c:v>190.19928965888562</c:v>
                </c:pt>
                <c:pt idx="70">
                  <c:v>187.60762772218555</c:v>
                </c:pt>
                <c:pt idx="71">
                  <c:v>185.08629376023586</c:v>
                </c:pt>
                <c:pt idx="72">
                  <c:v>182.63246347253965</c:v>
                </c:pt>
                <c:pt idx="73">
                  <c:v>180.24346178902127</c:v>
                </c:pt>
                <c:pt idx="74">
                  <c:v>177.91675314222667</c:v>
                </c:pt>
                <c:pt idx="75">
                  <c:v>175.6499324906768</c:v>
                </c:pt>
                <c:pt idx="76">
                  <c:v>173.44071702656302</c:v>
                </c:pt>
                <c:pt idx="77">
                  <c:v>171.2869385076819</c:v>
                </c:pt>
                <c:pt idx="78">
                  <c:v>169.18653615946567</c:v>
                </c:pt>
                <c:pt idx="79">
                  <c:v>167.13755009826284</c:v>
                </c:pt>
                <c:pt idx="80">
                  <c:v>165.13811523175173</c:v>
                </c:pt>
                <c:pt idx="81">
                  <c:v>163.18645559658401</c:v>
                </c:pt>
                <c:pt idx="82">
                  <c:v>161.28087909712528</c:v>
                </c:pt>
                <c:pt idx="83">
                  <c:v>159.41977261253166</c:v>
                </c:pt>
                <c:pt idx="84">
                  <c:v>157.6015974424256</c:v>
                </c:pt>
                <c:pt idx="85">
                  <c:v>155.82488506414447</c:v>
                </c:pt>
                <c:pt idx="86">
                  <c:v>154.08823317697494</c:v>
                </c:pt>
                <c:pt idx="87">
                  <c:v>152.39030201097813</c:v>
                </c:pt>
                <c:pt idx="88">
                  <c:v>150.72981087998585</c:v>
                </c:pt>
                <c:pt idx="89">
                  <c:v>149.10553496012835</c:v>
                </c:pt>
                <c:pt idx="90">
                  <c:v>147.51630227686624</c:v>
                </c:pt>
                <c:pt idx="91">
                  <c:v>145.96099088494722</c:v>
                </c:pt>
                <c:pt idx="92">
                  <c:v>144.43852622703079</c:v>
                </c:pt>
                <c:pt idx="93">
                  <c:v>142.94787865790977</c:v>
                </c:pt>
                <c:pt idx="94">
                  <c:v>141.48806112234396</c:v>
                </c:pt>
                <c:pt idx="95">
                  <c:v>140.05812697549882</c:v>
                </c:pt>
                <c:pt idx="96">
                  <c:v>138.65716793587632</c:v>
                </c:pt>
                <c:pt idx="97">
                  <c:v>137.28431216143551</c:v>
                </c:pt>
                <c:pt idx="98">
                  <c:v>135.93872244034034</c:v>
                </c:pt>
                <c:pt idx="99">
                  <c:v>134.61959448844425</c:v>
                </c:pt>
                <c:pt idx="100">
                  <c:v>133.32615534623773</c:v>
                </c:pt>
              </c:numCache>
            </c:numRef>
          </c:val>
          <c:smooth val="0"/>
          <c:extLst>
            <c:ext xmlns:c16="http://schemas.microsoft.com/office/drawing/2014/chart" uri="{C3380CC4-5D6E-409C-BE32-E72D297353CC}">
              <c16:uniqueId val="{00000007-14B5-4C6D-ADBB-33FE896DCEBE}"/>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11.428097574347452</c:v>
                </c:pt>
                <c:pt idx="2">
                  <c:v>22.856195148694905</c:v>
                </c:pt>
                <c:pt idx="3">
                  <c:v>34.284292723042356</c:v>
                </c:pt>
                <c:pt idx="4">
                  <c:v>45.71239029738981</c:v>
                </c:pt>
                <c:pt idx="5">
                  <c:v>57.140487871737257</c:v>
                </c:pt>
                <c:pt idx="6">
                  <c:v>68.568585446084711</c:v>
                </c:pt>
                <c:pt idx="7">
                  <c:v>79.996683020432158</c:v>
                </c:pt>
                <c:pt idx="8">
                  <c:v>91.424780594779619</c:v>
                </c:pt>
                <c:pt idx="9">
                  <c:v>102.85287816912705</c:v>
                </c:pt>
                <c:pt idx="10">
                  <c:v>114.28097574347451</c:v>
                </c:pt>
                <c:pt idx="11">
                  <c:v>125.70907331782196</c:v>
                </c:pt>
                <c:pt idx="12">
                  <c:v>137.13717089216942</c:v>
                </c:pt>
                <c:pt idx="13">
                  <c:v>148.56526846651687</c:v>
                </c:pt>
                <c:pt idx="14">
                  <c:v>159.99336604086432</c:v>
                </c:pt>
                <c:pt idx="15">
                  <c:v>171.42146361521176</c:v>
                </c:pt>
                <c:pt idx="16">
                  <c:v>182.84956118955924</c:v>
                </c:pt>
                <c:pt idx="17">
                  <c:v>194.27765876390671</c:v>
                </c:pt>
                <c:pt idx="18">
                  <c:v>205.7057563382541</c:v>
                </c:pt>
                <c:pt idx="19">
                  <c:v>217.13385391260158</c:v>
                </c:pt>
                <c:pt idx="20">
                  <c:v>228.56195148694903</c:v>
                </c:pt>
                <c:pt idx="21">
                  <c:v>239.99004906129645</c:v>
                </c:pt>
                <c:pt idx="22">
                  <c:v>251.41814663564392</c:v>
                </c:pt>
                <c:pt idx="23">
                  <c:v>262.84624420999143</c:v>
                </c:pt>
                <c:pt idx="24">
                  <c:v>274.27434178433884</c:v>
                </c:pt>
                <c:pt idx="25">
                  <c:v>285.70243935868626</c:v>
                </c:pt>
                <c:pt idx="26">
                  <c:v>297.13053693303374</c:v>
                </c:pt>
                <c:pt idx="27">
                  <c:v>308.55863450738116</c:v>
                </c:pt>
                <c:pt idx="28">
                  <c:v>319.98673208172863</c:v>
                </c:pt>
                <c:pt idx="29">
                  <c:v>331.41482965607605</c:v>
                </c:pt>
                <c:pt idx="30">
                  <c:v>342.84292723042353</c:v>
                </c:pt>
                <c:pt idx="31">
                  <c:v>350</c:v>
                </c:pt>
                <c:pt idx="32">
                  <c:v>350</c:v>
                </c:pt>
                <c:pt idx="33">
                  <c:v>350</c:v>
                </c:pt>
                <c:pt idx="34">
                  <c:v>350</c:v>
                </c:pt>
                <c:pt idx="35">
                  <c:v>350</c:v>
                </c:pt>
                <c:pt idx="36">
                  <c:v>350</c:v>
                </c:pt>
                <c:pt idx="37">
                  <c:v>350</c:v>
                </c:pt>
                <c:pt idx="38">
                  <c:v>347.29031336183277</c:v>
                </c:pt>
                <c:pt idx="39">
                  <c:v>339.02193511536296</c:v>
                </c:pt>
                <c:pt idx="40">
                  <c:v>331.14710888171953</c:v>
                </c:pt>
                <c:pt idx="41">
                  <c:v>323.6316884370118</c:v>
                </c:pt>
                <c:pt idx="42">
                  <c:v>316.45161802002781</c:v>
                </c:pt>
                <c:pt idx="43">
                  <c:v>309.58494181966313</c:v>
                </c:pt>
                <c:pt idx="44">
                  <c:v>303.01157972471009</c:v>
                </c:pt>
                <c:pt idx="45">
                  <c:v>296.71313120950413</c:v>
                </c:pt>
                <c:pt idx="46">
                  <c:v>290.67270332132875</c:v>
                </c:pt>
                <c:pt idx="47">
                  <c:v>284.87475938325167</c:v>
                </c:pt>
                <c:pt idx="48">
                  <c:v>279.30498555911231</c:v>
                </c:pt>
                <c:pt idx="49">
                  <c:v>273.9501728678668</c:v>
                </c:pt>
                <c:pt idx="50">
                  <c:v>268.79811259991232</c:v>
                </c:pt>
                <c:pt idx="51">
                  <c:v>263.83750339234251</c:v>
                </c:pt>
                <c:pt idx="52">
                  <c:v>259.05786847443676</c:v>
                </c:pt>
                <c:pt idx="53">
                  <c:v>254.44948180804505</c:v>
                </c:pt>
                <c:pt idx="54">
                  <c:v>250.00330202707954</c:v>
                </c:pt>
                <c:pt idx="55">
                  <c:v>245.71091323193824</c:v>
                </c:pt>
                <c:pt idx="56">
                  <c:v>241.5644718230981</c:v>
                </c:pt>
                <c:pt idx="57">
                  <c:v>237.55665866720429</c:v>
                </c:pt>
                <c:pt idx="58">
                  <c:v>233.68063598193595</c:v>
                </c:pt>
                <c:pt idx="59">
                  <c:v>229.93000840534623</c:v>
                </c:pt>
                <c:pt idx="60">
                  <c:v>226.29878778341359</c:v>
                </c:pt>
                <c:pt idx="61">
                  <c:v>222.7813612679891</c:v>
                </c:pt>
                <c:pt idx="62">
                  <c:v>219.37246236765296</c:v>
                </c:pt>
                <c:pt idx="63">
                  <c:v>216.06714463744603</c:v>
                </c:pt>
                <c:pt idx="64">
                  <c:v>212.86075773103443</c:v>
                </c:pt>
                <c:pt idx="65">
                  <c:v>209.74892557147845</c:v>
                </c:pt>
                <c:pt idx="66">
                  <c:v>206.7275264251152</c:v>
                </c:pt>
                <c:pt idx="67">
                  <c:v>203.79267468775902</c:v>
                </c:pt>
                <c:pt idx="68">
                  <c:v>200.94070421397345</c:v>
                </c:pt>
                <c:pt idx="69">
                  <c:v>198.16815303902263</c:v>
                </c:pt>
                <c:pt idx="70">
                  <c:v>195.47174935962721</c:v>
                </c:pt>
                <c:pt idx="71">
                  <c:v>192.84839865416504</c:v>
                </c:pt>
                <c:pt idx="72">
                  <c:v>190.29517183571159</c:v>
                </c:pt>
                <c:pt idx="73">
                  <c:v>187.80929434256774</c:v>
                </c:pt>
                <c:pt idx="74">
                  <c:v>185.38813608085047</c:v>
                </c:pt>
                <c:pt idx="75">
                  <c:v>183.0292021425044</c:v>
                </c:pt>
                <c:pt idx="76">
                  <c:v>180.73012422986972</c:v>
                </c:pt>
                <c:pt idx="77">
                  <c:v>178.48865272484576</c:v>
                </c:pt>
                <c:pt idx="78">
                  <c:v>176.30264934681989</c:v>
                </c:pt>
                <c:pt idx="79">
                  <c:v>174.17008034899317</c:v>
                </c:pt>
                <c:pt idx="80">
                  <c:v>172.0890102075974</c:v>
                </c:pt>
                <c:pt idx="81">
                  <c:v>170.05759576284143</c:v>
                </c:pt>
                <c:pt idx="82">
                  <c:v>168.07408077430799</c:v>
                </c:pt>
                <c:pt idx="83">
                  <c:v>166.13679085699624</c:v>
                </c:pt>
                <c:pt idx="84">
                  <c:v>164.24412876732012</c:v>
                </c:pt>
                <c:pt idx="85">
                  <c:v>162.39457001116918</c:v>
                </c:pt>
                <c:pt idx="86">
                  <c:v>160.58665874864991</c:v>
                </c:pt>
                <c:pt idx="87">
                  <c:v>158.81900397238655</c:v>
                </c:pt>
                <c:pt idx="88">
                  <c:v>157.09027593829671</c:v>
                </c:pt>
                <c:pt idx="89">
                  <c:v>155.39920282959557</c:v>
                </c:pt>
                <c:pt idx="90">
                  <c:v>153.7445676364386</c:v>
                </c:pt>
                <c:pt idx="91">
                  <c:v>152.12520523511509</c:v>
                </c:pt>
                <c:pt idx="92">
                  <c:v>150.53999965206083</c:v>
                </c:pt>
                <c:pt idx="93">
                  <c:v>148.98788149918798</c:v>
                </c:pt>
                <c:pt idx="94">
                  <c:v>147.46782556814725</c:v>
                </c:pt>
                <c:pt idx="95">
                  <c:v>145.97884857214834</c:v>
                </c:pt>
                <c:pt idx="96">
                  <c:v>144.52000702488675</c:v>
                </c:pt>
                <c:pt idx="97">
                  <c:v>143.09039524696323</c:v>
                </c:pt>
                <c:pt idx="98">
                  <c:v>141.68914349094229</c:v>
                </c:pt>
                <c:pt idx="99">
                  <c:v>140.31541617689518</c:v>
                </c:pt>
                <c:pt idx="100">
                  <c:v>138.96841023090536</c:v>
                </c:pt>
              </c:numCache>
            </c:numRef>
          </c:val>
          <c:smooth val="0"/>
          <c:extLst>
            <c:ext xmlns:c16="http://schemas.microsoft.com/office/drawing/2014/chart" uri="{C3380CC4-5D6E-409C-BE32-E72D297353CC}">
              <c16:uniqueId val="{00000008-14B5-4C6D-ADBB-33FE896DCEBE}"/>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14B5-4C6D-ADBB-33FE896DCEBE}"/>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14B5-4C6D-ADBB-33FE896DCEBE}"/>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14B5-4C6D-ADBB-33FE896DCEBE}"/>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zh-CN"/>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zh-CN"/>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11.429199855803537</c:v>
                </c:pt>
                <c:pt idx="2">
                  <c:v>34.287599567410609</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274.3089974105547</c:v>
                </c:pt>
                <c:pt idx="25">
                  <c:v>285.81873315363879</c:v>
                </c:pt>
                <c:pt idx="26">
                  <c:v>232.56778747425872</c:v>
                </c:pt>
                <c:pt idx="27">
                  <c:v>224.33868852390839</c:v>
                </c:pt>
                <c:pt idx="28">
                  <c:v>216.6718871445612</c:v>
                </c:pt>
                <c:pt idx="29">
                  <c:v>209.51165259458853</c:v>
                </c:pt>
                <c:pt idx="30">
                  <c:v>202.80938341866414</c:v>
                </c:pt>
                <c:pt idx="31">
                  <c:v>196.52250276996728</c:v>
                </c:pt>
                <c:pt idx="32">
                  <c:v>190.61355296115264</c:v>
                </c:pt>
                <c:pt idx="33">
                  <c:v>185.04944854792882</c:v>
                </c:pt>
                <c:pt idx="34">
                  <c:v>179.8008564802135</c:v>
                </c:pt>
                <c:pt idx="35">
                  <c:v>174.84167879628083</c:v>
                </c:pt>
                <c:pt idx="36">
                  <c:v>170.14861859970273</c:v>
                </c:pt>
                <c:pt idx="37">
                  <c:v>165.70081408520767</c:v>
                </c:pt>
                <c:pt idx="38">
                  <c:v>161.4795284830991</c:v>
                </c:pt>
                <c:pt idx="39">
                  <c:v>157.46788620176409</c:v>
                </c:pt>
                <c:pt idx="40">
                  <c:v>153.65064733213441</c:v>
                </c:pt>
                <c:pt idx="41">
                  <c:v>150.01401416107333</c:v>
                </c:pt>
                <c:pt idx="42">
                  <c:v>146.54546451528344</c:v>
                </c:pt>
                <c:pt idx="43">
                  <c:v>143.23360769314394</c:v>
                </c:pt>
                <c:pt idx="44">
                  <c:v>140.06805949164959</c:v>
                </c:pt>
                <c:pt idx="45">
                  <c:v>137.03933343954654</c:v>
                </c:pt>
                <c:pt idx="46">
                  <c:v>134.13874583669067</c:v>
                </c:pt>
                <c:pt idx="47">
                  <c:v>131.35833259742793</c:v>
                </c:pt>
                <c:pt idx="48">
                  <c:v>128.69077622090069</c:v>
                </c:pt>
                <c:pt idx="49">
                  <c:v>126.12934147808691</c:v>
                </c:pt>
                <c:pt idx="50">
                  <c:v>123.66781862542697</c:v>
                </c:pt>
                <c:pt idx="51">
                  <c:v>121.30047313705009</c:v>
                </c:pt>
                <c:pt idx="52">
                  <c:v>119.02200109899468</c:v>
                </c:pt>
                <c:pt idx="53">
                  <c:v>116.82748953509474</c:v>
                </c:pt>
                <c:pt idx="54">
                  <c:v>114.71238103991483</c:v>
                </c:pt>
                <c:pt idx="55">
                  <c:v>112.67244218292345</c:v>
                </c:pt>
                <c:pt idx="56">
                  <c:v>110.70373522294298</c:v>
                </c:pt>
                <c:pt idx="57">
                  <c:v>108.80259273520106</c:v>
                </c:pt>
                <c:pt idx="58">
                  <c:v>106.96559480698741</c:v>
                </c:pt>
                <c:pt idx="59">
                  <c:v>105.18954850358087</c:v>
                </c:pt>
                <c:pt idx="60">
                  <c:v>103.47146934506567</c:v>
                </c:pt>
                <c:pt idx="61">
                  <c:v>101.80856456798152</c:v>
                </c:pt>
                <c:pt idx="62">
                  <c:v>100.19821797433326</c:v>
                </c:pt>
                <c:pt idx="63">
                  <c:v>98.637976195069456</c:v>
                </c:pt>
                <c:pt idx="64">
                  <c:v>97.125536216328996</c:v>
                </c:pt>
                <c:pt idx="65">
                  <c:v>95.658734035068136</c:v>
                </c:pt>
                <c:pt idx="66">
                  <c:v>94.235534326545491</c:v>
                </c:pt>
                <c:pt idx="67">
                  <c:v>92.854021019911485</c:v>
                </c:pt>
                <c:pt idx="68">
                  <c:v>91.512388690134117</c:v>
                </c:pt>
                <c:pt idx="69">
                  <c:v>90.208934684938882</c:v>
                </c:pt>
                <c:pt idx="70">
                  <c:v>88.942051914570087</c:v>
                </c:pt>
                <c:pt idx="71">
                  <c:v>87.710222240171859</c:v>
                </c:pt>
                <c:pt idx="72">
                  <c:v>86.51201040359777</c:v>
                </c:pt>
                <c:pt idx="73">
                  <c:v>85.346058447617736</c:v>
                </c:pt>
                <c:pt idx="74">
                  <c:v>84.211080580915393</c:v>
                </c:pt>
                <c:pt idx="75">
                  <c:v>83.105858447052327</c:v>
                </c:pt>
                <c:pt idx="76">
                  <c:v>82.0292367608033</c:v>
                </c:pt>
                <c:pt idx="77">
                  <c:v>80.980119279005564</c:v>
                </c:pt>
                <c:pt idx="78">
                  <c:v>79.957465076382718</c:v>
                </c:pt>
                <c:pt idx="79">
                  <c:v>78.960285099747139</c:v>
                </c:pt>
                <c:pt idx="80">
                  <c:v>77.987638976603023</c:v>
                </c:pt>
                <c:pt idx="81">
                  <c:v>77.038632056503417</c:v>
                </c:pt>
                <c:pt idx="82">
                  <c:v>76.112412665595727</c:v>
                </c:pt>
                <c:pt idx="83">
                  <c:v>75.208169556645416</c:v>
                </c:pt>
                <c:pt idx="84">
                  <c:v>74.325129538491396</c:v>
                </c:pt>
                <c:pt idx="85">
                  <c:v>73.462555270372832</c:v>
                </c:pt>
                <c:pt idx="86">
                  <c:v>72.619743207903696</c:v>
                </c:pt>
                <c:pt idx="87">
                  <c:v>71.796021688667707</c:v>
                </c:pt>
                <c:pt idx="88">
                  <c:v>70.990749146486451</c:v>
                </c:pt>
                <c:pt idx="89">
                  <c:v>70.203312444381481</c:v>
                </c:pt>
                <c:pt idx="90">
                  <c:v>69.433125317128031</c:v>
                </c:pt>
                <c:pt idx="91">
                  <c:v>68.679626915085294</c:v>
                </c:pt>
                <c:pt idx="92">
                  <c:v>67.942280441702593</c:v>
                </c:pt>
                <c:pt idx="93">
                  <c:v>67.220571877745584</c:v>
                </c:pt>
                <c:pt idx="94">
                  <c:v>66.514008785870146</c:v>
                </c:pt>
                <c:pt idx="95">
                  <c:v>65.822119189702221</c:v>
                </c:pt>
                <c:pt idx="96">
                  <c:v>65.144450522061419</c:v>
                </c:pt>
                <c:pt idx="97">
                  <c:v>64.480568637402797</c:v>
                </c:pt>
                <c:pt idx="98">
                  <c:v>63.830056883949005</c:v>
                </c:pt>
                <c:pt idx="99">
                  <c:v>63.192515231345197</c:v>
                </c:pt>
                <c:pt idx="100">
                  <c:v>62.567559449998939</c:v>
                </c:pt>
              </c:numCache>
            </c:numRef>
          </c:val>
          <c:smooth val="0"/>
          <c:extLst>
            <c:ext xmlns:c16="http://schemas.microsoft.com/office/drawing/2014/chart" uri="{C3380CC4-5D6E-409C-BE32-E72D297353CC}">
              <c16:uniqueId val="{00000000-DE77-4B43-A489-D4421C0BE99A}"/>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11.429199855803537</c:v>
                </c:pt>
                <c:pt idx="2">
                  <c:v>22.858399711607074</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274.30079653928487</c:v>
                </c:pt>
                <c:pt idx="25">
                  <c:v>285.72999639508845</c:v>
                </c:pt>
                <c:pt idx="26">
                  <c:v>297.15919625089202</c:v>
                </c:pt>
                <c:pt idx="27">
                  <c:v>308.58839610669554</c:v>
                </c:pt>
                <c:pt idx="28">
                  <c:v>320.01759596249912</c:v>
                </c:pt>
                <c:pt idx="29">
                  <c:v>331.44679581830258</c:v>
                </c:pt>
                <c:pt idx="30">
                  <c:v>342.87599567410615</c:v>
                </c:pt>
                <c:pt idx="31">
                  <c:v>350</c:v>
                </c:pt>
                <c:pt idx="32">
                  <c:v>350</c:v>
                </c:pt>
                <c:pt idx="33">
                  <c:v>350</c:v>
                </c:pt>
                <c:pt idx="34">
                  <c:v>350</c:v>
                </c:pt>
                <c:pt idx="35">
                  <c:v>350</c:v>
                </c:pt>
                <c:pt idx="36">
                  <c:v>350</c:v>
                </c:pt>
                <c:pt idx="37">
                  <c:v>342.06488767918432</c:v>
                </c:pt>
                <c:pt idx="38">
                  <c:v>333.70459934951435</c:v>
                </c:pt>
                <c:pt idx="39">
                  <c:v>325.74525604945364</c:v>
                </c:pt>
                <c:pt idx="40">
                  <c:v>318.15869036820658</c:v>
                </c:pt>
                <c:pt idx="41">
                  <c:v>310.91931296617906</c:v>
                </c:pt>
                <c:pt idx="42">
                  <c:v>304.00382421996932</c:v>
                </c:pt>
                <c:pt idx="43">
                  <c:v>297.39096372323814</c:v>
                </c:pt>
                <c:pt idx="44">
                  <c:v>291.06129196949996</c:v>
                </c:pt>
                <c:pt idx="45">
                  <c:v>284.99699949442766</c:v>
                </c:pt>
                <c:pt idx="46">
                  <c:v>279.18173953096613</c:v>
                </c:pt>
                <c:pt idx="47">
                  <c:v>273.60048086579883</c:v>
                </c:pt>
                <c:pt idx="48">
                  <c:v>268.23937810819172</c:v>
                </c:pt>
                <c:pt idx="49">
                  <c:v>263.08565701378342</c:v>
                </c:pt>
                <c:pt idx="50">
                  <c:v>258.12751286372651</c:v>
                </c:pt>
                <c:pt idx="51">
                  <c:v>253.35402019746516</c:v>
                </c:pt>
                <c:pt idx="52">
                  <c:v>248.75505244629659</c:v>
                </c:pt>
                <c:pt idx="53">
                  <c:v>244.32121022352055</c:v>
                </c:pt>
                <c:pt idx="54">
                  <c:v>240.04375720252227</c:v>
                </c:pt>
                <c:pt idx="55">
                  <c:v>235.91456266228909</c:v>
                </c:pt>
                <c:pt idx="56">
                  <c:v>231.92604990530967</c:v>
                </c:pt>
                <c:pt idx="57">
                  <c:v>228.07114985933745</c:v>
                </c:pt>
                <c:pt idx="58">
                  <c:v>224.34325926523704</c:v>
                </c:pt>
                <c:pt idx="59">
                  <c:v>220.73620293064033</c:v>
                </c:pt>
                <c:pt idx="60">
                  <c:v>217.24419959551605</c:v>
                </c:pt>
                <c:pt idx="61">
                  <c:v>213.86183101275699</c:v>
                </c:pt>
                <c:pt idx="62">
                  <c:v>210.58401389596526</c:v>
                </c:pt>
                <c:pt idx="63">
                  <c:v>207.40597442896319</c:v>
                </c:pt>
                <c:pt idx="64">
                  <c:v>204.32322506819628</c:v>
                </c:pt>
                <c:pt idx="65">
                  <c:v>201.33154340095973</c:v>
                </c:pt>
                <c:pt idx="66">
                  <c:v>198.4269528499849</c:v>
                </c:pt>
                <c:pt idx="67">
                  <c:v>195.60570503896437</c:v>
                </c:pt>
                <c:pt idx="68">
                  <c:v>192.8642636545724</c:v>
                </c:pt>
                <c:pt idx="69">
                  <c:v>190.19928965888562</c:v>
                </c:pt>
                <c:pt idx="70">
                  <c:v>187.60762772218555</c:v>
                </c:pt>
                <c:pt idx="71">
                  <c:v>185.08629376023586</c:v>
                </c:pt>
                <c:pt idx="72">
                  <c:v>182.63246347253965</c:v>
                </c:pt>
                <c:pt idx="73">
                  <c:v>180.24346178902127</c:v>
                </c:pt>
                <c:pt idx="74">
                  <c:v>177.91675314222667</c:v>
                </c:pt>
                <c:pt idx="75">
                  <c:v>175.6499324906768</c:v>
                </c:pt>
                <c:pt idx="76">
                  <c:v>173.44071702656302</c:v>
                </c:pt>
                <c:pt idx="77">
                  <c:v>171.2869385076819</c:v>
                </c:pt>
                <c:pt idx="78">
                  <c:v>169.18653615946567</c:v>
                </c:pt>
                <c:pt idx="79">
                  <c:v>167.13755009826284</c:v>
                </c:pt>
                <c:pt idx="80">
                  <c:v>165.13811523175173</c:v>
                </c:pt>
                <c:pt idx="81">
                  <c:v>163.18645559658401</c:v>
                </c:pt>
                <c:pt idx="82">
                  <c:v>161.28087909712528</c:v>
                </c:pt>
                <c:pt idx="83">
                  <c:v>159.41977261253166</c:v>
                </c:pt>
                <c:pt idx="84">
                  <c:v>157.6015974424256</c:v>
                </c:pt>
                <c:pt idx="85">
                  <c:v>155.82488506414447</c:v>
                </c:pt>
                <c:pt idx="86">
                  <c:v>154.08823317697494</c:v>
                </c:pt>
                <c:pt idx="87">
                  <c:v>152.39030201097813</c:v>
                </c:pt>
                <c:pt idx="88">
                  <c:v>150.72981087998585</c:v>
                </c:pt>
                <c:pt idx="89">
                  <c:v>149.10553496012835</c:v>
                </c:pt>
                <c:pt idx="90">
                  <c:v>147.51630227686624</c:v>
                </c:pt>
                <c:pt idx="91">
                  <c:v>145.96099088494722</c:v>
                </c:pt>
                <c:pt idx="92">
                  <c:v>144.43852622703079</c:v>
                </c:pt>
                <c:pt idx="93">
                  <c:v>142.94787865790977</c:v>
                </c:pt>
                <c:pt idx="94">
                  <c:v>141.48806112234396</c:v>
                </c:pt>
                <c:pt idx="95">
                  <c:v>140.05812697549882</c:v>
                </c:pt>
                <c:pt idx="96">
                  <c:v>138.65716793587632</c:v>
                </c:pt>
                <c:pt idx="97">
                  <c:v>137.28431216143551</c:v>
                </c:pt>
                <c:pt idx="98">
                  <c:v>135.93872244034034</c:v>
                </c:pt>
                <c:pt idx="99">
                  <c:v>134.61959448844425</c:v>
                </c:pt>
                <c:pt idx="100">
                  <c:v>133.32615534623773</c:v>
                </c:pt>
              </c:numCache>
            </c:numRef>
          </c:val>
          <c:smooth val="0"/>
          <c:extLst>
            <c:ext xmlns:c16="http://schemas.microsoft.com/office/drawing/2014/chart" uri="{C3380CC4-5D6E-409C-BE32-E72D297353CC}">
              <c16:uniqueId val="{00000001-DE77-4B43-A489-D4421C0BE99A}"/>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11.428097574347452</c:v>
                </c:pt>
                <c:pt idx="2">
                  <c:v>22.856195148694905</c:v>
                </c:pt>
                <c:pt idx="3">
                  <c:v>34.284292723042356</c:v>
                </c:pt>
                <c:pt idx="4">
                  <c:v>45.71239029738981</c:v>
                </c:pt>
                <c:pt idx="5">
                  <c:v>57.140487871737257</c:v>
                </c:pt>
                <c:pt idx="6">
                  <c:v>68.568585446084711</c:v>
                </c:pt>
                <c:pt idx="7">
                  <c:v>79.996683020432158</c:v>
                </c:pt>
                <c:pt idx="8">
                  <c:v>91.424780594779619</c:v>
                </c:pt>
                <c:pt idx="9">
                  <c:v>102.85287816912705</c:v>
                </c:pt>
                <c:pt idx="10">
                  <c:v>114.28097574347451</c:v>
                </c:pt>
                <c:pt idx="11">
                  <c:v>125.70907331782196</c:v>
                </c:pt>
                <c:pt idx="12">
                  <c:v>137.13717089216942</c:v>
                </c:pt>
                <c:pt idx="13">
                  <c:v>148.56526846651687</c:v>
                </c:pt>
                <c:pt idx="14">
                  <c:v>159.99336604086432</c:v>
                </c:pt>
                <c:pt idx="15">
                  <c:v>171.42146361521176</c:v>
                </c:pt>
                <c:pt idx="16">
                  <c:v>182.84956118955924</c:v>
                </c:pt>
                <c:pt idx="17">
                  <c:v>194.27765876390671</c:v>
                </c:pt>
                <c:pt idx="18">
                  <c:v>205.7057563382541</c:v>
                </c:pt>
                <c:pt idx="19">
                  <c:v>217.13385391260158</c:v>
                </c:pt>
                <c:pt idx="20">
                  <c:v>228.56195148694903</c:v>
                </c:pt>
                <c:pt idx="21">
                  <c:v>239.99004906129645</c:v>
                </c:pt>
                <c:pt idx="22">
                  <c:v>251.41814663564392</c:v>
                </c:pt>
                <c:pt idx="23">
                  <c:v>262.84624420999143</c:v>
                </c:pt>
                <c:pt idx="24">
                  <c:v>274.27434178433884</c:v>
                </c:pt>
                <c:pt idx="25">
                  <c:v>285.70243935868626</c:v>
                </c:pt>
                <c:pt idx="26">
                  <c:v>297.13053693303374</c:v>
                </c:pt>
                <c:pt idx="27">
                  <c:v>308.55863450738116</c:v>
                </c:pt>
                <c:pt idx="28">
                  <c:v>319.98673208172863</c:v>
                </c:pt>
                <c:pt idx="29">
                  <c:v>331.41482965607605</c:v>
                </c:pt>
                <c:pt idx="30">
                  <c:v>342.84292723042353</c:v>
                </c:pt>
                <c:pt idx="31">
                  <c:v>350</c:v>
                </c:pt>
                <c:pt idx="32">
                  <c:v>350</c:v>
                </c:pt>
                <c:pt idx="33">
                  <c:v>350</c:v>
                </c:pt>
                <c:pt idx="34">
                  <c:v>350</c:v>
                </c:pt>
                <c:pt idx="35">
                  <c:v>350</c:v>
                </c:pt>
                <c:pt idx="36">
                  <c:v>350</c:v>
                </c:pt>
                <c:pt idx="37">
                  <c:v>350</c:v>
                </c:pt>
                <c:pt idx="38">
                  <c:v>347.29031336183277</c:v>
                </c:pt>
                <c:pt idx="39">
                  <c:v>339.02193511536296</c:v>
                </c:pt>
                <c:pt idx="40">
                  <c:v>331.14710888171953</c:v>
                </c:pt>
                <c:pt idx="41">
                  <c:v>323.6316884370118</c:v>
                </c:pt>
                <c:pt idx="42">
                  <c:v>316.45161802002781</c:v>
                </c:pt>
                <c:pt idx="43">
                  <c:v>309.58494181966313</c:v>
                </c:pt>
                <c:pt idx="44">
                  <c:v>303.01157972471009</c:v>
                </c:pt>
                <c:pt idx="45">
                  <c:v>296.71313120950413</c:v>
                </c:pt>
                <c:pt idx="46">
                  <c:v>290.67270332132875</c:v>
                </c:pt>
                <c:pt idx="47">
                  <c:v>284.87475938325167</c:v>
                </c:pt>
                <c:pt idx="48">
                  <c:v>279.30498555911231</c:v>
                </c:pt>
                <c:pt idx="49">
                  <c:v>273.9501728678668</c:v>
                </c:pt>
                <c:pt idx="50">
                  <c:v>268.79811259991232</c:v>
                </c:pt>
                <c:pt idx="51">
                  <c:v>263.83750339234251</c:v>
                </c:pt>
                <c:pt idx="52">
                  <c:v>259.05786847443676</c:v>
                </c:pt>
                <c:pt idx="53">
                  <c:v>254.44948180804505</c:v>
                </c:pt>
                <c:pt idx="54">
                  <c:v>250.00330202707954</c:v>
                </c:pt>
                <c:pt idx="55">
                  <c:v>245.71091323193824</c:v>
                </c:pt>
                <c:pt idx="56">
                  <c:v>241.5644718230981</c:v>
                </c:pt>
                <c:pt idx="57">
                  <c:v>237.55665866720429</c:v>
                </c:pt>
                <c:pt idx="58">
                  <c:v>233.68063598193595</c:v>
                </c:pt>
                <c:pt idx="59">
                  <c:v>229.93000840534623</c:v>
                </c:pt>
                <c:pt idx="60">
                  <c:v>226.29878778341359</c:v>
                </c:pt>
                <c:pt idx="61">
                  <c:v>222.7813612679891</c:v>
                </c:pt>
                <c:pt idx="62">
                  <c:v>219.37246236765296</c:v>
                </c:pt>
                <c:pt idx="63">
                  <c:v>216.06714463744603</c:v>
                </c:pt>
                <c:pt idx="64">
                  <c:v>212.86075773103443</c:v>
                </c:pt>
                <c:pt idx="65">
                  <c:v>209.74892557147845</c:v>
                </c:pt>
                <c:pt idx="66">
                  <c:v>206.7275264251152</c:v>
                </c:pt>
                <c:pt idx="67">
                  <c:v>203.79267468775902</c:v>
                </c:pt>
                <c:pt idx="68">
                  <c:v>200.94070421397345</c:v>
                </c:pt>
                <c:pt idx="69">
                  <c:v>198.16815303902263</c:v>
                </c:pt>
                <c:pt idx="70">
                  <c:v>195.47174935962721</c:v>
                </c:pt>
                <c:pt idx="71">
                  <c:v>192.84839865416504</c:v>
                </c:pt>
                <c:pt idx="72">
                  <c:v>190.29517183571159</c:v>
                </c:pt>
                <c:pt idx="73">
                  <c:v>187.80929434256774</c:v>
                </c:pt>
                <c:pt idx="74">
                  <c:v>185.38813608085047</c:v>
                </c:pt>
                <c:pt idx="75">
                  <c:v>183.0292021425044</c:v>
                </c:pt>
                <c:pt idx="76">
                  <c:v>180.73012422986972</c:v>
                </c:pt>
                <c:pt idx="77">
                  <c:v>178.48865272484576</c:v>
                </c:pt>
                <c:pt idx="78">
                  <c:v>176.30264934681989</c:v>
                </c:pt>
                <c:pt idx="79">
                  <c:v>174.17008034899317</c:v>
                </c:pt>
                <c:pt idx="80">
                  <c:v>172.0890102075974</c:v>
                </c:pt>
                <c:pt idx="81">
                  <c:v>170.05759576284143</c:v>
                </c:pt>
                <c:pt idx="82">
                  <c:v>168.07408077430799</c:v>
                </c:pt>
                <c:pt idx="83">
                  <c:v>166.13679085699624</c:v>
                </c:pt>
                <c:pt idx="84">
                  <c:v>164.24412876732012</c:v>
                </c:pt>
                <c:pt idx="85">
                  <c:v>162.39457001116918</c:v>
                </c:pt>
                <c:pt idx="86">
                  <c:v>160.58665874864991</c:v>
                </c:pt>
                <c:pt idx="87">
                  <c:v>158.81900397238655</c:v>
                </c:pt>
                <c:pt idx="88">
                  <c:v>157.09027593829671</c:v>
                </c:pt>
                <c:pt idx="89">
                  <c:v>155.39920282959557</c:v>
                </c:pt>
                <c:pt idx="90">
                  <c:v>153.7445676364386</c:v>
                </c:pt>
                <c:pt idx="91">
                  <c:v>152.12520523511509</c:v>
                </c:pt>
                <c:pt idx="92">
                  <c:v>150.53999965206083</c:v>
                </c:pt>
                <c:pt idx="93">
                  <c:v>148.98788149918798</c:v>
                </c:pt>
                <c:pt idx="94">
                  <c:v>147.46782556814725</c:v>
                </c:pt>
                <c:pt idx="95">
                  <c:v>145.97884857214834</c:v>
                </c:pt>
                <c:pt idx="96">
                  <c:v>144.52000702488675</c:v>
                </c:pt>
                <c:pt idx="97">
                  <c:v>143.09039524696323</c:v>
                </c:pt>
                <c:pt idx="98">
                  <c:v>141.68914349094229</c:v>
                </c:pt>
                <c:pt idx="99">
                  <c:v>140.31541617689518</c:v>
                </c:pt>
                <c:pt idx="100">
                  <c:v>138.96841023090536</c:v>
                </c:pt>
              </c:numCache>
            </c:numRef>
          </c:val>
          <c:smooth val="0"/>
          <c:extLst>
            <c:ext xmlns:c16="http://schemas.microsoft.com/office/drawing/2014/chart" uri="{C3380CC4-5D6E-409C-BE32-E72D297353CC}">
              <c16:uniqueId val="{00000002-DE77-4B43-A489-D4421C0BE99A}"/>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E77-4B43-A489-D4421C0BE99A}"/>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E77-4B43-A489-D4421C0BE99A}"/>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E77-4B43-A489-D4421C0BE99A}"/>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2.5000008807116725E-3</c:v>
                </c:pt>
                <c:pt idx="1">
                  <c:v>2.8595797468833834E-3</c:v>
                </c:pt>
                <c:pt idx="2">
                  <c:v>5.7191594937667668E-3</c:v>
                </c:pt>
                <c:pt idx="3">
                  <c:v>8.5787392406501493E-3</c:v>
                </c:pt>
                <c:pt idx="4">
                  <c:v>1.1438318987533534E-2</c:v>
                </c:pt>
                <c:pt idx="5">
                  <c:v>1.4297898734416916E-2</c:v>
                </c:pt>
                <c:pt idx="6">
                  <c:v>1.7157478481300299E-2</c:v>
                </c:pt>
                <c:pt idx="7">
                  <c:v>2.0017058228183688E-2</c:v>
                </c:pt>
                <c:pt idx="8">
                  <c:v>2.2876637975067067E-2</c:v>
                </c:pt>
                <c:pt idx="9">
                  <c:v>2.5736217721950453E-2</c:v>
                </c:pt>
                <c:pt idx="10">
                  <c:v>2.8595797468833832E-2</c:v>
                </c:pt>
                <c:pt idx="11">
                  <c:v>3.1455377215717222E-2</c:v>
                </c:pt>
                <c:pt idx="12">
                  <c:v>3.4314956962600597E-2</c:v>
                </c:pt>
                <c:pt idx="13">
                  <c:v>3.7174536709483987E-2</c:v>
                </c:pt>
                <c:pt idx="14">
                  <c:v>4.0034116456367376E-2</c:v>
                </c:pt>
                <c:pt idx="15">
                  <c:v>4.2893696203250752E-2</c:v>
                </c:pt>
                <c:pt idx="16">
                  <c:v>4.5753275950134134E-2</c:v>
                </c:pt>
                <c:pt idx="17">
                  <c:v>4.8612855697017524E-2</c:v>
                </c:pt>
                <c:pt idx="18">
                  <c:v>5.1472435443900906E-2</c:v>
                </c:pt>
                <c:pt idx="19">
                  <c:v>5.4332015190784282E-2</c:v>
                </c:pt>
                <c:pt idx="20">
                  <c:v>5.7191594937667664E-2</c:v>
                </c:pt>
                <c:pt idx="21">
                  <c:v>6.0051174684551054E-2</c:v>
                </c:pt>
                <c:pt idx="22">
                  <c:v>6.2910754431434443E-2</c:v>
                </c:pt>
                <c:pt idx="23">
                  <c:v>6.5770334178317832E-2</c:v>
                </c:pt>
                <c:pt idx="24">
                  <c:v>6.8629913925201194E-2</c:v>
                </c:pt>
                <c:pt idx="25">
                  <c:v>7.1489493672084597E-2</c:v>
                </c:pt>
                <c:pt idx="26">
                  <c:v>7.4349073418967973E-2</c:v>
                </c:pt>
                <c:pt idx="27">
                  <c:v>7.8303866069973138E-2</c:v>
                </c:pt>
                <c:pt idx="28">
                  <c:v>8.269411536834087E-2</c:v>
                </c:pt>
                <c:pt idx="29">
                  <c:v>8.7163478866466026E-2</c:v>
                </c:pt>
                <c:pt idx="30">
                  <c:v>9.1710580139960335E-2</c:v>
                </c:pt>
                <c:pt idx="31">
                  <c:v>9.5163915317655015E-2</c:v>
                </c:pt>
                <c:pt idx="32">
                  <c:v>9.6687875039165011E-2</c:v>
                </c:pt>
                <c:pt idx="33">
                  <c:v>9.8188241380845406E-2</c:v>
                </c:pt>
                <c:pt idx="34">
                  <c:v>9.9666079015165304E-2</c:v>
                </c:pt>
                <c:pt idx="35">
                  <c:v>0.1011223748711311</c:v>
                </c:pt>
                <c:pt idx="36">
                  <c:v>0.10255804585718102</c:v>
                </c:pt>
                <c:pt idx="37">
                  <c:v>0.10161691403714769</c:v>
                </c:pt>
                <c:pt idx="38">
                  <c:v>0.10046642378958864</c:v>
                </c:pt>
                <c:pt idx="39">
                  <c:v>9.9354528279136961E-2</c:v>
                </c:pt>
                <c:pt idx="40">
                  <c:v>9.8279142550035017E-2</c:v>
                </c:pt>
                <c:pt idx="41">
                  <c:v>9.7238334359027151E-2</c:v>
                </c:pt>
                <c:pt idx="42">
                  <c:v>9.6230310260656135E-2</c:v>
                </c:pt>
                <c:pt idx="43">
                  <c:v>9.5253403189159924E-2</c:v>
                </c:pt>
                <c:pt idx="44">
                  <c:v>9.4306061353772605E-2</c:v>
                </c:pt>
                <c:pt idx="45">
                  <c:v>9.3386838289038349E-2</c:v>
                </c:pt>
                <c:pt idx="46">
                  <c:v>0.10063047445817067</c:v>
                </c:pt>
                <c:pt idx="47">
                  <c:v>0.1007584186966755</c:v>
                </c:pt>
                <c:pt idx="48">
                  <c:v>0.10088169061148257</c:v>
                </c:pt>
                <c:pt idx="49">
                  <c:v>0.10100056132221041</c:v>
                </c:pt>
                <c:pt idx="50">
                  <c:v>0.10111528137134029</c:v>
                </c:pt>
                <c:pt idx="51">
                  <c:v>0.10122608264004121</c:v>
                </c:pt>
                <c:pt idx="52">
                  <c:v>0.1013331800538611</c:v>
                </c:pt>
                <c:pt idx="53">
                  <c:v>0.10143677310469139</c:v>
                </c:pt>
                <c:pt idx="54">
                  <c:v>0.10153704721168572</c:v>
                </c:pt>
                <c:pt idx="55">
                  <c:v>0.10163417494066969</c:v>
                </c:pt>
                <c:pt idx="56">
                  <c:v>0.10172831709891535</c:v>
                </c:pt>
                <c:pt idx="57">
                  <c:v>0.10181962371989424</c:v>
                </c:pt>
                <c:pt idx="58">
                  <c:v>0.10190823495069506</c:v>
                </c:pt>
                <c:pt idx="59">
                  <c:v>0.10199428185314938</c:v>
                </c:pt>
                <c:pt idx="60">
                  <c:v>0.10207788712829834</c:v>
                </c:pt>
                <c:pt idx="61">
                  <c:v>0.10215916577262385</c:v>
                </c:pt>
                <c:pt idx="62">
                  <c:v>0.10223822567342675</c:v>
                </c:pt>
                <c:pt idx="63">
                  <c:v>0.10231516814983502</c:v>
                </c:pt>
                <c:pt idx="64">
                  <c:v>0.10239008844514777</c:v>
                </c:pt>
                <c:pt idx="65">
                  <c:v>0.10246307617554698</c:v>
                </c:pt>
                <c:pt idx="66">
                  <c:v>0.10253421573962145</c:v>
                </c:pt>
                <c:pt idx="67">
                  <c:v>0.1026035866926399</c:v>
                </c:pt>
                <c:pt idx="68">
                  <c:v>0.10267126408906224</c:v>
                </c:pt>
                <c:pt idx="69">
                  <c:v>0.10273731879638988</c:v>
                </c:pt>
                <c:pt idx="70">
                  <c:v>0.10280181778311497</c:v>
                </c:pt>
                <c:pt idx="71">
                  <c:v>0.10286482438322843</c:v>
                </c:pt>
                <c:pt idx="72">
                  <c:v>0.10292639853948293</c:v>
                </c:pt>
                <c:pt idx="73">
                  <c:v>0.10298659702737598</c:v>
                </c:pt>
                <c:pt idx="74">
                  <c:v>0.10304547366161164</c:v>
                </c:pt>
                <c:pt idx="75">
                  <c:v>0.10310307948662058</c:v>
                </c:pt>
                <c:pt idx="76">
                  <c:v>0.10315946295255514</c:v>
                </c:pt>
                <c:pt idx="77">
                  <c:v>0.10321467007803584</c:v>
                </c:pt>
                <c:pt idx="78">
                  <c:v>0.10326874460079802</c:v>
                </c:pt>
                <c:pt idx="79">
                  <c:v>0.10332172811727583</c:v>
                </c:pt>
                <c:pt idx="80">
                  <c:v>0.10337366021205931</c:v>
                </c:pt>
                <c:pt idx="81">
                  <c:v>0.10342457857807179</c:v>
                </c:pt>
                <c:pt idx="82">
                  <c:v>0.10347451912823458</c:v>
                </c:pt>
                <c:pt idx="83">
                  <c:v>0.10352351609931378</c:v>
                </c:pt>
                <c:pt idx="84">
                  <c:v>0.1035716021485812</c:v>
                </c:pt>
                <c:pt idx="85">
                  <c:v>0.10361880844386209</c:v>
                </c:pt>
                <c:pt idx="86">
                  <c:v>0.10366516474749186</c:v>
                </c:pt>
                <c:pt idx="87">
                  <c:v>0.10371069949465755</c:v>
                </c:pt>
                <c:pt idx="88">
                  <c:v>0.10375543986655661</c:v>
                </c:pt>
                <c:pt idx="89">
                  <c:v>0.1037994118587692</c:v>
                </c:pt>
                <c:pt idx="90">
                  <c:v>0.10384264034520538</c:v>
                </c:pt>
                <c:pt idx="91">
                  <c:v>0.10388514913795717</c:v>
                </c:pt>
                <c:pt idx="92">
                  <c:v>0.1039269610433592</c:v>
                </c:pt>
                <c:pt idx="93">
                  <c:v>0.10396809791453436</c:v>
                </c:pt>
                <c:pt idx="94">
                  <c:v>0.1040085807006792</c:v>
                </c:pt>
                <c:pt idx="95">
                  <c:v>0.10404842949332287</c:v>
                </c:pt>
                <c:pt idx="96">
                  <c:v>0.10408766356977385</c:v>
                </c:pt>
                <c:pt idx="97">
                  <c:v>0.10412630143395242</c:v>
                </c:pt>
                <c:pt idx="98">
                  <c:v>0.10416436085478997</c:v>
                </c:pt>
                <c:pt idx="99">
                  <c:v>0.1042018589023629</c:v>
                </c:pt>
                <c:pt idx="100">
                  <c:v>0.1042388119819161</c:v>
                </c:pt>
              </c:numCache>
            </c:numRef>
          </c:val>
          <c:smooth val="0"/>
          <c:extLst>
            <c:ext xmlns:c16="http://schemas.microsoft.com/office/drawing/2014/chart" uri="{C3380CC4-5D6E-409C-BE32-E72D297353CC}">
              <c16:uniqueId val="{00000006-DE77-4B43-A489-D4421C0BE99A}"/>
            </c:ext>
          </c:extLst>
        </c:ser>
        <c:ser>
          <c:idx val="16"/>
          <c:order val="16"/>
          <c:spPr>
            <a:ln w="25400">
              <a:solidFill>
                <a:srgbClr val="00B050"/>
              </a:solidFill>
              <a:prstDash val="dash"/>
            </a:ln>
          </c:spPr>
          <c:marker>
            <c:symbol val="none"/>
          </c:marker>
          <c:val>
            <c:numRef>
              <c:f>'Calculations - Dual'!$AU$110:$AU$210</c:f>
              <c:numCache>
                <c:formatCode>0.000</c:formatCode>
                <c:ptCount val="101"/>
                <c:pt idx="0">
                  <c:v>1.3340318218830163E-2</c:v>
                </c:pt>
                <c:pt idx="1">
                  <c:v>1.5304005285722091E-2</c:v>
                </c:pt>
                <c:pt idx="2">
                  <c:v>4.5912015857166269E-2</c:v>
                </c:pt>
                <c:pt idx="3">
                  <c:v>4.5912015857166269E-2</c:v>
                </c:pt>
                <c:pt idx="4">
                  <c:v>6.1216021142888363E-2</c:v>
                </c:pt>
                <c:pt idx="5">
                  <c:v>7.6520026428610458E-2</c:v>
                </c:pt>
                <c:pt idx="6">
                  <c:v>9.1824031714332538E-2</c:v>
                </c:pt>
                <c:pt idx="7">
                  <c:v>0.10712803700005467</c:v>
                </c:pt>
                <c:pt idx="8">
                  <c:v>0.12243204228577673</c:v>
                </c:pt>
                <c:pt idx="9">
                  <c:v>0.13773604757149885</c:v>
                </c:pt>
                <c:pt idx="10">
                  <c:v>0.15304005285722092</c:v>
                </c:pt>
                <c:pt idx="11">
                  <c:v>0.16834405814294304</c:v>
                </c:pt>
                <c:pt idx="12">
                  <c:v>0.18364806342866508</c:v>
                </c:pt>
                <c:pt idx="13">
                  <c:v>0.19895206871438723</c:v>
                </c:pt>
                <c:pt idx="14">
                  <c:v>0.21425607400010935</c:v>
                </c:pt>
                <c:pt idx="15">
                  <c:v>0.22956007928583139</c:v>
                </c:pt>
                <c:pt idx="16">
                  <c:v>0.24486408457155345</c:v>
                </c:pt>
                <c:pt idx="17">
                  <c:v>0.26016808985727558</c:v>
                </c:pt>
                <c:pt idx="18">
                  <c:v>0.2754720951429977</c:v>
                </c:pt>
                <c:pt idx="19">
                  <c:v>0.29077610042871976</c:v>
                </c:pt>
                <c:pt idx="20">
                  <c:v>0.30608010571444183</c:v>
                </c:pt>
                <c:pt idx="21">
                  <c:v>0.32138411100016395</c:v>
                </c:pt>
                <c:pt idx="22">
                  <c:v>0.33963323967863551</c:v>
                </c:pt>
                <c:pt idx="23">
                  <c:v>0.37121071030991365</c:v>
                </c:pt>
                <c:pt idx="24">
                  <c:v>0.40421417401502335</c:v>
                </c:pt>
                <c:pt idx="25">
                  <c:v>0.43883025558050681</c:v>
                </c:pt>
                <c:pt idx="26">
                  <c:v>0.37145097172141589</c:v>
                </c:pt>
                <c:pt idx="27">
                  <c:v>0.37215898148859378</c:v>
                </c:pt>
                <c:pt idx="28">
                  <c:v>0.37282340419309495</c:v>
                </c:pt>
                <c:pt idx="29">
                  <c:v>0.3734485608269425</c:v>
                </c:pt>
                <c:pt idx="30">
                  <c:v>0.3740382196248519</c:v>
                </c:pt>
                <c:pt idx="31">
                  <c:v>0.37459568171357854</c:v>
                </c:pt>
                <c:pt idx="32">
                  <c:v>0.37512385131439674</c:v>
                </c:pt>
                <c:pt idx="33">
                  <c:v>0.37562529365401792</c:v>
                </c:pt>
                <c:pt idx="34">
                  <c:v>0.3761022830235341</c:v>
                </c:pt>
                <c:pt idx="35">
                  <c:v>0.3765568428868652</c:v>
                </c:pt>
                <c:pt idx="36">
                  <c:v>0.37699077953201043</c:v>
                </c:pt>
                <c:pt idx="37">
                  <c:v>0.37740571044624371</c:v>
                </c:pt>
                <c:pt idx="38">
                  <c:v>0.37780308835575421</c:v>
                </c:pt>
                <c:pt idx="39">
                  <c:v>0.37818422168339733</c:v>
                </c:pt>
                <c:pt idx="40">
                  <c:v>0.37855029203211393</c:v>
                </c:pt>
                <c:pt idx="41">
                  <c:v>0.37890236918659204</c:v>
                </c:pt>
                <c:pt idx="42">
                  <c:v>0.37924142403466932</c:v>
                </c:pt>
                <c:pt idx="43">
                  <c:v>0.37956833973741655</c:v>
                </c:pt>
                <c:pt idx="44">
                  <c:v>0.37988392141871585</c:v>
                </c:pt>
                <c:pt idx="45">
                  <c:v>0.38018890459831756</c:v>
                </c:pt>
                <c:pt idx="46">
                  <c:v>0.38048396255445505</c:v>
                </c:pt>
                <c:pt idx="47">
                  <c:v>0.38076971277125438</c:v>
                </c:pt>
                <c:pt idx="48">
                  <c:v>0.38104672260097011</c:v>
                </c:pt>
                <c:pt idx="49">
                  <c:v>0.3813155142503824</c:v>
                </c:pt>
                <c:pt idx="50">
                  <c:v>0.38157656918363436</c:v>
                </c:pt>
                <c:pt idx="51">
                  <c:v>0.38183033201965982</c:v>
                </c:pt>
                <c:pt idx="52">
                  <c:v>0.3820772139906175</c:v>
                </c:pt>
                <c:pt idx="53">
                  <c:v>0.38231759601795801</c:v>
                </c:pt>
                <c:pt idx="54">
                  <c:v>0.38255183145454924</c:v>
                </c:pt>
                <c:pt idx="55">
                  <c:v>0.38278024853440684</c:v>
                </c:pt>
                <c:pt idx="56">
                  <c:v>0.38300315256576656</c:v>
                </c:pt>
                <c:pt idx="57">
                  <c:v>0.38322082789833356</c:v>
                </c:pt>
                <c:pt idx="58">
                  <c:v>0.38343353969137933</c:v>
                </c:pt>
                <c:pt idx="59">
                  <c:v>0.38364153550581631</c:v>
                </c:pt>
                <c:pt idx="60">
                  <c:v>0.38384504674036263</c:v>
                </c:pt>
                <c:pt idx="61">
                  <c:v>0.38404428992932155</c:v>
                </c:pt>
                <c:pt idx="62">
                  <c:v>0.38423946791728808</c:v>
                </c:pt>
                <c:pt idx="63">
                  <c:v>0.38443077092418815</c:v>
                </c:pt>
                <c:pt idx="64">
                  <c:v>0.38461837751240935</c:v>
                </c:pt>
                <c:pt idx="65">
                  <c:v>0.38480245546636821</c:v>
                </c:pt>
                <c:pt idx="66">
                  <c:v>0.38498316259362469</c:v>
                </c:pt>
                <c:pt idx="67">
                  <c:v>0.38516064745558787</c:v>
                </c:pt>
                <c:pt idx="68">
                  <c:v>0.38533505003492852</c:v>
                </c:pt>
                <c:pt idx="69">
                  <c:v>0.3855065023460042</c:v>
                </c:pt>
                <c:pt idx="70">
                  <c:v>0.38567512899389245</c:v>
                </c:pt>
                <c:pt idx="71">
                  <c:v>0.38584104768701222</c:v>
                </c:pt>
                <c:pt idx="72">
                  <c:v>0.38600436970776503</c:v>
                </c:pt>
                <c:pt idx="73">
                  <c:v>0.38616520034515611</c:v>
                </c:pt>
                <c:pt idx="74">
                  <c:v>0.38632363929292746</c:v>
                </c:pt>
                <c:pt idx="75">
                  <c:v>0.38647978101637098</c:v>
                </c:pt>
                <c:pt idx="76">
                  <c:v>0.38663371509065764</c:v>
                </c:pt>
                <c:pt idx="77">
                  <c:v>0.386785526513232</c:v>
                </c:pt>
                <c:pt idx="78">
                  <c:v>0.38693529599255855</c:v>
                </c:pt>
                <c:pt idx="79">
                  <c:v>0.38708310021528669</c:v>
                </c:pt>
                <c:pt idx="80">
                  <c:v>0.38722901209369076</c:v>
                </c:pt>
                <c:pt idx="81">
                  <c:v>0.38737310099506223</c:v>
                </c:pt>
                <c:pt idx="82">
                  <c:v>0.38751543295457525</c:v>
                </c:pt>
                <c:pt idx="83">
                  <c:v>0.38765607087299403</c:v>
                </c:pt>
                <c:pt idx="84">
                  <c:v>0.38779507470046892</c:v>
                </c:pt>
                <c:pt idx="85">
                  <c:v>0.38793250160755055</c:v>
                </c:pt>
                <c:pt idx="86">
                  <c:v>0.38806840614444421</c:v>
                </c:pt>
                <c:pt idx="87">
                  <c:v>0.38820284038944047</c:v>
                </c:pt>
                <c:pt idx="88">
                  <c:v>0.3883358540873692</c:v>
                </c:pt>
                <c:pt idx="89">
                  <c:v>0.38846749477885012</c:v>
                </c:pt>
                <c:pt idx="90">
                  <c:v>0.38859780792104698</c:v>
                </c:pt>
                <c:pt idx="91">
                  <c:v>0.38872683700056926</c:v>
                </c:pt>
                <c:pt idx="92">
                  <c:v>0.38885462363911083</c:v>
                </c:pt>
                <c:pt idx="93">
                  <c:v>0.38898120769236511</c:v>
                </c:pt>
                <c:pt idx="94">
                  <c:v>0.38910662734271001</c:v>
                </c:pt>
                <c:pt idx="95">
                  <c:v>0.38923091918611696</c:v>
                </c:pt>
                <c:pt idx="96">
                  <c:v>0.3893541183136987</c:v>
                </c:pt>
                <c:pt idx="97">
                  <c:v>0.38947625838827771</c:v>
                </c:pt>
                <c:pt idx="98">
                  <c:v>0.38959737171632691</c:v>
                </c:pt>
                <c:pt idx="99">
                  <c:v>0.38971748931560551</c:v>
                </c:pt>
                <c:pt idx="100">
                  <c:v>0.38983664097878806</c:v>
                </c:pt>
              </c:numCache>
            </c:numRef>
          </c:val>
          <c:smooth val="0"/>
          <c:extLst>
            <c:ext xmlns:c16="http://schemas.microsoft.com/office/drawing/2014/chart" uri="{C3380CC4-5D6E-409C-BE32-E72D297353CC}">
              <c16:uniqueId val="{00000007-DE77-4B43-A489-D4421C0BE99A}"/>
            </c:ext>
          </c:extLst>
        </c:ser>
        <c:ser>
          <c:idx val="17"/>
          <c:order val="17"/>
          <c:spPr>
            <a:ln w="25400">
              <a:solidFill>
                <a:srgbClr val="FF0000"/>
              </a:solidFill>
            </a:ln>
          </c:spPr>
          <c:marker>
            <c:symbol val="none"/>
          </c:marker>
          <c:val>
            <c:numRef>
              <c:f>'Calculations - Dual'!$AU$216:$AU$316</c:f>
              <c:numCache>
                <c:formatCode>0.000</c:formatCode>
                <c:ptCount val="101"/>
                <c:pt idx="0">
                  <c:v>2.0001523973290627E-3</c:v>
                </c:pt>
                <c:pt idx="1">
                  <c:v>2.2870272982221944E-3</c:v>
                </c:pt>
                <c:pt idx="2">
                  <c:v>4.5740545964443888E-3</c:v>
                </c:pt>
                <c:pt idx="3">
                  <c:v>6.8610818946665836E-3</c:v>
                </c:pt>
                <c:pt idx="4">
                  <c:v>9.1481091928887776E-3</c:v>
                </c:pt>
                <c:pt idx="5">
                  <c:v>1.1435136491110973E-2</c:v>
                </c:pt>
                <c:pt idx="6">
                  <c:v>1.3722163789333167E-2</c:v>
                </c:pt>
                <c:pt idx="7">
                  <c:v>1.6009191087555358E-2</c:v>
                </c:pt>
                <c:pt idx="8">
                  <c:v>1.8296218385777555E-2</c:v>
                </c:pt>
                <c:pt idx="9">
                  <c:v>2.0583245683999749E-2</c:v>
                </c:pt>
                <c:pt idx="10">
                  <c:v>2.2870272982221947E-2</c:v>
                </c:pt>
                <c:pt idx="11">
                  <c:v>2.5157300280444141E-2</c:v>
                </c:pt>
                <c:pt idx="12">
                  <c:v>2.7444327578666335E-2</c:v>
                </c:pt>
                <c:pt idx="13">
                  <c:v>2.9731354876888525E-2</c:v>
                </c:pt>
                <c:pt idx="14">
                  <c:v>3.2018382175110716E-2</c:v>
                </c:pt>
                <c:pt idx="15">
                  <c:v>3.4305409473332917E-2</c:v>
                </c:pt>
                <c:pt idx="16">
                  <c:v>3.659243677155511E-2</c:v>
                </c:pt>
                <c:pt idx="17">
                  <c:v>3.8879464069777318E-2</c:v>
                </c:pt>
                <c:pt idx="18">
                  <c:v>4.1166491367999498E-2</c:v>
                </c:pt>
                <c:pt idx="19">
                  <c:v>4.3453518666221692E-2</c:v>
                </c:pt>
                <c:pt idx="20">
                  <c:v>4.5740545964443893E-2</c:v>
                </c:pt>
                <c:pt idx="21">
                  <c:v>4.8027573262666073E-2</c:v>
                </c:pt>
                <c:pt idx="22">
                  <c:v>5.0314600560888281E-2</c:v>
                </c:pt>
                <c:pt idx="23">
                  <c:v>5.2601627859110482E-2</c:v>
                </c:pt>
                <c:pt idx="24">
                  <c:v>5.4888655157332669E-2</c:v>
                </c:pt>
                <c:pt idx="25">
                  <c:v>5.7175682455554863E-2</c:v>
                </c:pt>
                <c:pt idx="26">
                  <c:v>5.946270975377705E-2</c:v>
                </c:pt>
                <c:pt idx="27">
                  <c:v>6.2625663597437126E-2</c:v>
                </c:pt>
                <c:pt idx="28">
                  <c:v>6.6136885832911038E-2</c:v>
                </c:pt>
                <c:pt idx="29">
                  <c:v>6.971138181856433E-2</c:v>
                </c:pt>
                <c:pt idx="30">
                  <c:v>7.3348050721257621E-2</c:v>
                </c:pt>
                <c:pt idx="31">
                  <c:v>7.6117224177250975E-2</c:v>
                </c:pt>
                <c:pt idx="32">
                  <c:v>7.7335942980453737E-2</c:v>
                </c:pt>
                <c:pt idx="33">
                  <c:v>7.8535787064602763E-2</c:v>
                </c:pt>
                <c:pt idx="34">
                  <c:v>7.9717608167904644E-2</c:v>
                </c:pt>
                <c:pt idx="35">
                  <c:v>8.0882195833785545E-2</c:v>
                </c:pt>
                <c:pt idx="36">
                  <c:v>7.7324577572738737E-2</c:v>
                </c:pt>
                <c:pt idx="37">
                  <c:v>7.9470613385205807E-2</c:v>
                </c:pt>
                <c:pt idx="38">
                  <c:v>8.0984701697209019E-2</c:v>
                </c:pt>
                <c:pt idx="39">
                  <c:v>8.1134009892124909E-2</c:v>
                </c:pt>
                <c:pt idx="40">
                  <c:v>8.1277732057122215E-2</c:v>
                </c:pt>
                <c:pt idx="41">
                  <c:v>8.1415219543597969E-2</c:v>
                </c:pt>
                <c:pt idx="42">
                  <c:v>8.1546889660942576E-2</c:v>
                </c:pt>
                <c:pt idx="43">
                  <c:v>8.1673123289481425E-2</c:v>
                </c:pt>
                <c:pt idx="44">
                  <c:v>8.1794268770674722E-2</c:v>
                </c:pt>
                <c:pt idx="45">
                  <c:v>8.1910645309227953E-2</c:v>
                </c:pt>
                <c:pt idx="46">
                  <c:v>8.2022545957095294E-2</c:v>
                </c:pt>
                <c:pt idx="47">
                  <c:v>8.213024023812017E-2</c:v>
                </c:pt>
                <c:pt idx="48">
                  <c:v>8.2233976462810526E-2</c:v>
                </c:pt>
                <c:pt idx="49">
                  <c:v>8.2333983775105229E-2</c:v>
                </c:pt>
                <c:pt idx="50">
                  <c:v>8.2430473966648238E-2</c:v>
                </c:pt>
                <c:pt idx="51">
                  <c:v>8.252364308880876E-2</c:v>
                </c:pt>
                <c:pt idx="52">
                  <c:v>8.2613672888272052E-2</c:v>
                </c:pt>
                <c:pt idx="53">
                  <c:v>8.2700732088325651E-2</c:v>
                </c:pt>
                <c:pt idx="54">
                  <c:v>8.2784977534849633E-2</c:v>
                </c:pt>
                <c:pt idx="55">
                  <c:v>8.2866555223390301E-2</c:v>
                </c:pt>
                <c:pt idx="56">
                  <c:v>8.2945601221469267E-2</c:v>
                </c:pt>
                <c:pt idx="57">
                  <c:v>8.3022242498386134E-2</c:v>
                </c:pt>
                <c:pt idx="58">
                  <c:v>8.3096597673162062E-2</c:v>
                </c:pt>
                <c:pt idx="59">
                  <c:v>8.3168777689892767E-2</c:v>
                </c:pt>
                <c:pt idx="60">
                  <c:v>8.3238886428599362E-2</c:v>
                </c:pt>
                <c:pt idx="61">
                  <c:v>8.3307021258652206E-2</c:v>
                </c:pt>
                <c:pt idx="62">
                  <c:v>8.3373273540968407E-2</c:v>
                </c:pt>
                <c:pt idx="63">
                  <c:v>8.3437729084431658E-2</c:v>
                </c:pt>
                <c:pt idx="64">
                  <c:v>8.3500468561329172E-2</c:v>
                </c:pt>
                <c:pt idx="65">
                  <c:v>8.3561567886036428E-2</c:v>
                </c:pt>
                <c:pt idx="66">
                  <c:v>8.3621098560686946E-2</c:v>
                </c:pt>
                <c:pt idx="67">
                  <c:v>8.3679127991137817E-2</c:v>
                </c:pt>
                <c:pt idx="68">
                  <c:v>8.3735719776166659E-2</c:v>
                </c:pt>
                <c:pt idx="69">
                  <c:v>8.3790933972508821E-2</c:v>
                </c:pt>
                <c:pt idx="70">
                  <c:v>8.3844827338057412E-2</c:v>
                </c:pt>
                <c:pt idx="71">
                  <c:v>8.3897453555296778E-2</c:v>
                </c:pt>
                <c:pt idx="72">
                  <c:v>8.3948863436818538E-2</c:v>
                </c:pt>
                <c:pt idx="73">
                  <c:v>8.399910511457484E-2</c:v>
                </c:pt>
                <c:pt idx="74">
                  <c:v>8.4048224214349876E-2</c:v>
                </c:pt>
                <c:pt idx="75">
                  <c:v>8.4096264016780012E-2</c:v>
                </c:pt>
                <c:pt idx="76">
                  <c:v>8.4143265606116985E-2</c:v>
                </c:pt>
                <c:pt idx="77">
                  <c:v>8.418926800780864E-2</c:v>
                </c:pt>
                <c:pt idx="78">
                  <c:v>8.423430831586623E-2</c:v>
                </c:pt>
                <c:pt idx="79">
                  <c:v>8.4278421810891471E-2</c:v>
                </c:pt>
                <c:pt idx="80">
                  <c:v>8.432164206955392E-2</c:v>
                </c:pt>
                <c:pt idx="81">
                  <c:v>8.436400106623089E-2</c:v>
                </c:pt>
                <c:pt idx="82">
                  <c:v>8.4405529267458451E-2</c:v>
                </c:pt>
                <c:pt idx="83">
                  <c:v>8.4446255719778832E-2</c:v>
                </c:pt>
                <c:pt idx="84">
                  <c:v>8.4486208131516832E-2</c:v>
                </c:pt>
                <c:pt idx="85">
                  <c:v>8.4525412948969536E-2</c:v>
                </c:pt>
                <c:pt idx="86">
                  <c:v>8.4563895427449104E-2</c:v>
                </c:pt>
                <c:pt idx="87">
                  <c:v>8.4601679697580048E-2</c:v>
                </c:pt>
                <c:pt idx="88">
                  <c:v>8.463878882721651E-2</c:v>
                </c:pt>
                <c:pt idx="89">
                  <c:v>8.4675244879313979E-2</c:v>
                </c:pt>
                <c:pt idx="90">
                  <c:v>8.4711068966059816E-2</c:v>
                </c:pt>
                <c:pt idx="91">
                  <c:v>8.4746281299542134E-2</c:v>
                </c:pt>
                <c:pt idx="92">
                  <c:v>8.4780901239212725E-2</c:v>
                </c:pt>
                <c:pt idx="93">
                  <c:v>8.4814947336377858E-2</c:v>
                </c:pt>
                <c:pt idx="94">
                  <c:v>8.4848437375931868E-2</c:v>
                </c:pt>
                <c:pt idx="95">
                  <c:v>8.4881388415531375E-2</c:v>
                </c:pt>
                <c:pt idx="96">
                  <c:v>8.491381682239052E-2</c:v>
                </c:pt>
                <c:pt idx="97">
                  <c:v>8.4945738307865032E-2</c:v>
                </c:pt>
                <c:pt idx="98">
                  <c:v>8.4977167959977701E-2</c:v>
                </c:pt>
                <c:pt idx="99">
                  <c:v>8.500812027402764E-2</c:v>
                </c:pt>
                <c:pt idx="100">
                  <c:v>8.5038609181413122E-2</c:v>
                </c:pt>
              </c:numCache>
            </c:numRef>
          </c:val>
          <c:smooth val="0"/>
          <c:extLst>
            <c:ext xmlns:c16="http://schemas.microsoft.com/office/drawing/2014/chart" uri="{C3380CC4-5D6E-409C-BE32-E72D297353CC}">
              <c16:uniqueId val="{00000008-DE77-4B43-A489-D4421C0BE99A}"/>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11.429199855803537</c:v>
                </c:pt>
                <c:pt idx="2">
                  <c:v>34.287599567410609</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274.3089974105547</c:v>
                </c:pt>
                <c:pt idx="25">
                  <c:v>285.81873315363879</c:v>
                </c:pt>
                <c:pt idx="26">
                  <c:v>232.56778747425872</c:v>
                </c:pt>
                <c:pt idx="27">
                  <c:v>224.33868852390839</c:v>
                </c:pt>
                <c:pt idx="28">
                  <c:v>216.6718871445612</c:v>
                </c:pt>
                <c:pt idx="29">
                  <c:v>209.51165259458853</c:v>
                </c:pt>
                <c:pt idx="30">
                  <c:v>202.80938341866414</c:v>
                </c:pt>
                <c:pt idx="31">
                  <c:v>196.52250276996728</c:v>
                </c:pt>
                <c:pt idx="32">
                  <c:v>190.61355296115264</c:v>
                </c:pt>
                <c:pt idx="33">
                  <c:v>185.04944854792882</c:v>
                </c:pt>
                <c:pt idx="34">
                  <c:v>179.8008564802135</c:v>
                </c:pt>
                <c:pt idx="35">
                  <c:v>174.84167879628083</c:v>
                </c:pt>
                <c:pt idx="36">
                  <c:v>170.14861859970273</c:v>
                </c:pt>
                <c:pt idx="37">
                  <c:v>165.70081408520767</c:v>
                </c:pt>
                <c:pt idx="38">
                  <c:v>161.4795284830991</c:v>
                </c:pt>
                <c:pt idx="39">
                  <c:v>157.46788620176409</c:v>
                </c:pt>
                <c:pt idx="40">
                  <c:v>153.65064733213441</c:v>
                </c:pt>
                <c:pt idx="41">
                  <c:v>150.01401416107333</c:v>
                </c:pt>
                <c:pt idx="42">
                  <c:v>146.54546451528344</c:v>
                </c:pt>
                <c:pt idx="43">
                  <c:v>143.23360769314394</c:v>
                </c:pt>
                <c:pt idx="44">
                  <c:v>140.06805949164959</c:v>
                </c:pt>
                <c:pt idx="45">
                  <c:v>137.03933343954654</c:v>
                </c:pt>
                <c:pt idx="46">
                  <c:v>134.13874583669067</c:v>
                </c:pt>
                <c:pt idx="47">
                  <c:v>131.35833259742793</c:v>
                </c:pt>
                <c:pt idx="48">
                  <c:v>128.69077622090069</c:v>
                </c:pt>
                <c:pt idx="49">
                  <c:v>126.12934147808691</c:v>
                </c:pt>
                <c:pt idx="50">
                  <c:v>123.66781862542697</c:v>
                </c:pt>
                <c:pt idx="51">
                  <c:v>121.30047313705009</c:v>
                </c:pt>
                <c:pt idx="52">
                  <c:v>119.02200109899468</c:v>
                </c:pt>
                <c:pt idx="53">
                  <c:v>116.82748953509474</c:v>
                </c:pt>
                <c:pt idx="54">
                  <c:v>114.71238103991483</c:v>
                </c:pt>
                <c:pt idx="55">
                  <c:v>112.67244218292345</c:v>
                </c:pt>
                <c:pt idx="56">
                  <c:v>110.70373522294298</c:v>
                </c:pt>
                <c:pt idx="57">
                  <c:v>108.80259273520106</c:v>
                </c:pt>
                <c:pt idx="58">
                  <c:v>106.96559480698741</c:v>
                </c:pt>
                <c:pt idx="59">
                  <c:v>105.18954850358087</c:v>
                </c:pt>
                <c:pt idx="60">
                  <c:v>103.47146934506567</c:v>
                </c:pt>
                <c:pt idx="61">
                  <c:v>101.80856456798152</c:v>
                </c:pt>
                <c:pt idx="62">
                  <c:v>100.19821797433326</c:v>
                </c:pt>
                <c:pt idx="63">
                  <c:v>98.637976195069456</c:v>
                </c:pt>
                <c:pt idx="64">
                  <c:v>97.125536216328996</c:v>
                </c:pt>
                <c:pt idx="65">
                  <c:v>95.658734035068136</c:v>
                </c:pt>
                <c:pt idx="66">
                  <c:v>94.235534326545491</c:v>
                </c:pt>
                <c:pt idx="67">
                  <c:v>92.854021019911485</c:v>
                </c:pt>
                <c:pt idx="68">
                  <c:v>91.512388690134117</c:v>
                </c:pt>
                <c:pt idx="69">
                  <c:v>90.208934684938882</c:v>
                </c:pt>
                <c:pt idx="70">
                  <c:v>88.942051914570087</c:v>
                </c:pt>
                <c:pt idx="71">
                  <c:v>87.710222240171859</c:v>
                </c:pt>
                <c:pt idx="72">
                  <c:v>86.51201040359777</c:v>
                </c:pt>
                <c:pt idx="73">
                  <c:v>85.346058447617736</c:v>
                </c:pt>
                <c:pt idx="74">
                  <c:v>84.211080580915393</c:v>
                </c:pt>
                <c:pt idx="75">
                  <c:v>83.105858447052327</c:v>
                </c:pt>
                <c:pt idx="76">
                  <c:v>82.0292367608033</c:v>
                </c:pt>
                <c:pt idx="77">
                  <c:v>80.980119279005564</c:v>
                </c:pt>
                <c:pt idx="78">
                  <c:v>79.957465076382718</c:v>
                </c:pt>
                <c:pt idx="79">
                  <c:v>78.960285099747139</c:v>
                </c:pt>
                <c:pt idx="80">
                  <c:v>77.987638976603023</c:v>
                </c:pt>
                <c:pt idx="81">
                  <c:v>77.038632056503417</c:v>
                </c:pt>
                <c:pt idx="82">
                  <c:v>76.112412665595727</c:v>
                </c:pt>
                <c:pt idx="83">
                  <c:v>75.208169556645416</c:v>
                </c:pt>
                <c:pt idx="84">
                  <c:v>74.325129538491396</c:v>
                </c:pt>
                <c:pt idx="85">
                  <c:v>73.462555270372832</c:v>
                </c:pt>
                <c:pt idx="86">
                  <c:v>72.619743207903696</c:v>
                </c:pt>
                <c:pt idx="87">
                  <c:v>71.796021688667707</c:v>
                </c:pt>
                <c:pt idx="88">
                  <c:v>70.990749146486451</c:v>
                </c:pt>
                <c:pt idx="89">
                  <c:v>70.203312444381481</c:v>
                </c:pt>
                <c:pt idx="90">
                  <c:v>69.433125317128031</c:v>
                </c:pt>
                <c:pt idx="91">
                  <c:v>68.679626915085294</c:v>
                </c:pt>
                <c:pt idx="92">
                  <c:v>67.942280441702593</c:v>
                </c:pt>
                <c:pt idx="93">
                  <c:v>67.220571877745584</c:v>
                </c:pt>
                <c:pt idx="94">
                  <c:v>66.514008785870146</c:v>
                </c:pt>
                <c:pt idx="95">
                  <c:v>65.822119189702221</c:v>
                </c:pt>
                <c:pt idx="96">
                  <c:v>65.144450522061419</c:v>
                </c:pt>
                <c:pt idx="97">
                  <c:v>64.480568637402797</c:v>
                </c:pt>
                <c:pt idx="98">
                  <c:v>63.830056883949005</c:v>
                </c:pt>
                <c:pt idx="99">
                  <c:v>63.192515231345197</c:v>
                </c:pt>
                <c:pt idx="100">
                  <c:v>62.567559449998939</c:v>
                </c:pt>
              </c:numCache>
            </c:numRef>
          </c:val>
          <c:smooth val="0"/>
          <c:extLst>
            <c:ext xmlns:c16="http://schemas.microsoft.com/office/drawing/2014/chart" uri="{C3380CC4-5D6E-409C-BE32-E72D297353CC}">
              <c16:uniqueId val="{00000009-DE77-4B43-A489-D4421C0BE99A}"/>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11.429199855803537</c:v>
                </c:pt>
                <c:pt idx="2">
                  <c:v>22.858399711607074</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274.30079653928487</c:v>
                </c:pt>
                <c:pt idx="25">
                  <c:v>285.72999639508845</c:v>
                </c:pt>
                <c:pt idx="26">
                  <c:v>297.15919625089202</c:v>
                </c:pt>
                <c:pt idx="27">
                  <c:v>308.58839610669554</c:v>
                </c:pt>
                <c:pt idx="28">
                  <c:v>320.01759596249912</c:v>
                </c:pt>
                <c:pt idx="29">
                  <c:v>331.44679581830258</c:v>
                </c:pt>
                <c:pt idx="30">
                  <c:v>342.87599567410615</c:v>
                </c:pt>
                <c:pt idx="31">
                  <c:v>350</c:v>
                </c:pt>
                <c:pt idx="32">
                  <c:v>350</c:v>
                </c:pt>
                <c:pt idx="33">
                  <c:v>350</c:v>
                </c:pt>
                <c:pt idx="34">
                  <c:v>350</c:v>
                </c:pt>
                <c:pt idx="35">
                  <c:v>350</c:v>
                </c:pt>
                <c:pt idx="36">
                  <c:v>350</c:v>
                </c:pt>
                <c:pt idx="37">
                  <c:v>342.06488767918432</c:v>
                </c:pt>
                <c:pt idx="38">
                  <c:v>333.70459934951435</c:v>
                </c:pt>
                <c:pt idx="39">
                  <c:v>325.74525604945364</c:v>
                </c:pt>
                <c:pt idx="40">
                  <c:v>318.15869036820658</c:v>
                </c:pt>
                <c:pt idx="41">
                  <c:v>310.91931296617906</c:v>
                </c:pt>
                <c:pt idx="42">
                  <c:v>304.00382421996932</c:v>
                </c:pt>
                <c:pt idx="43">
                  <c:v>297.39096372323814</c:v>
                </c:pt>
                <c:pt idx="44">
                  <c:v>291.06129196949996</c:v>
                </c:pt>
                <c:pt idx="45">
                  <c:v>284.99699949442766</c:v>
                </c:pt>
                <c:pt idx="46">
                  <c:v>279.18173953096613</c:v>
                </c:pt>
                <c:pt idx="47">
                  <c:v>273.60048086579883</c:v>
                </c:pt>
                <c:pt idx="48">
                  <c:v>268.23937810819172</c:v>
                </c:pt>
                <c:pt idx="49">
                  <c:v>263.08565701378342</c:v>
                </c:pt>
                <c:pt idx="50">
                  <c:v>258.12751286372651</c:v>
                </c:pt>
                <c:pt idx="51">
                  <c:v>253.35402019746516</c:v>
                </c:pt>
                <c:pt idx="52">
                  <c:v>248.75505244629659</c:v>
                </c:pt>
                <c:pt idx="53">
                  <c:v>244.32121022352055</c:v>
                </c:pt>
                <c:pt idx="54">
                  <c:v>240.04375720252227</c:v>
                </c:pt>
                <c:pt idx="55">
                  <c:v>235.91456266228909</c:v>
                </c:pt>
                <c:pt idx="56">
                  <c:v>231.92604990530967</c:v>
                </c:pt>
                <c:pt idx="57">
                  <c:v>228.07114985933745</c:v>
                </c:pt>
                <c:pt idx="58">
                  <c:v>224.34325926523704</c:v>
                </c:pt>
                <c:pt idx="59">
                  <c:v>220.73620293064033</c:v>
                </c:pt>
                <c:pt idx="60">
                  <c:v>217.24419959551605</c:v>
                </c:pt>
                <c:pt idx="61">
                  <c:v>213.86183101275699</c:v>
                </c:pt>
                <c:pt idx="62">
                  <c:v>210.58401389596526</c:v>
                </c:pt>
                <c:pt idx="63">
                  <c:v>207.40597442896319</c:v>
                </c:pt>
                <c:pt idx="64">
                  <c:v>204.32322506819628</c:v>
                </c:pt>
                <c:pt idx="65">
                  <c:v>201.33154340095973</c:v>
                </c:pt>
                <c:pt idx="66">
                  <c:v>198.4269528499849</c:v>
                </c:pt>
                <c:pt idx="67">
                  <c:v>195.60570503896437</c:v>
                </c:pt>
                <c:pt idx="68">
                  <c:v>192.8642636545724</c:v>
                </c:pt>
                <c:pt idx="69">
                  <c:v>190.19928965888562</c:v>
                </c:pt>
                <c:pt idx="70">
                  <c:v>187.60762772218555</c:v>
                </c:pt>
                <c:pt idx="71">
                  <c:v>185.08629376023586</c:v>
                </c:pt>
                <c:pt idx="72">
                  <c:v>182.63246347253965</c:v>
                </c:pt>
                <c:pt idx="73">
                  <c:v>180.24346178902127</c:v>
                </c:pt>
                <c:pt idx="74">
                  <c:v>177.91675314222667</c:v>
                </c:pt>
                <c:pt idx="75">
                  <c:v>175.6499324906768</c:v>
                </c:pt>
                <c:pt idx="76">
                  <c:v>173.44071702656302</c:v>
                </c:pt>
                <c:pt idx="77">
                  <c:v>171.2869385076819</c:v>
                </c:pt>
                <c:pt idx="78">
                  <c:v>169.18653615946567</c:v>
                </c:pt>
                <c:pt idx="79">
                  <c:v>167.13755009826284</c:v>
                </c:pt>
                <c:pt idx="80">
                  <c:v>165.13811523175173</c:v>
                </c:pt>
                <c:pt idx="81">
                  <c:v>163.18645559658401</c:v>
                </c:pt>
                <c:pt idx="82">
                  <c:v>161.28087909712528</c:v>
                </c:pt>
                <c:pt idx="83">
                  <c:v>159.41977261253166</c:v>
                </c:pt>
                <c:pt idx="84">
                  <c:v>157.6015974424256</c:v>
                </c:pt>
                <c:pt idx="85">
                  <c:v>155.82488506414447</c:v>
                </c:pt>
                <c:pt idx="86">
                  <c:v>154.08823317697494</c:v>
                </c:pt>
                <c:pt idx="87">
                  <c:v>152.39030201097813</c:v>
                </c:pt>
                <c:pt idx="88">
                  <c:v>150.72981087998585</c:v>
                </c:pt>
                <c:pt idx="89">
                  <c:v>149.10553496012835</c:v>
                </c:pt>
                <c:pt idx="90">
                  <c:v>147.51630227686624</c:v>
                </c:pt>
                <c:pt idx="91">
                  <c:v>145.96099088494722</c:v>
                </c:pt>
                <c:pt idx="92">
                  <c:v>144.43852622703079</c:v>
                </c:pt>
                <c:pt idx="93">
                  <c:v>142.94787865790977</c:v>
                </c:pt>
                <c:pt idx="94">
                  <c:v>141.48806112234396</c:v>
                </c:pt>
                <c:pt idx="95">
                  <c:v>140.05812697549882</c:v>
                </c:pt>
                <c:pt idx="96">
                  <c:v>138.65716793587632</c:v>
                </c:pt>
                <c:pt idx="97">
                  <c:v>137.28431216143551</c:v>
                </c:pt>
                <c:pt idx="98">
                  <c:v>135.93872244034034</c:v>
                </c:pt>
                <c:pt idx="99">
                  <c:v>134.61959448844425</c:v>
                </c:pt>
                <c:pt idx="100">
                  <c:v>133.32615534623773</c:v>
                </c:pt>
              </c:numCache>
            </c:numRef>
          </c:val>
          <c:smooth val="0"/>
          <c:extLst>
            <c:ext xmlns:c16="http://schemas.microsoft.com/office/drawing/2014/chart" uri="{C3380CC4-5D6E-409C-BE32-E72D297353CC}">
              <c16:uniqueId val="{0000000A-DE77-4B43-A489-D4421C0BE99A}"/>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11.428097574347452</c:v>
                </c:pt>
                <c:pt idx="2">
                  <c:v>22.856195148694905</c:v>
                </c:pt>
                <c:pt idx="3">
                  <c:v>34.284292723042356</c:v>
                </c:pt>
                <c:pt idx="4">
                  <c:v>45.71239029738981</c:v>
                </c:pt>
                <c:pt idx="5">
                  <c:v>57.140487871737257</c:v>
                </c:pt>
                <c:pt idx="6">
                  <c:v>68.568585446084711</c:v>
                </c:pt>
                <c:pt idx="7">
                  <c:v>79.996683020432158</c:v>
                </c:pt>
                <c:pt idx="8">
                  <c:v>91.424780594779619</c:v>
                </c:pt>
                <c:pt idx="9">
                  <c:v>102.85287816912705</c:v>
                </c:pt>
                <c:pt idx="10">
                  <c:v>114.28097574347451</c:v>
                </c:pt>
                <c:pt idx="11">
                  <c:v>125.70907331782196</c:v>
                </c:pt>
                <c:pt idx="12">
                  <c:v>137.13717089216942</c:v>
                </c:pt>
                <c:pt idx="13">
                  <c:v>148.56526846651687</c:v>
                </c:pt>
                <c:pt idx="14">
                  <c:v>159.99336604086432</c:v>
                </c:pt>
                <c:pt idx="15">
                  <c:v>171.42146361521176</c:v>
                </c:pt>
                <c:pt idx="16">
                  <c:v>182.84956118955924</c:v>
                </c:pt>
                <c:pt idx="17">
                  <c:v>194.27765876390671</c:v>
                </c:pt>
                <c:pt idx="18">
                  <c:v>205.7057563382541</c:v>
                </c:pt>
                <c:pt idx="19">
                  <c:v>217.13385391260158</c:v>
                </c:pt>
                <c:pt idx="20">
                  <c:v>228.56195148694903</c:v>
                </c:pt>
                <c:pt idx="21">
                  <c:v>239.99004906129645</c:v>
                </c:pt>
                <c:pt idx="22">
                  <c:v>251.41814663564392</c:v>
                </c:pt>
                <c:pt idx="23">
                  <c:v>262.84624420999143</c:v>
                </c:pt>
                <c:pt idx="24">
                  <c:v>274.27434178433884</c:v>
                </c:pt>
                <c:pt idx="25">
                  <c:v>285.70243935868626</c:v>
                </c:pt>
                <c:pt idx="26">
                  <c:v>297.13053693303374</c:v>
                </c:pt>
                <c:pt idx="27">
                  <c:v>308.55863450738116</c:v>
                </c:pt>
                <c:pt idx="28">
                  <c:v>319.98673208172863</c:v>
                </c:pt>
                <c:pt idx="29">
                  <c:v>331.41482965607605</c:v>
                </c:pt>
                <c:pt idx="30">
                  <c:v>342.84292723042353</c:v>
                </c:pt>
                <c:pt idx="31">
                  <c:v>350</c:v>
                </c:pt>
                <c:pt idx="32">
                  <c:v>350</c:v>
                </c:pt>
                <c:pt idx="33">
                  <c:v>350</c:v>
                </c:pt>
                <c:pt idx="34">
                  <c:v>350</c:v>
                </c:pt>
                <c:pt idx="35">
                  <c:v>350</c:v>
                </c:pt>
                <c:pt idx="36">
                  <c:v>350</c:v>
                </c:pt>
                <c:pt idx="37">
                  <c:v>350</c:v>
                </c:pt>
                <c:pt idx="38">
                  <c:v>347.29031336183277</c:v>
                </c:pt>
                <c:pt idx="39">
                  <c:v>339.02193511536296</c:v>
                </c:pt>
                <c:pt idx="40">
                  <c:v>331.14710888171953</c:v>
                </c:pt>
                <c:pt idx="41">
                  <c:v>323.6316884370118</c:v>
                </c:pt>
                <c:pt idx="42">
                  <c:v>316.45161802002781</c:v>
                </c:pt>
                <c:pt idx="43">
                  <c:v>309.58494181966313</c:v>
                </c:pt>
                <c:pt idx="44">
                  <c:v>303.01157972471009</c:v>
                </c:pt>
                <c:pt idx="45">
                  <c:v>296.71313120950413</c:v>
                </c:pt>
                <c:pt idx="46">
                  <c:v>290.67270332132875</c:v>
                </c:pt>
                <c:pt idx="47">
                  <c:v>284.87475938325167</c:v>
                </c:pt>
                <c:pt idx="48">
                  <c:v>279.30498555911231</c:v>
                </c:pt>
                <c:pt idx="49">
                  <c:v>273.9501728678668</c:v>
                </c:pt>
                <c:pt idx="50">
                  <c:v>268.79811259991232</c:v>
                </c:pt>
                <c:pt idx="51">
                  <c:v>263.83750339234251</c:v>
                </c:pt>
                <c:pt idx="52">
                  <c:v>259.05786847443676</c:v>
                </c:pt>
                <c:pt idx="53">
                  <c:v>254.44948180804505</c:v>
                </c:pt>
                <c:pt idx="54">
                  <c:v>250.00330202707954</c:v>
                </c:pt>
                <c:pt idx="55">
                  <c:v>245.71091323193824</c:v>
                </c:pt>
                <c:pt idx="56">
                  <c:v>241.5644718230981</c:v>
                </c:pt>
                <c:pt idx="57">
                  <c:v>237.55665866720429</c:v>
                </c:pt>
                <c:pt idx="58">
                  <c:v>233.68063598193595</c:v>
                </c:pt>
                <c:pt idx="59">
                  <c:v>229.93000840534623</c:v>
                </c:pt>
                <c:pt idx="60">
                  <c:v>226.29878778341359</c:v>
                </c:pt>
                <c:pt idx="61">
                  <c:v>222.7813612679891</c:v>
                </c:pt>
                <c:pt idx="62">
                  <c:v>219.37246236765296</c:v>
                </c:pt>
                <c:pt idx="63">
                  <c:v>216.06714463744603</c:v>
                </c:pt>
                <c:pt idx="64">
                  <c:v>212.86075773103443</c:v>
                </c:pt>
                <c:pt idx="65">
                  <c:v>209.74892557147845</c:v>
                </c:pt>
                <c:pt idx="66">
                  <c:v>206.7275264251152</c:v>
                </c:pt>
                <c:pt idx="67">
                  <c:v>203.79267468775902</c:v>
                </c:pt>
                <c:pt idx="68">
                  <c:v>200.94070421397345</c:v>
                </c:pt>
                <c:pt idx="69">
                  <c:v>198.16815303902263</c:v>
                </c:pt>
                <c:pt idx="70">
                  <c:v>195.47174935962721</c:v>
                </c:pt>
                <c:pt idx="71">
                  <c:v>192.84839865416504</c:v>
                </c:pt>
                <c:pt idx="72">
                  <c:v>190.29517183571159</c:v>
                </c:pt>
                <c:pt idx="73">
                  <c:v>187.80929434256774</c:v>
                </c:pt>
                <c:pt idx="74">
                  <c:v>185.38813608085047</c:v>
                </c:pt>
                <c:pt idx="75">
                  <c:v>183.0292021425044</c:v>
                </c:pt>
                <c:pt idx="76">
                  <c:v>180.73012422986972</c:v>
                </c:pt>
                <c:pt idx="77">
                  <c:v>178.48865272484576</c:v>
                </c:pt>
                <c:pt idx="78">
                  <c:v>176.30264934681989</c:v>
                </c:pt>
                <c:pt idx="79">
                  <c:v>174.17008034899317</c:v>
                </c:pt>
                <c:pt idx="80">
                  <c:v>172.0890102075974</c:v>
                </c:pt>
                <c:pt idx="81">
                  <c:v>170.05759576284143</c:v>
                </c:pt>
                <c:pt idx="82">
                  <c:v>168.07408077430799</c:v>
                </c:pt>
                <c:pt idx="83">
                  <c:v>166.13679085699624</c:v>
                </c:pt>
                <c:pt idx="84">
                  <c:v>164.24412876732012</c:v>
                </c:pt>
                <c:pt idx="85">
                  <c:v>162.39457001116918</c:v>
                </c:pt>
                <c:pt idx="86">
                  <c:v>160.58665874864991</c:v>
                </c:pt>
                <c:pt idx="87">
                  <c:v>158.81900397238655</c:v>
                </c:pt>
                <c:pt idx="88">
                  <c:v>157.09027593829671</c:v>
                </c:pt>
                <c:pt idx="89">
                  <c:v>155.39920282959557</c:v>
                </c:pt>
                <c:pt idx="90">
                  <c:v>153.7445676364386</c:v>
                </c:pt>
                <c:pt idx="91">
                  <c:v>152.12520523511509</c:v>
                </c:pt>
                <c:pt idx="92">
                  <c:v>150.53999965206083</c:v>
                </c:pt>
                <c:pt idx="93">
                  <c:v>148.98788149918798</c:v>
                </c:pt>
                <c:pt idx="94">
                  <c:v>147.46782556814725</c:v>
                </c:pt>
                <c:pt idx="95">
                  <c:v>145.97884857214834</c:v>
                </c:pt>
                <c:pt idx="96">
                  <c:v>144.52000702488675</c:v>
                </c:pt>
                <c:pt idx="97">
                  <c:v>143.09039524696323</c:v>
                </c:pt>
                <c:pt idx="98">
                  <c:v>141.68914349094229</c:v>
                </c:pt>
                <c:pt idx="99">
                  <c:v>140.31541617689518</c:v>
                </c:pt>
                <c:pt idx="100">
                  <c:v>138.96841023090536</c:v>
                </c:pt>
              </c:numCache>
            </c:numRef>
          </c:val>
          <c:smooth val="0"/>
          <c:extLst>
            <c:ext xmlns:c16="http://schemas.microsoft.com/office/drawing/2014/chart" uri="{C3380CC4-5D6E-409C-BE32-E72D297353CC}">
              <c16:uniqueId val="{0000000B-DE77-4B43-A489-D4421C0BE99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DE77-4B43-A489-D4421C0BE99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DE77-4B43-A489-D4421C0BE99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DE77-4B43-A489-D4421C0BE99A}"/>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2.5000008807116725E-3</c:v>
                </c:pt>
                <c:pt idx="1">
                  <c:v>2.8595797468833834E-3</c:v>
                </c:pt>
                <c:pt idx="2">
                  <c:v>5.7191594937667668E-3</c:v>
                </c:pt>
                <c:pt idx="3">
                  <c:v>8.5787392406501493E-3</c:v>
                </c:pt>
                <c:pt idx="4">
                  <c:v>1.1438318987533534E-2</c:v>
                </c:pt>
                <c:pt idx="5">
                  <c:v>1.4297898734416916E-2</c:v>
                </c:pt>
                <c:pt idx="6">
                  <c:v>1.7157478481300299E-2</c:v>
                </c:pt>
                <c:pt idx="7">
                  <c:v>2.0017058228183688E-2</c:v>
                </c:pt>
                <c:pt idx="8">
                  <c:v>2.2876637975067067E-2</c:v>
                </c:pt>
                <c:pt idx="9">
                  <c:v>2.5736217721950453E-2</c:v>
                </c:pt>
                <c:pt idx="10">
                  <c:v>2.8595797468833832E-2</c:v>
                </c:pt>
                <c:pt idx="11">
                  <c:v>3.1455377215717222E-2</c:v>
                </c:pt>
                <c:pt idx="12">
                  <c:v>3.4314956962600597E-2</c:v>
                </c:pt>
                <c:pt idx="13">
                  <c:v>3.7174536709483987E-2</c:v>
                </c:pt>
                <c:pt idx="14">
                  <c:v>4.0034116456367376E-2</c:v>
                </c:pt>
                <c:pt idx="15">
                  <c:v>4.2893696203250752E-2</c:v>
                </c:pt>
                <c:pt idx="16">
                  <c:v>4.5753275950134134E-2</c:v>
                </c:pt>
                <c:pt idx="17">
                  <c:v>4.8612855697017524E-2</c:v>
                </c:pt>
                <c:pt idx="18">
                  <c:v>5.1472435443900906E-2</c:v>
                </c:pt>
                <c:pt idx="19">
                  <c:v>5.4332015190784282E-2</c:v>
                </c:pt>
                <c:pt idx="20">
                  <c:v>5.7191594937667664E-2</c:v>
                </c:pt>
                <c:pt idx="21">
                  <c:v>6.0051174684551054E-2</c:v>
                </c:pt>
                <c:pt idx="22">
                  <c:v>6.2910754431434443E-2</c:v>
                </c:pt>
                <c:pt idx="23">
                  <c:v>6.5770334178317832E-2</c:v>
                </c:pt>
                <c:pt idx="24">
                  <c:v>6.8629913925201194E-2</c:v>
                </c:pt>
                <c:pt idx="25">
                  <c:v>7.1489493672084597E-2</c:v>
                </c:pt>
                <c:pt idx="26">
                  <c:v>7.4349073418967973E-2</c:v>
                </c:pt>
                <c:pt idx="27">
                  <c:v>7.8303866069973138E-2</c:v>
                </c:pt>
                <c:pt idx="28">
                  <c:v>8.269411536834087E-2</c:v>
                </c:pt>
                <c:pt idx="29">
                  <c:v>8.7163478866466026E-2</c:v>
                </c:pt>
                <c:pt idx="30">
                  <c:v>9.1710580139960335E-2</c:v>
                </c:pt>
                <c:pt idx="31">
                  <c:v>9.5163915317655015E-2</c:v>
                </c:pt>
                <c:pt idx="32">
                  <c:v>9.6687875039165011E-2</c:v>
                </c:pt>
                <c:pt idx="33">
                  <c:v>9.8188241380845406E-2</c:v>
                </c:pt>
                <c:pt idx="34">
                  <c:v>9.9666079015165304E-2</c:v>
                </c:pt>
                <c:pt idx="35">
                  <c:v>0.1011223748711311</c:v>
                </c:pt>
                <c:pt idx="36">
                  <c:v>0.10255804585718102</c:v>
                </c:pt>
                <c:pt idx="37">
                  <c:v>0.10161691403714769</c:v>
                </c:pt>
                <c:pt idx="38">
                  <c:v>0.10046642378958864</c:v>
                </c:pt>
                <c:pt idx="39">
                  <c:v>9.9354528279136961E-2</c:v>
                </c:pt>
                <c:pt idx="40">
                  <c:v>9.8279142550035017E-2</c:v>
                </c:pt>
                <c:pt idx="41">
                  <c:v>9.7238334359027151E-2</c:v>
                </c:pt>
                <c:pt idx="42">
                  <c:v>9.6230310260656135E-2</c:v>
                </c:pt>
                <c:pt idx="43">
                  <c:v>9.5253403189159924E-2</c:v>
                </c:pt>
                <c:pt idx="44">
                  <c:v>9.4306061353772605E-2</c:v>
                </c:pt>
                <c:pt idx="45">
                  <c:v>9.3386838289038349E-2</c:v>
                </c:pt>
                <c:pt idx="46">
                  <c:v>0.10063047445817067</c:v>
                </c:pt>
                <c:pt idx="47">
                  <c:v>0.1007584186966755</c:v>
                </c:pt>
                <c:pt idx="48">
                  <c:v>0.10088169061148257</c:v>
                </c:pt>
                <c:pt idx="49">
                  <c:v>0.10100056132221041</c:v>
                </c:pt>
                <c:pt idx="50">
                  <c:v>0.10111528137134029</c:v>
                </c:pt>
                <c:pt idx="51">
                  <c:v>0.10122608264004121</c:v>
                </c:pt>
                <c:pt idx="52">
                  <c:v>0.1013331800538611</c:v>
                </c:pt>
                <c:pt idx="53">
                  <c:v>0.10143677310469139</c:v>
                </c:pt>
                <c:pt idx="54">
                  <c:v>0.10153704721168572</c:v>
                </c:pt>
                <c:pt idx="55">
                  <c:v>0.10163417494066969</c:v>
                </c:pt>
                <c:pt idx="56">
                  <c:v>0.10172831709891535</c:v>
                </c:pt>
                <c:pt idx="57">
                  <c:v>0.10181962371989424</c:v>
                </c:pt>
                <c:pt idx="58">
                  <c:v>0.10190823495069506</c:v>
                </c:pt>
                <c:pt idx="59">
                  <c:v>0.10199428185314938</c:v>
                </c:pt>
                <c:pt idx="60">
                  <c:v>0.10207788712829834</c:v>
                </c:pt>
                <c:pt idx="61">
                  <c:v>0.10215916577262385</c:v>
                </c:pt>
                <c:pt idx="62">
                  <c:v>0.10223822567342675</c:v>
                </c:pt>
                <c:pt idx="63">
                  <c:v>0.10231516814983502</c:v>
                </c:pt>
                <c:pt idx="64">
                  <c:v>0.10239008844514777</c:v>
                </c:pt>
                <c:pt idx="65">
                  <c:v>0.10246307617554698</c:v>
                </c:pt>
                <c:pt idx="66">
                  <c:v>0.10253421573962145</c:v>
                </c:pt>
                <c:pt idx="67">
                  <c:v>0.1026035866926399</c:v>
                </c:pt>
                <c:pt idx="68">
                  <c:v>0.10267126408906224</c:v>
                </c:pt>
                <c:pt idx="69">
                  <c:v>0.10273731879638988</c:v>
                </c:pt>
                <c:pt idx="70">
                  <c:v>0.10280181778311497</c:v>
                </c:pt>
                <c:pt idx="71">
                  <c:v>0.10286482438322843</c:v>
                </c:pt>
                <c:pt idx="72">
                  <c:v>0.10292639853948293</c:v>
                </c:pt>
                <c:pt idx="73">
                  <c:v>0.10298659702737598</c:v>
                </c:pt>
                <c:pt idx="74">
                  <c:v>0.10304547366161164</c:v>
                </c:pt>
                <c:pt idx="75">
                  <c:v>0.10310307948662058</c:v>
                </c:pt>
                <c:pt idx="76">
                  <c:v>0.10315946295255514</c:v>
                </c:pt>
                <c:pt idx="77">
                  <c:v>0.10321467007803584</c:v>
                </c:pt>
                <c:pt idx="78">
                  <c:v>0.10326874460079802</c:v>
                </c:pt>
                <c:pt idx="79">
                  <c:v>0.10332172811727583</c:v>
                </c:pt>
                <c:pt idx="80">
                  <c:v>0.10337366021205931</c:v>
                </c:pt>
                <c:pt idx="81">
                  <c:v>0.10342457857807179</c:v>
                </c:pt>
                <c:pt idx="82">
                  <c:v>0.10347451912823458</c:v>
                </c:pt>
                <c:pt idx="83">
                  <c:v>0.10352351609931378</c:v>
                </c:pt>
                <c:pt idx="84">
                  <c:v>0.1035716021485812</c:v>
                </c:pt>
                <c:pt idx="85">
                  <c:v>0.10361880844386209</c:v>
                </c:pt>
                <c:pt idx="86">
                  <c:v>0.10366516474749186</c:v>
                </c:pt>
                <c:pt idx="87">
                  <c:v>0.10371069949465755</c:v>
                </c:pt>
                <c:pt idx="88">
                  <c:v>0.10375543986655661</c:v>
                </c:pt>
                <c:pt idx="89">
                  <c:v>0.1037994118587692</c:v>
                </c:pt>
                <c:pt idx="90">
                  <c:v>0.10384264034520538</c:v>
                </c:pt>
                <c:pt idx="91">
                  <c:v>0.10388514913795717</c:v>
                </c:pt>
                <c:pt idx="92">
                  <c:v>0.1039269610433592</c:v>
                </c:pt>
                <c:pt idx="93">
                  <c:v>0.10396809791453436</c:v>
                </c:pt>
                <c:pt idx="94">
                  <c:v>0.1040085807006792</c:v>
                </c:pt>
                <c:pt idx="95">
                  <c:v>0.10404842949332287</c:v>
                </c:pt>
                <c:pt idx="96">
                  <c:v>0.10408766356977385</c:v>
                </c:pt>
                <c:pt idx="97">
                  <c:v>0.10412630143395242</c:v>
                </c:pt>
                <c:pt idx="98">
                  <c:v>0.10416436085478997</c:v>
                </c:pt>
                <c:pt idx="99">
                  <c:v>0.1042018589023629</c:v>
                </c:pt>
                <c:pt idx="100">
                  <c:v>0.1042388119819161</c:v>
                </c:pt>
              </c:numCache>
            </c:numRef>
          </c:val>
          <c:smooth val="0"/>
          <c:extLst>
            <c:ext xmlns:c16="http://schemas.microsoft.com/office/drawing/2014/chart" uri="{C3380CC4-5D6E-409C-BE32-E72D297353CC}">
              <c16:uniqueId val="{0000000F-DE77-4B43-A489-D4421C0BE99A}"/>
            </c:ext>
          </c:extLst>
        </c:ser>
        <c:ser>
          <c:idx val="7"/>
          <c:order val="7"/>
          <c:spPr>
            <a:ln w="25400">
              <a:solidFill>
                <a:srgbClr val="00B050"/>
              </a:solidFill>
              <a:prstDash val="dash"/>
            </a:ln>
          </c:spPr>
          <c:marker>
            <c:symbol val="none"/>
          </c:marker>
          <c:val>
            <c:numRef>
              <c:f>'Calculations - Dual'!$AU$110:$AU$210</c:f>
              <c:numCache>
                <c:formatCode>0.000</c:formatCode>
                <c:ptCount val="101"/>
                <c:pt idx="0">
                  <c:v>1.3340318218830163E-2</c:v>
                </c:pt>
                <c:pt idx="1">
                  <c:v>1.5304005285722091E-2</c:v>
                </c:pt>
                <c:pt idx="2">
                  <c:v>4.5912015857166269E-2</c:v>
                </c:pt>
                <c:pt idx="3">
                  <c:v>4.5912015857166269E-2</c:v>
                </c:pt>
                <c:pt idx="4">
                  <c:v>6.1216021142888363E-2</c:v>
                </c:pt>
                <c:pt idx="5">
                  <c:v>7.6520026428610458E-2</c:v>
                </c:pt>
                <c:pt idx="6">
                  <c:v>9.1824031714332538E-2</c:v>
                </c:pt>
                <c:pt idx="7">
                  <c:v>0.10712803700005467</c:v>
                </c:pt>
                <c:pt idx="8">
                  <c:v>0.12243204228577673</c:v>
                </c:pt>
                <c:pt idx="9">
                  <c:v>0.13773604757149885</c:v>
                </c:pt>
                <c:pt idx="10">
                  <c:v>0.15304005285722092</c:v>
                </c:pt>
                <c:pt idx="11">
                  <c:v>0.16834405814294304</c:v>
                </c:pt>
                <c:pt idx="12">
                  <c:v>0.18364806342866508</c:v>
                </c:pt>
                <c:pt idx="13">
                  <c:v>0.19895206871438723</c:v>
                </c:pt>
                <c:pt idx="14">
                  <c:v>0.21425607400010935</c:v>
                </c:pt>
                <c:pt idx="15">
                  <c:v>0.22956007928583139</c:v>
                </c:pt>
                <c:pt idx="16">
                  <c:v>0.24486408457155345</c:v>
                </c:pt>
                <c:pt idx="17">
                  <c:v>0.26016808985727558</c:v>
                </c:pt>
                <c:pt idx="18">
                  <c:v>0.2754720951429977</c:v>
                </c:pt>
                <c:pt idx="19">
                  <c:v>0.29077610042871976</c:v>
                </c:pt>
                <c:pt idx="20">
                  <c:v>0.30608010571444183</c:v>
                </c:pt>
                <c:pt idx="21">
                  <c:v>0.32138411100016395</c:v>
                </c:pt>
                <c:pt idx="22">
                  <c:v>0.33963323967863551</c:v>
                </c:pt>
                <c:pt idx="23">
                  <c:v>0.37121071030991365</c:v>
                </c:pt>
                <c:pt idx="24">
                  <c:v>0.40421417401502335</c:v>
                </c:pt>
                <c:pt idx="25">
                  <c:v>0.43883025558050681</c:v>
                </c:pt>
                <c:pt idx="26">
                  <c:v>0.37145097172141589</c:v>
                </c:pt>
                <c:pt idx="27">
                  <c:v>0.37215898148859378</c:v>
                </c:pt>
                <c:pt idx="28">
                  <c:v>0.37282340419309495</c:v>
                </c:pt>
                <c:pt idx="29">
                  <c:v>0.3734485608269425</c:v>
                </c:pt>
                <c:pt idx="30">
                  <c:v>0.3740382196248519</c:v>
                </c:pt>
                <c:pt idx="31">
                  <c:v>0.37459568171357854</c:v>
                </c:pt>
                <c:pt idx="32">
                  <c:v>0.37512385131439674</c:v>
                </c:pt>
                <c:pt idx="33">
                  <c:v>0.37562529365401792</c:v>
                </c:pt>
                <c:pt idx="34">
                  <c:v>0.3761022830235341</c:v>
                </c:pt>
                <c:pt idx="35">
                  <c:v>0.3765568428868652</c:v>
                </c:pt>
                <c:pt idx="36">
                  <c:v>0.37699077953201043</c:v>
                </c:pt>
                <c:pt idx="37">
                  <c:v>0.37740571044624371</c:v>
                </c:pt>
                <c:pt idx="38">
                  <c:v>0.37780308835575421</c:v>
                </c:pt>
                <c:pt idx="39">
                  <c:v>0.37818422168339733</c:v>
                </c:pt>
                <c:pt idx="40">
                  <c:v>0.37855029203211393</c:v>
                </c:pt>
                <c:pt idx="41">
                  <c:v>0.37890236918659204</c:v>
                </c:pt>
                <c:pt idx="42">
                  <c:v>0.37924142403466932</c:v>
                </c:pt>
                <c:pt idx="43">
                  <c:v>0.37956833973741655</c:v>
                </c:pt>
                <c:pt idx="44">
                  <c:v>0.37988392141871585</c:v>
                </c:pt>
                <c:pt idx="45">
                  <c:v>0.38018890459831756</c:v>
                </c:pt>
                <c:pt idx="46">
                  <c:v>0.38048396255445505</c:v>
                </c:pt>
                <c:pt idx="47">
                  <c:v>0.38076971277125438</c:v>
                </c:pt>
                <c:pt idx="48">
                  <c:v>0.38104672260097011</c:v>
                </c:pt>
                <c:pt idx="49">
                  <c:v>0.3813155142503824</c:v>
                </c:pt>
                <c:pt idx="50">
                  <c:v>0.38157656918363436</c:v>
                </c:pt>
                <c:pt idx="51">
                  <c:v>0.38183033201965982</c:v>
                </c:pt>
                <c:pt idx="52">
                  <c:v>0.3820772139906175</c:v>
                </c:pt>
                <c:pt idx="53">
                  <c:v>0.38231759601795801</c:v>
                </c:pt>
                <c:pt idx="54">
                  <c:v>0.38255183145454924</c:v>
                </c:pt>
                <c:pt idx="55">
                  <c:v>0.38278024853440684</c:v>
                </c:pt>
                <c:pt idx="56">
                  <c:v>0.38300315256576656</c:v>
                </c:pt>
                <c:pt idx="57">
                  <c:v>0.38322082789833356</c:v>
                </c:pt>
                <c:pt idx="58">
                  <c:v>0.38343353969137933</c:v>
                </c:pt>
                <c:pt idx="59">
                  <c:v>0.38364153550581631</c:v>
                </c:pt>
                <c:pt idx="60">
                  <c:v>0.38384504674036263</c:v>
                </c:pt>
                <c:pt idx="61">
                  <c:v>0.38404428992932155</c:v>
                </c:pt>
                <c:pt idx="62">
                  <c:v>0.38423946791728808</c:v>
                </c:pt>
                <c:pt idx="63">
                  <c:v>0.38443077092418815</c:v>
                </c:pt>
                <c:pt idx="64">
                  <c:v>0.38461837751240935</c:v>
                </c:pt>
                <c:pt idx="65">
                  <c:v>0.38480245546636821</c:v>
                </c:pt>
                <c:pt idx="66">
                  <c:v>0.38498316259362469</c:v>
                </c:pt>
                <c:pt idx="67">
                  <c:v>0.38516064745558787</c:v>
                </c:pt>
                <c:pt idx="68">
                  <c:v>0.38533505003492852</c:v>
                </c:pt>
                <c:pt idx="69">
                  <c:v>0.3855065023460042</c:v>
                </c:pt>
                <c:pt idx="70">
                  <c:v>0.38567512899389245</c:v>
                </c:pt>
                <c:pt idx="71">
                  <c:v>0.38584104768701222</c:v>
                </c:pt>
                <c:pt idx="72">
                  <c:v>0.38600436970776503</c:v>
                </c:pt>
                <c:pt idx="73">
                  <c:v>0.38616520034515611</c:v>
                </c:pt>
                <c:pt idx="74">
                  <c:v>0.38632363929292746</c:v>
                </c:pt>
                <c:pt idx="75">
                  <c:v>0.38647978101637098</c:v>
                </c:pt>
                <c:pt idx="76">
                  <c:v>0.38663371509065764</c:v>
                </c:pt>
                <c:pt idx="77">
                  <c:v>0.386785526513232</c:v>
                </c:pt>
                <c:pt idx="78">
                  <c:v>0.38693529599255855</c:v>
                </c:pt>
                <c:pt idx="79">
                  <c:v>0.38708310021528669</c:v>
                </c:pt>
                <c:pt idx="80">
                  <c:v>0.38722901209369076</c:v>
                </c:pt>
                <c:pt idx="81">
                  <c:v>0.38737310099506223</c:v>
                </c:pt>
                <c:pt idx="82">
                  <c:v>0.38751543295457525</c:v>
                </c:pt>
                <c:pt idx="83">
                  <c:v>0.38765607087299403</c:v>
                </c:pt>
                <c:pt idx="84">
                  <c:v>0.38779507470046892</c:v>
                </c:pt>
                <c:pt idx="85">
                  <c:v>0.38793250160755055</c:v>
                </c:pt>
                <c:pt idx="86">
                  <c:v>0.38806840614444421</c:v>
                </c:pt>
                <c:pt idx="87">
                  <c:v>0.38820284038944047</c:v>
                </c:pt>
                <c:pt idx="88">
                  <c:v>0.3883358540873692</c:v>
                </c:pt>
                <c:pt idx="89">
                  <c:v>0.38846749477885012</c:v>
                </c:pt>
                <c:pt idx="90">
                  <c:v>0.38859780792104698</c:v>
                </c:pt>
                <c:pt idx="91">
                  <c:v>0.38872683700056926</c:v>
                </c:pt>
                <c:pt idx="92">
                  <c:v>0.38885462363911083</c:v>
                </c:pt>
                <c:pt idx="93">
                  <c:v>0.38898120769236511</c:v>
                </c:pt>
                <c:pt idx="94">
                  <c:v>0.38910662734271001</c:v>
                </c:pt>
                <c:pt idx="95">
                  <c:v>0.38923091918611696</c:v>
                </c:pt>
                <c:pt idx="96">
                  <c:v>0.3893541183136987</c:v>
                </c:pt>
                <c:pt idx="97">
                  <c:v>0.38947625838827771</c:v>
                </c:pt>
                <c:pt idx="98">
                  <c:v>0.38959737171632691</c:v>
                </c:pt>
                <c:pt idx="99">
                  <c:v>0.38971748931560551</c:v>
                </c:pt>
                <c:pt idx="100">
                  <c:v>0.38983664097878806</c:v>
                </c:pt>
              </c:numCache>
            </c:numRef>
          </c:val>
          <c:smooth val="0"/>
          <c:extLst>
            <c:ext xmlns:c16="http://schemas.microsoft.com/office/drawing/2014/chart" uri="{C3380CC4-5D6E-409C-BE32-E72D297353CC}">
              <c16:uniqueId val="{00000010-DE77-4B43-A489-D4421C0BE99A}"/>
            </c:ext>
          </c:extLst>
        </c:ser>
        <c:ser>
          <c:idx val="8"/>
          <c:order val="8"/>
          <c:spPr>
            <a:ln w="25400">
              <a:solidFill>
                <a:srgbClr val="FF0000"/>
              </a:solidFill>
            </a:ln>
          </c:spPr>
          <c:marker>
            <c:symbol val="none"/>
          </c:marker>
          <c:val>
            <c:numRef>
              <c:f>'Calculations - Dual'!$AU$216:$AU$316</c:f>
              <c:numCache>
                <c:formatCode>0.000</c:formatCode>
                <c:ptCount val="101"/>
                <c:pt idx="0">
                  <c:v>2.0001523973290627E-3</c:v>
                </c:pt>
                <c:pt idx="1">
                  <c:v>2.2870272982221944E-3</c:v>
                </c:pt>
                <c:pt idx="2">
                  <c:v>4.5740545964443888E-3</c:v>
                </c:pt>
                <c:pt idx="3">
                  <c:v>6.8610818946665836E-3</c:v>
                </c:pt>
                <c:pt idx="4">
                  <c:v>9.1481091928887776E-3</c:v>
                </c:pt>
                <c:pt idx="5">
                  <c:v>1.1435136491110973E-2</c:v>
                </c:pt>
                <c:pt idx="6">
                  <c:v>1.3722163789333167E-2</c:v>
                </c:pt>
                <c:pt idx="7">
                  <c:v>1.6009191087555358E-2</c:v>
                </c:pt>
                <c:pt idx="8">
                  <c:v>1.8296218385777555E-2</c:v>
                </c:pt>
                <c:pt idx="9">
                  <c:v>2.0583245683999749E-2</c:v>
                </c:pt>
                <c:pt idx="10">
                  <c:v>2.2870272982221947E-2</c:v>
                </c:pt>
                <c:pt idx="11">
                  <c:v>2.5157300280444141E-2</c:v>
                </c:pt>
                <c:pt idx="12">
                  <c:v>2.7444327578666335E-2</c:v>
                </c:pt>
                <c:pt idx="13">
                  <c:v>2.9731354876888525E-2</c:v>
                </c:pt>
                <c:pt idx="14">
                  <c:v>3.2018382175110716E-2</c:v>
                </c:pt>
                <c:pt idx="15">
                  <c:v>3.4305409473332917E-2</c:v>
                </c:pt>
                <c:pt idx="16">
                  <c:v>3.659243677155511E-2</c:v>
                </c:pt>
                <c:pt idx="17">
                  <c:v>3.8879464069777318E-2</c:v>
                </c:pt>
                <c:pt idx="18">
                  <c:v>4.1166491367999498E-2</c:v>
                </c:pt>
                <c:pt idx="19">
                  <c:v>4.3453518666221692E-2</c:v>
                </c:pt>
                <c:pt idx="20">
                  <c:v>4.5740545964443893E-2</c:v>
                </c:pt>
                <c:pt idx="21">
                  <c:v>4.8027573262666073E-2</c:v>
                </c:pt>
                <c:pt idx="22">
                  <c:v>5.0314600560888281E-2</c:v>
                </c:pt>
                <c:pt idx="23">
                  <c:v>5.2601627859110482E-2</c:v>
                </c:pt>
                <c:pt idx="24">
                  <c:v>5.4888655157332669E-2</c:v>
                </c:pt>
                <c:pt idx="25">
                  <c:v>5.7175682455554863E-2</c:v>
                </c:pt>
                <c:pt idx="26">
                  <c:v>5.946270975377705E-2</c:v>
                </c:pt>
                <c:pt idx="27">
                  <c:v>6.2625663597437126E-2</c:v>
                </c:pt>
                <c:pt idx="28">
                  <c:v>6.6136885832911038E-2</c:v>
                </c:pt>
                <c:pt idx="29">
                  <c:v>6.971138181856433E-2</c:v>
                </c:pt>
                <c:pt idx="30">
                  <c:v>7.3348050721257621E-2</c:v>
                </c:pt>
                <c:pt idx="31">
                  <c:v>7.6117224177250975E-2</c:v>
                </c:pt>
                <c:pt idx="32">
                  <c:v>7.7335942980453737E-2</c:v>
                </c:pt>
                <c:pt idx="33">
                  <c:v>7.8535787064602763E-2</c:v>
                </c:pt>
                <c:pt idx="34">
                  <c:v>7.9717608167904644E-2</c:v>
                </c:pt>
                <c:pt idx="35">
                  <c:v>8.0882195833785545E-2</c:v>
                </c:pt>
                <c:pt idx="36">
                  <c:v>7.7324577572738737E-2</c:v>
                </c:pt>
                <c:pt idx="37">
                  <c:v>7.9470613385205807E-2</c:v>
                </c:pt>
                <c:pt idx="38">
                  <c:v>8.0984701697209019E-2</c:v>
                </c:pt>
                <c:pt idx="39">
                  <c:v>8.1134009892124909E-2</c:v>
                </c:pt>
                <c:pt idx="40">
                  <c:v>8.1277732057122215E-2</c:v>
                </c:pt>
                <c:pt idx="41">
                  <c:v>8.1415219543597969E-2</c:v>
                </c:pt>
                <c:pt idx="42">
                  <c:v>8.1546889660942576E-2</c:v>
                </c:pt>
                <c:pt idx="43">
                  <c:v>8.1673123289481425E-2</c:v>
                </c:pt>
                <c:pt idx="44">
                  <c:v>8.1794268770674722E-2</c:v>
                </c:pt>
                <c:pt idx="45">
                  <c:v>8.1910645309227953E-2</c:v>
                </c:pt>
                <c:pt idx="46">
                  <c:v>8.2022545957095294E-2</c:v>
                </c:pt>
                <c:pt idx="47">
                  <c:v>8.213024023812017E-2</c:v>
                </c:pt>
                <c:pt idx="48">
                  <c:v>8.2233976462810526E-2</c:v>
                </c:pt>
                <c:pt idx="49">
                  <c:v>8.2333983775105229E-2</c:v>
                </c:pt>
                <c:pt idx="50">
                  <c:v>8.2430473966648238E-2</c:v>
                </c:pt>
                <c:pt idx="51">
                  <c:v>8.252364308880876E-2</c:v>
                </c:pt>
                <c:pt idx="52">
                  <c:v>8.2613672888272052E-2</c:v>
                </c:pt>
                <c:pt idx="53">
                  <c:v>8.2700732088325651E-2</c:v>
                </c:pt>
                <c:pt idx="54">
                  <c:v>8.2784977534849633E-2</c:v>
                </c:pt>
                <c:pt idx="55">
                  <c:v>8.2866555223390301E-2</c:v>
                </c:pt>
                <c:pt idx="56">
                  <c:v>8.2945601221469267E-2</c:v>
                </c:pt>
                <c:pt idx="57">
                  <c:v>8.3022242498386134E-2</c:v>
                </c:pt>
                <c:pt idx="58">
                  <c:v>8.3096597673162062E-2</c:v>
                </c:pt>
                <c:pt idx="59">
                  <c:v>8.3168777689892767E-2</c:v>
                </c:pt>
                <c:pt idx="60">
                  <c:v>8.3238886428599362E-2</c:v>
                </c:pt>
                <c:pt idx="61">
                  <c:v>8.3307021258652206E-2</c:v>
                </c:pt>
                <c:pt idx="62">
                  <c:v>8.3373273540968407E-2</c:v>
                </c:pt>
                <c:pt idx="63">
                  <c:v>8.3437729084431658E-2</c:v>
                </c:pt>
                <c:pt idx="64">
                  <c:v>8.3500468561329172E-2</c:v>
                </c:pt>
                <c:pt idx="65">
                  <c:v>8.3561567886036428E-2</c:v>
                </c:pt>
                <c:pt idx="66">
                  <c:v>8.3621098560686946E-2</c:v>
                </c:pt>
                <c:pt idx="67">
                  <c:v>8.3679127991137817E-2</c:v>
                </c:pt>
                <c:pt idx="68">
                  <c:v>8.3735719776166659E-2</c:v>
                </c:pt>
                <c:pt idx="69">
                  <c:v>8.3790933972508821E-2</c:v>
                </c:pt>
                <c:pt idx="70">
                  <c:v>8.3844827338057412E-2</c:v>
                </c:pt>
                <c:pt idx="71">
                  <c:v>8.3897453555296778E-2</c:v>
                </c:pt>
                <c:pt idx="72">
                  <c:v>8.3948863436818538E-2</c:v>
                </c:pt>
                <c:pt idx="73">
                  <c:v>8.399910511457484E-2</c:v>
                </c:pt>
                <c:pt idx="74">
                  <c:v>8.4048224214349876E-2</c:v>
                </c:pt>
                <c:pt idx="75">
                  <c:v>8.4096264016780012E-2</c:v>
                </c:pt>
                <c:pt idx="76">
                  <c:v>8.4143265606116985E-2</c:v>
                </c:pt>
                <c:pt idx="77">
                  <c:v>8.418926800780864E-2</c:v>
                </c:pt>
                <c:pt idx="78">
                  <c:v>8.423430831586623E-2</c:v>
                </c:pt>
                <c:pt idx="79">
                  <c:v>8.4278421810891471E-2</c:v>
                </c:pt>
                <c:pt idx="80">
                  <c:v>8.432164206955392E-2</c:v>
                </c:pt>
                <c:pt idx="81">
                  <c:v>8.436400106623089E-2</c:v>
                </c:pt>
                <c:pt idx="82">
                  <c:v>8.4405529267458451E-2</c:v>
                </c:pt>
                <c:pt idx="83">
                  <c:v>8.4446255719778832E-2</c:v>
                </c:pt>
                <c:pt idx="84">
                  <c:v>8.4486208131516832E-2</c:v>
                </c:pt>
                <c:pt idx="85">
                  <c:v>8.4525412948969536E-2</c:v>
                </c:pt>
                <c:pt idx="86">
                  <c:v>8.4563895427449104E-2</c:v>
                </c:pt>
                <c:pt idx="87">
                  <c:v>8.4601679697580048E-2</c:v>
                </c:pt>
                <c:pt idx="88">
                  <c:v>8.463878882721651E-2</c:v>
                </c:pt>
                <c:pt idx="89">
                  <c:v>8.4675244879313979E-2</c:v>
                </c:pt>
                <c:pt idx="90">
                  <c:v>8.4711068966059816E-2</c:v>
                </c:pt>
                <c:pt idx="91">
                  <c:v>8.4746281299542134E-2</c:v>
                </c:pt>
                <c:pt idx="92">
                  <c:v>8.4780901239212725E-2</c:v>
                </c:pt>
                <c:pt idx="93">
                  <c:v>8.4814947336377858E-2</c:v>
                </c:pt>
                <c:pt idx="94">
                  <c:v>8.4848437375931868E-2</c:v>
                </c:pt>
                <c:pt idx="95">
                  <c:v>8.4881388415531375E-2</c:v>
                </c:pt>
                <c:pt idx="96">
                  <c:v>8.491381682239052E-2</c:v>
                </c:pt>
                <c:pt idx="97">
                  <c:v>8.4945738307865032E-2</c:v>
                </c:pt>
                <c:pt idx="98">
                  <c:v>8.4977167959977701E-2</c:v>
                </c:pt>
                <c:pt idx="99">
                  <c:v>8.500812027402764E-2</c:v>
                </c:pt>
                <c:pt idx="100">
                  <c:v>8.5038609181413122E-2</c:v>
                </c:pt>
              </c:numCache>
            </c:numRef>
          </c:val>
          <c:smooth val="0"/>
          <c:extLst>
            <c:ext xmlns:c16="http://schemas.microsoft.com/office/drawing/2014/chart" uri="{C3380CC4-5D6E-409C-BE32-E72D297353CC}">
              <c16:uniqueId val="{00000011-DE77-4B43-A489-D4421C0BE99A}"/>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zh-CN"/>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zh-CN"/>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zh-CN"/>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1.0087473339577233</c:v>
                </c:pt>
                <c:pt idx="23">
                  <c:v>1.0545994855012562</c:v>
                </c:pt>
                <c:pt idx="24">
                  <c:v>1.1004451630636245</c:v>
                </c:pt>
                <c:pt idx="25">
                  <c:v>1.146233842431297</c:v>
                </c:pt>
                <c:pt idx="26">
                  <c:v>1.1921709163932037</c:v>
                </c:pt>
                <c:pt idx="27">
                  <c:v>1.2380292896407363</c:v>
                </c:pt>
                <c:pt idx="28">
                  <c:v>1.2838881340329518</c:v>
                </c:pt>
                <c:pt idx="29">
                  <c:v>1.3297474552554853</c:v>
                </c:pt>
                <c:pt idx="30">
                  <c:v>1.3756072589957764</c:v>
                </c:pt>
                <c:pt idx="31">
                  <c:v>1.421467550943069</c:v>
                </c:pt>
                <c:pt idx="32">
                  <c:v>1.4673283367884169</c:v>
                </c:pt>
                <c:pt idx="33">
                  <c:v>1.5131896222246846</c:v>
                </c:pt>
                <c:pt idx="34">
                  <c:v>1.5590514129465538</c:v>
                </c:pt>
                <c:pt idx="35">
                  <c:v>1.6049137146505219</c:v>
                </c:pt>
                <c:pt idx="36">
                  <c:v>1.6507765330349082</c:v>
                </c:pt>
                <c:pt idx="37">
                  <c:v>1.6966398737998563</c:v>
                </c:pt>
                <c:pt idx="38">
                  <c:v>1.7425037426473353</c:v>
                </c:pt>
                <c:pt idx="39">
                  <c:v>1.7883681452811457</c:v>
                </c:pt>
                <c:pt idx="40">
                  <c:v>1.8342330874069199</c:v>
                </c:pt>
                <c:pt idx="41">
                  <c:v>1.880098574732127</c:v>
                </c:pt>
                <c:pt idx="42">
                  <c:v>1.9259646129660746</c:v>
                </c:pt>
                <c:pt idx="43">
                  <c:v>1.9718312078199107</c:v>
                </c:pt>
                <c:pt idx="44">
                  <c:v>2.0176983650066314</c:v>
                </c:pt>
                <c:pt idx="45">
                  <c:v>2.063566090241078</c:v>
                </c:pt>
                <c:pt idx="46">
                  <c:v>2.1094343892399441</c:v>
                </c:pt>
                <c:pt idx="47">
                  <c:v>2.1553032677217758</c:v>
                </c:pt>
                <c:pt idx="48">
                  <c:v>2.2011727314069778</c:v>
                </c:pt>
                <c:pt idx="49">
                  <c:v>2.2470427860178148</c:v>
                </c:pt>
                <c:pt idx="50">
                  <c:v>2.2929134372784135</c:v>
                </c:pt>
                <c:pt idx="51">
                  <c:v>2.3387846909147649</c:v>
                </c:pt>
                <c:pt idx="52">
                  <c:v>2.3846565526547341</c:v>
                </c:pt>
                <c:pt idx="53">
                  <c:v>2.4305290282280541</c:v>
                </c:pt>
                <c:pt idx="54">
                  <c:v>2.4764021233663338</c:v>
                </c:pt>
                <c:pt idx="55">
                  <c:v>2.5222758438030612</c:v>
                </c:pt>
                <c:pt idx="56">
                  <c:v>2.5681501952736046</c:v>
                </c:pt>
                <c:pt idx="57">
                  <c:v>2.6140251835152171</c:v>
                </c:pt>
                <c:pt idx="58">
                  <c:v>2.6599008142670386</c:v>
                </c:pt>
                <c:pt idx="59">
                  <c:v>2.7057770932700995</c:v>
                </c:pt>
                <c:pt idx="60">
                  <c:v>2.7516540262673255</c:v>
                </c:pt>
                <c:pt idx="61">
                  <c:v>2.7975316190035349</c:v>
                </c:pt>
                <c:pt idx="62">
                  <c:v>2.8434098772254472</c:v>
                </c:pt>
                <c:pt idx="63">
                  <c:v>2.8892888066816869</c:v>
                </c:pt>
                <c:pt idx="64">
                  <c:v>2.9351684131227795</c:v>
                </c:pt>
                <c:pt idx="65">
                  <c:v>2.9810487023011629</c:v>
                </c:pt>
                <c:pt idx="66">
                  <c:v>3.0269296799711851</c:v>
                </c:pt>
                <c:pt idx="67">
                  <c:v>3.0728113518891091</c:v>
                </c:pt>
                <c:pt idx="68">
                  <c:v>3.118693723813116</c:v>
                </c:pt>
                <c:pt idx="69">
                  <c:v>3.1645768015033067</c:v>
                </c:pt>
                <c:pt idx="70">
                  <c:v>3.2104605907217079</c:v>
                </c:pt>
                <c:pt idx="71">
                  <c:v>3.2563450972322729</c:v>
                </c:pt>
                <c:pt idx="72">
                  <c:v>3.3022303268008839</c:v>
                </c:pt>
                <c:pt idx="73">
                  <c:v>3.3481162851953576</c:v>
                </c:pt>
                <c:pt idx="74">
                  <c:v>3.3940029781854455</c:v>
                </c:pt>
                <c:pt idx="75">
                  <c:v>3.4398904115428417</c:v>
                </c:pt>
                <c:pt idx="76">
                  <c:v>3.4857785910411785</c:v>
                </c:pt>
                <c:pt idx="77">
                  <c:v>3.5316675224560372</c:v>
                </c:pt>
                <c:pt idx="78">
                  <c:v>3.5775572115649461</c:v>
                </c:pt>
                <c:pt idx="79">
                  <c:v>3.6234476641473874</c:v>
                </c:pt>
                <c:pt idx="80">
                  <c:v>3.6693388859847929</c:v>
                </c:pt>
                <c:pt idx="81">
                  <c:v>3.715230882860558</c:v>
                </c:pt>
                <c:pt idx="82">
                  <c:v>3.7611236605600382</c:v>
                </c:pt>
                <c:pt idx="83">
                  <c:v>3.8070172248705521</c:v>
                </c:pt>
                <c:pt idx="84">
                  <c:v>3.8529115815813824</c:v>
                </c:pt>
                <c:pt idx="85">
                  <c:v>3.8988067364837891</c:v>
                </c:pt>
                <c:pt idx="86">
                  <c:v>3.9447026953710007</c:v>
                </c:pt>
                <c:pt idx="87">
                  <c:v>3.9905994640382247</c:v>
                </c:pt>
                <c:pt idx="88">
                  <c:v>4.0364970482826443</c:v>
                </c:pt>
                <c:pt idx="89">
                  <c:v>4.0823954539034322</c:v>
                </c:pt>
                <c:pt idx="90">
                  <c:v>4.128294686701742</c:v>
                </c:pt>
                <c:pt idx="91">
                  <c:v>4.1741947524807186</c:v>
                </c:pt>
                <c:pt idx="92">
                  <c:v>4.2200956570454986</c:v>
                </c:pt>
                <c:pt idx="93">
                  <c:v>4.2659974062032129</c:v>
                </c:pt>
                <c:pt idx="94">
                  <c:v>4.3119000057629924</c:v>
                </c:pt>
                <c:pt idx="95">
                  <c:v>4.3578034615359718</c:v>
                </c:pt>
                <c:pt idx="96">
                  <c:v>4.4037077793352859</c:v>
                </c:pt>
                <c:pt idx="97">
                  <c:v>4.4496129649760805</c:v>
                </c:pt>
                <c:pt idx="98">
                  <c:v>4.4955190242755112</c:v>
                </c:pt>
                <c:pt idx="99">
                  <c:v>4.5414259630527489</c:v>
                </c:pt>
                <c:pt idx="100">
                  <c:v>4.5873337871289825</c:v>
                </c:pt>
              </c:numCache>
            </c:numRef>
          </c:val>
          <c:smooth val="0"/>
          <c:extLst>
            <c:ext xmlns:c16="http://schemas.microsoft.com/office/drawing/2014/chart" uri="{C3380CC4-5D6E-409C-BE32-E72D297353CC}">
              <c16:uniqueId val="{00000000-FDDF-4115-9ADD-DED190BC6BDF}"/>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Dual'!$AI$5:$AI$105</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1.0141851056742199</c:v>
                </c:pt>
                <c:pt idx="28">
                  <c:v>1.0327955589886444</c:v>
                </c:pt>
                <c:pt idx="29">
                  <c:v>1.051076545624487</c:v>
                </c:pt>
                <c:pt idx="30">
                  <c:v>1.0690449676496976</c:v>
                </c:pt>
                <c:pt idx="31">
                  <c:v>1.0867163295692124</c:v>
                </c:pt>
                <c:pt idx="32">
                  <c:v>1.1041048949477668</c:v>
                </c:pt>
                <c:pt idx="33">
                  <c:v>1.1212238211627761</c:v>
                </c:pt>
                <c:pt idx="34">
                  <c:v>1.1380852759077833</c:v>
                </c:pt>
                <c:pt idx="35">
                  <c:v>1.1547005383792515</c:v>
                </c:pt>
                <c:pt idx="36">
                  <c:v>1.1710800875382397</c:v>
                </c:pt>
                <c:pt idx="37">
                  <c:v>1.1872336794093272</c:v>
                </c:pt>
                <c:pt idx="38">
                  <c:v>1.2031704150364766</c:v>
                </c:pt>
                <c:pt idx="39">
                  <c:v>1.218898800440088</c:v>
                </c:pt>
                <c:pt idx="40">
                  <c:v>1.2344267996967353</c:v>
                </c:pt>
                <c:pt idx="41">
                  <c:v>1.2497618820818475</c:v>
                </c:pt>
                <c:pt idx="42">
                  <c:v>1.2649110640673518</c:v>
                </c:pt>
                <c:pt idx="43">
                  <c:v>1.2798809468443688</c:v>
                </c:pt>
                <c:pt idx="44">
                  <c:v>1.2946777499402993</c:v>
                </c:pt>
                <c:pt idx="45">
                  <c:v>1.3093073414159542</c:v>
                </c:pt>
                <c:pt idx="46">
                  <c:v>1.4402186094869731</c:v>
                </c:pt>
                <c:pt idx="47">
                  <c:v>1.47143161043087</c:v>
                </c:pt>
                <c:pt idx="48">
                  <c:v>1.5026405377054191</c:v>
                </c:pt>
                <c:pt idx="49">
                  <c:v>1.5338453922858442</c:v>
                </c:pt>
                <c:pt idx="50">
                  <c:v>1.5650461751470783</c:v>
                </c:pt>
                <c:pt idx="51">
                  <c:v>1.5962428872637622</c:v>
                </c:pt>
                <c:pt idx="52">
                  <c:v>1.6274355296102461</c:v>
                </c:pt>
                <c:pt idx="53">
                  <c:v>1.6586241031605882</c:v>
                </c:pt>
                <c:pt idx="54">
                  <c:v>1.6898086088885556</c:v>
                </c:pt>
                <c:pt idx="55">
                  <c:v>1.7209890477676244</c:v>
                </c:pt>
                <c:pt idx="56">
                  <c:v>1.7521654207709807</c:v>
                </c:pt>
                <c:pt idx="57">
                  <c:v>1.7833377288715178</c:v>
                </c:pt>
                <c:pt idx="58">
                  <c:v>1.81450597304184</c:v>
                </c:pt>
                <c:pt idx="59">
                  <c:v>1.8456701542542608</c:v>
                </c:pt>
                <c:pt idx="60">
                  <c:v>1.876830273480802</c:v>
                </c:pt>
                <c:pt idx="61">
                  <c:v>1.9079863316931964</c:v>
                </c:pt>
                <c:pt idx="62">
                  <c:v>1.9391383298628855</c:v>
                </c:pt>
                <c:pt idx="63">
                  <c:v>1.9702862689610208</c:v>
                </c:pt>
                <c:pt idx="64">
                  <c:v>2.0014301499584639</c:v>
                </c:pt>
                <c:pt idx="65">
                  <c:v>2.0325699738257872</c:v>
                </c:pt>
                <c:pt idx="66">
                  <c:v>2.0637057415332714</c:v>
                </c:pt>
                <c:pt idx="67">
                  <c:v>2.0948374540509098</c:v>
                </c:pt>
                <c:pt idx="68">
                  <c:v>2.1259651123484038</c:v>
                </c:pt>
                <c:pt idx="69">
                  <c:v>2.1570887173951672</c:v>
                </c:pt>
                <c:pt idx="70">
                  <c:v>2.1882082701603229</c:v>
                </c:pt>
                <c:pt idx="71">
                  <c:v>2.2193237716127059</c:v>
                </c:pt>
                <c:pt idx="72">
                  <c:v>2.2504352227208608</c:v>
                </c:pt>
                <c:pt idx="73">
                  <c:v>2.2815426244530435</c:v>
                </c:pt>
                <c:pt idx="74">
                  <c:v>2.3126459777772208</c:v>
                </c:pt>
                <c:pt idx="75">
                  <c:v>2.3437452836610722</c:v>
                </c:pt>
                <c:pt idx="76">
                  <c:v>2.374840543071985</c:v>
                </c:pt>
                <c:pt idx="77">
                  <c:v>2.4059317569770617</c:v>
                </c:pt>
                <c:pt idx="78">
                  <c:v>2.4370189263431143</c:v>
                </c:pt>
                <c:pt idx="79">
                  <c:v>2.4681020521366661</c:v>
                </c:pt>
                <c:pt idx="80">
                  <c:v>2.4991811353239535</c:v>
                </c:pt>
                <c:pt idx="81">
                  <c:v>2.5302561768709229</c:v>
                </c:pt>
                <c:pt idx="82">
                  <c:v>2.5613271777432334</c:v>
                </c:pt>
                <c:pt idx="83">
                  <c:v>2.5923941389062577</c:v>
                </c:pt>
                <c:pt idx="84">
                  <c:v>2.6234570613250785</c:v>
                </c:pt>
                <c:pt idx="85">
                  <c:v>2.6545159459644907</c:v>
                </c:pt>
                <c:pt idx="86">
                  <c:v>2.6855707937890037</c:v>
                </c:pt>
                <c:pt idx="87">
                  <c:v>2.7166216057628372</c:v>
                </c:pt>
                <c:pt idx="88">
                  <c:v>2.7476683828499238</c:v>
                </c:pt>
                <c:pt idx="89">
                  <c:v>2.7787111260139112</c:v>
                </c:pt>
                <c:pt idx="90">
                  <c:v>2.8097498362181557</c:v>
                </c:pt>
                <c:pt idx="91">
                  <c:v>2.8407845144257302</c:v>
                </c:pt>
                <c:pt idx="92">
                  <c:v>2.8718151615994176</c:v>
                </c:pt>
                <c:pt idx="93">
                  <c:v>2.9028417787017164</c:v>
                </c:pt>
                <c:pt idx="94">
                  <c:v>2.9338643666948383</c:v>
                </c:pt>
                <c:pt idx="95">
                  <c:v>2.9648829265407062</c:v>
                </c:pt>
                <c:pt idx="96">
                  <c:v>2.9958974592009575</c:v>
                </c:pt>
                <c:pt idx="97">
                  <c:v>3.0269079656369446</c:v>
                </c:pt>
                <c:pt idx="98">
                  <c:v>3.0579144468097312</c:v>
                </c:pt>
                <c:pt idx="99">
                  <c:v>3.0889169036800959</c:v>
                </c:pt>
                <c:pt idx="100">
                  <c:v>3.1199153372085324</c:v>
                </c:pt>
              </c:numCache>
            </c:numRef>
          </c:val>
          <c:smooth val="0"/>
          <c:extLst>
            <c:ext xmlns:c16="http://schemas.microsoft.com/office/drawing/2014/chart" uri="{C3380CC4-5D6E-409C-BE32-E72D297353CC}">
              <c16:uniqueId val="{00000001-FDDF-4115-9ADD-DED190BC6BDF}"/>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1.0141851056742199</c:v>
                </c:pt>
                <c:pt idx="28">
                  <c:v>1.0327955589886444</c:v>
                </c:pt>
                <c:pt idx="29">
                  <c:v>1.051076545624487</c:v>
                </c:pt>
                <c:pt idx="30">
                  <c:v>1.0690449676496976</c:v>
                </c:pt>
                <c:pt idx="31">
                  <c:v>1.0867163295692124</c:v>
                </c:pt>
                <c:pt idx="32">
                  <c:v>1.1041048949477668</c:v>
                </c:pt>
                <c:pt idx="33">
                  <c:v>1.1212238211627761</c:v>
                </c:pt>
                <c:pt idx="34">
                  <c:v>1.1380852759077833</c:v>
                </c:pt>
                <c:pt idx="35">
                  <c:v>1.1547005383792515</c:v>
                </c:pt>
                <c:pt idx="36">
                  <c:v>1.10390052442357</c:v>
                </c:pt>
                <c:pt idx="37">
                  <c:v>1.1345273057728043</c:v>
                </c:pt>
                <c:pt idx="38">
                  <c:v>1.1651525951690098</c:v>
                </c:pt>
                <c:pt idx="39">
                  <c:v>1.1957525066687495</c:v>
                </c:pt>
                <c:pt idx="40">
                  <c:v>1.2263345754735218</c:v>
                </c:pt>
                <c:pt idx="41">
                  <c:v>1.2569127435207985</c:v>
                </c:pt>
                <c:pt idx="42">
                  <c:v>1.2874870116740789</c:v>
                </c:pt>
                <c:pt idx="43">
                  <c:v>1.3180573807966141</c:v>
                </c:pt>
                <c:pt idx="44">
                  <c:v>1.3486238517514111</c:v>
                </c:pt>
                <c:pt idx="45">
                  <c:v>1.3791864254012312</c:v>
                </c:pt>
                <c:pt idx="46">
                  <c:v>1.4097451026085916</c:v>
                </c:pt>
                <c:pt idx="47">
                  <c:v>1.4402998842357626</c:v>
                </c:pt>
                <c:pt idx="48">
                  <c:v>1.4708507711447723</c:v>
                </c:pt>
                <c:pt idx="49">
                  <c:v>1.5013977641974008</c:v>
                </c:pt>
                <c:pt idx="50">
                  <c:v>1.5319408642551857</c:v>
                </c:pt>
                <c:pt idx="51">
                  <c:v>1.5624800721794188</c:v>
                </c:pt>
                <c:pt idx="52">
                  <c:v>1.5930153888311478</c:v>
                </c:pt>
                <c:pt idx="53">
                  <c:v>1.6235468150711758</c:v>
                </c:pt>
                <c:pt idx="54">
                  <c:v>1.6540743517600607</c:v>
                </c:pt>
                <c:pt idx="55">
                  <c:v>1.6845979997581175</c:v>
                </c:pt>
                <c:pt idx="56">
                  <c:v>1.7151177599254157</c:v>
                </c:pt>
                <c:pt idx="57">
                  <c:v>1.7456336331217808</c:v>
                </c:pt>
                <c:pt idx="58">
                  <c:v>1.7761456202067949</c:v>
                </c:pt>
                <c:pt idx="59">
                  <c:v>1.8066537220397958</c:v>
                </c:pt>
                <c:pt idx="60">
                  <c:v>1.8371579394798769</c:v>
                </c:pt>
                <c:pt idx="61">
                  <c:v>1.8676582733858882</c:v>
                </c:pt>
                <c:pt idx="62">
                  <c:v>1.8981547246164363</c:v>
                </c:pt>
                <c:pt idx="63">
                  <c:v>1.9286472940298831</c:v>
                </c:pt>
                <c:pt idx="64">
                  <c:v>1.9591359824843482</c:v>
                </c:pt>
                <c:pt idx="65">
                  <c:v>1.9896207908377068</c:v>
                </c:pt>
                <c:pt idx="66">
                  <c:v>2.0201017199475912</c:v>
                </c:pt>
                <c:pt idx="67">
                  <c:v>2.0505787706713896</c:v>
                </c:pt>
                <c:pt idx="68">
                  <c:v>2.0810519438662491</c:v>
                </c:pt>
                <c:pt idx="69">
                  <c:v>2.1115212403890702</c:v>
                </c:pt>
                <c:pt idx="70">
                  <c:v>2.1419866610965141</c:v>
                </c:pt>
                <c:pt idx="71">
                  <c:v>2.1724482068449968</c:v>
                </c:pt>
                <c:pt idx="72">
                  <c:v>2.2029058784906916</c:v>
                </c:pt>
                <c:pt idx="73">
                  <c:v>2.2333596768895294</c:v>
                </c:pt>
                <c:pt idx="74">
                  <c:v>2.2638096028971986</c:v>
                </c:pt>
                <c:pt idx="75">
                  <c:v>2.2942556573691446</c:v>
                </c:pt>
                <c:pt idx="76">
                  <c:v>2.324697841160571</c:v>
                </c:pt>
                <c:pt idx="77">
                  <c:v>2.3551361551264374</c:v>
                </c:pt>
                <c:pt idx="78">
                  <c:v>2.3855706001214632</c:v>
                </c:pt>
                <c:pt idx="79">
                  <c:v>2.4160011770001231</c:v>
                </c:pt>
                <c:pt idx="80">
                  <c:v>2.446427886616652</c:v>
                </c:pt>
                <c:pt idx="81">
                  <c:v>2.4768507298250411</c:v>
                </c:pt>
                <c:pt idx="82">
                  <c:v>2.5072697074790411</c:v>
                </c:pt>
                <c:pt idx="83">
                  <c:v>2.5376848204321591</c:v>
                </c:pt>
                <c:pt idx="84">
                  <c:v>2.5680960695376607</c:v>
                </c:pt>
                <c:pt idx="85">
                  <c:v>2.5985034556485713</c:v>
                </c:pt>
                <c:pt idx="86">
                  <c:v>2.6289069796176738</c:v>
                </c:pt>
                <c:pt idx="87">
                  <c:v>2.6593066422975067</c:v>
                </c:pt>
                <c:pt idx="88">
                  <c:v>2.6897024445403726</c:v>
                </c:pt>
                <c:pt idx="89">
                  <c:v>2.7200943871983276</c:v>
                </c:pt>
                <c:pt idx="90">
                  <c:v>2.7504824711231901</c:v>
                </c:pt>
                <c:pt idx="91">
                  <c:v>2.7808666971665357</c:v>
                </c:pt>
                <c:pt idx="92">
                  <c:v>2.8112470661796971</c:v>
                </c:pt>
                <c:pt idx="93">
                  <c:v>2.8416235790137696</c:v>
                </c:pt>
                <c:pt idx="94">
                  <c:v>2.8719962365196054</c:v>
                </c:pt>
                <c:pt idx="95">
                  <c:v>2.9023650395478149</c:v>
                </c:pt>
                <c:pt idx="96">
                  <c:v>2.9327299889487719</c:v>
                </c:pt>
                <c:pt idx="97">
                  <c:v>2.963091085572604</c:v>
                </c:pt>
                <c:pt idx="98">
                  <c:v>2.9934483302692012</c:v>
                </c:pt>
                <c:pt idx="99">
                  <c:v>3.0238017238882136</c:v>
                </c:pt>
                <c:pt idx="100">
                  <c:v>3.0541512672790483</c:v>
                </c:pt>
              </c:numCache>
            </c:numRef>
          </c:val>
          <c:smooth val="0"/>
          <c:extLst>
            <c:ext xmlns:c16="http://schemas.microsoft.com/office/drawing/2014/chart" uri="{C3380CC4-5D6E-409C-BE32-E72D297353CC}">
              <c16:uniqueId val="{00000002-FDDF-4115-9ADD-DED190BC6BDF}"/>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1.0065309713461734</c:v>
                </c:pt>
                <c:pt idx="2">
                  <c:v>1.0195929140385203</c:v>
                </c:pt>
                <c:pt idx="3">
                  <c:v>1.0195929140385203</c:v>
                </c:pt>
                <c:pt idx="4">
                  <c:v>1.0261238853846939</c:v>
                </c:pt>
                <c:pt idx="5">
                  <c:v>1.0326548567308673</c:v>
                </c:pt>
                <c:pt idx="6">
                  <c:v>1.0391858280770407</c:v>
                </c:pt>
                <c:pt idx="7">
                  <c:v>1.0457167994232142</c:v>
                </c:pt>
                <c:pt idx="8">
                  <c:v>1.0522477707693876</c:v>
                </c:pt>
                <c:pt idx="9">
                  <c:v>1.058778742115561</c:v>
                </c:pt>
                <c:pt idx="10">
                  <c:v>1.0653097134617344</c:v>
                </c:pt>
                <c:pt idx="11">
                  <c:v>1.0718406848079081</c:v>
                </c:pt>
                <c:pt idx="12">
                  <c:v>1.0783716561540815</c:v>
                </c:pt>
                <c:pt idx="13">
                  <c:v>1.0849026275002549</c:v>
                </c:pt>
                <c:pt idx="14">
                  <c:v>1.0914335988464283</c:v>
                </c:pt>
                <c:pt idx="15">
                  <c:v>1.0979645701926017</c:v>
                </c:pt>
                <c:pt idx="16">
                  <c:v>1.1044955415387752</c:v>
                </c:pt>
                <c:pt idx="17">
                  <c:v>1.1110265128849486</c:v>
                </c:pt>
                <c:pt idx="18">
                  <c:v>1.117557484231122</c:v>
                </c:pt>
                <c:pt idx="19">
                  <c:v>1.1240884555772956</c:v>
                </c:pt>
                <c:pt idx="20">
                  <c:v>1.1306194269234691</c:v>
                </c:pt>
                <c:pt idx="21">
                  <c:v>1.1371503982696425</c:v>
                </c:pt>
                <c:pt idx="22">
                  <c:v>1.1436813696158159</c:v>
                </c:pt>
                <c:pt idx="23">
                  <c:v>1.1502123409619893</c:v>
                </c:pt>
                <c:pt idx="24">
                  <c:v>1.1567479985203168</c:v>
                </c:pt>
                <c:pt idx="25">
                  <c:v>1.1633249903735079</c:v>
                </c:pt>
                <c:pt idx="26">
                  <c:v>1.3423488269579287</c:v>
                </c:pt>
                <c:pt idx="27">
                  <c:v>1.3763179923264712</c:v>
                </c:pt>
                <c:pt idx="28">
                  <c:v>1.4102875066910754</c:v>
                </c:pt>
                <c:pt idx="29">
                  <c:v>1.4442573742633225</c:v>
                </c:pt>
                <c:pt idx="30">
                  <c:v>1.4782275992561307</c:v>
                </c:pt>
                <c:pt idx="31">
                  <c:v>1.5121981858837548</c:v>
                </c:pt>
                <c:pt idx="32">
                  <c:v>1.5461691383617904</c:v>
                </c:pt>
                <c:pt idx="33">
                  <c:v>1.5801404609071736</c:v>
                </c:pt>
                <c:pt idx="34">
                  <c:v>1.6141121577381881</c:v>
                </c:pt>
                <c:pt idx="35">
                  <c:v>1.6480842330744607</c:v>
                </c:pt>
                <c:pt idx="36">
                  <c:v>1.682056691136969</c:v>
                </c:pt>
                <c:pt idx="37">
                  <c:v>1.7160295361480418</c:v>
                </c:pt>
                <c:pt idx="38">
                  <c:v>1.7500027723313596</c:v>
                </c:pt>
                <c:pt idx="39">
                  <c:v>1.7839764039119599</c:v>
                </c:pt>
                <c:pt idx="40">
                  <c:v>1.817950435116237</c:v>
                </c:pt>
                <c:pt idx="41">
                  <c:v>1.851924870171946</c:v>
                </c:pt>
                <c:pt idx="42">
                  <c:v>1.8858997133082034</c:v>
                </c:pt>
                <c:pt idx="43">
                  <c:v>1.9198749687554895</c:v>
                </c:pt>
                <c:pt idx="44">
                  <c:v>1.9538506407456528</c:v>
                </c:pt>
                <c:pt idx="45">
                  <c:v>1.9878267335119095</c:v>
                </c:pt>
                <c:pt idx="46">
                  <c:v>2.0218032512888473</c:v>
                </c:pt>
                <c:pt idx="47">
                  <c:v>2.0557801983124264</c:v>
                </c:pt>
                <c:pt idx="48">
                  <c:v>2.0897575788199836</c:v>
                </c:pt>
                <c:pt idx="49">
                  <c:v>2.1237353970502331</c:v>
                </c:pt>
                <c:pt idx="50">
                  <c:v>2.1577136572432689</c:v>
                </c:pt>
                <c:pt idx="51">
                  <c:v>2.1916923636405663</c:v>
                </c:pt>
                <c:pt idx="52">
                  <c:v>2.2256715204849882</c:v>
                </c:pt>
                <c:pt idx="53">
                  <c:v>2.2596511320207808</c:v>
                </c:pt>
                <c:pt idx="54">
                  <c:v>2.2936312024935805</c:v>
                </c:pt>
                <c:pt idx="55">
                  <c:v>2.3276117361504158</c:v>
                </c:pt>
                <c:pt idx="56">
                  <c:v>2.361592737239707</c:v>
                </c:pt>
                <c:pt idx="57">
                  <c:v>2.3955742100112718</c:v>
                </c:pt>
                <c:pt idx="58">
                  <c:v>2.4295561587163252</c:v>
                </c:pt>
                <c:pt idx="59">
                  <c:v>2.4635385876074811</c:v>
                </c:pt>
                <c:pt idx="60">
                  <c:v>2.4975215009387597</c:v>
                </c:pt>
                <c:pt idx="61">
                  <c:v>2.5315049029655814</c:v>
                </c:pt>
                <c:pt idx="62">
                  <c:v>2.5654887979447758</c:v>
                </c:pt>
                <c:pt idx="63">
                  <c:v>2.5994731901345829</c:v>
                </c:pt>
                <c:pt idx="64">
                  <c:v>2.6334580837946513</c:v>
                </c:pt>
                <c:pt idx="65">
                  <c:v>2.6674434831860463</c:v>
                </c:pt>
                <c:pt idx="66">
                  <c:v>2.7014293925712485</c:v>
                </c:pt>
                <c:pt idx="67">
                  <c:v>2.7354158162141546</c:v>
                </c:pt>
                <c:pt idx="68">
                  <c:v>2.7694027583800862</c:v>
                </c:pt>
                <c:pt idx="69">
                  <c:v>2.8033902233357826</c:v>
                </c:pt>
                <c:pt idx="70">
                  <c:v>2.8373782153494131</c:v>
                </c:pt>
                <c:pt idx="71">
                  <c:v>2.8713667386905728</c:v>
                </c:pt>
                <c:pt idx="72">
                  <c:v>2.9053557976302842</c:v>
                </c:pt>
                <c:pt idx="73">
                  <c:v>2.9393453964410057</c:v>
                </c:pt>
                <c:pt idx="74">
                  <c:v>2.9733355393966261</c:v>
                </c:pt>
                <c:pt idx="75">
                  <c:v>3.0073262307724757</c:v>
                </c:pt>
                <c:pt idx="76">
                  <c:v>3.0413174748453171</c:v>
                </c:pt>
                <c:pt idx="77">
                  <c:v>3.0753092758933609</c:v>
                </c:pt>
                <c:pt idx="78">
                  <c:v>3.1093016381962562</c:v>
                </c:pt>
                <c:pt idx="79">
                  <c:v>3.1432945660351015</c:v>
                </c:pt>
                <c:pt idx="80">
                  <c:v>3.1772880636924392</c:v>
                </c:pt>
                <c:pt idx="81">
                  <c:v>3.2112821354522652</c:v>
                </c:pt>
                <c:pt idx="82">
                  <c:v>3.2452767856000282</c:v>
                </c:pt>
                <c:pt idx="83">
                  <c:v>3.2792720184226312</c:v>
                </c:pt>
                <c:pt idx="84">
                  <c:v>3.3132678382084313</c:v>
                </c:pt>
                <c:pt idx="85">
                  <c:v>3.3472642492472513</c:v>
                </c:pt>
                <c:pt idx="86">
                  <c:v>3.3812612558303705</c:v>
                </c:pt>
                <c:pt idx="87">
                  <c:v>3.4152588622505364</c:v>
                </c:pt>
                <c:pt idx="88">
                  <c:v>3.4492570728019585</c:v>
                </c:pt>
                <c:pt idx="89">
                  <c:v>3.4832558917803205</c:v>
                </c:pt>
                <c:pt idx="90">
                  <c:v>3.5172553234827717</c:v>
                </c:pt>
                <c:pt idx="91">
                  <c:v>3.5512553722079394</c:v>
                </c:pt>
                <c:pt idx="92">
                  <c:v>3.5852560422559243</c:v>
                </c:pt>
                <c:pt idx="93">
                  <c:v>3.619257337928306</c:v>
                </c:pt>
                <c:pt idx="94">
                  <c:v>3.6532592635281427</c:v>
                </c:pt>
                <c:pt idx="95">
                  <c:v>3.6872618233599788</c:v>
                </c:pt>
                <c:pt idx="96">
                  <c:v>3.7212650217298417</c:v>
                </c:pt>
                <c:pt idx="97">
                  <c:v>3.7552688629452451</c:v>
                </c:pt>
                <c:pt idx="98">
                  <c:v>3.7892733513151935</c:v>
                </c:pt>
                <c:pt idx="99">
                  <c:v>3.8232784911501847</c:v>
                </c:pt>
                <c:pt idx="100">
                  <c:v>3.8572842867622095</c:v>
                </c:pt>
              </c:numCache>
            </c:numRef>
          </c:val>
          <c:smooth val="0"/>
          <c:extLst>
            <c:ext xmlns:c16="http://schemas.microsoft.com/office/drawing/2014/chart" uri="{C3380CC4-5D6E-409C-BE32-E72D297353CC}">
              <c16:uniqueId val="{00000000-3C9D-44D2-AF55-BD525814CC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Dual'!$AJ$5:$AJ$105</c:f>
              <c:numCache>
                <c:formatCode>0.000</c:formatCode>
                <c:ptCount val="101"/>
                <c:pt idx="0">
                  <c:v>1.0057142857142858</c:v>
                </c:pt>
                <c:pt idx="1">
                  <c:v>1.0065309713461734</c:v>
                </c:pt>
                <c:pt idx="2">
                  <c:v>1.0130619426923468</c:v>
                </c:pt>
                <c:pt idx="3">
                  <c:v>1.0195929140385203</c:v>
                </c:pt>
                <c:pt idx="4">
                  <c:v>1.0261238853846939</c:v>
                </c:pt>
                <c:pt idx="5">
                  <c:v>1.0326548567308673</c:v>
                </c:pt>
                <c:pt idx="6">
                  <c:v>1.0391858280770407</c:v>
                </c:pt>
                <c:pt idx="7">
                  <c:v>1.0457167994232142</c:v>
                </c:pt>
                <c:pt idx="8">
                  <c:v>1.0522477707693876</c:v>
                </c:pt>
                <c:pt idx="9">
                  <c:v>1.058778742115561</c:v>
                </c:pt>
                <c:pt idx="10">
                  <c:v>1.0653097134617344</c:v>
                </c:pt>
                <c:pt idx="11">
                  <c:v>1.0718406848079081</c:v>
                </c:pt>
                <c:pt idx="12">
                  <c:v>1.0783716561540815</c:v>
                </c:pt>
                <c:pt idx="13">
                  <c:v>1.0849026275002549</c:v>
                </c:pt>
                <c:pt idx="14">
                  <c:v>1.0914335988464283</c:v>
                </c:pt>
                <c:pt idx="15">
                  <c:v>1.0979645701926017</c:v>
                </c:pt>
                <c:pt idx="16">
                  <c:v>1.1044955415387752</c:v>
                </c:pt>
                <c:pt idx="17">
                  <c:v>1.1110265128849486</c:v>
                </c:pt>
                <c:pt idx="18">
                  <c:v>1.117557484231122</c:v>
                </c:pt>
                <c:pt idx="19">
                  <c:v>1.1240884555772956</c:v>
                </c:pt>
                <c:pt idx="20">
                  <c:v>1.1306194269234691</c:v>
                </c:pt>
                <c:pt idx="21">
                  <c:v>1.1371503982696425</c:v>
                </c:pt>
                <c:pt idx="22">
                  <c:v>1.1436813696158159</c:v>
                </c:pt>
                <c:pt idx="23">
                  <c:v>1.1502123409619893</c:v>
                </c:pt>
                <c:pt idx="24">
                  <c:v>1.1567433123081627</c:v>
                </c:pt>
                <c:pt idx="25">
                  <c:v>1.1632742836543364</c:v>
                </c:pt>
                <c:pt idx="26">
                  <c:v>1.1698052550005098</c:v>
                </c:pt>
                <c:pt idx="27">
                  <c:v>1.1763362263466832</c:v>
                </c:pt>
                <c:pt idx="28">
                  <c:v>1.1828671976928566</c:v>
                </c:pt>
                <c:pt idx="29">
                  <c:v>1.1893981690390301</c:v>
                </c:pt>
                <c:pt idx="30">
                  <c:v>1.1959291403852035</c:v>
                </c:pt>
                <c:pt idx="31">
                  <c:v>1.2642343181994165</c:v>
                </c:pt>
                <c:pt idx="32">
                  <c:v>1.2771147369983458</c:v>
                </c:pt>
                <c:pt idx="33">
                  <c:v>1.2897954230835378</c:v>
                </c:pt>
                <c:pt idx="34">
                  <c:v>1.3022853895613209</c:v>
                </c:pt>
                <c:pt idx="35">
                  <c:v>1.314592991392038</c:v>
                </c:pt>
                <c:pt idx="36">
                  <c:v>1.3267259907690663</c:v>
                </c:pt>
                <c:pt idx="37">
                  <c:v>1.3386916143772793</c:v>
                </c:pt>
                <c:pt idx="38">
                  <c:v>1.3504966037307233</c:v>
                </c:pt>
                <c:pt idx="39">
                  <c:v>1.3621472595852504</c:v>
                </c:pt>
                <c:pt idx="40">
                  <c:v>1.3736494812568409</c:v>
                </c:pt>
                <c:pt idx="41">
                  <c:v>1.3850088015421091</c:v>
                </c:pt>
                <c:pt idx="42">
                  <c:v>1.3962304178276679</c:v>
                </c:pt>
                <c:pt idx="43">
                  <c:v>1.4073192198847175</c:v>
                </c:pt>
                <c:pt idx="44">
                  <c:v>1.418279814770592</c:v>
                </c:pt>
                <c:pt idx="45">
                  <c:v>1.429116549197003</c:v>
                </c:pt>
                <c:pt idx="46">
                  <c:v>1.5260878588792393</c:v>
                </c:pt>
                <c:pt idx="47">
                  <c:v>1.549208600319163</c:v>
                </c:pt>
                <c:pt idx="48">
                  <c:v>1.5723263242262364</c:v>
                </c:pt>
                <c:pt idx="49">
                  <c:v>1.5954410313228475</c:v>
                </c:pt>
                <c:pt idx="50">
                  <c:v>1.6185527223311691</c:v>
                </c:pt>
                <c:pt idx="51">
                  <c:v>1.6416613979731571</c:v>
                </c:pt>
                <c:pt idx="52">
                  <c:v>1.6647670589705525</c:v>
                </c:pt>
                <c:pt idx="53">
                  <c:v>1.6878697060448802</c:v>
                </c:pt>
                <c:pt idx="54">
                  <c:v>1.7109693399174484</c:v>
                </c:pt>
                <c:pt idx="55">
                  <c:v>1.7340659613093514</c:v>
                </c:pt>
                <c:pt idx="56">
                  <c:v>1.7571595709414671</c:v>
                </c:pt>
                <c:pt idx="57">
                  <c:v>1.7802501695344575</c:v>
                </c:pt>
                <c:pt idx="58">
                  <c:v>1.8033377578087704</c:v>
                </c:pt>
                <c:pt idx="59">
                  <c:v>1.8264223364846377</c:v>
                </c:pt>
                <c:pt idx="60">
                  <c:v>1.8495039062820755</c:v>
                </c:pt>
                <c:pt idx="61">
                  <c:v>1.8725824679208862</c:v>
                </c:pt>
                <c:pt idx="62">
                  <c:v>1.8956580221206558</c:v>
                </c:pt>
                <c:pt idx="63">
                  <c:v>1.9187305696007562</c:v>
                </c:pt>
                <c:pt idx="64">
                  <c:v>1.9418001110803436</c:v>
                </c:pt>
                <c:pt idx="65">
                  <c:v>1.9648666472783609</c:v>
                </c:pt>
                <c:pt idx="66">
                  <c:v>1.9879301789135342</c:v>
                </c:pt>
                <c:pt idx="67">
                  <c:v>2.0109907067043777</c:v>
                </c:pt>
                <c:pt idx="68">
                  <c:v>2.0340482313691881</c:v>
                </c:pt>
                <c:pt idx="69">
                  <c:v>2.0571027536260496</c:v>
                </c:pt>
                <c:pt idx="70">
                  <c:v>2.0801542741928318</c:v>
                </c:pt>
                <c:pt idx="71">
                  <c:v>2.1032027937871893</c:v>
                </c:pt>
                <c:pt idx="72">
                  <c:v>2.1262483131265633</c:v>
                </c:pt>
                <c:pt idx="73">
                  <c:v>2.1492908329281804</c:v>
                </c:pt>
                <c:pt idx="74">
                  <c:v>2.1723303539090524</c:v>
                </c:pt>
                <c:pt idx="75">
                  <c:v>2.1953668767859793</c:v>
                </c:pt>
                <c:pt idx="76">
                  <c:v>2.2184004022755444</c:v>
                </c:pt>
                <c:pt idx="77">
                  <c:v>2.2414309310941198</c:v>
                </c:pt>
                <c:pt idx="78">
                  <c:v>2.2644584639578627</c:v>
                </c:pt>
                <c:pt idx="79">
                  <c:v>2.2874830015827157</c:v>
                </c:pt>
                <c:pt idx="80">
                  <c:v>2.3105045446844099</c:v>
                </c:pt>
                <c:pt idx="81">
                  <c:v>2.3335230939784615</c:v>
                </c:pt>
                <c:pt idx="82">
                  <c:v>2.3565386501801728</c:v>
                </c:pt>
                <c:pt idx="83">
                  <c:v>2.3795512140046351</c:v>
                </c:pt>
                <c:pt idx="84">
                  <c:v>2.4025607861667249</c:v>
                </c:pt>
                <c:pt idx="85">
                  <c:v>2.4255673673811042</c:v>
                </c:pt>
                <c:pt idx="86">
                  <c:v>2.4485709583622253</c:v>
                </c:pt>
                <c:pt idx="87">
                  <c:v>2.4715715598243237</c:v>
                </c:pt>
                <c:pt idx="88">
                  <c:v>2.494569172481425</c:v>
                </c:pt>
                <c:pt idx="89">
                  <c:v>2.5175637970473419</c:v>
                </c:pt>
                <c:pt idx="90">
                  <c:v>2.5405554342356709</c:v>
                </c:pt>
                <c:pt idx="91">
                  <c:v>2.5635440847598003</c:v>
                </c:pt>
                <c:pt idx="92">
                  <c:v>2.586529749332902</c:v>
                </c:pt>
                <c:pt idx="93">
                  <c:v>2.6095124286679381</c:v>
                </c:pt>
                <c:pt idx="94">
                  <c:v>2.6324921234776579</c:v>
                </c:pt>
                <c:pt idx="95">
                  <c:v>2.6554688344745969</c:v>
                </c:pt>
                <c:pt idx="96">
                  <c:v>2.6784425623710799</c:v>
                </c:pt>
                <c:pt idx="97">
                  <c:v>2.7014133078792182</c:v>
                </c:pt>
                <c:pt idx="98">
                  <c:v>2.724381071710912</c:v>
                </c:pt>
                <c:pt idx="99">
                  <c:v>2.7473458545778486</c:v>
                </c:pt>
                <c:pt idx="100">
                  <c:v>2.7703076571915055</c:v>
                </c:pt>
              </c:numCache>
            </c:numRef>
          </c:val>
          <c:smooth val="0"/>
          <c:extLst>
            <c:ext xmlns:c16="http://schemas.microsoft.com/office/drawing/2014/chart" uri="{C3380CC4-5D6E-409C-BE32-E72D297353CC}">
              <c16:uniqueId val="{00000001-3C9D-44D2-AF55-BD525814CC37}"/>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1.0065303414710556</c:v>
                </c:pt>
                <c:pt idx="2">
                  <c:v>1.0130606829421114</c:v>
                </c:pt>
                <c:pt idx="3">
                  <c:v>1.019591024413167</c:v>
                </c:pt>
                <c:pt idx="4">
                  <c:v>1.0261213658842228</c:v>
                </c:pt>
                <c:pt idx="5">
                  <c:v>1.0326517073552783</c:v>
                </c:pt>
                <c:pt idx="6">
                  <c:v>1.0391820488263341</c:v>
                </c:pt>
                <c:pt idx="7">
                  <c:v>1.0457123902973897</c:v>
                </c:pt>
                <c:pt idx="8">
                  <c:v>1.0522427317684455</c:v>
                </c:pt>
                <c:pt idx="9">
                  <c:v>1.0587730732395011</c:v>
                </c:pt>
                <c:pt idx="10">
                  <c:v>1.0653034147105569</c:v>
                </c:pt>
                <c:pt idx="11">
                  <c:v>1.0718337561816125</c:v>
                </c:pt>
                <c:pt idx="12">
                  <c:v>1.0783640976526683</c:v>
                </c:pt>
                <c:pt idx="13">
                  <c:v>1.0848944391237239</c:v>
                </c:pt>
                <c:pt idx="14">
                  <c:v>1.0914247805947797</c:v>
                </c:pt>
                <c:pt idx="15">
                  <c:v>1.0979551220658352</c:v>
                </c:pt>
                <c:pt idx="16">
                  <c:v>1.104485463536891</c:v>
                </c:pt>
                <c:pt idx="17">
                  <c:v>1.1110158050079466</c:v>
                </c:pt>
                <c:pt idx="18">
                  <c:v>1.1175461464790024</c:v>
                </c:pt>
                <c:pt idx="19">
                  <c:v>1.124076487950058</c:v>
                </c:pt>
                <c:pt idx="20">
                  <c:v>1.1306068294211138</c:v>
                </c:pt>
                <c:pt idx="21">
                  <c:v>1.1371371708921694</c:v>
                </c:pt>
                <c:pt idx="22">
                  <c:v>1.1436675123632252</c:v>
                </c:pt>
                <c:pt idx="23">
                  <c:v>1.1501978538342807</c:v>
                </c:pt>
                <c:pt idx="24">
                  <c:v>1.1567281953053365</c:v>
                </c:pt>
                <c:pt idx="25">
                  <c:v>1.1632585367763921</c:v>
                </c:pt>
                <c:pt idx="26">
                  <c:v>1.1697888782474479</c:v>
                </c:pt>
                <c:pt idx="27">
                  <c:v>1.1763192197185035</c:v>
                </c:pt>
                <c:pt idx="28">
                  <c:v>1.1828495611895593</c:v>
                </c:pt>
                <c:pt idx="29">
                  <c:v>1.1893799026606149</c:v>
                </c:pt>
                <c:pt idx="30">
                  <c:v>1.1959102441316707</c:v>
                </c:pt>
                <c:pt idx="31">
                  <c:v>1.2642343181994165</c:v>
                </c:pt>
                <c:pt idx="32">
                  <c:v>1.2771147369983458</c:v>
                </c:pt>
                <c:pt idx="33">
                  <c:v>1.2897954230835378</c:v>
                </c:pt>
                <c:pt idx="34">
                  <c:v>1.3022853895613209</c:v>
                </c:pt>
                <c:pt idx="35">
                  <c:v>1.314592991392038</c:v>
                </c:pt>
                <c:pt idx="36">
                  <c:v>1.2769633514248666</c:v>
                </c:pt>
                <c:pt idx="37">
                  <c:v>1.2996498561280032</c:v>
                </c:pt>
                <c:pt idx="38">
                  <c:v>1.3223352556807479</c:v>
                </c:pt>
                <c:pt idx="39">
                  <c:v>1.3450018567916664</c:v>
                </c:pt>
                <c:pt idx="40">
                  <c:v>1.3676552410914975</c:v>
                </c:pt>
                <c:pt idx="41">
                  <c:v>1.3903057359413322</c:v>
                </c:pt>
                <c:pt idx="42">
                  <c:v>1.4129533419807991</c:v>
                </c:pt>
                <c:pt idx="43">
                  <c:v>1.4355980598493436</c:v>
                </c:pt>
                <c:pt idx="44">
                  <c:v>1.4582398901862303</c:v>
                </c:pt>
                <c:pt idx="45">
                  <c:v>1.4808788336305416</c:v>
                </c:pt>
                <c:pt idx="46">
                  <c:v>1.5035148908211791</c:v>
                </c:pt>
                <c:pt idx="47">
                  <c:v>1.5261480623968611</c:v>
                </c:pt>
                <c:pt idx="48">
                  <c:v>1.5487783489961275</c:v>
                </c:pt>
                <c:pt idx="49">
                  <c:v>1.5714057512573338</c:v>
                </c:pt>
                <c:pt idx="50">
                  <c:v>1.5940302698186559</c:v>
                </c:pt>
                <c:pt idx="51">
                  <c:v>1.6166519053180879</c:v>
                </c:pt>
                <c:pt idx="52">
                  <c:v>1.6392706583934427</c:v>
                </c:pt>
                <c:pt idx="53">
                  <c:v>1.6618865296823524</c:v>
                </c:pt>
                <c:pt idx="54">
                  <c:v>1.6844995198222672</c:v>
                </c:pt>
                <c:pt idx="55">
                  <c:v>1.7071096294504575</c:v>
                </c:pt>
                <c:pt idx="56">
                  <c:v>1.7297168592040115</c:v>
                </c:pt>
                <c:pt idx="57">
                  <c:v>1.7523212097198375</c:v>
                </c:pt>
                <c:pt idx="58">
                  <c:v>1.7749226816346628</c:v>
                </c:pt>
                <c:pt idx="59">
                  <c:v>1.7975212755850338</c:v>
                </c:pt>
                <c:pt idx="60">
                  <c:v>1.8201169922073162</c:v>
                </c:pt>
                <c:pt idx="61">
                  <c:v>1.8427098321376949</c:v>
                </c:pt>
                <c:pt idx="62">
                  <c:v>1.8652997960121751</c:v>
                </c:pt>
                <c:pt idx="63">
                  <c:v>1.8878868844665799</c:v>
                </c:pt>
                <c:pt idx="64">
                  <c:v>1.9104710981365542</c:v>
                </c:pt>
                <c:pt idx="65">
                  <c:v>1.9330524376575606</c:v>
                </c:pt>
                <c:pt idx="66">
                  <c:v>1.9556309036648822</c:v>
                </c:pt>
                <c:pt idx="67">
                  <c:v>1.9782064967936219</c:v>
                </c:pt>
                <c:pt idx="68">
                  <c:v>2.0007792176787031</c:v>
                </c:pt>
                <c:pt idx="69">
                  <c:v>2.0233490669548666</c:v>
                </c:pt>
                <c:pt idx="70">
                  <c:v>2.0459160452566771</c:v>
                </c:pt>
                <c:pt idx="71">
                  <c:v>2.0684801532185162</c:v>
                </c:pt>
                <c:pt idx="72">
                  <c:v>2.0910413914745862</c:v>
                </c:pt>
                <c:pt idx="73">
                  <c:v>2.1135997606589108</c:v>
                </c:pt>
                <c:pt idx="74">
                  <c:v>2.1361552614053321</c:v>
                </c:pt>
                <c:pt idx="75">
                  <c:v>2.1587078943475144</c:v>
                </c:pt>
                <c:pt idx="76">
                  <c:v>2.1812576601189413</c:v>
                </c:pt>
                <c:pt idx="77">
                  <c:v>2.2038045593529167</c:v>
                </c:pt>
                <c:pt idx="78">
                  <c:v>2.226348592682565</c:v>
                </c:pt>
                <c:pt idx="79">
                  <c:v>2.2488897607408318</c:v>
                </c:pt>
                <c:pt idx="80">
                  <c:v>2.2714280641604829</c:v>
                </c:pt>
                <c:pt idx="81">
                  <c:v>2.2939635035741044</c:v>
                </c:pt>
                <c:pt idx="82">
                  <c:v>2.3164960796141045</c:v>
                </c:pt>
                <c:pt idx="83">
                  <c:v>2.3390257929127105</c:v>
                </c:pt>
                <c:pt idx="84">
                  <c:v>2.361552644101971</c:v>
                </c:pt>
                <c:pt idx="85">
                  <c:v>2.3840766338137565</c:v>
                </c:pt>
                <c:pt idx="86">
                  <c:v>2.4065977626797581</c:v>
                </c:pt>
                <c:pt idx="87">
                  <c:v>2.4291160313314863</c:v>
                </c:pt>
                <c:pt idx="88">
                  <c:v>2.4516314404002761</c:v>
                </c:pt>
                <c:pt idx="89">
                  <c:v>2.4741439905172795</c:v>
                </c:pt>
                <c:pt idx="90">
                  <c:v>2.4966536823134744</c:v>
                </c:pt>
                <c:pt idx="91">
                  <c:v>2.5191605164196558</c:v>
                </c:pt>
                <c:pt idx="92">
                  <c:v>2.5416644934664423</c:v>
                </c:pt>
                <c:pt idx="93">
                  <c:v>2.5641656140842741</c:v>
                </c:pt>
                <c:pt idx="94">
                  <c:v>2.5866638789034111</c:v>
                </c:pt>
                <c:pt idx="95">
                  <c:v>2.6091592885539372</c:v>
                </c:pt>
                <c:pt idx="96">
                  <c:v>2.631651843665757</c:v>
                </c:pt>
                <c:pt idx="97">
                  <c:v>2.6541415448685957</c:v>
                </c:pt>
                <c:pt idx="98">
                  <c:v>2.6766283927920007</c:v>
                </c:pt>
                <c:pt idx="99">
                  <c:v>2.6991123880653434</c:v>
                </c:pt>
                <c:pt idx="100">
                  <c:v>2.7215935313178132</c:v>
                </c:pt>
              </c:numCache>
            </c:numRef>
          </c:val>
          <c:smooth val="0"/>
          <c:extLst>
            <c:ext xmlns:c16="http://schemas.microsoft.com/office/drawing/2014/chart" uri="{C3380CC4-5D6E-409C-BE32-E72D297353CC}">
              <c16:uniqueId val="{00000002-3C9D-44D2-AF55-BD525814CC37}"/>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Calculations'!$AD$13:$AD$613</c:f>
              <c:numCache>
                <c:formatCode>0.00</c:formatCode>
                <c:ptCount val="601"/>
                <c:pt idx="0">
                  <c:v>72.748461479496569</c:v>
                </c:pt>
                <c:pt idx="1">
                  <c:v>71.948715944706578</c:v>
                </c:pt>
                <c:pt idx="2">
                  <c:v>71.148987932675766</c:v>
                </c:pt>
                <c:pt idx="3">
                  <c:v>70.349257207734368</c:v>
                </c:pt>
                <c:pt idx="4">
                  <c:v>69.550029759845827</c:v>
                </c:pt>
                <c:pt idx="5">
                  <c:v>68.74996197419199</c:v>
                </c:pt>
                <c:pt idx="6">
                  <c:v>67.950178695546626</c:v>
                </c:pt>
                <c:pt idx="7">
                  <c:v>67.15014360656204</c:v>
                </c:pt>
                <c:pt idx="8">
                  <c:v>66.350432479292223</c:v>
                </c:pt>
                <c:pt idx="9">
                  <c:v>65.550433980151908</c:v>
                </c:pt>
                <c:pt idx="10">
                  <c:v>64.750603541527809</c:v>
                </c:pt>
                <c:pt idx="11">
                  <c:v>63.950823803608266</c:v>
                </c:pt>
                <c:pt idx="12">
                  <c:v>63.150669090588387</c:v>
                </c:pt>
                <c:pt idx="13">
                  <c:v>62.350906347082073</c:v>
                </c:pt>
                <c:pt idx="14">
                  <c:v>61.550896091018984</c:v>
                </c:pt>
                <c:pt idx="15">
                  <c:v>60.75094551722281</c:v>
                </c:pt>
                <c:pt idx="16">
                  <c:v>59.950990073128438</c:v>
                </c:pt>
                <c:pt idx="17">
                  <c:v>59.151143791185348</c:v>
                </c:pt>
                <c:pt idx="18">
                  <c:v>58.351174923573993</c:v>
                </c:pt>
                <c:pt idx="19">
                  <c:v>57.551299110806148</c:v>
                </c:pt>
                <c:pt idx="20">
                  <c:v>56.751357699676028</c:v>
                </c:pt>
                <c:pt idx="21">
                  <c:v>55.951514930865748</c:v>
                </c:pt>
                <c:pt idx="22">
                  <c:v>55.151601459546455</c:v>
                </c:pt>
                <c:pt idx="23">
                  <c:v>54.35181736147581</c:v>
                </c:pt>
                <c:pt idx="24">
                  <c:v>53.551962096960615</c:v>
                </c:pt>
                <c:pt idx="25">
                  <c:v>52.752163559106549</c:v>
                </c:pt>
                <c:pt idx="26">
                  <c:v>51.952240811787377</c:v>
                </c:pt>
                <c:pt idx="27">
                  <c:v>51.152455506117789</c:v>
                </c:pt>
                <c:pt idx="28">
                  <c:v>50.352785426443177</c:v>
                </c:pt>
                <c:pt idx="29">
                  <c:v>49.553738445993275</c:v>
                </c:pt>
                <c:pt idx="30">
                  <c:v>48.753977441179821</c:v>
                </c:pt>
                <c:pt idx="31">
                  <c:v>47.954637349540889</c:v>
                </c:pt>
                <c:pt idx="32">
                  <c:v>47.155197173806286</c:v>
                </c:pt>
                <c:pt idx="33">
                  <c:v>46.356252393508363</c:v>
                </c:pt>
                <c:pt idx="34">
                  <c:v>45.55721822589507</c:v>
                </c:pt>
                <c:pt idx="35">
                  <c:v>44.758582250007429</c:v>
                </c:pt>
                <c:pt idx="36">
                  <c:v>43.960267601728503</c:v>
                </c:pt>
                <c:pt idx="37">
                  <c:v>43.161899117516704</c:v>
                </c:pt>
                <c:pt idx="38">
                  <c:v>42.364302322866045</c:v>
                </c:pt>
                <c:pt idx="39">
                  <c:v>41.56691244476697</c:v>
                </c:pt>
                <c:pt idx="40">
                  <c:v>40.770124067542071</c:v>
                </c:pt>
                <c:pt idx="41">
                  <c:v>39.973979115493684</c:v>
                </c:pt>
                <c:pt idx="42">
                  <c:v>39.17871866894955</c:v>
                </c:pt>
                <c:pt idx="43">
                  <c:v>38.384265630049327</c:v>
                </c:pt>
                <c:pt idx="44">
                  <c:v>37.591017890568281</c:v>
                </c:pt>
                <c:pt idx="45">
                  <c:v>36.799037890159987</c:v>
                </c:pt>
                <c:pt idx="46">
                  <c:v>36.008750787691788</c:v>
                </c:pt>
                <c:pt idx="47">
                  <c:v>35.220302535123807</c:v>
                </c:pt>
                <c:pt idx="48">
                  <c:v>34.434263201431648</c:v>
                </c:pt>
                <c:pt idx="49">
                  <c:v>33.650878826898378</c:v>
                </c:pt>
                <c:pt idx="50">
                  <c:v>32.870800318720718</c:v>
                </c:pt>
                <c:pt idx="51">
                  <c:v>32.094473048822735</c:v>
                </c:pt>
                <c:pt idx="52">
                  <c:v>31.322882782694176</c:v>
                </c:pt>
                <c:pt idx="53">
                  <c:v>30.556864329179142</c:v>
                </c:pt>
                <c:pt idx="54">
                  <c:v>29.797897230545093</c:v>
                </c:pt>
                <c:pt idx="55">
                  <c:v>29.045875067424451</c:v>
                </c:pt>
                <c:pt idx="56">
                  <c:v>28.303208652769769</c:v>
                </c:pt>
                <c:pt idx="57">
                  <c:v>27.570939974969328</c:v>
                </c:pt>
                <c:pt idx="58">
                  <c:v>26.851338326248428</c:v>
                </c:pt>
                <c:pt idx="59">
                  <c:v>26.14580470398252</c:v>
                </c:pt>
                <c:pt idx="60">
                  <c:v>25.456896631455685</c:v>
                </c:pt>
                <c:pt idx="61">
                  <c:v>24.786840585394252</c:v>
                </c:pt>
                <c:pt idx="62">
                  <c:v>24.137774504591945</c:v>
                </c:pt>
                <c:pt idx="63">
                  <c:v>23.512895029925968</c:v>
                </c:pt>
                <c:pt idx="64">
                  <c:v>22.914292057813498</c:v>
                </c:pt>
                <c:pt idx="65">
                  <c:v>22.344728490883622</c:v>
                </c:pt>
                <c:pt idx="66">
                  <c:v>21.806499989907294</c:v>
                </c:pt>
                <c:pt idx="67">
                  <c:v>21.301727117169413</c:v>
                </c:pt>
                <c:pt idx="68">
                  <c:v>20.831908225792581</c:v>
                </c:pt>
                <c:pt idx="69">
                  <c:v>20.398310667119897</c:v>
                </c:pt>
                <c:pt idx="70">
                  <c:v>20.001408272188279</c:v>
                </c:pt>
                <c:pt idx="71">
                  <c:v>19.641227788764333</c:v>
                </c:pt>
                <c:pt idx="72">
                  <c:v>19.317027897978377</c:v>
                </c:pt>
                <c:pt idx="73">
                  <c:v>19.027655617157556</c:v>
                </c:pt>
                <c:pt idx="74">
                  <c:v>18.771314621901258</c:v>
                </c:pt>
                <c:pt idx="75">
                  <c:v>18.545938711522979</c:v>
                </c:pt>
                <c:pt idx="76">
                  <c:v>18.349097380111235</c:v>
                </c:pt>
                <c:pt idx="77">
                  <c:v>18.178310628616252</c:v>
                </c:pt>
                <c:pt idx="78">
                  <c:v>18.030962744018904</c:v>
                </c:pt>
                <c:pt idx="79">
                  <c:v>17.904553530113269</c:v>
                </c:pt>
                <c:pt idx="80">
                  <c:v>17.79641424290287</c:v>
                </c:pt>
                <c:pt idx="81">
                  <c:v>17.704401975630727</c:v>
                </c:pt>
                <c:pt idx="82">
                  <c:v>17.62632552789772</c:v>
                </c:pt>
                <c:pt idx="83">
                  <c:v>17.560315136466706</c:v>
                </c:pt>
                <c:pt idx="84">
                  <c:v>17.504601862932894</c:v>
                </c:pt>
                <c:pt idx="85">
                  <c:v>17.457704609306852</c:v>
                </c:pt>
                <c:pt idx="86">
                  <c:v>17.418288919672221</c:v>
                </c:pt>
                <c:pt idx="87">
                  <c:v>17.385189500269107</c:v>
                </c:pt>
                <c:pt idx="88">
                  <c:v>17.35744865828719</c:v>
                </c:pt>
                <c:pt idx="89">
                  <c:v>17.334194809600497</c:v>
                </c:pt>
                <c:pt idx="90">
                  <c:v>17.314714935693289</c:v>
                </c:pt>
                <c:pt idx="91">
                  <c:v>17.298391645875121</c:v>
                </c:pt>
                <c:pt idx="92">
                  <c:v>17.284704530663934</c:v>
                </c:pt>
                <c:pt idx="93">
                  <c:v>17.27320711185407</c:v>
                </c:pt>
                <c:pt idx="94">
                  <c:v>17.27063102366461</c:v>
                </c:pt>
                <c:pt idx="95">
                  <c:v>17.269376135022181</c:v>
                </c:pt>
                <c:pt idx="96">
                  <c:v>17.268161823081766</c:v>
                </c:pt>
                <c:pt idx="97">
                  <c:v>17.266959464506183</c:v>
                </c:pt>
                <c:pt idx="98">
                  <c:v>17.265795843080344</c:v>
                </c:pt>
                <c:pt idx="99">
                  <c:v>17.264643245932472</c:v>
                </c:pt>
                <c:pt idx="100">
                  <c:v>17.263527643098286</c:v>
                </c:pt>
                <c:pt idx="101">
                  <c:v>17.262423034276363</c:v>
                </c:pt>
                <c:pt idx="102">
                  <c:v>17.261353713509283</c:v>
                </c:pt>
                <c:pt idx="103">
                  <c:v>17.260293761191974</c:v>
                </c:pt>
                <c:pt idx="104">
                  <c:v>17.259267528322951</c:v>
                </c:pt>
                <c:pt idx="105">
                  <c:v>17.258250682255301</c:v>
                </c:pt>
                <c:pt idx="106">
                  <c:v>17.25726601547197</c:v>
                </c:pt>
                <c:pt idx="107">
                  <c:v>17.256290678950407</c:v>
                </c:pt>
                <c:pt idx="108">
                  <c:v>17.255346015216407</c:v>
                </c:pt>
                <c:pt idx="109">
                  <c:v>17.25440993414454</c:v>
                </c:pt>
                <c:pt idx="110">
                  <c:v>17.253503096168249</c:v>
                </c:pt>
                <c:pt idx="111">
                  <c:v>17.252603564755919</c:v>
                </c:pt>
                <c:pt idx="112">
                  <c:v>17.251731953454787</c:v>
                </c:pt>
                <c:pt idx="113">
                  <c:v>17.250867637305909</c:v>
                </c:pt>
                <c:pt idx="114">
                  <c:v>17.250029942756459</c:v>
                </c:pt>
                <c:pt idx="115">
                  <c:v>17.249198950593041</c:v>
                </c:pt>
                <c:pt idx="116">
                  <c:v>17.248393341724132</c:v>
                </c:pt>
                <c:pt idx="117">
                  <c:v>17.247593882141501</c:v>
                </c:pt>
                <c:pt idx="118">
                  <c:v>17.246818623281051</c:v>
                </c:pt>
                <c:pt idx="119">
                  <c:v>17.246049454239166</c:v>
                </c:pt>
                <c:pt idx="120">
                  <c:v>17.24530332779123</c:v>
                </c:pt>
                <c:pt idx="121">
                  <c:v>17.244562748605166</c:v>
                </c:pt>
                <c:pt idx="122">
                  <c:v>17.243844107082197</c:v>
                </c:pt>
                <c:pt idx="123">
                  <c:v>17.243130094471159</c:v>
                </c:pt>
                <c:pt idx="124">
                  <c:v>17.242436987614578</c:v>
                </c:pt>
                <c:pt idx="125">
                  <c:v>17.241748455901256</c:v>
                </c:pt>
                <c:pt idx="126">
                  <c:v>17.24107981764206</c:v>
                </c:pt>
                <c:pt idx="127">
                  <c:v>17.240415292001813</c:v>
                </c:pt>
                <c:pt idx="128">
                  <c:v>17.239769690664147</c:v>
                </c:pt>
                <c:pt idx="129">
                  <c:v>17.239127759700605</c:v>
                </c:pt>
                <c:pt idx="130">
                  <c:v>17.238503824240418</c:v>
                </c:pt>
                <c:pt idx="131">
                  <c:v>17.237883134223122</c:v>
                </c:pt>
                <c:pt idx="132">
                  <c:v>17.237579254881709</c:v>
                </c:pt>
                <c:pt idx="133">
                  <c:v>17.237279548730356</c:v>
                </c:pt>
                <c:pt idx="134">
                  <c:v>17.23697693750378</c:v>
                </c:pt>
                <c:pt idx="135">
                  <c:v>17.236678492560749</c:v>
                </c:pt>
                <c:pt idx="136">
                  <c:v>17.236384113267668</c:v>
                </c:pt>
                <c:pt idx="137">
                  <c:v>17.23609370183312</c:v>
                </c:pt>
                <c:pt idx="138">
                  <c:v>17.235800701925179</c:v>
                </c:pt>
                <c:pt idx="139">
                  <c:v>17.235511653897021</c:v>
                </c:pt>
                <c:pt idx="140">
                  <c:v>17.235226461757726</c:v>
                </c:pt>
                <c:pt idx="141">
                  <c:v>17.234945032226516</c:v>
                </c:pt>
                <c:pt idx="142">
                  <c:v>17.234660731902149</c:v>
                </c:pt>
                <c:pt idx="143">
                  <c:v>17.23438018522938</c:v>
                </c:pt>
                <c:pt idx="144">
                  <c:v>17.234103300374684</c:v>
                </c:pt>
                <c:pt idx="145">
                  <c:v>17.233829988098986</c:v>
                </c:pt>
                <c:pt idx="146">
                  <c:v>17.233553952008489</c:v>
                </c:pt>
                <c:pt idx="147">
                  <c:v>17.233281474862927</c:v>
                </c:pt>
                <c:pt idx="148">
                  <c:v>17.233012468951877</c:v>
                </c:pt>
                <c:pt idx="149">
                  <c:v>17.232746849043089</c:v>
                </c:pt>
                <c:pt idx="150">
                  <c:v>17.232478505595136</c:v>
                </c:pt>
                <c:pt idx="151">
                  <c:v>17.232213533623845</c:v>
                </c:pt>
                <c:pt idx="152">
                  <c:v>17.231951849368052</c:v>
                </c:pt>
                <c:pt idx="153">
                  <c:v>17.231693371433305</c:v>
                </c:pt>
                <c:pt idx="154">
                  <c:v>17.231432046676534</c:v>
                </c:pt>
                <c:pt idx="155">
                  <c:v>17.231173915678269</c:v>
                </c:pt>
                <c:pt idx="156">
                  <c:v>17.230918898352307</c:v>
                </c:pt>
                <c:pt idx="157">
                  <c:v>17.230666916876341</c:v>
                </c:pt>
                <c:pt idx="158">
                  <c:v>17.230412088747691</c:v>
                </c:pt>
                <c:pt idx="159">
                  <c:v>17.230160282568754</c:v>
                </c:pt>
                <c:pt idx="160">
                  <c:v>17.229911421789041</c:v>
                </c:pt>
                <c:pt idx="161">
                  <c:v>17.229665432022809</c:v>
                </c:pt>
                <c:pt idx="162">
                  <c:v>17.229416698960456</c:v>
                </c:pt>
                <c:pt idx="163">
                  <c:v>17.229170819204811</c:v>
                </c:pt>
                <c:pt idx="164">
                  <c:v>17.228927719701673</c:v>
                </c:pt>
                <c:pt idx="165">
                  <c:v>17.228687329462385</c:v>
                </c:pt>
                <c:pt idx="166">
                  <c:v>17.228443970188998</c:v>
                </c:pt>
                <c:pt idx="167">
                  <c:v>17.228203306038754</c:v>
                </c:pt>
                <c:pt idx="168">
                  <c:v>17.227965267130521</c:v>
                </c:pt>
                <c:pt idx="169">
                  <c:v>17.227729785560214</c:v>
                </c:pt>
                <c:pt idx="170">
                  <c:v>17.22749182237164</c:v>
                </c:pt>
                <c:pt idx="171">
                  <c:v>17.227256390260163</c:v>
                </c:pt>
                <c:pt idx="172">
                  <c:v>17.227023422821336</c:v>
                </c:pt>
                <c:pt idx="173">
                  <c:v>17.226792855526448</c:v>
                </c:pt>
                <c:pt idx="174">
                  <c:v>17.226558901635929</c:v>
                </c:pt>
                <c:pt idx="175">
                  <c:v>17.226327338850943</c:v>
                </c:pt>
                <c:pt idx="176">
                  <c:v>17.226098103371633</c:v>
                </c:pt>
                <c:pt idx="177">
                  <c:v>17.225871133204016</c:v>
                </c:pt>
                <c:pt idx="178">
                  <c:v>17.225640868365101</c:v>
                </c:pt>
                <c:pt idx="179">
                  <c:v>17.22541285540688</c:v>
                </c:pt>
                <c:pt idx="180">
                  <c:v>17.225187033155976</c:v>
                </c:pt>
                <c:pt idx="181">
                  <c:v>17.224963342173034</c:v>
                </c:pt>
                <c:pt idx="182">
                  <c:v>17.224737313106001</c:v>
                </c:pt>
                <c:pt idx="183">
                  <c:v>17.224513381753479</c:v>
                </c:pt>
                <c:pt idx="184">
                  <c:v>17.224291490243633</c:v>
                </c:pt>
                <c:pt idx="185">
                  <c:v>17.224071582340162</c:v>
                </c:pt>
                <c:pt idx="186">
                  <c:v>17.223847646344037</c:v>
                </c:pt>
                <c:pt idx="187">
                  <c:v>17.223625689059812</c:v>
                </c:pt>
                <c:pt idx="188">
                  <c:v>17.223405654528669</c:v>
                </c:pt>
                <c:pt idx="189">
                  <c:v>17.223187488379935</c:v>
                </c:pt>
                <c:pt idx="190">
                  <c:v>17.222967026265113</c:v>
                </c:pt>
                <c:pt idx="191">
                  <c:v>17.22274839532264</c:v>
                </c:pt>
                <c:pt idx="192">
                  <c:v>17.222531542761686</c:v>
                </c:pt>
                <c:pt idx="193">
                  <c:v>17.222316417283892</c:v>
                </c:pt>
                <c:pt idx="194">
                  <c:v>17.222097395130657</c:v>
                </c:pt>
                <c:pt idx="195">
                  <c:v>17.221880086952375</c:v>
                </c:pt>
                <c:pt idx="196">
                  <c:v>17.221664441886297</c:v>
                </c:pt>
                <c:pt idx="197">
                  <c:v>17.221450410511963</c:v>
                </c:pt>
                <c:pt idx="198">
                  <c:v>17.221233309431959</c:v>
                </c:pt>
                <c:pt idx="199">
                  <c:v>17.221017793542817</c:v>
                </c:pt>
                <c:pt idx="200">
                  <c:v>17.220803814463849</c:v>
                </c:pt>
                <c:pt idx="201">
                  <c:v>17.220591325184714</c:v>
                </c:pt>
                <c:pt idx="202">
                  <c:v>17.220375773097285</c:v>
                </c:pt>
                <c:pt idx="203">
                  <c:v>17.220161680373224</c:v>
                </c:pt>
                <c:pt idx="204">
                  <c:v>17.219949001049258</c:v>
                </c:pt>
                <c:pt idx="205">
                  <c:v>17.219737690461983</c:v>
                </c:pt>
                <c:pt idx="206">
                  <c:v>17.219522581961389</c:v>
                </c:pt>
                <c:pt idx="207">
                  <c:v>17.219308819113209</c:v>
                </c:pt>
                <c:pt idx="208">
                  <c:v>17.219096357856692</c:v>
                </c:pt>
                <c:pt idx="209">
                  <c:v>17.218885155378917</c:v>
                </c:pt>
                <c:pt idx="210">
                  <c:v>17.218669453369998</c:v>
                </c:pt>
                <c:pt idx="211">
                  <c:v>17.218454992083323</c:v>
                </c:pt>
                <c:pt idx="212">
                  <c:v>17.21824172894323</c:v>
                </c:pt>
                <c:pt idx="213">
                  <c:v>17.218029622584766</c:v>
                </c:pt>
                <c:pt idx="214">
                  <c:v>17.217814438117909</c:v>
                </c:pt>
                <c:pt idx="215">
                  <c:v>17.217600373763883</c:v>
                </c:pt>
                <c:pt idx="216">
                  <c:v>17.21738738926781</c:v>
                </c:pt>
                <c:pt idx="217">
                  <c:v>17.217175445516176</c:v>
                </c:pt>
                <c:pt idx="218">
                  <c:v>17.216959706168197</c:v>
                </c:pt>
                <c:pt idx="219">
                  <c:v>17.216744976289156</c:v>
                </c:pt>
                <c:pt idx="220">
                  <c:v>17.216531217487969</c:v>
                </c:pt>
                <c:pt idx="221">
                  <c:v>17.216318392461879</c:v>
                </c:pt>
                <c:pt idx="222">
                  <c:v>17.216101750416009</c:v>
                </c:pt>
                <c:pt idx="223">
                  <c:v>17.215886008728521</c:v>
                </c:pt>
                <c:pt idx="224">
                  <c:v>17.215671130839009</c:v>
                </c:pt>
                <c:pt idx="225">
                  <c:v>17.215457081222876</c:v>
                </c:pt>
                <c:pt idx="226">
                  <c:v>17.215238520414641</c:v>
                </c:pt>
                <c:pt idx="227">
                  <c:v>17.215020757301399</c:v>
                </c:pt>
                <c:pt idx="228">
                  <c:v>17.214803756798311</c:v>
                </c:pt>
                <c:pt idx="229">
                  <c:v>17.214587484816494</c:v>
                </c:pt>
                <c:pt idx="230">
                  <c:v>17.214146559487546</c:v>
                </c:pt>
                <c:pt idx="231">
                  <c:v>17.213927105776897</c:v>
                </c:pt>
                <c:pt idx="232">
                  <c:v>17.213708280854291</c:v>
                </c:pt>
                <c:pt idx="233">
                  <c:v>17.213484879512823</c:v>
                </c:pt>
                <c:pt idx="234">
                  <c:v>17.213262070853041</c:v>
                </c:pt>
                <c:pt idx="235">
                  <c:v>17.213039822751423</c:v>
                </c:pt>
                <c:pt idx="236">
                  <c:v>17.212818103998405</c:v>
                </c:pt>
                <c:pt idx="237">
                  <c:v>17.212592400709571</c:v>
                </c:pt>
                <c:pt idx="238">
                  <c:v>17.212367185606464</c:v>
                </c:pt>
                <c:pt idx="239">
                  <c:v>17.212142428287301</c:v>
                </c:pt>
                <c:pt idx="240">
                  <c:v>17.211918099213214</c:v>
                </c:pt>
                <c:pt idx="241">
                  <c:v>17.211688449197752</c:v>
                </c:pt>
                <c:pt idx="242">
                  <c:v>17.211459189334487</c:v>
                </c:pt>
                <c:pt idx="243">
                  <c:v>17.211230290400742</c:v>
                </c:pt>
                <c:pt idx="244">
                  <c:v>17.211001724005591</c:v>
                </c:pt>
                <c:pt idx="245">
                  <c:v>17.210768407384126</c:v>
                </c:pt>
                <c:pt idx="246">
                  <c:v>17.210535380758579</c:v>
                </c:pt>
                <c:pt idx="247">
                  <c:v>17.21030261632378</c:v>
                </c:pt>
                <c:pt idx="248">
                  <c:v>17.210070087065603</c:v>
                </c:pt>
                <c:pt idx="249">
                  <c:v>17.209832102778201</c:v>
                </c:pt>
                <c:pt idx="250">
                  <c:v>17.209594310322345</c:v>
                </c:pt>
                <c:pt idx="251">
                  <c:v>17.209356683069338</c:v>
                </c:pt>
                <c:pt idx="252">
                  <c:v>17.20911919514942</c:v>
                </c:pt>
                <c:pt idx="253">
                  <c:v>17.208876798698537</c:v>
                </c:pt>
                <c:pt idx="254">
                  <c:v>17.208634495327601</c:v>
                </c:pt>
                <c:pt idx="255">
                  <c:v>17.20839225977673</c:v>
                </c:pt>
                <c:pt idx="256">
                  <c:v>17.208150067505088</c:v>
                </c:pt>
                <c:pt idx="257">
                  <c:v>17.207901620807743</c:v>
                </c:pt>
                <c:pt idx="258">
                  <c:v>17.207653169552945</c:v>
                </c:pt>
                <c:pt idx="259">
                  <c:v>17.207404689445404</c:v>
                </c:pt>
                <c:pt idx="260">
                  <c:v>17.207156156883837</c:v>
                </c:pt>
                <c:pt idx="261">
                  <c:v>17.206901897704917</c:v>
                </c:pt>
                <c:pt idx="262">
                  <c:v>17.206647535848983</c:v>
                </c:pt>
                <c:pt idx="263">
                  <c:v>17.206393048171464</c:v>
                </c:pt>
                <c:pt idx="264">
                  <c:v>17.206138412189244</c:v>
                </c:pt>
                <c:pt idx="265">
                  <c:v>17.205877941603614</c:v>
                </c:pt>
                <c:pt idx="266">
                  <c:v>17.205617270559355</c:v>
                </c:pt>
                <c:pt idx="267">
                  <c:v>17.205356377041749</c:v>
                </c:pt>
                <c:pt idx="268">
                  <c:v>17.205095239665315</c:v>
                </c:pt>
                <c:pt idx="269">
                  <c:v>17.20482752015138</c:v>
                </c:pt>
                <c:pt idx="270">
                  <c:v>17.20455950138383</c:v>
                </c:pt>
                <c:pt idx="271">
                  <c:v>17.204291162305982</c:v>
                </c:pt>
                <c:pt idx="272">
                  <c:v>17.20402248246436</c:v>
                </c:pt>
                <c:pt idx="273">
                  <c:v>17.203747092182727</c:v>
                </c:pt>
                <c:pt idx="274">
                  <c:v>17.203471303358359</c:v>
                </c:pt>
                <c:pt idx="275">
                  <c:v>17.20319509588942</c:v>
                </c:pt>
                <c:pt idx="276">
                  <c:v>17.202918450251012</c:v>
                </c:pt>
                <c:pt idx="277">
                  <c:v>17.202635596134265</c:v>
                </c:pt>
                <c:pt idx="278">
                  <c:v>17.202352246132932</c:v>
                </c:pt>
                <c:pt idx="279">
                  <c:v>17.202068381218485</c:v>
                </c:pt>
                <c:pt idx="280">
                  <c:v>17.201783982908164</c:v>
                </c:pt>
                <c:pt idx="281">
                  <c:v>17.201491306684943</c:v>
                </c:pt>
                <c:pt idx="282">
                  <c:v>17.201198029943427</c:v>
                </c:pt>
                <c:pt idx="283">
                  <c:v>17.200904134336568</c:v>
                </c:pt>
                <c:pt idx="284">
                  <c:v>17.200609602046562</c:v>
                </c:pt>
                <c:pt idx="285">
                  <c:v>17.200308570206513</c:v>
                </c:pt>
                <c:pt idx="286">
                  <c:v>17.20000684042575</c:v>
                </c:pt>
                <c:pt idx="287">
                  <c:v>17.199704395395692</c:v>
                </c:pt>
                <c:pt idx="288">
                  <c:v>17.199401218306527</c:v>
                </c:pt>
                <c:pt idx="289">
                  <c:v>17.199089422617991</c:v>
                </c:pt>
                <c:pt idx="290">
                  <c:v>17.198776822215883</c:v>
                </c:pt>
                <c:pt idx="291">
                  <c:v>17.198463400480016</c:v>
                </c:pt>
                <c:pt idx="292">
                  <c:v>17.198149141271585</c:v>
                </c:pt>
                <c:pt idx="293">
                  <c:v>17.197826736700939</c:v>
                </c:pt>
                <c:pt idx="294">
                  <c:v>17.19750342280047</c:v>
                </c:pt>
                <c:pt idx="295">
                  <c:v>17.19717918374722</c:v>
                </c:pt>
                <c:pt idx="296">
                  <c:v>17.196854004177883</c:v>
                </c:pt>
                <c:pt idx="297">
                  <c:v>17.196520491526538</c:v>
                </c:pt>
                <c:pt idx="298">
                  <c:v>17.196185964303744</c:v>
                </c:pt>
                <c:pt idx="299">
                  <c:v>17.195850407473781</c:v>
                </c:pt>
                <c:pt idx="300">
                  <c:v>17.195513806438942</c:v>
                </c:pt>
                <c:pt idx="301">
                  <c:v>17.195168676631734</c:v>
                </c:pt>
                <c:pt idx="302">
                  <c:v>17.19482242648159</c:v>
                </c:pt>
                <c:pt idx="303">
                  <c:v>17.194475041726662</c:v>
                </c:pt>
                <c:pt idx="304">
                  <c:v>17.194126508521784</c:v>
                </c:pt>
                <c:pt idx="305">
                  <c:v>17.193767866782789</c:v>
                </c:pt>
                <c:pt idx="306">
                  <c:v>17.193407988971128</c:v>
                </c:pt>
                <c:pt idx="307">
                  <c:v>17.193046861428677</c:v>
                </c:pt>
                <c:pt idx="308">
                  <c:v>17.192684470899106</c:v>
                </c:pt>
                <c:pt idx="309">
                  <c:v>17.192313127229053</c:v>
                </c:pt>
                <c:pt idx="310">
                  <c:v>17.191940440071669</c:v>
                </c:pt>
                <c:pt idx="311">
                  <c:v>17.191566396525722</c:v>
                </c:pt>
                <c:pt idx="312">
                  <c:v>17.191190984070705</c:v>
                </c:pt>
                <c:pt idx="313">
                  <c:v>17.190804983115161</c:v>
                </c:pt>
                <c:pt idx="314">
                  <c:v>17.190417520232387</c:v>
                </c:pt>
                <c:pt idx="315">
                  <c:v>17.190028583123972</c:v>
                </c:pt>
                <c:pt idx="316">
                  <c:v>17.189638159857122</c:v>
                </c:pt>
                <c:pt idx="317">
                  <c:v>17.18923688905203</c:v>
                </c:pt>
                <c:pt idx="318">
                  <c:v>17.188834036284774</c:v>
                </c:pt>
                <c:pt idx="319">
                  <c:v>17.188429589862086</c:v>
                </c:pt>
                <c:pt idx="320">
                  <c:v>17.188023538440934</c:v>
                </c:pt>
                <c:pt idx="321">
                  <c:v>17.187606371064966</c:v>
                </c:pt>
                <c:pt idx="322">
                  <c:v>17.187187500214609</c:v>
                </c:pt>
                <c:pt idx="323">
                  <c:v>17.186766914800597</c:v>
                </c:pt>
                <c:pt idx="324">
                  <c:v>17.186344604068506</c:v>
                </c:pt>
                <c:pt idx="325">
                  <c:v>17.185910899914962</c:v>
                </c:pt>
                <c:pt idx="326">
                  <c:v>17.185475369399644</c:v>
                </c:pt>
                <c:pt idx="327">
                  <c:v>17.185038002033309</c:v>
                </c:pt>
                <c:pt idx="328">
                  <c:v>17.184598787646259</c:v>
                </c:pt>
                <c:pt idx="329">
                  <c:v>17.184147137995463</c:v>
                </c:pt>
                <c:pt idx="330">
                  <c:v>17.183693531262886</c:v>
                </c:pt>
                <c:pt idx="331">
                  <c:v>17.183237957504009</c:v>
                </c:pt>
                <c:pt idx="332">
                  <c:v>17.182780407080735</c:v>
                </c:pt>
                <c:pt idx="333">
                  <c:v>17.182310875319608</c:v>
                </c:pt>
                <c:pt idx="334">
                  <c:v>17.181839260759112</c:v>
                </c:pt>
                <c:pt idx="335">
                  <c:v>17.181365554045946</c:v>
                </c:pt>
                <c:pt idx="336">
                  <c:v>17.180889746118226</c:v>
                </c:pt>
                <c:pt idx="337">
                  <c:v>17.180400087956986</c:v>
                </c:pt>
                <c:pt idx="338">
                  <c:v>17.179908205958117</c:v>
                </c:pt>
                <c:pt idx="339">
                  <c:v>17.179414091266167</c:v>
                </c:pt>
                <c:pt idx="340">
                  <c:v>17.178917735305927</c:v>
                </c:pt>
                <c:pt idx="341">
                  <c:v>17.17840717379157</c:v>
                </c:pt>
                <c:pt idx="342">
                  <c:v>17.177894245152938</c:v>
                </c:pt>
                <c:pt idx="343">
                  <c:v>17.177378941038043</c:v>
                </c:pt>
                <c:pt idx="344">
                  <c:v>17.176861253363793</c:v>
                </c:pt>
                <c:pt idx="345">
                  <c:v>17.176329806319124</c:v>
                </c:pt>
                <c:pt idx="346">
                  <c:v>17.175795854383662</c:v>
                </c:pt>
                <c:pt idx="347">
                  <c:v>17.1752593897472</c:v>
                </c:pt>
                <c:pt idx="348">
                  <c:v>17.174720404855581</c:v>
                </c:pt>
                <c:pt idx="349">
                  <c:v>17.174165653145604</c:v>
                </c:pt>
                <c:pt idx="350">
                  <c:v>17.173608241481624</c:v>
                </c:pt>
                <c:pt idx="351">
                  <c:v>17.173048162524502</c:v>
                </c:pt>
                <c:pt idx="352">
                  <c:v>17.172485409181441</c:v>
                </c:pt>
                <c:pt idx="353">
                  <c:v>17.171906479135242</c:v>
                </c:pt>
                <c:pt idx="354">
                  <c:v>17.171324731545525</c:v>
                </c:pt>
                <c:pt idx="355">
                  <c:v>17.170740159551091</c:v>
                </c:pt>
                <c:pt idx="356">
                  <c:v>17.170152756527308</c:v>
                </c:pt>
                <c:pt idx="357">
                  <c:v>17.169549615811505</c:v>
                </c:pt>
                <c:pt idx="358">
                  <c:v>17.168943506012788</c:v>
                </c:pt>
                <c:pt idx="359">
                  <c:v>17.168334420779509</c:v>
                </c:pt>
                <c:pt idx="360">
                  <c:v>17.167722353985521</c:v>
                </c:pt>
                <c:pt idx="361">
                  <c:v>17.167092389390234</c:v>
                </c:pt>
                <c:pt idx="362">
                  <c:v>17.166459284975932</c:v>
                </c:pt>
                <c:pt idx="363">
                  <c:v>17.165823034849325</c:v>
                </c:pt>
                <c:pt idx="364">
                  <c:v>17.165183633334212</c:v>
                </c:pt>
                <c:pt idx="365">
                  <c:v>17.164526759993208</c:v>
                </c:pt>
                <c:pt idx="366">
                  <c:v>17.163866582315283</c:v>
                </c:pt>
                <c:pt idx="367">
                  <c:v>17.163203094895568</c:v>
                </c:pt>
                <c:pt idx="368">
                  <c:v>17.162536292536728</c:v>
                </c:pt>
                <c:pt idx="369">
                  <c:v>17.161849739750842</c:v>
                </c:pt>
                <c:pt idx="370">
                  <c:v>17.161159697495428</c:v>
                </c:pt>
                <c:pt idx="371">
                  <c:v>17.160466160816682</c:v>
                </c:pt>
                <c:pt idx="372">
                  <c:v>17.159769124961059</c:v>
                </c:pt>
                <c:pt idx="373">
                  <c:v>17.159052750286314</c:v>
                </c:pt>
                <c:pt idx="374">
                  <c:v>17.15833270742867</c:v>
                </c:pt>
                <c:pt idx="375">
                  <c:v>17.157608991914017</c:v>
                </c:pt>
                <c:pt idx="376">
                  <c:v>17.156881599460181</c:v>
                </c:pt>
                <c:pt idx="377">
                  <c:v>17.156132463384623</c:v>
                </c:pt>
                <c:pt idx="378">
                  <c:v>17.155379458401953</c:v>
                </c:pt>
                <c:pt idx="379">
                  <c:v>17.154622580493005</c:v>
                </c:pt>
                <c:pt idx="380">
                  <c:v>17.153861825824247</c:v>
                </c:pt>
                <c:pt idx="381">
                  <c:v>17.153080693893397</c:v>
                </c:pt>
                <c:pt idx="382">
                  <c:v>17.152295509040144</c:v>
                </c:pt>
                <c:pt idx="383">
                  <c:v>17.151506267740476</c:v>
                </c:pt>
                <c:pt idx="384">
                  <c:v>17.150712966647909</c:v>
                </c:pt>
                <c:pt idx="385">
                  <c:v>17.149895789776359</c:v>
                </c:pt>
                <c:pt idx="386">
                  <c:v>17.14907434282118</c:v>
                </c:pt>
                <c:pt idx="387">
                  <c:v>17.148248622725003</c:v>
                </c:pt>
                <c:pt idx="388">
                  <c:v>17.147418626602601</c:v>
                </c:pt>
                <c:pt idx="389">
                  <c:v>17.146565134297216</c:v>
                </c:pt>
                <c:pt idx="390">
                  <c:v>17.145707161648986</c:v>
                </c:pt>
                <c:pt idx="391">
                  <c:v>17.144844706093835</c:v>
                </c:pt>
                <c:pt idx="392">
                  <c:v>17.143977765233643</c:v>
                </c:pt>
                <c:pt idx="393">
                  <c:v>17.1430867142038</c:v>
                </c:pt>
                <c:pt idx="394">
                  <c:v>17.142190969577374</c:v>
                </c:pt>
                <c:pt idx="395">
                  <c:v>17.141290529296118</c:v>
                </c:pt>
                <c:pt idx="396">
                  <c:v>17.140385391461592</c:v>
                </c:pt>
                <c:pt idx="397">
                  <c:v>17.139453407356726</c:v>
                </c:pt>
                <c:pt idx="398">
                  <c:v>17.138516491301669</c:v>
                </c:pt>
                <c:pt idx="399">
                  <c:v>17.137574641746266</c:v>
                </c:pt>
                <c:pt idx="400">
                  <c:v>17.136627857295604</c:v>
                </c:pt>
                <c:pt idx="401">
                  <c:v>17.135654596191475</c:v>
                </c:pt>
                <c:pt idx="402">
                  <c:v>17.134676172409776</c:v>
                </c:pt>
                <c:pt idx="403">
                  <c:v>17.133692584932511</c:v>
                </c:pt>
                <c:pt idx="404">
                  <c:v>17.132703832891757</c:v>
                </c:pt>
                <c:pt idx="405">
                  <c:v>17.131686816491253</c:v>
                </c:pt>
                <c:pt idx="406">
                  <c:v>17.130664391959225</c:v>
                </c:pt>
                <c:pt idx="407">
                  <c:v>17.129636558824991</c:v>
                </c:pt>
                <c:pt idx="408">
                  <c:v>17.128603316763481</c:v>
                </c:pt>
                <c:pt idx="409">
                  <c:v>17.127539950123111</c:v>
                </c:pt>
                <c:pt idx="410">
                  <c:v>17.126470914534352</c:v>
                </c:pt>
                <c:pt idx="411">
                  <c:v>17.12539621009515</c:v>
                </c:pt>
                <c:pt idx="412">
                  <c:v>17.124315837045373</c:v>
                </c:pt>
                <c:pt idx="413">
                  <c:v>17.123204551610268</c:v>
                </c:pt>
                <c:pt idx="414">
                  <c:v>17.122087332640628</c:v>
                </c:pt>
                <c:pt idx="415">
                  <c:v>17.120964180828224</c:v>
                </c:pt>
                <c:pt idx="416">
                  <c:v>17.119835097003065</c:v>
                </c:pt>
                <c:pt idx="417">
                  <c:v>17.118673125222855</c:v>
                </c:pt>
                <c:pt idx="418">
                  <c:v>17.117504939266507</c:v>
                </c:pt>
                <c:pt idx="419">
                  <c:v>17.116330540449255</c:v>
                </c:pt>
                <c:pt idx="420">
                  <c:v>17.115149930221559</c:v>
                </c:pt>
                <c:pt idx="421">
                  <c:v>17.11393677228957</c:v>
                </c:pt>
                <c:pt idx="422">
                  <c:v>17.11271712843303</c:v>
                </c:pt>
                <c:pt idx="423">
                  <c:v>17.111491000614677</c:v>
                </c:pt>
                <c:pt idx="424">
                  <c:v>17.110258390929062</c:v>
                </c:pt>
                <c:pt idx="425">
                  <c:v>17.108988730534172</c:v>
                </c:pt>
                <c:pt idx="426">
                  <c:v>17.107712270218521</c:v>
                </c:pt>
                <c:pt idx="427">
                  <c:v>17.106429012642369</c:v>
                </c:pt>
                <c:pt idx="428">
                  <c:v>17.105138960595966</c:v>
                </c:pt>
                <c:pt idx="429">
                  <c:v>17.103812138514787</c:v>
                </c:pt>
                <c:pt idx="430">
                  <c:v>17.102478211372144</c:v>
                </c:pt>
                <c:pt idx="431">
                  <c:v>17.101137182555878</c:v>
                </c:pt>
                <c:pt idx="432">
                  <c:v>17.099789055581631</c:v>
                </c:pt>
                <c:pt idx="433">
                  <c:v>17.098403212176201</c:v>
                </c:pt>
                <c:pt idx="434">
                  <c:v>17.097009954920413</c:v>
                </c:pt>
                <c:pt idx="435">
                  <c:v>17.095609287966134</c:v>
                </c:pt>
                <c:pt idx="436">
                  <c:v>17.094201215590957</c:v>
                </c:pt>
                <c:pt idx="437">
                  <c:v>17.092751857182733</c:v>
                </c:pt>
                <c:pt idx="438">
                  <c:v>17.091294744987575</c:v>
                </c:pt>
                <c:pt idx="439">
                  <c:v>17.089829883985917</c:v>
                </c:pt>
                <c:pt idx="440">
                  <c:v>17.088357279282871</c:v>
                </c:pt>
                <c:pt idx="441">
                  <c:v>17.086842324606565</c:v>
                </c:pt>
                <c:pt idx="442">
                  <c:v>17.085319272080298</c:v>
                </c:pt>
                <c:pt idx="443">
                  <c:v>17.083788127560386</c:v>
                </c:pt>
                <c:pt idx="444">
                  <c:v>17.082248897026894</c:v>
                </c:pt>
                <c:pt idx="445">
                  <c:v>17.080666233865042</c:v>
                </c:pt>
                <c:pt idx="446">
                  <c:v>17.079075125015994</c:v>
                </c:pt>
                <c:pt idx="447">
                  <c:v>17.077475577260628</c:v>
                </c:pt>
                <c:pt idx="448">
                  <c:v>17.075867597502775</c:v>
                </c:pt>
                <c:pt idx="449">
                  <c:v>17.074212306696435</c:v>
                </c:pt>
                <c:pt idx="450">
                  <c:v>17.072548189447541</c:v>
                </c:pt>
                <c:pt idx="451">
                  <c:v>17.070875253551108</c:v>
                </c:pt>
                <c:pt idx="452">
                  <c:v>17.069193506925217</c:v>
                </c:pt>
                <c:pt idx="453">
                  <c:v>17.067464659468243</c:v>
                </c:pt>
                <c:pt idx="454">
                  <c:v>17.065726615771105</c:v>
                </c:pt>
                <c:pt idx="455">
                  <c:v>17.063979384682213</c:v>
                </c:pt>
                <c:pt idx="456">
                  <c:v>17.06222297517288</c:v>
                </c:pt>
                <c:pt idx="457">
                  <c:v>17.060415385037643</c:v>
                </c:pt>
                <c:pt idx="458">
                  <c:v>17.058598195086351</c:v>
                </c:pt>
                <c:pt idx="459">
                  <c:v>17.056771415327265</c:v>
                </c:pt>
                <c:pt idx="460">
                  <c:v>17.054935055892319</c:v>
                </c:pt>
                <c:pt idx="461">
                  <c:v>17.053046222312961</c:v>
                </c:pt>
                <c:pt idx="462">
                  <c:v>17.0511473816135</c:v>
                </c:pt>
                <c:pt idx="463">
                  <c:v>17.049238545032129</c:v>
                </c:pt>
                <c:pt idx="464">
                  <c:v>17.047319723931537</c:v>
                </c:pt>
                <c:pt idx="465">
                  <c:v>17.045345604166808</c:v>
                </c:pt>
                <c:pt idx="466">
                  <c:v>17.043361050844506</c:v>
                </c:pt>
                <c:pt idx="467">
                  <c:v>17.041366076533897</c:v>
                </c:pt>
                <c:pt idx="468">
                  <c:v>17.039360693930131</c:v>
                </c:pt>
                <c:pt idx="469">
                  <c:v>17.037298631338853</c:v>
                </c:pt>
                <c:pt idx="470">
                  <c:v>17.035225705543393</c:v>
                </c:pt>
                <c:pt idx="471">
                  <c:v>17.033141930524028</c:v>
                </c:pt>
                <c:pt idx="472">
                  <c:v>17.031047320388343</c:v>
                </c:pt>
                <c:pt idx="473">
                  <c:v>17.028891478247196</c:v>
                </c:pt>
                <c:pt idx="474">
                  <c:v>17.02672430764316</c:v>
                </c:pt>
                <c:pt idx="475">
                  <c:v>17.024545824118054</c:v>
                </c:pt>
                <c:pt idx="476">
                  <c:v>17.022356043343326</c:v>
                </c:pt>
                <c:pt idx="477">
                  <c:v>17.020103509886631</c:v>
                </c:pt>
                <c:pt idx="478">
                  <c:v>17.017839179659497</c:v>
                </c:pt>
                <c:pt idx="479">
                  <c:v>17.015563069861788</c:v>
                </c:pt>
                <c:pt idx="480">
                  <c:v>17.013275197825376</c:v>
                </c:pt>
                <c:pt idx="481">
                  <c:v>17.010923031336709</c:v>
                </c:pt>
                <c:pt idx="482">
                  <c:v>17.0085585974163</c:v>
                </c:pt>
                <c:pt idx="483">
                  <c:v>17.006181915021553</c:v>
                </c:pt>
                <c:pt idx="484">
                  <c:v>17.003793003244262</c:v>
                </c:pt>
                <c:pt idx="485">
                  <c:v>17.00133655895354</c:v>
                </c:pt>
                <c:pt idx="486">
                  <c:v>16.998867357585645</c:v>
                </c:pt>
                <c:pt idx="487">
                  <c:v>16.996385420000578</c:v>
                </c:pt>
                <c:pt idx="488">
                  <c:v>16.993890767195566</c:v>
                </c:pt>
                <c:pt idx="489">
                  <c:v>16.991323526276897</c:v>
                </c:pt>
                <c:pt idx="490">
                  <c:v>16.988743001995957</c:v>
                </c:pt>
                <c:pt idx="491">
                  <c:v>16.986149217318825</c:v>
                </c:pt>
                <c:pt idx="492">
                  <c:v>16.983542195352403</c:v>
                </c:pt>
                <c:pt idx="493">
                  <c:v>16.980860825960708</c:v>
                </c:pt>
                <c:pt idx="494">
                  <c:v>16.978165645408033</c:v>
                </c:pt>
                <c:pt idx="495">
                  <c:v>16.975456678895004</c:v>
                </c:pt>
                <c:pt idx="496">
                  <c:v>16.972733951766621</c:v>
                </c:pt>
                <c:pt idx="497">
                  <c:v>16.969933314500896</c:v>
                </c:pt>
                <c:pt idx="498">
                  <c:v>16.967118319481862</c:v>
                </c:pt>
                <c:pt idx="499">
                  <c:v>16.964288994329348</c:v>
                </c:pt>
                <c:pt idx="500">
                  <c:v>16.96144536681139</c:v>
                </c:pt>
                <c:pt idx="501">
                  <c:v>16.958520155447513</c:v>
                </c:pt>
                <c:pt idx="502">
                  <c:v>16.955580021165527</c:v>
                </c:pt>
                <c:pt idx="503">
                  <c:v>16.95262499420355</c:v>
                </c:pt>
                <c:pt idx="504">
                  <c:v>16.949655104952033</c:v>
                </c:pt>
                <c:pt idx="505">
                  <c:v>16.946601702207367</c:v>
                </c:pt>
                <c:pt idx="506">
                  <c:v>16.943532811889838</c:v>
                </c:pt>
                <c:pt idx="507">
                  <c:v>16.940448467009837</c:v>
                </c:pt>
                <c:pt idx="508">
                  <c:v>16.93734870073402</c:v>
                </c:pt>
                <c:pt idx="509">
                  <c:v>16.934161578803636</c:v>
                </c:pt>
                <c:pt idx="510">
                  <c:v>16.930958387254137</c:v>
                </c:pt>
                <c:pt idx="511">
                  <c:v>16.927739162089768</c:v>
                </c:pt>
                <c:pt idx="512">
                  <c:v>16.924503939475109</c:v>
                </c:pt>
                <c:pt idx="513">
                  <c:v>16.921175474382181</c:v>
                </c:pt>
                <c:pt idx="514">
                  <c:v>16.91783032142483</c:v>
                </c:pt>
                <c:pt idx="515">
                  <c:v>16.914468519906873</c:v>
                </c:pt>
                <c:pt idx="516">
                  <c:v>16.911090109296975</c:v>
                </c:pt>
                <c:pt idx="517">
                  <c:v>16.907616300205124</c:v>
                </c:pt>
                <c:pt idx="518">
                  <c:v>16.904125187836719</c:v>
                </c:pt>
                <c:pt idx="519">
                  <c:v>16.900616814985202</c:v>
                </c:pt>
                <c:pt idx="520">
                  <c:v>16.897091224612989</c:v>
                </c:pt>
                <c:pt idx="521">
                  <c:v>16.893466052951172</c:v>
                </c:pt>
                <c:pt idx="522">
                  <c:v>16.889822947028627</c:v>
                </c:pt>
                <c:pt idx="523">
                  <c:v>16.886161953399188</c:v>
                </c:pt>
                <c:pt idx="524">
                  <c:v>16.882483118789654</c:v>
                </c:pt>
                <c:pt idx="525">
                  <c:v>16.87870040598176</c:v>
                </c:pt>
                <c:pt idx="526">
                  <c:v>16.874899113195088</c:v>
                </c:pt>
                <c:pt idx="527">
                  <c:v>16.871079291031982</c:v>
                </c:pt>
                <c:pt idx="528">
                  <c:v>16.86724099027148</c:v>
                </c:pt>
                <c:pt idx="529">
                  <c:v>16.863294400262458</c:v>
                </c:pt>
                <c:pt idx="530">
                  <c:v>16.85932857079063</c:v>
                </c:pt>
                <c:pt idx="531">
                  <c:v>16.855343556812709</c:v>
                </c:pt>
                <c:pt idx="532">
                  <c:v>16.851339413465414</c:v>
                </c:pt>
                <c:pt idx="533">
                  <c:v>16.847220325333176</c:v>
                </c:pt>
                <c:pt idx="534">
                  <c:v>16.843081305058792</c:v>
                </c:pt>
                <c:pt idx="535">
                  <c:v>16.838922412369833</c:v>
                </c:pt>
                <c:pt idx="536">
                  <c:v>16.834743707177008</c:v>
                </c:pt>
                <c:pt idx="537">
                  <c:v>16.830449699704694</c:v>
                </c:pt>
                <c:pt idx="538">
                  <c:v>16.82613509719468</c:v>
                </c:pt>
                <c:pt idx="539">
                  <c:v>16.821799964302858</c:v>
                </c:pt>
                <c:pt idx="540">
                  <c:v>16.817444365869981</c:v>
                </c:pt>
                <c:pt idx="541">
                  <c:v>16.81296434992786</c:v>
                </c:pt>
                <c:pt idx="542">
                  <c:v>16.80846302441363</c:v>
                </c:pt>
                <c:pt idx="543">
                  <c:v>16.80394045946813</c:v>
                </c:pt>
                <c:pt idx="544">
                  <c:v>16.799396725418557</c:v>
                </c:pt>
                <c:pt idx="545">
                  <c:v>16.794725902980879</c:v>
                </c:pt>
                <c:pt idx="546">
                  <c:v>16.79003306888416</c:v>
                </c:pt>
                <c:pt idx="547">
                  <c:v>16.785318299035797</c:v>
                </c:pt>
                <c:pt idx="548">
                  <c:v>16.780581669529482</c:v>
                </c:pt>
                <c:pt idx="549">
                  <c:v>16.77571297848932</c:v>
                </c:pt>
                <c:pt idx="550">
                  <c:v>16.770821566979933</c:v>
                </c:pt>
                <c:pt idx="551">
                  <c:v>16.765907517072804</c:v>
                </c:pt>
                <c:pt idx="552">
                  <c:v>16.760970911024216</c:v>
                </c:pt>
                <c:pt idx="553">
                  <c:v>16.755894822027933</c:v>
                </c:pt>
                <c:pt idx="554">
                  <c:v>16.750795277375698</c:v>
                </c:pt>
                <c:pt idx="555">
                  <c:v>16.745672365841056</c:v>
                </c:pt>
                <c:pt idx="556">
                  <c:v>16.740526176379525</c:v>
                </c:pt>
                <c:pt idx="557">
                  <c:v>16.729920133247411</c:v>
                </c:pt>
                <c:pt idx="558">
                  <c:v>16.719217698820167</c:v>
                </c:pt>
                <c:pt idx="559">
                  <c:v>16.708171021647793</c:v>
                </c:pt>
                <c:pt idx="560">
                  <c:v>16.697025115334945</c:v>
                </c:pt>
                <c:pt idx="561">
                  <c:v>16.685512840317319</c:v>
                </c:pt>
                <c:pt idx="562">
                  <c:v>16.673898333069921</c:v>
                </c:pt>
                <c:pt idx="563">
                  <c:v>16.661929971497315</c:v>
                </c:pt>
                <c:pt idx="564">
                  <c:v>16.649856832973281</c:v>
                </c:pt>
                <c:pt idx="565">
                  <c:v>16.637371560741688</c:v>
                </c:pt>
                <c:pt idx="566">
                  <c:v>16.624778204871554</c:v>
                </c:pt>
                <c:pt idx="567">
                  <c:v>16.611764158003478</c:v>
                </c:pt>
                <c:pt idx="568">
                  <c:v>16.598638853178652</c:v>
                </c:pt>
                <c:pt idx="569">
                  <c:v>16.585137585230591</c:v>
                </c:pt>
                <c:pt idx="570">
                  <c:v>16.571522918652445</c:v>
                </c:pt>
                <c:pt idx="571">
                  <c:v>16.55741765704898</c:v>
                </c:pt>
                <c:pt idx="572">
                  <c:v>16.543195235307721</c:v>
                </c:pt>
                <c:pt idx="573">
                  <c:v>16.528582197222232</c:v>
                </c:pt>
                <c:pt idx="574">
                  <c:v>16.513850197365489</c:v>
                </c:pt>
                <c:pt idx="575">
                  <c:v>16.498609720813519</c:v>
                </c:pt>
                <c:pt idx="576">
                  <c:v>16.483246885515076</c:v>
                </c:pt>
                <c:pt idx="577">
                  <c:v>16.416885647171124</c:v>
                </c:pt>
                <c:pt idx="578">
                  <c:v>16.348469823725935</c:v>
                </c:pt>
                <c:pt idx="579">
                  <c:v>16.191902087248419</c:v>
                </c:pt>
                <c:pt idx="580">
                  <c:v>16.010677249021114</c:v>
                </c:pt>
                <c:pt idx="581">
                  <c:v>15.802436372114714</c:v>
                </c:pt>
                <c:pt idx="582">
                  <c:v>15.564549035106205</c:v>
                </c:pt>
                <c:pt idx="583">
                  <c:v>15.294906438130651</c:v>
                </c:pt>
                <c:pt idx="584">
                  <c:v>14.991341892819978</c:v>
                </c:pt>
                <c:pt idx="585">
                  <c:v>14.652490575255561</c:v>
                </c:pt>
                <c:pt idx="586">
                  <c:v>14.27731251306226</c:v>
                </c:pt>
                <c:pt idx="587">
                  <c:v>13.865170385089874</c:v>
                </c:pt>
                <c:pt idx="588">
                  <c:v>13.416662068848066</c:v>
                </c:pt>
                <c:pt idx="589">
                  <c:v>12.932244329517514</c:v>
                </c:pt>
                <c:pt idx="590">
                  <c:v>12.41344734358548</c:v>
                </c:pt>
                <c:pt idx="591">
                  <c:v>11.862056556116618</c:v>
                </c:pt>
                <c:pt idx="592">
                  <c:v>11.280341430090981</c:v>
                </c:pt>
                <c:pt idx="593">
                  <c:v>10.670563946336991</c:v>
                </c:pt>
                <c:pt idx="594">
                  <c:v>10.035451605702674</c:v>
                </c:pt>
                <c:pt idx="595">
                  <c:v>9.3774767758846771</c:v>
                </c:pt>
                <c:pt idx="596">
                  <c:v>8.6993198205122848</c:v>
                </c:pt>
                <c:pt idx="597">
                  <c:v>8.003264363697566</c:v>
                </c:pt>
                <c:pt idx="598">
                  <c:v>7.2917482908201281</c:v>
                </c:pt>
                <c:pt idx="599">
                  <c:v>6.5666649929362242</c:v>
                </c:pt>
                <c:pt idx="600">
                  <c:v>5.8299946210981712</c:v>
                </c:pt>
              </c:numCache>
            </c:numRef>
          </c:yVal>
          <c:smooth val="0"/>
          <c:extLst>
            <c:ext xmlns:c16="http://schemas.microsoft.com/office/drawing/2014/chart" uri="{C3380CC4-5D6E-409C-BE32-E72D297353CC}">
              <c16:uniqueId val="{00000000-C943-44AE-BE69-B37F145E1EAF}"/>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Calculations'!$AE$13:$AE$613</c:f>
              <c:numCache>
                <c:formatCode>0.00</c:formatCode>
                <c:ptCount val="601"/>
                <c:pt idx="0">
                  <c:v>-88.522988135391785</c:v>
                </c:pt>
                <c:pt idx="1">
                  <c:v>-88.635291000121299</c:v>
                </c:pt>
                <c:pt idx="2">
                  <c:v>-88.736007147665319</c:v>
                </c:pt>
                <c:pt idx="3">
                  <c:v>-88.825995535022599</c:v>
                </c:pt>
                <c:pt idx="4">
                  <c:v>-88.905973096129131</c:v>
                </c:pt>
                <c:pt idx="5">
                  <c:v>-88.976748010066729</c:v>
                </c:pt>
                <c:pt idx="6">
                  <c:v>-89.03881211877011</c:v>
                </c:pt>
                <c:pt idx="7">
                  <c:v>-89.092735071130349</c:v>
                </c:pt>
                <c:pt idx="8">
                  <c:v>-89.13893698680009</c:v>
                </c:pt>
                <c:pt idx="9">
                  <c:v>-89.177846263980825</c:v>
                </c:pt>
                <c:pt idx="10">
                  <c:v>-89.209769482050916</c:v>
                </c:pt>
                <c:pt idx="11">
                  <c:v>-89.234985233672447</c:v>
                </c:pt>
                <c:pt idx="12">
                  <c:v>-89.253717107434525</c:v>
                </c:pt>
                <c:pt idx="13">
                  <c:v>-89.266106351014415</c:v>
                </c:pt>
                <c:pt idx="14">
                  <c:v>-89.272269829943653</c:v>
                </c:pt>
                <c:pt idx="15">
                  <c:v>-89.272255317003868</c:v>
                </c:pt>
                <c:pt idx="16">
                  <c:v>-89.266063323585414</c:v>
                </c:pt>
                <c:pt idx="17">
                  <c:v>-89.253643371227767</c:v>
                </c:pt>
                <c:pt idx="18">
                  <c:v>-89.234886223285116</c:v>
                </c:pt>
                <c:pt idx="19">
                  <c:v>-89.209637323371126</c:v>
                </c:pt>
                <c:pt idx="20">
                  <c:v>-89.177677561239946</c:v>
                </c:pt>
                <c:pt idx="21">
                  <c:v>-89.138742543660342</c:v>
                </c:pt>
                <c:pt idx="22">
                  <c:v>-89.092493701816593</c:v>
                </c:pt>
                <c:pt idx="23">
                  <c:v>-89.038550700985311</c:v>
                </c:pt>
                <c:pt idx="24">
                  <c:v>-88.976442664944727</c:v>
                </c:pt>
                <c:pt idx="25">
                  <c:v>-88.90565178943767</c:v>
                </c:pt>
                <c:pt idx="26">
                  <c:v>-88.825559400376378</c:v>
                </c:pt>
                <c:pt idx="27">
                  <c:v>-88.735511437118561</c:v>
                </c:pt>
                <c:pt idx="28">
                  <c:v>-88.634745006994535</c:v>
                </c:pt>
                <c:pt idx="29">
                  <c:v>-88.522483789848664</c:v>
                </c:pt>
                <c:pt idx="30">
                  <c:v>-88.397583215539342</c:v>
                </c:pt>
                <c:pt idx="31">
                  <c:v>-88.259152402834701</c:v>
                </c:pt>
                <c:pt idx="32">
                  <c:v>-88.105931803396786</c:v>
                </c:pt>
                <c:pt idx="33">
                  <c:v>-87.936744119627136</c:v>
                </c:pt>
                <c:pt idx="34">
                  <c:v>-87.750038072528895</c:v>
                </c:pt>
                <c:pt idx="35">
                  <c:v>-87.544349351926755</c:v>
                </c:pt>
                <c:pt idx="36">
                  <c:v>-87.317933264606637</c:v>
                </c:pt>
                <c:pt idx="37">
                  <c:v>-87.068764195982581</c:v>
                </c:pt>
                <c:pt idx="38">
                  <c:v>-86.795007643153625</c:v>
                </c:pt>
                <c:pt idx="39">
                  <c:v>-86.4941794796881</c:v>
                </c:pt>
                <c:pt idx="40">
                  <c:v>-86.163901332608418</c:v>
                </c:pt>
                <c:pt idx="41">
                  <c:v>-85.801436620718562</c:v>
                </c:pt>
                <c:pt idx="42">
                  <c:v>-85.403886471521147</c:v>
                </c:pt>
                <c:pt idx="43">
                  <c:v>-84.967916634240453</c:v>
                </c:pt>
                <c:pt idx="44">
                  <c:v>-84.490148270204273</c:v>
                </c:pt>
                <c:pt idx="45">
                  <c:v>-83.966703193535466</c:v>
                </c:pt>
                <c:pt idx="46">
                  <c:v>-83.393603605606543</c:v>
                </c:pt>
                <c:pt idx="47">
                  <c:v>-82.766330029977667</c:v>
                </c:pt>
                <c:pt idx="48">
                  <c:v>-82.080329467230811</c:v>
                </c:pt>
                <c:pt idx="49">
                  <c:v>-81.33040685338959</c:v>
                </c:pt>
                <c:pt idx="50">
                  <c:v>-80.511350631590503</c:v>
                </c:pt>
                <c:pt idx="51">
                  <c:v>-79.617360092288521</c:v>
                </c:pt>
                <c:pt idx="52">
                  <c:v>-78.642890588026134</c:v>
                </c:pt>
                <c:pt idx="53">
                  <c:v>-77.581946516732458</c:v>
                </c:pt>
                <c:pt idx="54">
                  <c:v>-76.429244920356666</c:v>
                </c:pt>
                <c:pt idx="55">
                  <c:v>-75.176801600274899</c:v>
                </c:pt>
                <c:pt idx="56">
                  <c:v>-73.820506931395499</c:v>
                </c:pt>
                <c:pt idx="57">
                  <c:v>-72.354115285201289</c:v>
                </c:pt>
                <c:pt idx="58">
                  <c:v>-70.774042856193745</c:v>
                </c:pt>
                <c:pt idx="59">
                  <c:v>-69.075424939020223</c:v>
                </c:pt>
                <c:pt idx="60">
                  <c:v>-67.256879702014174</c:v>
                </c:pt>
                <c:pt idx="61">
                  <c:v>-65.317592560504465</c:v>
                </c:pt>
                <c:pt idx="62">
                  <c:v>-63.257984577460235</c:v>
                </c:pt>
                <c:pt idx="63">
                  <c:v>-61.084063459017443</c:v>
                </c:pt>
                <c:pt idx="64">
                  <c:v>-58.80098190232026</c:v>
                </c:pt>
                <c:pt idx="65">
                  <c:v>-56.419485499090818</c:v>
                </c:pt>
                <c:pt idx="66">
                  <c:v>-53.952412221391469</c:v>
                </c:pt>
                <c:pt idx="67">
                  <c:v>-51.416126343979364</c:v>
                </c:pt>
                <c:pt idx="68">
                  <c:v>-48.828514887837983</c:v>
                </c:pt>
                <c:pt idx="69">
                  <c:v>-46.210942295864406</c:v>
                </c:pt>
                <c:pt idx="70">
                  <c:v>-43.584847075596272</c:v>
                </c:pt>
                <c:pt idx="71">
                  <c:v>-40.973115933410647</c:v>
                </c:pt>
                <c:pt idx="72">
                  <c:v>-38.397011789300251</c:v>
                </c:pt>
                <c:pt idx="73">
                  <c:v>-35.877580618095628</c:v>
                </c:pt>
                <c:pt idx="74">
                  <c:v>-33.432449975067428</c:v>
                </c:pt>
                <c:pt idx="75">
                  <c:v>-31.077595485361545</c:v>
                </c:pt>
                <c:pt idx="76">
                  <c:v>-28.825084940073527</c:v>
                </c:pt>
                <c:pt idx="77">
                  <c:v>-26.68514607351818</c:v>
                </c:pt>
                <c:pt idx="78">
                  <c:v>-24.664159309566937</c:v>
                </c:pt>
                <c:pt idx="79">
                  <c:v>-22.766975323457753</c:v>
                </c:pt>
                <c:pt idx="80">
                  <c:v>-20.991758648304629</c:v>
                </c:pt>
                <c:pt idx="81">
                  <c:v>-19.340385940650165</c:v>
                </c:pt>
                <c:pt idx="82">
                  <c:v>-17.809365806125076</c:v>
                </c:pt>
                <c:pt idx="83">
                  <c:v>-16.396162635202742</c:v>
                </c:pt>
                <c:pt idx="84">
                  <c:v>-15.095163888790729</c:v>
                </c:pt>
                <c:pt idx="85">
                  <c:v>-13.902010175362276</c:v>
                </c:pt>
                <c:pt idx="86">
                  <c:v>-12.811006446791449</c:v>
                </c:pt>
                <c:pt idx="87">
                  <c:v>-11.816005778614914</c:v>
                </c:pt>
                <c:pt idx="88">
                  <c:v>-10.912345151859975</c:v>
                </c:pt>
                <c:pt idx="89">
                  <c:v>-10.093796277566319</c:v>
                </c:pt>
                <c:pt idx="90">
                  <c:v>-9.3554480171041074</c:v>
                </c:pt>
                <c:pt idx="91">
                  <c:v>-8.6922674622227731</c:v>
                </c:pt>
                <c:pt idx="92">
                  <c:v>-8.0997062792780206</c:v>
                </c:pt>
                <c:pt idx="93">
                  <c:v>-7.5733304086805999</c:v>
                </c:pt>
                <c:pt idx="94">
                  <c:v>-7.45167919721505</c:v>
                </c:pt>
                <c:pt idx="95">
                  <c:v>-7.3919317759415453</c:v>
                </c:pt>
                <c:pt idx="96">
                  <c:v>-7.3338162345959788</c:v>
                </c:pt>
                <c:pt idx="97">
                  <c:v>-7.2759859862595366</c:v>
                </c:pt>
                <c:pt idx="98">
                  <c:v>-7.2197518305478994</c:v>
                </c:pt>
                <c:pt idx="99">
                  <c:v>-7.1637969455931394</c:v>
                </c:pt>
                <c:pt idx="100">
                  <c:v>-7.109403854612883</c:v>
                </c:pt>
                <c:pt idx="101">
                  <c:v>-7.0553267864293874</c:v>
                </c:pt>
                <c:pt idx="102">
                  <c:v>-7.0027762896965884</c:v>
                </c:pt>
                <c:pt idx="103">
                  <c:v>-6.950499473111738</c:v>
                </c:pt>
                <c:pt idx="104">
                  <c:v>-6.8997175832017286</c:v>
                </c:pt>
                <c:pt idx="105">
                  <c:v>-6.8492469279399355</c:v>
                </c:pt>
                <c:pt idx="106">
                  <c:v>-6.8002385261453071</c:v>
                </c:pt>
                <c:pt idx="107">
                  <c:v>-6.75157491963704</c:v>
                </c:pt>
                <c:pt idx="108">
                  <c:v>-6.7043400862918601</c:v>
                </c:pt>
                <c:pt idx="109">
                  <c:v>-6.6574484876652731</c:v>
                </c:pt>
                <c:pt idx="110">
                  <c:v>-6.6119534458234375</c:v>
                </c:pt>
                <c:pt idx="111">
                  <c:v>-6.5667726633276793</c:v>
                </c:pt>
                <c:pt idx="112">
                  <c:v>-6.5229591421295465</c:v>
                </c:pt>
                <c:pt idx="113">
                  <c:v>-6.4794937490077</c:v>
                </c:pt>
                <c:pt idx="114">
                  <c:v>-6.43736541560743</c:v>
                </c:pt>
                <c:pt idx="115">
                  <c:v>-6.3955893499186836</c:v>
                </c:pt>
                <c:pt idx="116">
                  <c:v>-6.3551210689038031</c:v>
                </c:pt>
                <c:pt idx="117">
                  <c:v>-6.3150107058728162</c:v>
                </c:pt>
                <c:pt idx="118">
                  <c:v>-6.276179688941335</c:v>
                </c:pt>
                <c:pt idx="119">
                  <c:v>-6.2377364977429934</c:v>
                </c:pt>
                <c:pt idx="120">
                  <c:v>-6.2005434803856891</c:v>
                </c:pt>
                <c:pt idx="121">
                  <c:v>-6.1637434803808357</c:v>
                </c:pt>
                <c:pt idx="122">
                  <c:v>-6.1281653518671275</c:v>
                </c:pt>
                <c:pt idx="123">
                  <c:v>-6.0929666237345668</c:v>
                </c:pt>
                <c:pt idx="124">
                  <c:v>-6.0589636193179848</c:v>
                </c:pt>
                <c:pt idx="125">
                  <c:v>-6.0253688713706008</c:v>
                </c:pt>
                <c:pt idx="126">
                  <c:v>-5.9929429591985999</c:v>
                </c:pt>
                <c:pt idx="127">
                  <c:v>-5.9609336517374549</c:v>
                </c:pt>
                <c:pt idx="128">
                  <c:v>-5.9300669665602372</c:v>
                </c:pt>
                <c:pt idx="129">
                  <c:v>-5.8996260501525422</c:v>
                </c:pt>
                <c:pt idx="130">
                  <c:v>-5.8703021649050529</c:v>
                </c:pt>
                <c:pt idx="131">
                  <c:v>-5.841413915953459</c:v>
                </c:pt>
                <c:pt idx="132">
                  <c:v>-5.8273816259043221</c:v>
                </c:pt>
                <c:pt idx="133">
                  <c:v>-5.8136176838790279</c:v>
                </c:pt>
                <c:pt idx="134">
                  <c:v>-5.7997998160181155</c:v>
                </c:pt>
                <c:pt idx="135">
                  <c:v>-5.7862537166042207</c:v>
                </c:pt>
                <c:pt idx="136">
                  <c:v>-5.7729747468877237</c:v>
                </c:pt>
                <c:pt idx="137">
                  <c:v>-5.7599583728525028</c:v>
                </c:pt>
                <c:pt idx="138">
                  <c:v>-5.7469134652657079</c:v>
                </c:pt>
                <c:pt idx="139">
                  <c:v>-5.7341339432221154</c:v>
                </c:pt>
                <c:pt idx="140">
                  <c:v>-5.7216152779316776</c:v>
                </c:pt>
                <c:pt idx="141">
                  <c:v>-5.7093530428340786</c:v>
                </c:pt>
                <c:pt idx="142">
                  <c:v>-5.6970611345832047</c:v>
                </c:pt>
                <c:pt idx="143">
                  <c:v>-5.685028890384908</c:v>
                </c:pt>
                <c:pt idx="144">
                  <c:v>-5.6732518757587584</c:v>
                </c:pt>
                <c:pt idx="145">
                  <c:v>-5.6617257564004744</c:v>
                </c:pt>
                <c:pt idx="146">
                  <c:v>-5.650187906282647</c:v>
                </c:pt>
                <c:pt idx="147">
                  <c:v>-5.638903838758905</c:v>
                </c:pt>
                <c:pt idx="148">
                  <c:v>-5.6278692188981303</c:v>
                </c:pt>
                <c:pt idx="149">
                  <c:v>-5.6170798097161292</c:v>
                </c:pt>
                <c:pt idx="150">
                  <c:v>-5.6062903960525476</c:v>
                </c:pt>
                <c:pt idx="151">
                  <c:v>-5.5957489926868824</c:v>
                </c:pt>
                <c:pt idx="152">
                  <c:v>-5.5854513626040241</c:v>
                </c:pt>
                <c:pt idx="153">
                  <c:v>-5.5753933645373133</c:v>
                </c:pt>
                <c:pt idx="154">
                  <c:v>-5.56534253165814</c:v>
                </c:pt>
                <c:pt idx="155">
                  <c:v>-5.5555342622718094</c:v>
                </c:pt>
                <c:pt idx="156">
                  <c:v>-5.5459644100884846</c:v>
                </c:pt>
                <c:pt idx="157">
                  <c:v>-5.5366289225666536</c:v>
                </c:pt>
                <c:pt idx="158">
                  <c:v>-5.5273129759378614</c:v>
                </c:pt>
                <c:pt idx="159">
                  <c:v>-5.5182342190231628</c:v>
                </c:pt>
                <c:pt idx="160">
                  <c:v>-5.5093885954700301</c:v>
                </c:pt>
                <c:pt idx="161">
                  <c:v>-5.500772140680688</c:v>
                </c:pt>
                <c:pt idx="162">
                  <c:v>-5.4921912535825221</c:v>
                </c:pt>
                <c:pt idx="163">
                  <c:v>-5.483842052353423</c:v>
                </c:pt>
                <c:pt idx="164">
                  <c:v>-5.4757205749644502</c:v>
                </c:pt>
                <c:pt idx="165">
                  <c:v>-5.4678229489991566</c:v>
                </c:pt>
                <c:pt idx="166">
                  <c:v>-5.4599658747016075</c:v>
                </c:pt>
                <c:pt idx="167">
                  <c:v>-5.4523354639308499</c:v>
                </c:pt>
                <c:pt idx="168">
                  <c:v>-5.4449278377191428</c:v>
                </c:pt>
                <c:pt idx="169">
                  <c:v>-5.4377392048907982</c:v>
                </c:pt>
                <c:pt idx="170">
                  <c:v>-5.4306185496111752</c:v>
                </c:pt>
                <c:pt idx="171">
                  <c:v>-5.4237186608588841</c:v>
                </c:pt>
                <c:pt idx="172">
                  <c:v>-5.4170357660976336</c:v>
                </c:pt>
                <c:pt idx="173">
                  <c:v>-5.4105661780441201</c:v>
                </c:pt>
                <c:pt idx="174">
                  <c:v>-5.4041511590632316</c:v>
                </c:pt>
                <c:pt idx="175">
                  <c:v>-5.3979527531285161</c:v>
                </c:pt>
                <c:pt idx="176">
                  <c:v>-5.3919672505927378</c:v>
                </c:pt>
                <c:pt idx="177">
                  <c:v>-5.3861910258153189</c:v>
                </c:pt>
                <c:pt idx="178">
                  <c:v>-5.3804861176102428</c:v>
                </c:pt>
                <c:pt idx="179">
                  <c:v>-5.3749934604270724</c:v>
                </c:pt>
                <c:pt idx="180">
                  <c:v>-5.3697094136922079</c:v>
                </c:pt>
                <c:pt idx="181">
                  <c:v>-5.3646304193929364</c:v>
                </c:pt>
                <c:pt idx="182">
                  <c:v>-5.359657483941616</c:v>
                </c:pt>
                <c:pt idx="183">
                  <c:v>-5.3548906599574089</c:v>
                </c:pt>
                <c:pt idx="184">
                  <c:v>-5.3503264223790268</c:v>
                </c:pt>
                <c:pt idx="185">
                  <c:v>-5.3459613258473899</c:v>
                </c:pt>
                <c:pt idx="186">
                  <c:v>-5.341680279746357</c:v>
                </c:pt>
                <c:pt idx="187">
                  <c:v>-5.3376023328482782</c:v>
                </c:pt>
                <c:pt idx="188">
                  <c:v>-5.3337239965018775</c:v>
                </c:pt>
                <c:pt idx="189">
                  <c:v>-5.330041861265201</c:v>
                </c:pt>
                <c:pt idx="190">
                  <c:v>-5.3264878596468987</c:v>
                </c:pt>
                <c:pt idx="191">
                  <c:v>-5.3231307115559749</c:v>
                </c:pt>
                <c:pt idx="192">
                  <c:v>-5.3199670483867214</c:v>
                </c:pt>
                <c:pt idx="193">
                  <c:v>-5.3169935777180104</c:v>
                </c:pt>
                <c:pt idx="194">
                  <c:v>-5.3141365134413974</c:v>
                </c:pt>
                <c:pt idx="195">
                  <c:v>-5.3114729565992871</c:v>
                </c:pt>
                <c:pt idx="196">
                  <c:v>-5.3089995853154717</c:v>
                </c:pt>
                <c:pt idx="197">
                  <c:v>-5.3067131530656502</c:v>
                </c:pt>
                <c:pt idx="198">
                  <c:v>-5.3045664753327566</c:v>
                </c:pt>
                <c:pt idx="199">
                  <c:v>-5.3026083902681673</c:v>
                </c:pt>
                <c:pt idx="200">
                  <c:v>-5.300835663683733</c:v>
                </c:pt>
                <c:pt idx="201">
                  <c:v>-5.2992451346647442</c:v>
                </c:pt>
                <c:pt idx="202">
                  <c:v>-5.2978054065062716</c:v>
                </c:pt>
                <c:pt idx="203">
                  <c:v>-5.2965493266800845</c:v>
                </c:pt>
                <c:pt idx="204">
                  <c:v>-5.2954737503037723</c:v>
                </c:pt>
                <c:pt idx="205">
                  <c:v>-5.2945756036275728</c:v>
                </c:pt>
                <c:pt idx="206">
                  <c:v>-5.2938363303983706</c:v>
                </c:pt>
                <c:pt idx="207">
                  <c:v>-5.2932769677606863</c:v>
                </c:pt>
                <c:pt idx="208">
                  <c:v>-5.2928944300694436</c:v>
                </c:pt>
                <c:pt idx="209">
                  <c:v>-5.292685701562295</c:v>
                </c:pt>
                <c:pt idx="210">
                  <c:v>-5.2926491692808018</c:v>
                </c:pt>
                <c:pt idx="211">
                  <c:v>-5.2927898329046954</c:v>
                </c:pt>
                <c:pt idx="212">
                  <c:v>-5.2931046404166766</c:v>
                </c:pt>
                <c:pt idx="213">
                  <c:v>-5.2935906091934344</c:v>
                </c:pt>
                <c:pt idx="214">
                  <c:v>-5.2942595555568399</c:v>
                </c:pt>
                <c:pt idx="215">
                  <c:v>-5.2951004997502285</c:v>
                </c:pt>
                <c:pt idx="216">
                  <c:v>-5.2961104878650636</c:v>
                </c:pt>
                <c:pt idx="217">
                  <c:v>-5.2972866329419066</c:v>
                </c:pt>
                <c:pt idx="218">
                  <c:v>-5.298658537752722</c:v>
                </c:pt>
                <c:pt idx="219">
                  <c:v>-5.3001983603602225</c:v>
                </c:pt>
                <c:pt idx="220">
                  <c:v>-5.3019032170560951</c:v>
                </c:pt>
                <c:pt idx="221">
                  <c:v>-5.3037702894645387</c:v>
                </c:pt>
                <c:pt idx="222">
                  <c:v>-5.3058437964475189</c:v>
                </c:pt>
                <c:pt idx="223">
                  <c:v>-5.3080810768519644</c:v>
                </c:pt>
                <c:pt idx="224">
                  <c:v>-5.3104793195467046</c:v>
                </c:pt>
                <c:pt idx="225">
                  <c:v>-5.3130357770329191</c:v>
                </c:pt>
                <c:pt idx="226">
                  <c:v>-5.3158173157051856</c:v>
                </c:pt>
                <c:pt idx="227">
                  <c:v>-5.3187594066100523</c:v>
                </c:pt>
                <c:pt idx="228">
                  <c:v>-5.3218592881884579</c:v>
                </c:pt>
                <c:pt idx="229">
                  <c:v>-5.3251142614939857</c:v>
                </c:pt>
                <c:pt idx="230">
                  <c:v>-5.3322557669656847</c:v>
                </c:pt>
                <c:pt idx="231">
                  <c:v>-5.3360595928517007</c:v>
                </c:pt>
                <c:pt idx="232">
                  <c:v>-5.3400152520245525</c:v>
                </c:pt>
                <c:pt idx="233">
                  <c:v>-5.3442193964824733</c:v>
                </c:pt>
                <c:pt idx="234">
                  <c:v>-5.3485772458030958</c:v>
                </c:pt>
                <c:pt idx="235">
                  <c:v>-5.3530861497743176</c:v>
                </c:pt>
                <c:pt idx="236">
                  <c:v>-5.3577435183582232</c:v>
                </c:pt>
                <c:pt idx="237">
                  <c:v>-5.362645771459154</c:v>
                </c:pt>
                <c:pt idx="238">
                  <c:v>-5.3676973119617335</c:v>
                </c:pt>
                <c:pt idx="239">
                  <c:v>-5.3728955718512097</c:v>
                </c:pt>
                <c:pt idx="240">
                  <c:v>-5.3782380412517075</c:v>
                </c:pt>
                <c:pt idx="241">
                  <c:v>-5.3838643256747796</c:v>
                </c:pt>
                <c:pt idx="242">
                  <c:v>-5.389637121611953</c:v>
                </c:pt>
                <c:pt idx="243">
                  <c:v>-5.39555390164832</c:v>
                </c:pt>
                <c:pt idx="244">
                  <c:v>-5.4016121957142502</c:v>
                </c:pt>
                <c:pt idx="245">
                  <c:v>-5.4079484851409516</c:v>
                </c:pt>
                <c:pt idx="246">
                  <c:v>-5.414427587888663</c:v>
                </c:pt>
                <c:pt idx="247">
                  <c:v>-5.4210470414256937</c:v>
                </c:pt>
                <c:pt idx="248">
                  <c:v>-5.4278044390304343</c:v>
                </c:pt>
                <c:pt idx="249">
                  <c:v>-5.4348672242978866</c:v>
                </c:pt>
                <c:pt idx="250">
                  <c:v>-5.4420698247473789</c:v>
                </c:pt>
                <c:pt idx="251">
                  <c:v>-5.4494098252583978</c:v>
                </c:pt>
                <c:pt idx="252">
                  <c:v>-5.4568848655011628</c:v>
                </c:pt>
                <c:pt idx="253">
                  <c:v>-5.4646550672507788</c:v>
                </c:pt>
                <c:pt idx="254">
                  <c:v>-5.4725612785857649</c:v>
                </c:pt>
                <c:pt idx="255">
                  <c:v>-5.4806011531545602</c:v>
                </c:pt>
                <c:pt idx="256">
                  <c:v>-5.4887723977236869</c:v>
                </c:pt>
                <c:pt idx="257">
                  <c:v>-5.4972895024559296</c:v>
                </c:pt>
                <c:pt idx="258">
                  <c:v>-5.5059401475369638</c:v>
                </c:pt>
                <c:pt idx="259">
                  <c:v>-5.5147220214326413</c:v>
                </c:pt>
                <c:pt idx="260">
                  <c:v>-5.5236328650662916</c:v>
                </c:pt>
                <c:pt idx="261">
                  <c:v>-5.5328773266597002</c:v>
                </c:pt>
                <c:pt idx="262">
                  <c:v>-5.5422520689387405</c:v>
                </c:pt>
                <c:pt idx="263">
                  <c:v>-5.5517548360404101</c:v>
                </c:pt>
                <c:pt idx="264">
                  <c:v>-5.5613834232610957</c:v>
                </c:pt>
                <c:pt idx="265">
                  <c:v>-5.5713537807045039</c:v>
                </c:pt>
                <c:pt idx="266">
                  <c:v>-5.5814511110620524</c:v>
                </c:pt>
                <c:pt idx="267">
                  <c:v>-5.5916732158851072</c:v>
                </c:pt>
                <c:pt idx="268">
                  <c:v>-5.6020179465241515</c:v>
                </c:pt>
                <c:pt idx="269">
                  <c:v>-5.6127374602430846</c:v>
                </c:pt>
                <c:pt idx="270">
                  <c:v>-5.6235811875012356</c:v>
                </c:pt>
                <c:pt idx="271">
                  <c:v>-5.6345469735358966</c:v>
                </c:pt>
                <c:pt idx="272">
                  <c:v>-5.6456327124270409</c:v>
                </c:pt>
                <c:pt idx="273">
                  <c:v>-5.6571019889310383</c:v>
                </c:pt>
                <c:pt idx="274">
                  <c:v>-5.6686926291361894</c:v>
                </c:pt>
                <c:pt idx="275">
                  <c:v>-5.6804025247087724</c:v>
                </c:pt>
                <c:pt idx="276">
                  <c:v>-5.692229615109424</c:v>
                </c:pt>
                <c:pt idx="277">
                  <c:v>-5.7044207419491038</c:v>
                </c:pt>
                <c:pt idx="278">
                  <c:v>-5.7167297827763592</c:v>
                </c:pt>
                <c:pt idx="279">
                  <c:v>-5.7291546916738181</c:v>
                </c:pt>
                <c:pt idx="280">
                  <c:v>-5.7416934689799826</c:v>
                </c:pt>
                <c:pt idx="281">
                  <c:v>-5.7546883811196272</c:v>
                </c:pt>
                <c:pt idx="282">
                  <c:v>-5.7677992823961688</c:v>
                </c:pt>
                <c:pt idx="283">
                  <c:v>-5.7810241501051198</c:v>
                </c:pt>
                <c:pt idx="284">
                  <c:v>-5.7943610074295968</c:v>
                </c:pt>
                <c:pt idx="285">
                  <c:v>-5.8080750021835765</c:v>
                </c:pt>
                <c:pt idx="286">
                  <c:v>-5.8219014486846632</c:v>
                </c:pt>
                <c:pt idx="287">
                  <c:v>-5.8358383896930874</c:v>
                </c:pt>
                <c:pt idx="288">
                  <c:v>-5.8498839122087407</c:v>
                </c:pt>
                <c:pt idx="289">
                  <c:v>-5.8644035513858528</c:v>
                </c:pt>
                <c:pt idx="290">
                  <c:v>-5.8790335199890702</c:v>
                </c:pt>
                <c:pt idx="291">
                  <c:v>-5.8937718897765938</c:v>
                </c:pt>
                <c:pt idx="292">
                  <c:v>-5.9086167761859087</c:v>
                </c:pt>
                <c:pt idx="293">
                  <c:v>-5.9239130331339238</c:v>
                </c:pt>
                <c:pt idx="294">
                  <c:v>-5.9393169304231908</c:v>
                </c:pt>
                <c:pt idx="295">
                  <c:v>-5.9548265838327206</c:v>
                </c:pt>
                <c:pt idx="296">
                  <c:v>-5.9704401518005117</c:v>
                </c:pt>
                <c:pt idx="297">
                  <c:v>-5.9865119740783248</c:v>
                </c:pt>
                <c:pt idx="298">
                  <c:v>-6.0026886947260047</c:v>
                </c:pt>
                <c:pt idx="299">
                  <c:v>-6.0189684752283554</c:v>
                </c:pt>
                <c:pt idx="300">
                  <c:v>-6.0353495186496628</c:v>
                </c:pt>
                <c:pt idx="301">
                  <c:v>-6.0521952067706621</c:v>
                </c:pt>
                <c:pt idx="302">
                  <c:v>-6.0691430127085653</c:v>
                </c:pt>
                <c:pt idx="303">
                  <c:v>-6.0861911449598791</c:v>
                </c:pt>
                <c:pt idx="304">
                  <c:v>-6.1033378524733264</c:v>
                </c:pt>
                <c:pt idx="305">
                  <c:v>-6.1210230827295042</c:v>
                </c:pt>
                <c:pt idx="306">
                  <c:v>-6.1388083831558049</c:v>
                </c:pt>
                <c:pt idx="307">
                  <c:v>-6.1566919902556956</c:v>
                </c:pt>
                <c:pt idx="308">
                  <c:v>-6.1746721804200932</c:v>
                </c:pt>
                <c:pt idx="309">
                  <c:v>-6.1931291704178735</c:v>
                </c:pt>
                <c:pt idx="310">
                  <c:v>-6.2116833473407693</c:v>
                </c:pt>
                <c:pt idx="311">
                  <c:v>-6.2303329978555482</c:v>
                </c:pt>
                <c:pt idx="312">
                  <c:v>-6.2490764472783145</c:v>
                </c:pt>
                <c:pt idx="313">
                  <c:v>-6.2683726014052112</c:v>
                </c:pt>
                <c:pt idx="314">
                  <c:v>-6.2877637478409421</c:v>
                </c:pt>
                <c:pt idx="315">
                  <c:v>-6.3072482054820309</c:v>
                </c:pt>
                <c:pt idx="316">
                  <c:v>-6.3268243311659544</c:v>
                </c:pt>
                <c:pt idx="317">
                  <c:v>-6.3469598458653271</c:v>
                </c:pt>
                <c:pt idx="318">
                  <c:v>-6.367188077292111</c:v>
                </c:pt>
                <c:pt idx="319">
                  <c:v>-6.3875073788080599</c:v>
                </c:pt>
                <c:pt idx="320">
                  <c:v>-6.4079161409325822</c:v>
                </c:pt>
                <c:pt idx="321">
                  <c:v>-6.4288904898559247</c:v>
                </c:pt>
                <c:pt idx="322">
                  <c:v>-6.4499552137763594</c:v>
                </c:pt>
                <c:pt idx="323">
                  <c:v>-6.4711087023739733</c:v>
                </c:pt>
                <c:pt idx="324">
                  <c:v>-6.4923493816396176</c:v>
                </c:pt>
                <c:pt idx="325">
                  <c:v>-6.5141613857795182</c:v>
                </c:pt>
                <c:pt idx="326">
                  <c:v>-6.5360613705615238</c:v>
                </c:pt>
                <c:pt idx="327">
                  <c:v>-6.5580477634816496</c:v>
                </c:pt>
                <c:pt idx="328">
                  <c:v>-6.5801190274470267</c:v>
                </c:pt>
                <c:pt idx="329">
                  <c:v>-6.6028048653376432</c:v>
                </c:pt>
                <c:pt idx="330">
                  <c:v>-6.6255765329118788</c:v>
                </c:pt>
                <c:pt idx="331">
                  <c:v>-6.6484324890327731</c:v>
                </c:pt>
                <c:pt idx="332">
                  <c:v>-6.6713712272599501</c:v>
                </c:pt>
                <c:pt idx="333">
                  <c:v>-6.6948917658878448</c:v>
                </c:pt>
                <c:pt idx="334">
                  <c:v>-6.7184956462181775</c:v>
                </c:pt>
                <c:pt idx="335">
                  <c:v>-6.7421813675478859</c:v>
                </c:pt>
                <c:pt idx="336">
                  <c:v>-6.7659474628770724</c:v>
                </c:pt>
                <c:pt idx="337">
                  <c:v>-6.7903779142548411</c:v>
                </c:pt>
                <c:pt idx="338">
                  <c:v>-6.8148897148651022</c:v>
                </c:pt>
                <c:pt idx="339">
                  <c:v>-6.8394813911017573</c:v>
                </c:pt>
                <c:pt idx="340">
                  <c:v>-6.8641515024588298</c:v>
                </c:pt>
                <c:pt idx="341">
                  <c:v>-6.8894916093674698</c:v>
                </c:pt>
                <c:pt idx="342">
                  <c:v>-6.9149109948575571</c:v>
                </c:pt>
                <c:pt idx="343">
                  <c:v>-6.9404082144016845</c:v>
                </c:pt>
                <c:pt idx="344">
                  <c:v>-6.9659818559026672</c:v>
                </c:pt>
                <c:pt idx="345">
                  <c:v>-6.9921906817080464</c:v>
                </c:pt>
                <c:pt idx="346">
                  <c:v>-7.0184764176565198</c:v>
                </c:pt>
                <c:pt idx="347">
                  <c:v>-7.0448376563176405</c:v>
                </c:pt>
                <c:pt idx="348">
                  <c:v>-7.0712730217745587</c:v>
                </c:pt>
                <c:pt idx="349">
                  <c:v>-7.0984286069817939</c:v>
                </c:pt>
                <c:pt idx="350">
                  <c:v>-7.1256591536598037</c:v>
                </c:pt>
                <c:pt idx="351">
                  <c:v>-7.1529632798736325</c:v>
                </c:pt>
                <c:pt idx="352">
                  <c:v>-7.1803396346229453</c:v>
                </c:pt>
                <c:pt idx="353">
                  <c:v>-7.2084412567722342</c:v>
                </c:pt>
                <c:pt idx="354">
                  <c:v>-7.2366158175473938</c:v>
                </c:pt>
                <c:pt idx="355">
                  <c:v>-7.2648619622879957</c:v>
                </c:pt>
                <c:pt idx="356">
                  <c:v>-7.2931783666284868</c:v>
                </c:pt>
                <c:pt idx="357">
                  <c:v>-7.3221833613269949</c:v>
                </c:pt>
                <c:pt idx="358">
                  <c:v>-7.3512590101322743</c:v>
                </c:pt>
                <c:pt idx="359">
                  <c:v>-7.3804039927048164</c:v>
                </c:pt>
                <c:pt idx="360">
                  <c:v>-7.4096170181433649</c:v>
                </c:pt>
                <c:pt idx="361">
                  <c:v>-7.4396056872737208</c:v>
                </c:pt>
                <c:pt idx="362">
                  <c:v>-7.4696630800527997</c:v>
                </c:pt>
                <c:pt idx="363">
                  <c:v>-7.4997879003198635</c:v>
                </c:pt>
                <c:pt idx="364">
                  <c:v>-7.5299788807887875</c:v>
                </c:pt>
                <c:pt idx="365">
                  <c:v>-7.5609078636425258</c:v>
                </c:pt>
                <c:pt idx="366">
                  <c:v>-7.5919033907656237</c:v>
                </c:pt>
                <c:pt idx="367">
                  <c:v>-7.622964196836854</c:v>
                </c:pt>
                <c:pt idx="368">
                  <c:v>-7.6540890446409771</c:v>
                </c:pt>
                <c:pt idx="369">
                  <c:v>-7.6860402434977413</c:v>
                </c:pt>
                <c:pt idx="370">
                  <c:v>-7.7180561131975907</c:v>
                </c:pt>
                <c:pt idx="371">
                  <c:v>-7.7501354101660356</c:v>
                </c:pt>
                <c:pt idx="372">
                  <c:v>-7.7822769184267413</c:v>
                </c:pt>
                <c:pt idx="373">
                  <c:v>-7.8152061949060085</c:v>
                </c:pt>
                <c:pt idx="374">
                  <c:v>-7.8481980330598695</c:v>
                </c:pt>
                <c:pt idx="375">
                  <c:v>-7.8812512173270663</c:v>
                </c:pt>
                <c:pt idx="376">
                  <c:v>-7.9143645590441247</c:v>
                </c:pt>
                <c:pt idx="377">
                  <c:v>-7.9483551072934695</c:v>
                </c:pt>
                <c:pt idx="378">
                  <c:v>-7.9824063711192883</c:v>
                </c:pt>
                <c:pt idx="379">
                  <c:v>-8.0165171547766771</c:v>
                </c:pt>
                <c:pt idx="380">
                  <c:v>-8.0506862889512316</c:v>
                </c:pt>
                <c:pt idx="381">
                  <c:v>-8.0856497666453375</c:v>
                </c:pt>
                <c:pt idx="382">
                  <c:v>-8.1206717477062575</c:v>
                </c:pt>
                <c:pt idx="383">
                  <c:v>-8.1557510663668591</c:v>
                </c:pt>
                <c:pt idx="384">
                  <c:v>-8.1908865825172033</c:v>
                </c:pt>
                <c:pt idx="385">
                  <c:v>-8.2269500048445892</c:v>
                </c:pt>
                <c:pt idx="386">
                  <c:v>-8.2630700998847182</c:v>
                </c:pt>
                <c:pt idx="387">
                  <c:v>-8.2992457198371667</c:v>
                </c:pt>
                <c:pt idx="388">
                  <c:v>-8.3354757421289634</c:v>
                </c:pt>
                <c:pt idx="389">
                  <c:v>-8.3725932817043471</c:v>
                </c:pt>
                <c:pt idx="390">
                  <c:v>-8.4097654533837503</c:v>
                </c:pt>
                <c:pt idx="391">
                  <c:v>-8.4469911328161675</c:v>
                </c:pt>
                <c:pt idx="392">
                  <c:v>-8.4842692202801366</c:v>
                </c:pt>
                <c:pt idx="393">
                  <c:v>-8.5224375887525561</c:v>
                </c:pt>
                <c:pt idx="394">
                  <c:v>-8.5606584963853773</c:v>
                </c:pt>
                <c:pt idx="395">
                  <c:v>-8.598930843106908</c:v>
                </c:pt>
                <c:pt idx="396">
                  <c:v>-8.637253552845209</c:v>
                </c:pt>
                <c:pt idx="397">
                  <c:v>-8.6765577523119095</c:v>
                </c:pt>
                <c:pt idx="398">
                  <c:v>-8.7159125788125884</c:v>
                </c:pt>
                <c:pt idx="399">
                  <c:v>-8.755316949937745</c:v>
                </c:pt>
                <c:pt idx="400">
                  <c:v>-8.7947698068315923</c:v>
                </c:pt>
                <c:pt idx="401">
                  <c:v>-8.8351623080169563</c:v>
                </c:pt>
                <c:pt idx="402">
                  <c:v>-8.8756033418066114</c:v>
                </c:pt>
                <c:pt idx="403">
                  <c:v>-8.9160918481650633</c:v>
                </c:pt>
                <c:pt idx="404">
                  <c:v>-8.9566267900199925</c:v>
                </c:pt>
                <c:pt idx="405">
                  <c:v>-8.9981482876638879</c:v>
                </c:pt>
                <c:pt idx="406">
                  <c:v>-9.0397162726669702</c:v>
                </c:pt>
                <c:pt idx="407">
                  <c:v>-9.0813297046559853</c:v>
                </c:pt>
                <c:pt idx="408">
                  <c:v>-9.1229875657005746</c:v>
                </c:pt>
                <c:pt idx="409">
                  <c:v>-9.1656790539897308</c:v>
                </c:pt>
                <c:pt idx="410">
                  <c:v>-9.2084150155803162</c:v>
                </c:pt>
                <c:pt idx="411">
                  <c:v>-9.2511944273671851</c:v>
                </c:pt>
                <c:pt idx="412">
                  <c:v>-9.294016288228045</c:v>
                </c:pt>
                <c:pt idx="413">
                  <c:v>-9.3378737729719781</c:v>
                </c:pt>
                <c:pt idx="414">
                  <c:v>-9.3817736451167058</c:v>
                </c:pt>
                <c:pt idx="415">
                  <c:v>-9.425714899780516</c:v>
                </c:pt>
                <c:pt idx="416">
                  <c:v>-9.4696965535687134</c:v>
                </c:pt>
                <c:pt idx="417">
                  <c:v>-9.5147608384306182</c:v>
                </c:pt>
                <c:pt idx="418">
                  <c:v>-9.559865439865483</c:v>
                </c:pt>
                <c:pt idx="419">
                  <c:v>-9.6050093690161109</c:v>
                </c:pt>
                <c:pt idx="420">
                  <c:v>-9.6501916580706268</c:v>
                </c:pt>
                <c:pt idx="421">
                  <c:v>-9.6964126142148324</c:v>
                </c:pt>
                <c:pt idx="422">
                  <c:v>-9.7426716671945375</c:v>
                </c:pt>
                <c:pt idx="423">
                  <c:v>-9.7889678478921383</c:v>
                </c:pt>
                <c:pt idx="424">
                  <c:v>-9.8353002076808238</c:v>
                </c:pt>
                <c:pt idx="425">
                  <c:v>-9.8828091897259274</c:v>
                </c:pt>
                <c:pt idx="426">
                  <c:v>-9.9303542004475283</c:v>
                </c:pt>
                <c:pt idx="427">
                  <c:v>-9.9779342826833535</c:v>
                </c:pt>
                <c:pt idx="428">
                  <c:v>-10.025548499417782</c:v>
                </c:pt>
                <c:pt idx="429">
                  <c:v>-10.074294817683336</c:v>
                </c:pt>
                <c:pt idx="430">
                  <c:v>-10.123074940616595</c:v>
                </c:pt>
                <c:pt idx="431">
                  <c:v>-10.171887926726425</c:v>
                </c:pt>
                <c:pt idx="432">
                  <c:v>-10.220732854211203</c:v>
                </c:pt>
                <c:pt idx="433">
                  <c:v>-10.270710601342955</c:v>
                </c:pt>
                <c:pt idx="434">
                  <c:v>-10.320719856984685</c:v>
                </c:pt>
                <c:pt idx="435">
                  <c:v>-10.370759695934622</c:v>
                </c:pt>
                <c:pt idx="436">
                  <c:v>-10.420829212198697</c:v>
                </c:pt>
                <c:pt idx="437">
                  <c:v>-10.472123965950553</c:v>
                </c:pt>
                <c:pt idx="438">
                  <c:v>-10.523447968210338</c:v>
                </c:pt>
                <c:pt idx="439">
                  <c:v>-10.574800305663249</c:v>
                </c:pt>
                <c:pt idx="440">
                  <c:v>-10.626180083833622</c:v>
                </c:pt>
                <c:pt idx="441">
                  <c:v>-10.678785449485165</c:v>
                </c:pt>
                <c:pt idx="442">
                  <c:v>-10.731417713493876</c:v>
                </c:pt>
                <c:pt idx="443">
                  <c:v>-10.784075975232261</c:v>
                </c:pt>
                <c:pt idx="444">
                  <c:v>-10.836759352512971</c:v>
                </c:pt>
                <c:pt idx="445">
                  <c:v>-10.890668307247806</c:v>
                </c:pt>
                <c:pt idx="446">
                  <c:v>-10.944601725309445</c:v>
                </c:pt>
                <c:pt idx="447">
                  <c:v>-10.998558719387429</c:v>
                </c:pt>
                <c:pt idx="448">
                  <c:v>-11.052538420187638</c:v>
                </c:pt>
                <c:pt idx="449">
                  <c:v>-11.107835904601009</c:v>
                </c:pt>
                <c:pt idx="450">
                  <c:v>-11.163155409275248</c:v>
                </c:pt>
                <c:pt idx="451">
                  <c:v>-11.218496056335155</c:v>
                </c:pt>
                <c:pt idx="452">
                  <c:v>-11.27385698559466</c:v>
                </c:pt>
                <c:pt idx="453">
                  <c:v>-11.330488844090262</c:v>
                </c:pt>
                <c:pt idx="454">
                  <c:v>-11.387140146861473</c:v>
                </c:pt>
                <c:pt idx="455">
                  <c:v>-11.443810028331038</c:v>
                </c:pt>
                <c:pt idx="456">
                  <c:v>-11.500497640199475</c:v>
                </c:pt>
                <c:pt idx="457">
                  <c:v>-11.558548037594459</c:v>
                </c:pt>
                <c:pt idx="458">
                  <c:v>-11.61661527116417</c:v>
                </c:pt>
                <c:pt idx="459">
                  <c:v>-11.674698483965017</c:v>
                </c:pt>
                <c:pt idx="460">
                  <c:v>-11.732796836009658</c:v>
                </c:pt>
                <c:pt idx="461">
                  <c:v>-11.792256803269707</c:v>
                </c:pt>
                <c:pt idx="462">
                  <c:v>-11.851730893014249</c:v>
                </c:pt>
                <c:pt idx="463">
                  <c:v>-11.91121825758939</c:v>
                </c:pt>
                <c:pt idx="464">
                  <c:v>-11.970718065951344</c:v>
                </c:pt>
                <c:pt idx="465">
                  <c:v>-12.031624435494392</c:v>
                </c:pt>
                <c:pt idx="466">
                  <c:v>-12.092542128981773</c:v>
                </c:pt>
                <c:pt idx="467">
                  <c:v>-12.153470306661315</c:v>
                </c:pt>
                <c:pt idx="468">
                  <c:v>-12.214408145074067</c:v>
                </c:pt>
                <c:pt idx="469">
                  <c:v>-12.276750659774542</c:v>
                </c:pt>
                <c:pt idx="470">
                  <c:v>-12.339101590089474</c:v>
                </c:pt>
                <c:pt idx="471">
                  <c:v>-12.401460104728811</c:v>
                </c:pt>
                <c:pt idx="472">
                  <c:v>-12.463825388358339</c:v>
                </c:pt>
                <c:pt idx="473">
                  <c:v>-12.527686170390874</c:v>
                </c:pt>
                <c:pt idx="474">
                  <c:v>-12.591552368061731</c:v>
                </c:pt>
                <c:pt idx="475">
                  <c:v>-12.655423155405652</c:v>
                </c:pt>
                <c:pt idx="476">
                  <c:v>-12.719297722149729</c:v>
                </c:pt>
                <c:pt idx="477">
                  <c:v>-12.784665158013336</c:v>
                </c:pt>
                <c:pt idx="478">
                  <c:v>-12.850034883320761</c:v>
                </c:pt>
                <c:pt idx="479">
                  <c:v>-12.915406078064768</c:v>
                </c:pt>
                <c:pt idx="480">
                  <c:v>-12.980777937645273</c:v>
                </c:pt>
                <c:pt idx="481">
                  <c:v>-13.047639618948525</c:v>
                </c:pt>
                <c:pt idx="482">
                  <c:v>-13.114500340722307</c:v>
                </c:pt>
                <c:pt idx="483">
                  <c:v>-13.18135928943115</c:v>
                </c:pt>
                <c:pt idx="484">
                  <c:v>-13.24821566664434</c:v>
                </c:pt>
                <c:pt idx="485">
                  <c:v>-13.316604959029659</c:v>
                </c:pt>
                <c:pt idx="486">
                  <c:v>-13.384989916732223</c:v>
                </c:pt>
                <c:pt idx="487">
                  <c:v>-13.453369731461617</c:v>
                </c:pt>
                <c:pt idx="488">
                  <c:v>-13.521743609756907</c:v>
                </c:pt>
                <c:pt idx="489">
                  <c:v>-13.591739582046138</c:v>
                </c:pt>
                <c:pt idx="490">
                  <c:v>-13.661727694322007</c:v>
                </c:pt>
                <c:pt idx="491">
                  <c:v>-13.731707140808318</c:v>
                </c:pt>
                <c:pt idx="492">
                  <c:v>-13.801677130346338</c:v>
                </c:pt>
                <c:pt idx="493">
                  <c:v>-13.873264810827751</c:v>
                </c:pt>
                <c:pt idx="494">
                  <c:v>-13.944840958203692</c:v>
                </c:pt>
                <c:pt idx="495">
                  <c:v>-14.016404769824467</c:v>
                </c:pt>
                <c:pt idx="496">
                  <c:v>-14.087955457428887</c:v>
                </c:pt>
                <c:pt idx="497">
                  <c:v>-14.16116544943152</c:v>
                </c:pt>
                <c:pt idx="498">
                  <c:v>-14.234360070326941</c:v>
                </c:pt>
                <c:pt idx="499">
                  <c:v>-14.307538519602771</c:v>
                </c:pt>
                <c:pt idx="500">
                  <c:v>-14.380700010928626</c:v>
                </c:pt>
                <c:pt idx="501">
                  <c:v>-14.455561850322544</c:v>
                </c:pt>
                <c:pt idx="502">
                  <c:v>-14.53040430280214</c:v>
                </c:pt>
                <c:pt idx="503">
                  <c:v>-14.605226569075324</c:v>
                </c:pt>
                <c:pt idx="504">
                  <c:v>-14.680027863847162</c:v>
                </c:pt>
                <c:pt idx="505">
                  <c:v>-14.756523558267091</c:v>
                </c:pt>
                <c:pt idx="506">
                  <c:v>-14.832995688342205</c:v>
                </c:pt>
                <c:pt idx="507">
                  <c:v>-14.909443456592893</c:v>
                </c:pt>
                <c:pt idx="508">
                  <c:v>-14.985866079339948</c:v>
                </c:pt>
                <c:pt idx="509">
                  <c:v>-15.064022981108003</c:v>
                </c:pt>
                <c:pt idx="510">
                  <c:v>-15.142151948483965</c:v>
                </c:pt>
                <c:pt idx="511">
                  <c:v>-15.220252184924387</c:v>
                </c:pt>
                <c:pt idx="512">
                  <c:v>-15.298322907513267</c:v>
                </c:pt>
                <c:pt idx="513">
                  <c:v>-15.378213368572732</c:v>
                </c:pt>
                <c:pt idx="514">
                  <c:v>-15.458071281452721</c:v>
                </c:pt>
                <c:pt idx="515">
                  <c:v>-15.537895848376028</c:v>
                </c:pt>
                <c:pt idx="516">
                  <c:v>-15.61768628507402</c:v>
                </c:pt>
                <c:pt idx="517">
                  <c:v>-15.699288662784808</c:v>
                </c:pt>
                <c:pt idx="518">
                  <c:v>-15.780853691748478</c:v>
                </c:pt>
                <c:pt idx="519">
                  <c:v>-15.862380573671576</c:v>
                </c:pt>
                <c:pt idx="520">
                  <c:v>-15.94386852364093</c:v>
                </c:pt>
                <c:pt idx="521">
                  <c:v>-16.02720614981407</c:v>
                </c:pt>
                <c:pt idx="522">
                  <c:v>-16.110501395281936</c:v>
                </c:pt>
                <c:pt idx="523">
                  <c:v>-16.193753460597641</c:v>
                </c:pt>
                <c:pt idx="524">
                  <c:v>-16.276961559589392</c:v>
                </c:pt>
                <c:pt idx="525">
                  <c:v>-16.362056273393755</c:v>
                </c:pt>
                <c:pt idx="526">
                  <c:v>-16.447103330286357</c:v>
                </c:pt>
                <c:pt idx="527">
                  <c:v>-16.532101929116347</c:v>
                </c:pt>
                <c:pt idx="528">
                  <c:v>-16.617051281926255</c:v>
                </c:pt>
                <c:pt idx="529">
                  <c:v>-16.703923348477083</c:v>
                </c:pt>
                <c:pt idx="530">
                  <c:v>-16.790742224883346</c:v>
                </c:pt>
                <c:pt idx="531">
                  <c:v>-16.877507107831338</c:v>
                </c:pt>
                <c:pt idx="532">
                  <c:v>-16.964217207142415</c:v>
                </c:pt>
                <c:pt idx="533">
                  <c:v>-17.052930996628866</c:v>
                </c:pt>
                <c:pt idx="534">
                  <c:v>-17.141585731696921</c:v>
                </c:pt>
                <c:pt idx="535">
                  <c:v>-17.230180605270231</c:v>
                </c:pt>
                <c:pt idx="536">
                  <c:v>-17.318714823400136</c:v>
                </c:pt>
                <c:pt idx="537">
                  <c:v>-17.409195555630632</c:v>
                </c:pt>
                <c:pt idx="538">
                  <c:v>-17.499611207999756</c:v>
                </c:pt>
                <c:pt idx="539">
                  <c:v>-17.589960971915708</c:v>
                </c:pt>
                <c:pt idx="540">
                  <c:v>-17.680244051877747</c:v>
                </c:pt>
                <c:pt idx="541">
                  <c:v>-17.772598160748505</c:v>
                </c:pt>
                <c:pt idx="542">
                  <c:v>-17.864880739205706</c:v>
                </c:pt>
                <c:pt idx="543">
                  <c:v>-17.957090974542194</c:v>
                </c:pt>
                <c:pt idx="544">
                  <c:v>-18.049228067183392</c:v>
                </c:pt>
                <c:pt idx="545">
                  <c:v>-18.143422910281437</c:v>
                </c:pt>
                <c:pt idx="546">
                  <c:v>-18.237539530246185</c:v>
                </c:pt>
                <c:pt idx="547">
                  <c:v>-18.331577111474861</c:v>
                </c:pt>
                <c:pt idx="548">
                  <c:v>-18.425534851538302</c:v>
                </c:pt>
                <c:pt idx="549">
                  <c:v>-18.521581569979794</c:v>
                </c:pt>
                <c:pt idx="550">
                  <c:v>-18.617543054161828</c:v>
                </c:pt>
                <c:pt idx="551">
                  <c:v>-18.713418485698213</c:v>
                </c:pt>
                <c:pt idx="552">
                  <c:v>-18.809207059444638</c:v>
                </c:pt>
                <c:pt idx="553">
                  <c:v>-18.907159767519897</c:v>
                </c:pt>
                <c:pt idx="554">
                  <c:v>-19.005019814779846</c:v>
                </c:pt>
                <c:pt idx="555">
                  <c:v>-19.102786379187918</c:v>
                </c:pt>
                <c:pt idx="556">
                  <c:v>-19.200458652069898</c:v>
                </c:pt>
                <c:pt idx="557">
                  <c:v>-19.400088426649205</c:v>
                </c:pt>
                <c:pt idx="558">
                  <c:v>-19.599313155185463</c:v>
                </c:pt>
                <c:pt idx="559">
                  <c:v>-19.80267859045593</c:v>
                </c:pt>
                <c:pt idx="560">
                  <c:v>-20.005606790192314</c:v>
                </c:pt>
                <c:pt idx="561">
                  <c:v>-20.212889978010899</c:v>
                </c:pt>
                <c:pt idx="562">
                  <c:v>-20.41970148461424</c:v>
                </c:pt>
                <c:pt idx="563">
                  <c:v>-20.630457307260244</c:v>
                </c:pt>
                <c:pt idx="564">
                  <c:v>-20.840707572725758</c:v>
                </c:pt>
                <c:pt idx="565">
                  <c:v>-21.055726688880622</c:v>
                </c:pt>
                <c:pt idx="566">
                  <c:v>-21.270200964689174</c:v>
                </c:pt>
                <c:pt idx="567">
                  <c:v>-21.489377329608214</c:v>
                </c:pt>
                <c:pt idx="568">
                  <c:v>-21.707968216170766</c:v>
                </c:pt>
                <c:pt idx="569">
                  <c:v>-21.930321039451137</c:v>
                </c:pt>
                <c:pt idx="570">
                  <c:v>-22.152051354552704</c:v>
                </c:pt>
                <c:pt idx="571">
                  <c:v>-22.379213290396105</c:v>
                </c:pt>
                <c:pt idx="572">
                  <c:v>-22.605704644363637</c:v>
                </c:pt>
                <c:pt idx="573">
                  <c:v>-22.835821796961085</c:v>
                </c:pt>
                <c:pt idx="574">
                  <c:v>-23.065229306768508</c:v>
                </c:pt>
                <c:pt idx="575">
                  <c:v>-23.299906853988237</c:v>
                </c:pt>
                <c:pt idx="576">
                  <c:v>-23.533823903065812</c:v>
                </c:pt>
                <c:pt idx="577">
                  <c:v>-24.515564981263907</c:v>
                </c:pt>
                <c:pt idx="578">
                  <c:v>-25.483142504780215</c:v>
                </c:pt>
                <c:pt idx="579">
                  <c:v>-27.552310061143217</c:v>
                </c:pt>
                <c:pt idx="580">
                  <c:v>-29.740047680407237</c:v>
                </c:pt>
                <c:pt idx="581">
                  <c:v>-32.035696687029187</c:v>
                </c:pt>
                <c:pt idx="582">
                  <c:v>-34.430021852762764</c:v>
                </c:pt>
                <c:pt idx="583">
                  <c:v>-36.907446649805543</c:v>
                </c:pt>
                <c:pt idx="584">
                  <c:v>-39.453117555328078</c:v>
                </c:pt>
                <c:pt idx="585">
                  <c:v>-42.046376770343052</c:v>
                </c:pt>
                <c:pt idx="586">
                  <c:v>-44.666505194085019</c:v>
                </c:pt>
                <c:pt idx="587">
                  <c:v>-47.292759032951992</c:v>
                </c:pt>
                <c:pt idx="588">
                  <c:v>-49.900325621736378</c:v>
                </c:pt>
                <c:pt idx="589">
                  <c:v>-52.469763251901711</c:v>
                </c:pt>
                <c:pt idx="590">
                  <c:v>-54.980159377990311</c:v>
                </c:pt>
                <c:pt idx="591">
                  <c:v>-57.414121024695632</c:v>
                </c:pt>
                <c:pt idx="592">
                  <c:v>-59.756517632658216</c:v>
                </c:pt>
                <c:pt idx="593">
                  <c:v>-61.996285037005322</c:v>
                </c:pt>
                <c:pt idx="594">
                  <c:v>-64.124181822985278</c:v>
                </c:pt>
                <c:pt idx="595">
                  <c:v>-66.134976452460364</c:v>
                </c:pt>
                <c:pt idx="596">
                  <c:v>-68.025309979192954</c:v>
                </c:pt>
                <c:pt idx="597">
                  <c:v>-69.794987693926046</c:v>
                </c:pt>
                <c:pt idx="598">
                  <c:v>-71.444938943992042</c:v>
                </c:pt>
                <c:pt idx="599">
                  <c:v>-72.978514130365198</c:v>
                </c:pt>
                <c:pt idx="600">
                  <c:v>-74.399581031728431</c:v>
                </c:pt>
              </c:numCache>
            </c:numRef>
          </c:yVal>
          <c:smooth val="0"/>
          <c:extLst>
            <c:ext xmlns:c16="http://schemas.microsoft.com/office/drawing/2014/chart" uri="{C3380CC4-5D6E-409C-BE32-E72D297353CC}">
              <c16:uniqueId val="{00000001-C943-44AE-BE69-B37F145E1EAF}"/>
            </c:ext>
          </c:extLst>
        </c:ser>
        <c:ser>
          <c:idx val="2"/>
          <c:order val="2"/>
          <c:tx>
            <c:v>pwr plant</c:v>
          </c:tx>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Calculations'!$AG$13:$AG$613</c:f>
              <c:numCache>
                <c:formatCode>0.00</c:formatCode>
                <c:ptCount val="601"/>
                <c:pt idx="0">
                  <c:v>33.243169166940312</c:v>
                </c:pt>
                <c:pt idx="1">
                  <c:v>33.243162157738915</c:v>
                </c:pt>
                <c:pt idx="2">
                  <c:v>33.243153731525695</c:v>
                </c:pt>
                <c:pt idx="3">
                  <c:v>33.2431436015925</c:v>
                </c:pt>
                <c:pt idx="4">
                  <c:v>33.243131431889104</c:v>
                </c:pt>
                <c:pt idx="5">
                  <c:v>33.243116786462124</c:v>
                </c:pt>
                <c:pt idx="6">
                  <c:v>33.243099185386541</c:v>
                </c:pt>
                <c:pt idx="7">
                  <c:v>33.243078018028804</c:v>
                </c:pt>
                <c:pt idx="8">
                  <c:v>33.243052580385687</c:v>
                </c:pt>
                <c:pt idx="9">
                  <c:v>33.243021987672932</c:v>
                </c:pt>
                <c:pt idx="10">
                  <c:v>33.242985215700443</c:v>
                </c:pt>
                <c:pt idx="11">
                  <c:v>33.242941010983053</c:v>
                </c:pt>
                <c:pt idx="12">
                  <c:v>33.242887840815207</c:v>
                </c:pt>
                <c:pt idx="13">
                  <c:v>33.242823948480854</c:v>
                </c:pt>
                <c:pt idx="14">
                  <c:v>33.242747111539408</c:v>
                </c:pt>
                <c:pt idx="15">
                  <c:v>33.242654741082717</c:v>
                </c:pt>
                <c:pt idx="16">
                  <c:v>33.242543688668334</c:v>
                </c:pt>
                <c:pt idx="17">
                  <c:v>33.242410196741062</c:v>
                </c:pt>
                <c:pt idx="18">
                  <c:v>33.242249684516729</c:v>
                </c:pt>
                <c:pt idx="19">
                  <c:v>33.242056734684965</c:v>
                </c:pt>
                <c:pt idx="20">
                  <c:v>33.24182474715785</c:v>
                </c:pt>
                <c:pt idx="21">
                  <c:v>33.241545883122228</c:v>
                </c:pt>
                <c:pt idx="22">
                  <c:v>33.241210601579013</c:v>
                </c:pt>
                <c:pt idx="23">
                  <c:v>33.240807594143561</c:v>
                </c:pt>
                <c:pt idx="24">
                  <c:v>33.240323064301045</c:v>
                </c:pt>
                <c:pt idx="25">
                  <c:v>33.239740617307227</c:v>
                </c:pt>
                <c:pt idx="26">
                  <c:v>33.239040306282121</c:v>
                </c:pt>
                <c:pt idx="27">
                  <c:v>33.238198565197095</c:v>
                </c:pt>
                <c:pt idx="28">
                  <c:v>33.237186843874142</c:v>
                </c:pt>
                <c:pt idx="29">
                  <c:v>33.235971710157521</c:v>
                </c:pt>
                <c:pt idx="30">
                  <c:v>33.234509823897163</c:v>
                </c:pt>
                <c:pt idx="31">
                  <c:v>33.232753553281349</c:v>
                </c:pt>
                <c:pt idx="32">
                  <c:v>33.230642362836221</c:v>
                </c:pt>
                <c:pt idx="33">
                  <c:v>33.228106606147101</c:v>
                </c:pt>
                <c:pt idx="34">
                  <c:v>33.225058905669442</c:v>
                </c:pt>
                <c:pt idx="35">
                  <c:v>33.221398416494551</c:v>
                </c:pt>
                <c:pt idx="36">
                  <c:v>33.217002069533336</c:v>
                </c:pt>
                <c:pt idx="37">
                  <c:v>33.211719901206408</c:v>
                </c:pt>
                <c:pt idx="38">
                  <c:v>33.205380946329825</c:v>
                </c:pt>
                <c:pt idx="39">
                  <c:v>33.197769829536419</c:v>
                </c:pt>
                <c:pt idx="40">
                  <c:v>33.188637479549492</c:v>
                </c:pt>
                <c:pt idx="41">
                  <c:v>33.177683217716783</c:v>
                </c:pt>
                <c:pt idx="42">
                  <c:v>33.164551612430998</c:v>
                </c:pt>
                <c:pt idx="43">
                  <c:v>33.148813890180548</c:v>
                </c:pt>
                <c:pt idx="44">
                  <c:v>33.129970180399873</c:v>
                </c:pt>
                <c:pt idx="45">
                  <c:v>33.107420636402736</c:v>
                </c:pt>
                <c:pt idx="46">
                  <c:v>33.080467119353884</c:v>
                </c:pt>
                <c:pt idx="47">
                  <c:v>33.048278272161944</c:v>
                </c:pt>
                <c:pt idx="48">
                  <c:v>33.009897271166729</c:v>
                </c:pt>
                <c:pt idx="49">
                  <c:v>32.964192387242292</c:v>
                </c:pt>
                <c:pt idx="50">
                  <c:v>32.909873726859253</c:v>
                </c:pt>
                <c:pt idx="51">
                  <c:v>32.845440768681627</c:v>
                </c:pt>
                <c:pt idx="52">
                  <c:v>32.76922626220945</c:v>
                </c:pt>
                <c:pt idx="53">
                  <c:v>32.679337788621467</c:v>
                </c:pt>
                <c:pt idx="54">
                  <c:v>32.573753258892715</c:v>
                </c:pt>
                <c:pt idx="55">
                  <c:v>32.450001640948798</c:v>
                </c:pt>
                <c:pt idx="56">
                  <c:v>32.305795375278073</c:v>
                </c:pt>
                <c:pt idx="57">
                  <c:v>32.138483098560911</c:v>
                </c:pt>
                <c:pt idx="58">
                  <c:v>31.945589515946644</c:v>
                </c:pt>
                <c:pt idx="59">
                  <c:v>31.724411112606671</c:v>
                </c:pt>
                <c:pt idx="60">
                  <c:v>31.472655327773971</c:v>
                </c:pt>
                <c:pt idx="61">
                  <c:v>31.188144356558354</c:v>
                </c:pt>
                <c:pt idx="62">
                  <c:v>30.868924815852186</c:v>
                </c:pt>
                <c:pt idx="63">
                  <c:v>30.513999442566728</c:v>
                </c:pt>
                <c:pt idx="64">
                  <c:v>30.12234790350352</c:v>
                </c:pt>
                <c:pt idx="65">
                  <c:v>29.693968705459362</c:v>
                </c:pt>
                <c:pt idx="66">
                  <c:v>29.229308623327132</c:v>
                </c:pt>
                <c:pt idx="67">
                  <c:v>28.729503477986022</c:v>
                </c:pt>
                <c:pt idx="68">
                  <c:v>28.195987636503013</c:v>
                </c:pt>
                <c:pt idx="69">
                  <c:v>27.63090502133997</c:v>
                </c:pt>
                <c:pt idx="70">
                  <c:v>27.036458396443749</c:v>
                </c:pt>
                <c:pt idx="71">
                  <c:v>26.415280370456202</c:v>
                </c:pt>
                <c:pt idx="72">
                  <c:v>25.769837279471393</c:v>
                </c:pt>
                <c:pt idx="73">
                  <c:v>25.10288207837921</c:v>
                </c:pt>
                <c:pt idx="74">
                  <c:v>24.41675604243235</c:v>
                </c:pt>
                <c:pt idx="75">
                  <c:v>23.713935264480238</c:v>
                </c:pt>
                <c:pt idx="76">
                  <c:v>22.996449853561028</c:v>
                </c:pt>
                <c:pt idx="77">
                  <c:v>22.266528580856185</c:v>
                </c:pt>
                <c:pt idx="78">
                  <c:v>21.525945729139874</c:v>
                </c:pt>
                <c:pt idx="79">
                  <c:v>20.776770904528263</c:v>
                </c:pt>
                <c:pt idx="80">
                  <c:v>20.019142911756006</c:v>
                </c:pt>
                <c:pt idx="81">
                  <c:v>19.255348631656798</c:v>
                </c:pt>
                <c:pt idx="82">
                  <c:v>18.48594986761125</c:v>
                </c:pt>
                <c:pt idx="83">
                  <c:v>17.712435968409302</c:v>
                </c:pt>
                <c:pt idx="84">
                  <c:v>16.935032063997475</c:v>
                </c:pt>
                <c:pt idx="85">
                  <c:v>16.154895203241356</c:v>
                </c:pt>
                <c:pt idx="86">
                  <c:v>15.372544284807985</c:v>
                </c:pt>
                <c:pt idx="87">
                  <c:v>14.588127842734874</c:v>
                </c:pt>
                <c:pt idx="88">
                  <c:v>13.80291328085743</c:v>
                </c:pt>
                <c:pt idx="89">
                  <c:v>13.01675315123912</c:v>
                </c:pt>
                <c:pt idx="90">
                  <c:v>12.230407921495308</c:v>
                </c:pt>
                <c:pt idx="91">
                  <c:v>11.444265772729379</c:v>
                </c:pt>
                <c:pt idx="92">
                  <c:v>10.658896819427623</c:v>
                </c:pt>
                <c:pt idx="93">
                  <c:v>9.8745523191728104</c:v>
                </c:pt>
                <c:pt idx="94">
                  <c:v>9.6787857740085581</c:v>
                </c:pt>
                <c:pt idx="95">
                  <c:v>9.5803384367395523</c:v>
                </c:pt>
                <c:pt idx="96">
                  <c:v>9.4830471135065242</c:v>
                </c:pt>
                <c:pt idx="97">
                  <c:v>9.3846704327411317</c:v>
                </c:pt>
                <c:pt idx="98">
                  <c:v>9.2874510218646336</c:v>
                </c:pt>
                <c:pt idx="99">
                  <c:v>9.1891247434266781</c:v>
                </c:pt>
                <c:pt idx="100">
                  <c:v>9.0919575765792118</c:v>
                </c:pt>
                <c:pt idx="101">
                  <c:v>8.9937378625495548</c:v>
                </c:pt>
                <c:pt idx="102">
                  <c:v>8.8966779016778261</c:v>
                </c:pt>
                <c:pt idx="103">
                  <c:v>8.7984750945329697</c:v>
                </c:pt>
                <c:pt idx="104">
                  <c:v>8.7014349120243892</c:v>
                </c:pt>
                <c:pt idx="105">
                  <c:v>8.6033083457132236</c:v>
                </c:pt>
                <c:pt idx="106">
                  <c:v>8.5063460125664889</c:v>
                </c:pt>
                <c:pt idx="107">
                  <c:v>8.4083513739447024</c:v>
                </c:pt>
                <c:pt idx="108">
                  <c:v>8.3115213961434424</c:v>
                </c:pt>
                <c:pt idx="109">
                  <c:v>8.2136446586960012</c:v>
                </c:pt>
                <c:pt idx="110">
                  <c:v>8.1169334778552074</c:v>
                </c:pt>
                <c:pt idx="111">
                  <c:v>8.0190989087156339</c:v>
                </c:pt>
                <c:pt idx="112">
                  <c:v>7.9224327353858151</c:v>
                </c:pt>
                <c:pt idx="113">
                  <c:v>7.824699756636261</c:v>
                </c:pt>
                <c:pt idx="114">
                  <c:v>7.7281367613641292</c:v>
                </c:pt>
                <c:pt idx="115">
                  <c:v>7.6304995516655572</c:v>
                </c:pt>
                <c:pt idx="116">
                  <c:v>7.5340342145876251</c:v>
                </c:pt>
                <c:pt idx="117">
                  <c:v>7.4364893747799075</c:v>
                </c:pt>
                <c:pt idx="118">
                  <c:v>7.3401185498430301</c:v>
                </c:pt>
                <c:pt idx="119">
                  <c:v>7.2427236473965815</c:v>
                </c:pt>
                <c:pt idx="120">
                  <c:v>7.1465037007515839</c:v>
                </c:pt>
                <c:pt idx="121">
                  <c:v>7.0492554797257547</c:v>
                </c:pt>
                <c:pt idx="122">
                  <c:v>6.9531834134476354</c:v>
                </c:pt>
                <c:pt idx="123">
                  <c:v>6.8560248511074828</c:v>
                </c:pt>
                <c:pt idx="124">
                  <c:v>6.7600452078226994</c:v>
                </c:pt>
                <c:pt idx="125">
                  <c:v>6.6630358174834665</c:v>
                </c:pt>
                <c:pt idx="126">
                  <c:v>6.567206878596914</c:v>
                </c:pt>
                <c:pt idx="127">
                  <c:v>6.4703493416082489</c:v>
                </c:pt>
                <c:pt idx="128">
                  <c:v>6.3746739307531151</c:v>
                </c:pt>
                <c:pt idx="129">
                  <c:v>6.2779726735576658</c:v>
                </c:pt>
                <c:pt idx="130">
                  <c:v>6.1824553261088528</c:v>
                </c:pt>
                <c:pt idx="131">
                  <c:v>6.0859163991143514</c:v>
                </c:pt>
                <c:pt idx="132">
                  <c:v>6.038093236863399</c:v>
                </c:pt>
                <c:pt idx="133">
                  <c:v>5.9905632437506959</c:v>
                </c:pt>
                <c:pt idx="134">
                  <c:v>5.9422037371925818</c:v>
                </c:pt>
                <c:pt idx="135">
                  <c:v>5.8941447640478248</c:v>
                </c:pt>
                <c:pt idx="136">
                  <c:v>5.8463830010350399</c:v>
                </c:pt>
                <c:pt idx="137">
                  <c:v>5.7989151810957473</c:v>
                </c:pt>
                <c:pt idx="138">
                  <c:v>5.7506703425272496</c:v>
                </c:pt>
                <c:pt idx="139">
                  <c:v>5.70272620863184</c:v>
                </c:pt>
                <c:pt idx="140">
                  <c:v>5.6550794590633666</c:v>
                </c:pt>
                <c:pt idx="141">
                  <c:v>5.6077268296102201</c:v>
                </c:pt>
                <c:pt idx="142">
                  <c:v>5.5595526216868576</c:v>
                </c:pt>
                <c:pt idx="143">
                  <c:v>5.5116799004316039</c:v>
                </c:pt>
                <c:pt idx="144">
                  <c:v>5.4641053385186265</c:v>
                </c:pt>
                <c:pt idx="145">
                  <c:v>5.4168256648878064</c:v>
                </c:pt>
                <c:pt idx="146">
                  <c:v>5.3687526588027552</c:v>
                </c:pt>
                <c:pt idx="147">
                  <c:v>5.3209816077906442</c:v>
                </c:pt>
                <c:pt idx="148">
                  <c:v>5.2735091828989553</c:v>
                </c:pt>
                <c:pt idx="149">
                  <c:v>5.2263321114485342</c:v>
                </c:pt>
                <c:pt idx="150">
                  <c:v>5.1783665610489198</c:v>
                </c:pt>
                <c:pt idx="151">
                  <c:v>5.1307034241521325</c:v>
                </c:pt>
                <c:pt idx="152">
                  <c:v>5.0833393705072814</c:v>
                </c:pt>
                <c:pt idx="153">
                  <c:v>5.0362711261338173</c:v>
                </c:pt>
                <c:pt idx="154">
                  <c:v>4.9883978493559713</c:v>
                </c:pt>
                <c:pt idx="155">
                  <c:v>4.9408277072891353</c:v>
                </c:pt>
                <c:pt idx="156">
                  <c:v>4.8935573642166368</c:v>
                </c:pt>
                <c:pt idx="157">
                  <c:v>4.8465835407794406</c:v>
                </c:pt>
                <c:pt idx="158">
                  <c:v>4.7988114264644004</c:v>
                </c:pt>
                <c:pt idx="159">
                  <c:v>4.7513431318489738</c:v>
                </c:pt>
                <c:pt idx="160">
                  <c:v>4.7041753165056379</c:v>
                </c:pt>
                <c:pt idx="161">
                  <c:v>4.6573046964310363</c:v>
                </c:pt>
                <c:pt idx="162">
                  <c:v>4.6096638641454923</c:v>
                </c:pt>
                <c:pt idx="163">
                  <c:v>4.5623272314938692</c:v>
                </c:pt>
                <c:pt idx="164">
                  <c:v>4.5152914584969963</c:v>
                </c:pt>
                <c:pt idx="165">
                  <c:v>4.4685532615464503</c:v>
                </c:pt>
                <c:pt idx="166">
                  <c:v>4.4210110415860786</c:v>
                </c:pt>
                <c:pt idx="167">
                  <c:v>4.3737738970153757</c:v>
                </c:pt>
                <c:pt idx="168">
                  <c:v>4.3268384802936959</c:v>
                </c:pt>
                <c:pt idx="169">
                  <c:v>4.2802015003732663</c:v>
                </c:pt>
                <c:pt idx="170">
                  <c:v>4.2328684744149507</c:v>
                </c:pt>
                <c:pt idx="171">
                  <c:v>4.1858400646193514</c:v>
                </c:pt>
                <c:pt idx="172">
                  <c:v>4.1391129378866731</c:v>
                </c:pt>
                <c:pt idx="173">
                  <c:v>4.0926838172345672</c:v>
                </c:pt>
                <c:pt idx="174">
                  <c:v>4.045390211711859</c:v>
                </c:pt>
                <c:pt idx="175">
                  <c:v>3.9984030272589548</c:v>
                </c:pt>
                <c:pt idx="176">
                  <c:v>3.951718908232305</c:v>
                </c:pt>
                <c:pt idx="177">
                  <c:v>3.9053345555545627</c:v>
                </c:pt>
                <c:pt idx="178">
                  <c:v>3.8581171263284952</c:v>
                </c:pt>
                <c:pt idx="179">
                  <c:v>3.8112075520830251</c:v>
                </c:pt>
                <c:pt idx="180">
                  <c:v>3.7646024608238871</c:v>
                </c:pt>
                <c:pt idx="181">
                  <c:v>3.7182985374277178</c:v>
                </c:pt>
                <c:pt idx="182">
                  <c:v>3.6713754186143643</c:v>
                </c:pt>
                <c:pt idx="183">
                  <c:v>3.624758842981513</c:v>
                </c:pt>
                <c:pt idx="184">
                  <c:v>3.5784454671683403</c:v>
                </c:pt>
                <c:pt idx="185">
                  <c:v>3.5324320039777279</c:v>
                </c:pt>
                <c:pt idx="186">
                  <c:v>3.4854644040469083</c:v>
                </c:pt>
                <c:pt idx="187">
                  <c:v>3.4388065497178477</c:v>
                </c:pt>
                <c:pt idx="188">
                  <c:v>3.3924550525440229</c:v>
                </c:pt>
                <c:pt idx="189">
                  <c:v>3.3464065811790529</c:v>
                </c:pt>
                <c:pt idx="190">
                  <c:v>3.2997876865162179</c:v>
                </c:pt>
                <c:pt idx="191">
                  <c:v>3.2534766839181617</c:v>
                </c:pt>
                <c:pt idx="192">
                  <c:v>3.2074702224702683</c:v>
                </c:pt>
                <c:pt idx="193">
                  <c:v>3.1617650074417156</c:v>
                </c:pt>
                <c:pt idx="194">
                  <c:v>3.1151713276641075</c:v>
                </c:pt>
                <c:pt idx="195">
                  <c:v>3.0688880427751668</c:v>
                </c:pt>
                <c:pt idx="196">
                  <c:v>3.0229117683360043</c:v>
                </c:pt>
                <c:pt idx="197">
                  <c:v>2.9772391767562283</c:v>
                </c:pt>
                <c:pt idx="198">
                  <c:v>2.9308767814357872</c:v>
                </c:pt>
                <c:pt idx="199">
                  <c:v>2.8848246647398117</c:v>
                </c:pt>
                <c:pt idx="200">
                  <c:v>2.839079451394324</c:v>
                </c:pt>
                <c:pt idx="201">
                  <c:v>2.793637822679746</c:v>
                </c:pt>
                <c:pt idx="202">
                  <c:v>2.7475324643346601</c:v>
                </c:pt>
                <c:pt idx="203">
                  <c:v>2.70173701660871</c:v>
                </c:pt>
                <c:pt idx="204">
                  <c:v>2.6562481173917885</c:v>
                </c:pt>
                <c:pt idx="205">
                  <c:v>2.6110624607400417</c:v>
                </c:pt>
                <c:pt idx="206">
                  <c:v>2.5650819293314453</c:v>
                </c:pt>
                <c:pt idx="207">
                  <c:v>2.5194128170283476</c:v>
                </c:pt>
                <c:pt idx="208">
                  <c:v>2.4740517443384231</c:v>
                </c:pt>
                <c:pt idx="209">
                  <c:v>2.4289953882199464</c:v>
                </c:pt>
                <c:pt idx="210">
                  <c:v>2.3830227009338167</c:v>
                </c:pt>
                <c:pt idx="211">
                  <c:v>2.3373646650413855</c:v>
                </c:pt>
                <c:pt idx="212">
                  <c:v>2.2920178555701374</c:v>
                </c:pt>
                <c:pt idx="213">
                  <c:v>2.2469789048994686</c:v>
                </c:pt>
                <c:pt idx="214">
                  <c:v>2.2013558592540323</c:v>
                </c:pt>
                <c:pt idx="215">
                  <c:v>2.1560461685742851</c:v>
                </c:pt>
                <c:pt idx="216">
                  <c:v>2.1110464359058598</c:v>
                </c:pt>
                <c:pt idx="217">
                  <c:v>2.0663533209066443</c:v>
                </c:pt>
                <c:pt idx="218">
                  <c:v>2.0209549052281193</c:v>
                </c:pt>
                <c:pt idx="219">
                  <c:v>1.9758703565247187</c:v>
                </c:pt>
                <c:pt idx="220">
                  <c:v>1.9310962762714625</c:v>
                </c:pt>
                <c:pt idx="221">
                  <c:v>1.8866293224670969</c:v>
                </c:pt>
                <c:pt idx="222">
                  <c:v>1.8414851176515876</c:v>
                </c:pt>
                <c:pt idx="223">
                  <c:v>1.7966549975541444</c:v>
                </c:pt>
                <c:pt idx="224">
                  <c:v>1.7521355666294709</c:v>
                </c:pt>
                <c:pt idx="225">
                  <c:v>1.7079234856595518</c:v>
                </c:pt>
                <c:pt idx="226">
                  <c:v>1.662925045182351</c:v>
                </c:pt>
                <c:pt idx="227">
                  <c:v>1.6182425382938501</c:v>
                </c:pt>
                <c:pt idx="228">
                  <c:v>1.5738725457968088</c:v>
                </c:pt>
                <c:pt idx="229">
                  <c:v>1.5298117052048801</c:v>
                </c:pt>
                <c:pt idx="230">
                  <c:v>1.4404987786317338</c:v>
                </c:pt>
                <c:pt idx="231">
                  <c:v>1.3963149851455126</c:v>
                </c:pt>
                <c:pt idx="232">
                  <c:v>1.3524417791371712</c:v>
                </c:pt>
                <c:pt idx="233">
                  <c:v>1.3078453365671008</c:v>
                </c:pt>
                <c:pt idx="234">
                  <c:v>1.2635674108906059</c:v>
                </c:pt>
                <c:pt idx="235">
                  <c:v>1.2196045527696315</c:v>
                </c:pt>
                <c:pt idx="236">
                  <c:v>1.1759533699390088</c:v>
                </c:pt>
                <c:pt idx="237">
                  <c:v>1.1317342744657775</c:v>
                </c:pt>
                <c:pt idx="238">
                  <c:v>1.0878326719942986</c:v>
                </c:pt>
                <c:pt idx="239">
                  <c:v>1.0442451350309003</c:v>
                </c:pt>
                <c:pt idx="240">
                  <c:v>1.0009682925132655</c:v>
                </c:pt>
                <c:pt idx="241">
                  <c:v>0.95690417850637055</c:v>
                </c:pt>
                <c:pt idx="242">
                  <c:v>0.91315984453590071</c:v>
                </c:pt>
                <c:pt idx="243">
                  <c:v>0.86973183097651685</c:v>
                </c:pt>
                <c:pt idx="244">
                  <c:v>0.82661673516824752</c:v>
                </c:pt>
                <c:pt idx="245">
                  <c:v>0.78286609216212122</c:v>
                </c:pt>
                <c:pt idx="246">
                  <c:v>0.73943537704993934</c:v>
                </c:pt>
                <c:pt idx="247">
                  <c:v>0.69632113218753755</c:v>
                </c:pt>
                <c:pt idx="248">
                  <c:v>0.65351995667515839</c:v>
                </c:pt>
                <c:pt idx="249">
                  <c:v>0.60999596960115521</c:v>
                </c:pt>
                <c:pt idx="250">
                  <c:v>0.56679346215045601</c:v>
                </c:pt>
                <c:pt idx="251">
                  <c:v>0.5239089554099684</c:v>
                </c:pt>
                <c:pt idx="252">
                  <c:v>0.48133902748960278</c:v>
                </c:pt>
                <c:pt idx="253">
                  <c:v>0.43818928664155093</c:v>
                </c:pt>
                <c:pt idx="254">
                  <c:v>0.39536054527268794</c:v>
                </c:pt>
                <c:pt idx="255">
                  <c:v>0.35284933547354908</c:v>
                </c:pt>
                <c:pt idx="256">
                  <c:v>0.31065224592657181</c:v>
                </c:pt>
                <c:pt idx="257">
                  <c:v>0.26768488265450818</c:v>
                </c:pt>
                <c:pt idx="258">
                  <c:v>0.22504102972587964</c:v>
                </c:pt>
                <c:pt idx="259">
                  <c:v>0.18271718117850155</c:v>
                </c:pt>
                <c:pt idx="260">
                  <c:v>0.14070988826866848</c:v>
                </c:pt>
                <c:pt idx="261">
                  <c:v>9.8071777603906118E-2</c:v>
                </c:pt>
                <c:pt idx="262">
                  <c:v>5.5757656116671134E-2</c:v>
                </c:pt>
                <c:pt idx="263">
                  <c:v>1.3764011970761837E-2</c:v>
                </c:pt>
                <c:pt idx="264">
                  <c:v>-2.7912609530912721E-2</c:v>
                </c:pt>
                <c:pt idx="265">
                  <c:v>-7.0191248514854074E-2</c:v>
                </c:pt>
                <c:pt idx="266">
                  <c:v>-0.1121457413125149</c:v>
                </c:pt>
                <c:pt idx="267">
                  <c:v>-0.1537796011924441</c:v>
                </c:pt>
                <c:pt idx="268">
                  <c:v>-0.19509628446484012</c:v>
                </c:pt>
                <c:pt idx="269">
                  <c:v>-0.23708574708211116</c:v>
                </c:pt>
                <c:pt idx="270">
                  <c:v>-0.27874968603656147</c:v>
                </c:pt>
                <c:pt idx="271">
                  <c:v>-0.32009163667114782</c:v>
                </c:pt>
                <c:pt idx="272">
                  <c:v>-0.36111507711198687</c:v>
                </c:pt>
                <c:pt idx="273">
                  <c:v>-0.40277975643325503</c:v>
                </c:pt>
                <c:pt idx="274">
                  <c:v>-0.44411792037087999</c:v>
                </c:pt>
                <c:pt idx="275">
                  <c:v>-0.48513312100532058</c:v>
                </c:pt>
                <c:pt idx="276">
                  <c:v>-0.52582885306257221</c:v>
                </c:pt>
                <c:pt idx="277">
                  <c:v>-0.56704260174934196</c:v>
                </c:pt>
                <c:pt idx="278">
                  <c:v>-0.60793067532647316</c:v>
                </c:pt>
                <c:pt idx="279">
                  <c:v>-0.64849661376863499</c:v>
                </c:pt>
                <c:pt idx="280">
                  <c:v>-0.6887439001797413</c:v>
                </c:pt>
                <c:pt idx="281">
                  <c:v>-0.72975328996605071</c:v>
                </c:pt>
                <c:pt idx="282">
                  <c:v>-0.77043379998500428</c:v>
                </c:pt>
                <c:pt idx="283">
                  <c:v>-0.81078902504729067</c:v>
                </c:pt>
                <c:pt idx="284">
                  <c:v>-0.85082250214875965</c:v>
                </c:pt>
                <c:pt idx="285">
                  <c:v>-0.89132010072100121</c:v>
                </c:pt>
                <c:pt idx="286">
                  <c:v>-0.93149034821730303</c:v>
                </c:pt>
                <c:pt idx="287">
                  <c:v>-0.9713368181347265</c:v>
                </c:pt>
                <c:pt idx="288">
                  <c:v>-1.010863026839568</c:v>
                </c:pt>
                <c:pt idx="289">
                  <c:v>-1.0510822993689082</c:v>
                </c:pt>
                <c:pt idx="290">
                  <c:v>-1.0909718490680533</c:v>
                </c:pt>
                <c:pt idx="291">
                  <c:v>-1.1305352930537866</c:v>
                </c:pt>
                <c:pt idx="292">
                  <c:v>-1.1697761906140305</c:v>
                </c:pt>
                <c:pt idx="293">
                  <c:v>-1.209593755066674</c:v>
                </c:pt>
                <c:pt idx="294">
                  <c:v>-1.2490810508528103</c:v>
                </c:pt>
                <c:pt idx="295">
                  <c:v>-1.288241710077431</c:v>
                </c:pt>
                <c:pt idx="296">
                  <c:v>-1.3270793069277607</c:v>
                </c:pt>
                <c:pt idx="297">
                  <c:v>-1.3664637132807469</c:v>
                </c:pt>
                <c:pt idx="298">
                  <c:v>-1.4055176777156952</c:v>
                </c:pt>
                <c:pt idx="299">
                  <c:v>-1.4442448424572789</c:v>
                </c:pt>
                <c:pt idx="300">
                  <c:v>-1.48264879182411</c:v>
                </c:pt>
                <c:pt idx="301">
                  <c:v>-1.5215706899820272</c:v>
                </c:pt>
                <c:pt idx="302">
                  <c:v>-1.5601623283839912</c:v>
                </c:pt>
                <c:pt idx="303">
                  <c:v>-1.5984273547923575</c:v>
                </c:pt>
                <c:pt idx="304">
                  <c:v>-1.6363693591668542</c:v>
                </c:pt>
                <c:pt idx="305">
                  <c:v>-1.6749486110895251</c:v>
                </c:pt>
                <c:pt idx="306">
                  <c:v>-1.7131955968311374</c:v>
                </c:pt>
                <c:pt idx="307">
                  <c:v>-1.7511140073124585</c:v>
                </c:pt>
                <c:pt idx="308">
                  <c:v>-1.7887074749565122</c:v>
                </c:pt>
                <c:pt idx="309">
                  <c:v>-1.8267615705582263</c:v>
                </c:pt>
                <c:pt idx="310">
                  <c:v>-1.8644843572066774</c:v>
                </c:pt>
                <c:pt idx="311">
                  <c:v>-1.9018795212245341</c:v>
                </c:pt>
                <c:pt idx="312">
                  <c:v>-1.9389506907393781</c:v>
                </c:pt>
                <c:pt idx="313">
                  <c:v>-1.9765938234541163</c:v>
                </c:pt>
                <c:pt idx="314">
                  <c:v>-2.0139044899498142</c:v>
                </c:pt>
                <c:pt idx="315">
                  <c:v>-2.0508864085875826</c:v>
                </c:pt>
                <c:pt idx="316">
                  <c:v>-2.0875432390553583</c:v>
                </c:pt>
                <c:pt idx="317">
                  <c:v>-2.1247398218251252</c:v>
                </c:pt>
                <c:pt idx="318">
                  <c:v>-2.1616032321761312</c:v>
                </c:pt>
                <c:pt idx="319">
                  <c:v>-2.1981372145549676</c:v>
                </c:pt>
                <c:pt idx="320">
                  <c:v>-2.2343454543703811</c:v>
                </c:pt>
                <c:pt idx="321">
                  <c:v>-2.2710623364524292</c:v>
                </c:pt>
                <c:pt idx="322">
                  <c:v>-2.3074457725134163</c:v>
                </c:pt>
                <c:pt idx="323">
                  <c:v>-2.3434995273677082</c:v>
                </c:pt>
                <c:pt idx="324">
                  <c:v>-2.3792273065317273</c:v>
                </c:pt>
                <c:pt idx="325">
                  <c:v>-2.4154337090189686</c:v>
                </c:pt>
                <c:pt idx="326">
                  <c:v>-2.4513068057783802</c:v>
                </c:pt>
                <c:pt idx="327">
                  <c:v>-2.4868503765060748</c:v>
                </c:pt>
                <c:pt idx="328">
                  <c:v>-2.5220681414373831</c:v>
                </c:pt>
                <c:pt idx="329">
                  <c:v>-2.5577949544550544</c:v>
                </c:pt>
                <c:pt idx="330">
                  <c:v>-2.5931878895930911</c:v>
                </c:pt>
                <c:pt idx="331">
                  <c:v>-2.6282507550605065</c:v>
                </c:pt>
                <c:pt idx="332">
                  <c:v>-2.6629872991365415</c:v>
                </c:pt>
                <c:pt idx="333">
                  <c:v>-2.6981445412624772</c:v>
                </c:pt>
                <c:pt idx="334">
                  <c:v>-2.732968868619496</c:v>
                </c:pt>
                <c:pt idx="335">
                  <c:v>-2.7674640932224444</c:v>
                </c:pt>
                <c:pt idx="336">
                  <c:v>-2.8016339671803769</c:v>
                </c:pt>
                <c:pt idx="337">
                  <c:v>-2.8363077895559341</c:v>
                </c:pt>
                <c:pt idx="338">
                  <c:v>-2.8706479030691407</c:v>
                </c:pt>
                <c:pt idx="339">
                  <c:v>-2.9046581551310484</c:v>
                </c:pt>
                <c:pt idx="340">
                  <c:v>-2.9383423325835216</c:v>
                </c:pt>
                <c:pt idx="341">
                  <c:v>-2.9724983752580076</c:v>
                </c:pt>
                <c:pt idx="342">
                  <c:v>-3.0063204013244067</c:v>
                </c:pt>
                <c:pt idx="343">
                  <c:v>-3.0398122868275808</c:v>
                </c:pt>
                <c:pt idx="344">
                  <c:v>-3.07297784669101</c:v>
                </c:pt>
                <c:pt idx="345">
                  <c:v>-3.1065334723002764</c:v>
                </c:pt>
                <c:pt idx="346">
                  <c:v>-3.1397562482119232</c:v>
                </c:pt>
                <c:pt idx="347">
                  <c:v>-3.1726500548838201</c:v>
                </c:pt>
                <c:pt idx="348">
                  <c:v>-3.2052187115748474</c:v>
                </c:pt>
                <c:pt idx="349">
                  <c:v>-3.2382485126294478</c:v>
                </c:pt>
                <c:pt idx="350">
                  <c:v>-3.2709450313509509</c:v>
                </c:pt>
                <c:pt idx="351">
                  <c:v>-3.3033121818328044</c:v>
                </c:pt>
                <c:pt idx="352">
                  <c:v>-3.3353538162416769</c:v>
                </c:pt>
                <c:pt idx="353">
                  <c:v>-3.3678250716133409</c:v>
                </c:pt>
                <c:pt idx="354">
                  <c:v>-3.3999631039699363</c:v>
                </c:pt>
                <c:pt idx="355">
                  <c:v>-3.4317718538147908</c:v>
                </c:pt>
                <c:pt idx="356">
                  <c:v>-3.463255199107337</c:v>
                </c:pt>
                <c:pt idx="357">
                  <c:v>-3.4950928015368268</c:v>
                </c:pt>
                <c:pt idx="358">
                  <c:v>-3.5265986474570465</c:v>
                </c:pt>
                <c:pt idx="359">
                  <c:v>-3.5577766799904764</c:v>
                </c:pt>
                <c:pt idx="360">
                  <c:v>-3.5886307795575432</c:v>
                </c:pt>
                <c:pt idx="361">
                  <c:v>-3.6198992077734902</c:v>
                </c:pt>
                <c:pt idx="362">
                  <c:v>-3.6508358899657312</c:v>
                </c:pt>
                <c:pt idx="363">
                  <c:v>-3.6814447987460968</c:v>
                </c:pt>
                <c:pt idx="364">
                  <c:v>-3.7117298432506947</c:v>
                </c:pt>
                <c:pt idx="365">
                  <c:v>-3.7423571542691336</c:v>
                </c:pt>
                <c:pt idx="366">
                  <c:v>-3.7726541101100777</c:v>
                </c:pt>
                <c:pt idx="367">
                  <c:v>-3.8026246890422275</c:v>
                </c:pt>
                <c:pt idx="368">
                  <c:v>-3.8322728055402706</c:v>
                </c:pt>
                <c:pt idx="369">
                  <c:v>-3.8623156501228495</c:v>
                </c:pt>
                <c:pt idx="370">
                  <c:v>-3.8920281841617514</c:v>
                </c:pt>
                <c:pt idx="371">
                  <c:v>-3.9214144165541329</c:v>
                </c:pt>
                <c:pt idx="372">
                  <c:v>-3.9504782914971925</c:v>
                </c:pt>
                <c:pt idx="373">
                  <c:v>-3.9798681541931114</c:v>
                </c:pt>
                <c:pt idx="374">
                  <c:v>-4.0089290992306079</c:v>
                </c:pt>
                <c:pt idx="375">
                  <c:v>-4.0376651422383834</c:v>
                </c:pt>
                <c:pt idx="376">
                  <c:v>-4.0660802336927624</c:v>
                </c:pt>
                <c:pt idx="377">
                  <c:v>-4.0948667185752283</c:v>
                </c:pt>
                <c:pt idx="378">
                  <c:v>-4.1233244316740398</c:v>
                </c:pt>
                <c:pt idx="379">
                  <c:v>-4.1514574184663156</c:v>
                </c:pt>
                <c:pt idx="380">
                  <c:v>-4.1792696582614806</c:v>
                </c:pt>
                <c:pt idx="381">
                  <c:v>-4.2073532851774029</c:v>
                </c:pt>
                <c:pt idx="382">
                  <c:v>-4.2351104010121805</c:v>
                </c:pt>
                <c:pt idx="383">
                  <c:v>-4.262545042216372</c:v>
                </c:pt>
                <c:pt idx="384">
                  <c:v>-4.2896611788369183</c:v>
                </c:pt>
                <c:pt idx="385">
                  <c:v>-4.3171229803493558</c:v>
                </c:pt>
                <c:pt idx="386">
                  <c:v>-4.3442585283082629</c:v>
                </c:pt>
                <c:pt idx="387">
                  <c:v>-4.3710718869074041</c:v>
                </c:pt>
                <c:pt idx="388">
                  <c:v>-4.3975670528259503</c:v>
                </c:pt>
                <c:pt idx="389">
                  <c:v>-4.4243457903493137</c:v>
                </c:pt>
                <c:pt idx="390">
                  <c:v>-4.4507997969687345</c:v>
                </c:pt>
                <c:pt idx="391">
                  <c:v>-4.4769331406096047</c:v>
                </c:pt>
                <c:pt idx="392">
                  <c:v>-4.502749821023607</c:v>
                </c:pt>
                <c:pt idx="393">
                  <c:v>-4.5288229943430833</c:v>
                </c:pt>
                <c:pt idx="394">
                  <c:v>-4.5545733655484995</c:v>
                </c:pt>
                <c:pt idx="395">
                  <c:v>-4.5800049976724715</c:v>
                </c:pt>
                <c:pt idx="396">
                  <c:v>-4.6051218850304263</c:v>
                </c:pt>
                <c:pt idx="397">
                  <c:v>-4.6305263508637085</c:v>
                </c:pt>
                <c:pt idx="398">
                  <c:v>-4.6556088718846365</c:v>
                </c:pt>
                <c:pt idx="399">
                  <c:v>-4.680373525091607</c:v>
                </c:pt>
                <c:pt idx="400">
                  <c:v>-4.7048243177128644</c:v>
                </c:pt>
                <c:pt idx="401">
                  <c:v>-4.729506582551541</c:v>
                </c:pt>
                <c:pt idx="402">
                  <c:v>-4.7538689147013962</c:v>
                </c:pt>
                <c:pt idx="403">
                  <c:v>-4.7779153815393203</c:v>
                </c:pt>
                <c:pt idx="404">
                  <c:v>-4.8016499800648758</c:v>
                </c:pt>
                <c:pt idx="405">
                  <c:v>-4.8256160197461595</c:v>
                </c:pt>
                <c:pt idx="406">
                  <c:v>-4.8492638123268552</c:v>
                </c:pt>
                <c:pt idx="407">
                  <c:v>-4.8725974194778114</c:v>
                </c:pt>
                <c:pt idx="408">
                  <c:v>-4.8956208317005387</c:v>
                </c:pt>
                <c:pt idx="409">
                  <c:v>-4.9188734146758257</c:v>
                </c:pt>
                <c:pt idx="410">
                  <c:v>-4.9418091457439832</c:v>
                </c:pt>
                <c:pt idx="411">
                  <c:v>-4.9644320836573925</c:v>
                </c:pt>
                <c:pt idx="412">
                  <c:v>-4.9867462150389077</c:v>
                </c:pt>
                <c:pt idx="413">
                  <c:v>-5.0092620955131935</c:v>
                </c:pt>
                <c:pt idx="414">
                  <c:v>-5.031462904659433</c:v>
                </c:pt>
                <c:pt idx="415">
                  <c:v>-5.0533526875897241</c:v>
                </c:pt>
                <c:pt idx="416">
                  <c:v>-5.0749354164659692</c:v>
                </c:pt>
                <c:pt idx="417">
                  <c:v>-5.0967153955983724</c:v>
                </c:pt>
                <c:pt idx="418">
                  <c:v>-5.1181817978011708</c:v>
                </c:pt>
                <c:pt idx="419">
                  <c:v>-5.1393386560331873</c:v>
                </c:pt>
                <c:pt idx="420">
                  <c:v>-5.1601899293244911</c:v>
                </c:pt>
                <c:pt idx="421">
                  <c:v>-5.1811909404194223</c:v>
                </c:pt>
                <c:pt idx="422">
                  <c:v>-5.2018808239176009</c:v>
                </c:pt>
                <c:pt idx="423">
                  <c:v>-5.2222635775363333</c:v>
                </c:pt>
                <c:pt idx="424">
                  <c:v>-5.2423431245204153</c:v>
                </c:pt>
                <c:pt idx="425">
                  <c:v>-5.2626062910449898</c:v>
                </c:pt>
                <c:pt idx="426">
                  <c:v>-5.2825592511243036</c:v>
                </c:pt>
                <c:pt idx="427">
                  <c:v>-5.3022059910787247</c:v>
                </c:pt>
                <c:pt idx="428">
                  <c:v>-5.3215504214758491</c:v>
                </c:pt>
                <c:pt idx="429">
                  <c:v>-5.3410319886399265</c:v>
                </c:pt>
                <c:pt idx="430">
                  <c:v>-5.3602051901531889</c:v>
                </c:pt>
                <c:pt idx="431">
                  <c:v>-5.3790739768572564</c:v>
                </c:pt>
                <c:pt idx="432">
                  <c:v>-5.3976422230010819</c:v>
                </c:pt>
                <c:pt idx="433">
                  <c:v>-5.4163220901368554</c:v>
                </c:pt>
                <c:pt idx="434">
                  <c:v>-5.4346956729155673</c:v>
                </c:pt>
                <c:pt idx="435">
                  <c:v>-5.4527668747573728</c:v>
                </c:pt>
                <c:pt idx="436">
                  <c:v>-5.4705395217841186</c:v>
                </c:pt>
                <c:pt idx="437">
                  <c:v>-5.4884310770313718</c:v>
                </c:pt>
                <c:pt idx="438">
                  <c:v>-5.5060175272288161</c:v>
                </c:pt>
                <c:pt idx="439">
                  <c:v>-5.5233027371155554</c:v>
                </c:pt>
                <c:pt idx="440">
                  <c:v>-5.5402904929963404</c:v>
                </c:pt>
                <c:pt idx="441">
                  <c:v>-5.5573703063783046</c:v>
                </c:pt>
                <c:pt idx="442">
                  <c:v>-5.5741464091229158</c:v>
                </c:pt>
                <c:pt idx="443">
                  <c:v>-5.5906226134879224</c:v>
                </c:pt>
                <c:pt idx="444">
                  <c:v>-5.6068026522954035</c:v>
                </c:pt>
                <c:pt idx="445">
                  <c:v>-5.6230488296483152</c:v>
                </c:pt>
                <c:pt idx="446">
                  <c:v>-5.6389928412142707</c:v>
                </c:pt>
                <c:pt idx="447">
                  <c:v>-5.6546384329902564</c:v>
                </c:pt>
                <c:pt idx="448">
                  <c:v>-5.6699892706597552</c:v>
                </c:pt>
                <c:pt idx="449">
                  <c:v>-5.6854067224356042</c:v>
                </c:pt>
                <c:pt idx="450">
                  <c:v>-5.7005226345211479</c:v>
                </c:pt>
                <c:pt idx="451">
                  <c:v>-5.7153406911284694</c:v>
                </c:pt>
                <c:pt idx="452">
                  <c:v>-5.7298644948400002</c:v>
                </c:pt>
                <c:pt idx="453">
                  <c:v>-5.744415820630322</c:v>
                </c:pt>
                <c:pt idx="454">
                  <c:v>-5.7586668115538631</c:v>
                </c:pt>
                <c:pt idx="455">
                  <c:v>-5.7726210652515695</c:v>
                </c:pt>
                <c:pt idx="456">
                  <c:v>-5.7862820967905062</c:v>
                </c:pt>
                <c:pt idx="457">
                  <c:v>-5.7999671685512162</c:v>
                </c:pt>
                <c:pt idx="458">
                  <c:v>-5.8133521325717314</c:v>
                </c:pt>
                <c:pt idx="459">
                  <c:v>-5.8264405013938605</c:v>
                </c:pt>
                <c:pt idx="460">
                  <c:v>-5.8392357035758611</c:v>
                </c:pt>
                <c:pt idx="461">
                  <c:v>-5.8520275673819562</c:v>
                </c:pt>
                <c:pt idx="462">
                  <c:v>-5.864519514392307</c:v>
                </c:pt>
                <c:pt idx="463">
                  <c:v>-5.8767149543306916</c:v>
                </c:pt>
                <c:pt idx="464">
                  <c:v>-5.8886172115809332</c:v>
                </c:pt>
                <c:pt idx="465">
                  <c:v>-5.9004982387142029</c:v>
                </c:pt>
                <c:pt idx="466">
                  <c:v>-5.9120789578179629</c:v>
                </c:pt>
                <c:pt idx="467">
                  <c:v>-5.9233626650190665</c:v>
                </c:pt>
                <c:pt idx="468">
                  <c:v>-5.9343525694996746</c:v>
                </c:pt>
                <c:pt idx="469">
                  <c:v>-5.945293435056386</c:v>
                </c:pt>
                <c:pt idx="470">
                  <c:v>-5.9559334079721911</c:v>
                </c:pt>
                <c:pt idx="471">
                  <c:v>-5.9662756506786661</c:v>
                </c:pt>
                <c:pt idx="472">
                  <c:v>-5.976323237033113</c:v>
                </c:pt>
                <c:pt idx="473">
                  <c:v>-5.9863085892907559</c:v>
                </c:pt>
                <c:pt idx="474">
                  <c:v>-5.9959912879094155</c:v>
                </c:pt>
                <c:pt idx="475">
                  <c:v>-6.0053743535755419</c:v>
                </c:pt>
                <c:pt idx="476">
                  <c:v>-6.0144607161657415</c:v>
                </c:pt>
                <c:pt idx="477">
                  <c:v>-6.0234548045838991</c:v>
                </c:pt>
                <c:pt idx="478">
                  <c:v>-6.0321441112424479</c:v>
                </c:pt>
                <c:pt idx="479">
                  <c:v>-6.0405314902431808</c:v>
                </c:pt>
                <c:pt idx="480">
                  <c:v>-6.0486197025005399</c:v>
                </c:pt>
                <c:pt idx="481">
                  <c:v>-6.056585570697008</c:v>
                </c:pt>
                <c:pt idx="482">
                  <c:v>-6.0642440296309097</c:v>
                </c:pt>
                <c:pt idx="483">
                  <c:v>-6.0715977402525878</c:v>
                </c:pt>
                <c:pt idx="484">
                  <c:v>-6.0786492677177932</c:v>
                </c:pt>
                <c:pt idx="485">
                  <c:v>-6.085552739017154</c:v>
                </c:pt>
                <c:pt idx="486">
                  <c:v>-6.0921451085598664</c:v>
                </c:pt>
                <c:pt idx="487">
                  <c:v>-6.0984288203018586</c:v>
                </c:pt>
                <c:pt idx="488">
                  <c:v>-6.1044062191973625</c:v>
                </c:pt>
                <c:pt idx="489">
                  <c:v>-6.110211033152031</c:v>
                </c:pt>
                <c:pt idx="490">
                  <c:v>-6.1156994265017488</c:v>
                </c:pt>
                <c:pt idx="491">
                  <c:v>-6.1208736018526899</c:v>
                </c:pt>
                <c:pt idx="492">
                  <c:v>-6.1257356585965086</c:v>
                </c:pt>
                <c:pt idx="493">
                  <c:v>-6.1303898465009237</c:v>
                </c:pt>
                <c:pt idx="494">
                  <c:v>-6.1347213419350632</c:v>
                </c:pt>
                <c:pt idx="495">
                  <c:v>-6.1387320665584006</c:v>
                </c:pt>
                <c:pt idx="496">
                  <c:v>-6.1424238339677384</c:v>
                </c:pt>
                <c:pt idx="497">
                  <c:v>-6.1458735026802893</c:v>
                </c:pt>
                <c:pt idx="498">
                  <c:v>-6.1489926190835895</c:v>
                </c:pt>
                <c:pt idx="499">
                  <c:v>-6.1517827825326821</c:v>
                </c:pt>
                <c:pt idx="500">
                  <c:v>-6.1542454783458869</c:v>
                </c:pt>
                <c:pt idx="501">
                  <c:v>-6.1564283620357791</c:v>
                </c:pt>
                <c:pt idx="502">
                  <c:v>-6.1582709981034185</c:v>
                </c:pt>
                <c:pt idx="503">
                  <c:v>-6.1597746138361344</c:v>
                </c:pt>
                <c:pt idx="504">
                  <c:v>-6.1609403151061661</c:v>
                </c:pt>
                <c:pt idx="505">
                  <c:v>-6.1617841613714113</c:v>
                </c:pt>
                <c:pt idx="506">
                  <c:v>-6.1622763580497528</c:v>
                </c:pt>
                <c:pt idx="507">
                  <c:v>-6.162417699002579</c:v>
                </c:pt>
                <c:pt idx="508">
                  <c:v>-6.1622088478514927</c:v>
                </c:pt>
                <c:pt idx="509">
                  <c:v>-6.1616333498098532</c:v>
                </c:pt>
                <c:pt idx="510">
                  <c:v>-6.1606923234985178</c:v>
                </c:pt>
                <c:pt idx="511">
                  <c:v>-6.1593860589059641</c:v>
                </c:pt>
                <c:pt idx="512">
                  <c:v>-6.1577147047745848</c:v>
                </c:pt>
                <c:pt idx="513">
                  <c:v>-6.1556255517056711</c:v>
                </c:pt>
                <c:pt idx="514">
                  <c:v>-6.153153653076247</c:v>
                </c:pt>
                <c:pt idx="515">
                  <c:v>-6.1502987086940983</c:v>
                </c:pt>
                <c:pt idx="516">
                  <c:v>-6.1470602630040316</c:v>
                </c:pt>
                <c:pt idx="517">
                  <c:v>-6.1433492434846082</c:v>
                </c:pt>
                <c:pt idx="518">
                  <c:v>-6.1392352874244862</c:v>
                </c:pt>
                <c:pt idx="519">
                  <c:v>-6.1347173990115227</c:v>
                </c:pt>
                <c:pt idx="520">
                  <c:v>-6.1297944097933055</c:v>
                </c:pt>
                <c:pt idx="521">
                  <c:v>-6.1243364814289265</c:v>
                </c:pt>
                <c:pt idx="522">
                  <c:v>-6.1184514022286463</c:v>
                </c:pt>
                <c:pt idx="523">
                  <c:v>-6.1121373524320841</c:v>
                </c:pt>
                <c:pt idx="524">
                  <c:v>-6.1053923179109804</c:v>
                </c:pt>
                <c:pt idx="525">
                  <c:v>-6.0980421701831089</c:v>
                </c:pt>
                <c:pt idx="526">
                  <c:v>-6.0902358842411921</c:v>
                </c:pt>
                <c:pt idx="527">
                  <c:v>-6.0819706583976227</c:v>
                </c:pt>
                <c:pt idx="528">
                  <c:v>-6.0732434691746189</c:v>
                </c:pt>
                <c:pt idx="529">
                  <c:v>-6.0638318478027822</c:v>
                </c:pt>
                <c:pt idx="530">
                  <c:v>-6.0539294105304622</c:v>
                </c:pt>
                <c:pt idx="531">
                  <c:v>-6.043532178319273</c:v>
                </c:pt>
                <c:pt idx="532">
                  <c:v>-6.0326359155936204</c:v>
                </c:pt>
                <c:pt idx="533">
                  <c:v>-6.0209589671523887</c:v>
                </c:pt>
                <c:pt idx="534">
                  <c:v>-6.0087491549670453</c:v>
                </c:pt>
                <c:pt idx="535">
                  <c:v>-5.9960010710552583</c:v>
                </c:pt>
                <c:pt idx="536">
                  <c:v>-5.9827090060523789</c:v>
                </c:pt>
                <c:pt idx="537">
                  <c:v>-5.9685462415979043</c:v>
                </c:pt>
                <c:pt idx="538">
                  <c:v>-5.9538014462349844</c:v>
                </c:pt>
                <c:pt idx="539">
                  <c:v>-5.9384674957160684</c:v>
                </c:pt>
                <c:pt idx="540">
                  <c:v>-5.9225369084828987</c:v>
                </c:pt>
                <c:pt idx="541">
                  <c:v>-5.905602330903351</c:v>
                </c:pt>
                <c:pt idx="542">
                  <c:v>-5.888025435347287</c:v>
                </c:pt>
                <c:pt idx="543">
                  <c:v>-5.8697969772541549</c:v>
                </c:pt>
                <c:pt idx="544">
                  <c:v>-5.8509072812125407</c:v>
                </c:pt>
                <c:pt idx="545">
                  <c:v>-5.8308850760177702</c:v>
                </c:pt>
                <c:pt idx="546">
                  <c:v>-5.8101487225246302</c:v>
                </c:pt>
                <c:pt idx="547">
                  <c:v>-5.7886863818243581</c:v>
                </c:pt>
                <c:pt idx="548">
                  <c:v>-5.7664856899970873</c:v>
                </c:pt>
                <c:pt idx="549">
                  <c:v>-5.7429940700530739</c:v>
                </c:pt>
                <c:pt idx="550">
                  <c:v>-5.7187016284414574</c:v>
                </c:pt>
                <c:pt idx="551">
                  <c:v>-5.6935933147623334</c:v>
                </c:pt>
                <c:pt idx="552">
                  <c:v>-5.6676534310718898</c:v>
                </c:pt>
                <c:pt idx="553">
                  <c:v>-5.6402246602860977</c:v>
                </c:pt>
                <c:pt idx="554">
                  <c:v>-5.611889260861652</c:v>
                </c:pt>
                <c:pt idx="555">
                  <c:v>-5.5826281519564525</c:v>
                </c:pt>
                <c:pt idx="556">
                  <c:v>-5.5524214430491909</c:v>
                </c:pt>
                <c:pt idx="557">
                  <c:v>-5.4875538750338997</c:v>
                </c:pt>
                <c:pt idx="558">
                  <c:v>-5.4184472178486009</c:v>
                </c:pt>
                <c:pt idx="559">
                  <c:v>-5.3431560013567925</c:v>
                </c:pt>
                <c:pt idx="560">
                  <c:v>-5.2629744225056152</c:v>
                </c:pt>
                <c:pt idx="561">
                  <c:v>-5.1755527446874989</c:v>
                </c:pt>
                <c:pt idx="562">
                  <c:v>-5.0824289476830824</c:v>
                </c:pt>
                <c:pt idx="563">
                  <c:v>-4.9810752314715945</c:v>
                </c:pt>
                <c:pt idx="564">
                  <c:v>-4.8730412777057701</c:v>
                </c:pt>
                <c:pt idx="565">
                  <c:v>-4.7549083110642751</c:v>
                </c:pt>
                <c:pt idx="566">
                  <c:v>-4.6288160864971948</c:v>
                </c:pt>
                <c:pt idx="567">
                  <c:v>-4.4907994041566397</c:v>
                </c:pt>
                <c:pt idx="568">
                  <c:v>-4.3432143909856675</c:v>
                </c:pt>
                <c:pt idx="569">
                  <c:v>-4.18208673740767</c:v>
                </c:pt>
                <c:pt idx="570">
                  <c:v>-4.0094399161765084</c:v>
                </c:pt>
                <c:pt idx="571">
                  <c:v>-3.819091280003835</c:v>
                </c:pt>
                <c:pt idx="572">
                  <c:v>-3.6145083573940018</c:v>
                </c:pt>
                <c:pt idx="573">
                  <c:v>-3.3900992799482355</c:v>
                </c:pt>
                <c:pt idx="574">
                  <c:v>-3.1481637458984713</c:v>
                </c:pt>
                <c:pt idx="575">
                  <c:v>-2.8799355845041203</c:v>
                </c:pt>
                <c:pt idx="576">
                  <c:v>-2.58949996931221</c:v>
                </c:pt>
                <c:pt idx="577">
                  <c:v>-1.0540835513054874</c:v>
                </c:pt>
                <c:pt idx="578">
                  <c:v>1.2018933856322334</c:v>
                </c:pt>
                <c:pt idx="579">
                  <c:v>14.403457879296832</c:v>
                </c:pt>
                <c:pt idx="580">
                  <c:v>4.6237728044466984</c:v>
                </c:pt>
                <c:pt idx="581">
                  <c:v>-1.807958789883054</c:v>
                </c:pt>
                <c:pt idx="582">
                  <c:v>-4.1933636115026811</c:v>
                </c:pt>
                <c:pt idx="583">
                  <c:v>-5.0259180087760704</c:v>
                </c:pt>
                <c:pt idx="584">
                  <c:v>-4.9358295150187841</c:v>
                </c:pt>
                <c:pt idx="585">
                  <c:v>-3.7260822058021477</c:v>
                </c:pt>
                <c:pt idx="586">
                  <c:v>0.86297353730668624</c:v>
                </c:pt>
                <c:pt idx="587">
                  <c:v>10.502976991770529</c:v>
                </c:pt>
                <c:pt idx="588">
                  <c:v>-1.7812771356385773</c:v>
                </c:pt>
                <c:pt idx="589">
                  <c:v>-3.3020672821159462</c:v>
                </c:pt>
                <c:pt idx="590">
                  <c:v>-1.9123413350030001</c:v>
                </c:pt>
                <c:pt idx="591">
                  <c:v>11.395593763566527</c:v>
                </c:pt>
                <c:pt idx="592">
                  <c:v>0.33503155452791411</c:v>
                </c:pt>
                <c:pt idx="593">
                  <c:v>-0.96988843387085155</c:v>
                </c:pt>
                <c:pt idx="594">
                  <c:v>6.7981857178376792</c:v>
                </c:pt>
                <c:pt idx="595">
                  <c:v>2.0340869179246583</c:v>
                </c:pt>
                <c:pt idx="596">
                  <c:v>2.2378631254416836</c:v>
                </c:pt>
                <c:pt idx="597">
                  <c:v>8.0657698558874156</c:v>
                </c:pt>
                <c:pt idx="598">
                  <c:v>3.7864690306190467</c:v>
                </c:pt>
                <c:pt idx="599">
                  <c:v>8.4725693468515182</c:v>
                </c:pt>
                <c:pt idx="600">
                  <c:v>7.7100555866763862</c:v>
                </c:pt>
              </c:numCache>
            </c:numRef>
          </c:yVal>
          <c:smooth val="0"/>
          <c:extLst>
            <c:ext xmlns:c16="http://schemas.microsoft.com/office/drawing/2014/chart" uri="{C3380CC4-5D6E-409C-BE32-E72D297353CC}">
              <c16:uniqueId val="{00000002-C943-44AE-BE69-B37F145E1EAF}"/>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zh-CN"/>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zh-CN"/>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zh-CN"/>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zh-CN"/>
    </a:p>
  </c:txPr>
  <c:printSettings>
    <c:headerFooter alignWithMargins="0"/>
    <c:pageMargins b="1" l="0.75000000000000167" r="0.7500000000000016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5.0955234442466989E-5</c:v>
                </c:pt>
                <c:pt idx="1">
                  <c:v>69.006643461176679</c:v>
                </c:pt>
                <c:pt idx="2">
                  <c:v>72.916417014324637</c:v>
                </c:pt>
                <c:pt idx="3">
                  <c:v>74.293175645518801</c:v>
                </c:pt>
                <c:pt idx="4">
                  <c:v>74.97604989845469</c:v>
                </c:pt>
                <c:pt idx="5">
                  <c:v>75.368301665403308</c:v>
                </c:pt>
                <c:pt idx="6">
                  <c:v>75.610017472941806</c:v>
                </c:pt>
                <c:pt idx="7">
                  <c:v>75.762809533835863</c:v>
                </c:pt>
                <c:pt idx="8">
                  <c:v>75.858087135937865</c:v>
                </c:pt>
                <c:pt idx="9">
                  <c:v>75.91358808191319</c:v>
                </c:pt>
                <c:pt idx="10">
                  <c:v>75.940116940623383</c:v>
                </c:pt>
                <c:pt idx="11">
                  <c:v>75.944651819665324</c:v>
                </c:pt>
                <c:pt idx="12">
                  <c:v>75.93191561124506</c:v>
                </c:pt>
                <c:pt idx="13">
                  <c:v>75.905230219308834</c:v>
                </c:pt>
                <c:pt idx="14">
                  <c:v>75.867008804728769</c:v>
                </c:pt>
                <c:pt idx="15">
                  <c:v>75.819053376776907</c:v>
                </c:pt>
                <c:pt idx="16">
                  <c:v>75.762742096563912</c:v>
                </c:pt>
                <c:pt idx="17">
                  <c:v>75.699151281145788</c:v>
                </c:pt>
                <c:pt idx="18">
                  <c:v>75.629137262816286</c:v>
                </c:pt>
                <c:pt idx="19">
                  <c:v>75.553392751266756</c:v>
                </c:pt>
                <c:pt idx="20">
                  <c:v>75.472486534033209</c:v>
                </c:pt>
                <c:pt idx="21">
                  <c:v>75.386892011908188</c:v>
                </c:pt>
                <c:pt idx="22">
                  <c:v>75.29700808357596</c:v>
                </c:pt>
                <c:pt idx="23">
                  <c:v>75.203174681624546</c:v>
                </c:pt>
                <c:pt idx="24">
                  <c:v>75.105684501321093</c:v>
                </c:pt>
                <c:pt idx="25">
                  <c:v>75.004791974696445</c:v>
                </c:pt>
                <c:pt idx="26">
                  <c:v>74.90072022162704</c:v>
                </c:pt>
                <c:pt idx="27">
                  <c:v>74.592075918983809</c:v>
                </c:pt>
                <c:pt idx="28">
                  <c:v>74.208725472730535</c:v>
                </c:pt>
                <c:pt idx="29">
                  <c:v>73.816992767040972</c:v>
                </c:pt>
                <c:pt idx="30">
                  <c:v>73.416680701914345</c:v>
                </c:pt>
                <c:pt idx="31">
                  <c:v>73.230786042724745</c:v>
                </c:pt>
                <c:pt idx="32">
                  <c:v>73.404977743770232</c:v>
                </c:pt>
                <c:pt idx="33">
                  <c:v>73.570371400333045</c:v>
                </c:pt>
                <c:pt idx="34">
                  <c:v>73.7276303746699</c:v>
                </c:pt>
                <c:pt idx="35">
                  <c:v>73.877351325041758</c:v>
                </c:pt>
                <c:pt idx="36">
                  <c:v>74.020072520151089</c:v>
                </c:pt>
                <c:pt idx="37">
                  <c:v>74.560302839419251</c:v>
                </c:pt>
                <c:pt idx="38">
                  <c:v>75.112261119712159</c:v>
                </c:pt>
                <c:pt idx="39">
                  <c:v>75.63429116735368</c:v>
                </c:pt>
                <c:pt idx="40">
                  <c:v>76.128461572133205</c:v>
                </c:pt>
                <c:pt idx="41">
                  <c:v>76.596673837377324</c:v>
                </c:pt>
                <c:pt idx="42">
                  <c:v>77.040677137380484</c:v>
                </c:pt>
                <c:pt idx="43">
                  <c:v>77.462081756125372</c:v>
                </c:pt>
                <c:pt idx="44">
                  <c:v>77.862371308262311</c:v>
                </c:pt>
                <c:pt idx="45">
                  <c:v>78.242913841709168</c:v>
                </c:pt>
                <c:pt idx="46">
                  <c:v>77.476937848811289</c:v>
                </c:pt>
                <c:pt idx="47">
                  <c:v>77.701798022468409</c:v>
                </c:pt>
                <c:pt idx="48">
                  <c:v>77.917673590430113</c:v>
                </c:pt>
                <c:pt idx="49">
                  <c:v>78.125061989870773</c:v>
                </c:pt>
                <c:pt idx="50">
                  <c:v>78.324424738922431</c:v>
                </c:pt>
                <c:pt idx="51">
                  <c:v>78.516190609417663</c:v>
                </c:pt>
                <c:pt idx="52">
                  <c:v>78.700758470393467</c:v>
                </c:pt>
                <c:pt idx="53">
                  <c:v>78.878499841388631</c:v>
                </c:pt>
                <c:pt idx="54">
                  <c:v>79.049761189386587</c:v>
                </c:pt>
                <c:pt idx="55">
                  <c:v>79.214865998834796</c:v>
                </c:pt>
                <c:pt idx="56">
                  <c:v>79.374116640385225</c:v>
                </c:pt>
                <c:pt idx="57">
                  <c:v>79.527796060753005</c:v>
                </c:pt>
                <c:pt idx="58">
                  <c:v>79.676169313295688</c:v>
                </c:pt>
                <c:pt idx="59">
                  <c:v>79.819484946506194</c:v>
                </c:pt>
                <c:pt idx="60">
                  <c:v>79.957976265530277</c:v>
                </c:pt>
                <c:pt idx="61">
                  <c:v>80.09186248001518</c:v>
                </c:pt>
                <c:pt idx="62">
                  <c:v>80.221349750031052</c:v>
                </c:pt>
                <c:pt idx="63">
                  <c:v>80.346632140443404</c:v>
                </c:pt>
                <c:pt idx="64">
                  <c:v>80.467892492928897</c:v>
                </c:pt>
                <c:pt idx="65">
                  <c:v>80.585303223788316</c:v>
                </c:pt>
                <c:pt idx="66">
                  <c:v>80.699027054804048</c:v>
                </c:pt>
                <c:pt idx="67">
                  <c:v>80.809217683592365</c:v>
                </c:pt>
                <c:pt idx="68">
                  <c:v>80.91602039920302</c:v>
                </c:pt>
                <c:pt idx="69">
                  <c:v>81.019572648102397</c:v>
                </c:pt>
                <c:pt idx="70">
                  <c:v>81.120004555134784</c:v>
                </c:pt>
                <c:pt idx="71">
                  <c:v>81.217439403577259</c:v>
                </c:pt>
                <c:pt idx="72">
                  <c:v>81.311994077980117</c:v>
                </c:pt>
                <c:pt idx="73">
                  <c:v>81.403779473109495</c:v>
                </c:pt>
                <c:pt idx="74">
                  <c:v>81.492900871975976</c:v>
                </c:pt>
                <c:pt idx="75">
                  <c:v>81.579458295637139</c:v>
                </c:pt>
                <c:pt idx="76">
                  <c:v>81.663546827198346</c:v>
                </c:pt>
                <c:pt idx="77">
                  <c:v>81.745256912201711</c:v>
                </c:pt>
                <c:pt idx="78">
                  <c:v>81.824674637383666</c:v>
                </c:pt>
                <c:pt idx="79">
                  <c:v>81.901881989593718</c:v>
                </c:pt>
                <c:pt idx="80">
                  <c:v>81.976957096500286</c:v>
                </c:pt>
                <c:pt idx="81">
                  <c:v>82.049974450558665</c:v>
                </c:pt>
                <c:pt idx="82">
                  <c:v>82.121005117581362</c:v>
                </c:pt>
                <c:pt idx="83">
                  <c:v>82.190116931130348</c:v>
                </c:pt>
                <c:pt idx="84">
                  <c:v>82.257374673841468</c:v>
                </c:pt>
                <c:pt idx="85">
                  <c:v>82.322840246693119</c:v>
                </c:pt>
                <c:pt idx="86">
                  <c:v>82.386572827143112</c:v>
                </c:pt>
                <c:pt idx="87">
                  <c:v>82.448629016977321</c:v>
                </c:pt>
                <c:pt idx="88">
                  <c:v>82.509062980641474</c:v>
                </c:pt>
                <c:pt idx="89">
                  <c:v>82.567926574763234</c:v>
                </c:pt>
                <c:pt idx="90">
                  <c:v>82.625269469510016</c:v>
                </c:pt>
                <c:pt idx="91">
                  <c:v>82.681139262377641</c:v>
                </c:pt>
                <c:pt idx="92">
                  <c:v>82.735581584953053</c:v>
                </c:pt>
                <c:pt idx="93">
                  <c:v>82.788640203152326</c:v>
                </c:pt>
                <c:pt idx="94">
                  <c:v>82.840357111393431</c:v>
                </c:pt>
                <c:pt idx="95">
                  <c:v>82.890772621127709</c:v>
                </c:pt>
                <c:pt idx="96">
                  <c:v>82.939925444119595</c:v>
                </c:pt>
                <c:pt idx="97">
                  <c:v>82.987852770834479</c:v>
                </c:pt>
                <c:pt idx="98">
                  <c:v>83.034590344266007</c:v>
                </c:pt>
                <c:pt idx="99">
                  <c:v>83.080172529509511</c:v>
                </c:pt>
                <c:pt idx="100">
                  <c:v>81.588833176904942</c:v>
                </c:pt>
              </c:numCache>
            </c:numRef>
          </c:val>
          <c:smooth val="0"/>
          <c:extLst>
            <c:ext xmlns:c16="http://schemas.microsoft.com/office/drawing/2014/chart" uri="{C3380CC4-5D6E-409C-BE32-E72D297353CC}">
              <c16:uniqueId val="{00000000-9FB2-40F7-8293-C6828AB4E751}"/>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8.5643749999999983</c:v>
                </c:pt>
                <c:pt idx="2">
                  <c:v>17.128749999999997</c:v>
                </c:pt>
                <c:pt idx="3">
                  <c:v>25.693124999999998</c:v>
                </c:pt>
                <c:pt idx="4">
                  <c:v>34.257499999999993</c:v>
                </c:pt>
                <c:pt idx="5">
                  <c:v>42.821874999999999</c:v>
                </c:pt>
                <c:pt idx="6">
                  <c:v>51.386249999999997</c:v>
                </c:pt>
                <c:pt idx="7">
                  <c:v>59.950624999999995</c:v>
                </c:pt>
                <c:pt idx="8">
                  <c:v>68.514999999999986</c:v>
                </c:pt>
                <c:pt idx="9">
                  <c:v>77.079374999999999</c:v>
                </c:pt>
                <c:pt idx="10">
                  <c:v>85.643749999999997</c:v>
                </c:pt>
                <c:pt idx="11">
                  <c:v>94.208124999999995</c:v>
                </c:pt>
                <c:pt idx="12">
                  <c:v>102.77249999999999</c:v>
                </c:pt>
                <c:pt idx="13">
                  <c:v>111.33687499999999</c:v>
                </c:pt>
                <c:pt idx="14">
                  <c:v>119.90124999999999</c:v>
                </c:pt>
                <c:pt idx="15">
                  <c:v>128.46562499999999</c:v>
                </c:pt>
                <c:pt idx="16">
                  <c:v>137.02999999999997</c:v>
                </c:pt>
                <c:pt idx="17">
                  <c:v>145.59437500000001</c:v>
                </c:pt>
                <c:pt idx="18">
                  <c:v>154.15875</c:v>
                </c:pt>
                <c:pt idx="19">
                  <c:v>162.72312499999998</c:v>
                </c:pt>
                <c:pt idx="20">
                  <c:v>171.28749999999999</c:v>
                </c:pt>
                <c:pt idx="21">
                  <c:v>179.85187500000001</c:v>
                </c:pt>
                <c:pt idx="22">
                  <c:v>188.41624999999999</c:v>
                </c:pt>
                <c:pt idx="23">
                  <c:v>196.98062500000003</c:v>
                </c:pt>
                <c:pt idx="24">
                  <c:v>205.54499999999999</c:v>
                </c:pt>
                <c:pt idx="25">
                  <c:v>214.109375</c:v>
                </c:pt>
                <c:pt idx="26">
                  <c:v>222.67374999999998</c:v>
                </c:pt>
                <c:pt idx="27">
                  <c:v>231.238125</c:v>
                </c:pt>
                <c:pt idx="28">
                  <c:v>239.80249999999998</c:v>
                </c:pt>
                <c:pt idx="29">
                  <c:v>248.36687499999994</c:v>
                </c:pt>
                <c:pt idx="30">
                  <c:v>256.93124999999998</c:v>
                </c:pt>
                <c:pt idx="31">
                  <c:v>265.49562499999996</c:v>
                </c:pt>
                <c:pt idx="32">
                  <c:v>274.05999999999995</c:v>
                </c:pt>
                <c:pt idx="33">
                  <c:v>282.62437499999999</c:v>
                </c:pt>
                <c:pt idx="34">
                  <c:v>291.18875000000003</c:v>
                </c:pt>
                <c:pt idx="35">
                  <c:v>299.75312499999995</c:v>
                </c:pt>
                <c:pt idx="36">
                  <c:v>308.3175</c:v>
                </c:pt>
                <c:pt idx="37">
                  <c:v>316.88187499999992</c:v>
                </c:pt>
                <c:pt idx="38">
                  <c:v>325.44624999999996</c:v>
                </c:pt>
                <c:pt idx="39">
                  <c:v>334.01062499999989</c:v>
                </c:pt>
                <c:pt idx="40">
                  <c:v>342.57499999999999</c:v>
                </c:pt>
                <c:pt idx="41">
                  <c:v>351.13937499999992</c:v>
                </c:pt>
                <c:pt idx="42">
                  <c:v>359.70375000000001</c:v>
                </c:pt>
                <c:pt idx="43">
                  <c:v>368.26812499999994</c:v>
                </c:pt>
                <c:pt idx="44">
                  <c:v>376.83249999999998</c:v>
                </c:pt>
                <c:pt idx="45">
                  <c:v>385.39687499999997</c:v>
                </c:pt>
                <c:pt idx="46">
                  <c:v>393.96125000000006</c:v>
                </c:pt>
                <c:pt idx="47">
                  <c:v>402.52562499999993</c:v>
                </c:pt>
                <c:pt idx="48">
                  <c:v>411.09</c:v>
                </c:pt>
                <c:pt idx="49">
                  <c:v>419.6543749999999</c:v>
                </c:pt>
                <c:pt idx="50">
                  <c:v>428.21875</c:v>
                </c:pt>
                <c:pt idx="51">
                  <c:v>436.78312499999993</c:v>
                </c:pt>
                <c:pt idx="52">
                  <c:v>445.34749999999997</c:v>
                </c:pt>
                <c:pt idx="53">
                  <c:v>453.91187499999995</c:v>
                </c:pt>
                <c:pt idx="54">
                  <c:v>462.47624999999999</c:v>
                </c:pt>
                <c:pt idx="55">
                  <c:v>471.04062499999998</c:v>
                </c:pt>
                <c:pt idx="56">
                  <c:v>479.60499999999996</c:v>
                </c:pt>
                <c:pt idx="57">
                  <c:v>488.16937499999995</c:v>
                </c:pt>
                <c:pt idx="58">
                  <c:v>496.73374999999987</c:v>
                </c:pt>
                <c:pt idx="59">
                  <c:v>505.29812499999991</c:v>
                </c:pt>
                <c:pt idx="60">
                  <c:v>513.86249999999995</c:v>
                </c:pt>
                <c:pt idx="61">
                  <c:v>522.426875</c:v>
                </c:pt>
                <c:pt idx="62">
                  <c:v>530.99124999999992</c:v>
                </c:pt>
                <c:pt idx="63">
                  <c:v>539.55562499999996</c:v>
                </c:pt>
                <c:pt idx="64">
                  <c:v>548.11999999999989</c:v>
                </c:pt>
                <c:pt idx="65">
                  <c:v>556.68437499999993</c:v>
                </c:pt>
                <c:pt idx="66">
                  <c:v>565.24874999999997</c:v>
                </c:pt>
                <c:pt idx="67">
                  <c:v>573.8131249999999</c:v>
                </c:pt>
                <c:pt idx="68">
                  <c:v>582.37750000000005</c:v>
                </c:pt>
                <c:pt idx="69">
                  <c:v>590.94187499999987</c:v>
                </c:pt>
                <c:pt idx="70">
                  <c:v>599.50624999999991</c:v>
                </c:pt>
                <c:pt idx="71">
                  <c:v>608.07062499999984</c:v>
                </c:pt>
                <c:pt idx="72">
                  <c:v>616.63499999999999</c:v>
                </c:pt>
                <c:pt idx="73">
                  <c:v>625.19937499999992</c:v>
                </c:pt>
                <c:pt idx="74">
                  <c:v>633.76374999999985</c:v>
                </c:pt>
                <c:pt idx="75">
                  <c:v>642.32812499999989</c:v>
                </c:pt>
                <c:pt idx="76">
                  <c:v>650.89249999999993</c:v>
                </c:pt>
                <c:pt idx="77">
                  <c:v>659.45687499999997</c:v>
                </c:pt>
                <c:pt idx="78">
                  <c:v>668.02124999999978</c:v>
                </c:pt>
                <c:pt idx="79">
                  <c:v>676.58562499999994</c:v>
                </c:pt>
                <c:pt idx="80">
                  <c:v>685.15</c:v>
                </c:pt>
                <c:pt idx="81">
                  <c:v>693.7143749999999</c:v>
                </c:pt>
                <c:pt idx="82">
                  <c:v>702.27874999999983</c:v>
                </c:pt>
                <c:pt idx="83">
                  <c:v>710.84312499999987</c:v>
                </c:pt>
                <c:pt idx="84">
                  <c:v>719.40750000000003</c:v>
                </c:pt>
                <c:pt idx="85">
                  <c:v>727.97187499999995</c:v>
                </c:pt>
                <c:pt idx="86">
                  <c:v>736.53624999999988</c:v>
                </c:pt>
                <c:pt idx="87">
                  <c:v>745.10062499999992</c:v>
                </c:pt>
                <c:pt idx="88">
                  <c:v>753.66499999999996</c:v>
                </c:pt>
                <c:pt idx="89">
                  <c:v>762.22937500000012</c:v>
                </c:pt>
                <c:pt idx="90">
                  <c:v>770.79374999999993</c:v>
                </c:pt>
                <c:pt idx="91">
                  <c:v>779.35812499999986</c:v>
                </c:pt>
                <c:pt idx="92">
                  <c:v>787.92250000000013</c:v>
                </c:pt>
                <c:pt idx="93">
                  <c:v>796.48687500000005</c:v>
                </c:pt>
                <c:pt idx="94">
                  <c:v>805.05124999999987</c:v>
                </c:pt>
                <c:pt idx="95">
                  <c:v>813.6156249999998</c:v>
                </c:pt>
                <c:pt idx="96">
                  <c:v>822.18</c:v>
                </c:pt>
                <c:pt idx="97">
                  <c:v>830.74437499999988</c:v>
                </c:pt>
                <c:pt idx="98">
                  <c:v>839.3087499999998</c:v>
                </c:pt>
                <c:pt idx="99">
                  <c:v>847.87312499999973</c:v>
                </c:pt>
                <c:pt idx="100">
                  <c:v>856.4375</c:v>
                </c:pt>
              </c:numCache>
            </c:numRef>
          </c:val>
          <c:smooth val="0"/>
          <c:extLst>
            <c:ext xmlns:c16="http://schemas.microsoft.com/office/drawing/2014/chart" uri="{C3380CC4-5D6E-409C-BE32-E72D297353CC}">
              <c16:uniqueId val="{00000001-9FB2-40F7-8293-C6828AB4E751}"/>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12.973654390204805</c:v>
                </c:pt>
                <c:pt idx="1">
                  <c:v>14.819904255778249</c:v>
                </c:pt>
                <c:pt idx="2">
                  <c:v>29.639942768488211</c:v>
                </c:pt>
                <c:pt idx="3">
                  <c:v>44.46011553995428</c:v>
                </c:pt>
                <c:pt idx="4">
                  <c:v>59.280422572000909</c:v>
                </c:pt>
                <c:pt idx="5">
                  <c:v>74.100863866452542</c:v>
                </c:pt>
                <c:pt idx="6">
                  <c:v>88.921439425133727</c:v>
                </c:pt>
                <c:pt idx="7">
                  <c:v>103.74214924986899</c:v>
                </c:pt>
                <c:pt idx="8">
                  <c:v>118.56299334248287</c:v>
                </c:pt>
                <c:pt idx="9">
                  <c:v>133.38397170479999</c:v>
                </c:pt>
                <c:pt idx="10">
                  <c:v>148.20508433864492</c:v>
                </c:pt>
                <c:pt idx="11">
                  <c:v>163.0263312458425</c:v>
                </c:pt>
                <c:pt idx="12">
                  <c:v>177.84771242821725</c:v>
                </c:pt>
                <c:pt idx="13">
                  <c:v>192.66922788759408</c:v>
                </c:pt>
                <c:pt idx="14">
                  <c:v>207.49087762579759</c:v>
                </c:pt>
                <c:pt idx="15">
                  <c:v>222.31266164465262</c:v>
                </c:pt>
                <c:pt idx="16">
                  <c:v>237.13457994598411</c:v>
                </c:pt>
                <c:pt idx="17">
                  <c:v>251.95663253161683</c:v>
                </c:pt>
                <c:pt idx="18">
                  <c:v>266.77881940337573</c:v>
                </c:pt>
                <c:pt idx="19">
                  <c:v>281.60114056308566</c:v>
                </c:pt>
                <c:pt idx="20">
                  <c:v>296.42359601257164</c:v>
                </c:pt>
                <c:pt idx="21">
                  <c:v>311.24618575365878</c:v>
                </c:pt>
                <c:pt idx="22">
                  <c:v>326.06890978817199</c:v>
                </c:pt>
                <c:pt idx="23">
                  <c:v>340.89176811793641</c:v>
                </c:pt>
                <c:pt idx="24">
                  <c:v>355.71476074477681</c:v>
                </c:pt>
                <c:pt idx="25">
                  <c:v>370.53788767051884</c:v>
                </c:pt>
                <c:pt idx="26">
                  <c:v>385.36114889698746</c:v>
                </c:pt>
                <c:pt idx="27">
                  <c:v>404.62094852196145</c:v>
                </c:pt>
                <c:pt idx="28">
                  <c:v>425.6464722998229</c:v>
                </c:pt>
                <c:pt idx="29">
                  <c:v>446.9946645736415</c:v>
                </c:pt>
                <c:pt idx="30">
                  <c:v>468.66011173588845</c:v>
                </c:pt>
                <c:pt idx="31">
                  <c:v>484.67358968610063</c:v>
                </c:pt>
                <c:pt idx="32">
                  <c:v>490.84631307818313</c:v>
                </c:pt>
                <c:pt idx="33">
                  <c:v>496.92492495950029</c:v>
                </c:pt>
                <c:pt idx="34">
                  <c:v>502.91370097774501</c:v>
                </c:pt>
                <c:pt idx="35">
                  <c:v>508.81660424716756</c:v>
                </c:pt>
                <c:pt idx="36">
                  <c:v>514.63731640890319</c:v>
                </c:pt>
                <c:pt idx="37">
                  <c:v>508.57789261124685</c:v>
                </c:pt>
                <c:pt idx="38">
                  <c:v>501.5435115876187</c:v>
                </c:pt>
                <c:pt idx="39">
                  <c:v>494.78005110217993</c:v>
                </c:pt>
                <c:pt idx="40">
                  <c:v>488.27099726400564</c:v>
                </c:pt>
                <c:pt idx="41">
                  <c:v>482.00119427615209</c:v>
                </c:pt>
                <c:pt idx="42">
                  <c:v>475.95670527660559</c:v>
                </c:pt>
                <c:pt idx="43">
                  <c:v>470.12469011936105</c:v>
                </c:pt>
                <c:pt idx="44">
                  <c:v>464.49329772212155</c:v>
                </c:pt>
                <c:pt idx="45">
                  <c:v>459.05157098134072</c:v>
                </c:pt>
                <c:pt idx="46">
                  <c:v>486.9413939773417</c:v>
                </c:pt>
                <c:pt idx="47">
                  <c:v>485.9179846479505</c:v>
                </c:pt>
                <c:pt idx="48">
                  <c:v>484.94115127786358</c:v>
                </c:pt>
                <c:pt idx="49">
                  <c:v>484.00830192281694</c:v>
                </c:pt>
                <c:pt idx="50">
                  <c:v>483.1170413599387</c:v>
                </c:pt>
                <c:pt idx="51">
                  <c:v>482.2651527724534</c:v>
                </c:pt>
                <c:pt idx="52">
                  <c:v>481.45058144326561</c:v>
                </c:pt>
                <c:pt idx="53">
                  <c:v>480.67142020496857</c:v>
                </c:pt>
                <c:pt idx="54">
                  <c:v>479.9258964294545</c:v>
                </c:pt>
                <c:pt idx="55">
                  <c:v>479.21236037035101</c:v>
                </c:pt>
                <c:pt idx="56">
                  <c:v>478.52927469696846</c:v>
                </c:pt>
                <c:pt idx="57">
                  <c:v>477.87520508005855</c:v>
                </c:pt>
                <c:pt idx="58">
                  <c:v>477.24881170809323</c:v>
                </c:pt>
                <c:pt idx="59">
                  <c:v>476.64884162849808</c:v>
                </c:pt>
                <c:pt idx="60">
                  <c:v>476.07412182174784</c:v>
                </c:pt>
                <c:pt idx="61">
                  <c:v>475.5235529277918</c:v>
                </c:pt>
                <c:pt idx="62">
                  <c:v>474.99610355423283</c:v>
                </c:pt>
                <c:pt idx="63">
                  <c:v>474.49080510428763</c:v>
                </c:pt>
                <c:pt idx="64">
                  <c:v>474.00674706997324</c:v>
                </c:pt>
                <c:pt idx="65">
                  <c:v>473.54307274242313</c:v>
                </c:pt>
                <c:pt idx="66">
                  <c:v>473.09897529683025</c:v>
                </c:pt>
                <c:pt idx="67">
                  <c:v>472.67369421439798</c:v>
                </c:pt>
                <c:pt idx="68">
                  <c:v>472.26651200792935</c:v>
                </c:pt>
                <c:pt idx="69">
                  <c:v>471.87675122141411</c:v>
                </c:pt>
                <c:pt idx="70">
                  <c:v>471.50377167723286</c:v>
                </c:pt>
                <c:pt idx="71">
                  <c:v>471.1469679474601</c:v>
                </c:pt>
                <c:pt idx="72">
                  <c:v>470.80576702826579</c:v>
                </c:pt>
                <c:pt idx="73">
                  <c:v>470.47962619863858</c:v>
                </c:pt>
                <c:pt idx="74">
                  <c:v>470.16803104660607</c:v>
                </c:pt>
                <c:pt idx="75">
                  <c:v>469.87049364786651</c:v>
                </c:pt>
                <c:pt idx="76">
                  <c:v>469.58655088327117</c:v>
                </c:pt>
                <c:pt idx="77">
                  <c:v>469.31576288296901</c:v>
                </c:pt>
                <c:pt idx="78">
                  <c:v>469.05771158622139</c:v>
                </c:pt>
                <c:pt idx="79">
                  <c:v>468.81199940698008</c:v>
                </c:pt>
                <c:pt idx="80">
                  <c:v>468.57824799627656</c:v>
                </c:pt>
                <c:pt idx="81">
                  <c:v>468.35609709332391</c:v>
                </c:pt>
                <c:pt idx="82">
                  <c:v>468.14520345800361</c:v>
                </c:pt>
                <c:pt idx="83">
                  <c:v>467.94523987808668</c:v>
                </c:pt>
                <c:pt idx="84">
                  <c:v>467.75589424515744</c:v>
                </c:pt>
                <c:pt idx="85">
                  <c:v>467.57686869375601</c:v>
                </c:pt>
                <c:pt idx="86">
                  <c:v>467.40787879874983</c:v>
                </c:pt>
                <c:pt idx="87">
                  <c:v>467.2486528263903</c:v>
                </c:pt>
                <c:pt idx="88">
                  <c:v>467.09893103491532</c:v>
                </c:pt>
                <c:pt idx="89">
                  <c:v>466.95846502090654</c:v>
                </c:pt>
                <c:pt idx="90">
                  <c:v>466.82701710795828</c:v>
                </c:pt>
                <c:pt idx="91">
                  <c:v>466.7043597744875</c:v>
                </c:pt>
                <c:pt idx="92">
                  <c:v>466.59027511779664</c:v>
                </c:pt>
                <c:pt idx="93">
                  <c:v>466.48455435173622</c:v>
                </c:pt>
                <c:pt idx="94">
                  <c:v>466.38699733553557</c:v>
                </c:pt>
                <c:pt idx="95">
                  <c:v>466.29741213156819</c:v>
                </c:pt>
                <c:pt idx="96">
                  <c:v>466.21561458999963</c:v>
                </c:pt>
                <c:pt idx="97">
                  <c:v>466.14142795843168</c:v>
                </c:pt>
                <c:pt idx="98">
                  <c:v>466.07468251480276</c:v>
                </c:pt>
                <c:pt idx="99">
                  <c:v>466.01521522194719</c:v>
                </c:pt>
                <c:pt idx="100">
                  <c:v>465.96286940233421</c:v>
                </c:pt>
              </c:numCache>
            </c:numRef>
          </c:val>
          <c:smooth val="0"/>
          <c:extLst>
            <c:ext xmlns:c16="http://schemas.microsoft.com/office/drawing/2014/chart" uri="{C3380CC4-5D6E-409C-BE32-E72D297353CC}">
              <c16:uniqueId val="{00000002-9FB2-40F7-8293-C6828AB4E751}"/>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12.538921452860796</c:v>
                </c:pt>
                <c:pt idx="1">
                  <c:v>12.546587668662465</c:v>
                </c:pt>
                <c:pt idx="2">
                  <c:v>12.660629942976806</c:v>
                </c:pt>
                <c:pt idx="3">
                  <c:v>12.891235503352711</c:v>
                </c:pt>
                <c:pt idx="4">
                  <c:v>13.265037084313851</c:v>
                </c:pt>
                <c:pt idx="5">
                  <c:v>13.804358814208021</c:v>
                </c:pt>
                <c:pt idx="6">
                  <c:v>14.528825685810748</c:v>
                </c:pt>
                <c:pt idx="7">
                  <c:v>15.45616102014977</c:v>
                </c:pt>
                <c:pt idx="8">
                  <c:v>16.602653195728173</c:v>
                </c:pt>
                <c:pt idx="9">
                  <c:v>17.983457341791748</c:v>
                </c:pt>
                <c:pt idx="10">
                  <c:v>19.612803896005065</c:v>
                </c:pt>
                <c:pt idx="11">
                  <c:v>21.504149982292478</c:v>
                </c:pt>
                <c:pt idx="12">
                  <c:v>23.670293444164233</c:v>
                </c:pt>
                <c:pt idx="13">
                  <c:v>26.123461300782388</c:v>
                </c:pt>
                <c:pt idx="14">
                  <c:v>28.875380010790053</c:v>
                </c:pt>
                <c:pt idx="15">
                  <c:v>31.937332392020206</c:v>
                </c:pt>
                <c:pt idx="16">
                  <c:v>35.320204499340491</c:v>
                </c:pt>
                <c:pt idx="17">
                  <c:v>39.034524780331431</c:v>
                </c:pt>
                <c:pt idx="18">
                  <c:v>43.090497181469743</c:v>
                </c:pt>
                <c:pt idx="19">
                  <c:v>47.498029438372363</c:v>
                </c:pt>
                <c:pt idx="20">
                  <c:v>52.266757477790428</c:v>
                </c:pt>
                <c:pt idx="21">
                  <c:v>57.406066641095293</c:v>
                </c:pt>
                <c:pt idx="22">
                  <c:v>62.925110280575694</c:v>
                </c:pt>
                <c:pt idx="23">
                  <c:v>68.832826162644437</c:v>
                </c:pt>
                <c:pt idx="24">
                  <c:v>75.137951023934562</c:v>
                </c:pt>
                <c:pt idx="25">
                  <c:v>81.849033559085385</c:v>
                </c:pt>
                <c:pt idx="26">
                  <c:v>88.974446067115224</c:v>
                </c:pt>
                <c:pt idx="27">
                  <c:v>99.890874965899641</c:v>
                </c:pt>
                <c:pt idx="28">
                  <c:v>113.06399329899028</c:v>
                </c:pt>
                <c:pt idx="29">
                  <c:v>127.54622872530264</c:v>
                </c:pt>
                <c:pt idx="30">
                  <c:v>143.42049913052108</c:v>
                </c:pt>
                <c:pt idx="31">
                  <c:v>156.38462969446289</c:v>
                </c:pt>
                <c:pt idx="32">
                  <c:v>162.5955957651359</c:v>
                </c:pt>
                <c:pt idx="33">
                  <c:v>168.85177747212606</c:v>
                </c:pt>
                <c:pt idx="34">
                  <c:v>175.15215571105477</c:v>
                </c:pt>
                <c:pt idx="35">
                  <c:v>181.49576414160342</c:v>
                </c:pt>
                <c:pt idx="36">
                  <c:v>187.88168502245369</c:v>
                </c:pt>
                <c:pt idx="37">
                  <c:v>184.48118927429778</c:v>
                </c:pt>
                <c:pt idx="38">
                  <c:v>180.28554963609676</c:v>
                </c:pt>
                <c:pt idx="39">
                  <c:v>176.32235377532797</c:v>
                </c:pt>
                <c:pt idx="40">
                  <c:v>172.57534334451032</c:v>
                </c:pt>
                <c:pt idx="41">
                  <c:v>169.02970741729746</c:v>
                </c:pt>
                <c:pt idx="42">
                  <c:v>165.67192762597503</c:v>
                </c:pt>
                <c:pt idx="43">
                  <c:v>162.48964248123053</c:v>
                </c:pt>
                <c:pt idx="44">
                  <c:v>159.47152819553591</c:v>
                </c:pt>
                <c:pt idx="45">
                  <c:v>156.6071937447679</c:v>
                </c:pt>
                <c:pt idx="46">
                  <c:v>188.89788012334262</c:v>
                </c:pt>
                <c:pt idx="47">
                  <c:v>190.56925194986002</c:v>
                </c:pt>
                <c:pt idx="48">
                  <c:v>192.24740614512245</c:v>
                </c:pt>
                <c:pt idx="49">
                  <c:v>193.93334176353454</c:v>
                </c:pt>
                <c:pt idx="50">
                  <c:v>195.62798569062639</c:v>
                </c:pt>
                <c:pt idx="51">
                  <c:v>197.3321990850458</c:v>
                </c:pt>
                <c:pt idx="52">
                  <c:v>199.04678314587963</c:v>
                </c:pt>
                <c:pt idx="53">
                  <c:v>200.77248428618032</c:v>
                </c:pt>
                <c:pt idx="54">
                  <c:v>202.50999878271085</c:v>
                </c:pt>
                <c:pt idx="55">
                  <c:v>204.25997696265537</c:v>
                </c:pt>
                <c:pt idx="56">
                  <c:v>206.02302698013077</c:v>
                </c:pt>
                <c:pt idx="57">
                  <c:v>207.79971822856891</c:v>
                </c:pt>
                <c:pt idx="58">
                  <c:v>209.59058442923742</c:v>
                </c:pt>
                <c:pt idx="59">
                  <c:v>211.39612643113838</c:v>
                </c:pt>
                <c:pt idx="60">
                  <c:v>213.21681475324854</c:v>
                </c:pt>
                <c:pt idx="61">
                  <c:v>215.0530918963043</c:v>
                </c:pt>
                <c:pt idx="62">
                  <c:v>216.90537444811505</c:v>
                </c:pt>
                <c:pt idx="63">
                  <c:v>218.77405500358481</c:v>
                </c:pt>
                <c:pt idx="64">
                  <c:v>220.65950391817066</c:v>
                </c:pt>
                <c:pt idx="65">
                  <c:v>222.56207091138302</c:v>
                </c:pt>
                <c:pt idx="66">
                  <c:v>224.48208653505793</c:v>
                </c:pt>
                <c:pt idx="67">
                  <c:v>226.41986351952326</c:v>
                </c:pt>
                <c:pt idx="68">
                  <c:v>228.37569800932275</c:v>
                </c:pt>
                <c:pt idx="69">
                  <c:v>230.34987069892449</c:v>
                </c:pt>
                <c:pt idx="70">
                  <c:v>232.34264787772449</c:v>
                </c:pt>
                <c:pt idx="71">
                  <c:v>234.35428239267995</c:v>
                </c:pt>
                <c:pt idx="72">
                  <c:v>236.38501453604289</c:v>
                </c:pt>
                <c:pt idx="73">
                  <c:v>238.43507286490714</c:v>
                </c:pt>
                <c:pt idx="74">
                  <c:v>240.50467495858982</c:v>
                </c:pt>
                <c:pt idx="75">
                  <c:v>242.59402811929033</c:v>
                </c:pt>
                <c:pt idx="76">
                  <c:v>244.70333002090229</c:v>
                </c:pt>
                <c:pt idx="77">
                  <c:v>246.83276931041974</c:v>
                </c:pt>
                <c:pt idx="78">
                  <c:v>248.98252616590779</c:v>
                </c:pt>
                <c:pt idx="79">
                  <c:v>251.15277281466948</c:v>
                </c:pt>
                <c:pt idx="80">
                  <c:v>253.34367401487256</c:v>
                </c:pt>
                <c:pt idx="81">
                  <c:v>255.55538750361168</c:v>
                </c:pt>
                <c:pt idx="82">
                  <c:v>257.78806441410029</c:v>
                </c:pt>
                <c:pt idx="83">
                  <c:v>260.04184966445024</c:v>
                </c:pt>
                <c:pt idx="84">
                  <c:v>262.3168823202663</c:v>
                </c:pt>
                <c:pt idx="85">
                  <c:v>264.61329593309534</c:v>
                </c:pt>
                <c:pt idx="86">
                  <c:v>266.93121885658093</c:v>
                </c:pt>
                <c:pt idx="87">
                  <c:v>269.27077454202561</c:v>
                </c:pt>
                <c:pt idx="88">
                  <c:v>271.63208181490302</c:v>
                </c:pt>
                <c:pt idx="89">
                  <c:v>274.01525513374139</c:v>
                </c:pt>
                <c:pt idx="90">
                  <c:v>276.42040483267903</c:v>
                </c:pt>
                <c:pt idx="91">
                  <c:v>278.84763734887207</c:v>
                </c:pt>
                <c:pt idx="92">
                  <c:v>281.29705543586545</c:v>
                </c:pt>
                <c:pt idx="93">
                  <c:v>283.76875836390695</c:v>
                </c:pt>
                <c:pt idx="94">
                  <c:v>286.26284210814873</c:v>
                </c:pt>
                <c:pt idx="95">
                  <c:v>288.77939952556852</c:v>
                </c:pt>
                <c:pt idx="96">
                  <c:v>291.31852052140158</c:v>
                </c:pt>
                <c:pt idx="97">
                  <c:v>293.88029220579898</c:v>
                </c:pt>
                <c:pt idx="98">
                  <c:v>296.46479904137794</c:v>
                </c:pt>
                <c:pt idx="99">
                  <c:v>299.07212298227904</c:v>
                </c:pt>
                <c:pt idx="100">
                  <c:v>301.70234360529219</c:v>
                </c:pt>
              </c:numCache>
            </c:numRef>
          </c:val>
          <c:smooth val="0"/>
          <c:extLst>
            <c:ext xmlns:c16="http://schemas.microsoft.com/office/drawing/2014/chart" uri="{C3380CC4-5D6E-409C-BE32-E72D297353CC}">
              <c16:uniqueId val="{00000003-9FB2-40F7-8293-C6828AB4E751}"/>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zh-CN"/>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zh-CN"/>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zh-CN"/>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11.429199855803537</c:v>
                </c:pt>
                <c:pt idx="2">
                  <c:v>34.287599567410609</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274.3089974105547</c:v>
                </c:pt>
                <c:pt idx="25">
                  <c:v>285.81873315363879</c:v>
                </c:pt>
                <c:pt idx="26">
                  <c:v>232.56778747425872</c:v>
                </c:pt>
                <c:pt idx="27">
                  <c:v>224.33868852390839</c:v>
                </c:pt>
                <c:pt idx="28">
                  <c:v>216.6718871445612</c:v>
                </c:pt>
                <c:pt idx="29">
                  <c:v>209.51165259458853</c:v>
                </c:pt>
                <c:pt idx="30">
                  <c:v>202.80938341866414</c:v>
                </c:pt>
                <c:pt idx="31">
                  <c:v>196.52250276996728</c:v>
                </c:pt>
                <c:pt idx="32">
                  <c:v>190.61355296115264</c:v>
                </c:pt>
                <c:pt idx="33">
                  <c:v>185.04944854792882</c:v>
                </c:pt>
                <c:pt idx="34">
                  <c:v>179.8008564802135</c:v>
                </c:pt>
                <c:pt idx="35">
                  <c:v>174.84167879628083</c:v>
                </c:pt>
                <c:pt idx="36">
                  <c:v>170.14861859970273</c:v>
                </c:pt>
                <c:pt idx="37">
                  <c:v>165.70081408520767</c:v>
                </c:pt>
                <c:pt idx="38">
                  <c:v>161.4795284830991</c:v>
                </c:pt>
                <c:pt idx="39">
                  <c:v>157.46788620176409</c:v>
                </c:pt>
                <c:pt idx="40">
                  <c:v>153.65064733213441</c:v>
                </c:pt>
                <c:pt idx="41">
                  <c:v>150.01401416107333</c:v>
                </c:pt>
                <c:pt idx="42">
                  <c:v>146.54546451528344</c:v>
                </c:pt>
                <c:pt idx="43">
                  <c:v>143.23360769314394</c:v>
                </c:pt>
                <c:pt idx="44">
                  <c:v>140.06805949164959</c:v>
                </c:pt>
                <c:pt idx="45">
                  <c:v>137.03933343954654</c:v>
                </c:pt>
                <c:pt idx="46">
                  <c:v>134.13874583669067</c:v>
                </c:pt>
                <c:pt idx="47">
                  <c:v>131.35833259742793</c:v>
                </c:pt>
                <c:pt idx="48">
                  <c:v>128.69077622090069</c:v>
                </c:pt>
                <c:pt idx="49">
                  <c:v>126.12934147808691</c:v>
                </c:pt>
                <c:pt idx="50">
                  <c:v>123.66781862542697</c:v>
                </c:pt>
                <c:pt idx="51">
                  <c:v>121.30047313705009</c:v>
                </c:pt>
                <c:pt idx="52">
                  <c:v>119.02200109899468</c:v>
                </c:pt>
                <c:pt idx="53">
                  <c:v>116.82748953509474</c:v>
                </c:pt>
                <c:pt idx="54">
                  <c:v>114.71238103991483</c:v>
                </c:pt>
                <c:pt idx="55">
                  <c:v>112.67244218292345</c:v>
                </c:pt>
                <c:pt idx="56">
                  <c:v>110.70373522294298</c:v>
                </c:pt>
                <c:pt idx="57">
                  <c:v>108.80259273520106</c:v>
                </c:pt>
                <c:pt idx="58">
                  <c:v>106.96559480698741</c:v>
                </c:pt>
                <c:pt idx="59">
                  <c:v>105.18954850358087</c:v>
                </c:pt>
                <c:pt idx="60">
                  <c:v>103.47146934506567</c:v>
                </c:pt>
                <c:pt idx="61">
                  <c:v>101.80856456798152</c:v>
                </c:pt>
                <c:pt idx="62">
                  <c:v>100.19821797433326</c:v>
                </c:pt>
                <c:pt idx="63">
                  <c:v>98.637976195069456</c:v>
                </c:pt>
                <c:pt idx="64">
                  <c:v>97.125536216328996</c:v>
                </c:pt>
                <c:pt idx="65">
                  <c:v>95.658734035068136</c:v>
                </c:pt>
                <c:pt idx="66">
                  <c:v>94.235534326545491</c:v>
                </c:pt>
                <c:pt idx="67">
                  <c:v>92.854021019911485</c:v>
                </c:pt>
                <c:pt idx="68">
                  <c:v>91.512388690134117</c:v>
                </c:pt>
                <c:pt idx="69">
                  <c:v>90.208934684938882</c:v>
                </c:pt>
                <c:pt idx="70">
                  <c:v>88.942051914570087</c:v>
                </c:pt>
                <c:pt idx="71">
                  <c:v>87.710222240171859</c:v>
                </c:pt>
                <c:pt idx="72">
                  <c:v>86.51201040359777</c:v>
                </c:pt>
                <c:pt idx="73">
                  <c:v>85.346058447617736</c:v>
                </c:pt>
                <c:pt idx="74">
                  <c:v>84.211080580915393</c:v>
                </c:pt>
                <c:pt idx="75">
                  <c:v>83.105858447052327</c:v>
                </c:pt>
                <c:pt idx="76">
                  <c:v>82.0292367608033</c:v>
                </c:pt>
                <c:pt idx="77">
                  <c:v>80.980119279005564</c:v>
                </c:pt>
                <c:pt idx="78">
                  <c:v>79.957465076382718</c:v>
                </c:pt>
                <c:pt idx="79">
                  <c:v>78.960285099747139</c:v>
                </c:pt>
                <c:pt idx="80">
                  <c:v>77.987638976603023</c:v>
                </c:pt>
                <c:pt idx="81">
                  <c:v>77.038632056503417</c:v>
                </c:pt>
                <c:pt idx="82">
                  <c:v>76.112412665595727</c:v>
                </c:pt>
                <c:pt idx="83">
                  <c:v>75.208169556645416</c:v>
                </c:pt>
                <c:pt idx="84">
                  <c:v>74.325129538491396</c:v>
                </c:pt>
                <c:pt idx="85">
                  <c:v>73.462555270372832</c:v>
                </c:pt>
                <c:pt idx="86">
                  <c:v>72.619743207903696</c:v>
                </c:pt>
                <c:pt idx="87">
                  <c:v>71.796021688667707</c:v>
                </c:pt>
                <c:pt idx="88">
                  <c:v>70.990749146486451</c:v>
                </c:pt>
                <c:pt idx="89">
                  <c:v>70.203312444381481</c:v>
                </c:pt>
                <c:pt idx="90">
                  <c:v>69.433125317128031</c:v>
                </c:pt>
                <c:pt idx="91">
                  <c:v>68.679626915085294</c:v>
                </c:pt>
                <c:pt idx="92">
                  <c:v>67.942280441702593</c:v>
                </c:pt>
                <c:pt idx="93">
                  <c:v>67.220571877745584</c:v>
                </c:pt>
                <c:pt idx="94">
                  <c:v>66.514008785870146</c:v>
                </c:pt>
                <c:pt idx="95">
                  <c:v>65.822119189702221</c:v>
                </c:pt>
                <c:pt idx="96">
                  <c:v>65.144450522061419</c:v>
                </c:pt>
                <c:pt idx="97">
                  <c:v>64.480568637402797</c:v>
                </c:pt>
                <c:pt idx="98">
                  <c:v>63.830056883949005</c:v>
                </c:pt>
                <c:pt idx="99">
                  <c:v>63.192515231345197</c:v>
                </c:pt>
                <c:pt idx="100">
                  <c:v>62.567559449998939</c:v>
                </c:pt>
              </c:numCache>
            </c:numRef>
          </c:val>
          <c:smooth val="0"/>
          <c:extLst>
            <c:ext xmlns:c16="http://schemas.microsoft.com/office/drawing/2014/chart" uri="{C3380CC4-5D6E-409C-BE32-E72D297353CC}">
              <c16:uniqueId val="{00000000-8D54-466C-9E56-3B54C69CECB8}"/>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11.429199855803537</c:v>
                </c:pt>
                <c:pt idx="2">
                  <c:v>22.858399711607074</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274.30079653928487</c:v>
                </c:pt>
                <c:pt idx="25">
                  <c:v>285.72999639508845</c:v>
                </c:pt>
                <c:pt idx="26">
                  <c:v>297.15919625089202</c:v>
                </c:pt>
                <c:pt idx="27">
                  <c:v>308.58839610669554</c:v>
                </c:pt>
                <c:pt idx="28">
                  <c:v>320.01759596249912</c:v>
                </c:pt>
                <c:pt idx="29">
                  <c:v>331.44679581830258</c:v>
                </c:pt>
                <c:pt idx="30">
                  <c:v>342.87599567410615</c:v>
                </c:pt>
                <c:pt idx="31">
                  <c:v>350</c:v>
                </c:pt>
                <c:pt idx="32">
                  <c:v>350</c:v>
                </c:pt>
                <c:pt idx="33">
                  <c:v>350</c:v>
                </c:pt>
                <c:pt idx="34">
                  <c:v>350</c:v>
                </c:pt>
                <c:pt idx="35">
                  <c:v>350</c:v>
                </c:pt>
                <c:pt idx="36">
                  <c:v>350</c:v>
                </c:pt>
                <c:pt idx="37">
                  <c:v>342.06488767918432</c:v>
                </c:pt>
                <c:pt idx="38">
                  <c:v>333.70459934951435</c:v>
                </c:pt>
                <c:pt idx="39">
                  <c:v>325.74525604945364</c:v>
                </c:pt>
                <c:pt idx="40">
                  <c:v>318.15869036820658</c:v>
                </c:pt>
                <c:pt idx="41">
                  <c:v>310.91931296617906</c:v>
                </c:pt>
                <c:pt idx="42">
                  <c:v>304.00382421996932</c:v>
                </c:pt>
                <c:pt idx="43">
                  <c:v>297.39096372323814</c:v>
                </c:pt>
                <c:pt idx="44">
                  <c:v>291.06129196949996</c:v>
                </c:pt>
                <c:pt idx="45">
                  <c:v>284.99699949442766</c:v>
                </c:pt>
                <c:pt idx="46">
                  <c:v>279.18173953096613</c:v>
                </c:pt>
                <c:pt idx="47">
                  <c:v>273.60048086579883</c:v>
                </c:pt>
                <c:pt idx="48">
                  <c:v>268.23937810819172</c:v>
                </c:pt>
                <c:pt idx="49">
                  <c:v>263.08565701378342</c:v>
                </c:pt>
                <c:pt idx="50">
                  <c:v>258.12751286372651</c:v>
                </c:pt>
                <c:pt idx="51">
                  <c:v>253.35402019746516</c:v>
                </c:pt>
                <c:pt idx="52">
                  <c:v>248.75505244629659</c:v>
                </c:pt>
                <c:pt idx="53">
                  <c:v>244.32121022352055</c:v>
                </c:pt>
                <c:pt idx="54">
                  <c:v>240.04375720252227</c:v>
                </c:pt>
                <c:pt idx="55">
                  <c:v>235.91456266228909</c:v>
                </c:pt>
                <c:pt idx="56">
                  <c:v>231.92604990530967</c:v>
                </c:pt>
                <c:pt idx="57">
                  <c:v>228.07114985933745</c:v>
                </c:pt>
                <c:pt idx="58">
                  <c:v>224.34325926523704</c:v>
                </c:pt>
                <c:pt idx="59">
                  <c:v>220.73620293064033</c:v>
                </c:pt>
                <c:pt idx="60">
                  <c:v>217.24419959551605</c:v>
                </c:pt>
                <c:pt idx="61">
                  <c:v>213.86183101275699</c:v>
                </c:pt>
                <c:pt idx="62">
                  <c:v>210.58401389596526</c:v>
                </c:pt>
                <c:pt idx="63">
                  <c:v>207.40597442896319</c:v>
                </c:pt>
                <c:pt idx="64">
                  <c:v>204.32322506819628</c:v>
                </c:pt>
                <c:pt idx="65">
                  <c:v>201.33154340095973</c:v>
                </c:pt>
                <c:pt idx="66">
                  <c:v>198.4269528499849</c:v>
                </c:pt>
                <c:pt idx="67">
                  <c:v>195.60570503896437</c:v>
                </c:pt>
                <c:pt idx="68">
                  <c:v>192.8642636545724</c:v>
                </c:pt>
                <c:pt idx="69">
                  <c:v>190.19928965888562</c:v>
                </c:pt>
                <c:pt idx="70">
                  <c:v>187.60762772218555</c:v>
                </c:pt>
                <c:pt idx="71">
                  <c:v>185.08629376023586</c:v>
                </c:pt>
                <c:pt idx="72">
                  <c:v>182.63246347253965</c:v>
                </c:pt>
                <c:pt idx="73">
                  <c:v>180.24346178902127</c:v>
                </c:pt>
                <c:pt idx="74">
                  <c:v>177.91675314222667</c:v>
                </c:pt>
                <c:pt idx="75">
                  <c:v>175.6499324906768</c:v>
                </c:pt>
                <c:pt idx="76">
                  <c:v>173.44071702656302</c:v>
                </c:pt>
                <c:pt idx="77">
                  <c:v>171.2869385076819</c:v>
                </c:pt>
                <c:pt idx="78">
                  <c:v>169.18653615946567</c:v>
                </c:pt>
                <c:pt idx="79">
                  <c:v>167.13755009826284</c:v>
                </c:pt>
                <c:pt idx="80">
                  <c:v>165.13811523175173</c:v>
                </c:pt>
                <c:pt idx="81">
                  <c:v>163.18645559658401</c:v>
                </c:pt>
                <c:pt idx="82">
                  <c:v>161.28087909712528</c:v>
                </c:pt>
                <c:pt idx="83">
                  <c:v>159.41977261253166</c:v>
                </c:pt>
                <c:pt idx="84">
                  <c:v>157.6015974424256</c:v>
                </c:pt>
                <c:pt idx="85">
                  <c:v>155.82488506414447</c:v>
                </c:pt>
                <c:pt idx="86">
                  <c:v>154.08823317697494</c:v>
                </c:pt>
                <c:pt idx="87">
                  <c:v>152.39030201097813</c:v>
                </c:pt>
                <c:pt idx="88">
                  <c:v>150.72981087998585</c:v>
                </c:pt>
                <c:pt idx="89">
                  <c:v>149.10553496012835</c:v>
                </c:pt>
                <c:pt idx="90">
                  <c:v>147.51630227686624</c:v>
                </c:pt>
                <c:pt idx="91">
                  <c:v>145.96099088494722</c:v>
                </c:pt>
                <c:pt idx="92">
                  <c:v>144.43852622703079</c:v>
                </c:pt>
                <c:pt idx="93">
                  <c:v>142.94787865790977</c:v>
                </c:pt>
                <c:pt idx="94">
                  <c:v>141.48806112234396</c:v>
                </c:pt>
                <c:pt idx="95">
                  <c:v>140.05812697549882</c:v>
                </c:pt>
                <c:pt idx="96">
                  <c:v>138.65716793587632</c:v>
                </c:pt>
                <c:pt idx="97">
                  <c:v>137.28431216143551</c:v>
                </c:pt>
                <c:pt idx="98">
                  <c:v>135.93872244034034</c:v>
                </c:pt>
                <c:pt idx="99">
                  <c:v>134.61959448844425</c:v>
                </c:pt>
                <c:pt idx="100">
                  <c:v>133.32615534623773</c:v>
                </c:pt>
              </c:numCache>
            </c:numRef>
          </c:val>
          <c:smooth val="0"/>
          <c:extLst>
            <c:ext xmlns:c16="http://schemas.microsoft.com/office/drawing/2014/chart" uri="{C3380CC4-5D6E-409C-BE32-E72D297353CC}">
              <c16:uniqueId val="{00000001-8D54-466C-9E56-3B54C69CECB8}"/>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11.428097574347452</c:v>
                </c:pt>
                <c:pt idx="2">
                  <c:v>22.856195148694905</c:v>
                </c:pt>
                <c:pt idx="3">
                  <c:v>34.284292723042356</c:v>
                </c:pt>
                <c:pt idx="4">
                  <c:v>45.71239029738981</c:v>
                </c:pt>
                <c:pt idx="5">
                  <c:v>57.140487871737257</c:v>
                </c:pt>
                <c:pt idx="6">
                  <c:v>68.568585446084711</c:v>
                </c:pt>
                <c:pt idx="7">
                  <c:v>79.996683020432158</c:v>
                </c:pt>
                <c:pt idx="8">
                  <c:v>91.424780594779619</c:v>
                </c:pt>
                <c:pt idx="9">
                  <c:v>102.85287816912705</c:v>
                </c:pt>
                <c:pt idx="10">
                  <c:v>114.28097574347451</c:v>
                </c:pt>
                <c:pt idx="11">
                  <c:v>125.70907331782196</c:v>
                </c:pt>
                <c:pt idx="12">
                  <c:v>137.13717089216942</c:v>
                </c:pt>
                <c:pt idx="13">
                  <c:v>148.56526846651687</c:v>
                </c:pt>
                <c:pt idx="14">
                  <c:v>159.99336604086432</c:v>
                </c:pt>
                <c:pt idx="15">
                  <c:v>171.42146361521176</c:v>
                </c:pt>
                <c:pt idx="16">
                  <c:v>182.84956118955924</c:v>
                </c:pt>
                <c:pt idx="17">
                  <c:v>194.27765876390671</c:v>
                </c:pt>
                <c:pt idx="18">
                  <c:v>205.7057563382541</c:v>
                </c:pt>
                <c:pt idx="19">
                  <c:v>217.13385391260158</c:v>
                </c:pt>
                <c:pt idx="20">
                  <c:v>228.56195148694903</c:v>
                </c:pt>
                <c:pt idx="21">
                  <c:v>239.99004906129645</c:v>
                </c:pt>
                <c:pt idx="22">
                  <c:v>251.41814663564392</c:v>
                </c:pt>
                <c:pt idx="23">
                  <c:v>262.84624420999143</c:v>
                </c:pt>
                <c:pt idx="24">
                  <c:v>274.27434178433884</c:v>
                </c:pt>
                <c:pt idx="25">
                  <c:v>285.70243935868626</c:v>
                </c:pt>
                <c:pt idx="26">
                  <c:v>297.13053693303374</c:v>
                </c:pt>
                <c:pt idx="27">
                  <c:v>308.55863450738116</c:v>
                </c:pt>
                <c:pt idx="28">
                  <c:v>319.98673208172863</c:v>
                </c:pt>
                <c:pt idx="29">
                  <c:v>331.41482965607605</c:v>
                </c:pt>
                <c:pt idx="30">
                  <c:v>342.84292723042353</c:v>
                </c:pt>
                <c:pt idx="31">
                  <c:v>350</c:v>
                </c:pt>
                <c:pt idx="32">
                  <c:v>350</c:v>
                </c:pt>
                <c:pt idx="33">
                  <c:v>350</c:v>
                </c:pt>
                <c:pt idx="34">
                  <c:v>350</c:v>
                </c:pt>
                <c:pt idx="35">
                  <c:v>350</c:v>
                </c:pt>
                <c:pt idx="36">
                  <c:v>350</c:v>
                </c:pt>
                <c:pt idx="37">
                  <c:v>350</c:v>
                </c:pt>
                <c:pt idx="38">
                  <c:v>347.29031336183277</c:v>
                </c:pt>
                <c:pt idx="39">
                  <c:v>339.02193511536296</c:v>
                </c:pt>
                <c:pt idx="40">
                  <c:v>331.14710888171953</c:v>
                </c:pt>
                <c:pt idx="41">
                  <c:v>323.6316884370118</c:v>
                </c:pt>
                <c:pt idx="42">
                  <c:v>316.45161802002781</c:v>
                </c:pt>
                <c:pt idx="43">
                  <c:v>309.58494181966313</c:v>
                </c:pt>
                <c:pt idx="44">
                  <c:v>303.01157972471009</c:v>
                </c:pt>
                <c:pt idx="45">
                  <c:v>296.71313120950413</c:v>
                </c:pt>
                <c:pt idx="46">
                  <c:v>290.67270332132875</c:v>
                </c:pt>
                <c:pt idx="47">
                  <c:v>284.87475938325167</c:v>
                </c:pt>
                <c:pt idx="48">
                  <c:v>279.30498555911231</c:v>
                </c:pt>
                <c:pt idx="49">
                  <c:v>273.9501728678668</c:v>
                </c:pt>
                <c:pt idx="50">
                  <c:v>268.79811259991232</c:v>
                </c:pt>
                <c:pt idx="51">
                  <c:v>263.83750339234251</c:v>
                </c:pt>
                <c:pt idx="52">
                  <c:v>259.05786847443676</c:v>
                </c:pt>
                <c:pt idx="53">
                  <c:v>254.44948180804505</c:v>
                </c:pt>
                <c:pt idx="54">
                  <c:v>250.00330202707954</c:v>
                </c:pt>
                <c:pt idx="55">
                  <c:v>245.71091323193824</c:v>
                </c:pt>
                <c:pt idx="56">
                  <c:v>241.5644718230981</c:v>
                </c:pt>
                <c:pt idx="57">
                  <c:v>237.55665866720429</c:v>
                </c:pt>
                <c:pt idx="58">
                  <c:v>233.68063598193595</c:v>
                </c:pt>
                <c:pt idx="59">
                  <c:v>229.93000840534623</c:v>
                </c:pt>
                <c:pt idx="60">
                  <c:v>226.29878778341359</c:v>
                </c:pt>
                <c:pt idx="61">
                  <c:v>222.7813612679891</c:v>
                </c:pt>
                <c:pt idx="62">
                  <c:v>219.37246236765296</c:v>
                </c:pt>
                <c:pt idx="63">
                  <c:v>216.06714463744603</c:v>
                </c:pt>
                <c:pt idx="64">
                  <c:v>212.86075773103443</c:v>
                </c:pt>
                <c:pt idx="65">
                  <c:v>209.74892557147845</c:v>
                </c:pt>
                <c:pt idx="66">
                  <c:v>206.7275264251152</c:v>
                </c:pt>
                <c:pt idx="67">
                  <c:v>203.79267468775902</c:v>
                </c:pt>
                <c:pt idx="68">
                  <c:v>200.94070421397345</c:v>
                </c:pt>
                <c:pt idx="69">
                  <c:v>198.16815303902263</c:v>
                </c:pt>
                <c:pt idx="70">
                  <c:v>195.47174935962721</c:v>
                </c:pt>
                <c:pt idx="71">
                  <c:v>192.84839865416504</c:v>
                </c:pt>
                <c:pt idx="72">
                  <c:v>190.29517183571159</c:v>
                </c:pt>
                <c:pt idx="73">
                  <c:v>187.80929434256774</c:v>
                </c:pt>
                <c:pt idx="74">
                  <c:v>185.38813608085047</c:v>
                </c:pt>
                <c:pt idx="75">
                  <c:v>183.0292021425044</c:v>
                </c:pt>
                <c:pt idx="76">
                  <c:v>180.73012422986972</c:v>
                </c:pt>
                <c:pt idx="77">
                  <c:v>178.48865272484576</c:v>
                </c:pt>
                <c:pt idx="78">
                  <c:v>176.30264934681989</c:v>
                </c:pt>
                <c:pt idx="79">
                  <c:v>174.17008034899317</c:v>
                </c:pt>
                <c:pt idx="80">
                  <c:v>172.0890102075974</c:v>
                </c:pt>
                <c:pt idx="81">
                  <c:v>170.05759576284143</c:v>
                </c:pt>
                <c:pt idx="82">
                  <c:v>168.07408077430799</c:v>
                </c:pt>
                <c:pt idx="83">
                  <c:v>166.13679085699624</c:v>
                </c:pt>
                <c:pt idx="84">
                  <c:v>164.24412876732012</c:v>
                </c:pt>
                <c:pt idx="85">
                  <c:v>162.39457001116918</c:v>
                </c:pt>
                <c:pt idx="86">
                  <c:v>160.58665874864991</c:v>
                </c:pt>
                <c:pt idx="87">
                  <c:v>158.81900397238655</c:v>
                </c:pt>
                <c:pt idx="88">
                  <c:v>157.09027593829671</c:v>
                </c:pt>
                <c:pt idx="89">
                  <c:v>155.39920282959557</c:v>
                </c:pt>
                <c:pt idx="90">
                  <c:v>153.7445676364386</c:v>
                </c:pt>
                <c:pt idx="91">
                  <c:v>152.12520523511509</c:v>
                </c:pt>
                <c:pt idx="92">
                  <c:v>150.53999965206083</c:v>
                </c:pt>
                <c:pt idx="93">
                  <c:v>148.98788149918798</c:v>
                </c:pt>
                <c:pt idx="94">
                  <c:v>147.46782556814725</c:v>
                </c:pt>
                <c:pt idx="95">
                  <c:v>145.97884857214834</c:v>
                </c:pt>
                <c:pt idx="96">
                  <c:v>144.52000702488675</c:v>
                </c:pt>
                <c:pt idx="97">
                  <c:v>143.09039524696323</c:v>
                </c:pt>
                <c:pt idx="98">
                  <c:v>141.68914349094229</c:v>
                </c:pt>
                <c:pt idx="99">
                  <c:v>140.31541617689518</c:v>
                </c:pt>
                <c:pt idx="100">
                  <c:v>138.96841023090536</c:v>
                </c:pt>
              </c:numCache>
            </c:numRef>
          </c:val>
          <c:smooth val="0"/>
          <c:extLst>
            <c:ext xmlns:c16="http://schemas.microsoft.com/office/drawing/2014/chart" uri="{C3380CC4-5D6E-409C-BE32-E72D297353CC}">
              <c16:uniqueId val="{00000002-8D54-466C-9E56-3B54C69CECB8}"/>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8D54-466C-9E56-3B54C69CECB8}"/>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8D54-466C-9E56-3B54C69CECB8}"/>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8D54-466C-9E56-3B54C69CECB8}"/>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11.429199855803537</c:v>
                </c:pt>
                <c:pt idx="2">
                  <c:v>34.287599567410609</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274.3089974105547</c:v>
                </c:pt>
                <c:pt idx="25">
                  <c:v>285.81873315363879</c:v>
                </c:pt>
                <c:pt idx="26">
                  <c:v>232.56778747425872</c:v>
                </c:pt>
                <c:pt idx="27">
                  <c:v>224.33868852390839</c:v>
                </c:pt>
                <c:pt idx="28">
                  <c:v>216.6718871445612</c:v>
                </c:pt>
                <c:pt idx="29">
                  <c:v>209.51165259458853</c:v>
                </c:pt>
                <c:pt idx="30">
                  <c:v>202.80938341866414</c:v>
                </c:pt>
                <c:pt idx="31">
                  <c:v>196.52250276996728</c:v>
                </c:pt>
                <c:pt idx="32">
                  <c:v>190.61355296115264</c:v>
                </c:pt>
                <c:pt idx="33">
                  <c:v>185.04944854792882</c:v>
                </c:pt>
                <c:pt idx="34">
                  <c:v>179.8008564802135</c:v>
                </c:pt>
                <c:pt idx="35">
                  <c:v>174.84167879628083</c:v>
                </c:pt>
                <c:pt idx="36">
                  <c:v>170.14861859970273</c:v>
                </c:pt>
                <c:pt idx="37">
                  <c:v>165.70081408520767</c:v>
                </c:pt>
                <c:pt idx="38">
                  <c:v>161.4795284830991</c:v>
                </c:pt>
                <c:pt idx="39">
                  <c:v>157.46788620176409</c:v>
                </c:pt>
                <c:pt idx="40">
                  <c:v>153.65064733213441</c:v>
                </c:pt>
                <c:pt idx="41">
                  <c:v>150.01401416107333</c:v>
                </c:pt>
                <c:pt idx="42">
                  <c:v>146.54546451528344</c:v>
                </c:pt>
                <c:pt idx="43">
                  <c:v>143.23360769314394</c:v>
                </c:pt>
                <c:pt idx="44">
                  <c:v>140.06805949164959</c:v>
                </c:pt>
                <c:pt idx="45">
                  <c:v>137.03933343954654</c:v>
                </c:pt>
                <c:pt idx="46">
                  <c:v>134.13874583669067</c:v>
                </c:pt>
                <c:pt idx="47">
                  <c:v>131.35833259742793</c:v>
                </c:pt>
                <c:pt idx="48">
                  <c:v>128.69077622090069</c:v>
                </c:pt>
                <c:pt idx="49">
                  <c:v>126.12934147808691</c:v>
                </c:pt>
                <c:pt idx="50">
                  <c:v>123.66781862542697</c:v>
                </c:pt>
                <c:pt idx="51">
                  <c:v>121.30047313705009</c:v>
                </c:pt>
                <c:pt idx="52">
                  <c:v>119.02200109899468</c:v>
                </c:pt>
                <c:pt idx="53">
                  <c:v>116.82748953509474</c:v>
                </c:pt>
                <c:pt idx="54">
                  <c:v>114.71238103991483</c:v>
                </c:pt>
                <c:pt idx="55">
                  <c:v>112.67244218292345</c:v>
                </c:pt>
                <c:pt idx="56">
                  <c:v>110.70373522294298</c:v>
                </c:pt>
                <c:pt idx="57">
                  <c:v>108.80259273520106</c:v>
                </c:pt>
                <c:pt idx="58">
                  <c:v>106.96559480698741</c:v>
                </c:pt>
                <c:pt idx="59">
                  <c:v>105.18954850358087</c:v>
                </c:pt>
                <c:pt idx="60">
                  <c:v>103.47146934506567</c:v>
                </c:pt>
                <c:pt idx="61">
                  <c:v>101.80856456798152</c:v>
                </c:pt>
                <c:pt idx="62">
                  <c:v>100.19821797433326</c:v>
                </c:pt>
                <c:pt idx="63">
                  <c:v>98.637976195069456</c:v>
                </c:pt>
                <c:pt idx="64">
                  <c:v>97.125536216328996</c:v>
                </c:pt>
                <c:pt idx="65">
                  <c:v>95.658734035068136</c:v>
                </c:pt>
                <c:pt idx="66">
                  <c:v>94.235534326545491</c:v>
                </c:pt>
                <c:pt idx="67">
                  <c:v>92.854021019911485</c:v>
                </c:pt>
                <c:pt idx="68">
                  <c:v>91.512388690134117</c:v>
                </c:pt>
                <c:pt idx="69">
                  <c:v>90.208934684938882</c:v>
                </c:pt>
                <c:pt idx="70">
                  <c:v>88.942051914570087</c:v>
                </c:pt>
                <c:pt idx="71">
                  <c:v>87.710222240171859</c:v>
                </c:pt>
                <c:pt idx="72">
                  <c:v>86.51201040359777</c:v>
                </c:pt>
                <c:pt idx="73">
                  <c:v>85.346058447617736</c:v>
                </c:pt>
                <c:pt idx="74">
                  <c:v>84.211080580915393</c:v>
                </c:pt>
                <c:pt idx="75">
                  <c:v>83.105858447052327</c:v>
                </c:pt>
                <c:pt idx="76">
                  <c:v>82.0292367608033</c:v>
                </c:pt>
                <c:pt idx="77">
                  <c:v>80.980119279005564</c:v>
                </c:pt>
                <c:pt idx="78">
                  <c:v>79.957465076382718</c:v>
                </c:pt>
                <c:pt idx="79">
                  <c:v>78.960285099747139</c:v>
                </c:pt>
                <c:pt idx="80">
                  <c:v>77.987638976603023</c:v>
                </c:pt>
                <c:pt idx="81">
                  <c:v>77.038632056503417</c:v>
                </c:pt>
                <c:pt idx="82">
                  <c:v>76.112412665595727</c:v>
                </c:pt>
                <c:pt idx="83">
                  <c:v>75.208169556645416</c:v>
                </c:pt>
                <c:pt idx="84">
                  <c:v>74.325129538491396</c:v>
                </c:pt>
                <c:pt idx="85">
                  <c:v>73.462555270372832</c:v>
                </c:pt>
                <c:pt idx="86">
                  <c:v>72.619743207903696</c:v>
                </c:pt>
                <c:pt idx="87">
                  <c:v>71.796021688667707</c:v>
                </c:pt>
                <c:pt idx="88">
                  <c:v>70.990749146486451</c:v>
                </c:pt>
                <c:pt idx="89">
                  <c:v>70.203312444381481</c:v>
                </c:pt>
                <c:pt idx="90">
                  <c:v>69.433125317128031</c:v>
                </c:pt>
                <c:pt idx="91">
                  <c:v>68.679626915085294</c:v>
                </c:pt>
                <c:pt idx="92">
                  <c:v>67.942280441702593</c:v>
                </c:pt>
                <c:pt idx="93">
                  <c:v>67.220571877745584</c:v>
                </c:pt>
                <c:pt idx="94">
                  <c:v>66.514008785870146</c:v>
                </c:pt>
                <c:pt idx="95">
                  <c:v>65.822119189702221</c:v>
                </c:pt>
                <c:pt idx="96">
                  <c:v>65.144450522061419</c:v>
                </c:pt>
                <c:pt idx="97">
                  <c:v>64.480568637402797</c:v>
                </c:pt>
                <c:pt idx="98">
                  <c:v>63.830056883949005</c:v>
                </c:pt>
                <c:pt idx="99">
                  <c:v>63.192515231345197</c:v>
                </c:pt>
                <c:pt idx="100">
                  <c:v>62.567559449998939</c:v>
                </c:pt>
              </c:numCache>
            </c:numRef>
          </c:val>
          <c:smooth val="0"/>
          <c:extLst>
            <c:ext xmlns:c16="http://schemas.microsoft.com/office/drawing/2014/chart" uri="{C3380CC4-5D6E-409C-BE32-E72D297353CC}">
              <c16:uniqueId val="{00000006-8D54-466C-9E56-3B54C69CECB8}"/>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11.429199855803537</c:v>
                </c:pt>
                <c:pt idx="2">
                  <c:v>22.858399711607074</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274.30079653928487</c:v>
                </c:pt>
                <c:pt idx="25">
                  <c:v>285.72999639508845</c:v>
                </c:pt>
                <c:pt idx="26">
                  <c:v>297.15919625089202</c:v>
                </c:pt>
                <c:pt idx="27">
                  <c:v>308.58839610669554</c:v>
                </c:pt>
                <c:pt idx="28">
                  <c:v>320.01759596249912</c:v>
                </c:pt>
                <c:pt idx="29">
                  <c:v>331.44679581830258</c:v>
                </c:pt>
                <c:pt idx="30">
                  <c:v>342.87599567410615</c:v>
                </c:pt>
                <c:pt idx="31">
                  <c:v>350</c:v>
                </c:pt>
                <c:pt idx="32">
                  <c:v>350</c:v>
                </c:pt>
                <c:pt idx="33">
                  <c:v>350</c:v>
                </c:pt>
                <c:pt idx="34">
                  <c:v>350</c:v>
                </c:pt>
                <c:pt idx="35">
                  <c:v>350</c:v>
                </c:pt>
                <c:pt idx="36">
                  <c:v>350</c:v>
                </c:pt>
                <c:pt idx="37">
                  <c:v>342.06488767918432</c:v>
                </c:pt>
                <c:pt idx="38">
                  <c:v>333.70459934951435</c:v>
                </c:pt>
                <c:pt idx="39">
                  <c:v>325.74525604945364</c:v>
                </c:pt>
                <c:pt idx="40">
                  <c:v>318.15869036820658</c:v>
                </c:pt>
                <c:pt idx="41">
                  <c:v>310.91931296617906</c:v>
                </c:pt>
                <c:pt idx="42">
                  <c:v>304.00382421996932</c:v>
                </c:pt>
                <c:pt idx="43">
                  <c:v>297.39096372323814</c:v>
                </c:pt>
                <c:pt idx="44">
                  <c:v>291.06129196949996</c:v>
                </c:pt>
                <c:pt idx="45">
                  <c:v>284.99699949442766</c:v>
                </c:pt>
                <c:pt idx="46">
                  <c:v>279.18173953096613</c:v>
                </c:pt>
                <c:pt idx="47">
                  <c:v>273.60048086579883</c:v>
                </c:pt>
                <c:pt idx="48">
                  <c:v>268.23937810819172</c:v>
                </c:pt>
                <c:pt idx="49">
                  <c:v>263.08565701378342</c:v>
                </c:pt>
                <c:pt idx="50">
                  <c:v>258.12751286372651</c:v>
                </c:pt>
                <c:pt idx="51">
                  <c:v>253.35402019746516</c:v>
                </c:pt>
                <c:pt idx="52">
                  <c:v>248.75505244629659</c:v>
                </c:pt>
                <c:pt idx="53">
                  <c:v>244.32121022352055</c:v>
                </c:pt>
                <c:pt idx="54">
                  <c:v>240.04375720252227</c:v>
                </c:pt>
                <c:pt idx="55">
                  <c:v>235.91456266228909</c:v>
                </c:pt>
                <c:pt idx="56">
                  <c:v>231.92604990530967</c:v>
                </c:pt>
                <c:pt idx="57">
                  <c:v>228.07114985933745</c:v>
                </c:pt>
                <c:pt idx="58">
                  <c:v>224.34325926523704</c:v>
                </c:pt>
                <c:pt idx="59">
                  <c:v>220.73620293064033</c:v>
                </c:pt>
                <c:pt idx="60">
                  <c:v>217.24419959551605</c:v>
                </c:pt>
                <c:pt idx="61">
                  <c:v>213.86183101275699</c:v>
                </c:pt>
                <c:pt idx="62">
                  <c:v>210.58401389596526</c:v>
                </c:pt>
                <c:pt idx="63">
                  <c:v>207.40597442896319</c:v>
                </c:pt>
                <c:pt idx="64">
                  <c:v>204.32322506819628</c:v>
                </c:pt>
                <c:pt idx="65">
                  <c:v>201.33154340095973</c:v>
                </c:pt>
                <c:pt idx="66">
                  <c:v>198.4269528499849</c:v>
                </c:pt>
                <c:pt idx="67">
                  <c:v>195.60570503896437</c:v>
                </c:pt>
                <c:pt idx="68">
                  <c:v>192.8642636545724</c:v>
                </c:pt>
                <c:pt idx="69">
                  <c:v>190.19928965888562</c:v>
                </c:pt>
                <c:pt idx="70">
                  <c:v>187.60762772218555</c:v>
                </c:pt>
                <c:pt idx="71">
                  <c:v>185.08629376023586</c:v>
                </c:pt>
                <c:pt idx="72">
                  <c:v>182.63246347253965</c:v>
                </c:pt>
                <c:pt idx="73">
                  <c:v>180.24346178902127</c:v>
                </c:pt>
                <c:pt idx="74">
                  <c:v>177.91675314222667</c:v>
                </c:pt>
                <c:pt idx="75">
                  <c:v>175.6499324906768</c:v>
                </c:pt>
                <c:pt idx="76">
                  <c:v>173.44071702656302</c:v>
                </c:pt>
                <c:pt idx="77">
                  <c:v>171.2869385076819</c:v>
                </c:pt>
                <c:pt idx="78">
                  <c:v>169.18653615946567</c:v>
                </c:pt>
                <c:pt idx="79">
                  <c:v>167.13755009826284</c:v>
                </c:pt>
                <c:pt idx="80">
                  <c:v>165.13811523175173</c:v>
                </c:pt>
                <c:pt idx="81">
                  <c:v>163.18645559658401</c:v>
                </c:pt>
                <c:pt idx="82">
                  <c:v>161.28087909712528</c:v>
                </c:pt>
                <c:pt idx="83">
                  <c:v>159.41977261253166</c:v>
                </c:pt>
                <c:pt idx="84">
                  <c:v>157.6015974424256</c:v>
                </c:pt>
                <c:pt idx="85">
                  <c:v>155.82488506414447</c:v>
                </c:pt>
                <c:pt idx="86">
                  <c:v>154.08823317697494</c:v>
                </c:pt>
                <c:pt idx="87">
                  <c:v>152.39030201097813</c:v>
                </c:pt>
                <c:pt idx="88">
                  <c:v>150.72981087998585</c:v>
                </c:pt>
                <c:pt idx="89">
                  <c:v>149.10553496012835</c:v>
                </c:pt>
                <c:pt idx="90">
                  <c:v>147.51630227686624</c:v>
                </c:pt>
                <c:pt idx="91">
                  <c:v>145.96099088494722</c:v>
                </c:pt>
                <c:pt idx="92">
                  <c:v>144.43852622703079</c:v>
                </c:pt>
                <c:pt idx="93">
                  <c:v>142.94787865790977</c:v>
                </c:pt>
                <c:pt idx="94">
                  <c:v>141.48806112234396</c:v>
                </c:pt>
                <c:pt idx="95">
                  <c:v>140.05812697549882</c:v>
                </c:pt>
                <c:pt idx="96">
                  <c:v>138.65716793587632</c:v>
                </c:pt>
                <c:pt idx="97">
                  <c:v>137.28431216143551</c:v>
                </c:pt>
                <c:pt idx="98">
                  <c:v>135.93872244034034</c:v>
                </c:pt>
                <c:pt idx="99">
                  <c:v>134.61959448844425</c:v>
                </c:pt>
                <c:pt idx="100">
                  <c:v>133.32615534623773</c:v>
                </c:pt>
              </c:numCache>
            </c:numRef>
          </c:val>
          <c:smooth val="0"/>
          <c:extLst>
            <c:ext xmlns:c16="http://schemas.microsoft.com/office/drawing/2014/chart" uri="{C3380CC4-5D6E-409C-BE32-E72D297353CC}">
              <c16:uniqueId val="{00000007-8D54-466C-9E56-3B54C69CECB8}"/>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11.428097574347452</c:v>
                </c:pt>
                <c:pt idx="2">
                  <c:v>22.856195148694905</c:v>
                </c:pt>
                <c:pt idx="3">
                  <c:v>34.284292723042356</c:v>
                </c:pt>
                <c:pt idx="4">
                  <c:v>45.71239029738981</c:v>
                </c:pt>
                <c:pt idx="5">
                  <c:v>57.140487871737257</c:v>
                </c:pt>
                <c:pt idx="6">
                  <c:v>68.568585446084711</c:v>
                </c:pt>
                <c:pt idx="7">
                  <c:v>79.996683020432158</c:v>
                </c:pt>
                <c:pt idx="8">
                  <c:v>91.424780594779619</c:v>
                </c:pt>
                <c:pt idx="9">
                  <c:v>102.85287816912705</c:v>
                </c:pt>
                <c:pt idx="10">
                  <c:v>114.28097574347451</c:v>
                </c:pt>
                <c:pt idx="11">
                  <c:v>125.70907331782196</c:v>
                </c:pt>
                <c:pt idx="12">
                  <c:v>137.13717089216942</c:v>
                </c:pt>
                <c:pt idx="13">
                  <c:v>148.56526846651687</c:v>
                </c:pt>
                <c:pt idx="14">
                  <c:v>159.99336604086432</c:v>
                </c:pt>
                <c:pt idx="15">
                  <c:v>171.42146361521176</c:v>
                </c:pt>
                <c:pt idx="16">
                  <c:v>182.84956118955924</c:v>
                </c:pt>
                <c:pt idx="17">
                  <c:v>194.27765876390671</c:v>
                </c:pt>
                <c:pt idx="18">
                  <c:v>205.7057563382541</c:v>
                </c:pt>
                <c:pt idx="19">
                  <c:v>217.13385391260158</c:v>
                </c:pt>
                <c:pt idx="20">
                  <c:v>228.56195148694903</c:v>
                </c:pt>
                <c:pt idx="21">
                  <c:v>239.99004906129645</c:v>
                </c:pt>
                <c:pt idx="22">
                  <c:v>251.41814663564392</c:v>
                </c:pt>
                <c:pt idx="23">
                  <c:v>262.84624420999143</c:v>
                </c:pt>
                <c:pt idx="24">
                  <c:v>274.27434178433884</c:v>
                </c:pt>
                <c:pt idx="25">
                  <c:v>285.70243935868626</c:v>
                </c:pt>
                <c:pt idx="26">
                  <c:v>297.13053693303374</c:v>
                </c:pt>
                <c:pt idx="27">
                  <c:v>308.55863450738116</c:v>
                </c:pt>
                <c:pt idx="28">
                  <c:v>319.98673208172863</c:v>
                </c:pt>
                <c:pt idx="29">
                  <c:v>331.41482965607605</c:v>
                </c:pt>
                <c:pt idx="30">
                  <c:v>342.84292723042353</c:v>
                </c:pt>
                <c:pt idx="31">
                  <c:v>350</c:v>
                </c:pt>
                <c:pt idx="32">
                  <c:v>350</c:v>
                </c:pt>
                <c:pt idx="33">
                  <c:v>350</c:v>
                </c:pt>
                <c:pt idx="34">
                  <c:v>350</c:v>
                </c:pt>
                <c:pt idx="35">
                  <c:v>350</c:v>
                </c:pt>
                <c:pt idx="36">
                  <c:v>350</c:v>
                </c:pt>
                <c:pt idx="37">
                  <c:v>350</c:v>
                </c:pt>
                <c:pt idx="38">
                  <c:v>347.29031336183277</c:v>
                </c:pt>
                <c:pt idx="39">
                  <c:v>339.02193511536296</c:v>
                </c:pt>
                <c:pt idx="40">
                  <c:v>331.14710888171953</c:v>
                </c:pt>
                <c:pt idx="41">
                  <c:v>323.6316884370118</c:v>
                </c:pt>
                <c:pt idx="42">
                  <c:v>316.45161802002781</c:v>
                </c:pt>
                <c:pt idx="43">
                  <c:v>309.58494181966313</c:v>
                </c:pt>
                <c:pt idx="44">
                  <c:v>303.01157972471009</c:v>
                </c:pt>
                <c:pt idx="45">
                  <c:v>296.71313120950413</c:v>
                </c:pt>
                <c:pt idx="46">
                  <c:v>290.67270332132875</c:v>
                </c:pt>
                <c:pt idx="47">
                  <c:v>284.87475938325167</c:v>
                </c:pt>
                <c:pt idx="48">
                  <c:v>279.30498555911231</c:v>
                </c:pt>
                <c:pt idx="49">
                  <c:v>273.9501728678668</c:v>
                </c:pt>
                <c:pt idx="50">
                  <c:v>268.79811259991232</c:v>
                </c:pt>
                <c:pt idx="51">
                  <c:v>263.83750339234251</c:v>
                </c:pt>
                <c:pt idx="52">
                  <c:v>259.05786847443676</c:v>
                </c:pt>
                <c:pt idx="53">
                  <c:v>254.44948180804505</c:v>
                </c:pt>
                <c:pt idx="54">
                  <c:v>250.00330202707954</c:v>
                </c:pt>
                <c:pt idx="55">
                  <c:v>245.71091323193824</c:v>
                </c:pt>
                <c:pt idx="56">
                  <c:v>241.5644718230981</c:v>
                </c:pt>
                <c:pt idx="57">
                  <c:v>237.55665866720429</c:v>
                </c:pt>
                <c:pt idx="58">
                  <c:v>233.68063598193595</c:v>
                </c:pt>
                <c:pt idx="59">
                  <c:v>229.93000840534623</c:v>
                </c:pt>
                <c:pt idx="60">
                  <c:v>226.29878778341359</c:v>
                </c:pt>
                <c:pt idx="61">
                  <c:v>222.7813612679891</c:v>
                </c:pt>
                <c:pt idx="62">
                  <c:v>219.37246236765296</c:v>
                </c:pt>
                <c:pt idx="63">
                  <c:v>216.06714463744603</c:v>
                </c:pt>
                <c:pt idx="64">
                  <c:v>212.86075773103443</c:v>
                </c:pt>
                <c:pt idx="65">
                  <c:v>209.74892557147845</c:v>
                </c:pt>
                <c:pt idx="66">
                  <c:v>206.7275264251152</c:v>
                </c:pt>
                <c:pt idx="67">
                  <c:v>203.79267468775902</c:v>
                </c:pt>
                <c:pt idx="68">
                  <c:v>200.94070421397345</c:v>
                </c:pt>
                <c:pt idx="69">
                  <c:v>198.16815303902263</c:v>
                </c:pt>
                <c:pt idx="70">
                  <c:v>195.47174935962721</c:v>
                </c:pt>
                <c:pt idx="71">
                  <c:v>192.84839865416504</c:v>
                </c:pt>
                <c:pt idx="72">
                  <c:v>190.29517183571159</c:v>
                </c:pt>
                <c:pt idx="73">
                  <c:v>187.80929434256774</c:v>
                </c:pt>
                <c:pt idx="74">
                  <c:v>185.38813608085047</c:v>
                </c:pt>
                <c:pt idx="75">
                  <c:v>183.0292021425044</c:v>
                </c:pt>
                <c:pt idx="76">
                  <c:v>180.73012422986972</c:v>
                </c:pt>
                <c:pt idx="77">
                  <c:v>178.48865272484576</c:v>
                </c:pt>
                <c:pt idx="78">
                  <c:v>176.30264934681989</c:v>
                </c:pt>
                <c:pt idx="79">
                  <c:v>174.17008034899317</c:v>
                </c:pt>
                <c:pt idx="80">
                  <c:v>172.0890102075974</c:v>
                </c:pt>
                <c:pt idx="81">
                  <c:v>170.05759576284143</c:v>
                </c:pt>
                <c:pt idx="82">
                  <c:v>168.07408077430799</c:v>
                </c:pt>
                <c:pt idx="83">
                  <c:v>166.13679085699624</c:v>
                </c:pt>
                <c:pt idx="84">
                  <c:v>164.24412876732012</c:v>
                </c:pt>
                <c:pt idx="85">
                  <c:v>162.39457001116918</c:v>
                </c:pt>
                <c:pt idx="86">
                  <c:v>160.58665874864991</c:v>
                </c:pt>
                <c:pt idx="87">
                  <c:v>158.81900397238655</c:v>
                </c:pt>
                <c:pt idx="88">
                  <c:v>157.09027593829671</c:v>
                </c:pt>
                <c:pt idx="89">
                  <c:v>155.39920282959557</c:v>
                </c:pt>
                <c:pt idx="90">
                  <c:v>153.7445676364386</c:v>
                </c:pt>
                <c:pt idx="91">
                  <c:v>152.12520523511509</c:v>
                </c:pt>
                <c:pt idx="92">
                  <c:v>150.53999965206083</c:v>
                </c:pt>
                <c:pt idx="93">
                  <c:v>148.98788149918798</c:v>
                </c:pt>
                <c:pt idx="94">
                  <c:v>147.46782556814725</c:v>
                </c:pt>
                <c:pt idx="95">
                  <c:v>145.97884857214834</c:v>
                </c:pt>
                <c:pt idx="96">
                  <c:v>144.52000702488675</c:v>
                </c:pt>
                <c:pt idx="97">
                  <c:v>143.09039524696323</c:v>
                </c:pt>
                <c:pt idx="98">
                  <c:v>141.68914349094229</c:v>
                </c:pt>
                <c:pt idx="99">
                  <c:v>140.31541617689518</c:v>
                </c:pt>
                <c:pt idx="100">
                  <c:v>138.96841023090536</c:v>
                </c:pt>
              </c:numCache>
            </c:numRef>
          </c:val>
          <c:smooth val="0"/>
          <c:extLst>
            <c:ext xmlns:c16="http://schemas.microsoft.com/office/drawing/2014/chart" uri="{C3380CC4-5D6E-409C-BE32-E72D297353CC}">
              <c16:uniqueId val="{00000008-8D54-466C-9E56-3B54C69CECB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8D54-466C-9E56-3B54C69CECB8}"/>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8D54-466C-9E56-3B54C69CECB8}"/>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8D54-466C-9E56-3B54C69CECB8}"/>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zh-CN"/>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zh-CN"/>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9</c:v>
                </c:pt>
                <c:pt idx="1">
                  <c:v>9.51</c:v>
                </c:pt>
                <c:pt idx="2">
                  <c:v>10.02</c:v>
                </c:pt>
                <c:pt idx="3">
                  <c:v>10.53</c:v>
                </c:pt>
                <c:pt idx="4">
                  <c:v>11.04</c:v>
                </c:pt>
                <c:pt idx="5">
                  <c:v>11.55</c:v>
                </c:pt>
                <c:pt idx="6">
                  <c:v>12.06</c:v>
                </c:pt>
                <c:pt idx="7">
                  <c:v>12.57</c:v>
                </c:pt>
                <c:pt idx="8">
                  <c:v>13.08</c:v>
                </c:pt>
                <c:pt idx="9">
                  <c:v>13.59</c:v>
                </c:pt>
                <c:pt idx="10">
                  <c:v>14.100000000000001</c:v>
                </c:pt>
                <c:pt idx="11">
                  <c:v>14.61</c:v>
                </c:pt>
                <c:pt idx="12">
                  <c:v>15.120000000000001</c:v>
                </c:pt>
                <c:pt idx="13">
                  <c:v>15.629999999999999</c:v>
                </c:pt>
                <c:pt idx="14">
                  <c:v>16.14</c:v>
                </c:pt>
                <c:pt idx="15">
                  <c:v>16.649999999999999</c:v>
                </c:pt>
                <c:pt idx="16">
                  <c:v>17.16</c:v>
                </c:pt>
                <c:pt idx="17">
                  <c:v>17.670000000000002</c:v>
                </c:pt>
                <c:pt idx="18">
                  <c:v>18.18</c:v>
                </c:pt>
                <c:pt idx="19">
                  <c:v>18.689999999999998</c:v>
                </c:pt>
                <c:pt idx="20">
                  <c:v>19.200000000000003</c:v>
                </c:pt>
                <c:pt idx="21">
                  <c:v>19.71</c:v>
                </c:pt>
                <c:pt idx="22">
                  <c:v>20.22</c:v>
                </c:pt>
                <c:pt idx="23">
                  <c:v>20.73</c:v>
                </c:pt>
                <c:pt idx="24">
                  <c:v>21.240000000000002</c:v>
                </c:pt>
                <c:pt idx="25">
                  <c:v>21.75</c:v>
                </c:pt>
                <c:pt idx="26">
                  <c:v>22.259999999999998</c:v>
                </c:pt>
                <c:pt idx="27">
                  <c:v>22.770000000000003</c:v>
                </c:pt>
                <c:pt idx="28">
                  <c:v>23.28</c:v>
                </c:pt>
                <c:pt idx="29">
                  <c:v>23.79</c:v>
                </c:pt>
                <c:pt idx="30">
                  <c:v>24.299999999999997</c:v>
                </c:pt>
                <c:pt idx="31">
                  <c:v>24.810000000000002</c:v>
                </c:pt>
                <c:pt idx="32">
                  <c:v>25.32</c:v>
                </c:pt>
                <c:pt idx="33">
                  <c:v>25.830000000000002</c:v>
                </c:pt>
                <c:pt idx="34">
                  <c:v>26.34</c:v>
                </c:pt>
                <c:pt idx="35">
                  <c:v>26.849999999999998</c:v>
                </c:pt>
                <c:pt idx="36">
                  <c:v>27.36</c:v>
                </c:pt>
                <c:pt idx="37">
                  <c:v>27.87</c:v>
                </c:pt>
                <c:pt idx="38">
                  <c:v>28.38</c:v>
                </c:pt>
                <c:pt idx="39">
                  <c:v>28.89</c:v>
                </c:pt>
                <c:pt idx="40">
                  <c:v>29.400000000000002</c:v>
                </c:pt>
                <c:pt idx="41">
                  <c:v>29.91</c:v>
                </c:pt>
                <c:pt idx="42">
                  <c:v>30.419999999999998</c:v>
                </c:pt>
                <c:pt idx="43">
                  <c:v>30.93</c:v>
                </c:pt>
                <c:pt idx="44">
                  <c:v>31.44</c:v>
                </c:pt>
                <c:pt idx="45">
                  <c:v>31.95</c:v>
                </c:pt>
                <c:pt idx="46">
                  <c:v>32.46</c:v>
                </c:pt>
                <c:pt idx="47">
                  <c:v>32.97</c:v>
                </c:pt>
                <c:pt idx="48">
                  <c:v>33.480000000000004</c:v>
                </c:pt>
                <c:pt idx="49">
                  <c:v>33.989999999999995</c:v>
                </c:pt>
                <c:pt idx="50">
                  <c:v>34.5</c:v>
                </c:pt>
                <c:pt idx="51">
                  <c:v>35.010000000000005</c:v>
                </c:pt>
                <c:pt idx="52">
                  <c:v>35.519999999999996</c:v>
                </c:pt>
                <c:pt idx="53">
                  <c:v>36.03</c:v>
                </c:pt>
                <c:pt idx="54">
                  <c:v>36.540000000000006</c:v>
                </c:pt>
                <c:pt idx="55">
                  <c:v>37.049999999999997</c:v>
                </c:pt>
                <c:pt idx="56">
                  <c:v>37.56</c:v>
                </c:pt>
                <c:pt idx="57">
                  <c:v>38.069999999999993</c:v>
                </c:pt>
                <c:pt idx="58">
                  <c:v>38.58</c:v>
                </c:pt>
                <c:pt idx="59">
                  <c:v>39.090000000000003</c:v>
                </c:pt>
                <c:pt idx="60">
                  <c:v>39.599999999999994</c:v>
                </c:pt>
                <c:pt idx="61">
                  <c:v>40.11</c:v>
                </c:pt>
                <c:pt idx="62">
                  <c:v>40.620000000000005</c:v>
                </c:pt>
                <c:pt idx="63">
                  <c:v>41.13</c:v>
                </c:pt>
                <c:pt idx="64">
                  <c:v>41.64</c:v>
                </c:pt>
                <c:pt idx="65">
                  <c:v>42.15</c:v>
                </c:pt>
                <c:pt idx="66">
                  <c:v>42.660000000000004</c:v>
                </c:pt>
                <c:pt idx="67">
                  <c:v>43.17</c:v>
                </c:pt>
                <c:pt idx="68">
                  <c:v>43.68</c:v>
                </c:pt>
                <c:pt idx="69">
                  <c:v>44.19</c:v>
                </c:pt>
                <c:pt idx="70">
                  <c:v>44.699999999999996</c:v>
                </c:pt>
                <c:pt idx="71">
                  <c:v>45.21</c:v>
                </c:pt>
                <c:pt idx="72">
                  <c:v>45.72</c:v>
                </c:pt>
                <c:pt idx="73">
                  <c:v>46.23</c:v>
                </c:pt>
                <c:pt idx="74">
                  <c:v>46.74</c:v>
                </c:pt>
                <c:pt idx="75">
                  <c:v>47.25</c:v>
                </c:pt>
                <c:pt idx="76">
                  <c:v>47.76</c:v>
                </c:pt>
                <c:pt idx="77">
                  <c:v>48.27</c:v>
                </c:pt>
                <c:pt idx="78">
                  <c:v>48.78</c:v>
                </c:pt>
                <c:pt idx="79">
                  <c:v>49.29</c:v>
                </c:pt>
                <c:pt idx="80">
                  <c:v>49.800000000000004</c:v>
                </c:pt>
                <c:pt idx="81">
                  <c:v>50.31</c:v>
                </c:pt>
                <c:pt idx="82">
                  <c:v>50.82</c:v>
                </c:pt>
                <c:pt idx="83">
                  <c:v>51.33</c:v>
                </c:pt>
                <c:pt idx="84">
                  <c:v>51.839999999999996</c:v>
                </c:pt>
                <c:pt idx="85">
                  <c:v>52.35</c:v>
                </c:pt>
                <c:pt idx="86">
                  <c:v>52.86</c:v>
                </c:pt>
                <c:pt idx="87">
                  <c:v>53.37</c:v>
                </c:pt>
                <c:pt idx="88">
                  <c:v>53.88</c:v>
                </c:pt>
                <c:pt idx="89">
                  <c:v>54.39</c:v>
                </c:pt>
                <c:pt idx="90">
                  <c:v>54.9</c:v>
                </c:pt>
                <c:pt idx="91">
                  <c:v>55.410000000000004</c:v>
                </c:pt>
                <c:pt idx="92">
                  <c:v>55.92</c:v>
                </c:pt>
                <c:pt idx="93">
                  <c:v>56.43</c:v>
                </c:pt>
                <c:pt idx="94">
                  <c:v>56.94</c:v>
                </c:pt>
                <c:pt idx="95">
                  <c:v>57.449999999999996</c:v>
                </c:pt>
                <c:pt idx="96">
                  <c:v>57.96</c:v>
                </c:pt>
                <c:pt idx="97">
                  <c:v>58.47</c:v>
                </c:pt>
                <c:pt idx="98">
                  <c:v>58.98</c:v>
                </c:pt>
                <c:pt idx="99">
                  <c:v>59.49</c:v>
                </c:pt>
                <c:pt idx="100">
                  <c:v>60</c:v>
                </c:pt>
              </c:numCache>
            </c:numRef>
          </c:xVal>
          <c:yVal>
            <c:numRef>
              <c:f>'Fsw vs VIN'!$M$6:$M$106</c:f>
              <c:numCache>
                <c:formatCode>0.0</c:formatCode>
                <c:ptCount val="101"/>
                <c:pt idx="0">
                  <c:v>208.33333333333334</c:v>
                </c:pt>
                <c:pt idx="1">
                  <c:v>212.60898725687457</c:v>
                </c:pt>
                <c:pt idx="2">
                  <c:v>216.60181582360568</c:v>
                </c:pt>
                <c:pt idx="3">
                  <c:v>220.33898305084745</c:v>
                </c:pt>
                <c:pt idx="4">
                  <c:v>223.84428223844282</c:v>
                </c:pt>
                <c:pt idx="5">
                  <c:v>227.13864306784663</c:v>
                </c:pt>
                <c:pt idx="6">
                  <c:v>230.2405498281787</c:v>
                </c:pt>
                <c:pt idx="7">
                  <c:v>233.16638842515306</c:v>
                </c:pt>
                <c:pt idx="8">
                  <c:v>235.93073593073595</c:v>
                </c:pt>
                <c:pt idx="9">
                  <c:v>238.54660347551342</c:v>
                </c:pt>
                <c:pt idx="10">
                  <c:v>241.02564102564105</c:v>
                </c:pt>
                <c:pt idx="11">
                  <c:v>243.37831084457773</c:v>
                </c:pt>
                <c:pt idx="12">
                  <c:v>245.61403508771932</c:v>
                </c:pt>
                <c:pt idx="13">
                  <c:v>247.74132192106512</c:v>
                </c:pt>
                <c:pt idx="14">
                  <c:v>249.76787372330548</c:v>
                </c:pt>
                <c:pt idx="15">
                  <c:v>251.70068027210885</c:v>
                </c:pt>
                <c:pt idx="16">
                  <c:v>253.54609929078015</c:v>
                </c:pt>
                <c:pt idx="17">
                  <c:v>255.30992631122669</c:v>
                </c:pt>
                <c:pt idx="18">
                  <c:v>256.99745547073792</c:v>
                </c:pt>
                <c:pt idx="19">
                  <c:v>258.61353258613531</c:v>
                </c:pt>
                <c:pt idx="20">
                  <c:v>260.16260162601628</c:v>
                </c:pt>
                <c:pt idx="21">
                  <c:v>261.64874551971332</c:v>
                </c:pt>
                <c:pt idx="22">
                  <c:v>263.07572209211554</c:v>
                </c:pt>
                <c:pt idx="23">
                  <c:v>264.44699579027935</c:v>
                </c:pt>
                <c:pt idx="24">
                  <c:v>265.76576576576576</c:v>
                </c:pt>
                <c:pt idx="25">
                  <c:v>267.03499079189686</c:v>
                </c:pt>
                <c:pt idx="26">
                  <c:v>268.25741142443962</c:v>
                </c:pt>
                <c:pt idx="27">
                  <c:v>269.43556975505857</c:v>
                </c:pt>
                <c:pt idx="28">
                  <c:v>270.5718270571827</c:v>
                </c:pt>
                <c:pt idx="29">
                  <c:v>271.66837958204866</c:v>
                </c:pt>
                <c:pt idx="30">
                  <c:v>272.72727272727269</c:v>
                </c:pt>
                <c:pt idx="31">
                  <c:v>273.75041377027475</c:v>
                </c:pt>
                <c:pt idx="32">
                  <c:v>274.73958333333331</c:v>
                </c:pt>
                <c:pt idx="33">
                  <c:v>275.69644572526414</c:v>
                </c:pt>
                <c:pt idx="34">
                  <c:v>276.62255828607437</c:v>
                </c:pt>
                <c:pt idx="35">
                  <c:v>277.51937984496124</c:v>
                </c:pt>
                <c:pt idx="36">
                  <c:v>278.38827838827842</c:v>
                </c:pt>
                <c:pt idx="37">
                  <c:v>279.23053802224223</c:v>
                </c:pt>
                <c:pt idx="38">
                  <c:v>280.04736530491414</c:v>
                </c:pt>
                <c:pt idx="39">
                  <c:v>280.83989501312334</c:v>
                </c:pt>
                <c:pt idx="40">
                  <c:v>281.60919540229884</c:v>
                </c:pt>
                <c:pt idx="41">
                  <c:v>282.35627301047862</c:v>
                </c:pt>
                <c:pt idx="42">
                  <c:v>283.08207705192626</c:v>
                </c:pt>
                <c:pt idx="43">
                  <c:v>283.78750344068266</c:v>
                </c:pt>
                <c:pt idx="44">
                  <c:v>284.47339847991316</c:v>
                </c:pt>
                <c:pt idx="45">
                  <c:v>285.14056224899599</c:v>
                </c:pt>
                <c:pt idx="46">
                  <c:v>285.78975171685158</c:v>
                </c:pt>
                <c:pt idx="47">
                  <c:v>286.42168360698463</c:v>
                </c:pt>
                <c:pt idx="48">
                  <c:v>287.03703703703701</c:v>
                </c:pt>
                <c:pt idx="49">
                  <c:v>287.63645595328762</c:v>
                </c:pt>
                <c:pt idx="50">
                  <c:v>288.22055137844609</c:v>
                </c:pt>
                <c:pt idx="51">
                  <c:v>288.78990348923531</c:v>
                </c:pt>
                <c:pt idx="52">
                  <c:v>289.34506353861195</c:v>
                </c:pt>
                <c:pt idx="53">
                  <c:v>289.88655563601253</c:v>
                </c:pt>
                <c:pt idx="54">
                  <c:v>290.41487839771099</c:v>
                </c:pt>
                <c:pt idx="55">
                  <c:v>290.93050647820968</c:v>
                </c:pt>
                <c:pt idx="56">
                  <c:v>291.4338919925512</c:v>
                </c:pt>
                <c:pt idx="57">
                  <c:v>291.9254658385093</c:v>
                </c:pt>
                <c:pt idx="58">
                  <c:v>292.40563892678489</c:v>
                </c:pt>
                <c:pt idx="59">
                  <c:v>292.87480332659027</c:v>
                </c:pt>
                <c:pt idx="60">
                  <c:v>293.33333333333331</c:v>
                </c:pt>
                <c:pt idx="61">
                  <c:v>293.78158646451328</c:v>
                </c:pt>
                <c:pt idx="62">
                  <c:v>294.21990438939594</c:v>
                </c:pt>
                <c:pt idx="63">
                  <c:v>294.64861379754996</c:v>
                </c:pt>
                <c:pt idx="64">
                  <c:v>295.0680272108844</c:v>
                </c:pt>
                <c:pt idx="65">
                  <c:v>295.47844374342799</c:v>
                </c:pt>
                <c:pt idx="66">
                  <c:v>295.88014981273409</c:v>
                </c:pt>
                <c:pt idx="67">
                  <c:v>296.27341980646486</c:v>
                </c:pt>
                <c:pt idx="68">
                  <c:v>296.65851670741642</c:v>
                </c:pt>
                <c:pt idx="69">
                  <c:v>297.0356926799758</c:v>
                </c:pt>
                <c:pt idx="70">
                  <c:v>297.40518962075845</c:v>
                </c:pt>
                <c:pt idx="71">
                  <c:v>297.76723967595336</c:v>
                </c:pt>
                <c:pt idx="72">
                  <c:v>298.12206572769952</c:v>
                </c:pt>
                <c:pt idx="73">
                  <c:v>298.46988185163661</c:v>
                </c:pt>
                <c:pt idx="74">
                  <c:v>298.81089374760262</c:v>
                </c:pt>
                <c:pt idx="75">
                  <c:v>299.14529914529913</c:v>
                </c:pt>
                <c:pt idx="76">
                  <c:v>299.47328818660645</c:v>
                </c:pt>
                <c:pt idx="77">
                  <c:v>299.79504378610028</c:v>
                </c:pt>
                <c:pt idx="78">
                  <c:v>300.11074197120706</c:v>
                </c:pt>
                <c:pt idx="79">
                  <c:v>300.42055220332787</c:v>
                </c:pt>
                <c:pt idx="80">
                  <c:v>300.72463768115944</c:v>
                </c:pt>
                <c:pt idx="81">
                  <c:v>301.023155627356</c:v>
                </c:pt>
                <c:pt idx="82">
                  <c:v>301.31625755958737</c:v>
                </c:pt>
                <c:pt idx="83">
                  <c:v>301.60408954697692</c:v>
                </c:pt>
                <c:pt idx="84">
                  <c:v>301.88679245283015</c:v>
                </c:pt>
                <c:pt idx="85">
                  <c:v>302.16450216450215</c:v>
                </c:pt>
                <c:pt idx="86">
                  <c:v>302.43734981119121</c:v>
                </c:pt>
                <c:pt idx="87">
                  <c:v>302.70546197039306</c:v>
                </c:pt>
                <c:pt idx="88">
                  <c:v>302.96896086369776</c:v>
                </c:pt>
                <c:pt idx="89">
                  <c:v>303.22796454256564</c:v>
                </c:pt>
                <c:pt idx="90">
                  <c:v>303.48258706467664</c:v>
                </c:pt>
                <c:pt idx="91">
                  <c:v>303.73293866140438</c:v>
                </c:pt>
                <c:pt idx="92">
                  <c:v>303.97912589693408</c:v>
                </c:pt>
                <c:pt idx="93">
                  <c:v>304.22125181950508</c:v>
                </c:pt>
                <c:pt idx="94">
                  <c:v>304.45941610522937</c:v>
                </c:pt>
                <c:pt idx="95">
                  <c:v>304.69371519490852</c:v>
                </c:pt>
                <c:pt idx="96">
                  <c:v>304.92424242424244</c:v>
                </c:pt>
                <c:pt idx="97">
                  <c:v>305.15108814780024</c:v>
                </c:pt>
                <c:pt idx="98">
                  <c:v>305.37433985709845</c:v>
                </c:pt>
                <c:pt idx="99">
                  <c:v>305.5940822931114</c:v>
                </c:pt>
                <c:pt idx="100">
                  <c:v>305.81039755351679</c:v>
                </c:pt>
              </c:numCache>
            </c:numRef>
          </c:yVal>
          <c:smooth val="0"/>
          <c:extLst>
            <c:ext xmlns:c16="http://schemas.microsoft.com/office/drawing/2014/chart" uri="{C3380CC4-5D6E-409C-BE32-E72D297353CC}">
              <c16:uniqueId val="{00000000-A7ED-4BB2-BB4F-6969824E41D0}"/>
            </c:ext>
          </c:extLst>
        </c:ser>
        <c:dLbls>
          <c:showLegendKey val="0"/>
          <c:showVal val="0"/>
          <c:showCatName val="0"/>
          <c:showSerName val="0"/>
          <c:showPercent val="0"/>
          <c:showBubbleSize val="0"/>
        </c:dLbls>
        <c:axId val="447869696"/>
        <c:axId val="447871616"/>
      </c:scatterChart>
      <c:valAx>
        <c:axId val="447869696"/>
        <c:scaling>
          <c:orientation val="minMax"/>
        </c:scaling>
        <c:delete val="0"/>
        <c:axPos val="b"/>
        <c:majorGridlines/>
        <c:title>
          <c:tx>
            <c:rich>
              <a:bodyPr/>
              <a:lstStyle/>
              <a:p>
                <a:pPr>
                  <a:defRPr lang="ja-JP"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975" b="1" i="0" u="none" strike="noStrike" baseline="0">
                <a:solidFill>
                  <a:srgbClr val="000000"/>
                </a:solidFill>
                <a:latin typeface="Arial"/>
                <a:ea typeface="Arial"/>
                <a:cs typeface="Arial"/>
              </a:defRPr>
            </a:pPr>
            <a:endParaRPr lang="zh-CN"/>
          </a:p>
        </c:txPr>
        <c:crossAx val="447871616"/>
        <c:crosses val="autoZero"/>
        <c:crossBetween val="midCat"/>
      </c:valAx>
      <c:valAx>
        <c:axId val="447871616"/>
        <c:scaling>
          <c:orientation val="minMax"/>
        </c:scaling>
        <c:delete val="0"/>
        <c:axPos val="l"/>
        <c:majorGridlines>
          <c:spPr>
            <a:ln w="3175">
              <a:solidFill>
                <a:srgbClr val="000000"/>
              </a:solidFill>
              <a:prstDash val="solid"/>
            </a:ln>
          </c:spPr>
        </c:majorGridlines>
        <c:title>
          <c:tx>
            <c:rich>
              <a:bodyPr/>
              <a:lstStyle/>
              <a:p>
                <a:pPr>
                  <a:defRPr lang="ja-JP"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ja-JP" sz="1200" b="1" i="0" u="none" strike="noStrike" baseline="0">
                <a:solidFill>
                  <a:srgbClr val="000000"/>
                </a:solidFill>
                <a:latin typeface="Arial"/>
                <a:ea typeface="Arial"/>
                <a:cs typeface="Arial"/>
              </a:defRPr>
            </a:pPr>
            <a:endParaRPr lang="zh-CN"/>
          </a:p>
        </c:txPr>
        <c:crossAx val="44786969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lang="ja-JP" sz="1100" b="0" i="0" u="none" strike="noStrike" baseline="0">
              <a:solidFill>
                <a:srgbClr val="000000"/>
              </a:solidFill>
              <a:latin typeface="Arial"/>
              <a:ea typeface="Arial"/>
              <a:cs typeface="Arial"/>
            </a:defRPr>
          </a:pPr>
          <a:endParaRPr lang="zh-CN"/>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zh-CN"/>
    </a:p>
  </c:txPr>
  <c:printSettings>
    <c:headerFooter alignWithMargins="0"/>
    <c:pageMargins b="1" l="0.75000000000000822" r="0.750000000000008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Single'!$CB$5:$CB$105</c:f>
              <c:numCache>
                <c:formatCode>0.00</c:formatCode>
                <c:ptCount val="101"/>
                <c:pt idx="0">
                  <c:v>7.8266521065824093E-6</c:v>
                </c:pt>
                <c:pt idx="1">
                  <c:v>45.376262507393044</c:v>
                </c:pt>
                <c:pt idx="2">
                  <c:v>53.422512411507071</c:v>
                </c:pt>
                <c:pt idx="3">
                  <c:v>56.261035242187674</c:v>
                </c:pt>
                <c:pt idx="4">
                  <c:v>57.796482508422187</c:v>
                </c:pt>
                <c:pt idx="5">
                  <c:v>58.758635238929216</c:v>
                </c:pt>
                <c:pt idx="6">
                  <c:v>59.41805526566236</c:v>
                </c:pt>
                <c:pt idx="7">
                  <c:v>59.898194224027854</c:v>
                </c:pt>
                <c:pt idx="8">
                  <c:v>60.263412739733489</c:v>
                </c:pt>
                <c:pt idx="9">
                  <c:v>60.550557231930789</c:v>
                </c:pt>
                <c:pt idx="10">
                  <c:v>60.782243186383923</c:v>
                </c:pt>
                <c:pt idx="11">
                  <c:v>60.973120584038043</c:v>
                </c:pt>
                <c:pt idx="12">
                  <c:v>61.133097050069232</c:v>
                </c:pt>
                <c:pt idx="13">
                  <c:v>61.26911312455686</c:v>
                </c:pt>
                <c:pt idx="14">
                  <c:v>61.386175606721906</c:v>
                </c:pt>
                <c:pt idx="15">
                  <c:v>61.487987162643734</c:v>
                </c:pt>
                <c:pt idx="16">
                  <c:v>61.577344979082717</c:v>
                </c:pt>
                <c:pt idx="17">
                  <c:v>61.656401607621092</c:v>
                </c:pt>
                <c:pt idx="18">
                  <c:v>61.726840550351547</c:v>
                </c:pt>
                <c:pt idx="19">
                  <c:v>61.789997419269561</c:v>
                </c:pt>
                <c:pt idx="20">
                  <c:v>61.846945384773036</c:v>
                </c:pt>
                <c:pt idx="21">
                  <c:v>61.898556618078928</c:v>
                </c:pt>
                <c:pt idx="22">
                  <c:v>61.945547243983391</c:v>
                </c:pt>
                <c:pt idx="23">
                  <c:v>61.988510745910673</c:v>
                </c:pt>
                <c:pt idx="24">
                  <c:v>62.027943142006869</c:v>
                </c:pt>
                <c:pt idx="25">
                  <c:v>62.06426220397212</c:v>
                </c:pt>
                <c:pt idx="26">
                  <c:v>62.097822300802555</c:v>
                </c:pt>
                <c:pt idx="27">
                  <c:v>62.128925986934433</c:v>
                </c:pt>
                <c:pt idx="28">
                  <c:v>62.157833138451494</c:v>
                </c:pt>
                <c:pt idx="29">
                  <c:v>62.184768222010845</c:v>
                </c:pt>
                <c:pt idx="30">
                  <c:v>62.209926127066609</c:v>
                </c:pt>
                <c:pt idx="31">
                  <c:v>62.233476882117479</c:v>
                </c:pt>
                <c:pt idx="32">
                  <c:v>62.255569496406608</c:v>
                </c:pt>
                <c:pt idx="33">
                  <c:v>62.558580281018251</c:v>
                </c:pt>
                <c:pt idx="34">
                  <c:v>62.979343064335765</c:v>
                </c:pt>
                <c:pt idx="35">
                  <c:v>63.382750470284698</c:v>
                </c:pt>
                <c:pt idx="36">
                  <c:v>63.769906145216822</c:v>
                </c:pt>
                <c:pt idx="37">
                  <c:v>64.141819972211891</c:v>
                </c:pt>
                <c:pt idx="38">
                  <c:v>64.499417959188548</c:v>
                </c:pt>
                <c:pt idx="39">
                  <c:v>64.843548793532975</c:v>
                </c:pt>
                <c:pt idx="40">
                  <c:v>65.174859323559332</c:v>
                </c:pt>
                <c:pt idx="41">
                  <c:v>65.731238422040178</c:v>
                </c:pt>
                <c:pt idx="42">
                  <c:v>66.386659054800404</c:v>
                </c:pt>
                <c:pt idx="43">
                  <c:v>67.013201079893761</c:v>
                </c:pt>
                <c:pt idx="44">
                  <c:v>67.562694392387499</c:v>
                </c:pt>
                <c:pt idx="45">
                  <c:v>68.056061776577323</c:v>
                </c:pt>
                <c:pt idx="46">
                  <c:v>68.527901159144093</c:v>
                </c:pt>
                <c:pt idx="47">
                  <c:v>68.979440495811801</c:v>
                </c:pt>
                <c:pt idx="48">
                  <c:v>69.411856255905562</c:v>
                </c:pt>
                <c:pt idx="49">
                  <c:v>69.826115461578212</c:v>
                </c:pt>
                <c:pt idx="50">
                  <c:v>70.223198661329192</c:v>
                </c:pt>
                <c:pt idx="51">
                  <c:v>70.604023352758688</c:v>
                </c:pt>
                <c:pt idx="52">
                  <c:v>70.969448470244899</c:v>
                </c:pt>
                <c:pt idx="53">
                  <c:v>71.320278546204634</c:v>
                </c:pt>
                <c:pt idx="54">
                  <c:v>71.657267566529242</c:v>
                </c:pt>
                <c:pt idx="55">
                  <c:v>71.981122540477216</c:v>
                </c:pt>
                <c:pt idx="56">
                  <c:v>72.292506804706775</c:v>
                </c:pt>
                <c:pt idx="57">
                  <c:v>72.59204308033749</c:v>
                </c:pt>
                <c:pt idx="58">
                  <c:v>72.880316301012513</c:v>
                </c:pt>
                <c:pt idx="59">
                  <c:v>73.157876228939756</c:v>
                </c:pt>
                <c:pt idx="60">
                  <c:v>73.425239874867231</c:v>
                </c:pt>
                <c:pt idx="61">
                  <c:v>73.682893736917634</c:v>
                </c:pt>
                <c:pt idx="62">
                  <c:v>73.93129587219363</c:v>
                </c:pt>
                <c:pt idx="63">
                  <c:v>74.170877814083909</c:v>
                </c:pt>
                <c:pt idx="64">
                  <c:v>74.402046347256189</c:v>
                </c:pt>
                <c:pt idx="65">
                  <c:v>74.625185151429889</c:v>
                </c:pt>
                <c:pt idx="66">
                  <c:v>74.840656324174603</c:v>
                </c:pt>
                <c:pt idx="67">
                  <c:v>75.048801792188996</c:v>
                </c:pt>
                <c:pt idx="68">
                  <c:v>75.249944619773018</c:v>
                </c:pt>
                <c:pt idx="69">
                  <c:v>75.444390222517839</c:v>
                </c:pt>
                <c:pt idx="70">
                  <c:v>75.632427493597646</c:v>
                </c:pt>
                <c:pt idx="71">
                  <c:v>75.814329849456087</c:v>
                </c:pt>
                <c:pt idx="72">
                  <c:v>75.990356201133196</c:v>
                </c:pt>
                <c:pt idx="73">
                  <c:v>76.160751856974102</c:v>
                </c:pt>
                <c:pt idx="74">
                  <c:v>76.325749361997481</c:v>
                </c:pt>
                <c:pt idx="75">
                  <c:v>76.485569278773923</c:v>
                </c:pt>
                <c:pt idx="76">
                  <c:v>76.640420914272909</c:v>
                </c:pt>
                <c:pt idx="77">
                  <c:v>76.7905029967758</c:v>
                </c:pt>
                <c:pt idx="78">
                  <c:v>76.936004306622976</c:v>
                </c:pt>
                <c:pt idx="79">
                  <c:v>77.077104264258637</c:v>
                </c:pt>
                <c:pt idx="80">
                  <c:v>77.213973478759996</c:v>
                </c:pt>
                <c:pt idx="81">
                  <c:v>77.346774259781427</c:v>
                </c:pt>
                <c:pt idx="82">
                  <c:v>77.475661095611144</c:v>
                </c:pt>
                <c:pt idx="83">
                  <c:v>77.60078109982372</c:v>
                </c:pt>
                <c:pt idx="84">
                  <c:v>77.722274428814657</c:v>
                </c:pt>
                <c:pt idx="85">
                  <c:v>77.840274672324071</c:v>
                </c:pt>
                <c:pt idx="86">
                  <c:v>77.954909218890649</c:v>
                </c:pt>
                <c:pt idx="87">
                  <c:v>78.066299598026063</c:v>
                </c:pt>
                <c:pt idx="88">
                  <c:v>78.174561800760983</c:v>
                </c:pt>
                <c:pt idx="89">
                  <c:v>78.279806580086259</c:v>
                </c:pt>
                <c:pt idx="90">
                  <c:v>78.382139732696146</c:v>
                </c:pt>
                <c:pt idx="91">
                  <c:v>78.481662363332788</c:v>
                </c:pt>
                <c:pt idx="92">
                  <c:v>78.578471132932762</c:v>
                </c:pt>
                <c:pt idx="93">
                  <c:v>78.672658491685652</c:v>
                </c:pt>
                <c:pt idx="94">
                  <c:v>78.764312898031591</c:v>
                </c:pt>
                <c:pt idx="95">
                  <c:v>78.853519024547879</c:v>
                </c:pt>
                <c:pt idx="96">
                  <c:v>78.940357951604639</c:v>
                </c:pt>
                <c:pt idx="97">
                  <c:v>79.024907349604433</c:v>
                </c:pt>
                <c:pt idx="98">
                  <c:v>79.107241650561207</c:v>
                </c:pt>
                <c:pt idx="99">
                  <c:v>79.187432209718935</c:v>
                </c:pt>
                <c:pt idx="100">
                  <c:v>79.265547457859739</c:v>
                </c:pt>
              </c:numCache>
            </c:numRef>
          </c:val>
          <c:smooth val="0"/>
          <c:extLst>
            <c:ext xmlns:c16="http://schemas.microsoft.com/office/drawing/2014/chart" uri="{C3380CC4-5D6E-409C-BE32-E72D297353CC}">
              <c16:uniqueId val="{00000000-3B81-4204-928B-6CDC733DE792}"/>
            </c:ext>
          </c:extLst>
        </c:ser>
        <c:dLbls>
          <c:showLegendKey val="0"/>
          <c:showVal val="0"/>
          <c:showCatName val="0"/>
          <c:showSerName val="0"/>
          <c:showPercent val="0"/>
          <c:showBubbleSize val="0"/>
        </c:dLbls>
        <c:marker val="1"/>
        <c:smooth val="0"/>
        <c:axId val="451805952"/>
        <c:axId val="451807872"/>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6.2124999999999988E-7</c:v>
                </c:pt>
                <c:pt idx="1">
                  <c:v>7.4549999999999992</c:v>
                </c:pt>
                <c:pt idx="2">
                  <c:v>14.909999999999998</c:v>
                </c:pt>
                <c:pt idx="3">
                  <c:v>22.364999999999995</c:v>
                </c:pt>
                <c:pt idx="4">
                  <c:v>29.819999999999997</c:v>
                </c:pt>
                <c:pt idx="5">
                  <c:v>37.274999999999999</c:v>
                </c:pt>
                <c:pt idx="6">
                  <c:v>44.72999999999999</c:v>
                </c:pt>
                <c:pt idx="7">
                  <c:v>52.184999999999995</c:v>
                </c:pt>
                <c:pt idx="8">
                  <c:v>59.639999999999993</c:v>
                </c:pt>
                <c:pt idx="9">
                  <c:v>67.094999999999999</c:v>
                </c:pt>
                <c:pt idx="10">
                  <c:v>74.55</c:v>
                </c:pt>
                <c:pt idx="11">
                  <c:v>82.004999999999995</c:v>
                </c:pt>
                <c:pt idx="12">
                  <c:v>89.45999999999998</c:v>
                </c:pt>
                <c:pt idx="13">
                  <c:v>96.914999999999992</c:v>
                </c:pt>
                <c:pt idx="14">
                  <c:v>104.36999999999999</c:v>
                </c:pt>
                <c:pt idx="15">
                  <c:v>111.82499999999999</c:v>
                </c:pt>
                <c:pt idx="16">
                  <c:v>119.27999999999999</c:v>
                </c:pt>
                <c:pt idx="17">
                  <c:v>126.73500000000001</c:v>
                </c:pt>
                <c:pt idx="18">
                  <c:v>134.19</c:v>
                </c:pt>
                <c:pt idx="19">
                  <c:v>141.64499999999995</c:v>
                </c:pt>
                <c:pt idx="20">
                  <c:v>149.1</c:v>
                </c:pt>
                <c:pt idx="21">
                  <c:v>156.55500000000001</c:v>
                </c:pt>
                <c:pt idx="22">
                  <c:v>164.01</c:v>
                </c:pt>
                <c:pt idx="23">
                  <c:v>171.465</c:v>
                </c:pt>
                <c:pt idx="24">
                  <c:v>178.91999999999996</c:v>
                </c:pt>
                <c:pt idx="25">
                  <c:v>186.37499999999997</c:v>
                </c:pt>
                <c:pt idx="26">
                  <c:v>193.82999999999998</c:v>
                </c:pt>
                <c:pt idx="27">
                  <c:v>201.285</c:v>
                </c:pt>
                <c:pt idx="28">
                  <c:v>208.73999999999998</c:v>
                </c:pt>
                <c:pt idx="29">
                  <c:v>216.19499999999994</c:v>
                </c:pt>
                <c:pt idx="30">
                  <c:v>223.64999999999998</c:v>
                </c:pt>
                <c:pt idx="31">
                  <c:v>231.10499999999996</c:v>
                </c:pt>
                <c:pt idx="32">
                  <c:v>238.55999999999997</c:v>
                </c:pt>
                <c:pt idx="33">
                  <c:v>246.01499999999999</c:v>
                </c:pt>
                <c:pt idx="34">
                  <c:v>253.47000000000003</c:v>
                </c:pt>
                <c:pt idx="35">
                  <c:v>260.92499999999995</c:v>
                </c:pt>
                <c:pt idx="36">
                  <c:v>268.38</c:v>
                </c:pt>
                <c:pt idx="37">
                  <c:v>275.83499999999992</c:v>
                </c:pt>
                <c:pt idx="38">
                  <c:v>283.28999999999991</c:v>
                </c:pt>
                <c:pt idx="39">
                  <c:v>290.74499999999995</c:v>
                </c:pt>
                <c:pt idx="40">
                  <c:v>298.2</c:v>
                </c:pt>
                <c:pt idx="41">
                  <c:v>305.65499999999992</c:v>
                </c:pt>
                <c:pt idx="42">
                  <c:v>313.11</c:v>
                </c:pt>
                <c:pt idx="43">
                  <c:v>320.56499999999994</c:v>
                </c:pt>
                <c:pt idx="44">
                  <c:v>328.02</c:v>
                </c:pt>
                <c:pt idx="45">
                  <c:v>335.47499999999997</c:v>
                </c:pt>
                <c:pt idx="46">
                  <c:v>342.93</c:v>
                </c:pt>
                <c:pt idx="47">
                  <c:v>350.38499999999993</c:v>
                </c:pt>
                <c:pt idx="48">
                  <c:v>357.83999999999992</c:v>
                </c:pt>
                <c:pt idx="49">
                  <c:v>365.2949999999999</c:v>
                </c:pt>
                <c:pt idx="50">
                  <c:v>372.74999999999994</c:v>
                </c:pt>
                <c:pt idx="51">
                  <c:v>380.20499999999998</c:v>
                </c:pt>
                <c:pt idx="52">
                  <c:v>387.65999999999997</c:v>
                </c:pt>
                <c:pt idx="53">
                  <c:v>395.11500000000001</c:v>
                </c:pt>
                <c:pt idx="54">
                  <c:v>402.57</c:v>
                </c:pt>
                <c:pt idx="55">
                  <c:v>410.02499999999998</c:v>
                </c:pt>
                <c:pt idx="56">
                  <c:v>417.47999999999996</c:v>
                </c:pt>
                <c:pt idx="57">
                  <c:v>424.93499999999995</c:v>
                </c:pt>
                <c:pt idx="58">
                  <c:v>432.38999999999987</c:v>
                </c:pt>
                <c:pt idx="59">
                  <c:v>439.84499999999991</c:v>
                </c:pt>
                <c:pt idx="60">
                  <c:v>447.29999999999995</c:v>
                </c:pt>
                <c:pt idx="61">
                  <c:v>454.75499999999994</c:v>
                </c:pt>
                <c:pt idx="62">
                  <c:v>462.20999999999992</c:v>
                </c:pt>
                <c:pt idx="63">
                  <c:v>469.66500000000002</c:v>
                </c:pt>
                <c:pt idx="64">
                  <c:v>477.11999999999995</c:v>
                </c:pt>
                <c:pt idx="65">
                  <c:v>484.57499999999993</c:v>
                </c:pt>
                <c:pt idx="66">
                  <c:v>492.03</c:v>
                </c:pt>
                <c:pt idx="67">
                  <c:v>499.48499999999996</c:v>
                </c:pt>
                <c:pt idx="68">
                  <c:v>506.94000000000005</c:v>
                </c:pt>
                <c:pt idx="69">
                  <c:v>514.39499999999987</c:v>
                </c:pt>
                <c:pt idx="70">
                  <c:v>521.84999999999991</c:v>
                </c:pt>
                <c:pt idx="71">
                  <c:v>529.30499999999995</c:v>
                </c:pt>
                <c:pt idx="72">
                  <c:v>536.76</c:v>
                </c:pt>
                <c:pt idx="73">
                  <c:v>544.21499999999992</c:v>
                </c:pt>
                <c:pt idx="74">
                  <c:v>551.66999999999985</c:v>
                </c:pt>
                <c:pt idx="75">
                  <c:v>559.12499999999989</c:v>
                </c:pt>
                <c:pt idx="76">
                  <c:v>566.57999999999981</c:v>
                </c:pt>
                <c:pt idx="77">
                  <c:v>574.03499999999997</c:v>
                </c:pt>
                <c:pt idx="78">
                  <c:v>581.4899999999999</c:v>
                </c:pt>
                <c:pt idx="79">
                  <c:v>588.94499999999994</c:v>
                </c:pt>
                <c:pt idx="80">
                  <c:v>596.4</c:v>
                </c:pt>
                <c:pt idx="81">
                  <c:v>603.8549999999999</c:v>
                </c:pt>
                <c:pt idx="82">
                  <c:v>611.30999999999983</c:v>
                </c:pt>
                <c:pt idx="83">
                  <c:v>618.76499999999987</c:v>
                </c:pt>
                <c:pt idx="84">
                  <c:v>626.22</c:v>
                </c:pt>
                <c:pt idx="85">
                  <c:v>633.67499999999995</c:v>
                </c:pt>
                <c:pt idx="86">
                  <c:v>641.12999999999988</c:v>
                </c:pt>
                <c:pt idx="87">
                  <c:v>648.58499999999992</c:v>
                </c:pt>
                <c:pt idx="88">
                  <c:v>656.04</c:v>
                </c:pt>
                <c:pt idx="89">
                  <c:v>663.495</c:v>
                </c:pt>
                <c:pt idx="90">
                  <c:v>670.94999999999993</c:v>
                </c:pt>
                <c:pt idx="91">
                  <c:v>678.40499999999997</c:v>
                </c:pt>
                <c:pt idx="92">
                  <c:v>685.86</c:v>
                </c:pt>
                <c:pt idx="93">
                  <c:v>693.31500000000005</c:v>
                </c:pt>
                <c:pt idx="94">
                  <c:v>700.76999999999987</c:v>
                </c:pt>
                <c:pt idx="95">
                  <c:v>708.22499999999991</c:v>
                </c:pt>
                <c:pt idx="96">
                  <c:v>715.67999999999984</c:v>
                </c:pt>
                <c:pt idx="97">
                  <c:v>723.13499999999988</c:v>
                </c:pt>
                <c:pt idx="98">
                  <c:v>730.5899999999998</c:v>
                </c:pt>
                <c:pt idx="99">
                  <c:v>738.04499999999985</c:v>
                </c:pt>
                <c:pt idx="100">
                  <c:v>745.49999999999989</c:v>
                </c:pt>
              </c:numCache>
            </c:numRef>
          </c:val>
          <c:smooth val="0"/>
          <c:extLst>
            <c:ext xmlns:c16="http://schemas.microsoft.com/office/drawing/2014/chart" uri="{C3380CC4-5D6E-409C-BE32-E72D297353CC}">
              <c16:uniqueId val="{00000001-3B81-4204-928B-6CDC733DE792}"/>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15.462346876556126</c:v>
                </c:pt>
                <c:pt idx="1">
                  <c:v>15.467193684793338</c:v>
                </c:pt>
                <c:pt idx="2">
                  <c:v>27.915945359476886</c:v>
                </c:pt>
                <c:pt idx="3">
                  <c:v>41.874097696621682</c:v>
                </c:pt>
                <c:pt idx="4">
                  <c:v>55.832369807426247</c:v>
                </c:pt>
                <c:pt idx="5">
                  <c:v>69.79076169343216</c:v>
                </c:pt>
                <c:pt idx="6">
                  <c:v>83.749273356181178</c:v>
                </c:pt>
                <c:pt idx="7">
                  <c:v>97.707904797215022</c:v>
                </c:pt>
                <c:pt idx="8">
                  <c:v>111.66665601807537</c:v>
                </c:pt>
                <c:pt idx="9">
                  <c:v>125.62552702030405</c:v>
                </c:pt>
                <c:pt idx="10">
                  <c:v>139.58451780544272</c:v>
                </c:pt>
                <c:pt idx="11">
                  <c:v>153.54362837503334</c:v>
                </c:pt>
                <c:pt idx="12">
                  <c:v>167.50285873061762</c:v>
                </c:pt>
                <c:pt idx="13">
                  <c:v>181.46220887373767</c:v>
                </c:pt>
                <c:pt idx="14">
                  <c:v>195.42167880593513</c:v>
                </c:pt>
                <c:pt idx="15">
                  <c:v>209.38126852875203</c:v>
                </c:pt>
                <c:pt idx="16">
                  <c:v>223.34097804373027</c:v>
                </c:pt>
                <c:pt idx="17">
                  <c:v>237.30080735241188</c:v>
                </c:pt>
                <c:pt idx="18">
                  <c:v>251.26075645633895</c:v>
                </c:pt>
                <c:pt idx="19">
                  <c:v>265.22082535705317</c:v>
                </c:pt>
                <c:pt idx="20">
                  <c:v>279.1810140560969</c:v>
                </c:pt>
                <c:pt idx="21">
                  <c:v>293.14132255501227</c:v>
                </c:pt>
                <c:pt idx="22">
                  <c:v>307.10175085534109</c:v>
                </c:pt>
                <c:pt idx="23">
                  <c:v>321.06229895862589</c:v>
                </c:pt>
                <c:pt idx="24">
                  <c:v>335.0229668664083</c:v>
                </c:pt>
                <c:pt idx="25">
                  <c:v>348.98375458023099</c:v>
                </c:pt>
                <c:pt idx="26">
                  <c:v>362.94466210163608</c:v>
                </c:pt>
                <c:pt idx="27">
                  <c:v>376.9056894321655</c:v>
                </c:pt>
                <c:pt idx="28">
                  <c:v>390.86683657336198</c:v>
                </c:pt>
                <c:pt idx="29">
                  <c:v>404.82810352676728</c:v>
                </c:pt>
                <c:pt idx="30">
                  <c:v>418.7894902939243</c:v>
                </c:pt>
                <c:pt idx="31">
                  <c:v>432.75099687637481</c:v>
                </c:pt>
                <c:pt idx="32">
                  <c:v>446.71262327566177</c:v>
                </c:pt>
                <c:pt idx="33">
                  <c:v>454.88900385616824</c:v>
                </c:pt>
                <c:pt idx="34">
                  <c:v>460.26405195435018</c:v>
                </c:pt>
                <c:pt idx="35">
                  <c:v>465.56206743508591</c:v>
                </c:pt>
                <c:pt idx="36">
                  <c:v>470.78634827274431</c:v>
                </c:pt>
                <c:pt idx="37">
                  <c:v>475.93996471455932</c:v>
                </c:pt>
                <c:pt idx="38">
                  <c:v>481.02578069516119</c:v>
                </c:pt>
                <c:pt idx="39">
                  <c:v>486.04663173354942</c:v>
                </c:pt>
                <c:pt idx="40">
                  <c:v>491.01545905927702</c:v>
                </c:pt>
                <c:pt idx="41">
                  <c:v>488.5917050294201</c:v>
                </c:pt>
                <c:pt idx="42">
                  <c:v>482.44330908468123</c:v>
                </c:pt>
                <c:pt idx="43">
                  <c:v>476.51025727368409</c:v>
                </c:pt>
                <c:pt idx="44">
                  <c:v>473.41740824546889</c:v>
                </c:pt>
                <c:pt idx="45">
                  <c:v>472.13925445799367</c:v>
                </c:pt>
                <c:pt idx="46">
                  <c:v>470.9184375916609</c:v>
                </c:pt>
                <c:pt idx="47">
                  <c:v>469.75048022601288</c:v>
                </c:pt>
                <c:pt idx="48">
                  <c:v>468.62997889342614</c:v>
                </c:pt>
                <c:pt idx="49">
                  <c:v>467.55736828044411</c:v>
                </c:pt>
                <c:pt idx="50">
                  <c:v>466.53001505550992</c:v>
                </c:pt>
                <c:pt idx="51">
                  <c:v>465.54548088049802</c:v>
                </c:pt>
                <c:pt idx="52">
                  <c:v>464.6015046937145</c:v>
                </c:pt>
                <c:pt idx="53">
                  <c:v>463.69598689014686</c:v>
                </c:pt>
                <c:pt idx="54">
                  <c:v>462.82697516609289</c:v>
                </c:pt>
                <c:pt idx="55">
                  <c:v>461.99265182739333</c:v>
                </c:pt>
                <c:pt idx="56">
                  <c:v>461.19132238770652</c:v>
                </c:pt>
                <c:pt idx="57">
                  <c:v>460.42140530639989</c:v>
                </c:pt>
                <c:pt idx="58">
                  <c:v>459.68142273533812</c:v>
                </c:pt>
                <c:pt idx="59">
                  <c:v>458.9699921607197</c:v>
                </c:pt>
                <c:pt idx="60">
                  <c:v>458.28581884055671</c:v>
                </c:pt>
                <c:pt idx="61">
                  <c:v>457.62768895081513</c:v>
                </c:pt>
                <c:pt idx="62">
                  <c:v>456.99446336393089</c:v>
                </c:pt>
                <c:pt idx="63">
                  <c:v>456.38507199266502</c:v>
                </c:pt>
                <c:pt idx="64">
                  <c:v>455.79850864025514</c:v>
                </c:pt>
                <c:pt idx="65">
                  <c:v>455.2338263047692</c:v>
                </c:pt>
                <c:pt idx="66">
                  <c:v>454.69013289160245</c:v>
                </c:pt>
                <c:pt idx="67">
                  <c:v>454.16658729331925</c:v>
                </c:pt>
                <c:pt idx="68">
                  <c:v>453.66239580063933</c:v>
                </c:pt>
                <c:pt idx="69">
                  <c:v>453.17680881238596</c:v>
                </c:pt>
                <c:pt idx="70">
                  <c:v>452.70911781574011</c:v>
                </c:pt>
                <c:pt idx="71">
                  <c:v>452.25865261124204</c:v>
                </c:pt>
                <c:pt idx="72">
                  <c:v>451.82477875970568</c:v>
                </c:pt>
                <c:pt idx="73">
                  <c:v>451.40689523061337</c:v>
                </c:pt>
                <c:pt idx="74">
                  <c:v>451.0044322336845</c:v>
                </c:pt>
                <c:pt idx="75">
                  <c:v>450.61684921718165</c:v>
                </c:pt>
                <c:pt idx="76">
                  <c:v>450.24363301818943</c:v>
                </c:pt>
                <c:pt idx="77">
                  <c:v>449.88429615156997</c:v>
                </c:pt>
                <c:pt idx="78">
                  <c:v>449.53837522561747</c:v>
                </c:pt>
                <c:pt idx="79">
                  <c:v>449.20542947359888</c:v>
                </c:pt>
                <c:pt idx="80">
                  <c:v>448.88503939140969</c:v>
                </c:pt>
                <c:pt idx="81">
                  <c:v>448.57680547250749</c:v>
                </c:pt>
                <c:pt idx="82">
                  <c:v>448.28034703211318</c:v>
                </c:pt>
                <c:pt idx="83">
                  <c:v>447.99530111341551</c:v>
                </c:pt>
                <c:pt idx="84">
                  <c:v>447.72132146918665</c:v>
                </c:pt>
                <c:pt idx="85">
                  <c:v>447.45807761280685</c:v>
                </c:pt>
                <c:pt idx="86">
                  <c:v>447.20525393324777</c:v>
                </c:pt>
                <c:pt idx="87">
                  <c:v>446.96254886903415</c:v>
                </c:pt>
                <c:pt idx="88">
                  <c:v>446.72967413665481</c:v>
                </c:pt>
                <c:pt idx="89">
                  <c:v>446.50635400927655</c:v>
                </c:pt>
                <c:pt idx="90">
                  <c:v>446.29232464197986</c:v>
                </c:pt>
                <c:pt idx="91">
                  <c:v>446.08733344005032</c:v>
                </c:pt>
                <c:pt idx="92">
                  <c:v>445.89113846715486</c:v>
                </c:pt>
                <c:pt idx="93">
                  <c:v>445.70350789049763</c:v>
                </c:pt>
                <c:pt idx="94">
                  <c:v>445.52421946028306</c:v>
                </c:pt>
                <c:pt idx="95">
                  <c:v>445.35306002104181</c:v>
                </c:pt>
                <c:pt idx="96">
                  <c:v>445.18982505256275</c:v>
                </c:pt>
                <c:pt idx="97">
                  <c:v>445.03431823836223</c:v>
                </c:pt>
                <c:pt idx="98">
                  <c:v>444.88635105978074</c:v>
                </c:pt>
                <c:pt idx="99">
                  <c:v>444.74574241394964</c:v>
                </c:pt>
                <c:pt idx="100">
                  <c:v>444.61231825400711</c:v>
                </c:pt>
              </c:numCache>
            </c:numRef>
          </c:val>
          <c:smooth val="0"/>
          <c:extLst>
            <c:ext xmlns:c16="http://schemas.microsoft.com/office/drawing/2014/chart" uri="{C3380CC4-5D6E-409C-BE32-E72D297353CC}">
              <c16:uniqueId val="{00000002-3B81-4204-928B-6CDC733DE792}"/>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12.421928017413927</c:v>
                </c:pt>
                <c:pt idx="1">
                  <c:v>13.322648518815051</c:v>
                </c:pt>
                <c:pt idx="2">
                  <c:v>14.233026830303141</c:v>
                </c:pt>
                <c:pt idx="3">
                  <c:v>15.144576274277764</c:v>
                </c:pt>
                <c:pt idx="4">
                  <c:v>16.056125718252396</c:v>
                </c:pt>
                <c:pt idx="5">
                  <c:v>16.967675162227021</c:v>
                </c:pt>
                <c:pt idx="6">
                  <c:v>17.879224606201653</c:v>
                </c:pt>
                <c:pt idx="7">
                  <c:v>18.790774050176278</c:v>
                </c:pt>
                <c:pt idx="8">
                  <c:v>19.70232349415091</c:v>
                </c:pt>
                <c:pt idx="9">
                  <c:v>20.613872938125535</c:v>
                </c:pt>
                <c:pt idx="10">
                  <c:v>21.525422382100167</c:v>
                </c:pt>
                <c:pt idx="11">
                  <c:v>22.436971826074796</c:v>
                </c:pt>
                <c:pt idx="12">
                  <c:v>23.348521270049428</c:v>
                </c:pt>
                <c:pt idx="13">
                  <c:v>24.260070714024049</c:v>
                </c:pt>
                <c:pt idx="14">
                  <c:v>25.171620157998678</c:v>
                </c:pt>
                <c:pt idx="15">
                  <c:v>26.083169601973303</c:v>
                </c:pt>
                <c:pt idx="16">
                  <c:v>26.994719045947935</c:v>
                </c:pt>
                <c:pt idx="17">
                  <c:v>27.906268489922564</c:v>
                </c:pt>
                <c:pt idx="18">
                  <c:v>28.817817933897199</c:v>
                </c:pt>
                <c:pt idx="19">
                  <c:v>29.729367377871824</c:v>
                </c:pt>
                <c:pt idx="20">
                  <c:v>30.640916821846449</c:v>
                </c:pt>
                <c:pt idx="21">
                  <c:v>31.552466265821089</c:v>
                </c:pt>
                <c:pt idx="22">
                  <c:v>32.46401570979571</c:v>
                </c:pt>
                <c:pt idx="23">
                  <c:v>33.375565153770332</c:v>
                </c:pt>
                <c:pt idx="24">
                  <c:v>34.287114597744967</c:v>
                </c:pt>
                <c:pt idx="25">
                  <c:v>35.198664041719589</c:v>
                </c:pt>
                <c:pt idx="26">
                  <c:v>36.110213485694231</c:v>
                </c:pt>
                <c:pt idx="27">
                  <c:v>37.021762929668846</c:v>
                </c:pt>
                <c:pt idx="28">
                  <c:v>37.933312373643481</c:v>
                </c:pt>
                <c:pt idx="29">
                  <c:v>38.844861817618103</c:v>
                </c:pt>
                <c:pt idx="30">
                  <c:v>39.756411261592731</c:v>
                </c:pt>
                <c:pt idx="31">
                  <c:v>40.667960705567367</c:v>
                </c:pt>
                <c:pt idx="32">
                  <c:v>41.579510149541989</c:v>
                </c:pt>
                <c:pt idx="33">
                  <c:v>42.752791260389074</c:v>
                </c:pt>
                <c:pt idx="34">
                  <c:v>44.049957002085279</c:v>
                </c:pt>
                <c:pt idx="35">
                  <c:v>45.347210414182854</c:v>
                </c:pt>
                <c:pt idx="36">
                  <c:v>46.644551165645495</c:v>
                </c:pt>
                <c:pt idx="37">
                  <c:v>47.941978939705798</c:v>
                </c:pt>
                <c:pt idx="38">
                  <c:v>49.23949343289167</c:v>
                </c:pt>
                <c:pt idx="39">
                  <c:v>50.537104037929161</c:v>
                </c:pt>
                <c:pt idx="40">
                  <c:v>51.83545511189525</c:v>
                </c:pt>
                <c:pt idx="41">
                  <c:v>53.12736942054164</c:v>
                </c:pt>
                <c:pt idx="42">
                  <c:v>54.415890937674391</c:v>
                </c:pt>
                <c:pt idx="43">
                  <c:v>55.704509635970446</c:v>
                </c:pt>
                <c:pt idx="44">
                  <c:v>57.236031723400508</c:v>
                </c:pt>
                <c:pt idx="45">
                  <c:v>58.93941459782797</c:v>
                </c:pt>
                <c:pt idx="46">
                  <c:v>60.660790800920836</c:v>
                </c:pt>
                <c:pt idx="47">
                  <c:v>62.400158710585814</c:v>
                </c:pt>
                <c:pt idx="48">
                  <c:v>64.157502107801974</c:v>
                </c:pt>
                <c:pt idx="49">
                  <c:v>65.932862730896943</c:v>
                </c:pt>
                <c:pt idx="50">
                  <c:v>67.726250509044092</c:v>
                </c:pt>
                <c:pt idx="51">
                  <c:v>69.537675504275541</c:v>
                </c:pt>
                <c:pt idx="52">
                  <c:v>71.367147911077595</c:v>
                </c:pt>
                <c:pt idx="53">
                  <c:v>73.214678056049053</c:v>
                </c:pt>
                <c:pt idx="54">
                  <c:v>75.080276397615222</c:v>
                </c:pt>
                <c:pt idx="55">
                  <c:v>76.96395352579087</c:v>
                </c:pt>
                <c:pt idx="56">
                  <c:v>78.865720161987255</c:v>
                </c:pt>
                <c:pt idx="57">
                  <c:v>80.785587158857382</c:v>
                </c:pt>
                <c:pt idx="58">
                  <c:v>82.723565500176178</c:v>
                </c:pt>
                <c:pt idx="59">
                  <c:v>84.679666300751663</c:v>
                </c:pt>
                <c:pt idx="60">
                  <c:v>86.653900806363694</c:v>
                </c:pt>
                <c:pt idx="61">
                  <c:v>88.646280393727935</c:v>
                </c:pt>
                <c:pt idx="62">
                  <c:v>90.656816570482263</c:v>
                </c:pt>
                <c:pt idx="63">
                  <c:v>92.685520975193626</c:v>
                </c:pt>
                <c:pt idx="64">
                  <c:v>94.732405377383287</c:v>
                </c:pt>
                <c:pt idx="65">
                  <c:v>96.797481677569351</c:v>
                </c:pt>
                <c:pt idx="66">
                  <c:v>98.880761907324228</c:v>
                </c:pt>
                <c:pt idx="67">
                  <c:v>100.98225822934643</c:v>
                </c:pt>
                <c:pt idx="68">
                  <c:v>103.10198293754516</c:v>
                </c:pt>
                <c:pt idx="69">
                  <c:v>105.2399484571372</c:v>
                </c:pt>
                <c:pt idx="70">
                  <c:v>107.3961673447544</c:v>
                </c:pt>
                <c:pt idx="71">
                  <c:v>109.57065228856138</c:v>
                </c:pt>
                <c:pt idx="72">
                  <c:v>111.76341610838297</c:v>
                </c:pt>
                <c:pt idx="73">
                  <c:v>113.97447175584028</c:v>
                </c:pt>
                <c:pt idx="74">
                  <c:v>116.20383231449517</c:v>
                </c:pt>
                <c:pt idx="75">
                  <c:v>118.45151100000218</c:v>
                </c:pt>
                <c:pt idx="76">
                  <c:v>120.71752116026786</c:v>
                </c:pt>
                <c:pt idx="77">
                  <c:v>123.00187627561724</c:v>
                </c:pt>
                <c:pt idx="78">
                  <c:v>125.30458995896593</c:v>
                </c:pt>
                <c:pt idx="79">
                  <c:v>127.6256759559995</c:v>
                </c:pt>
                <c:pt idx="80">
                  <c:v>129.96514814535752</c:v>
                </c:pt>
                <c:pt idx="81">
                  <c:v>132.32302053882412</c:v>
                </c:pt>
                <c:pt idx="82">
                  <c:v>134.69930728152306</c:v>
                </c:pt>
                <c:pt idx="83">
                  <c:v>137.09402265211818</c:v>
                </c:pt>
                <c:pt idx="84">
                  <c:v>139.5071810630192</c:v>
                </c:pt>
                <c:pt idx="85">
                  <c:v>141.93879706059121</c:v>
                </c:pt>
                <c:pt idx="86">
                  <c:v>144.38888532536927</c:v>
                </c:pt>
                <c:pt idx="87">
                  <c:v>146.8574606722776</c:v>
                </c:pt>
                <c:pt idx="88">
                  <c:v>149.34453805085226</c:v>
                </c:pt>
                <c:pt idx="89">
                  <c:v>151.85013254546871</c:v>
                </c:pt>
                <c:pt idx="90">
                  <c:v>154.37425937557271</c:v>
                </c:pt>
                <c:pt idx="91">
                  <c:v>156.91693389591543</c:v>
                </c:pt>
                <c:pt idx="92">
                  <c:v>159.47817159679252</c:v>
                </c:pt>
                <c:pt idx="93">
                  <c:v>162.05798810428627</c:v>
                </c:pt>
                <c:pt idx="94">
                  <c:v>164.65639918051181</c:v>
                </c:pt>
                <c:pt idx="95">
                  <c:v>167.27342072386747</c:v>
                </c:pt>
                <c:pt idx="96">
                  <c:v>169.90906876928693</c:v>
                </c:pt>
                <c:pt idx="97">
                  <c:v>172.56335948849676</c:v>
                </c:pt>
                <c:pt idx="98">
                  <c:v>175.2363091902761</c:v>
                </c:pt>
                <c:pt idx="99">
                  <c:v>177.9279343207198</c:v>
                </c:pt>
                <c:pt idx="100">
                  <c:v>180.63825146350538</c:v>
                </c:pt>
              </c:numCache>
            </c:numRef>
          </c:val>
          <c:smooth val="0"/>
          <c:extLst>
            <c:ext xmlns:c16="http://schemas.microsoft.com/office/drawing/2014/chart" uri="{C3380CC4-5D6E-409C-BE32-E72D297353CC}">
              <c16:uniqueId val="{00000003-3B81-4204-928B-6CDC733DE792}"/>
            </c:ext>
          </c:extLst>
        </c:ser>
        <c:dLbls>
          <c:showLegendKey val="0"/>
          <c:showVal val="0"/>
          <c:showCatName val="0"/>
          <c:showSerName val="0"/>
          <c:showPercent val="0"/>
          <c:showBubbleSize val="0"/>
        </c:dLbls>
        <c:marker val="1"/>
        <c:smooth val="0"/>
        <c:axId val="451820160"/>
        <c:axId val="451818240"/>
      </c:lineChart>
      <c:catAx>
        <c:axId val="451805952"/>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zh-CN"/>
          </a:p>
        </c:txPr>
        <c:crossAx val="451807872"/>
        <c:crosses val="autoZero"/>
        <c:auto val="1"/>
        <c:lblAlgn val="ctr"/>
        <c:lblOffset val="100"/>
        <c:tickLblSkip val="20"/>
        <c:tickMarkSkip val="20"/>
        <c:noMultiLvlLbl val="0"/>
      </c:catAx>
      <c:valAx>
        <c:axId val="451807872"/>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zh-CN"/>
          </a:p>
        </c:txPr>
        <c:crossAx val="451805952"/>
        <c:crossesAt val="0"/>
        <c:crossBetween val="between"/>
        <c:majorUnit val="5"/>
        <c:minorUnit val="2.5"/>
      </c:valAx>
      <c:valAx>
        <c:axId val="45181824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zh-CN"/>
          </a:p>
        </c:txPr>
        <c:crossAx val="451820160"/>
        <c:crosses val="max"/>
        <c:crossBetween val="between"/>
      </c:valAx>
      <c:catAx>
        <c:axId val="451820160"/>
        <c:scaling>
          <c:orientation val="minMax"/>
        </c:scaling>
        <c:delete val="1"/>
        <c:axPos val="b"/>
        <c:numFmt formatCode="General" sourceLinked="1"/>
        <c:majorTickMark val="out"/>
        <c:minorTickMark val="none"/>
        <c:tickLblPos val="nextTo"/>
        <c:crossAx val="45181824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5.0955234442466989E-5</c:v>
                </c:pt>
                <c:pt idx="1">
                  <c:v>69.006643461176679</c:v>
                </c:pt>
                <c:pt idx="2">
                  <c:v>72.916417014324637</c:v>
                </c:pt>
                <c:pt idx="3">
                  <c:v>74.293175645518801</c:v>
                </c:pt>
                <c:pt idx="4">
                  <c:v>74.97604989845469</c:v>
                </c:pt>
                <c:pt idx="5">
                  <c:v>75.368301665403308</c:v>
                </c:pt>
                <c:pt idx="6">
                  <c:v>75.610017472941806</c:v>
                </c:pt>
                <c:pt idx="7">
                  <c:v>75.762809533835863</c:v>
                </c:pt>
                <c:pt idx="8">
                  <c:v>75.858087135937865</c:v>
                </c:pt>
                <c:pt idx="9">
                  <c:v>75.91358808191319</c:v>
                </c:pt>
                <c:pt idx="10">
                  <c:v>75.940116940623383</c:v>
                </c:pt>
                <c:pt idx="11">
                  <c:v>75.944651819665324</c:v>
                </c:pt>
                <c:pt idx="12">
                  <c:v>75.93191561124506</c:v>
                </c:pt>
                <c:pt idx="13">
                  <c:v>75.905230219308834</c:v>
                </c:pt>
                <c:pt idx="14">
                  <c:v>75.867008804728769</c:v>
                </c:pt>
                <c:pt idx="15">
                  <c:v>75.819053376776907</c:v>
                </c:pt>
                <c:pt idx="16">
                  <c:v>75.762742096563912</c:v>
                </c:pt>
                <c:pt idx="17">
                  <c:v>75.699151281145788</c:v>
                </c:pt>
                <c:pt idx="18">
                  <c:v>75.629137262816286</c:v>
                </c:pt>
                <c:pt idx="19">
                  <c:v>75.553392751266756</c:v>
                </c:pt>
                <c:pt idx="20">
                  <c:v>75.472486534033209</c:v>
                </c:pt>
                <c:pt idx="21">
                  <c:v>75.386892011908188</c:v>
                </c:pt>
                <c:pt idx="22">
                  <c:v>75.29700808357596</c:v>
                </c:pt>
                <c:pt idx="23">
                  <c:v>75.203174681624546</c:v>
                </c:pt>
                <c:pt idx="24">
                  <c:v>75.105684501321093</c:v>
                </c:pt>
                <c:pt idx="25">
                  <c:v>75.004791974696445</c:v>
                </c:pt>
                <c:pt idx="26">
                  <c:v>74.90072022162704</c:v>
                </c:pt>
                <c:pt idx="27">
                  <c:v>74.592075918983809</c:v>
                </c:pt>
                <c:pt idx="28">
                  <c:v>74.208725472730535</c:v>
                </c:pt>
                <c:pt idx="29">
                  <c:v>73.816992767040972</c:v>
                </c:pt>
                <c:pt idx="30">
                  <c:v>73.416680701914345</c:v>
                </c:pt>
                <c:pt idx="31">
                  <c:v>73.230786042724745</c:v>
                </c:pt>
                <c:pt idx="32">
                  <c:v>73.404977743770232</c:v>
                </c:pt>
                <c:pt idx="33">
                  <c:v>73.570371400333045</c:v>
                </c:pt>
                <c:pt idx="34">
                  <c:v>73.7276303746699</c:v>
                </c:pt>
                <c:pt idx="35">
                  <c:v>73.877351325041758</c:v>
                </c:pt>
                <c:pt idx="36">
                  <c:v>74.020072520151089</c:v>
                </c:pt>
                <c:pt idx="37">
                  <c:v>74.560302839419251</c:v>
                </c:pt>
                <c:pt idx="38">
                  <c:v>75.112261119712159</c:v>
                </c:pt>
                <c:pt idx="39">
                  <c:v>75.63429116735368</c:v>
                </c:pt>
                <c:pt idx="40">
                  <c:v>76.128461572133205</c:v>
                </c:pt>
                <c:pt idx="41">
                  <c:v>76.596673837377324</c:v>
                </c:pt>
                <c:pt idx="42">
                  <c:v>77.040677137380484</c:v>
                </c:pt>
                <c:pt idx="43">
                  <c:v>77.462081756125372</c:v>
                </c:pt>
                <c:pt idx="44">
                  <c:v>77.862371308262311</c:v>
                </c:pt>
                <c:pt idx="45">
                  <c:v>78.242913841709168</c:v>
                </c:pt>
                <c:pt idx="46">
                  <c:v>77.476937848811289</c:v>
                </c:pt>
                <c:pt idx="47">
                  <c:v>77.701798022468409</c:v>
                </c:pt>
                <c:pt idx="48">
                  <c:v>77.917673590430113</c:v>
                </c:pt>
                <c:pt idx="49">
                  <c:v>78.125061989870773</c:v>
                </c:pt>
                <c:pt idx="50">
                  <c:v>78.324424738922431</c:v>
                </c:pt>
                <c:pt idx="51">
                  <c:v>78.516190609417663</c:v>
                </c:pt>
                <c:pt idx="52">
                  <c:v>78.700758470393467</c:v>
                </c:pt>
                <c:pt idx="53">
                  <c:v>78.878499841388631</c:v>
                </c:pt>
                <c:pt idx="54">
                  <c:v>79.049761189386587</c:v>
                </c:pt>
                <c:pt idx="55">
                  <c:v>79.214865998834796</c:v>
                </c:pt>
                <c:pt idx="56">
                  <c:v>79.374116640385225</c:v>
                </c:pt>
                <c:pt idx="57">
                  <c:v>79.527796060753005</c:v>
                </c:pt>
                <c:pt idx="58">
                  <c:v>79.676169313295688</c:v>
                </c:pt>
                <c:pt idx="59">
                  <c:v>79.819484946506194</c:v>
                </c:pt>
                <c:pt idx="60">
                  <c:v>79.957976265530277</c:v>
                </c:pt>
                <c:pt idx="61">
                  <c:v>80.09186248001518</c:v>
                </c:pt>
                <c:pt idx="62">
                  <c:v>80.221349750031052</c:v>
                </c:pt>
                <c:pt idx="63">
                  <c:v>80.346632140443404</c:v>
                </c:pt>
                <c:pt idx="64">
                  <c:v>80.467892492928897</c:v>
                </c:pt>
                <c:pt idx="65">
                  <c:v>80.585303223788316</c:v>
                </c:pt>
                <c:pt idx="66">
                  <c:v>80.699027054804048</c:v>
                </c:pt>
                <c:pt idx="67">
                  <c:v>80.809217683592365</c:v>
                </c:pt>
                <c:pt idx="68">
                  <c:v>80.91602039920302</c:v>
                </c:pt>
                <c:pt idx="69">
                  <c:v>81.019572648102397</c:v>
                </c:pt>
                <c:pt idx="70">
                  <c:v>81.120004555134784</c:v>
                </c:pt>
                <c:pt idx="71">
                  <c:v>81.217439403577259</c:v>
                </c:pt>
                <c:pt idx="72">
                  <c:v>81.311994077980117</c:v>
                </c:pt>
                <c:pt idx="73">
                  <c:v>81.403779473109495</c:v>
                </c:pt>
                <c:pt idx="74">
                  <c:v>81.492900871975976</c:v>
                </c:pt>
                <c:pt idx="75">
                  <c:v>81.579458295637139</c:v>
                </c:pt>
                <c:pt idx="76">
                  <c:v>81.663546827198346</c:v>
                </c:pt>
                <c:pt idx="77">
                  <c:v>81.745256912201711</c:v>
                </c:pt>
                <c:pt idx="78">
                  <c:v>81.824674637383666</c:v>
                </c:pt>
                <c:pt idx="79">
                  <c:v>81.901881989593718</c:v>
                </c:pt>
                <c:pt idx="80">
                  <c:v>81.976957096500286</c:v>
                </c:pt>
                <c:pt idx="81">
                  <c:v>82.049974450558665</c:v>
                </c:pt>
                <c:pt idx="82">
                  <c:v>82.121005117581362</c:v>
                </c:pt>
                <c:pt idx="83">
                  <c:v>82.190116931130348</c:v>
                </c:pt>
                <c:pt idx="84">
                  <c:v>82.257374673841468</c:v>
                </c:pt>
                <c:pt idx="85">
                  <c:v>82.322840246693119</c:v>
                </c:pt>
                <c:pt idx="86">
                  <c:v>82.386572827143112</c:v>
                </c:pt>
                <c:pt idx="87">
                  <c:v>82.448629016977321</c:v>
                </c:pt>
                <c:pt idx="88">
                  <c:v>82.509062980641474</c:v>
                </c:pt>
                <c:pt idx="89">
                  <c:v>82.567926574763234</c:v>
                </c:pt>
                <c:pt idx="90">
                  <c:v>82.625269469510016</c:v>
                </c:pt>
                <c:pt idx="91">
                  <c:v>82.681139262377641</c:v>
                </c:pt>
                <c:pt idx="92">
                  <c:v>82.735581584953053</c:v>
                </c:pt>
                <c:pt idx="93">
                  <c:v>82.788640203152326</c:v>
                </c:pt>
                <c:pt idx="94">
                  <c:v>82.840357111393431</c:v>
                </c:pt>
                <c:pt idx="95">
                  <c:v>82.890772621127709</c:v>
                </c:pt>
                <c:pt idx="96">
                  <c:v>82.939925444119595</c:v>
                </c:pt>
                <c:pt idx="97">
                  <c:v>82.987852770834479</c:v>
                </c:pt>
                <c:pt idx="98">
                  <c:v>83.034590344266007</c:v>
                </c:pt>
                <c:pt idx="99">
                  <c:v>83.080172529509511</c:v>
                </c:pt>
                <c:pt idx="100">
                  <c:v>81.588833176904942</c:v>
                </c:pt>
              </c:numCache>
            </c:numRef>
          </c:val>
          <c:smooth val="0"/>
          <c:extLst>
            <c:ext xmlns:c16="http://schemas.microsoft.com/office/drawing/2014/chart" uri="{C3380CC4-5D6E-409C-BE32-E72D297353CC}">
              <c16:uniqueId val="{00000000-F0EA-4A0C-859E-C3182CAF915C}"/>
            </c:ext>
          </c:extLst>
        </c:ser>
        <c:dLbls>
          <c:showLegendKey val="0"/>
          <c:showVal val="0"/>
          <c:showCatName val="0"/>
          <c:showSerName val="0"/>
          <c:showPercent val="0"/>
          <c:showBubbleSize val="0"/>
        </c:dLbls>
        <c:marker val="1"/>
        <c:smooth val="0"/>
        <c:axId val="451868928"/>
        <c:axId val="451223936"/>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8.5643749999999983</c:v>
                </c:pt>
                <c:pt idx="2">
                  <c:v>17.128749999999997</c:v>
                </c:pt>
                <c:pt idx="3">
                  <c:v>25.693124999999998</c:v>
                </c:pt>
                <c:pt idx="4">
                  <c:v>34.257499999999993</c:v>
                </c:pt>
                <c:pt idx="5">
                  <c:v>42.821874999999999</c:v>
                </c:pt>
                <c:pt idx="6">
                  <c:v>51.386249999999997</c:v>
                </c:pt>
                <c:pt idx="7">
                  <c:v>59.950624999999995</c:v>
                </c:pt>
                <c:pt idx="8">
                  <c:v>68.514999999999986</c:v>
                </c:pt>
                <c:pt idx="9">
                  <c:v>77.079374999999999</c:v>
                </c:pt>
                <c:pt idx="10">
                  <c:v>85.643749999999997</c:v>
                </c:pt>
                <c:pt idx="11">
                  <c:v>94.208124999999995</c:v>
                </c:pt>
                <c:pt idx="12">
                  <c:v>102.77249999999999</c:v>
                </c:pt>
                <c:pt idx="13">
                  <c:v>111.33687499999999</c:v>
                </c:pt>
                <c:pt idx="14">
                  <c:v>119.90124999999999</c:v>
                </c:pt>
                <c:pt idx="15">
                  <c:v>128.46562499999999</c:v>
                </c:pt>
                <c:pt idx="16">
                  <c:v>137.02999999999997</c:v>
                </c:pt>
                <c:pt idx="17">
                  <c:v>145.59437500000001</c:v>
                </c:pt>
                <c:pt idx="18">
                  <c:v>154.15875</c:v>
                </c:pt>
                <c:pt idx="19">
                  <c:v>162.72312499999998</c:v>
                </c:pt>
                <c:pt idx="20">
                  <c:v>171.28749999999999</c:v>
                </c:pt>
                <c:pt idx="21">
                  <c:v>179.85187500000001</c:v>
                </c:pt>
                <c:pt idx="22">
                  <c:v>188.41624999999999</c:v>
                </c:pt>
                <c:pt idx="23">
                  <c:v>196.98062500000003</c:v>
                </c:pt>
                <c:pt idx="24">
                  <c:v>205.54499999999999</c:v>
                </c:pt>
                <c:pt idx="25">
                  <c:v>214.109375</c:v>
                </c:pt>
                <c:pt idx="26">
                  <c:v>222.67374999999998</c:v>
                </c:pt>
                <c:pt idx="27">
                  <c:v>231.238125</c:v>
                </c:pt>
                <c:pt idx="28">
                  <c:v>239.80249999999998</c:v>
                </c:pt>
                <c:pt idx="29">
                  <c:v>248.36687499999994</c:v>
                </c:pt>
                <c:pt idx="30">
                  <c:v>256.93124999999998</c:v>
                </c:pt>
                <c:pt idx="31">
                  <c:v>265.49562499999996</c:v>
                </c:pt>
                <c:pt idx="32">
                  <c:v>274.05999999999995</c:v>
                </c:pt>
                <c:pt idx="33">
                  <c:v>282.62437499999999</c:v>
                </c:pt>
                <c:pt idx="34">
                  <c:v>291.18875000000003</c:v>
                </c:pt>
                <c:pt idx="35">
                  <c:v>299.75312499999995</c:v>
                </c:pt>
                <c:pt idx="36">
                  <c:v>308.3175</c:v>
                </c:pt>
                <c:pt idx="37">
                  <c:v>316.88187499999992</c:v>
                </c:pt>
                <c:pt idx="38">
                  <c:v>325.44624999999996</c:v>
                </c:pt>
                <c:pt idx="39">
                  <c:v>334.01062499999989</c:v>
                </c:pt>
                <c:pt idx="40">
                  <c:v>342.57499999999999</c:v>
                </c:pt>
                <c:pt idx="41">
                  <c:v>351.13937499999992</c:v>
                </c:pt>
                <c:pt idx="42">
                  <c:v>359.70375000000001</c:v>
                </c:pt>
                <c:pt idx="43">
                  <c:v>368.26812499999994</c:v>
                </c:pt>
                <c:pt idx="44">
                  <c:v>376.83249999999998</c:v>
                </c:pt>
                <c:pt idx="45">
                  <c:v>385.39687499999997</c:v>
                </c:pt>
                <c:pt idx="46">
                  <c:v>393.96125000000006</c:v>
                </c:pt>
                <c:pt idx="47">
                  <c:v>402.52562499999993</c:v>
                </c:pt>
                <c:pt idx="48">
                  <c:v>411.09</c:v>
                </c:pt>
                <c:pt idx="49">
                  <c:v>419.6543749999999</c:v>
                </c:pt>
                <c:pt idx="50">
                  <c:v>428.21875</c:v>
                </c:pt>
                <c:pt idx="51">
                  <c:v>436.78312499999993</c:v>
                </c:pt>
                <c:pt idx="52">
                  <c:v>445.34749999999997</c:v>
                </c:pt>
                <c:pt idx="53">
                  <c:v>453.91187499999995</c:v>
                </c:pt>
                <c:pt idx="54">
                  <c:v>462.47624999999999</c:v>
                </c:pt>
                <c:pt idx="55">
                  <c:v>471.04062499999998</c:v>
                </c:pt>
                <c:pt idx="56">
                  <c:v>479.60499999999996</c:v>
                </c:pt>
                <c:pt idx="57">
                  <c:v>488.16937499999995</c:v>
                </c:pt>
                <c:pt idx="58">
                  <c:v>496.73374999999987</c:v>
                </c:pt>
                <c:pt idx="59">
                  <c:v>505.29812499999991</c:v>
                </c:pt>
                <c:pt idx="60">
                  <c:v>513.86249999999995</c:v>
                </c:pt>
                <c:pt idx="61">
                  <c:v>522.426875</c:v>
                </c:pt>
                <c:pt idx="62">
                  <c:v>530.99124999999992</c:v>
                </c:pt>
                <c:pt idx="63">
                  <c:v>539.55562499999996</c:v>
                </c:pt>
                <c:pt idx="64">
                  <c:v>548.11999999999989</c:v>
                </c:pt>
                <c:pt idx="65">
                  <c:v>556.68437499999993</c:v>
                </c:pt>
                <c:pt idx="66">
                  <c:v>565.24874999999997</c:v>
                </c:pt>
                <c:pt idx="67">
                  <c:v>573.8131249999999</c:v>
                </c:pt>
                <c:pt idx="68">
                  <c:v>582.37750000000005</c:v>
                </c:pt>
                <c:pt idx="69">
                  <c:v>590.94187499999987</c:v>
                </c:pt>
                <c:pt idx="70">
                  <c:v>599.50624999999991</c:v>
                </c:pt>
                <c:pt idx="71">
                  <c:v>608.07062499999984</c:v>
                </c:pt>
                <c:pt idx="72">
                  <c:v>616.63499999999999</c:v>
                </c:pt>
                <c:pt idx="73">
                  <c:v>625.19937499999992</c:v>
                </c:pt>
                <c:pt idx="74">
                  <c:v>633.76374999999985</c:v>
                </c:pt>
                <c:pt idx="75">
                  <c:v>642.32812499999989</c:v>
                </c:pt>
                <c:pt idx="76">
                  <c:v>650.89249999999993</c:v>
                </c:pt>
                <c:pt idx="77">
                  <c:v>659.45687499999997</c:v>
                </c:pt>
                <c:pt idx="78">
                  <c:v>668.02124999999978</c:v>
                </c:pt>
                <c:pt idx="79">
                  <c:v>676.58562499999994</c:v>
                </c:pt>
                <c:pt idx="80">
                  <c:v>685.15</c:v>
                </c:pt>
                <c:pt idx="81">
                  <c:v>693.7143749999999</c:v>
                </c:pt>
                <c:pt idx="82">
                  <c:v>702.27874999999983</c:v>
                </c:pt>
                <c:pt idx="83">
                  <c:v>710.84312499999987</c:v>
                </c:pt>
                <c:pt idx="84">
                  <c:v>719.40750000000003</c:v>
                </c:pt>
                <c:pt idx="85">
                  <c:v>727.97187499999995</c:v>
                </c:pt>
                <c:pt idx="86">
                  <c:v>736.53624999999988</c:v>
                </c:pt>
                <c:pt idx="87">
                  <c:v>745.10062499999992</c:v>
                </c:pt>
                <c:pt idx="88">
                  <c:v>753.66499999999996</c:v>
                </c:pt>
                <c:pt idx="89">
                  <c:v>762.22937500000012</c:v>
                </c:pt>
                <c:pt idx="90">
                  <c:v>770.79374999999993</c:v>
                </c:pt>
                <c:pt idx="91">
                  <c:v>779.35812499999986</c:v>
                </c:pt>
                <c:pt idx="92">
                  <c:v>787.92250000000013</c:v>
                </c:pt>
                <c:pt idx="93">
                  <c:v>796.48687500000005</c:v>
                </c:pt>
                <c:pt idx="94">
                  <c:v>805.05124999999987</c:v>
                </c:pt>
                <c:pt idx="95">
                  <c:v>813.6156249999998</c:v>
                </c:pt>
                <c:pt idx="96">
                  <c:v>822.18</c:v>
                </c:pt>
                <c:pt idx="97">
                  <c:v>830.74437499999988</c:v>
                </c:pt>
                <c:pt idx="98">
                  <c:v>839.3087499999998</c:v>
                </c:pt>
                <c:pt idx="99">
                  <c:v>847.87312499999973</c:v>
                </c:pt>
                <c:pt idx="100">
                  <c:v>856.4375</c:v>
                </c:pt>
              </c:numCache>
            </c:numRef>
          </c:val>
          <c:smooth val="0"/>
          <c:extLst>
            <c:ext xmlns:c16="http://schemas.microsoft.com/office/drawing/2014/chart" uri="{C3380CC4-5D6E-409C-BE32-E72D297353CC}">
              <c16:uniqueId val="{00000001-F0EA-4A0C-859E-C3182CAF915C}"/>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12.973654390204805</c:v>
                </c:pt>
                <c:pt idx="1">
                  <c:v>14.819904255778249</c:v>
                </c:pt>
                <c:pt idx="2">
                  <c:v>29.639942768488211</c:v>
                </c:pt>
                <c:pt idx="3">
                  <c:v>44.46011553995428</c:v>
                </c:pt>
                <c:pt idx="4">
                  <c:v>59.280422572000909</c:v>
                </c:pt>
                <c:pt idx="5">
                  <c:v>74.100863866452542</c:v>
                </c:pt>
                <c:pt idx="6">
                  <c:v>88.921439425133727</c:v>
                </c:pt>
                <c:pt idx="7">
                  <c:v>103.74214924986899</c:v>
                </c:pt>
                <c:pt idx="8">
                  <c:v>118.56299334248287</c:v>
                </c:pt>
                <c:pt idx="9">
                  <c:v>133.38397170479999</c:v>
                </c:pt>
                <c:pt idx="10">
                  <c:v>148.20508433864492</c:v>
                </c:pt>
                <c:pt idx="11">
                  <c:v>163.0263312458425</c:v>
                </c:pt>
                <c:pt idx="12">
                  <c:v>177.84771242821725</c:v>
                </c:pt>
                <c:pt idx="13">
                  <c:v>192.66922788759408</c:v>
                </c:pt>
                <c:pt idx="14">
                  <c:v>207.49087762579759</c:v>
                </c:pt>
                <c:pt idx="15">
                  <c:v>222.31266164465262</c:v>
                </c:pt>
                <c:pt idx="16">
                  <c:v>237.13457994598411</c:v>
                </c:pt>
                <c:pt idx="17">
                  <c:v>251.95663253161683</c:v>
                </c:pt>
                <c:pt idx="18">
                  <c:v>266.77881940337573</c:v>
                </c:pt>
                <c:pt idx="19">
                  <c:v>281.60114056308566</c:v>
                </c:pt>
                <c:pt idx="20">
                  <c:v>296.42359601257164</c:v>
                </c:pt>
                <c:pt idx="21">
                  <c:v>311.24618575365878</c:v>
                </c:pt>
                <c:pt idx="22">
                  <c:v>326.06890978817199</c:v>
                </c:pt>
                <c:pt idx="23">
                  <c:v>340.89176811793641</c:v>
                </c:pt>
                <c:pt idx="24">
                  <c:v>355.71476074477681</c:v>
                </c:pt>
                <c:pt idx="25">
                  <c:v>370.53788767051884</c:v>
                </c:pt>
                <c:pt idx="26">
                  <c:v>385.36114889698746</c:v>
                </c:pt>
                <c:pt idx="27">
                  <c:v>404.62094852196145</c:v>
                </c:pt>
                <c:pt idx="28">
                  <c:v>425.6464722998229</c:v>
                </c:pt>
                <c:pt idx="29">
                  <c:v>446.9946645736415</c:v>
                </c:pt>
                <c:pt idx="30">
                  <c:v>468.66011173588845</c:v>
                </c:pt>
                <c:pt idx="31">
                  <c:v>484.67358968610063</c:v>
                </c:pt>
                <c:pt idx="32">
                  <c:v>490.84631307818313</c:v>
                </c:pt>
                <c:pt idx="33">
                  <c:v>496.92492495950029</c:v>
                </c:pt>
                <c:pt idx="34">
                  <c:v>502.91370097774501</c:v>
                </c:pt>
                <c:pt idx="35">
                  <c:v>508.81660424716756</c:v>
                </c:pt>
                <c:pt idx="36">
                  <c:v>514.63731640890319</c:v>
                </c:pt>
                <c:pt idx="37">
                  <c:v>508.57789261124685</c:v>
                </c:pt>
                <c:pt idx="38">
                  <c:v>501.5435115876187</c:v>
                </c:pt>
                <c:pt idx="39">
                  <c:v>494.78005110217993</c:v>
                </c:pt>
                <c:pt idx="40">
                  <c:v>488.27099726400564</c:v>
                </c:pt>
                <c:pt idx="41">
                  <c:v>482.00119427615209</c:v>
                </c:pt>
                <c:pt idx="42">
                  <c:v>475.95670527660559</c:v>
                </c:pt>
                <c:pt idx="43">
                  <c:v>470.12469011936105</c:v>
                </c:pt>
                <c:pt idx="44">
                  <c:v>464.49329772212155</c:v>
                </c:pt>
                <c:pt idx="45">
                  <c:v>459.05157098134072</c:v>
                </c:pt>
                <c:pt idx="46">
                  <c:v>486.9413939773417</c:v>
                </c:pt>
                <c:pt idx="47">
                  <c:v>485.9179846479505</c:v>
                </c:pt>
                <c:pt idx="48">
                  <c:v>484.94115127786358</c:v>
                </c:pt>
                <c:pt idx="49">
                  <c:v>484.00830192281694</c:v>
                </c:pt>
                <c:pt idx="50">
                  <c:v>483.1170413599387</c:v>
                </c:pt>
                <c:pt idx="51">
                  <c:v>482.2651527724534</c:v>
                </c:pt>
                <c:pt idx="52">
                  <c:v>481.45058144326561</c:v>
                </c:pt>
                <c:pt idx="53">
                  <c:v>480.67142020496857</c:v>
                </c:pt>
                <c:pt idx="54">
                  <c:v>479.9258964294545</c:v>
                </c:pt>
                <c:pt idx="55">
                  <c:v>479.21236037035101</c:v>
                </c:pt>
                <c:pt idx="56">
                  <c:v>478.52927469696846</c:v>
                </c:pt>
                <c:pt idx="57">
                  <c:v>477.87520508005855</c:v>
                </c:pt>
                <c:pt idx="58">
                  <c:v>477.24881170809323</c:v>
                </c:pt>
                <c:pt idx="59">
                  <c:v>476.64884162849808</c:v>
                </c:pt>
                <c:pt idx="60">
                  <c:v>476.07412182174784</c:v>
                </c:pt>
                <c:pt idx="61">
                  <c:v>475.5235529277918</c:v>
                </c:pt>
                <c:pt idx="62">
                  <c:v>474.99610355423283</c:v>
                </c:pt>
                <c:pt idx="63">
                  <c:v>474.49080510428763</c:v>
                </c:pt>
                <c:pt idx="64">
                  <c:v>474.00674706997324</c:v>
                </c:pt>
                <c:pt idx="65">
                  <c:v>473.54307274242313</c:v>
                </c:pt>
                <c:pt idx="66">
                  <c:v>473.09897529683025</c:v>
                </c:pt>
                <c:pt idx="67">
                  <c:v>472.67369421439798</c:v>
                </c:pt>
                <c:pt idx="68">
                  <c:v>472.26651200792935</c:v>
                </c:pt>
                <c:pt idx="69">
                  <c:v>471.87675122141411</c:v>
                </c:pt>
                <c:pt idx="70">
                  <c:v>471.50377167723286</c:v>
                </c:pt>
                <c:pt idx="71">
                  <c:v>471.1469679474601</c:v>
                </c:pt>
                <c:pt idx="72">
                  <c:v>470.80576702826579</c:v>
                </c:pt>
                <c:pt idx="73">
                  <c:v>470.47962619863858</c:v>
                </c:pt>
                <c:pt idx="74">
                  <c:v>470.16803104660607</c:v>
                </c:pt>
                <c:pt idx="75">
                  <c:v>469.87049364786651</c:v>
                </c:pt>
                <c:pt idx="76">
                  <c:v>469.58655088327117</c:v>
                </c:pt>
                <c:pt idx="77">
                  <c:v>469.31576288296901</c:v>
                </c:pt>
                <c:pt idx="78">
                  <c:v>469.05771158622139</c:v>
                </c:pt>
                <c:pt idx="79">
                  <c:v>468.81199940698008</c:v>
                </c:pt>
                <c:pt idx="80">
                  <c:v>468.57824799627656</c:v>
                </c:pt>
                <c:pt idx="81">
                  <c:v>468.35609709332391</c:v>
                </c:pt>
                <c:pt idx="82">
                  <c:v>468.14520345800361</c:v>
                </c:pt>
                <c:pt idx="83">
                  <c:v>467.94523987808668</c:v>
                </c:pt>
                <c:pt idx="84">
                  <c:v>467.75589424515744</c:v>
                </c:pt>
                <c:pt idx="85">
                  <c:v>467.57686869375601</c:v>
                </c:pt>
                <c:pt idx="86">
                  <c:v>467.40787879874983</c:v>
                </c:pt>
                <c:pt idx="87">
                  <c:v>467.2486528263903</c:v>
                </c:pt>
                <c:pt idx="88">
                  <c:v>467.09893103491532</c:v>
                </c:pt>
                <c:pt idx="89">
                  <c:v>466.95846502090654</c:v>
                </c:pt>
                <c:pt idx="90">
                  <c:v>466.82701710795828</c:v>
                </c:pt>
                <c:pt idx="91">
                  <c:v>466.7043597744875</c:v>
                </c:pt>
                <c:pt idx="92">
                  <c:v>466.59027511779664</c:v>
                </c:pt>
                <c:pt idx="93">
                  <c:v>466.48455435173622</c:v>
                </c:pt>
                <c:pt idx="94">
                  <c:v>466.38699733553557</c:v>
                </c:pt>
                <c:pt idx="95">
                  <c:v>466.29741213156819</c:v>
                </c:pt>
                <c:pt idx="96">
                  <c:v>466.21561458999963</c:v>
                </c:pt>
                <c:pt idx="97">
                  <c:v>466.14142795843168</c:v>
                </c:pt>
                <c:pt idx="98">
                  <c:v>466.07468251480276</c:v>
                </c:pt>
                <c:pt idx="99">
                  <c:v>466.01521522194719</c:v>
                </c:pt>
                <c:pt idx="100">
                  <c:v>465.96286940233421</c:v>
                </c:pt>
              </c:numCache>
            </c:numRef>
          </c:val>
          <c:smooth val="0"/>
          <c:extLst>
            <c:ext xmlns:c16="http://schemas.microsoft.com/office/drawing/2014/chart" uri="{C3380CC4-5D6E-409C-BE32-E72D297353CC}">
              <c16:uniqueId val="{00000002-F0EA-4A0C-859E-C3182CAF915C}"/>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12.538921452860796</c:v>
                </c:pt>
                <c:pt idx="1">
                  <c:v>12.546587668662465</c:v>
                </c:pt>
                <c:pt idx="2">
                  <c:v>12.660629942976806</c:v>
                </c:pt>
                <c:pt idx="3">
                  <c:v>12.891235503352711</c:v>
                </c:pt>
                <c:pt idx="4">
                  <c:v>13.265037084313851</c:v>
                </c:pt>
                <c:pt idx="5">
                  <c:v>13.804358814208021</c:v>
                </c:pt>
                <c:pt idx="6">
                  <c:v>14.528825685810748</c:v>
                </c:pt>
                <c:pt idx="7">
                  <c:v>15.45616102014977</c:v>
                </c:pt>
                <c:pt idx="8">
                  <c:v>16.602653195728173</c:v>
                </c:pt>
                <c:pt idx="9">
                  <c:v>17.983457341791748</c:v>
                </c:pt>
                <c:pt idx="10">
                  <c:v>19.612803896005065</c:v>
                </c:pt>
                <c:pt idx="11">
                  <c:v>21.504149982292478</c:v>
                </c:pt>
                <c:pt idx="12">
                  <c:v>23.670293444164233</c:v>
                </c:pt>
                <c:pt idx="13">
                  <c:v>26.123461300782388</c:v>
                </c:pt>
                <c:pt idx="14">
                  <c:v>28.875380010790053</c:v>
                </c:pt>
                <c:pt idx="15">
                  <c:v>31.937332392020206</c:v>
                </c:pt>
                <c:pt idx="16">
                  <c:v>35.320204499340491</c:v>
                </c:pt>
                <c:pt idx="17">
                  <c:v>39.034524780331431</c:v>
                </c:pt>
                <c:pt idx="18">
                  <c:v>43.090497181469743</c:v>
                </c:pt>
                <c:pt idx="19">
                  <c:v>47.498029438372363</c:v>
                </c:pt>
                <c:pt idx="20">
                  <c:v>52.266757477790428</c:v>
                </c:pt>
                <c:pt idx="21">
                  <c:v>57.406066641095293</c:v>
                </c:pt>
                <c:pt idx="22">
                  <c:v>62.925110280575694</c:v>
                </c:pt>
                <c:pt idx="23">
                  <c:v>68.832826162644437</c:v>
                </c:pt>
                <c:pt idx="24">
                  <c:v>75.137951023934562</c:v>
                </c:pt>
                <c:pt idx="25">
                  <c:v>81.849033559085385</c:v>
                </c:pt>
                <c:pt idx="26">
                  <c:v>88.974446067115224</c:v>
                </c:pt>
                <c:pt idx="27">
                  <c:v>99.890874965899641</c:v>
                </c:pt>
                <c:pt idx="28">
                  <c:v>113.06399329899028</c:v>
                </c:pt>
                <c:pt idx="29">
                  <c:v>127.54622872530264</c:v>
                </c:pt>
                <c:pt idx="30">
                  <c:v>143.42049913052108</c:v>
                </c:pt>
                <c:pt idx="31">
                  <c:v>156.38462969446289</c:v>
                </c:pt>
                <c:pt idx="32">
                  <c:v>162.5955957651359</c:v>
                </c:pt>
                <c:pt idx="33">
                  <c:v>168.85177747212606</c:v>
                </c:pt>
                <c:pt idx="34">
                  <c:v>175.15215571105477</c:v>
                </c:pt>
                <c:pt idx="35">
                  <c:v>181.49576414160342</c:v>
                </c:pt>
                <c:pt idx="36">
                  <c:v>187.88168502245369</c:v>
                </c:pt>
                <c:pt idx="37">
                  <c:v>184.48118927429778</c:v>
                </c:pt>
                <c:pt idx="38">
                  <c:v>180.28554963609676</c:v>
                </c:pt>
                <c:pt idx="39">
                  <c:v>176.32235377532797</c:v>
                </c:pt>
                <c:pt idx="40">
                  <c:v>172.57534334451032</c:v>
                </c:pt>
                <c:pt idx="41">
                  <c:v>169.02970741729746</c:v>
                </c:pt>
                <c:pt idx="42">
                  <c:v>165.67192762597503</c:v>
                </c:pt>
                <c:pt idx="43">
                  <c:v>162.48964248123053</c:v>
                </c:pt>
                <c:pt idx="44">
                  <c:v>159.47152819553591</c:v>
                </c:pt>
                <c:pt idx="45">
                  <c:v>156.6071937447679</c:v>
                </c:pt>
                <c:pt idx="46">
                  <c:v>188.89788012334262</c:v>
                </c:pt>
                <c:pt idx="47">
                  <c:v>190.56925194986002</c:v>
                </c:pt>
                <c:pt idx="48">
                  <c:v>192.24740614512245</c:v>
                </c:pt>
                <c:pt idx="49">
                  <c:v>193.93334176353454</c:v>
                </c:pt>
                <c:pt idx="50">
                  <c:v>195.62798569062639</c:v>
                </c:pt>
                <c:pt idx="51">
                  <c:v>197.3321990850458</c:v>
                </c:pt>
                <c:pt idx="52">
                  <c:v>199.04678314587963</c:v>
                </c:pt>
                <c:pt idx="53">
                  <c:v>200.77248428618032</c:v>
                </c:pt>
                <c:pt idx="54">
                  <c:v>202.50999878271085</c:v>
                </c:pt>
                <c:pt idx="55">
                  <c:v>204.25997696265537</c:v>
                </c:pt>
                <c:pt idx="56">
                  <c:v>206.02302698013077</c:v>
                </c:pt>
                <c:pt idx="57">
                  <c:v>207.79971822856891</c:v>
                </c:pt>
                <c:pt idx="58">
                  <c:v>209.59058442923742</c:v>
                </c:pt>
                <c:pt idx="59">
                  <c:v>211.39612643113838</c:v>
                </c:pt>
                <c:pt idx="60">
                  <c:v>213.21681475324854</c:v>
                </c:pt>
                <c:pt idx="61">
                  <c:v>215.0530918963043</c:v>
                </c:pt>
                <c:pt idx="62">
                  <c:v>216.90537444811505</c:v>
                </c:pt>
                <c:pt idx="63">
                  <c:v>218.77405500358481</c:v>
                </c:pt>
                <c:pt idx="64">
                  <c:v>220.65950391817066</c:v>
                </c:pt>
                <c:pt idx="65">
                  <c:v>222.56207091138302</c:v>
                </c:pt>
                <c:pt idx="66">
                  <c:v>224.48208653505793</c:v>
                </c:pt>
                <c:pt idx="67">
                  <c:v>226.41986351952326</c:v>
                </c:pt>
                <c:pt idx="68">
                  <c:v>228.37569800932275</c:v>
                </c:pt>
                <c:pt idx="69">
                  <c:v>230.34987069892449</c:v>
                </c:pt>
                <c:pt idx="70">
                  <c:v>232.34264787772449</c:v>
                </c:pt>
                <c:pt idx="71">
                  <c:v>234.35428239267995</c:v>
                </c:pt>
                <c:pt idx="72">
                  <c:v>236.38501453604289</c:v>
                </c:pt>
                <c:pt idx="73">
                  <c:v>238.43507286490714</c:v>
                </c:pt>
                <c:pt idx="74">
                  <c:v>240.50467495858982</c:v>
                </c:pt>
                <c:pt idx="75">
                  <c:v>242.59402811929033</c:v>
                </c:pt>
                <c:pt idx="76">
                  <c:v>244.70333002090229</c:v>
                </c:pt>
                <c:pt idx="77">
                  <c:v>246.83276931041974</c:v>
                </c:pt>
                <c:pt idx="78">
                  <c:v>248.98252616590779</c:v>
                </c:pt>
                <c:pt idx="79">
                  <c:v>251.15277281466948</c:v>
                </c:pt>
                <c:pt idx="80">
                  <c:v>253.34367401487256</c:v>
                </c:pt>
                <c:pt idx="81">
                  <c:v>255.55538750361168</c:v>
                </c:pt>
                <c:pt idx="82">
                  <c:v>257.78806441410029</c:v>
                </c:pt>
                <c:pt idx="83">
                  <c:v>260.04184966445024</c:v>
                </c:pt>
                <c:pt idx="84">
                  <c:v>262.3168823202663</c:v>
                </c:pt>
                <c:pt idx="85">
                  <c:v>264.61329593309534</c:v>
                </c:pt>
                <c:pt idx="86">
                  <c:v>266.93121885658093</c:v>
                </c:pt>
                <c:pt idx="87">
                  <c:v>269.27077454202561</c:v>
                </c:pt>
                <c:pt idx="88">
                  <c:v>271.63208181490302</c:v>
                </c:pt>
                <c:pt idx="89">
                  <c:v>274.01525513374139</c:v>
                </c:pt>
                <c:pt idx="90">
                  <c:v>276.42040483267903</c:v>
                </c:pt>
                <c:pt idx="91">
                  <c:v>278.84763734887207</c:v>
                </c:pt>
                <c:pt idx="92">
                  <c:v>281.29705543586545</c:v>
                </c:pt>
                <c:pt idx="93">
                  <c:v>283.76875836390695</c:v>
                </c:pt>
                <c:pt idx="94">
                  <c:v>286.26284210814873</c:v>
                </c:pt>
                <c:pt idx="95">
                  <c:v>288.77939952556852</c:v>
                </c:pt>
                <c:pt idx="96">
                  <c:v>291.31852052140158</c:v>
                </c:pt>
                <c:pt idx="97">
                  <c:v>293.88029220579898</c:v>
                </c:pt>
                <c:pt idx="98">
                  <c:v>296.46479904137794</c:v>
                </c:pt>
                <c:pt idx="99">
                  <c:v>299.07212298227904</c:v>
                </c:pt>
                <c:pt idx="100">
                  <c:v>301.70234360529219</c:v>
                </c:pt>
              </c:numCache>
            </c:numRef>
          </c:val>
          <c:smooth val="0"/>
          <c:extLst>
            <c:ext xmlns:c16="http://schemas.microsoft.com/office/drawing/2014/chart" uri="{C3380CC4-5D6E-409C-BE32-E72D297353CC}">
              <c16:uniqueId val="{00000003-F0EA-4A0C-859E-C3182CAF915C}"/>
            </c:ext>
          </c:extLst>
        </c:ser>
        <c:dLbls>
          <c:showLegendKey val="0"/>
          <c:showVal val="0"/>
          <c:showCatName val="0"/>
          <c:showSerName val="0"/>
          <c:showPercent val="0"/>
          <c:showBubbleSize val="0"/>
        </c:dLbls>
        <c:marker val="1"/>
        <c:smooth val="0"/>
        <c:axId val="451236224"/>
        <c:axId val="451225856"/>
      </c:lineChart>
      <c:catAx>
        <c:axId val="45186892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zh-CN"/>
          </a:p>
        </c:txPr>
        <c:crossAx val="451223936"/>
        <c:crosses val="autoZero"/>
        <c:auto val="1"/>
        <c:lblAlgn val="ctr"/>
        <c:lblOffset val="100"/>
        <c:tickLblSkip val="20"/>
        <c:tickMarkSkip val="20"/>
        <c:noMultiLvlLbl val="0"/>
      </c:catAx>
      <c:valAx>
        <c:axId val="451223936"/>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zh-CN"/>
          </a:p>
        </c:txPr>
        <c:crossAx val="451868928"/>
        <c:crossesAt val="0"/>
        <c:crossBetween val="between"/>
        <c:majorUnit val="5"/>
        <c:minorUnit val="2.5"/>
      </c:valAx>
      <c:valAx>
        <c:axId val="45122585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zh-CN"/>
          </a:p>
        </c:txPr>
        <c:crossAx val="451236224"/>
        <c:crosses val="max"/>
        <c:crossBetween val="between"/>
      </c:valAx>
      <c:catAx>
        <c:axId val="451236224"/>
        <c:scaling>
          <c:orientation val="minMax"/>
        </c:scaling>
        <c:delete val="1"/>
        <c:axPos val="b"/>
        <c:numFmt formatCode="General" sourceLinked="1"/>
        <c:majorTickMark val="out"/>
        <c:minorTickMark val="none"/>
        <c:tickLblPos val="nextTo"/>
        <c:crossAx val="45122585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Single'!$AN$110:$AN$210</c:f>
              <c:numCache>
                <c:formatCode>0.0</c:formatCode>
                <c:ptCount val="101"/>
                <c:pt idx="0">
                  <c:v>12</c:v>
                </c:pt>
                <c:pt idx="1">
                  <c:v>12</c:v>
                </c:pt>
                <c:pt idx="2">
                  <c:v>21.657735026918967</c:v>
                </c:pt>
                <c:pt idx="3">
                  <c:v>32.486602540378442</c:v>
                </c:pt>
                <c:pt idx="4">
                  <c:v>43.315470053837934</c:v>
                </c:pt>
                <c:pt idx="5">
                  <c:v>54.144337567297406</c:v>
                </c:pt>
                <c:pt idx="6">
                  <c:v>64.973205080756884</c:v>
                </c:pt>
                <c:pt idx="7">
                  <c:v>75.802072594216384</c:v>
                </c:pt>
                <c:pt idx="8">
                  <c:v>86.630940107675869</c:v>
                </c:pt>
                <c:pt idx="9">
                  <c:v>97.459807621135354</c:v>
                </c:pt>
                <c:pt idx="10">
                  <c:v>108.28867513459481</c:v>
                </c:pt>
                <c:pt idx="11">
                  <c:v>119.11754264805431</c:v>
                </c:pt>
                <c:pt idx="12">
                  <c:v>129.94641016151377</c:v>
                </c:pt>
                <c:pt idx="13">
                  <c:v>140.77527767497327</c:v>
                </c:pt>
                <c:pt idx="14">
                  <c:v>151.60414518843277</c:v>
                </c:pt>
                <c:pt idx="15">
                  <c:v>162.43301270189224</c:v>
                </c:pt>
                <c:pt idx="16">
                  <c:v>173.26188021535174</c:v>
                </c:pt>
                <c:pt idx="17">
                  <c:v>184.09074772881124</c:v>
                </c:pt>
                <c:pt idx="18">
                  <c:v>194.91961524227071</c:v>
                </c:pt>
                <c:pt idx="19">
                  <c:v>205.74848275573015</c:v>
                </c:pt>
                <c:pt idx="20">
                  <c:v>216.57735026918962</c:v>
                </c:pt>
                <c:pt idx="21">
                  <c:v>227.40621778264912</c:v>
                </c:pt>
                <c:pt idx="22">
                  <c:v>238.23508529610862</c:v>
                </c:pt>
                <c:pt idx="23">
                  <c:v>249.06395280956812</c:v>
                </c:pt>
                <c:pt idx="24">
                  <c:v>259.89282032302754</c:v>
                </c:pt>
                <c:pt idx="25">
                  <c:v>270.72168783648709</c:v>
                </c:pt>
                <c:pt idx="26">
                  <c:v>266.32104640833802</c:v>
                </c:pt>
                <c:pt idx="27">
                  <c:v>256.94188251338028</c:v>
                </c:pt>
                <c:pt idx="28">
                  <c:v>248.21614926300737</c:v>
                </c:pt>
                <c:pt idx="29">
                  <c:v>240.05646781900637</c:v>
                </c:pt>
                <c:pt idx="30">
                  <c:v>232.4145188813462</c:v>
                </c:pt>
                <c:pt idx="31">
                  <c:v>225.24334470133701</c:v>
                </c:pt>
                <c:pt idx="32">
                  <c:v>218.50074219239383</c:v>
                </c:pt>
                <c:pt idx="33">
                  <c:v>212.14940635533671</c:v>
                </c:pt>
                <c:pt idx="34">
                  <c:v>206.15623972516318</c:v>
                </c:pt>
                <c:pt idx="35">
                  <c:v>200.49177544252433</c:v>
                </c:pt>
                <c:pt idx="36">
                  <c:v>195.12969272011813</c:v>
                </c:pt>
                <c:pt idx="37">
                  <c:v>190.04640788961703</c:v>
                </c:pt>
                <c:pt idx="38">
                  <c:v>185.22072762321724</c:v>
                </c:pt>
                <c:pt idx="39">
                  <c:v>180.63355357426994</c:v>
                </c:pt>
                <c:pt idx="40">
                  <c:v>176.26762975656624</c:v>
                </c:pt>
                <c:pt idx="41">
                  <c:v>172.10732561715793</c:v>
                </c:pt>
                <c:pt idx="42">
                  <c:v>168.13844905429585</c:v>
                </c:pt>
                <c:pt idx="43">
                  <c:v>164.34808466630415</c:v>
                </c:pt>
                <c:pt idx="44">
                  <c:v>160.72445334671616</c:v>
                </c:pt>
                <c:pt idx="45">
                  <c:v>157.25679000983229</c:v>
                </c:pt>
                <c:pt idx="46">
                  <c:v>153.93523677287564</c:v>
                </c:pt>
                <c:pt idx="47">
                  <c:v>150.75074936228222</c:v>
                </c:pt>
                <c:pt idx="48">
                  <c:v>147.6950148727218</c:v>
                </c:pt>
                <c:pt idx="49">
                  <c:v>144.76037930411007</c:v>
                </c:pt>
                <c:pt idx="50">
                  <c:v>141.93978354666044</c:v>
                </c:pt>
                <c:pt idx="51">
                  <c:v>139.22670668681673</c:v>
                </c:pt>
                <c:pt idx="52">
                  <c:v>136.61511567556715</c:v>
                </c:pt>
                <c:pt idx="53">
                  <c:v>134.09942054142772</c:v>
                </c:pt>
                <c:pt idx="54">
                  <c:v>131.67443444832335</c:v>
                </c:pt>
                <c:pt idx="55">
                  <c:v>129.3353379977448</c:v>
                </c:pt>
                <c:pt idx="56">
                  <c:v>127.07764725816767</c:v>
                </c:pt>
                <c:pt idx="57">
                  <c:v>124.89718507547283</c:v>
                </c:pt>
                <c:pt idx="58">
                  <c:v>122.79005527813774</c:v>
                </c:pt>
                <c:pt idx="59">
                  <c:v>120.75261944207398</c:v>
                </c:pt>
                <c:pt idx="60">
                  <c:v>118.78147592360217</c:v>
                </c:pt>
                <c:pt idx="61">
                  <c:v>116.87344090639112</c:v>
                </c:pt>
                <c:pt idx="62">
                  <c:v>115.02553124022573</c:v>
                </c:pt>
                <c:pt idx="63">
                  <c:v>113.23494887703711</c:v>
                </c:pt>
                <c:pt idx="64">
                  <c:v>111.49906673340296</c:v>
                </c:pt>
                <c:pt idx="65">
                  <c:v>109.81541582928403</c:v>
                </c:pt>
                <c:pt idx="66">
                  <c:v>108.18167357057872</c:v>
                </c:pt>
                <c:pt idx="67">
                  <c:v>106.59565305854807</c:v>
                </c:pt>
                <c:pt idx="68">
                  <c:v>105.05529332263369</c:v>
                </c:pt>
                <c:pt idx="69">
                  <c:v>103.5586503849393</c:v>
                </c:pt>
                <c:pt idx="70">
                  <c:v>102.103889074913</c:v>
                </c:pt>
                <c:pt idx="71">
                  <c:v>100.68927552176329</c:v>
                </c:pt>
                <c:pt idx="72">
                  <c:v>99.313170260031427</c:v>
                </c:pt>
                <c:pt idx="73">
                  <c:v>97.97402189068039</c:v>
                </c:pt>
                <c:pt idx="74">
                  <c:v>96.670361246173485</c:v>
                </c:pt>
                <c:pt idx="75">
                  <c:v>95.400796013402598</c:v>
                </c:pt>
                <c:pt idx="76">
                  <c:v>94.164005773094516</c:v>
                </c:pt>
                <c:pt idx="77">
                  <c:v>92.958737418540764</c:v>
                </c:pt>
                <c:pt idx="78">
                  <c:v>91.783800920235223</c:v>
                </c:pt>
                <c:pt idx="79">
                  <c:v>90.63806540632936</c:v>
                </c:pt>
                <c:pt idx="80">
                  <c:v>89.52045553176643</c:v>
                </c:pt>
                <c:pt idx="81">
                  <c:v>88.429948111591244</c:v>
                </c:pt>
                <c:pt idx="82">
                  <c:v>87.365568996279109</c:v>
                </c:pt>
                <c:pt idx="83">
                  <c:v>86.326390169027135</c:v>
                </c:pt>
                <c:pt idx="84">
                  <c:v>85.311527046827933</c:v>
                </c:pt>
                <c:pt idx="85">
                  <c:v>84.320135968827898</c:v>
                </c:pt>
                <c:pt idx="86">
                  <c:v>83.351411856981272</c:v>
                </c:pt>
                <c:pt idx="87">
                  <c:v>82.404586035367132</c:v>
                </c:pt>
                <c:pt idx="88">
                  <c:v>81.47892419575409</c:v>
                </c:pt>
                <c:pt idx="89">
                  <c:v>80.57372449809759</c:v>
                </c:pt>
                <c:pt idx="90">
                  <c:v>79.688315795642055</c:v>
                </c:pt>
                <c:pt idx="91">
                  <c:v>78.822055975195312</c:v>
                </c:pt>
                <c:pt idx="92">
                  <c:v>77.974330403949381</c:v>
                </c:pt>
                <c:pt idx="93">
                  <c:v>77.144550474952482</c:v>
                </c:pt>
                <c:pt idx="94">
                  <c:v>76.332152243998493</c:v>
                </c:pt>
                <c:pt idx="95">
                  <c:v>75.536595151300148</c:v>
                </c:pt>
                <c:pt idx="96">
                  <c:v>74.757360821856906</c:v>
                </c:pt>
                <c:pt idx="97">
                  <c:v>73.993951938922734</c:v>
                </c:pt>
                <c:pt idx="98">
                  <c:v>73.245891185429556</c:v>
                </c:pt>
                <c:pt idx="99">
                  <c:v>72.512720248631155</c:v>
                </c:pt>
                <c:pt idx="100">
                  <c:v>71.793998883606463</c:v>
                </c:pt>
              </c:numCache>
            </c:numRef>
          </c:val>
          <c:smooth val="0"/>
          <c:extLst>
            <c:ext xmlns:c16="http://schemas.microsoft.com/office/drawing/2014/chart" uri="{C3380CC4-5D6E-409C-BE32-E72D297353CC}">
              <c16:uniqueId val="{00000000-35C4-40D8-9B41-933331EBB298}"/>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Single'!$AN$5:$AN$105</c:f>
              <c:numCache>
                <c:formatCode>0.0</c:formatCode>
                <c:ptCount val="101"/>
                <c:pt idx="0">
                  <c:v>12</c:v>
                </c:pt>
                <c:pt idx="1">
                  <c:v>12</c:v>
                </c:pt>
                <c:pt idx="2">
                  <c:v>21.657735026918967</c:v>
                </c:pt>
                <c:pt idx="3">
                  <c:v>32.486602540378442</c:v>
                </c:pt>
                <c:pt idx="4">
                  <c:v>43.315470053837934</c:v>
                </c:pt>
                <c:pt idx="5">
                  <c:v>54.144337567297406</c:v>
                </c:pt>
                <c:pt idx="6">
                  <c:v>64.973205080756884</c:v>
                </c:pt>
                <c:pt idx="7">
                  <c:v>75.802072594216384</c:v>
                </c:pt>
                <c:pt idx="8">
                  <c:v>86.630940107675869</c:v>
                </c:pt>
                <c:pt idx="9">
                  <c:v>97.459807621135354</c:v>
                </c:pt>
                <c:pt idx="10">
                  <c:v>108.28867513459481</c:v>
                </c:pt>
                <c:pt idx="11">
                  <c:v>119.11754264805431</c:v>
                </c:pt>
                <c:pt idx="12">
                  <c:v>129.94641016151377</c:v>
                </c:pt>
                <c:pt idx="13">
                  <c:v>140.77527767497327</c:v>
                </c:pt>
                <c:pt idx="14">
                  <c:v>151.60414518843277</c:v>
                </c:pt>
                <c:pt idx="15">
                  <c:v>162.43301270189224</c:v>
                </c:pt>
                <c:pt idx="16">
                  <c:v>173.26188021535174</c:v>
                </c:pt>
                <c:pt idx="17">
                  <c:v>184.09074772881124</c:v>
                </c:pt>
                <c:pt idx="18">
                  <c:v>194.91961524227071</c:v>
                </c:pt>
                <c:pt idx="19">
                  <c:v>205.74848275573015</c:v>
                </c:pt>
                <c:pt idx="20">
                  <c:v>216.57735026918962</c:v>
                </c:pt>
                <c:pt idx="21">
                  <c:v>227.40621778264912</c:v>
                </c:pt>
                <c:pt idx="22">
                  <c:v>238.23508529610862</c:v>
                </c:pt>
                <c:pt idx="23">
                  <c:v>249.06395280956812</c:v>
                </c:pt>
                <c:pt idx="24">
                  <c:v>259.89282032302754</c:v>
                </c:pt>
                <c:pt idx="25">
                  <c:v>270.72168783648709</c:v>
                </c:pt>
                <c:pt idx="26">
                  <c:v>281.55055534994653</c:v>
                </c:pt>
                <c:pt idx="27">
                  <c:v>292.37942286340603</c:v>
                </c:pt>
                <c:pt idx="28">
                  <c:v>303.20829037686553</c:v>
                </c:pt>
                <c:pt idx="29">
                  <c:v>314.03715789032492</c:v>
                </c:pt>
                <c:pt idx="30">
                  <c:v>324.86602540378448</c:v>
                </c:pt>
                <c:pt idx="31">
                  <c:v>335.69489291724392</c:v>
                </c:pt>
                <c:pt idx="32">
                  <c:v>346.52376043070348</c:v>
                </c:pt>
                <c:pt idx="33">
                  <c:v>350</c:v>
                </c:pt>
                <c:pt idx="34">
                  <c:v>350</c:v>
                </c:pt>
                <c:pt idx="35">
                  <c:v>350</c:v>
                </c:pt>
                <c:pt idx="36">
                  <c:v>350</c:v>
                </c:pt>
                <c:pt idx="37">
                  <c:v>350</c:v>
                </c:pt>
                <c:pt idx="38">
                  <c:v>350</c:v>
                </c:pt>
                <c:pt idx="39">
                  <c:v>350</c:v>
                </c:pt>
                <c:pt idx="40">
                  <c:v>350</c:v>
                </c:pt>
                <c:pt idx="41">
                  <c:v>344.82591939550809</c:v>
                </c:pt>
                <c:pt idx="42">
                  <c:v>337.18970611405882</c:v>
                </c:pt>
                <c:pt idx="43">
                  <c:v>329.8853537215868</c:v>
                </c:pt>
                <c:pt idx="44">
                  <c:v>322.88494505669894</c:v>
                </c:pt>
                <c:pt idx="45">
                  <c:v>316.18216594600614</c:v>
                </c:pt>
                <c:pt idx="46">
                  <c:v>309.7528998753005</c:v>
                </c:pt>
                <c:pt idx="47">
                  <c:v>303.58017563851553</c:v>
                </c:pt>
                <c:pt idx="48">
                  <c:v>297.64775774835562</c:v>
                </c:pt>
                <c:pt idx="49">
                  <c:v>291.9433795322679</c:v>
                </c:pt>
                <c:pt idx="50">
                  <c:v>286.45414027005842</c:v>
                </c:pt>
                <c:pt idx="51">
                  <c:v>281.16809432831474</c:v>
                </c:pt>
                <c:pt idx="52">
                  <c:v>276.0741643809103</c:v>
                </c:pt>
                <c:pt idx="53">
                  <c:v>271.16206392241293</c:v>
                </c:pt>
                <c:pt idx="54">
                  <c:v>266.42222793375663</c:v>
                </c:pt>
                <c:pt idx="55">
                  <c:v>261.84575071678023</c:v>
                </c:pt>
                <c:pt idx="56">
                  <c:v>257.42433004751598</c:v>
                </c:pt>
                <c:pt idx="57">
                  <c:v>253.15021691140421</c:v>
                </c:pt>
                <c:pt idx="58">
                  <c:v>249.01617018019326</c:v>
                </c:pt>
                <c:pt idx="59">
                  <c:v>245.01541567285798</c:v>
                </c:pt>
                <c:pt idx="60">
                  <c:v>241.14160911365371</c:v>
                </c:pt>
                <c:pt idx="61">
                  <c:v>237.38880256125086</c:v>
                </c:pt>
                <c:pt idx="62">
                  <c:v>233.75141393531158</c:v>
                </c:pt>
                <c:pt idx="63">
                  <c:v>230.22419931214012</c:v>
                </c:pt>
                <c:pt idx="64">
                  <c:v>226.80222770022655</c:v>
                </c:pt>
                <c:pt idx="65">
                  <c:v>223.480858040512</c:v>
                </c:pt>
                <c:pt idx="66">
                  <c:v>220.25571820577542</c:v>
                </c:pt>
                <c:pt idx="67">
                  <c:v>217.12268579931475</c:v>
                </c:pt>
                <c:pt idx="68">
                  <c:v>214.07787057559995</c:v>
                </c:pt>
                <c:pt idx="69">
                  <c:v>211.11759832527085</c:v>
                </c:pt>
                <c:pt idx="70">
                  <c:v>208.23839608412098</c:v>
                </c:pt>
                <c:pt idx="71">
                  <c:v>205.43697854087469</c:v>
                </c:pt>
                <c:pt idx="72">
                  <c:v>202.71023553191384</c:v>
                </c:pt>
                <c:pt idx="73">
                  <c:v>200.05522052287981</c:v>
                </c:pt>
                <c:pt idx="74">
                  <c:v>197.46913998746919</c:v>
                </c:pt>
                <c:pt idx="75">
                  <c:v>194.94934360293573</c:v>
                </c:pt>
                <c:pt idx="76">
                  <c:v>192.49331518996013</c:v>
                </c:pt>
                <c:pt idx="77">
                  <c:v>190.09866433177825</c:v>
                </c:pt>
                <c:pt idx="78">
                  <c:v>187.76311861388891</c:v>
                </c:pt>
                <c:pt idx="79">
                  <c:v>185.48451643138367</c:v>
                </c:pt>
                <c:pt idx="80">
                  <c:v>183.2608003160434</c:v>
                </c:pt>
                <c:pt idx="81">
                  <c:v>181.09001073990356</c:v>
                </c:pt>
                <c:pt idx="82">
                  <c:v>178.9702803560632</c:v>
                </c:pt>
                <c:pt idx="83">
                  <c:v>176.8998286411599</c:v>
                </c:pt>
                <c:pt idx="84">
                  <c:v>174.87695690720389</c:v>
                </c:pt>
                <c:pt idx="85">
                  <c:v>172.9000436534001</c:v>
                </c:pt>
                <c:pt idx="86">
                  <c:v>170.96754023122733</c:v>
                </c:pt>
                <c:pt idx="87">
                  <c:v>169.07796679841653</c:v>
                </c:pt>
                <c:pt idx="88">
                  <c:v>167.22990853961375</c:v>
                </c:pt>
                <c:pt idx="89">
                  <c:v>165.42201213344228</c:v>
                </c:pt>
                <c:pt idx="90">
                  <c:v>163.65298244742428</c:v>
                </c:pt>
                <c:pt idx="91">
                  <c:v>161.92157944379795</c:v>
                </c:pt>
                <c:pt idx="92">
                  <c:v>160.22661528069676</c:v>
                </c:pt>
                <c:pt idx="93">
                  <c:v>158.56695159444925</c:v>
                </c:pt>
                <c:pt idx="94">
                  <c:v>156.94149694993206</c:v>
                </c:pt>
                <c:pt idx="95">
                  <c:v>155.34920444697764</c:v>
                </c:pt>
                <c:pt idx="96">
                  <c:v>153.78906947180465</c:v>
                </c:pt>
                <c:pt idx="97">
                  <c:v>152.26012758332266</c:v>
                </c:pt>
                <c:pt idx="98">
                  <c:v>150.76145252496596</c:v>
                </c:pt>
                <c:pt idx="99">
                  <c:v>149.29215435344511</c:v>
                </c:pt>
                <c:pt idx="100">
                  <c:v>147.85137767647146</c:v>
                </c:pt>
              </c:numCache>
            </c:numRef>
          </c:val>
          <c:smooth val="0"/>
          <c:extLst>
            <c:ext xmlns:c16="http://schemas.microsoft.com/office/drawing/2014/chart" uri="{C3380CC4-5D6E-409C-BE32-E72D297353CC}">
              <c16:uniqueId val="{00000001-35C4-40D8-9B41-933331EBB298}"/>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Single'!$AN$216:$AN$316</c:f>
              <c:numCache>
                <c:formatCode>0.0</c:formatCode>
                <c:ptCount val="101"/>
                <c:pt idx="0">
                  <c:v>12</c:v>
                </c:pt>
                <c:pt idx="1">
                  <c:v>12</c:v>
                </c:pt>
                <c:pt idx="2">
                  <c:v>21.657735026918967</c:v>
                </c:pt>
                <c:pt idx="3">
                  <c:v>32.486602540378442</c:v>
                </c:pt>
                <c:pt idx="4">
                  <c:v>43.315470053837934</c:v>
                </c:pt>
                <c:pt idx="5">
                  <c:v>54.144337567297406</c:v>
                </c:pt>
                <c:pt idx="6">
                  <c:v>64.973205080756884</c:v>
                </c:pt>
                <c:pt idx="7">
                  <c:v>75.802072594216384</c:v>
                </c:pt>
                <c:pt idx="8">
                  <c:v>86.630940107675869</c:v>
                </c:pt>
                <c:pt idx="9">
                  <c:v>97.459807621135354</c:v>
                </c:pt>
                <c:pt idx="10">
                  <c:v>108.28867513459481</c:v>
                </c:pt>
                <c:pt idx="11">
                  <c:v>119.11754264805431</c:v>
                </c:pt>
                <c:pt idx="12">
                  <c:v>129.94641016151377</c:v>
                </c:pt>
                <c:pt idx="13">
                  <c:v>140.77527767497327</c:v>
                </c:pt>
                <c:pt idx="14">
                  <c:v>151.60414518843277</c:v>
                </c:pt>
                <c:pt idx="15">
                  <c:v>162.43301270189224</c:v>
                </c:pt>
                <c:pt idx="16">
                  <c:v>173.26188021535174</c:v>
                </c:pt>
                <c:pt idx="17">
                  <c:v>184.09074772881124</c:v>
                </c:pt>
                <c:pt idx="18">
                  <c:v>194.91961524227071</c:v>
                </c:pt>
                <c:pt idx="19">
                  <c:v>205.74848275573015</c:v>
                </c:pt>
                <c:pt idx="20">
                  <c:v>216.57735026918962</c:v>
                </c:pt>
                <c:pt idx="21">
                  <c:v>227.40621778264912</c:v>
                </c:pt>
                <c:pt idx="22">
                  <c:v>238.23508529610862</c:v>
                </c:pt>
                <c:pt idx="23">
                  <c:v>249.06395280956812</c:v>
                </c:pt>
                <c:pt idx="24">
                  <c:v>259.89282032302754</c:v>
                </c:pt>
                <c:pt idx="25">
                  <c:v>270.72168783648709</c:v>
                </c:pt>
                <c:pt idx="26">
                  <c:v>281.55055534994653</c:v>
                </c:pt>
                <c:pt idx="27">
                  <c:v>292.37942286340603</c:v>
                </c:pt>
                <c:pt idx="28">
                  <c:v>303.20829037686553</c:v>
                </c:pt>
                <c:pt idx="29">
                  <c:v>314.03715789032492</c:v>
                </c:pt>
                <c:pt idx="30">
                  <c:v>324.86602540378448</c:v>
                </c:pt>
                <c:pt idx="31">
                  <c:v>335.69489291724392</c:v>
                </c:pt>
                <c:pt idx="32">
                  <c:v>346.52376043070348</c:v>
                </c:pt>
                <c:pt idx="33">
                  <c:v>350</c:v>
                </c:pt>
                <c:pt idx="34">
                  <c:v>350</c:v>
                </c:pt>
                <c:pt idx="35">
                  <c:v>350</c:v>
                </c:pt>
                <c:pt idx="36">
                  <c:v>350</c:v>
                </c:pt>
                <c:pt idx="37">
                  <c:v>350</c:v>
                </c:pt>
                <c:pt idx="38">
                  <c:v>350</c:v>
                </c:pt>
                <c:pt idx="39">
                  <c:v>350</c:v>
                </c:pt>
                <c:pt idx="40">
                  <c:v>350</c:v>
                </c:pt>
                <c:pt idx="41">
                  <c:v>350</c:v>
                </c:pt>
                <c:pt idx="42">
                  <c:v>350</c:v>
                </c:pt>
                <c:pt idx="43">
                  <c:v>342.7332093045946</c:v>
                </c:pt>
                <c:pt idx="44">
                  <c:v>335.48698941212189</c:v>
                </c:pt>
                <c:pt idx="45">
                  <c:v>328.5417677161426</c:v>
                </c:pt>
                <c:pt idx="46">
                  <c:v>321.87330432552704</c:v>
                </c:pt>
                <c:pt idx="47">
                  <c:v>315.47617040094912</c:v>
                </c:pt>
                <c:pt idx="48">
                  <c:v>309.32921508077709</c:v>
                </c:pt>
                <c:pt idx="49">
                  <c:v>303.41745997808948</c:v>
                </c:pt>
                <c:pt idx="50">
                  <c:v>297.72683128287588</c:v>
                </c:pt>
                <c:pt idx="51">
                  <c:v>292.24635950879019</c:v>
                </c:pt>
                <c:pt idx="52">
                  <c:v>286.96461394009134</c:v>
                </c:pt>
                <c:pt idx="53">
                  <c:v>281.8709780748685</c:v>
                </c:pt>
                <c:pt idx="54">
                  <c:v>276.9555783975149</c:v>
                </c:pt>
                <c:pt idx="55">
                  <c:v>272.20922049981982</c:v>
                </c:pt>
                <c:pt idx="56">
                  <c:v>267.62333168110922</c:v>
                </c:pt>
                <c:pt idx="57">
                  <c:v>263.1899092735012</c:v>
                </c:pt>
                <c:pt idx="58">
                  <c:v>258.90147403697148</c:v>
                </c:pt>
                <c:pt idx="59">
                  <c:v>254.75102805326543</c:v>
                </c:pt>
                <c:pt idx="60">
                  <c:v>250.73201662001992</c:v>
                </c:pt>
                <c:pt idx="61">
                  <c:v>246.83829370863168</c:v>
                </c:pt>
                <c:pt idx="62">
                  <c:v>243.06409060300504</c:v>
                </c:pt>
                <c:pt idx="63">
                  <c:v>239.40398738260663</c:v>
                </c:pt>
                <c:pt idx="64">
                  <c:v>235.85288695334913</c:v>
                </c:pt>
                <c:pt idx="65">
                  <c:v>232.40599136462984</c:v>
                </c:pt>
                <c:pt idx="66">
                  <c:v>229.05878018111486</c:v>
                </c:pt>
                <c:pt idx="67">
                  <c:v>225.80699070425339</c:v>
                </c:pt>
                <c:pt idx="68">
                  <c:v>222.64659986155249</c:v>
                </c:pt>
                <c:pt idx="69">
                  <c:v>219.57380760181891</c:v>
                </c:pt>
                <c:pt idx="70">
                  <c:v>216.58502165226852</c:v>
                </c:pt>
                <c:pt idx="71">
                  <c:v>213.67684350894891</c:v>
                </c:pt>
                <c:pt idx="72">
                  <c:v>210.84605554560324</c:v>
                </c:pt>
                <c:pt idx="73">
                  <c:v>208.08960913817344</c:v>
                </c:pt>
                <c:pt idx="74">
                  <c:v>205.40461371279787</c:v>
                </c:pt>
                <c:pt idx="75">
                  <c:v>202.78832663459011</c:v>
                </c:pt>
                <c:pt idx="76">
                  <c:v>200.23814386284729</c:v>
                </c:pt>
                <c:pt idx="77">
                  <c:v>197.75159130575506</c:v>
                </c:pt>
                <c:pt idx="78">
                  <c:v>195.3263168142546</c:v>
                </c:pt>
                <c:pt idx="79">
                  <c:v>192.9600827606138</c:v>
                </c:pt>
                <c:pt idx="80">
                  <c:v>190.65075915248136</c:v>
                </c:pt>
                <c:pt idx="81">
                  <c:v>188.39631723788281</c:v>
                </c:pt>
                <c:pt idx="82">
                  <c:v>186.1948235608038</c:v>
                </c:pt>
                <c:pt idx="83">
                  <c:v>184.04443443074871</c:v>
                </c:pt>
                <c:pt idx="84">
                  <c:v>181.94339077302766</c:v>
                </c:pt>
                <c:pt idx="85">
                  <c:v>179.89001332953922</c:v>
                </c:pt>
                <c:pt idx="86">
                  <c:v>177.88269818253104</c:v>
                </c:pt>
                <c:pt idx="87">
                  <c:v>175.91991257625946</c:v>
                </c:pt>
                <c:pt idx="88">
                  <c:v>174.00019101367408</c:v>
                </c:pt>
                <c:pt idx="89">
                  <c:v>172.1221316072357</c:v>
                </c:pt>
                <c:pt idx="90">
                  <c:v>170.28439266477076</c:v>
                </c:pt>
                <c:pt idx="91">
                  <c:v>168.48568949289057</c:v>
                </c:pt>
                <c:pt idx="92">
                  <c:v>166.72479140196799</c:v>
                </c:pt>
                <c:pt idx="93">
                  <c:v>165.00051889800017</c:v>
                </c:pt>
                <c:pt idx="94">
                  <c:v>163.31174104789221</c:v>
                </c:pt>
                <c:pt idx="95">
                  <c:v>161.65737300579323</c:v>
                </c:pt>
                <c:pt idx="96">
                  <c:v>160.03637368911637</c:v>
                </c:pt>
                <c:pt idx="97">
                  <c:v>158.44774359378027</c:v>
                </c:pt>
                <c:pt idx="98">
                  <c:v>156.89052273903837</c:v>
                </c:pt>
                <c:pt idx="99">
                  <c:v>155.36378873301629</c:v>
                </c:pt>
                <c:pt idx="100">
                  <c:v>153.86665495076576</c:v>
                </c:pt>
              </c:numCache>
            </c:numRef>
          </c:val>
          <c:smooth val="0"/>
          <c:extLst>
            <c:ext xmlns:c16="http://schemas.microsoft.com/office/drawing/2014/chart" uri="{C3380CC4-5D6E-409C-BE32-E72D297353CC}">
              <c16:uniqueId val="{00000002-35C4-40D8-9B41-933331EBB29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5C4-40D8-9B41-933331EBB298}"/>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5C4-40D8-9B41-933331EBB298}"/>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12</c:v>
                </c:pt>
                <c:pt idx="2">
                  <c:v>24</c:v>
                </c:pt>
                <c:pt idx="3">
                  <c:v>36</c:v>
                </c:pt>
                <c:pt idx="4">
                  <c:v>48</c:v>
                </c:pt>
                <c:pt idx="5">
                  <c:v>60</c:v>
                </c:pt>
                <c:pt idx="6">
                  <c:v>72</c:v>
                </c:pt>
                <c:pt idx="7">
                  <c:v>84</c:v>
                </c:pt>
                <c:pt idx="8">
                  <c:v>96</c:v>
                </c:pt>
                <c:pt idx="9">
                  <c:v>108</c:v>
                </c:pt>
                <c:pt idx="10">
                  <c:v>120</c:v>
                </c:pt>
                <c:pt idx="11">
                  <c:v>132</c:v>
                </c:pt>
                <c:pt idx="12">
                  <c:v>144</c:v>
                </c:pt>
                <c:pt idx="13">
                  <c:v>156</c:v>
                </c:pt>
                <c:pt idx="14">
                  <c:v>168</c:v>
                </c:pt>
                <c:pt idx="15">
                  <c:v>180</c:v>
                </c:pt>
                <c:pt idx="16">
                  <c:v>192</c:v>
                </c:pt>
                <c:pt idx="17">
                  <c:v>204.00000000000003</c:v>
                </c:pt>
                <c:pt idx="18">
                  <c:v>216</c:v>
                </c:pt>
                <c:pt idx="19">
                  <c:v>227.99999999999997</c:v>
                </c:pt>
                <c:pt idx="20">
                  <c:v>240</c:v>
                </c:pt>
                <c:pt idx="21">
                  <c:v>252</c:v>
                </c:pt>
                <c:pt idx="22">
                  <c:v>264</c:v>
                </c:pt>
                <c:pt idx="23">
                  <c:v>276</c:v>
                </c:pt>
                <c:pt idx="24">
                  <c:v>288</c:v>
                </c:pt>
                <c:pt idx="25">
                  <c:v>300</c:v>
                </c:pt>
                <c:pt idx="26">
                  <c:v>312</c:v>
                </c:pt>
                <c:pt idx="27">
                  <c:v>324</c:v>
                </c:pt>
                <c:pt idx="28">
                  <c:v>336</c:v>
                </c:pt>
                <c:pt idx="29">
                  <c:v>348</c:v>
                </c:pt>
                <c:pt idx="30">
                  <c:v>360</c:v>
                </c:pt>
                <c:pt idx="31">
                  <c:v>372</c:v>
                </c:pt>
                <c:pt idx="32">
                  <c:v>384</c:v>
                </c:pt>
                <c:pt idx="33">
                  <c:v>396</c:v>
                </c:pt>
                <c:pt idx="34">
                  <c:v>408.00000000000006</c:v>
                </c:pt>
                <c:pt idx="35">
                  <c:v>420</c:v>
                </c:pt>
                <c:pt idx="36">
                  <c:v>432</c:v>
                </c:pt>
                <c:pt idx="37">
                  <c:v>444</c:v>
                </c:pt>
                <c:pt idx="38">
                  <c:v>455.99999999999994</c:v>
                </c:pt>
                <c:pt idx="39">
                  <c:v>468</c:v>
                </c:pt>
                <c:pt idx="40">
                  <c:v>480</c:v>
                </c:pt>
                <c:pt idx="41">
                  <c:v>491.99999999999994</c:v>
                </c:pt>
                <c:pt idx="42">
                  <c:v>504</c:v>
                </c:pt>
                <c:pt idx="43">
                  <c:v>516</c:v>
                </c:pt>
                <c:pt idx="44">
                  <c:v>528</c:v>
                </c:pt>
                <c:pt idx="45">
                  <c:v>540</c:v>
                </c:pt>
                <c:pt idx="46">
                  <c:v>552</c:v>
                </c:pt>
                <c:pt idx="47">
                  <c:v>564</c:v>
                </c:pt>
                <c:pt idx="48">
                  <c:v>576</c:v>
                </c:pt>
                <c:pt idx="49">
                  <c:v>588</c:v>
                </c:pt>
                <c:pt idx="50">
                  <c:v>600</c:v>
                </c:pt>
                <c:pt idx="51">
                  <c:v>612</c:v>
                </c:pt>
                <c:pt idx="52">
                  <c:v>624</c:v>
                </c:pt>
                <c:pt idx="53">
                  <c:v>636</c:v>
                </c:pt>
                <c:pt idx="54">
                  <c:v>648</c:v>
                </c:pt>
                <c:pt idx="55">
                  <c:v>660</c:v>
                </c:pt>
                <c:pt idx="56">
                  <c:v>672</c:v>
                </c:pt>
                <c:pt idx="57">
                  <c:v>683.99999999999989</c:v>
                </c:pt>
                <c:pt idx="58">
                  <c:v>696</c:v>
                </c:pt>
                <c:pt idx="59">
                  <c:v>708</c:v>
                </c:pt>
                <c:pt idx="60">
                  <c:v>720</c:v>
                </c:pt>
                <c:pt idx="61">
                  <c:v>732</c:v>
                </c:pt>
                <c:pt idx="62">
                  <c:v>744</c:v>
                </c:pt>
                <c:pt idx="63">
                  <c:v>756</c:v>
                </c:pt>
                <c:pt idx="64">
                  <c:v>768</c:v>
                </c:pt>
                <c:pt idx="65">
                  <c:v>780</c:v>
                </c:pt>
                <c:pt idx="66">
                  <c:v>792</c:v>
                </c:pt>
                <c:pt idx="67">
                  <c:v>804</c:v>
                </c:pt>
                <c:pt idx="68">
                  <c:v>816.00000000000011</c:v>
                </c:pt>
                <c:pt idx="69">
                  <c:v>828</c:v>
                </c:pt>
                <c:pt idx="70">
                  <c:v>840</c:v>
                </c:pt>
                <c:pt idx="71">
                  <c:v>852</c:v>
                </c:pt>
                <c:pt idx="72">
                  <c:v>864</c:v>
                </c:pt>
                <c:pt idx="73">
                  <c:v>876</c:v>
                </c:pt>
                <c:pt idx="74">
                  <c:v>888</c:v>
                </c:pt>
                <c:pt idx="75">
                  <c:v>899.99999999999989</c:v>
                </c:pt>
                <c:pt idx="76">
                  <c:v>911.99999999999989</c:v>
                </c:pt>
                <c:pt idx="77">
                  <c:v>923.99999999999989</c:v>
                </c:pt>
                <c:pt idx="78">
                  <c:v>936</c:v>
                </c:pt>
                <c:pt idx="79">
                  <c:v>948</c:v>
                </c:pt>
                <c:pt idx="80">
                  <c:v>960</c:v>
                </c:pt>
                <c:pt idx="81">
                  <c:v>972</c:v>
                </c:pt>
                <c:pt idx="82">
                  <c:v>983.99999999999989</c:v>
                </c:pt>
                <c:pt idx="83">
                  <c:v>995.99999999999989</c:v>
                </c:pt>
                <c:pt idx="84">
                  <c:v>1008</c:v>
                </c:pt>
                <c:pt idx="85">
                  <c:v>1020</c:v>
                </c:pt>
                <c:pt idx="86">
                  <c:v>1032</c:v>
                </c:pt>
                <c:pt idx="87">
                  <c:v>1044</c:v>
                </c:pt>
                <c:pt idx="88">
                  <c:v>1056</c:v>
                </c:pt>
                <c:pt idx="89">
                  <c:v>1068</c:v>
                </c:pt>
                <c:pt idx="90">
                  <c:v>1080</c:v>
                </c:pt>
                <c:pt idx="91">
                  <c:v>1092</c:v>
                </c:pt>
                <c:pt idx="92">
                  <c:v>1104</c:v>
                </c:pt>
                <c:pt idx="93">
                  <c:v>1116</c:v>
                </c:pt>
                <c:pt idx="94">
                  <c:v>1128</c:v>
                </c:pt>
                <c:pt idx="95">
                  <c:v>1140</c:v>
                </c:pt>
                <c:pt idx="96">
                  <c:v>1152</c:v>
                </c:pt>
                <c:pt idx="97">
                  <c:v>1164</c:v>
                </c:pt>
                <c:pt idx="98">
                  <c:v>1176</c:v>
                </c:pt>
                <c:pt idx="99">
                  <c:v>1188</c:v>
                </c:pt>
                <c:pt idx="100">
                  <c:v>1200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5C4-40D8-9B41-933331EBB298}"/>
            </c:ext>
          </c:extLst>
        </c:ser>
        <c:dLbls>
          <c:showLegendKey val="0"/>
          <c:showVal val="0"/>
          <c:showCatName val="0"/>
          <c:showSerName val="0"/>
          <c:showPercent val="0"/>
          <c:showBubbleSize val="0"/>
        </c:dLbls>
        <c:smooth val="0"/>
        <c:axId val="451999616"/>
        <c:axId val="452288896"/>
      </c:lineChart>
      <c:catAx>
        <c:axId val="451999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52288896"/>
        <c:crosses val="autoZero"/>
        <c:auto val="1"/>
        <c:lblAlgn val="ctr"/>
        <c:lblOffset val="100"/>
        <c:tickLblSkip val="20"/>
        <c:tickMarkSkip val="10"/>
        <c:noMultiLvlLbl val="0"/>
      </c:catAx>
      <c:valAx>
        <c:axId val="45228889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5199961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11.429199855803537</c:v>
                </c:pt>
                <c:pt idx="2">
                  <c:v>34.287599567410609</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274.3089974105547</c:v>
                </c:pt>
                <c:pt idx="25">
                  <c:v>285.81873315363879</c:v>
                </c:pt>
                <c:pt idx="26">
                  <c:v>232.56778747425872</c:v>
                </c:pt>
                <c:pt idx="27">
                  <c:v>224.33868852390839</c:v>
                </c:pt>
                <c:pt idx="28">
                  <c:v>216.6718871445612</c:v>
                </c:pt>
                <c:pt idx="29">
                  <c:v>209.51165259458853</c:v>
                </c:pt>
                <c:pt idx="30">
                  <c:v>202.80938341866414</c:v>
                </c:pt>
                <c:pt idx="31">
                  <c:v>196.52250276996728</c:v>
                </c:pt>
                <c:pt idx="32">
                  <c:v>190.61355296115264</c:v>
                </c:pt>
                <c:pt idx="33">
                  <c:v>185.04944854792882</c:v>
                </c:pt>
                <c:pt idx="34">
                  <c:v>179.8008564802135</c:v>
                </c:pt>
                <c:pt idx="35">
                  <c:v>174.84167879628083</c:v>
                </c:pt>
                <c:pt idx="36">
                  <c:v>170.14861859970273</c:v>
                </c:pt>
                <c:pt idx="37">
                  <c:v>165.70081408520767</c:v>
                </c:pt>
                <c:pt idx="38">
                  <c:v>161.4795284830991</c:v>
                </c:pt>
                <c:pt idx="39">
                  <c:v>157.46788620176409</c:v>
                </c:pt>
                <c:pt idx="40">
                  <c:v>153.65064733213441</c:v>
                </c:pt>
                <c:pt idx="41">
                  <c:v>150.01401416107333</c:v>
                </c:pt>
                <c:pt idx="42">
                  <c:v>146.54546451528344</c:v>
                </c:pt>
                <c:pt idx="43">
                  <c:v>143.23360769314394</c:v>
                </c:pt>
                <c:pt idx="44">
                  <c:v>140.06805949164959</c:v>
                </c:pt>
                <c:pt idx="45">
                  <c:v>137.03933343954654</c:v>
                </c:pt>
                <c:pt idx="46">
                  <c:v>134.13874583669067</c:v>
                </c:pt>
                <c:pt idx="47">
                  <c:v>131.35833259742793</c:v>
                </c:pt>
                <c:pt idx="48">
                  <c:v>128.69077622090069</c:v>
                </c:pt>
                <c:pt idx="49">
                  <c:v>126.12934147808691</c:v>
                </c:pt>
                <c:pt idx="50">
                  <c:v>123.66781862542697</c:v>
                </c:pt>
                <c:pt idx="51">
                  <c:v>121.30047313705009</c:v>
                </c:pt>
                <c:pt idx="52">
                  <c:v>119.02200109899468</c:v>
                </c:pt>
                <c:pt idx="53">
                  <c:v>116.82748953509474</c:v>
                </c:pt>
                <c:pt idx="54">
                  <c:v>114.71238103991483</c:v>
                </c:pt>
                <c:pt idx="55">
                  <c:v>112.67244218292345</c:v>
                </c:pt>
                <c:pt idx="56">
                  <c:v>110.70373522294298</c:v>
                </c:pt>
                <c:pt idx="57">
                  <c:v>108.80259273520106</c:v>
                </c:pt>
                <c:pt idx="58">
                  <c:v>106.96559480698741</c:v>
                </c:pt>
                <c:pt idx="59">
                  <c:v>105.18954850358087</c:v>
                </c:pt>
                <c:pt idx="60">
                  <c:v>103.47146934506567</c:v>
                </c:pt>
                <c:pt idx="61">
                  <c:v>101.80856456798152</c:v>
                </c:pt>
                <c:pt idx="62">
                  <c:v>100.19821797433326</c:v>
                </c:pt>
                <c:pt idx="63">
                  <c:v>98.637976195069456</c:v>
                </c:pt>
                <c:pt idx="64">
                  <c:v>97.125536216328996</c:v>
                </c:pt>
                <c:pt idx="65">
                  <c:v>95.658734035068136</c:v>
                </c:pt>
                <c:pt idx="66">
                  <c:v>94.235534326545491</c:v>
                </c:pt>
                <c:pt idx="67">
                  <c:v>92.854021019911485</c:v>
                </c:pt>
                <c:pt idx="68">
                  <c:v>91.512388690134117</c:v>
                </c:pt>
                <c:pt idx="69">
                  <c:v>90.208934684938882</c:v>
                </c:pt>
                <c:pt idx="70">
                  <c:v>88.942051914570087</c:v>
                </c:pt>
                <c:pt idx="71">
                  <c:v>87.710222240171859</c:v>
                </c:pt>
                <c:pt idx="72">
                  <c:v>86.51201040359777</c:v>
                </c:pt>
                <c:pt idx="73">
                  <c:v>85.346058447617736</c:v>
                </c:pt>
                <c:pt idx="74">
                  <c:v>84.211080580915393</c:v>
                </c:pt>
                <c:pt idx="75">
                  <c:v>83.105858447052327</c:v>
                </c:pt>
                <c:pt idx="76">
                  <c:v>82.0292367608033</c:v>
                </c:pt>
                <c:pt idx="77">
                  <c:v>80.980119279005564</c:v>
                </c:pt>
                <c:pt idx="78">
                  <c:v>79.957465076382718</c:v>
                </c:pt>
                <c:pt idx="79">
                  <c:v>78.960285099747139</c:v>
                </c:pt>
                <c:pt idx="80">
                  <c:v>77.987638976603023</c:v>
                </c:pt>
                <c:pt idx="81">
                  <c:v>77.038632056503417</c:v>
                </c:pt>
                <c:pt idx="82">
                  <c:v>76.112412665595727</c:v>
                </c:pt>
                <c:pt idx="83">
                  <c:v>75.208169556645416</c:v>
                </c:pt>
                <c:pt idx="84">
                  <c:v>74.325129538491396</c:v>
                </c:pt>
                <c:pt idx="85">
                  <c:v>73.462555270372832</c:v>
                </c:pt>
                <c:pt idx="86">
                  <c:v>72.619743207903696</c:v>
                </c:pt>
                <c:pt idx="87">
                  <c:v>71.796021688667707</c:v>
                </c:pt>
                <c:pt idx="88">
                  <c:v>70.990749146486451</c:v>
                </c:pt>
                <c:pt idx="89">
                  <c:v>70.203312444381481</c:v>
                </c:pt>
                <c:pt idx="90">
                  <c:v>69.433125317128031</c:v>
                </c:pt>
                <c:pt idx="91">
                  <c:v>68.679626915085294</c:v>
                </c:pt>
                <c:pt idx="92">
                  <c:v>67.942280441702593</c:v>
                </c:pt>
                <c:pt idx="93">
                  <c:v>67.220571877745584</c:v>
                </c:pt>
                <c:pt idx="94">
                  <c:v>66.514008785870146</c:v>
                </c:pt>
                <c:pt idx="95">
                  <c:v>65.822119189702221</c:v>
                </c:pt>
                <c:pt idx="96">
                  <c:v>65.144450522061419</c:v>
                </c:pt>
                <c:pt idx="97">
                  <c:v>64.480568637402797</c:v>
                </c:pt>
                <c:pt idx="98">
                  <c:v>63.830056883949005</c:v>
                </c:pt>
                <c:pt idx="99">
                  <c:v>63.192515231345197</c:v>
                </c:pt>
                <c:pt idx="100">
                  <c:v>62.567559449998939</c:v>
                </c:pt>
              </c:numCache>
            </c:numRef>
          </c:val>
          <c:smooth val="0"/>
          <c:extLst>
            <c:ext xmlns:c16="http://schemas.microsoft.com/office/drawing/2014/chart" uri="{C3380CC4-5D6E-409C-BE32-E72D297353CC}">
              <c16:uniqueId val="{00000000-44F7-4870-98EC-5ED7AF60689B}"/>
            </c:ext>
          </c:extLst>
        </c:ser>
        <c:ser>
          <c:idx val="0"/>
          <c:order val="1"/>
          <c:tx>
            <c:v>VIN-nom</c:v>
          </c:tx>
          <c:spPr>
            <a:ln w="28575">
              <a:solidFill>
                <a:srgbClr val="FF0000"/>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11.429199855803537</c:v>
                </c:pt>
                <c:pt idx="2">
                  <c:v>22.858399711607074</c:v>
                </c:pt>
                <c:pt idx="3">
                  <c:v>34.287599567410609</c:v>
                </c:pt>
                <c:pt idx="4">
                  <c:v>45.716799423214148</c:v>
                </c:pt>
                <c:pt idx="5">
                  <c:v>57.14599927901768</c:v>
                </c:pt>
                <c:pt idx="6">
                  <c:v>68.575199134821219</c:v>
                </c:pt>
                <c:pt idx="7">
                  <c:v>80.004398990624779</c:v>
                </c:pt>
                <c:pt idx="8">
                  <c:v>91.433598846428296</c:v>
                </c:pt>
                <c:pt idx="9">
                  <c:v>102.86279870223184</c:v>
                </c:pt>
                <c:pt idx="10">
                  <c:v>114.29199855803536</c:v>
                </c:pt>
                <c:pt idx="11">
                  <c:v>125.72119841383892</c:v>
                </c:pt>
                <c:pt idx="12">
                  <c:v>137.15039826964244</c:v>
                </c:pt>
                <c:pt idx="13">
                  <c:v>148.57959812544601</c:v>
                </c:pt>
                <c:pt idx="14">
                  <c:v>160.00879798124956</c:v>
                </c:pt>
                <c:pt idx="15">
                  <c:v>171.43799783705308</c:v>
                </c:pt>
                <c:pt idx="16">
                  <c:v>182.86719769285659</c:v>
                </c:pt>
                <c:pt idx="17">
                  <c:v>194.29639754866017</c:v>
                </c:pt>
                <c:pt idx="18">
                  <c:v>205.72559740446368</c:v>
                </c:pt>
                <c:pt idx="19">
                  <c:v>217.1547972602672</c:v>
                </c:pt>
                <c:pt idx="20">
                  <c:v>228.58399711607072</c:v>
                </c:pt>
                <c:pt idx="21">
                  <c:v>240.01319697187429</c:v>
                </c:pt>
                <c:pt idx="22">
                  <c:v>251.44239682767784</c:v>
                </c:pt>
                <c:pt idx="23">
                  <c:v>262.87159668348141</c:v>
                </c:pt>
                <c:pt idx="24">
                  <c:v>274.30079653928487</c:v>
                </c:pt>
                <c:pt idx="25">
                  <c:v>285.72999639508845</c:v>
                </c:pt>
                <c:pt idx="26">
                  <c:v>297.15919625089202</c:v>
                </c:pt>
                <c:pt idx="27">
                  <c:v>308.58839610669554</c:v>
                </c:pt>
                <c:pt idx="28">
                  <c:v>320.01759596249912</c:v>
                </c:pt>
                <c:pt idx="29">
                  <c:v>331.44679581830258</c:v>
                </c:pt>
                <c:pt idx="30">
                  <c:v>342.87599567410615</c:v>
                </c:pt>
                <c:pt idx="31">
                  <c:v>350</c:v>
                </c:pt>
                <c:pt idx="32">
                  <c:v>350</c:v>
                </c:pt>
                <c:pt idx="33">
                  <c:v>350</c:v>
                </c:pt>
                <c:pt idx="34">
                  <c:v>350</c:v>
                </c:pt>
                <c:pt idx="35">
                  <c:v>350</c:v>
                </c:pt>
                <c:pt idx="36">
                  <c:v>350</c:v>
                </c:pt>
                <c:pt idx="37">
                  <c:v>342.06488767918432</c:v>
                </c:pt>
                <c:pt idx="38">
                  <c:v>333.70459934951435</c:v>
                </c:pt>
                <c:pt idx="39">
                  <c:v>325.74525604945364</c:v>
                </c:pt>
                <c:pt idx="40">
                  <c:v>318.15869036820658</c:v>
                </c:pt>
                <c:pt idx="41">
                  <c:v>310.91931296617906</c:v>
                </c:pt>
                <c:pt idx="42">
                  <c:v>304.00382421996932</c:v>
                </c:pt>
                <c:pt idx="43">
                  <c:v>297.39096372323814</c:v>
                </c:pt>
                <c:pt idx="44">
                  <c:v>291.06129196949996</c:v>
                </c:pt>
                <c:pt idx="45">
                  <c:v>284.99699949442766</c:v>
                </c:pt>
                <c:pt idx="46">
                  <c:v>279.18173953096613</c:v>
                </c:pt>
                <c:pt idx="47">
                  <c:v>273.60048086579883</c:v>
                </c:pt>
                <c:pt idx="48">
                  <c:v>268.23937810819172</c:v>
                </c:pt>
                <c:pt idx="49">
                  <c:v>263.08565701378342</c:v>
                </c:pt>
                <c:pt idx="50">
                  <c:v>258.12751286372651</c:v>
                </c:pt>
                <c:pt idx="51">
                  <c:v>253.35402019746516</c:v>
                </c:pt>
                <c:pt idx="52">
                  <c:v>248.75505244629659</c:v>
                </c:pt>
                <c:pt idx="53">
                  <c:v>244.32121022352055</c:v>
                </c:pt>
                <c:pt idx="54">
                  <c:v>240.04375720252227</c:v>
                </c:pt>
                <c:pt idx="55">
                  <c:v>235.91456266228909</c:v>
                </c:pt>
                <c:pt idx="56">
                  <c:v>231.92604990530967</c:v>
                </c:pt>
                <c:pt idx="57">
                  <c:v>228.07114985933745</c:v>
                </c:pt>
                <c:pt idx="58">
                  <c:v>224.34325926523704</c:v>
                </c:pt>
                <c:pt idx="59">
                  <c:v>220.73620293064033</c:v>
                </c:pt>
                <c:pt idx="60">
                  <c:v>217.24419959551605</c:v>
                </c:pt>
                <c:pt idx="61">
                  <c:v>213.86183101275699</c:v>
                </c:pt>
                <c:pt idx="62">
                  <c:v>210.58401389596526</c:v>
                </c:pt>
                <c:pt idx="63">
                  <c:v>207.40597442896319</c:v>
                </c:pt>
                <c:pt idx="64">
                  <c:v>204.32322506819628</c:v>
                </c:pt>
                <c:pt idx="65">
                  <c:v>201.33154340095973</c:v>
                </c:pt>
                <c:pt idx="66">
                  <c:v>198.4269528499849</c:v>
                </c:pt>
                <c:pt idx="67">
                  <c:v>195.60570503896437</c:v>
                </c:pt>
                <c:pt idx="68">
                  <c:v>192.8642636545724</c:v>
                </c:pt>
                <c:pt idx="69">
                  <c:v>190.19928965888562</c:v>
                </c:pt>
                <c:pt idx="70">
                  <c:v>187.60762772218555</c:v>
                </c:pt>
                <c:pt idx="71">
                  <c:v>185.08629376023586</c:v>
                </c:pt>
                <c:pt idx="72">
                  <c:v>182.63246347253965</c:v>
                </c:pt>
                <c:pt idx="73">
                  <c:v>180.24346178902127</c:v>
                </c:pt>
                <c:pt idx="74">
                  <c:v>177.91675314222667</c:v>
                </c:pt>
                <c:pt idx="75">
                  <c:v>175.6499324906768</c:v>
                </c:pt>
                <c:pt idx="76">
                  <c:v>173.44071702656302</c:v>
                </c:pt>
                <c:pt idx="77">
                  <c:v>171.2869385076819</c:v>
                </c:pt>
                <c:pt idx="78">
                  <c:v>169.18653615946567</c:v>
                </c:pt>
                <c:pt idx="79">
                  <c:v>167.13755009826284</c:v>
                </c:pt>
                <c:pt idx="80">
                  <c:v>165.13811523175173</c:v>
                </c:pt>
                <c:pt idx="81">
                  <c:v>163.18645559658401</c:v>
                </c:pt>
                <c:pt idx="82">
                  <c:v>161.28087909712528</c:v>
                </c:pt>
                <c:pt idx="83">
                  <c:v>159.41977261253166</c:v>
                </c:pt>
                <c:pt idx="84">
                  <c:v>157.6015974424256</c:v>
                </c:pt>
                <c:pt idx="85">
                  <c:v>155.82488506414447</c:v>
                </c:pt>
                <c:pt idx="86">
                  <c:v>154.08823317697494</c:v>
                </c:pt>
                <c:pt idx="87">
                  <c:v>152.39030201097813</c:v>
                </c:pt>
                <c:pt idx="88">
                  <c:v>150.72981087998585</c:v>
                </c:pt>
                <c:pt idx="89">
                  <c:v>149.10553496012835</c:v>
                </c:pt>
                <c:pt idx="90">
                  <c:v>147.51630227686624</c:v>
                </c:pt>
                <c:pt idx="91">
                  <c:v>145.96099088494722</c:v>
                </c:pt>
                <c:pt idx="92">
                  <c:v>144.43852622703079</c:v>
                </c:pt>
                <c:pt idx="93">
                  <c:v>142.94787865790977</c:v>
                </c:pt>
                <c:pt idx="94">
                  <c:v>141.48806112234396</c:v>
                </c:pt>
                <c:pt idx="95">
                  <c:v>140.05812697549882</c:v>
                </c:pt>
                <c:pt idx="96">
                  <c:v>138.65716793587632</c:v>
                </c:pt>
                <c:pt idx="97">
                  <c:v>137.28431216143551</c:v>
                </c:pt>
                <c:pt idx="98">
                  <c:v>135.93872244034034</c:v>
                </c:pt>
                <c:pt idx="99">
                  <c:v>134.61959448844425</c:v>
                </c:pt>
                <c:pt idx="100">
                  <c:v>133.32615534623773</c:v>
                </c:pt>
              </c:numCache>
            </c:numRef>
          </c:val>
          <c:smooth val="0"/>
          <c:extLst>
            <c:ext xmlns:c16="http://schemas.microsoft.com/office/drawing/2014/chart" uri="{C3380CC4-5D6E-409C-BE32-E72D297353CC}">
              <c16:uniqueId val="{00000001-44F7-4870-98EC-5ED7AF60689B}"/>
            </c:ext>
          </c:extLst>
        </c:ser>
        <c:ser>
          <c:idx val="2"/>
          <c:order val="2"/>
          <c:tx>
            <c:v>VIN-max</c:v>
          </c:tx>
          <c:spPr>
            <a:ln>
              <a:solidFill>
                <a:srgbClr val="0000FF"/>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11.428097574347452</c:v>
                </c:pt>
                <c:pt idx="2">
                  <c:v>22.856195148694905</c:v>
                </c:pt>
                <c:pt idx="3">
                  <c:v>34.284292723042356</c:v>
                </c:pt>
                <c:pt idx="4">
                  <c:v>45.71239029738981</c:v>
                </c:pt>
                <c:pt idx="5">
                  <c:v>57.140487871737257</c:v>
                </c:pt>
                <c:pt idx="6">
                  <c:v>68.568585446084711</c:v>
                </c:pt>
                <c:pt idx="7">
                  <c:v>79.996683020432158</c:v>
                </c:pt>
                <c:pt idx="8">
                  <c:v>91.424780594779619</c:v>
                </c:pt>
                <c:pt idx="9">
                  <c:v>102.85287816912705</c:v>
                </c:pt>
                <c:pt idx="10">
                  <c:v>114.28097574347451</c:v>
                </c:pt>
                <c:pt idx="11">
                  <c:v>125.70907331782196</c:v>
                </c:pt>
                <c:pt idx="12">
                  <c:v>137.13717089216942</c:v>
                </c:pt>
                <c:pt idx="13">
                  <c:v>148.56526846651687</c:v>
                </c:pt>
                <c:pt idx="14">
                  <c:v>159.99336604086432</c:v>
                </c:pt>
                <c:pt idx="15">
                  <c:v>171.42146361521176</c:v>
                </c:pt>
                <c:pt idx="16">
                  <c:v>182.84956118955924</c:v>
                </c:pt>
                <c:pt idx="17">
                  <c:v>194.27765876390671</c:v>
                </c:pt>
                <c:pt idx="18">
                  <c:v>205.7057563382541</c:v>
                </c:pt>
                <c:pt idx="19">
                  <c:v>217.13385391260158</c:v>
                </c:pt>
                <c:pt idx="20">
                  <c:v>228.56195148694903</c:v>
                </c:pt>
                <c:pt idx="21">
                  <c:v>239.99004906129645</c:v>
                </c:pt>
                <c:pt idx="22">
                  <c:v>251.41814663564392</c:v>
                </c:pt>
                <c:pt idx="23">
                  <c:v>262.84624420999143</c:v>
                </c:pt>
                <c:pt idx="24">
                  <c:v>274.27434178433884</c:v>
                </c:pt>
                <c:pt idx="25">
                  <c:v>285.70243935868626</c:v>
                </c:pt>
                <c:pt idx="26">
                  <c:v>297.13053693303374</c:v>
                </c:pt>
                <c:pt idx="27">
                  <c:v>308.55863450738116</c:v>
                </c:pt>
                <c:pt idx="28">
                  <c:v>319.98673208172863</c:v>
                </c:pt>
                <c:pt idx="29">
                  <c:v>331.41482965607605</c:v>
                </c:pt>
                <c:pt idx="30">
                  <c:v>342.84292723042353</c:v>
                </c:pt>
                <c:pt idx="31">
                  <c:v>350</c:v>
                </c:pt>
                <c:pt idx="32">
                  <c:v>350</c:v>
                </c:pt>
                <c:pt idx="33">
                  <c:v>350</c:v>
                </c:pt>
                <c:pt idx="34">
                  <c:v>350</c:v>
                </c:pt>
                <c:pt idx="35">
                  <c:v>350</c:v>
                </c:pt>
                <c:pt idx="36">
                  <c:v>350</c:v>
                </c:pt>
                <c:pt idx="37">
                  <c:v>350</c:v>
                </c:pt>
                <c:pt idx="38">
                  <c:v>347.29031336183277</c:v>
                </c:pt>
                <c:pt idx="39">
                  <c:v>339.02193511536296</c:v>
                </c:pt>
                <c:pt idx="40">
                  <c:v>331.14710888171953</c:v>
                </c:pt>
                <c:pt idx="41">
                  <c:v>323.6316884370118</c:v>
                </c:pt>
                <c:pt idx="42">
                  <c:v>316.45161802002781</c:v>
                </c:pt>
                <c:pt idx="43">
                  <c:v>309.58494181966313</c:v>
                </c:pt>
                <c:pt idx="44">
                  <c:v>303.01157972471009</c:v>
                </c:pt>
                <c:pt idx="45">
                  <c:v>296.71313120950413</c:v>
                </c:pt>
                <c:pt idx="46">
                  <c:v>290.67270332132875</c:v>
                </c:pt>
                <c:pt idx="47">
                  <c:v>284.87475938325167</c:v>
                </c:pt>
                <c:pt idx="48">
                  <c:v>279.30498555911231</c:v>
                </c:pt>
                <c:pt idx="49">
                  <c:v>273.9501728678668</c:v>
                </c:pt>
                <c:pt idx="50">
                  <c:v>268.79811259991232</c:v>
                </c:pt>
                <c:pt idx="51">
                  <c:v>263.83750339234251</c:v>
                </c:pt>
                <c:pt idx="52">
                  <c:v>259.05786847443676</c:v>
                </c:pt>
                <c:pt idx="53">
                  <c:v>254.44948180804505</c:v>
                </c:pt>
                <c:pt idx="54">
                  <c:v>250.00330202707954</c:v>
                </c:pt>
                <c:pt idx="55">
                  <c:v>245.71091323193824</c:v>
                </c:pt>
                <c:pt idx="56">
                  <c:v>241.5644718230981</c:v>
                </c:pt>
                <c:pt idx="57">
                  <c:v>237.55665866720429</c:v>
                </c:pt>
                <c:pt idx="58">
                  <c:v>233.68063598193595</c:v>
                </c:pt>
                <c:pt idx="59">
                  <c:v>229.93000840534623</c:v>
                </c:pt>
                <c:pt idx="60">
                  <c:v>226.29878778341359</c:v>
                </c:pt>
                <c:pt idx="61">
                  <c:v>222.7813612679891</c:v>
                </c:pt>
                <c:pt idx="62">
                  <c:v>219.37246236765296</c:v>
                </c:pt>
                <c:pt idx="63">
                  <c:v>216.06714463744603</c:v>
                </c:pt>
                <c:pt idx="64">
                  <c:v>212.86075773103443</c:v>
                </c:pt>
                <c:pt idx="65">
                  <c:v>209.74892557147845</c:v>
                </c:pt>
                <c:pt idx="66">
                  <c:v>206.7275264251152</c:v>
                </c:pt>
                <c:pt idx="67">
                  <c:v>203.79267468775902</c:v>
                </c:pt>
                <c:pt idx="68">
                  <c:v>200.94070421397345</c:v>
                </c:pt>
                <c:pt idx="69">
                  <c:v>198.16815303902263</c:v>
                </c:pt>
                <c:pt idx="70">
                  <c:v>195.47174935962721</c:v>
                </c:pt>
                <c:pt idx="71">
                  <c:v>192.84839865416504</c:v>
                </c:pt>
                <c:pt idx="72">
                  <c:v>190.29517183571159</c:v>
                </c:pt>
                <c:pt idx="73">
                  <c:v>187.80929434256774</c:v>
                </c:pt>
                <c:pt idx="74">
                  <c:v>185.38813608085047</c:v>
                </c:pt>
                <c:pt idx="75">
                  <c:v>183.0292021425044</c:v>
                </c:pt>
                <c:pt idx="76">
                  <c:v>180.73012422986972</c:v>
                </c:pt>
                <c:pt idx="77">
                  <c:v>178.48865272484576</c:v>
                </c:pt>
                <c:pt idx="78">
                  <c:v>176.30264934681989</c:v>
                </c:pt>
                <c:pt idx="79">
                  <c:v>174.17008034899317</c:v>
                </c:pt>
                <c:pt idx="80">
                  <c:v>172.0890102075974</c:v>
                </c:pt>
                <c:pt idx="81">
                  <c:v>170.05759576284143</c:v>
                </c:pt>
                <c:pt idx="82">
                  <c:v>168.07408077430799</c:v>
                </c:pt>
                <c:pt idx="83">
                  <c:v>166.13679085699624</c:v>
                </c:pt>
                <c:pt idx="84">
                  <c:v>164.24412876732012</c:v>
                </c:pt>
                <c:pt idx="85">
                  <c:v>162.39457001116918</c:v>
                </c:pt>
                <c:pt idx="86">
                  <c:v>160.58665874864991</c:v>
                </c:pt>
                <c:pt idx="87">
                  <c:v>158.81900397238655</c:v>
                </c:pt>
                <c:pt idx="88">
                  <c:v>157.09027593829671</c:v>
                </c:pt>
                <c:pt idx="89">
                  <c:v>155.39920282959557</c:v>
                </c:pt>
                <c:pt idx="90">
                  <c:v>153.7445676364386</c:v>
                </c:pt>
                <c:pt idx="91">
                  <c:v>152.12520523511509</c:v>
                </c:pt>
                <c:pt idx="92">
                  <c:v>150.53999965206083</c:v>
                </c:pt>
                <c:pt idx="93">
                  <c:v>148.98788149918798</c:v>
                </c:pt>
                <c:pt idx="94">
                  <c:v>147.46782556814725</c:v>
                </c:pt>
                <c:pt idx="95">
                  <c:v>145.97884857214834</c:v>
                </c:pt>
                <c:pt idx="96">
                  <c:v>144.52000702488675</c:v>
                </c:pt>
                <c:pt idx="97">
                  <c:v>143.09039524696323</c:v>
                </c:pt>
                <c:pt idx="98">
                  <c:v>141.68914349094229</c:v>
                </c:pt>
                <c:pt idx="99">
                  <c:v>140.31541617689518</c:v>
                </c:pt>
                <c:pt idx="100">
                  <c:v>138.96841023090536</c:v>
                </c:pt>
              </c:numCache>
            </c:numRef>
          </c:val>
          <c:smooth val="0"/>
          <c:extLst>
            <c:ext xmlns:c16="http://schemas.microsoft.com/office/drawing/2014/chart" uri="{C3380CC4-5D6E-409C-BE32-E72D297353CC}">
              <c16:uniqueId val="{00000002-44F7-4870-98EC-5ED7AF60689B}"/>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4F7-4870-98EC-5ED7AF60689B}"/>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44F7-4870-98EC-5ED7AF60689B}"/>
              </c:ext>
            </c:extLst>
          </c:dPt>
          <c:dPt>
            <c:idx val="92"/>
            <c:bubble3D val="0"/>
            <c:extLst>
              <c:ext xmlns:c16="http://schemas.microsoft.com/office/drawing/2014/chart" uri="{C3380CC4-5D6E-409C-BE32-E72D297353CC}">
                <c16:uniqueId val="{00000005-44F7-4870-98EC-5ED7AF60689B}"/>
              </c:ext>
            </c:extLst>
          </c:dPt>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44F7-4870-98EC-5ED7AF60689B}"/>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44F7-4870-98EC-5ED7AF60689B}"/>
            </c:ext>
          </c:extLst>
        </c:ser>
        <c:dLbls>
          <c:showLegendKey val="0"/>
          <c:showVal val="0"/>
          <c:showCatName val="0"/>
          <c:showSerName val="0"/>
          <c:showPercent val="0"/>
          <c:showBubbleSize val="0"/>
        </c:dLbls>
        <c:smooth val="0"/>
        <c:axId val="452326144"/>
        <c:axId val="452328448"/>
      </c:lineChart>
      <c:catAx>
        <c:axId val="452326144"/>
        <c:scaling>
          <c:orientation val="minMax"/>
        </c:scaling>
        <c:delete val="0"/>
        <c:axPos val="b"/>
        <c:majorGridlines>
          <c:spPr>
            <a:ln w="15875">
              <a:solidFill>
                <a:srgbClr val="969696"/>
              </a:solidFill>
              <a:prstDash val="sysDash"/>
            </a:ln>
          </c:spPr>
        </c:majorGridlines>
        <c:title>
          <c:tx>
            <c:rich>
              <a:bodyPr/>
              <a:lstStyle/>
              <a:p>
                <a:pPr>
                  <a:defRPr lang="ja-JP"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52328448"/>
        <c:crosses val="autoZero"/>
        <c:auto val="1"/>
        <c:lblAlgn val="ctr"/>
        <c:lblOffset val="100"/>
        <c:tickLblSkip val="20"/>
        <c:tickMarkSkip val="10"/>
        <c:noMultiLvlLbl val="0"/>
      </c:catAx>
      <c:valAx>
        <c:axId val="452328448"/>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zh-CN"/>
          </a:p>
        </c:txPr>
        <c:crossAx val="45232614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BE97-48FA-B330-74E933417AF3}"/>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BE97-48FA-B330-74E933417AF3}"/>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BE97-48FA-B330-74E933417AF3}"/>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BE97-48FA-B330-74E933417AF3}"/>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BE97-48FA-B330-74E933417AF3}"/>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BE97-48FA-B330-74E933417AF3}"/>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BE97-48FA-B330-74E933417AF3}"/>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BE97-48FA-B330-74E933417AF3}"/>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BE97-48FA-B330-74E933417AF3}"/>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BE97-48FA-B330-74E933417AF3}"/>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BE97-48FA-B330-74E933417AF3}"/>
            </c:ext>
          </c:extLst>
        </c:ser>
        <c:dLbls>
          <c:showLegendKey val="0"/>
          <c:showVal val="0"/>
          <c:showCatName val="0"/>
          <c:showSerName val="0"/>
          <c:showPercent val="0"/>
          <c:showBubbleSize val="0"/>
        </c:dLbls>
        <c:axId val="447280256"/>
        <c:axId val="447282176"/>
      </c:areaChart>
      <c:catAx>
        <c:axId val="44728025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zh-CN"/>
          </a:p>
        </c:txPr>
        <c:crossAx val="447282176"/>
        <c:crosses val="autoZero"/>
        <c:auto val="1"/>
        <c:lblAlgn val="ctr"/>
        <c:lblOffset val="100"/>
        <c:tickMarkSkip val="1"/>
        <c:noMultiLvlLbl val="0"/>
      </c:catAx>
      <c:valAx>
        <c:axId val="447282176"/>
        <c:scaling>
          <c:orientation val="minMax"/>
          <c:max val="0.2"/>
          <c:min val="0"/>
        </c:scaling>
        <c:delete val="0"/>
        <c:axPos val="l"/>
        <c:majorGridlines>
          <c:spPr>
            <a:ln w="3175">
              <a:solidFill>
                <a:srgbClr val="000000"/>
              </a:solidFill>
              <a:prstDash val="solid"/>
            </a:ln>
          </c:spPr>
        </c:majorGridlines>
        <c:min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zh-CN"/>
          </a:p>
        </c:txPr>
        <c:crossAx val="44728025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zh-CN"/>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zh-CN"/>
    </a:p>
  </c:txPr>
  <c:printSettings>
    <c:headerFooter alignWithMargins="0"/>
    <c:pageMargins b="1" l="0.75000000000000189" r="0.750000000000001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E96-4528-9036-34F1ACDA388E}"/>
                </c:ext>
              </c:extLst>
            </c:dLbl>
            <c:spPr>
              <a:noFill/>
              <a:ln>
                <a:noFill/>
              </a:ln>
              <a:effectLst/>
            </c:spPr>
            <c:txPr>
              <a:bodyPr/>
              <a:lstStyle/>
              <a:p>
                <a:pPr>
                  <a:defRPr lang="ja-JP" sz="1200" b="1"/>
                </a:pPr>
                <a:endParaRPr lang="zh-CN"/>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6E96-4528-9036-34F1ACDA388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E96-4528-9036-34F1ACDA388E}"/>
                </c:ext>
              </c:extLst>
            </c:dLbl>
            <c:spPr>
              <a:noFill/>
              <a:ln>
                <a:noFill/>
              </a:ln>
              <a:effectLst/>
            </c:spPr>
            <c:txPr>
              <a:bodyPr/>
              <a:lstStyle/>
              <a:p>
                <a:pPr>
                  <a:defRPr lang="ja-JP" sz="1200" b="1"/>
                </a:pPr>
                <a:endParaRPr lang="zh-CN"/>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6E96-4528-9036-34F1ACDA388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E96-4528-9036-34F1ACDA388E}"/>
                </c:ext>
              </c:extLst>
            </c:dLbl>
            <c:spPr>
              <a:noFill/>
              <a:ln>
                <a:noFill/>
              </a:ln>
              <a:effectLst/>
            </c:spPr>
            <c:txPr>
              <a:bodyPr/>
              <a:lstStyle/>
              <a:p>
                <a:pPr>
                  <a:defRPr lang="ja-JP" b="1"/>
                </a:pPr>
                <a:endParaRPr lang="zh-CN"/>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6E96-4528-9036-34F1ACDA388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E96-4528-9036-34F1ACDA388E}"/>
                </c:ext>
              </c:extLst>
            </c:dLbl>
            <c:spPr>
              <a:noFill/>
              <a:ln>
                <a:noFill/>
              </a:ln>
              <a:effectLst/>
            </c:spPr>
            <c:txPr>
              <a:bodyPr/>
              <a:lstStyle/>
              <a:p>
                <a:pPr>
                  <a:defRPr lang="ja-JP" sz="1200" b="1"/>
                </a:pPr>
                <a:endParaRPr lang="zh-CN"/>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6E96-4528-9036-34F1ACDA388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E96-4528-9036-34F1ACDA388E}"/>
                </c:ext>
              </c:extLst>
            </c:dLbl>
            <c:spPr>
              <a:noFill/>
              <a:ln>
                <a:noFill/>
              </a:ln>
              <a:effectLst/>
            </c:spPr>
            <c:txPr>
              <a:bodyPr rot="0" vert="horz"/>
              <a:lstStyle/>
              <a:p>
                <a:pPr>
                  <a:defRPr lang="ja-JP" sz="1200" b="1"/>
                </a:pPr>
                <a:endParaRPr lang="zh-CN"/>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6E96-4528-9036-34F1ACDA388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E96-4528-9036-34F1ACDA388E}"/>
                </c:ext>
              </c:extLst>
            </c:dLbl>
            <c:spPr>
              <a:noFill/>
              <a:ln>
                <a:noFill/>
              </a:ln>
              <a:effectLst/>
            </c:spPr>
            <c:txPr>
              <a:bodyPr/>
              <a:lstStyle/>
              <a:p>
                <a:pPr>
                  <a:defRPr lang="ja-JP"/>
                </a:pPr>
                <a:endParaRPr lang="zh-CN"/>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6E96-4528-9036-34F1ACDA388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E96-4528-9036-34F1ACDA388E}"/>
                </c:ext>
              </c:extLst>
            </c:dLbl>
            <c:spPr>
              <a:noFill/>
              <a:ln>
                <a:noFill/>
              </a:ln>
              <a:effectLst/>
            </c:spPr>
            <c:txPr>
              <a:bodyPr/>
              <a:lstStyle/>
              <a:p>
                <a:pPr>
                  <a:defRPr lang="ja-JP" sz="1200" b="1"/>
                </a:pPr>
                <a:endParaRPr lang="zh-CN"/>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6E96-4528-9036-34F1ACDA388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E96-4528-9036-34F1ACDA388E}"/>
                </c:ext>
              </c:extLst>
            </c:dLbl>
            <c:spPr>
              <a:noFill/>
              <a:ln>
                <a:noFill/>
              </a:ln>
              <a:effectLst/>
            </c:spPr>
            <c:txPr>
              <a:bodyPr/>
              <a:lstStyle/>
              <a:p>
                <a:pPr>
                  <a:defRPr lang="ja-JP" sz="1200" b="1"/>
                </a:pPr>
                <a:endParaRPr lang="zh-CN"/>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6E96-4528-9036-34F1ACDA388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E96-4528-9036-34F1ACDA388E}"/>
                </c:ext>
              </c:extLst>
            </c:dLbl>
            <c:numFmt formatCode="0.0E+00" sourceLinked="0"/>
            <c:spPr>
              <a:noFill/>
            </c:spPr>
            <c:txPr>
              <a:bodyPr rot="0" vert="horz" anchor="ctr" anchorCtr="0"/>
              <a:lstStyle/>
              <a:p>
                <a:pPr>
                  <a:defRPr lang="ja-JP" sz="1200" b="1"/>
                </a:pPr>
                <a:endParaRPr lang="zh-CN"/>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6E96-4528-9036-34F1ACDA388E}"/>
            </c:ext>
          </c:extLst>
        </c:ser>
        <c:dLbls>
          <c:showLegendKey val="0"/>
          <c:showVal val="0"/>
          <c:showCatName val="0"/>
          <c:showSerName val="0"/>
          <c:showPercent val="0"/>
          <c:showBubbleSize val="0"/>
        </c:dLbls>
        <c:gapWidth val="101"/>
        <c:overlap val="-70"/>
        <c:axId val="447021056"/>
        <c:axId val="447022592"/>
      </c:barChart>
      <c:catAx>
        <c:axId val="44702105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zh-CN"/>
          </a:p>
        </c:txPr>
        <c:crossAx val="447022592"/>
        <c:crossesAt val="0"/>
        <c:auto val="1"/>
        <c:lblAlgn val="ctr"/>
        <c:lblOffset val="100"/>
        <c:noMultiLvlLbl val="0"/>
      </c:catAx>
      <c:valAx>
        <c:axId val="447022592"/>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zh-CN"/>
          </a:p>
        </c:txPr>
        <c:crossAx val="44702105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zh-CN"/>
    </a:p>
  </c:txPr>
  <c:printSettings>
    <c:headerFooter alignWithMargins="0"/>
    <c:pageMargins b="1" l="0.75000000000000255" r="0.7500000000000025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7A9A-4B30-813C-2F4CDFF889B0}"/>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7A9A-4B30-813C-2F4CDFF889B0}"/>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7A9A-4B30-813C-2F4CDFF889B0}"/>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7A9A-4B30-813C-2F4CDFF889B0}"/>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7A9A-4B30-813C-2F4CDFF889B0}"/>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7A9A-4B30-813C-2F4CDFF889B0}"/>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7A9A-4B30-813C-2F4CDFF889B0}"/>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7A9A-4B30-813C-2F4CDFF889B0}"/>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7A9A-4B30-813C-2F4CDFF889B0}"/>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7A9A-4B30-813C-2F4CDFF889B0}"/>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7A9A-4B30-813C-2F4CDFF889B0}"/>
            </c:ext>
          </c:extLst>
        </c:ser>
        <c:dLbls>
          <c:showLegendKey val="0"/>
          <c:showVal val="0"/>
          <c:showCatName val="0"/>
          <c:showSerName val="0"/>
          <c:showPercent val="0"/>
          <c:showBubbleSize val="0"/>
        </c:dLbls>
        <c:axId val="447100416"/>
        <c:axId val="447102336"/>
      </c:areaChart>
      <c:catAx>
        <c:axId val="44710041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zh-CN"/>
          </a:p>
        </c:txPr>
        <c:crossAx val="447102336"/>
        <c:crosses val="autoZero"/>
        <c:auto val="1"/>
        <c:lblAlgn val="ctr"/>
        <c:lblOffset val="100"/>
        <c:tickMarkSkip val="1"/>
        <c:noMultiLvlLbl val="0"/>
      </c:catAx>
      <c:valAx>
        <c:axId val="447102336"/>
        <c:scaling>
          <c:orientation val="minMax"/>
          <c:max val="0.2"/>
          <c:min val="0"/>
        </c:scaling>
        <c:delete val="0"/>
        <c:axPos val="l"/>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zh-CN"/>
          </a:p>
        </c:txPr>
        <c:crossAx val="447100416"/>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zh-CN"/>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zh-CN"/>
    </a:p>
  </c:txPr>
  <c:printSettings>
    <c:headerFooter alignWithMargins="0"/>
    <c:pageMargins b="1" l="0.75000000000000189" r="0.750000000000001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1.2</c:v>
                </c:pt>
                <c:pt idx="1">
                  <c:v>12</c:v>
                </c:pt>
                <c:pt idx="2">
                  <c:v>24</c:v>
                </c:pt>
                <c:pt idx="3">
                  <c:v>36</c:v>
                </c:pt>
                <c:pt idx="100">
                  <c:v>1200</c:v>
                </c:pt>
              </c:numCache>
            </c:numRef>
          </c:cat>
          <c:val>
            <c:numRef>
              <c:f>Parameters!$BZ$6:$BZ$106</c:f>
              <c:numCache>
                <c:formatCode>0.00</c:formatCode>
                <c:ptCount val="101"/>
                <c:pt idx="0">
                  <c:v>100</c:v>
                </c:pt>
                <c:pt idx="1">
                  <c:v>100</c:v>
                </c:pt>
                <c:pt idx="2">
                  <c:v>100</c:v>
                </c:pt>
                <c:pt idx="3">
                  <c:v>100</c:v>
                </c:pt>
                <c:pt idx="100">
                  <c:v>100</c:v>
                </c:pt>
              </c:numCache>
            </c:numRef>
          </c:val>
          <c:smooth val="1"/>
          <c:extLst>
            <c:ext xmlns:c16="http://schemas.microsoft.com/office/drawing/2014/chart" uri="{C3380CC4-5D6E-409C-BE32-E72D297353CC}">
              <c16:uniqueId val="{00000000-D674-43A0-9F82-F4A92FBE8268}"/>
            </c:ext>
          </c:extLst>
        </c:ser>
        <c:dLbls>
          <c:showLegendKey val="0"/>
          <c:showVal val="0"/>
          <c:showCatName val="0"/>
          <c:showSerName val="0"/>
          <c:showPercent val="0"/>
          <c:showBubbleSize val="0"/>
        </c:dLbls>
        <c:marker val="1"/>
        <c:smooth val="0"/>
        <c:axId val="447149952"/>
        <c:axId val="447291392"/>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1.2</c:v>
                </c:pt>
                <c:pt idx="1">
                  <c:v>12</c:v>
                </c:pt>
                <c:pt idx="2">
                  <c:v>24</c:v>
                </c:pt>
                <c:pt idx="3">
                  <c:v>36</c:v>
                </c:pt>
                <c:pt idx="100">
                  <c:v>1200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D674-43A0-9F82-F4A92FBE8268}"/>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1.2</c:v>
                </c:pt>
                <c:pt idx="1">
                  <c:v>12</c:v>
                </c:pt>
                <c:pt idx="2">
                  <c:v>24</c:v>
                </c:pt>
                <c:pt idx="3">
                  <c:v>36</c:v>
                </c:pt>
                <c:pt idx="100">
                  <c:v>1200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D674-43A0-9F82-F4A92FBE8268}"/>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1.2</c:v>
                </c:pt>
                <c:pt idx="1">
                  <c:v>12</c:v>
                </c:pt>
                <c:pt idx="2">
                  <c:v>24</c:v>
                </c:pt>
                <c:pt idx="3">
                  <c:v>36</c:v>
                </c:pt>
                <c:pt idx="100">
                  <c:v>1200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D674-43A0-9F82-F4A92FBE8268}"/>
            </c:ext>
          </c:extLst>
        </c:ser>
        <c:dLbls>
          <c:showLegendKey val="0"/>
          <c:showVal val="0"/>
          <c:showCatName val="0"/>
          <c:showSerName val="0"/>
          <c:showPercent val="0"/>
          <c:showBubbleSize val="0"/>
        </c:dLbls>
        <c:marker val="1"/>
        <c:smooth val="0"/>
        <c:axId val="447303680"/>
        <c:axId val="447293312"/>
      </c:lineChart>
      <c:catAx>
        <c:axId val="447149952"/>
        <c:scaling>
          <c:orientation val="minMax"/>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zh-CN"/>
          </a:p>
        </c:txPr>
        <c:crossAx val="447291392"/>
        <c:crosses val="autoZero"/>
        <c:auto val="1"/>
        <c:lblAlgn val="ctr"/>
        <c:lblOffset val="100"/>
        <c:tickLblSkip val="20"/>
        <c:tickMarkSkip val="20"/>
        <c:noMultiLvlLbl val="0"/>
      </c:catAx>
      <c:valAx>
        <c:axId val="447291392"/>
        <c:scaling>
          <c:orientation val="minMax"/>
          <c:max val="95"/>
          <c:min val="65"/>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zh-CN"/>
          </a:p>
        </c:txPr>
        <c:crossAx val="447149952"/>
        <c:crossesAt val="0"/>
        <c:crossBetween val="between"/>
        <c:majorUnit val="5"/>
        <c:minorUnit val="2.5"/>
      </c:valAx>
      <c:valAx>
        <c:axId val="447293312"/>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lang="ja-JP" sz="1100" b="1">
                <a:solidFill>
                  <a:srgbClr val="0000FF"/>
                </a:solidFill>
              </a:defRPr>
            </a:pPr>
            <a:endParaRPr lang="zh-CN"/>
          </a:p>
        </c:txPr>
        <c:crossAx val="447303680"/>
        <c:crosses val="max"/>
        <c:crossBetween val="between"/>
      </c:valAx>
      <c:catAx>
        <c:axId val="447303680"/>
        <c:scaling>
          <c:orientation val="minMax"/>
        </c:scaling>
        <c:delete val="1"/>
        <c:axPos val="b"/>
        <c:numFmt formatCode="0.000" sourceLinked="1"/>
        <c:majorTickMark val="out"/>
        <c:minorTickMark val="none"/>
        <c:tickLblPos val="nextTo"/>
        <c:crossAx val="4472933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66" r="0.75000000000000666" t="1" header="0.5" footer="0.5"/>
    <c:pageSetup paperSize="5"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1.2</c:v>
                </c:pt>
                <c:pt idx="1">
                  <c:v>12</c:v>
                </c:pt>
                <c:pt idx="2">
                  <c:v>24</c:v>
                </c:pt>
                <c:pt idx="3">
                  <c:v>36</c:v>
                </c:pt>
                <c:pt idx="100">
                  <c:v>1200</c:v>
                </c:pt>
              </c:numCache>
            </c:numRef>
          </c:xVal>
          <c:yVal>
            <c:numRef>
              <c:f>Parameters!$BZ$6:$BZ$106</c:f>
              <c:numCache>
                <c:formatCode>0.00</c:formatCode>
                <c:ptCount val="101"/>
                <c:pt idx="0">
                  <c:v>100</c:v>
                </c:pt>
                <c:pt idx="1">
                  <c:v>100</c:v>
                </c:pt>
                <c:pt idx="2">
                  <c:v>100</c:v>
                </c:pt>
                <c:pt idx="3">
                  <c:v>100</c:v>
                </c:pt>
                <c:pt idx="100">
                  <c:v>100</c:v>
                </c:pt>
              </c:numCache>
            </c:numRef>
          </c:yVal>
          <c:smooth val="1"/>
          <c:extLst>
            <c:ext xmlns:c16="http://schemas.microsoft.com/office/drawing/2014/chart" uri="{C3380CC4-5D6E-409C-BE32-E72D297353CC}">
              <c16:uniqueId val="{00000000-5AFA-4F10-B325-54957BB039CB}"/>
            </c:ext>
          </c:extLst>
        </c:ser>
        <c:dLbls>
          <c:showLegendKey val="0"/>
          <c:showVal val="0"/>
          <c:showCatName val="0"/>
          <c:showSerName val="0"/>
          <c:showPercent val="0"/>
          <c:showBubbleSize val="0"/>
        </c:dLbls>
        <c:axId val="447422464"/>
        <c:axId val="44742438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1.2</c:v>
                </c:pt>
                <c:pt idx="1">
                  <c:v>12</c:v>
                </c:pt>
                <c:pt idx="2">
                  <c:v>24</c:v>
                </c:pt>
                <c:pt idx="3">
                  <c:v>36</c:v>
                </c:pt>
                <c:pt idx="100">
                  <c:v>1200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5AFA-4F10-B325-54957BB039CB}"/>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1.2</c:v>
                </c:pt>
                <c:pt idx="1">
                  <c:v>12</c:v>
                </c:pt>
                <c:pt idx="2">
                  <c:v>24</c:v>
                </c:pt>
                <c:pt idx="3">
                  <c:v>36</c:v>
                </c:pt>
                <c:pt idx="100">
                  <c:v>1200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5AFA-4F10-B325-54957BB039CB}"/>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1.2</c:v>
                </c:pt>
                <c:pt idx="1">
                  <c:v>12</c:v>
                </c:pt>
                <c:pt idx="2">
                  <c:v>24</c:v>
                </c:pt>
                <c:pt idx="3">
                  <c:v>36</c:v>
                </c:pt>
                <c:pt idx="100">
                  <c:v>1200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5AFA-4F10-B325-54957BB039CB}"/>
            </c:ext>
          </c:extLst>
        </c:ser>
        <c:dLbls>
          <c:showLegendKey val="0"/>
          <c:showVal val="0"/>
          <c:showCatName val="0"/>
          <c:showSerName val="0"/>
          <c:showPercent val="0"/>
          <c:showBubbleSize val="0"/>
        </c:dLbls>
        <c:axId val="447432576"/>
        <c:axId val="447430656"/>
      </c:scatterChart>
      <c:valAx>
        <c:axId val="447422464"/>
        <c:scaling>
          <c:logBase val="10"/>
          <c:orientation val="minMax"/>
          <c:min val="0.1"/>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zh-CN"/>
          </a:p>
        </c:txPr>
        <c:crossAx val="447424384"/>
        <c:crosses val="autoZero"/>
        <c:crossBetween val="midCat"/>
      </c:valAx>
      <c:valAx>
        <c:axId val="447424384"/>
        <c:scaling>
          <c:orientation val="minMax"/>
          <c:max val="95"/>
          <c:min val="60"/>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zh-CN"/>
          </a:p>
        </c:txPr>
        <c:crossAx val="447422464"/>
        <c:crossesAt val="0"/>
        <c:crossBetween val="midCat"/>
        <c:majorUnit val="5"/>
        <c:minorUnit val="2.5"/>
      </c:valAx>
      <c:valAx>
        <c:axId val="447430656"/>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lang="ja-JP" sz="1100" b="1">
                <a:solidFill>
                  <a:srgbClr val="0000FF"/>
                </a:solidFill>
              </a:defRPr>
            </a:pPr>
            <a:endParaRPr lang="zh-CN"/>
          </a:p>
        </c:txPr>
        <c:crossAx val="447432576"/>
        <c:crosses val="max"/>
        <c:crossBetween val="midCat"/>
      </c:valAx>
      <c:valAx>
        <c:axId val="447432576"/>
        <c:scaling>
          <c:logBase val="10"/>
          <c:orientation val="minMax"/>
        </c:scaling>
        <c:delete val="1"/>
        <c:axPos val="b"/>
        <c:numFmt formatCode="0.000" sourceLinked="1"/>
        <c:majorTickMark val="out"/>
        <c:minorTickMark val="none"/>
        <c:tickLblPos val="nextTo"/>
        <c:crossAx val="447430656"/>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zh-CN"/>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zh-CN"/>
    </a:p>
  </c:txPr>
  <c:printSettings>
    <c:headerFooter alignWithMargins="0"/>
    <c:pageMargins b="1" l="0.75000000000000666" r="0.75000000000000666" t="1" header="0.5" footer="0.5"/>
    <c:pageSetup paperSize="5"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B60-43FD-9662-DE13960A76D7}"/>
                </c:ext>
              </c:extLst>
            </c:dLbl>
            <c:spPr>
              <a:noFill/>
              <a:ln>
                <a:noFill/>
              </a:ln>
              <a:effectLst/>
            </c:spPr>
            <c:txPr>
              <a:bodyPr/>
              <a:lstStyle/>
              <a:p>
                <a:pPr>
                  <a:defRPr lang="ja-JP" sz="1200" b="1"/>
                </a:pPr>
                <a:endParaRPr lang="zh-CN"/>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EB60-43FD-9662-DE13960A76D7}"/>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60-43FD-9662-DE13960A76D7}"/>
                </c:ext>
              </c:extLst>
            </c:dLbl>
            <c:spPr>
              <a:noFill/>
              <a:ln>
                <a:noFill/>
              </a:ln>
              <a:effectLst/>
            </c:spPr>
            <c:txPr>
              <a:bodyPr/>
              <a:lstStyle/>
              <a:p>
                <a:pPr>
                  <a:defRPr lang="ja-JP" sz="1200" b="1"/>
                </a:pPr>
                <a:endParaRPr lang="zh-CN"/>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EB60-43FD-9662-DE13960A76D7}"/>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B60-43FD-9662-DE13960A76D7}"/>
                </c:ext>
              </c:extLst>
            </c:dLbl>
            <c:spPr>
              <a:noFill/>
              <a:ln>
                <a:noFill/>
              </a:ln>
              <a:effectLst/>
            </c:spPr>
            <c:txPr>
              <a:bodyPr/>
              <a:lstStyle/>
              <a:p>
                <a:pPr>
                  <a:defRPr lang="ja-JP" b="1"/>
                </a:pPr>
                <a:endParaRPr lang="zh-CN"/>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EB60-43FD-9662-DE13960A76D7}"/>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B60-43FD-9662-DE13960A76D7}"/>
                </c:ext>
              </c:extLst>
            </c:dLbl>
            <c:spPr>
              <a:noFill/>
              <a:ln>
                <a:noFill/>
              </a:ln>
              <a:effectLst/>
            </c:spPr>
            <c:txPr>
              <a:bodyPr/>
              <a:lstStyle/>
              <a:p>
                <a:pPr>
                  <a:defRPr lang="ja-JP" sz="1200" b="1"/>
                </a:pPr>
                <a:endParaRPr lang="zh-CN"/>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EB60-43FD-9662-DE13960A76D7}"/>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B60-43FD-9662-DE13960A76D7}"/>
                </c:ext>
              </c:extLst>
            </c:dLbl>
            <c:spPr>
              <a:noFill/>
              <a:ln>
                <a:noFill/>
              </a:ln>
              <a:effectLst/>
            </c:spPr>
            <c:txPr>
              <a:bodyPr rot="0" vert="horz"/>
              <a:lstStyle/>
              <a:p>
                <a:pPr>
                  <a:defRPr lang="ja-JP" sz="1200" b="1"/>
                </a:pPr>
                <a:endParaRPr lang="zh-CN"/>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EB60-43FD-9662-DE13960A76D7}"/>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B60-43FD-9662-DE13960A76D7}"/>
                </c:ext>
              </c:extLst>
            </c:dLbl>
            <c:spPr>
              <a:noFill/>
              <a:ln>
                <a:noFill/>
              </a:ln>
              <a:effectLst/>
            </c:spPr>
            <c:txPr>
              <a:bodyPr/>
              <a:lstStyle/>
              <a:p>
                <a:pPr>
                  <a:defRPr lang="ja-JP"/>
                </a:pPr>
                <a:endParaRPr lang="zh-CN"/>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EB60-43FD-9662-DE13960A76D7}"/>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B60-43FD-9662-DE13960A76D7}"/>
                </c:ext>
              </c:extLst>
            </c:dLbl>
            <c:spPr>
              <a:noFill/>
              <a:ln>
                <a:noFill/>
              </a:ln>
              <a:effectLst/>
            </c:spPr>
            <c:txPr>
              <a:bodyPr/>
              <a:lstStyle/>
              <a:p>
                <a:pPr>
                  <a:defRPr lang="ja-JP" sz="1200" b="1"/>
                </a:pPr>
                <a:endParaRPr lang="zh-CN"/>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EB60-43FD-9662-DE13960A76D7}"/>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B60-43FD-9662-DE13960A76D7}"/>
                </c:ext>
              </c:extLst>
            </c:dLbl>
            <c:spPr>
              <a:noFill/>
              <a:ln>
                <a:noFill/>
              </a:ln>
              <a:effectLst/>
            </c:spPr>
            <c:txPr>
              <a:bodyPr/>
              <a:lstStyle/>
              <a:p>
                <a:pPr>
                  <a:defRPr lang="ja-JP" sz="1200" b="1"/>
                </a:pPr>
                <a:endParaRPr lang="zh-CN"/>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EB60-43FD-9662-DE13960A76D7}"/>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B60-43FD-9662-DE13960A76D7}"/>
                </c:ext>
              </c:extLst>
            </c:dLbl>
            <c:numFmt formatCode="0.0E+00" sourceLinked="0"/>
            <c:spPr>
              <a:noFill/>
            </c:spPr>
            <c:txPr>
              <a:bodyPr rot="0" vert="horz" anchor="ctr" anchorCtr="0"/>
              <a:lstStyle/>
              <a:p>
                <a:pPr>
                  <a:defRPr lang="ja-JP" sz="1200" b="1"/>
                </a:pPr>
                <a:endParaRPr lang="zh-CN"/>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EB60-43FD-9662-DE13960A76D7}"/>
            </c:ext>
          </c:extLst>
        </c:ser>
        <c:dLbls>
          <c:showLegendKey val="0"/>
          <c:showVal val="0"/>
          <c:showCatName val="0"/>
          <c:showSerName val="0"/>
          <c:showPercent val="0"/>
          <c:showBubbleSize val="0"/>
        </c:dLbls>
        <c:gapWidth val="101"/>
        <c:overlap val="-70"/>
        <c:axId val="447632128"/>
        <c:axId val="447633664"/>
      </c:barChart>
      <c:catAx>
        <c:axId val="44763212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zh-CN"/>
          </a:p>
        </c:txPr>
        <c:crossAx val="447633664"/>
        <c:crossesAt val="0"/>
        <c:auto val="1"/>
        <c:lblAlgn val="ctr"/>
        <c:lblOffset val="100"/>
        <c:noMultiLvlLbl val="0"/>
      </c:catAx>
      <c:valAx>
        <c:axId val="447633664"/>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zh-CN"/>
          </a:p>
        </c:txPr>
        <c:crossAx val="44763212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zh-CN"/>
    </a:p>
  </c:txPr>
  <c:printSettings>
    <c:headerFooter alignWithMargins="0"/>
    <c:pageMargins b="1" l="0.75000000000000255" r="0.75000000000000255" t="1" header="0.5" footer="0.5"/>
    <c:pageSetup orientation="landscape"/>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16" fmlaLink="'BOM &amp; Schematic'!$Q$31" fmlaRange="'Variable Mgmt'!$R$79:$R$83" noThreeD="1" sel="1" val="0"/>
</file>

<file path=xl/ctrlProps/ctrlProp11.xml><?xml version="1.0" encoding="utf-8"?>
<formControlPr xmlns="http://schemas.microsoft.com/office/spreadsheetml/2009/9/main" objectType="Drop" dropStyle="combo" dx="16" fmlaLink="$Q$32" fmlaRange="'Variable Mgmt'!$R$79:$R$83" noThreeD="1" sel="5" val="0"/>
</file>

<file path=xl/ctrlProps/ctrlProp12.xml><?xml version="1.0" encoding="utf-8"?>
<formControlPr xmlns="http://schemas.microsoft.com/office/spreadsheetml/2009/9/main" objectType="Drop" dropStyle="combo" dx="16" fmlaLink="$Q$40" fmlaRange="'Variable Mgmt'!$W$88:$W$91" noThreeD="1" sel="3" val="0"/>
</file>

<file path=xl/ctrlProps/ctrlProp13.xml><?xml version="1.0" encoding="utf-8"?>
<formControlPr xmlns="http://schemas.microsoft.com/office/spreadsheetml/2009/9/main" objectType="Drop" dropStyle="combo" dx="16" fmlaLink="$Q$47" fmlaRange="'Variable Mgmt'!$R$79:$R$81" noThreeD="1" sel="3" val="0"/>
</file>

<file path=xl/ctrlProps/ctrlProp14.xml><?xml version="1.0" encoding="utf-8"?>
<formControlPr xmlns="http://schemas.microsoft.com/office/spreadsheetml/2009/9/main" objectType="Drop" dropStyle="combo" dx="16" fmlaLink="$Q$42" fmlaRange="'Variable Mgmt'!$W$88:$W$91" noThreeD="1" sel="4" val="0"/>
</file>

<file path=xl/ctrlProps/ctrlProp15.xml><?xml version="1.0" encoding="utf-8"?>
<formControlPr xmlns="http://schemas.microsoft.com/office/spreadsheetml/2009/9/main" objectType="Drop" dropStyle="combo" dx="16" fmlaLink="$Q$41" fmlaRange="'Variable Mgmt'!$W$88:$W$91" noThreeD="1" sel="1" val="0"/>
</file>

<file path=xl/ctrlProps/ctrlProp16.xml><?xml version="1.0" encoding="utf-8"?>
<formControlPr xmlns="http://schemas.microsoft.com/office/spreadsheetml/2009/9/main" objectType="Drop" dropStyle="combo" dx="16" fmlaLink="$Q$46" fmlaRange="'Variable Mgmt'!$R$79:$R$81" noThreeD="1" sel="2" val="0"/>
</file>

<file path=xl/ctrlProps/ctrlProp17.xml><?xml version="1.0" encoding="utf-8"?>
<formControlPr xmlns="http://schemas.microsoft.com/office/spreadsheetml/2009/9/main" objectType="Drop" dropStyle="combo" dx="16" fmlaLink="$Q$48" fmlaRange="'Variable Mgmt'!$R$79:$R$81" noThreeD="1" sel="1" val="0"/>
</file>

<file path=xl/ctrlProps/ctrlProp18.xml><?xml version="1.0" encoding="utf-8"?>
<formControlPr xmlns="http://schemas.microsoft.com/office/spreadsheetml/2009/9/main" objectType="Drop" dropStyle="combo" dx="16" fmlaLink="$Q$49" fmlaRange="'Variable Mgmt'!$R$79:$R$81" noThreeD="1" sel="1" val="0"/>
</file>

<file path=xl/ctrlProps/ctrlProp19.xml><?xml version="1.0" encoding="utf-8"?>
<formControlPr xmlns="http://schemas.microsoft.com/office/spreadsheetml/2009/9/main" objectType="Drop" dropStyle="combo" dx="16" fmlaLink="$Q$50" fmlaRange="'Variable Mgmt'!$R$79:$R$81" noThreeD="1" sel="1" val="0"/>
</file>

<file path=xl/ctrlProps/ctrlProp2.xml><?xml version="1.0" encoding="utf-8"?>
<formControlPr xmlns="http://schemas.microsoft.com/office/spreadsheetml/2009/9/main" objectType="Drop" dropStyle="combo" dx="16" fmlaLink="'Variable Mgmt'!$J$78" fmlaRange="'Variable Mgmt'!$I$76:$I$77" noThreeD="1" sel="2" val="0"/>
</file>

<file path=xl/ctrlProps/ctrlProp20.xml><?xml version="1.0" encoding="utf-8"?>
<formControlPr xmlns="http://schemas.microsoft.com/office/spreadsheetml/2009/9/main" objectType="Drop" dropStyle="combo" dx="16" fmlaLink="$Q$39" fmlaRange="'Variable Mgmt'!$W$88:$W$91" noThreeD="1" sel="3" val="0"/>
</file>

<file path=xl/ctrlProps/ctrlProp21.xml><?xml version="1.0" encoding="utf-8"?>
<formControlPr xmlns="http://schemas.microsoft.com/office/spreadsheetml/2009/9/main" objectType="Drop" dropStyle="combo" dx="16" fmlaLink="$Q$54" fmlaRange="'Variable Mgmt'!$R$89:$R$96" noThreeD="1" sel="8" val="0"/>
</file>

<file path=xl/ctrlProps/ctrlProp22.xml><?xml version="1.0" encoding="utf-8"?>
<formControlPr xmlns="http://schemas.microsoft.com/office/spreadsheetml/2009/9/main" objectType="Drop" dropStyle="combo" dx="16" fmlaLink="$Q$33" fmlaRange="'Variable Mgmt'!$R$79:$R$83" noThreeD="1" sel="5" val="0"/>
</file>

<file path=xl/ctrlProps/ctrlProp23.xml><?xml version="1.0" encoding="utf-8"?>
<formControlPr xmlns="http://schemas.microsoft.com/office/spreadsheetml/2009/9/main" objectType="Drop" dropStyle="combo" dx="16" fmlaLink="$Q$43" fmlaRange="'Variable Mgmt'!$W$88:$W$91" noThreeD="1" sel="3" val="0"/>
</file>

<file path=xl/ctrlProps/ctrlProp24.xml><?xml version="1.0" encoding="utf-8"?>
<formControlPr xmlns="http://schemas.microsoft.com/office/spreadsheetml/2009/9/main" objectType="Drop" dropStyle="combo" dx="16" fmlaLink="$Q$52" fmlaRange="'Variable Mgmt'!$R$79:$R$81" noThreeD="1" sel="2" val="0"/>
</file>

<file path=xl/ctrlProps/ctrlProp25.xml><?xml version="1.0" encoding="utf-8"?>
<formControlPr xmlns="http://schemas.microsoft.com/office/spreadsheetml/2009/9/main" objectType="Drop" dropStyle="combo" dx="16" fmlaLink="$Q$53" fmlaRange="'Variable Mgmt'!$R$79:$R$81" noThreeD="1" sel="1" val="0"/>
</file>

<file path=xl/ctrlProps/ctrlProp26.xml><?xml version="1.0" encoding="utf-8"?>
<formControlPr xmlns="http://schemas.microsoft.com/office/spreadsheetml/2009/9/main" objectType="Drop" dropStyle="combo" dx="16" fmlaLink="'BOM &amp; Schematic'!$Q$35" fmlaRange="'Variable Mgmt'!$R$79:$R$83" noThreeD="1" sel="3" val="0"/>
</file>

<file path=xl/ctrlProps/ctrlProp27.xml><?xml version="1.0" encoding="utf-8"?>
<formControlPr xmlns="http://schemas.microsoft.com/office/spreadsheetml/2009/9/main" objectType="Drop" dropStyle="combo" dx="16" fmlaLink="$Q$44" fmlaRange="'Variable Mgmt'!$W$88:$W$91" noThreeD="1" sel="3" val="0"/>
</file>

<file path=xl/ctrlProps/ctrlProp28.xml><?xml version="1.0" encoding="utf-8"?>
<formControlPr xmlns="http://schemas.microsoft.com/office/spreadsheetml/2009/9/main" objectType="Drop" dropStyle="combo" dx="16" fmlaLink="'BOM &amp; Schematic'!$Q$36" fmlaRange="'Variable Mgmt'!$R$79:$R$83" noThreeD="1" sel="4" val="0"/>
</file>

<file path=xl/ctrlProps/ctrlProp29.xml><?xml version="1.0" encoding="utf-8"?>
<formControlPr xmlns="http://schemas.microsoft.com/office/spreadsheetml/2009/9/main" objectType="Drop" dropStyle="combo" dx="16" fmlaLink="'BOM &amp; Schematic'!$Q$37" fmlaRange="'Variable Mgmt'!$R$79:$R$83" noThreeD="1" sel="2" val="0"/>
</file>

<file path=xl/ctrlProps/ctrlProp3.xml><?xml version="1.0" encoding="utf-8"?>
<formControlPr xmlns="http://schemas.microsoft.com/office/spreadsheetml/2009/9/main" objectType="Drop" dropLines="2" dropStyle="combo" dx="16" fmlaLink="'Variable Mgmt'!$G$78" fmlaRange="'Variable Mgmt'!$F$76:$F$77" noThreeD="1" sel="1" val="0"/>
</file>

<file path=xl/ctrlProps/ctrlProp30.xml><?xml version="1.0" encoding="utf-8"?>
<formControlPr xmlns="http://schemas.microsoft.com/office/spreadsheetml/2009/9/main" objectType="Drop" dropStyle="combo" dx="16" fmlaLink="'BOM &amp; Schematic'!$Q$38" fmlaRange="'Variable Mgmt'!$R$79:$R$83" noThreeD="1" sel="1" val="0"/>
</file>

<file path=xl/ctrlProps/ctrlProp31.xml><?xml version="1.0" encoding="utf-8"?>
<formControlPr xmlns="http://schemas.microsoft.com/office/spreadsheetml/2009/9/main" objectType="Drop" dropStyle="combo" dx="16" fmlaLink="$Q$51" fmlaRange="'Variable Mgmt'!$R$79:$R$84" noThreeD="1" sel="6" val="0"/>
</file>

<file path=xl/ctrlProps/ctrlProp4.xml><?xml version="1.0" encoding="utf-8"?>
<formControlPr xmlns="http://schemas.microsoft.com/office/spreadsheetml/2009/9/main" objectType="Drop" dropLines="10" dropStyle="combo" dx="16" fmlaLink="'Variable Mgmt'!$S$61" fmlaRange="'Variable Mgmt'!$R$28:$R$60" noThreeD="1" sel="14" val="13"/>
</file>

<file path=xl/ctrlProps/ctrlProp5.xml><?xml version="1.0" encoding="utf-8"?>
<formControlPr xmlns="http://schemas.microsoft.com/office/spreadsheetml/2009/9/main" objectType="Drop" dropStyle="combo" dx="16" fmlaLink="'Variable Mgmt'!$G$72" fmlaRange="'Variable Mgmt'!$F$70:$F$71" noThreeD="1" sel="2" val="0"/>
</file>

<file path=xl/ctrlProps/ctrlProp6.xml><?xml version="1.0" encoding="utf-8"?>
<formControlPr xmlns="http://schemas.microsoft.com/office/spreadsheetml/2009/9/main" objectType="Drop" dropLines="10" dropStyle="combo" dx="16" fmlaLink="'Variable Mgmt'!$C$73" fmlaRange="'Variable Mgmt'!$B$70:$B$71" noThreeD="1" sel="1" val="0"/>
</file>

<file path=xl/ctrlProps/ctrlProp7.xml><?xml version="1.0" encoding="utf-8"?>
<formControlPr xmlns="http://schemas.microsoft.com/office/spreadsheetml/2009/9/main" objectType="Spin" dx="16" fmlaLink="$E$7" max="95" min="3" page="10" val="48"/>
</file>

<file path=xl/ctrlProps/ctrlProp8.xml><?xml version="1.0" encoding="utf-8"?>
<formControlPr xmlns="http://schemas.microsoft.com/office/spreadsheetml/2009/9/main" objectType="Spin" dx="16" fmlaLink="$E$7" max="65" min="3" page="10" val="48"/>
</file>

<file path=xl/ctrlProps/ctrlProp9.xml><?xml version="1.0" encoding="utf-8"?>
<formControlPr xmlns="http://schemas.microsoft.com/office/spreadsheetml/2009/9/main" objectType="Drop" dropLines="2" dropStyle="combo" dx="16" fmlaLink="'Variable Mgmt'!$Q$20" fmlaRange="'Variable Mgmt'!$P$18:$P$19" noThreeD="1" sel="2" val="0"/>
</file>

<file path=xl/drawings/_rels/drawing1.xml.rels><?xml version="1.0" encoding="UTF-8" standalone="yes"?>
<Relationships xmlns="http://schemas.openxmlformats.org/package/2006/relationships"><Relationship Id="rId8" Type="http://schemas.openxmlformats.org/officeDocument/2006/relationships/hyperlink" Target="http://www.ti.com/automotive" TargetMode="External"/><Relationship Id="rId3" Type="http://schemas.openxmlformats.org/officeDocument/2006/relationships/image" Target="../media/image2.emf"/><Relationship Id="rId7" Type="http://schemas.openxmlformats.org/officeDocument/2006/relationships/image" Target="../media/image4.jp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hyperlink" Target="http://www.ti.com/industrial" TargetMode="External"/><Relationship Id="rId5" Type="http://schemas.openxmlformats.org/officeDocument/2006/relationships/image" Target="../media/image3.jpg"/><Relationship Id="rId10" Type="http://schemas.openxmlformats.org/officeDocument/2006/relationships/image" Target="../media/image6.emf"/><Relationship Id="rId4" Type="http://schemas.openxmlformats.org/officeDocument/2006/relationships/hyperlink" Target="http://www.ti.com/widevin" TargetMode="External"/><Relationship Id="rId9" Type="http://schemas.openxmlformats.org/officeDocument/2006/relationships/image" Target="../media/image5.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21" Type="http://schemas.openxmlformats.org/officeDocument/2006/relationships/image" Target="../media/image39.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24" Type="http://schemas.openxmlformats.org/officeDocument/2006/relationships/image" Target="../media/image42.png"/><Relationship Id="rId5" Type="http://schemas.openxmlformats.org/officeDocument/2006/relationships/image" Target="../media/image23.png"/><Relationship Id="rId15" Type="http://schemas.openxmlformats.org/officeDocument/2006/relationships/image" Target="../media/image33.png"/><Relationship Id="rId23" Type="http://schemas.openxmlformats.org/officeDocument/2006/relationships/image" Target="../media/image41.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 Id="rId22"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image" Target="../media/image12.png"/><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304800</xdr:colOff>
          <xdr:row>0</xdr:row>
          <xdr:rowOff>409575</xdr:rowOff>
        </xdr:from>
        <xdr:to>
          <xdr:col>25</xdr:col>
          <xdr:colOff>219075</xdr:colOff>
          <xdr:row>1</xdr:row>
          <xdr:rowOff>66675</xdr:rowOff>
        </xdr:to>
        <xdr:sp macro="" textlink="">
          <xdr:nvSpPr>
            <xdr:cNvPr id="751583" name="Drop Down 6111" hidden="1">
              <a:extLst>
                <a:ext uri="{63B3BB69-23CF-44E3-9099-C40C66FF867C}">
                  <a14:compatExt spid="_x0000_s751583"/>
                </a:ext>
                <a:ext uri="{FF2B5EF4-FFF2-40B4-BE49-F238E27FC236}">
                  <a16:creationId xmlns:a16="http://schemas.microsoft.com/office/drawing/2014/main" id="{00000000-0008-0000-0000-0000DF77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160440</xdr:colOff>
      <xdr:row>61</xdr:row>
      <xdr:rowOff>65734</xdr:rowOff>
    </xdr:from>
    <xdr:to>
      <xdr:col>25</xdr:col>
      <xdr:colOff>1592036</xdr:colOff>
      <xdr:row>84</xdr:row>
      <xdr:rowOff>153307</xdr:rowOff>
    </xdr:to>
    <xdr:graphicFrame macro="">
      <xdr:nvGraphicFramePr>
        <xdr:cNvPr id="66" name="Chart 1029">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490417</xdr:colOff>
          <xdr:row>37</xdr:row>
          <xdr:rowOff>67110</xdr:rowOff>
        </xdr:from>
        <xdr:to>
          <xdr:col>25</xdr:col>
          <xdr:colOff>1815353</xdr:colOff>
          <xdr:row>60</xdr:row>
          <xdr:rowOff>161441</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89906"/>
                </a:ext>
              </a:extLst>
            </xdr:cNvPicPr>
          </xdr:nvPicPr>
          <xdr:blipFill rotWithShape="1">
            <a:blip xmlns:r="http://schemas.openxmlformats.org/officeDocument/2006/relationships" r:embed="rId2"/>
            <a:srcRect r="5287"/>
            <a:stretch>
              <a:fillRect/>
            </a:stretch>
          </xdr:blipFill>
          <xdr:spPr bwMode="auto">
            <a:xfrm>
              <a:off x="11061299" y="8187639"/>
              <a:ext cx="6591701" cy="4061214"/>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97117</xdr:colOff>
          <xdr:row>4</xdr:row>
          <xdr:rowOff>94701</xdr:rowOff>
        </xdr:from>
        <xdr:to>
          <xdr:col>25</xdr:col>
          <xdr:colOff>1785470</xdr:colOff>
          <xdr:row>27</xdr:row>
          <xdr:rowOff>239060</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89907"/>
                </a:ext>
              </a:extLst>
            </xdr:cNvPicPr>
          </xdr:nvPicPr>
          <xdr:blipFill rotWithShape="1">
            <a:blip xmlns:r="http://schemas.openxmlformats.org/officeDocument/2006/relationships" r:embed="rId3"/>
            <a:srcRect l="1933" r="3398" b="1428"/>
            <a:stretch>
              <a:fillRect/>
            </a:stretch>
          </xdr:blipFill>
          <xdr:spPr bwMode="auto">
            <a:xfrm>
              <a:off x="8411882" y="1252642"/>
              <a:ext cx="9211235" cy="5119771"/>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23</xdr:col>
      <xdr:colOff>200592</xdr:colOff>
      <xdr:row>11</xdr:row>
      <xdr:rowOff>161472</xdr:rowOff>
    </xdr:from>
    <xdr:to>
      <xdr:col>24</xdr:col>
      <xdr:colOff>79535</xdr:colOff>
      <xdr:row>12</xdr:row>
      <xdr:rowOff>161833</xdr:rowOff>
    </xdr:to>
    <xdr:sp macro="" textlink="'Variable Mgmt'!B245">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5213806" y="2746829"/>
          <a:ext cx="523015" cy="199933"/>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900" b="0" i="0" u="none" strike="noStrike" baseline="0">
              <a:solidFill>
                <a:srgbClr val="000000"/>
              </a:solidFill>
              <a:latin typeface="Arial" pitchFamily="34" charset="0"/>
              <a:cs typeface="Arial" pitchFamily="34" charset="0"/>
            </a:rPr>
            <a:pPr algn="l" rtl="0">
              <a:defRPr sz="1000"/>
            </a:pPr>
            <a:t>110µF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20</xdr:col>
      <xdr:colOff>38775</xdr:colOff>
      <xdr:row>9</xdr:row>
      <xdr:rowOff>126072</xdr:rowOff>
    </xdr:from>
    <xdr:to>
      <xdr:col>20</xdr:col>
      <xdr:colOff>522128</xdr:colOff>
      <xdr:row>10</xdr:row>
      <xdr:rowOff>174517</xdr:rowOff>
    </xdr:to>
    <xdr:sp macro="" textlink="'Variable Mgmt'!B231">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3119775" y="2312286"/>
          <a:ext cx="483353" cy="248017"/>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900" b="0" i="0" u="none" strike="noStrike" baseline="0">
              <a:solidFill>
                <a:srgbClr val="000000"/>
              </a:solidFill>
              <a:latin typeface="Arial" pitchFamily="34" charset="0"/>
              <a:cs typeface="Arial" pitchFamily="34" charset="0"/>
            </a:rPr>
            <a:pPr algn="ctr" rtl="0">
              <a:defRPr sz="1000"/>
            </a:pPr>
            <a:t>12µH</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14</xdr:col>
      <xdr:colOff>58386</xdr:colOff>
      <xdr:row>11</xdr:row>
      <xdr:rowOff>73571</xdr:rowOff>
    </xdr:from>
    <xdr:to>
      <xdr:col>14</xdr:col>
      <xdr:colOff>563514</xdr:colOff>
      <xdr:row>12</xdr:row>
      <xdr:rowOff>64813</xdr:rowOff>
    </xdr:to>
    <xdr:sp macro="" textlink="'Variable Mgmt'!B250">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9030029" y="2658928"/>
          <a:ext cx="505128" cy="190814"/>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900" b="0" i="0" u="none" strike="noStrike" baseline="0">
              <a:solidFill>
                <a:srgbClr val="000000"/>
              </a:solidFill>
              <a:latin typeface="Arial" pitchFamily="34" charset="0"/>
              <a:cs typeface="Arial" pitchFamily="34" charset="0"/>
            </a:rPr>
            <a:pPr algn="ctr" rtl="0">
              <a:defRPr sz="1000"/>
            </a:pPr>
            <a:t>22µF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16</xdr:col>
      <xdr:colOff>4505</xdr:colOff>
      <xdr:row>15</xdr:row>
      <xdr:rowOff>73956</xdr:rowOff>
    </xdr:from>
    <xdr:to>
      <xdr:col>16</xdr:col>
      <xdr:colOff>479770</xdr:colOff>
      <xdr:row>16</xdr:row>
      <xdr:rowOff>161173</xdr:rowOff>
    </xdr:to>
    <xdr:sp macro="" textlink="'Variable Mgmt'!D277">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10327791" y="3457599"/>
          <a:ext cx="475265" cy="286788"/>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14</xdr:col>
      <xdr:colOff>118515</xdr:colOff>
      <xdr:row>5</xdr:row>
      <xdr:rowOff>122966</xdr:rowOff>
    </xdr:from>
    <xdr:to>
      <xdr:col>14</xdr:col>
      <xdr:colOff>612589</xdr:colOff>
      <xdr:row>8</xdr:row>
      <xdr:rowOff>13369</xdr:rowOff>
    </xdr:to>
    <xdr:sp macro="" textlink="'Variable Mgmt'!B237">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627515" y="1527437"/>
          <a:ext cx="494074" cy="45816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48V</a:t>
          </a:fld>
          <a:endParaRPr lang="en-US" sz="1400" b="1" i="0" strike="noStrike">
            <a:solidFill>
              <a:srgbClr val="FF0000"/>
            </a:solidFill>
            <a:latin typeface="Arial" pitchFamily="34" charset="0"/>
            <a:cs typeface="Arial" pitchFamily="34" charset="0"/>
          </a:endParaRPr>
        </a:p>
      </xdr:txBody>
    </xdr:sp>
    <xdr:clientData/>
  </xdr:twoCellAnchor>
  <xdr:twoCellAnchor>
    <xdr:from>
      <xdr:col>25</xdr:col>
      <xdr:colOff>1019168</xdr:colOff>
      <xdr:row>5</xdr:row>
      <xdr:rowOff>164211</xdr:rowOff>
    </xdr:from>
    <xdr:to>
      <xdr:col>25</xdr:col>
      <xdr:colOff>1685561</xdr:colOff>
      <xdr:row>7</xdr:row>
      <xdr:rowOff>133014</xdr:rowOff>
    </xdr:to>
    <xdr:sp macro="" textlink="'Variable Mgmt'!B240">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6535255" y="1561211"/>
          <a:ext cx="666393" cy="355325"/>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5V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25</xdr:col>
      <xdr:colOff>927554</xdr:colOff>
      <xdr:row>6</xdr:row>
      <xdr:rowOff>179163</xdr:rowOff>
    </xdr:from>
    <xdr:to>
      <xdr:col>25</xdr:col>
      <xdr:colOff>1476828</xdr:colOff>
      <xdr:row>8</xdr:row>
      <xdr:rowOff>112096</xdr:rowOff>
    </xdr:to>
    <xdr:sp macro="" textlink="'Variable Mgmt'!B295">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6443641" y="1780467"/>
          <a:ext cx="549274" cy="31945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1.2A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123825</xdr:colOff>
          <xdr:row>6</xdr:row>
          <xdr:rowOff>9525</xdr:rowOff>
        </xdr:from>
        <xdr:to>
          <xdr:col>5</xdr:col>
          <xdr:colOff>304800</xdr:colOff>
          <xdr:row>7</xdr:row>
          <xdr:rowOff>28575</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214803</xdr:colOff>
      <xdr:row>11</xdr:row>
      <xdr:rowOff>121721</xdr:rowOff>
    </xdr:from>
    <xdr:to>
      <xdr:col>17</xdr:col>
      <xdr:colOff>63226</xdr:colOff>
      <xdr:row>12</xdr:row>
      <xdr:rowOff>163885</xdr:rowOff>
    </xdr:to>
    <xdr:sp macro="" textlink="'Variable Mgmt'!C269">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0538089" y="2707078"/>
          <a:ext cx="555994" cy="241736"/>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900" b="0" i="0" u="none" strike="noStrike">
              <a:solidFill>
                <a:srgbClr val="000000"/>
              </a:solidFill>
              <a:latin typeface="Arial"/>
              <a:cs typeface="Arial"/>
            </a:rPr>
            <a:pPr algn="l" rtl="0">
              <a:defRPr sz="1000"/>
            </a:pPr>
            <a:t>196kΩ</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228490</xdr:colOff>
      <xdr:row>15</xdr:row>
      <xdr:rowOff>49885</xdr:rowOff>
    </xdr:from>
    <xdr:to>
      <xdr:col>16</xdr:col>
      <xdr:colOff>76913</xdr:colOff>
      <xdr:row>16</xdr:row>
      <xdr:rowOff>157389</xdr:rowOff>
    </xdr:to>
    <xdr:sp macro="" textlink="'Variable Mgmt'!C270">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844204" y="3433528"/>
          <a:ext cx="555995" cy="307075"/>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900" b="0" i="0" u="none" strike="noStrike">
              <a:solidFill>
                <a:srgbClr val="000000"/>
              </a:solidFill>
              <a:latin typeface="Arial"/>
              <a:cs typeface="Arial"/>
            </a:rPr>
            <a:pPr algn="l" rtl="0">
              <a:defRPr sz="1000"/>
            </a:pPr>
            <a:t>16.9kΩ</a:t>
          </a:fld>
          <a:endParaRPr lang="el-GR" sz="900" b="0" i="0" strike="noStrike">
            <a:solidFill>
              <a:srgbClr val="000000"/>
            </a:solidFill>
            <a:latin typeface="Arial" pitchFamily="34" charset="0"/>
            <a:cs typeface="Arial" pitchFamily="34" charset="0"/>
          </a:endParaRPr>
        </a:p>
      </xdr:txBody>
    </xdr:sp>
    <xdr:clientData/>
  </xdr:twoCellAnchor>
  <xdr:twoCellAnchor>
    <xdr:from>
      <xdr:col>18</xdr:col>
      <xdr:colOff>676778</xdr:colOff>
      <xdr:row>16</xdr:row>
      <xdr:rowOff>6934</xdr:rowOff>
    </xdr:from>
    <xdr:to>
      <xdr:col>19</xdr:col>
      <xdr:colOff>538343</xdr:colOff>
      <xdr:row>17</xdr:row>
      <xdr:rowOff>35167</xdr:rowOff>
    </xdr:to>
    <xdr:sp macro="" textlink="'Variable Mgmt'!C259">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2415207" y="3590148"/>
          <a:ext cx="560065" cy="22780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900" b="0" i="0" u="none" strike="noStrike">
              <a:solidFill>
                <a:srgbClr val="000000"/>
              </a:solidFill>
              <a:latin typeface="Arial"/>
              <a:cs typeface="Arial"/>
            </a:rPr>
            <a:pPr algn="l" rtl="0">
              <a:defRPr sz="1000"/>
            </a:pPr>
            <a:t>168kΩ</a:t>
          </a:fld>
          <a:endParaRPr lang="el-GR" sz="1200" b="0" i="0" strike="noStrike">
            <a:solidFill>
              <a:srgbClr val="000000"/>
            </a:solidFill>
            <a:latin typeface="Arial" pitchFamily="34" charset="0"/>
            <a:cs typeface="Arial" pitchFamily="34" charset="0"/>
          </a:endParaRPr>
        </a:p>
      </xdr:txBody>
    </xdr:sp>
    <xdr:clientData/>
  </xdr:twoCellAnchor>
  <xdr:twoCellAnchor>
    <xdr:from>
      <xdr:col>15</xdr:col>
      <xdr:colOff>515590</xdr:colOff>
      <xdr:row>17</xdr:row>
      <xdr:rowOff>132012</xdr:rowOff>
    </xdr:from>
    <xdr:to>
      <xdr:col>16</xdr:col>
      <xdr:colOff>343366</xdr:colOff>
      <xdr:row>18</xdr:row>
      <xdr:rowOff>143932</xdr:rowOff>
    </xdr:to>
    <xdr:sp macro="" textlink="'Variable Mgmt'!C273">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0131304" y="3914798"/>
          <a:ext cx="535348" cy="21149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900" b="0" i="0" u="none" strike="noStrike" baseline="0">
              <a:solidFill>
                <a:srgbClr val="000000"/>
              </a:solidFill>
              <a:latin typeface="Arial"/>
              <a:cs typeface="Arial"/>
            </a:rPr>
            <a:pPr algn="l" rtl="0">
              <a:defRPr sz="1000"/>
            </a:pPr>
            <a:t>10kΩ</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14</xdr:col>
      <xdr:colOff>105150</xdr:colOff>
      <xdr:row>7</xdr:row>
      <xdr:rowOff>58997</xdr:rowOff>
    </xdr:from>
    <xdr:to>
      <xdr:col>15</xdr:col>
      <xdr:colOff>312085</xdr:colOff>
      <xdr:row>8</xdr:row>
      <xdr:rowOff>144859</xdr:rowOff>
    </xdr:to>
    <xdr:sp macro="" textlink="'Variable Mgmt'!B238">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614150" y="1836997"/>
          <a:ext cx="849406" cy="28009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9V...60V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40</xdr:row>
          <xdr:rowOff>0</xdr:rowOff>
        </xdr:from>
        <xdr:to>
          <xdr:col>5</xdr:col>
          <xdr:colOff>276225</xdr:colOff>
          <xdr:row>41</xdr:row>
          <xdr:rowOff>28575</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132617</xdr:colOff>
      <xdr:row>19</xdr:row>
      <xdr:rowOff>226786</xdr:rowOff>
    </xdr:from>
    <xdr:to>
      <xdr:col>16</xdr:col>
      <xdr:colOff>679506</xdr:colOff>
      <xdr:row>20</xdr:row>
      <xdr:rowOff>138885</xdr:rowOff>
    </xdr:to>
    <xdr:sp macro="" textlink="'Variable Mgmt'!B265">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0455903" y="4454072"/>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900" b="0" i="0" u="none" strike="noStrike">
              <a:solidFill>
                <a:srgbClr val="000000"/>
              </a:solidFill>
              <a:latin typeface="Arial"/>
              <a:cs typeface="Arial"/>
            </a:rPr>
            <a:pPr algn="l" rtl="0">
              <a:defRPr sz="1000"/>
            </a:pPr>
            <a:t> </a:t>
          </a:fld>
          <a:endParaRPr lang="el-GR" sz="9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46</xdr:row>
          <xdr:rowOff>0</xdr:rowOff>
        </xdr:from>
        <xdr:to>
          <xdr:col>5</xdr:col>
          <xdr:colOff>257175</xdr:colOff>
          <xdr:row>46</xdr:row>
          <xdr:rowOff>200025</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78143</xdr:colOff>
      <xdr:row>0</xdr:row>
      <xdr:rowOff>32845</xdr:rowOff>
    </xdr:from>
    <xdr:to>
      <xdr:col>3</xdr:col>
      <xdr:colOff>357789</xdr:colOff>
      <xdr:row>0</xdr:row>
      <xdr:rowOff>571501</xdr:rowOff>
    </xdr:to>
    <xdr:pic macro="[0]!OpenLM27403ProductFolder">
      <xdr:nvPicPr>
        <xdr:cNvPr id="4" name="Picture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6"/>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548543</xdr:colOff>
      <xdr:row>3</xdr:row>
      <xdr:rowOff>130483</xdr:rowOff>
    </xdr:to>
    <xdr:pic macro="[0]!OpenLM27403ProductFolder">
      <xdr:nvPicPr>
        <xdr:cNvPr id="54" name="Picture 53">
          <a:hlinkClick xmlns:r="http://schemas.openxmlformats.org/officeDocument/2006/relationships" r:id="rId8"/>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9525</xdr:colOff>
          <xdr:row>12</xdr:row>
          <xdr:rowOff>0</xdr:rowOff>
        </xdr:from>
        <xdr:to>
          <xdr:col>12</xdr:col>
          <xdr:colOff>66675</xdr:colOff>
          <xdr:row>13</xdr:row>
          <xdr:rowOff>9525</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9525</xdr:rowOff>
        </xdr:from>
        <xdr:to>
          <xdr:col>5</xdr:col>
          <xdr:colOff>266700</xdr:colOff>
          <xdr:row>44</xdr:row>
          <xdr:rowOff>9525</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109162</xdr:colOff>
      <xdr:row>6</xdr:row>
      <xdr:rowOff>19381</xdr:rowOff>
    </xdr:from>
    <xdr:to>
      <xdr:col>21</xdr:col>
      <xdr:colOff>494998</xdr:colOff>
      <xdr:row>7</xdr:row>
      <xdr:rowOff>91622</xdr:rowOff>
    </xdr:to>
    <xdr:sp macro="" textlink="'Variable Mgmt'!B233">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3190162" y="1625024"/>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750794</xdr:colOff>
      <xdr:row>41</xdr:row>
      <xdr:rowOff>69135</xdr:rowOff>
    </xdr:from>
    <xdr:to>
      <xdr:col>25</xdr:col>
      <xdr:colOff>1228557</xdr:colOff>
      <xdr:row>42</xdr:row>
      <xdr:rowOff>146830</xdr:rowOff>
    </xdr:to>
    <xdr:sp macro="" textlink="'Variable Mgmt'!$B$286">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588441" y="9003959"/>
          <a:ext cx="477763" cy="286871"/>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79.3%</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25</xdr:col>
      <xdr:colOff>1096216</xdr:colOff>
      <xdr:row>18</xdr:row>
      <xdr:rowOff>128280</xdr:rowOff>
    </xdr:from>
    <xdr:to>
      <xdr:col>25</xdr:col>
      <xdr:colOff>1759040</xdr:colOff>
      <xdr:row>19</xdr:row>
      <xdr:rowOff>0</xdr:rowOff>
    </xdr:to>
    <xdr:sp macro="" textlink="'Variable Mgmt'!B241">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6612303" y="3341932"/>
          <a:ext cx="662824" cy="349094"/>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869431</xdr:colOff>
      <xdr:row>18</xdr:row>
      <xdr:rowOff>185393</xdr:rowOff>
    </xdr:from>
    <xdr:to>
      <xdr:col>25</xdr:col>
      <xdr:colOff>1616761</xdr:colOff>
      <xdr:row>20</xdr:row>
      <xdr:rowOff>58673</xdr:rowOff>
    </xdr:to>
    <xdr:sp macro="" textlink="'Variable Mgmt'!B296">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6385518" y="3399045"/>
          <a:ext cx="747330" cy="61871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25</xdr:col>
      <xdr:colOff>1022875</xdr:colOff>
      <xdr:row>16</xdr:row>
      <xdr:rowOff>158113</xdr:rowOff>
    </xdr:from>
    <xdr:to>
      <xdr:col>25</xdr:col>
      <xdr:colOff>1685699</xdr:colOff>
      <xdr:row>19</xdr:row>
      <xdr:rowOff>102504</xdr:rowOff>
    </xdr:to>
    <xdr:sp macro="" textlink="'Variable Mgmt'!B242">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7324232" y="3741327"/>
          <a:ext cx="662824" cy="83339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772742</xdr:colOff>
      <xdr:row>19</xdr:row>
      <xdr:rowOff>0</xdr:rowOff>
    </xdr:from>
    <xdr:to>
      <xdr:col>25</xdr:col>
      <xdr:colOff>1516897</xdr:colOff>
      <xdr:row>19</xdr:row>
      <xdr:rowOff>208643</xdr:rowOff>
    </xdr:to>
    <xdr:sp macro="" textlink="'Variable Mgmt'!B297">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7074099" y="4227286"/>
          <a:ext cx="744155" cy="20864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150700</xdr:colOff>
      <xdr:row>15</xdr:row>
      <xdr:rowOff>151932</xdr:rowOff>
    </xdr:from>
    <xdr:to>
      <xdr:col>24</xdr:col>
      <xdr:colOff>34178</xdr:colOff>
      <xdr:row>17</xdr:row>
      <xdr:rowOff>126999</xdr:rowOff>
    </xdr:to>
    <xdr:sp macro="" textlink="'Variable Mgmt'!D245">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5163914" y="3535575"/>
          <a:ext cx="527550" cy="374210"/>
        </a:xfrm>
        <a:prstGeom prst="rect">
          <a:avLst/>
        </a:prstGeom>
        <a:noFill/>
        <a:ln w="9525">
          <a:noFill/>
          <a:miter lim="800000"/>
          <a:headEnd/>
          <a:tailEnd/>
        </a:ln>
      </xdr:spPr>
      <xdr:txBody>
        <a:bodyPr vertOverflow="clip" wrap="square" lIns="27432" tIns="22860" rIns="0" bIns="0" anchor="ctr" upright="1"/>
        <a:lstStyle/>
        <a:p>
          <a:pPr algn="l" rtl="0">
            <a:defRPr sz="1000"/>
          </a:pPr>
          <a:fld id="{A5CD353A-83F6-408F-8104-9228EF111F31}"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159771</xdr:colOff>
      <xdr:row>19</xdr:row>
      <xdr:rowOff>90714</xdr:rowOff>
    </xdr:from>
    <xdr:to>
      <xdr:col>24</xdr:col>
      <xdr:colOff>43249</xdr:colOff>
      <xdr:row>20</xdr:row>
      <xdr:rowOff>0</xdr:rowOff>
    </xdr:to>
    <xdr:sp macro="" textlink="'Variable Mgmt'!C245">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5172985" y="4318000"/>
          <a:ext cx="527550" cy="154214"/>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900" b="0" i="0" u="none" strike="noStrike" baseline="0">
              <a:solidFill>
                <a:srgbClr val="000000"/>
              </a:solidFill>
              <a:latin typeface="Arial"/>
              <a:cs typeface="Arial"/>
            </a:rPr>
            <a:pPr algn="l" rtl="0">
              <a:defRPr sz="1000"/>
            </a:pPr>
            <a:t> </a:t>
          </a:fld>
          <a:endParaRPr lang="en-US" sz="9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14079</xdr:colOff>
          <xdr:row>37</xdr:row>
          <xdr:rowOff>17405</xdr:rowOff>
        </xdr:from>
        <xdr:to>
          <xdr:col>17</xdr:col>
          <xdr:colOff>298824</xdr:colOff>
          <xdr:row>60</xdr:row>
          <xdr:rowOff>124425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89908"/>
                </a:ext>
              </a:extLst>
            </xdr:cNvPicPr>
          </xdr:nvPicPr>
          <xdr:blipFill rotWithShape="1">
            <a:blip xmlns:r="http://schemas.openxmlformats.org/officeDocument/2006/relationships" r:embed="rId10"/>
            <a:srcRect r="5700"/>
            <a:stretch>
              <a:fillRect/>
            </a:stretch>
          </xdr:blipFill>
          <xdr:spPr bwMode="auto">
            <a:xfrm>
              <a:off x="4249903" y="8137934"/>
              <a:ext cx="6619803" cy="4073903"/>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23</xdr:col>
          <xdr:colOff>123825</xdr:colOff>
          <xdr:row>62</xdr:row>
          <xdr:rowOff>9525</xdr:rowOff>
        </xdr:from>
        <xdr:to>
          <xdr:col>23</xdr:col>
          <xdr:colOff>304800</xdr:colOff>
          <xdr:row>63</xdr:row>
          <xdr:rowOff>28575</xdr:rowOff>
        </xdr:to>
        <xdr:sp macro="" textlink="">
          <xdr:nvSpPr>
            <xdr:cNvPr id="751280" name="Spinner 5808" hidden="1">
              <a:extLst>
                <a:ext uri="{63B3BB69-23CF-44E3-9099-C40C66FF867C}">
                  <a14:compatExt spid="_x0000_s751280"/>
                </a:ext>
                <a:ext uri="{FF2B5EF4-FFF2-40B4-BE49-F238E27FC236}">
                  <a16:creationId xmlns:a16="http://schemas.microsoft.com/office/drawing/2014/main" id="{00000000-0008-0000-0000-0000B076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60092</xdr:colOff>
      <xdr:row>21</xdr:row>
      <xdr:rowOff>200356</xdr:rowOff>
    </xdr:from>
    <xdr:to>
      <xdr:col>16</xdr:col>
      <xdr:colOff>606981</xdr:colOff>
      <xdr:row>22</xdr:row>
      <xdr:rowOff>185304</xdr:rowOff>
    </xdr:to>
    <xdr:sp macro="" textlink="'Variable Mgmt'!D309">
      <xdr:nvSpPr>
        <xdr:cNvPr id="40" name="Text Box 268">
          <a:extLst>
            <a:ext uri="{FF2B5EF4-FFF2-40B4-BE49-F238E27FC236}">
              <a16:creationId xmlns:a16="http://schemas.microsoft.com/office/drawing/2014/main" id="{00000000-0008-0000-0000-000028000000}"/>
            </a:ext>
          </a:extLst>
        </xdr:cNvPr>
        <xdr:cNvSpPr txBox="1">
          <a:spLocks noChangeArrowheads="1" noTextEdit="1"/>
        </xdr:cNvSpPr>
      </xdr:nvSpPr>
      <xdr:spPr bwMode="auto">
        <a:xfrm>
          <a:off x="10383378" y="4917499"/>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1000" b="0" i="0" u="none" strike="noStrike">
              <a:solidFill>
                <a:srgbClr val="000000"/>
              </a:solidFill>
              <a:latin typeface="Arial"/>
              <a:cs typeface="Arial"/>
            </a:rPr>
            <a:pPr algn="l" rtl="0">
              <a:defRPr sz="1000"/>
            </a:pPr>
            <a:t>12.1kΩ</a:t>
          </a:fld>
          <a:endParaRPr lang="el-GR" sz="900" b="0" i="0" strike="noStrike">
            <a:solidFill>
              <a:srgbClr val="000000"/>
            </a:solidFill>
            <a:latin typeface="Arial" pitchFamily="34" charset="0"/>
            <a:cs typeface="Arial" pitchFamily="34" charset="0"/>
          </a:endParaRPr>
        </a:p>
      </xdr:txBody>
    </xdr:sp>
    <xdr:clientData/>
  </xdr:twoCellAnchor>
  <xdr:twoCellAnchor>
    <xdr:from>
      <xdr:col>14</xdr:col>
      <xdr:colOff>622519</xdr:colOff>
      <xdr:row>24</xdr:row>
      <xdr:rowOff>55212</xdr:rowOff>
    </xdr:from>
    <xdr:to>
      <xdr:col>15</xdr:col>
      <xdr:colOff>525337</xdr:colOff>
      <xdr:row>25</xdr:row>
      <xdr:rowOff>40160</xdr:rowOff>
    </xdr:to>
    <xdr:sp macro="" textlink="'Variable Mgmt'!D310">
      <xdr:nvSpPr>
        <xdr:cNvPr id="41" name="Text Box 268">
          <a:extLst>
            <a:ext uri="{FF2B5EF4-FFF2-40B4-BE49-F238E27FC236}">
              <a16:creationId xmlns:a16="http://schemas.microsoft.com/office/drawing/2014/main" id="{00000000-0008-0000-0000-000029000000}"/>
            </a:ext>
          </a:extLst>
        </xdr:cNvPr>
        <xdr:cNvSpPr txBox="1">
          <a:spLocks noChangeArrowheads="1" noTextEdit="1"/>
        </xdr:cNvSpPr>
      </xdr:nvSpPr>
      <xdr:spPr bwMode="auto">
        <a:xfrm>
          <a:off x="9594162" y="5507141"/>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1000" b="0" i="0" u="none" strike="noStrike">
              <a:solidFill>
                <a:srgbClr val="000000"/>
              </a:solidFill>
              <a:latin typeface="Arial"/>
              <a:cs typeface="Arial"/>
            </a:rPr>
            <a:pPr algn="l" rtl="0">
              <a:defRPr sz="1000"/>
            </a:pPr>
            <a:t>22nF</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568093</xdr:colOff>
      <xdr:row>24</xdr:row>
      <xdr:rowOff>136854</xdr:rowOff>
    </xdr:from>
    <xdr:to>
      <xdr:col>16</xdr:col>
      <xdr:colOff>407410</xdr:colOff>
      <xdr:row>25</xdr:row>
      <xdr:rowOff>121802</xdr:rowOff>
    </xdr:to>
    <xdr:sp macro="" textlink="'Variable Mgmt'!D311">
      <xdr:nvSpPr>
        <xdr:cNvPr id="43" name="Text Box 268">
          <a:extLst>
            <a:ext uri="{FF2B5EF4-FFF2-40B4-BE49-F238E27FC236}">
              <a16:creationId xmlns:a16="http://schemas.microsoft.com/office/drawing/2014/main" id="{00000000-0008-0000-0000-00002B000000}"/>
            </a:ext>
          </a:extLst>
        </xdr:cNvPr>
        <xdr:cNvSpPr txBox="1">
          <a:spLocks noChangeArrowheads="1" noTextEdit="1"/>
        </xdr:cNvSpPr>
      </xdr:nvSpPr>
      <xdr:spPr bwMode="auto">
        <a:xfrm>
          <a:off x="10183807" y="5588783"/>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1000" b="0" i="0" u="none" strike="noStrike">
              <a:solidFill>
                <a:srgbClr val="000000"/>
              </a:solidFill>
              <a:latin typeface="Arial"/>
              <a:cs typeface="Arial"/>
            </a:rPr>
            <a:pPr algn="l" rtl="0">
              <a:defRPr sz="1000"/>
            </a:pPr>
            <a:t>47pF</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226786</xdr:colOff>
      <xdr:row>24</xdr:row>
      <xdr:rowOff>181428</xdr:rowOff>
    </xdr:from>
    <xdr:to>
      <xdr:col>20</xdr:col>
      <xdr:colOff>129604</xdr:colOff>
      <xdr:row>25</xdr:row>
      <xdr:rowOff>93527</xdr:rowOff>
    </xdr:to>
    <xdr:sp macro="" textlink="'Variable Mgmt'!D314">
      <xdr:nvSpPr>
        <xdr:cNvPr id="48" name="Text Box 268">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12663715"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20</xdr:col>
      <xdr:colOff>517071</xdr:colOff>
      <xdr:row>24</xdr:row>
      <xdr:rowOff>181428</xdr:rowOff>
    </xdr:from>
    <xdr:to>
      <xdr:col>21</xdr:col>
      <xdr:colOff>419889</xdr:colOff>
      <xdr:row>25</xdr:row>
      <xdr:rowOff>93527</xdr:rowOff>
    </xdr:to>
    <xdr:sp macro="" textlink="'Variable Mgmt'!D313">
      <xdr:nvSpPr>
        <xdr:cNvPr id="50" name="Text Box 268">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13598071"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1000" b="0" i="0" u="none" strike="noStrike">
              <a:solidFill>
                <a:srgbClr val="000000"/>
              </a:solidFill>
              <a:latin typeface="Arial"/>
              <a:cs typeface="Arial"/>
            </a:rPr>
            <a:pPr algn="l" rtl="0">
              <a:defRPr sz="1000"/>
            </a:pPr>
            <a:t>20mΩ</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553356</xdr:colOff>
      <xdr:row>21</xdr:row>
      <xdr:rowOff>154214</xdr:rowOff>
    </xdr:from>
    <xdr:to>
      <xdr:col>20</xdr:col>
      <xdr:colOff>456174</xdr:colOff>
      <xdr:row>22</xdr:row>
      <xdr:rowOff>66313</xdr:rowOff>
    </xdr:to>
    <xdr:sp macro="" textlink="'Variable Mgmt'!D315">
      <xdr:nvSpPr>
        <xdr:cNvPr id="52" name="Text Box 268">
          <a:extLst>
            <a:ext uri="{FF2B5EF4-FFF2-40B4-BE49-F238E27FC236}">
              <a16:creationId xmlns:a16="http://schemas.microsoft.com/office/drawing/2014/main" id="{00000000-0008-0000-0000-000034000000}"/>
            </a:ext>
          </a:extLst>
        </xdr:cNvPr>
        <xdr:cNvSpPr txBox="1">
          <a:spLocks noChangeArrowheads="1" noTextEdit="1"/>
        </xdr:cNvSpPr>
      </xdr:nvSpPr>
      <xdr:spPr bwMode="auto">
        <a:xfrm>
          <a:off x="12990285" y="4871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1000" b="0" i="0" u="none" strike="noStrike">
              <a:solidFill>
                <a:srgbClr val="000000"/>
              </a:solidFill>
              <a:latin typeface="Arial"/>
              <a:cs typeface="Arial"/>
            </a:rPr>
            <a:pPr algn="l" rtl="0">
              <a:defRPr sz="1000"/>
            </a:pPr>
            <a:t>100Ω</a:t>
          </a:fld>
          <a:endParaRPr lang="el-GR" sz="9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581025</xdr:colOff>
      <xdr:row>7</xdr:row>
      <xdr:rowOff>47625</xdr:rowOff>
    </xdr:from>
    <xdr:to>
      <xdr:col>10</xdr:col>
      <xdr:colOff>539612</xdr:colOff>
      <xdr:row>62</xdr:row>
      <xdr:rowOff>153585</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581025" y="1714500"/>
          <a:ext cx="6054587" cy="9011835"/>
          <a:chOff x="563217" y="1684406"/>
          <a:chExt cx="6372087" cy="8837210"/>
        </a:xfrm>
      </xdr:grpSpPr>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87784" y="1684406"/>
            <a:ext cx="6343059" cy="4223855"/>
          </a:xfrm>
          <a:prstGeom prst="rect">
            <a:avLst/>
          </a:prstGeom>
        </xdr:spPr>
      </xdr:pic>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flipH="1">
            <a:off x="563217" y="6333434"/>
            <a:ext cx="6372087" cy="4188182"/>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86">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79.3%</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86">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79.3%</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4686"/>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85709"/>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3108900" y="65131950"/>
          <a:ext cx="0" cy="433387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-1</xdr:colOff>
      <xdr:row>6</xdr:row>
      <xdr:rowOff>20481</xdr:rowOff>
    </xdr:from>
    <xdr:to>
      <xdr:col>4</xdr:col>
      <xdr:colOff>8229599</xdr:colOff>
      <xdr:row>6</xdr:row>
      <xdr:rowOff>4460244</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0363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6</xdr:row>
      <xdr:rowOff>20481</xdr:rowOff>
    </xdr:from>
    <xdr:to>
      <xdr:col>7</xdr:col>
      <xdr:colOff>8229599</xdr:colOff>
      <xdr:row>6</xdr:row>
      <xdr:rowOff>4460244</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19888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8</xdr:row>
      <xdr:rowOff>23050</xdr:rowOff>
    </xdr:from>
    <xdr:to>
      <xdr:col>1</xdr:col>
      <xdr:colOff>8229599</xdr:colOff>
      <xdr:row>8</xdr:row>
      <xdr:rowOff>4457675</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847724" y="58142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10</xdr:row>
      <xdr:rowOff>23050</xdr:rowOff>
    </xdr:from>
    <xdr:to>
      <xdr:col>1</xdr:col>
      <xdr:colOff>8229599</xdr:colOff>
      <xdr:row>10</xdr:row>
      <xdr:rowOff>4457675</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847724" y="105005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12</xdr:row>
      <xdr:rowOff>21949</xdr:rowOff>
    </xdr:from>
    <xdr:to>
      <xdr:col>1</xdr:col>
      <xdr:colOff>8229599</xdr:colOff>
      <xdr:row>12</xdr:row>
      <xdr:rowOff>4458776</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843642" y="151857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14</xdr:row>
      <xdr:rowOff>21948</xdr:rowOff>
    </xdr:from>
    <xdr:to>
      <xdr:col>1</xdr:col>
      <xdr:colOff>8229599</xdr:colOff>
      <xdr:row>14</xdr:row>
      <xdr:rowOff>4458775</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843642" y="19872048"/>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6</xdr:row>
      <xdr:rowOff>21949</xdr:rowOff>
    </xdr:from>
    <xdr:to>
      <xdr:col>1</xdr:col>
      <xdr:colOff>8229599</xdr:colOff>
      <xdr:row>6</xdr:row>
      <xdr:rowOff>4458776</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843642" y="1050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16</xdr:row>
      <xdr:rowOff>21949</xdr:rowOff>
    </xdr:from>
    <xdr:to>
      <xdr:col>1</xdr:col>
      <xdr:colOff>8229599</xdr:colOff>
      <xdr:row>16</xdr:row>
      <xdr:rowOff>4458776</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843642" y="245583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18</xdr:row>
      <xdr:rowOff>21949</xdr:rowOff>
    </xdr:from>
    <xdr:to>
      <xdr:col>1</xdr:col>
      <xdr:colOff>8229599</xdr:colOff>
      <xdr:row>18</xdr:row>
      <xdr:rowOff>4458776</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843642" y="29244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20</xdr:row>
      <xdr:rowOff>21949</xdr:rowOff>
    </xdr:from>
    <xdr:to>
      <xdr:col>1</xdr:col>
      <xdr:colOff>8229599</xdr:colOff>
      <xdr:row>20</xdr:row>
      <xdr:rowOff>4458776</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843642" y="339690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8</xdr:row>
      <xdr:rowOff>21215</xdr:rowOff>
    </xdr:from>
    <xdr:to>
      <xdr:col>4</xdr:col>
      <xdr:colOff>8229598</xdr:colOff>
      <xdr:row>8</xdr:row>
      <xdr:rowOff>4459511</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0888434" y="5808786"/>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10</xdr:row>
      <xdr:rowOff>21215</xdr:rowOff>
    </xdr:from>
    <xdr:to>
      <xdr:col>4</xdr:col>
      <xdr:colOff>8229598</xdr:colOff>
      <xdr:row>10</xdr:row>
      <xdr:rowOff>4459511</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0877095" y="10498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12</xdr:row>
      <xdr:rowOff>21215</xdr:rowOff>
    </xdr:from>
    <xdr:to>
      <xdr:col>4</xdr:col>
      <xdr:colOff>8229598</xdr:colOff>
      <xdr:row>12</xdr:row>
      <xdr:rowOff>4459511</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0877095" y="15197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14</xdr:row>
      <xdr:rowOff>21215</xdr:rowOff>
    </xdr:from>
    <xdr:to>
      <xdr:col>4</xdr:col>
      <xdr:colOff>8229598</xdr:colOff>
      <xdr:row>14</xdr:row>
      <xdr:rowOff>4459511</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0877095" y="19896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16</xdr:row>
      <xdr:rowOff>21215</xdr:rowOff>
    </xdr:from>
    <xdr:to>
      <xdr:col>4</xdr:col>
      <xdr:colOff>8229599</xdr:colOff>
      <xdr:row>16</xdr:row>
      <xdr:rowOff>4459511</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0365920" y="245576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18</xdr:row>
      <xdr:rowOff>21215</xdr:rowOff>
    </xdr:from>
    <xdr:to>
      <xdr:col>4</xdr:col>
      <xdr:colOff>8229599</xdr:colOff>
      <xdr:row>18</xdr:row>
      <xdr:rowOff>4459511</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0365920" y="292439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20</xdr:row>
      <xdr:rowOff>21215</xdr:rowOff>
    </xdr:from>
    <xdr:to>
      <xdr:col>4</xdr:col>
      <xdr:colOff>8229599</xdr:colOff>
      <xdr:row>20</xdr:row>
      <xdr:rowOff>4459511</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0365920" y="339683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20481</xdr:rowOff>
    </xdr:from>
    <xdr:to>
      <xdr:col>7</xdr:col>
      <xdr:colOff>8229599</xdr:colOff>
      <xdr:row>8</xdr:row>
      <xdr:rowOff>4460244</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19888199" y="58116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20481</xdr:rowOff>
    </xdr:from>
    <xdr:to>
      <xdr:col>7</xdr:col>
      <xdr:colOff>8229599</xdr:colOff>
      <xdr:row>10</xdr:row>
      <xdr:rowOff>4460244</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19888199" y="104979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20481</xdr:rowOff>
    </xdr:from>
    <xdr:to>
      <xdr:col>7</xdr:col>
      <xdr:colOff>8229599</xdr:colOff>
      <xdr:row>12</xdr:row>
      <xdr:rowOff>4460244</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19888199" y="151842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20481</xdr:rowOff>
    </xdr:from>
    <xdr:to>
      <xdr:col>7</xdr:col>
      <xdr:colOff>8229599</xdr:colOff>
      <xdr:row>14</xdr:row>
      <xdr:rowOff>4460244</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19888199" y="19870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20481</xdr:rowOff>
    </xdr:from>
    <xdr:to>
      <xdr:col>7</xdr:col>
      <xdr:colOff>8229599</xdr:colOff>
      <xdr:row>16</xdr:row>
      <xdr:rowOff>4460244</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19888199" y="245568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20481</xdr:rowOff>
    </xdr:from>
    <xdr:to>
      <xdr:col>7</xdr:col>
      <xdr:colOff>8229599</xdr:colOff>
      <xdr:row>18</xdr:row>
      <xdr:rowOff>4460244</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19888199" y="29243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20481</xdr:rowOff>
    </xdr:from>
    <xdr:to>
      <xdr:col>7</xdr:col>
      <xdr:colOff>8229599</xdr:colOff>
      <xdr:row>20</xdr:row>
      <xdr:rowOff>4460244</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19888199" y="33967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229322</xdr:colOff>
      <xdr:row>33</xdr:row>
      <xdr:rowOff>37753</xdr:rowOff>
    </xdr:from>
    <xdr:to>
      <xdr:col>16</xdr:col>
      <xdr:colOff>381667</xdr:colOff>
      <xdr:row>61</xdr:row>
      <xdr:rowOff>144929</xdr:rowOff>
    </xdr:to>
    <xdr:graphicFrame macro="">
      <xdr:nvGraphicFramePr>
        <xdr:cNvPr id="2" name="Chart 1029">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123825</xdr:rowOff>
        </xdr:from>
        <xdr:to>
          <xdr:col>1</xdr:col>
          <xdr:colOff>104775</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1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18</xdr:col>
      <xdr:colOff>18143</xdr:colOff>
      <xdr:row>33</xdr:row>
      <xdr:rowOff>18142</xdr:rowOff>
    </xdr:from>
    <xdr:to>
      <xdr:col>26</xdr:col>
      <xdr:colOff>808663</xdr:colOff>
      <xdr:row>61</xdr:row>
      <xdr:rowOff>128493</xdr:rowOff>
    </xdr:to>
    <xdr:graphicFrame macro="">
      <xdr:nvGraphicFramePr>
        <xdr:cNvPr id="4" name="Chart 1029">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180975</xdr:colOff>
          <xdr:row>111</xdr:row>
          <xdr:rowOff>142875</xdr:rowOff>
        </xdr:from>
        <xdr:to>
          <xdr:col>36</xdr:col>
          <xdr:colOff>9525</xdr:colOff>
          <xdr:row>125</xdr:row>
          <xdr:rowOff>142875</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3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60.8%</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60.8%</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171450</xdr:colOff>
      <xdr:row>41</xdr:row>
      <xdr:rowOff>28575</xdr:rowOff>
    </xdr:from>
    <xdr:to>
      <xdr:col>46</xdr:col>
      <xdr:colOff>304800</xdr:colOff>
      <xdr:row>72</xdr:row>
      <xdr:rowOff>30307</xdr:rowOff>
    </xdr:to>
    <xdr:graphicFrame macro="">
      <xdr:nvGraphicFramePr>
        <xdr:cNvPr id="6" name="Chart 253">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152400</xdr:colOff>
      <xdr:row>9</xdr:row>
      <xdr:rowOff>0</xdr:rowOff>
    </xdr:from>
    <xdr:to>
      <xdr:col>105</xdr:col>
      <xdr:colOff>38100</xdr:colOff>
      <xdr:row>40</xdr:row>
      <xdr:rowOff>1732</xdr:rowOff>
    </xdr:to>
    <xdr:graphicFrame macro="">
      <xdr:nvGraphicFramePr>
        <xdr:cNvPr id="10" name="Chart 253">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90</xdr:col>
      <xdr:colOff>142875</xdr:colOff>
      <xdr:row>40</xdr:row>
      <xdr:rowOff>123825</xdr:rowOff>
    </xdr:from>
    <xdr:to>
      <xdr:col>105</xdr:col>
      <xdr:colOff>19050</xdr:colOff>
      <xdr:row>71</xdr:row>
      <xdr:rowOff>125557</xdr:rowOff>
    </xdr:to>
    <xdr:graphicFrame macro="">
      <xdr:nvGraphicFramePr>
        <xdr:cNvPr id="11" name="Chart 253">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110</xdr:col>
      <xdr:colOff>171450</xdr:colOff>
      <xdr:row>41</xdr:row>
      <xdr:rowOff>28575</xdr:rowOff>
    </xdr:from>
    <xdr:to>
      <xdr:col>128</xdr:col>
      <xdr:colOff>304800</xdr:colOff>
      <xdr:row>72</xdr:row>
      <xdr:rowOff>30307</xdr:rowOff>
    </xdr:to>
    <xdr:graphicFrame macro="">
      <xdr:nvGraphicFramePr>
        <xdr:cNvPr id="12" name="Chart 253">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110</xdr:col>
      <xdr:colOff>228600</xdr:colOff>
      <xdr:row>9</xdr:row>
      <xdr:rowOff>28575</xdr:rowOff>
    </xdr:from>
    <xdr:to>
      <xdr:col>128</xdr:col>
      <xdr:colOff>361950</xdr:colOff>
      <xdr:row>40</xdr:row>
      <xdr:rowOff>30307</xdr:rowOff>
    </xdr:to>
    <xdr:graphicFrame macro="">
      <xdr:nvGraphicFramePr>
        <xdr:cNvPr id="13" name="Chart 253">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90</xdr:col>
      <xdr:colOff>159205</xdr:colOff>
      <xdr:row>72</xdr:row>
      <xdr:rowOff>141513</xdr:rowOff>
    </xdr:from>
    <xdr:to>
      <xdr:col>101</xdr:col>
      <xdr:colOff>371475</xdr:colOff>
      <xdr:row>101</xdr:row>
      <xdr:rowOff>123825</xdr:rowOff>
    </xdr:to>
    <xdr:graphicFrame macro="">
      <xdr:nvGraphicFramePr>
        <xdr:cNvPr id="14" name="Chart 25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104</xdr:col>
      <xdr:colOff>33619</xdr:colOff>
      <xdr:row>72</xdr:row>
      <xdr:rowOff>52297</xdr:rowOff>
    </xdr:from>
    <xdr:to>
      <xdr:col>116</xdr:col>
      <xdr:colOff>328705</xdr:colOff>
      <xdr:row>101</xdr:row>
      <xdr:rowOff>26147</xdr:rowOff>
    </xdr:to>
    <xdr:graphicFrame macro="">
      <xdr:nvGraphicFramePr>
        <xdr:cNvPr id="15" name="Chart 253">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72</xdr:col>
      <xdr:colOff>136071</xdr:colOff>
      <xdr:row>0</xdr:row>
      <xdr:rowOff>18143</xdr:rowOff>
    </xdr:from>
    <xdr:ext cx="2204357" cy="589643"/>
    <xdr:sp macro="" textlink="">
      <xdr:nvSpPr>
        <xdr:cNvPr id="2" name="TextBox 1">
          <a:extLst>
            <a:ext uri="{FF2B5EF4-FFF2-40B4-BE49-F238E27FC236}">
              <a16:creationId xmlns:a16="http://schemas.microsoft.com/office/drawing/2014/main" id="{00000000-0008-0000-0400-000002000000}"/>
            </a:ext>
          </a:extLst>
        </xdr:cNvPr>
        <xdr:cNvSpPr txBox="1"/>
      </xdr:nvSpPr>
      <xdr:spPr bwMode="auto">
        <a:xfrm>
          <a:off x="38898285" y="18143"/>
          <a:ext cx="2204357" cy="589643"/>
        </a:xfrm>
        <a:prstGeom prst="rect">
          <a:avLst/>
        </a:prstGeom>
        <a:solidFill>
          <a:srgbClr val="FFFF00"/>
        </a:solidFill>
        <a:ln w="9525">
          <a:noFill/>
          <a:miter lim="800000"/>
          <a:headEnd/>
          <a:tailEnd/>
        </a:ln>
      </xdr:spPr>
      <xdr:txBody>
        <a:bodyPr vertOverflow="clip" horzOverflow="clip" wrap="square" lIns="27432" tIns="27432" rIns="0" bIns="0" rtlCol="0" anchor="t" upright="1">
          <a:noAutofit/>
        </a:bodyPr>
        <a:lstStyle/>
        <a:p>
          <a:pPr algn="l" rtl="0"/>
          <a:r>
            <a:rPr lang="en-US" sz="1100" b="0" i="0" strike="noStrike" baseline="0">
              <a:solidFill>
                <a:srgbClr val="FF0000"/>
              </a:solidFill>
              <a:latin typeface="Calibri"/>
            </a:rPr>
            <a:t>30JUL2024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a:solidFill>
                <a:srgbClr val="FF0000"/>
              </a:solidFill>
              <a:effectLst/>
              <a:latin typeface="+mn-lt"/>
              <a:ea typeface="+mn-ea"/>
              <a:cs typeface="+mn-cs"/>
            </a:rPr>
            <a:t>For this version, Core losses is</a:t>
          </a:r>
          <a:r>
            <a:rPr lang="en-US" sz="1100" b="0" i="0" baseline="0">
              <a:solidFill>
                <a:srgbClr val="FF0000"/>
              </a:solidFill>
              <a:effectLst/>
              <a:latin typeface="+mn-lt"/>
              <a:ea typeface="+mn-ea"/>
              <a:cs typeface="+mn-cs"/>
            </a:rPr>
            <a:t> assumd 1.5% of the total power.</a:t>
          </a:r>
          <a:endParaRPr lang="en-US">
            <a:solidFill>
              <a:srgbClr val="FF0000"/>
            </a:solidFill>
            <a:effectLst/>
          </a:endParaRPr>
        </a:p>
        <a:p>
          <a:pPr algn="l" rtl="0"/>
          <a:endParaRPr lang="en-US" sz="1100" b="0" i="0" strike="noStrike">
            <a:solidFill>
              <a:srgbClr val="FF0000"/>
            </a:solidFill>
            <a:latin typeface="Calibri"/>
          </a:endParaRPr>
        </a:p>
      </xdr:txBody>
    </xdr:sp>
    <xdr:clientData/>
  </xdr:oneCellAnchor>
  <xdr:oneCellAnchor>
    <xdr:from>
      <xdr:col>59</xdr:col>
      <xdr:colOff>235858</xdr:colOff>
      <xdr:row>0</xdr:row>
      <xdr:rowOff>36285</xdr:rowOff>
    </xdr:from>
    <xdr:ext cx="1741715" cy="553357"/>
    <xdr:sp macro="" textlink="">
      <xdr:nvSpPr>
        <xdr:cNvPr id="17" name="TextBox 16">
          <a:extLst>
            <a:ext uri="{FF2B5EF4-FFF2-40B4-BE49-F238E27FC236}">
              <a16:creationId xmlns:a16="http://schemas.microsoft.com/office/drawing/2014/main" id="{00000000-0008-0000-0400-000011000000}"/>
            </a:ext>
          </a:extLst>
        </xdr:cNvPr>
        <xdr:cNvSpPr txBox="1"/>
      </xdr:nvSpPr>
      <xdr:spPr bwMode="auto">
        <a:xfrm>
          <a:off x="30734001" y="36285"/>
          <a:ext cx="1741715" cy="553357"/>
        </a:xfrm>
        <a:prstGeom prst="rect">
          <a:avLst/>
        </a:prstGeom>
        <a:solidFill>
          <a:srgbClr val="FFFF66"/>
        </a:solidFill>
        <a:ln w="9525">
          <a:noFill/>
          <a:miter lim="800000"/>
          <a:headEnd/>
          <a:tailEnd/>
        </a:ln>
      </xdr:spPr>
      <xdr:txBody>
        <a:bodyPr vertOverflow="clip" horzOverflow="clip" wrap="square" lIns="27432" tIns="27432" rIns="0" bIns="0" rtlCol="0" anchor="t" upright="1">
          <a:spAutoFit/>
        </a:bodyPr>
        <a:lstStyle/>
        <a:p>
          <a:pPr algn="l" rtl="0"/>
          <a:r>
            <a:rPr lang="en-US" sz="1100" b="1" i="0" strike="noStrike">
              <a:solidFill>
                <a:srgbClr val="FF0000"/>
              </a:solidFill>
              <a:latin typeface="+mn-lt"/>
            </a:rPr>
            <a:t>31JUL2024</a:t>
          </a:r>
        </a:p>
        <a:p>
          <a:pPr algn="l" rtl="0"/>
          <a:r>
            <a:rPr lang="en-US" sz="1100" b="0" i="0" strike="noStrike">
              <a:solidFill>
                <a:srgbClr val="FF0000"/>
              </a:solidFill>
              <a:latin typeface="+mn-lt"/>
            </a:rPr>
            <a:t>FET Qg loss is using VIN instead of 5V VDD. </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329046</xdr:colOff>
      <xdr:row>72</xdr:row>
      <xdr:rowOff>84117</xdr:rowOff>
    </xdr:from>
    <xdr:to>
      <xdr:col>27</xdr:col>
      <xdr:colOff>673307</xdr:colOff>
      <xdr:row>103</xdr:row>
      <xdr:rowOff>85849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92</xdr:col>
      <xdr:colOff>342900</xdr:colOff>
      <xdr:row>9</xdr:row>
      <xdr:rowOff>19050</xdr:rowOff>
    </xdr:from>
    <xdr:to>
      <xdr:col>109</xdr:col>
      <xdr:colOff>47625</xdr:colOff>
      <xdr:row>40</xdr:row>
      <xdr:rowOff>20782</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92</xdr:col>
      <xdr:colOff>352425</xdr:colOff>
      <xdr:row>41</xdr:row>
      <xdr:rowOff>0</xdr:rowOff>
    </xdr:from>
    <xdr:to>
      <xdr:col>109</xdr:col>
      <xdr:colOff>57150</xdr:colOff>
      <xdr:row>72</xdr:row>
      <xdr:rowOff>1732</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109</xdr:col>
      <xdr:colOff>194582</xdr:colOff>
      <xdr:row>41</xdr:row>
      <xdr:rowOff>21771</xdr:rowOff>
    </xdr:from>
    <xdr:to>
      <xdr:col>129</xdr:col>
      <xdr:colOff>123825</xdr:colOff>
      <xdr:row>72</xdr:row>
      <xdr:rowOff>23503</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109</xdr:col>
      <xdr:colOff>228600</xdr:colOff>
      <xdr:row>9</xdr:row>
      <xdr:rowOff>28575</xdr:rowOff>
    </xdr:from>
    <xdr:to>
      <xdr:col>129</xdr:col>
      <xdr:colOff>19050</xdr:colOff>
      <xdr:row>40</xdr:row>
      <xdr:rowOff>30307</xdr:rowOff>
    </xdr:to>
    <xdr:graphicFrame macro="">
      <xdr:nvGraphicFramePr>
        <xdr:cNvPr id="10" name="Chart 25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92</xdr:col>
      <xdr:colOff>329046</xdr:colOff>
      <xdr:row>72</xdr:row>
      <xdr:rowOff>138546</xdr:rowOff>
    </xdr:from>
    <xdr:to>
      <xdr:col>109</xdr:col>
      <xdr:colOff>33771</xdr:colOff>
      <xdr:row>103</xdr:row>
      <xdr:rowOff>140278</xdr:rowOff>
    </xdr:to>
    <xdr:graphicFrame macro="">
      <xdr:nvGraphicFramePr>
        <xdr:cNvPr id="11" name="Chart 253">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66</xdr:col>
      <xdr:colOff>544285</xdr:colOff>
      <xdr:row>7</xdr:row>
      <xdr:rowOff>90714</xdr:rowOff>
    </xdr:from>
    <xdr:ext cx="27765" cy="199927"/>
    <xdr:sp macro="" textlink="">
      <xdr:nvSpPr>
        <xdr:cNvPr id="12" name="TextBox 11">
          <a:extLst>
            <a:ext uri="{FF2B5EF4-FFF2-40B4-BE49-F238E27FC236}">
              <a16:creationId xmlns:a16="http://schemas.microsoft.com/office/drawing/2014/main" id="{00000000-0008-0000-0500-00000C000000}"/>
            </a:ext>
          </a:extLst>
        </xdr:cNvPr>
        <xdr:cNvSpPr txBox="1"/>
      </xdr:nvSpPr>
      <xdr:spPr bwMode="auto">
        <a:xfrm>
          <a:off x="34299071" y="1796143"/>
          <a:ext cx="27765" cy="199927"/>
        </a:xfrm>
        <a:prstGeom prst="rect">
          <a:avLst/>
        </a:prstGeom>
        <a:noFill/>
        <a:ln w="9525">
          <a:noFill/>
          <a:miter lim="800000"/>
          <a:headEnd/>
          <a:tailEnd/>
        </a:ln>
      </xdr:spPr>
      <xdr:txBody>
        <a:bodyPr vertOverflow="clip" horzOverflow="clip" wrap="none" lIns="27432" tIns="27432" rIns="0" bIns="0" rtlCol="0" anchor="t" upright="1">
          <a:spAutoFit/>
        </a:bodyPr>
        <a:lstStyle/>
        <a:p>
          <a:pPr algn="l" rtl="0"/>
          <a:endParaRPr lang="en-US" sz="1100" b="0" i="0" strike="noStrike">
            <a:solidFill>
              <a:srgbClr val="000000"/>
            </a:solidFill>
            <a:latin typeface="Calibri"/>
          </a:endParaRPr>
        </a:p>
      </xdr:txBody>
    </xdr:sp>
    <xdr:clientData/>
  </xdr:oneCellAnchor>
  <xdr:oneCellAnchor>
    <xdr:from>
      <xdr:col>58</xdr:col>
      <xdr:colOff>244929</xdr:colOff>
      <xdr:row>0</xdr:row>
      <xdr:rowOff>36286</xdr:rowOff>
    </xdr:from>
    <xdr:ext cx="2502480" cy="544380"/>
    <xdr:sp macro="" textlink="">
      <xdr:nvSpPr>
        <xdr:cNvPr id="13" name="TextBox 12">
          <a:extLst>
            <a:ext uri="{FF2B5EF4-FFF2-40B4-BE49-F238E27FC236}">
              <a16:creationId xmlns:a16="http://schemas.microsoft.com/office/drawing/2014/main" id="{00000000-0008-0000-0500-00000D000000}"/>
            </a:ext>
          </a:extLst>
        </xdr:cNvPr>
        <xdr:cNvSpPr txBox="1"/>
      </xdr:nvSpPr>
      <xdr:spPr bwMode="auto">
        <a:xfrm>
          <a:off x="29282572" y="36286"/>
          <a:ext cx="2502480" cy="544380"/>
        </a:xfrm>
        <a:prstGeom prst="rect">
          <a:avLst/>
        </a:prstGeom>
        <a:solidFill>
          <a:srgbClr val="FFFF66"/>
        </a:solidFill>
        <a:ln w="9525">
          <a:noFill/>
          <a:miter lim="800000"/>
          <a:headEnd/>
          <a:tailEnd/>
        </a:ln>
      </xdr:spPr>
      <xdr:txBody>
        <a:bodyPr vertOverflow="clip" horzOverflow="clip" wrap="none" lIns="27432" tIns="27432" rIns="0" bIns="0" rtlCol="0" anchor="t" upright="1">
          <a:spAutoFit/>
        </a:bodyPr>
        <a:lstStyle/>
        <a:p>
          <a:pPr rtl="0"/>
          <a:r>
            <a:rPr lang="en-US" sz="1100" b="1" i="0">
              <a:solidFill>
                <a:srgbClr val="FF0000"/>
              </a:solidFill>
              <a:effectLst/>
              <a:latin typeface="+mn-lt"/>
              <a:ea typeface="+mn-ea"/>
              <a:cs typeface="+mn-cs"/>
            </a:rPr>
            <a:t>31JUL2024</a:t>
          </a:r>
          <a:endParaRPr lang="en-US">
            <a:solidFill>
              <a:srgbClr val="FF0000"/>
            </a:solidFill>
            <a:effectLst/>
          </a:endParaRPr>
        </a:p>
        <a:p>
          <a:pPr rtl="0"/>
          <a:r>
            <a:rPr lang="en-US" sz="1100" b="0" i="0">
              <a:solidFill>
                <a:srgbClr val="FF0000"/>
              </a:solidFill>
              <a:effectLst/>
              <a:latin typeface="+mn-lt"/>
              <a:ea typeface="+mn-ea"/>
              <a:cs typeface="+mn-cs"/>
            </a:rPr>
            <a:t>FET Qg loss is using VIN instead of 5V VDD</a:t>
          </a:r>
          <a:r>
            <a:rPr lang="en-US" sz="1100" b="0" i="0">
              <a:effectLst/>
              <a:latin typeface="+mn-lt"/>
              <a:ea typeface="+mn-ea"/>
              <a:cs typeface="+mn-cs"/>
            </a:rPr>
            <a:t>. </a:t>
          </a:r>
          <a:endParaRPr lang="en-US">
            <a:effectLst/>
          </a:endParaRPr>
        </a:p>
        <a:p>
          <a:pPr algn="l" rtl="0"/>
          <a:endParaRPr lang="en-US" sz="1100" b="0" i="0" strike="noStrike">
            <a:solidFill>
              <a:srgbClr val="000000"/>
            </a:solidFill>
            <a:latin typeface="Calibri"/>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9525</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7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9525</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7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6</xdr:col>
          <xdr:colOff>876300</xdr:colOff>
          <xdr:row>40</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7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9525</xdr:rowOff>
        </xdr:from>
        <xdr:to>
          <xdr:col>6</xdr:col>
          <xdr:colOff>876300</xdr:colOff>
          <xdr:row>47</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7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9525</xdr:rowOff>
        </xdr:from>
        <xdr:to>
          <xdr:col>6</xdr:col>
          <xdr:colOff>876300</xdr:colOff>
          <xdr:row>42</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7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9525</xdr:rowOff>
        </xdr:from>
        <xdr:to>
          <xdr:col>6</xdr:col>
          <xdr:colOff>876300</xdr:colOff>
          <xdr:row>41</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7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9525</xdr:rowOff>
        </xdr:from>
        <xdr:to>
          <xdr:col>6</xdr:col>
          <xdr:colOff>876300</xdr:colOff>
          <xdr:row>46</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7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9525</xdr:rowOff>
        </xdr:from>
        <xdr:to>
          <xdr:col>6</xdr:col>
          <xdr:colOff>876300</xdr:colOff>
          <xdr:row>48</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7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9525</xdr:rowOff>
        </xdr:from>
        <xdr:to>
          <xdr:col>6</xdr:col>
          <xdr:colOff>876300</xdr:colOff>
          <xdr:row>49</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7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9525</xdr:rowOff>
        </xdr:from>
        <xdr:to>
          <xdr:col>6</xdr:col>
          <xdr:colOff>876300</xdr:colOff>
          <xdr:row>50</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7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9525</xdr:rowOff>
        </xdr:from>
        <xdr:to>
          <xdr:col>6</xdr:col>
          <xdr:colOff>876300</xdr:colOff>
          <xdr:row>39</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7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9525</xdr:rowOff>
        </xdr:from>
        <xdr:to>
          <xdr:col>6</xdr:col>
          <xdr:colOff>876300</xdr:colOff>
          <xdr:row>54</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7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700-00004D000000}"/>
                </a:ext>
              </a:extLst>
            </xdr:cNvPr>
            <xdr:cNvPicPr>
              <a:picLocks noChangeAspect="1" noChangeArrowheads="1"/>
              <a:extLst>
                <a:ext uri="{84589F7E-364E-4C9E-8A38-B11213B215E9}">
                  <a14:cameraTool cellRange="PICTURE1" spid="_x0000_s764699"/>
                </a:ext>
              </a:extLst>
            </xdr:cNvPicPr>
          </xdr:nvPicPr>
          <xdr:blipFill>
            <a:blip xmlns:r="http://schemas.openxmlformats.org/officeDocument/2006/relationships" r:embed="rId1"/>
            <a:srcRect/>
            <a:stretch>
              <a:fillRect/>
            </a:stretch>
          </xdr:blipFill>
          <xdr:spPr bwMode="auto">
            <a:xfrm>
              <a:off x="370999" y="95250"/>
              <a:ext cx="7638131" cy="415300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5</xdr:col>
      <xdr:colOff>368904</xdr:colOff>
      <xdr:row>7</xdr:row>
      <xdr:rowOff>122225</xdr:rowOff>
    </xdr:from>
    <xdr:to>
      <xdr:col>5</xdr:col>
      <xdr:colOff>915363</xdr:colOff>
      <xdr:row>8</xdr:row>
      <xdr:rowOff>143465</xdr:rowOff>
    </xdr:to>
    <xdr:sp macro="" textlink="'Variable Mgmt'!B245">
      <xdr:nvSpPr>
        <xdr:cNvPr id="79" name="Text Box 267">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5395173" y="1250571"/>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700" b="0" i="0" u="none" strike="noStrike" baseline="0">
              <a:solidFill>
                <a:srgbClr val="000000"/>
              </a:solidFill>
              <a:latin typeface="Arial" pitchFamily="34" charset="0"/>
              <a:cs typeface="Arial" pitchFamily="34" charset="0"/>
            </a:rPr>
            <a:pPr algn="l" rtl="0">
              <a:defRPr sz="1000"/>
            </a:pPr>
            <a:t>110µF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593597</xdr:colOff>
      <xdr:row>7</xdr:row>
      <xdr:rowOff>47526</xdr:rowOff>
    </xdr:from>
    <xdr:to>
      <xdr:col>1</xdr:col>
      <xdr:colOff>433231</xdr:colOff>
      <xdr:row>8</xdr:row>
      <xdr:rowOff>83672</xdr:rowOff>
    </xdr:to>
    <xdr:sp macro="" textlink="'Variable Mgmt'!B250">
      <xdr:nvSpPr>
        <xdr:cNvPr id="81" name="Text Box 27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593597" y="1175872"/>
          <a:ext cx="508826" cy="19733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700" b="0" i="0" u="none" strike="noStrike" baseline="0">
              <a:solidFill>
                <a:srgbClr val="000000"/>
              </a:solidFill>
              <a:latin typeface="Arial" pitchFamily="34" charset="0"/>
              <a:cs typeface="Arial" pitchFamily="34" charset="0"/>
            </a:rPr>
            <a:pPr algn="ctr" rtl="0">
              <a:defRPr sz="1000"/>
            </a:pPr>
            <a:t>22µF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77">
      <xdr:nvSpPr>
        <xdr:cNvPr id="82" name="Text Box 281">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457270</xdr:colOff>
      <xdr:row>2</xdr:row>
      <xdr:rowOff>59911</xdr:rowOff>
    </xdr:from>
    <xdr:to>
      <xdr:col>1</xdr:col>
      <xdr:colOff>331622</xdr:colOff>
      <xdr:row>5</xdr:row>
      <xdr:rowOff>32971</xdr:rowOff>
    </xdr:to>
    <xdr:sp macro="" textlink="'Variable Mgmt'!B237">
      <xdr:nvSpPr>
        <xdr:cNvPr id="85" name="Text Box 283">
          <a:extLst>
            <a:ext uri="{FF2B5EF4-FFF2-40B4-BE49-F238E27FC236}">
              <a16:creationId xmlns:a16="http://schemas.microsoft.com/office/drawing/2014/main" id="{00000000-0008-0000-0700-000055000000}"/>
            </a:ext>
          </a:extLst>
        </xdr:cNvPr>
        <xdr:cNvSpPr txBox="1">
          <a:spLocks noChangeArrowheads="1" noTextEdit="1"/>
        </xdr:cNvSpPr>
      </xdr:nvSpPr>
      <xdr:spPr bwMode="auto">
        <a:xfrm>
          <a:off x="457270" y="382296"/>
          <a:ext cx="543544" cy="45663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000" b="1" i="0" u="none" strike="noStrike">
              <a:solidFill>
                <a:srgbClr val="FF0000"/>
              </a:solidFill>
              <a:latin typeface="Arial" pitchFamily="34" charset="0"/>
              <a:cs typeface="Arial" pitchFamily="34" charset="0"/>
            </a:rPr>
            <a:pPr algn="r" rtl="0">
              <a:defRPr sz="1000"/>
            </a:pPr>
            <a:t>48V</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132244</xdr:colOff>
      <xdr:row>3</xdr:row>
      <xdr:rowOff>3197</xdr:rowOff>
    </xdr:from>
    <xdr:to>
      <xdr:col>7</xdr:col>
      <xdr:colOff>798638</xdr:colOff>
      <xdr:row>5</xdr:row>
      <xdr:rowOff>25976</xdr:rowOff>
    </xdr:to>
    <xdr:sp macro="" textlink="'Variable Mgmt'!B240">
      <xdr:nvSpPr>
        <xdr:cNvPr id="87" name="Text Box 285">
          <a:extLst>
            <a:ext uri="{FF2B5EF4-FFF2-40B4-BE49-F238E27FC236}">
              <a16:creationId xmlns:a16="http://schemas.microsoft.com/office/drawing/2014/main" id="{00000000-0008-0000-0700-000057000000}"/>
            </a:ext>
          </a:extLst>
        </xdr:cNvPr>
        <xdr:cNvSpPr txBox="1">
          <a:spLocks noChangeArrowheads="1" noTextEdit="1"/>
        </xdr:cNvSpPr>
      </xdr:nvSpPr>
      <xdr:spPr bwMode="auto">
        <a:xfrm>
          <a:off x="7234475" y="486774"/>
          <a:ext cx="666394" cy="345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000" b="1" i="0" u="none" strike="noStrike" baseline="0">
              <a:solidFill>
                <a:srgbClr val="FF0000"/>
              </a:solidFill>
              <a:latin typeface="Arial" pitchFamily="34" charset="0"/>
              <a:cs typeface="Arial" pitchFamily="34" charset="0"/>
            </a:rPr>
            <a:pPr algn="l" rtl="0">
              <a:defRPr sz="1000"/>
            </a:pPr>
            <a:t>5V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1117426</xdr:colOff>
      <xdr:row>4</xdr:row>
      <xdr:rowOff>112611</xdr:rowOff>
    </xdr:from>
    <xdr:to>
      <xdr:col>7</xdr:col>
      <xdr:colOff>541529</xdr:colOff>
      <xdr:row>6</xdr:row>
      <xdr:rowOff>93051</xdr:rowOff>
    </xdr:to>
    <xdr:sp macro="" textlink="'Variable Mgmt'!B295">
      <xdr:nvSpPr>
        <xdr:cNvPr id="88" name="Text Box 286">
          <a:extLst>
            <a:ext uri="{FF2B5EF4-FFF2-40B4-BE49-F238E27FC236}">
              <a16:creationId xmlns:a16="http://schemas.microsoft.com/office/drawing/2014/main" id="{00000000-0008-0000-0700-000058000000}"/>
            </a:ext>
          </a:extLst>
        </xdr:cNvPr>
        <xdr:cNvSpPr txBox="1">
          <a:spLocks noChangeArrowheads="1" noTextEdit="1"/>
        </xdr:cNvSpPr>
      </xdr:nvSpPr>
      <xdr:spPr bwMode="auto">
        <a:xfrm>
          <a:off x="7091311" y="757380"/>
          <a:ext cx="552449"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1.2A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69">
      <xdr:nvSpPr>
        <xdr:cNvPr id="92" name="Text Box 268">
          <a:extLst>
            <a:ext uri="{FF2B5EF4-FFF2-40B4-BE49-F238E27FC236}">
              <a16:creationId xmlns:a16="http://schemas.microsoft.com/office/drawing/2014/main" id="{00000000-0008-0000-0700-00005C000000}"/>
            </a:ext>
          </a:extLst>
        </xdr:cNvPr>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196kΩ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70">
      <xdr:nvSpPr>
        <xdr:cNvPr id="93" name="Text Box 268">
          <a:extLst>
            <a:ext uri="{FF2B5EF4-FFF2-40B4-BE49-F238E27FC236}">
              <a16:creationId xmlns:a16="http://schemas.microsoft.com/office/drawing/2014/main" id="{00000000-0008-0000-0700-00005D000000}"/>
            </a:ext>
          </a:extLst>
        </xdr:cNvPr>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16.9kΩ</a:t>
          </a:fld>
          <a:endParaRPr lang="el-GR" sz="1000" b="0" i="0" strike="noStrike">
            <a:solidFill>
              <a:srgbClr val="000000"/>
            </a:solidFill>
            <a:latin typeface="Arial" pitchFamily="34" charset="0"/>
            <a:cs typeface="Arial" pitchFamily="34" charset="0"/>
          </a:endParaRPr>
        </a:p>
      </xdr:txBody>
    </xdr:sp>
    <xdr:clientData/>
  </xdr:twoCellAnchor>
  <xdr:twoCellAnchor>
    <xdr:from>
      <xdr:col>3</xdr:col>
      <xdr:colOff>874674</xdr:colOff>
      <xdr:row>11</xdr:row>
      <xdr:rowOff>122026</xdr:rowOff>
    </xdr:from>
    <xdr:to>
      <xdr:col>4</xdr:col>
      <xdr:colOff>38961</xdr:colOff>
      <xdr:row>13</xdr:row>
      <xdr:rowOff>43406</xdr:rowOff>
    </xdr:to>
    <xdr:sp macro="" textlink="'Variable Mgmt'!C259">
      <xdr:nvSpPr>
        <xdr:cNvPr id="94" name="Text Box 268">
          <a:extLst>
            <a:ext uri="{FF2B5EF4-FFF2-40B4-BE49-F238E27FC236}">
              <a16:creationId xmlns:a16="http://schemas.microsoft.com/office/drawing/2014/main" id="{00000000-0008-0000-0700-00005E000000}"/>
            </a:ext>
          </a:extLst>
        </xdr:cNvPr>
        <xdr:cNvSpPr txBox="1">
          <a:spLocks noChangeArrowheads="1" noTextEdit="1"/>
        </xdr:cNvSpPr>
      </xdr:nvSpPr>
      <xdr:spPr bwMode="auto">
        <a:xfrm>
          <a:off x="3282789" y="1895141"/>
          <a:ext cx="575941" cy="24376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700" b="0" i="0" u="none" strike="noStrike">
              <a:solidFill>
                <a:srgbClr val="000000"/>
              </a:solidFill>
              <a:latin typeface="Arial"/>
              <a:cs typeface="Arial"/>
            </a:rPr>
            <a:pPr algn="l" rtl="0">
              <a:defRPr sz="1000"/>
            </a:pPr>
            <a:t>168kΩ</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35816</xdr:colOff>
      <xdr:row>13</xdr:row>
      <xdr:rowOff>84072</xdr:rowOff>
    </xdr:from>
    <xdr:to>
      <xdr:col>2</xdr:col>
      <xdr:colOff>550300</xdr:colOff>
      <xdr:row>14</xdr:row>
      <xdr:rowOff>123568</xdr:rowOff>
    </xdr:to>
    <xdr:sp macro="" textlink="'Variable Mgmt'!C273">
      <xdr:nvSpPr>
        <xdr:cNvPr id="95" name="Text Box 265">
          <a:extLst>
            <a:ext uri="{FF2B5EF4-FFF2-40B4-BE49-F238E27FC236}">
              <a16:creationId xmlns:a16="http://schemas.microsoft.com/office/drawing/2014/main" id="{00000000-0008-0000-0700-00005F000000}"/>
            </a:ext>
          </a:extLst>
        </xdr:cNvPr>
        <xdr:cNvSpPr txBox="1">
          <a:spLocks noChangeArrowheads="1" noTextEdit="1"/>
        </xdr:cNvSpPr>
      </xdr:nvSpPr>
      <xdr:spPr bwMode="auto">
        <a:xfrm>
          <a:off x="1506085" y="2179572"/>
          <a:ext cx="514484" cy="200688"/>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700" b="0" i="0" u="none" strike="noStrike" baseline="0">
              <a:solidFill>
                <a:srgbClr val="000000"/>
              </a:solidFill>
              <a:latin typeface="Arial"/>
              <a:cs typeface="Arial"/>
            </a:rPr>
            <a:pPr algn="l" rtl="0">
              <a:defRPr sz="1000"/>
            </a:pPr>
            <a:t>10kΩ</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376115</xdr:colOff>
      <xdr:row>5</xdr:row>
      <xdr:rowOff>94589</xdr:rowOff>
    </xdr:from>
    <xdr:to>
      <xdr:col>1</xdr:col>
      <xdr:colOff>490993</xdr:colOff>
      <xdr:row>7</xdr:row>
      <xdr:rowOff>60080</xdr:rowOff>
    </xdr:to>
    <xdr:sp macro="" textlink="'Variable Mgmt'!B238">
      <xdr:nvSpPr>
        <xdr:cNvPr id="96" name="Text Box 283">
          <a:extLst>
            <a:ext uri="{FF2B5EF4-FFF2-40B4-BE49-F238E27FC236}">
              <a16:creationId xmlns:a16="http://schemas.microsoft.com/office/drawing/2014/main" id="{00000000-0008-0000-0700-000060000000}"/>
            </a:ext>
          </a:extLst>
        </xdr:cNvPr>
        <xdr:cNvSpPr txBox="1">
          <a:spLocks noChangeArrowheads="1" noTextEdit="1"/>
        </xdr:cNvSpPr>
      </xdr:nvSpPr>
      <xdr:spPr bwMode="auto">
        <a:xfrm>
          <a:off x="376115" y="900551"/>
          <a:ext cx="784070" cy="287875"/>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800" b="1" i="0" u="none" strike="noStrike">
              <a:solidFill>
                <a:srgbClr val="000000"/>
              </a:solidFill>
              <a:latin typeface="Arial"/>
              <a:cs typeface="Arial"/>
            </a:rPr>
            <a:pPr algn="ctr" rtl="0">
              <a:defRPr sz="1000"/>
            </a:pPr>
            <a:t>9V...60V</a:t>
          </a:fld>
          <a:endParaRPr lang="en-US" sz="8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65">
      <xdr:nvSpPr>
        <xdr:cNvPr id="97" name="Text Box 225">
          <a:extLst>
            <a:ext uri="{FF2B5EF4-FFF2-40B4-BE49-F238E27FC236}">
              <a16:creationId xmlns:a16="http://schemas.microsoft.com/office/drawing/2014/main" id="{00000000-0008-0000-0700-000061000000}"/>
            </a:ext>
          </a:extLst>
        </xdr:cNvPr>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 </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65">
      <xdr:nvSpPr>
        <xdr:cNvPr id="98" name="Text Box 268">
          <a:extLst>
            <a:ext uri="{FF2B5EF4-FFF2-40B4-BE49-F238E27FC236}">
              <a16:creationId xmlns:a16="http://schemas.microsoft.com/office/drawing/2014/main" id="{00000000-0008-0000-0700-000062000000}"/>
            </a:ext>
          </a:extLst>
        </xdr:cNvPr>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 </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68">
      <xdr:nvSpPr>
        <xdr:cNvPr id="99" name="Text Box 264">
          <a:extLst>
            <a:ext uri="{FF2B5EF4-FFF2-40B4-BE49-F238E27FC236}">
              <a16:creationId xmlns:a16="http://schemas.microsoft.com/office/drawing/2014/main" id="{00000000-0008-0000-0700-000063000000}"/>
            </a:ext>
          </a:extLst>
        </xdr:cNvPr>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68">
      <xdr:nvSpPr>
        <xdr:cNvPr id="100" name="Text Box 264">
          <a:extLst>
            <a:ext uri="{FF2B5EF4-FFF2-40B4-BE49-F238E27FC236}">
              <a16:creationId xmlns:a16="http://schemas.microsoft.com/office/drawing/2014/main" id="{00000000-0008-0000-0700-000064000000}"/>
            </a:ext>
          </a:extLst>
        </xdr:cNvPr>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78">
      <xdr:nvSpPr>
        <xdr:cNvPr id="101" name="Text Box 281">
          <a:extLst>
            <a:ext uri="{FF2B5EF4-FFF2-40B4-BE49-F238E27FC236}">
              <a16:creationId xmlns:a16="http://schemas.microsoft.com/office/drawing/2014/main" id="{00000000-0008-0000-0700-000065000000}"/>
            </a:ext>
          </a:extLst>
        </xdr:cNvPr>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41">
      <xdr:nvSpPr>
        <xdr:cNvPr id="128" name="Text Box 285">
          <a:extLst>
            <a:ext uri="{FF2B5EF4-FFF2-40B4-BE49-F238E27FC236}">
              <a16:creationId xmlns:a16="http://schemas.microsoft.com/office/drawing/2014/main" id="{00000000-0008-0000-0700-000080000000}"/>
            </a:ext>
          </a:extLst>
        </xdr:cNvPr>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96">
      <xdr:nvSpPr>
        <xdr:cNvPr id="129" name="Text Box 286">
          <a:extLst>
            <a:ext uri="{FF2B5EF4-FFF2-40B4-BE49-F238E27FC236}">
              <a16:creationId xmlns:a16="http://schemas.microsoft.com/office/drawing/2014/main" id="{00000000-0008-0000-0700-000081000000}"/>
            </a:ext>
          </a:extLst>
        </xdr:cNvPr>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141769</xdr:colOff>
      <xdr:row>13</xdr:row>
      <xdr:rowOff>19072</xdr:rowOff>
    </xdr:from>
    <xdr:to>
      <xdr:col>7</xdr:col>
      <xdr:colOff>808163</xdr:colOff>
      <xdr:row>15</xdr:row>
      <xdr:rowOff>41118</xdr:rowOff>
    </xdr:to>
    <xdr:sp macro="" textlink="'Variable Mgmt'!B242">
      <xdr:nvSpPr>
        <xdr:cNvPr id="130" name="Text Box 285">
          <a:extLst>
            <a:ext uri="{FF2B5EF4-FFF2-40B4-BE49-F238E27FC236}">
              <a16:creationId xmlns:a16="http://schemas.microsoft.com/office/drawing/2014/main" id="{00000000-0008-0000-0700-000082000000}"/>
            </a:ext>
          </a:extLst>
        </xdr:cNvPr>
        <xdr:cNvSpPr txBox="1">
          <a:spLocks noChangeArrowheads="1" noTextEdit="1"/>
        </xdr:cNvSpPr>
      </xdr:nvSpPr>
      <xdr:spPr bwMode="auto">
        <a:xfrm>
          <a:off x="7244000" y="2114572"/>
          <a:ext cx="666394" cy="34443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1097443</xdr:colOff>
      <xdr:row>14</xdr:row>
      <xdr:rowOff>118229</xdr:rowOff>
    </xdr:from>
    <xdr:to>
      <xdr:col>7</xdr:col>
      <xdr:colOff>723171</xdr:colOff>
      <xdr:row>16</xdr:row>
      <xdr:rowOff>98669</xdr:rowOff>
    </xdr:to>
    <xdr:sp macro="" textlink="'Variable Mgmt'!B297">
      <xdr:nvSpPr>
        <xdr:cNvPr id="131" name="Text Box 286">
          <a:extLst>
            <a:ext uri="{FF2B5EF4-FFF2-40B4-BE49-F238E27FC236}">
              <a16:creationId xmlns:a16="http://schemas.microsoft.com/office/drawing/2014/main" id="{00000000-0008-0000-0700-000083000000}"/>
            </a:ext>
          </a:extLst>
        </xdr:cNvPr>
        <xdr:cNvSpPr txBox="1">
          <a:spLocks noChangeArrowheads="1" noTextEdit="1"/>
        </xdr:cNvSpPr>
      </xdr:nvSpPr>
      <xdr:spPr bwMode="auto">
        <a:xfrm>
          <a:off x="7071328" y="2374921"/>
          <a:ext cx="754074"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5</xdr:col>
      <xdr:colOff>417750</xdr:colOff>
      <xdr:row>12</xdr:row>
      <xdr:rowOff>106350</xdr:rowOff>
    </xdr:from>
    <xdr:to>
      <xdr:col>6</xdr:col>
      <xdr:colOff>16593</xdr:colOff>
      <xdr:row>13</xdr:row>
      <xdr:rowOff>127590</xdr:rowOff>
    </xdr:to>
    <xdr:sp macro="" textlink="'Variable Mgmt'!D245">
      <xdr:nvSpPr>
        <xdr:cNvPr id="132" name="Text Box 267">
          <a:extLst>
            <a:ext uri="{FF2B5EF4-FFF2-40B4-BE49-F238E27FC236}">
              <a16:creationId xmlns:a16="http://schemas.microsoft.com/office/drawing/2014/main" id="{00000000-0008-0000-0700-000084000000}"/>
            </a:ext>
          </a:extLst>
        </xdr:cNvPr>
        <xdr:cNvSpPr txBox="1">
          <a:spLocks noChangeArrowheads="1" noTextEdit="1"/>
        </xdr:cNvSpPr>
      </xdr:nvSpPr>
      <xdr:spPr bwMode="auto">
        <a:xfrm>
          <a:off x="5444019" y="2040658"/>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5</xdr:col>
      <xdr:colOff>398212</xdr:colOff>
      <xdr:row>15</xdr:row>
      <xdr:rowOff>113188</xdr:rowOff>
    </xdr:from>
    <xdr:to>
      <xdr:col>5</xdr:col>
      <xdr:colOff>944671</xdr:colOff>
      <xdr:row>16</xdr:row>
      <xdr:rowOff>134428</xdr:rowOff>
    </xdr:to>
    <xdr:sp macro="" textlink="'Variable Mgmt'!C245">
      <xdr:nvSpPr>
        <xdr:cNvPr id="133" name="Text Box 267">
          <a:extLst>
            <a:ext uri="{FF2B5EF4-FFF2-40B4-BE49-F238E27FC236}">
              <a16:creationId xmlns:a16="http://schemas.microsoft.com/office/drawing/2014/main" id="{00000000-0008-0000-0700-000085000000}"/>
            </a:ext>
          </a:extLst>
        </xdr:cNvPr>
        <xdr:cNvSpPr txBox="1">
          <a:spLocks noChangeArrowheads="1" noTextEdit="1"/>
        </xdr:cNvSpPr>
      </xdr:nvSpPr>
      <xdr:spPr bwMode="auto">
        <a:xfrm>
          <a:off x="5424481" y="2531073"/>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9525</xdr:rowOff>
        </xdr:from>
        <xdr:to>
          <xdr:col>6</xdr:col>
          <xdr:colOff>866775</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7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895527</xdr:colOff>
      <xdr:row>24</xdr:row>
      <xdr:rowOff>49871</xdr:rowOff>
    </xdr:from>
    <xdr:to>
      <xdr:col>3</xdr:col>
      <xdr:colOff>280521</xdr:colOff>
      <xdr:row>25</xdr:row>
      <xdr:rowOff>121252</xdr:rowOff>
    </xdr:to>
    <xdr:sp macro="" textlink="">
      <xdr:nvSpPr>
        <xdr:cNvPr id="47" name="Text Box 244">
          <a:extLst>
            <a:ext uri="{FF2B5EF4-FFF2-40B4-BE49-F238E27FC236}">
              <a16:creationId xmlns:a16="http://schemas.microsoft.com/office/drawing/2014/main" id="{00000000-0008-0000-0700-00002F000000}"/>
            </a:ext>
          </a:extLst>
        </xdr:cNvPr>
        <xdr:cNvSpPr txBox="1">
          <a:spLocks noChangeArrowheads="1"/>
        </xdr:cNvSpPr>
      </xdr:nvSpPr>
      <xdr:spPr bwMode="auto">
        <a:xfrm>
          <a:off x="2365796" y="3918486"/>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42</xdr:row>
          <xdr:rowOff>9525</xdr:rowOff>
        </xdr:from>
        <xdr:to>
          <xdr:col>6</xdr:col>
          <xdr:colOff>885825</xdr:colOff>
          <xdr:row>43</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7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1328384</xdr:colOff>
      <xdr:row>2</xdr:row>
      <xdr:rowOff>124558</xdr:rowOff>
    </xdr:from>
    <xdr:to>
      <xdr:col>4</xdr:col>
      <xdr:colOff>946637</xdr:colOff>
      <xdr:row>4</xdr:row>
      <xdr:rowOff>55843</xdr:rowOff>
    </xdr:to>
    <xdr:sp macro="" textlink="'Variable Mgmt'!B233">
      <xdr:nvSpPr>
        <xdr:cNvPr id="49" name="Text Box 265">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3736499" y="446943"/>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700" b="0" i="0" u="none" strike="noStrike" baseline="0">
              <a:solidFill>
                <a:srgbClr val="000000"/>
              </a:solidFill>
              <a:latin typeface="Arial"/>
              <a:cs typeface="Arial"/>
            </a:rPr>
            <a:pPr algn="ctr" rtl="0">
              <a:defRPr sz="1000"/>
            </a:pPr>
            <a:t>1 : 1</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212599</xdr:colOff>
      <xdr:row>18</xdr:row>
      <xdr:rowOff>21980</xdr:rowOff>
    </xdr:from>
    <xdr:to>
      <xdr:col>2</xdr:col>
      <xdr:colOff>759488</xdr:colOff>
      <xdr:row>19</xdr:row>
      <xdr:rowOff>90664</xdr:rowOff>
    </xdr:to>
    <xdr:sp macro="" textlink="'Variable Mgmt'!D309">
      <xdr:nvSpPr>
        <xdr:cNvPr id="50" name="Text Box 268">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682868" y="2923442"/>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700" b="0" i="0" u="none" strike="noStrike">
              <a:solidFill>
                <a:srgbClr val="000000"/>
              </a:solidFill>
              <a:latin typeface="Arial"/>
              <a:cs typeface="Arial"/>
            </a:rPr>
            <a:pPr algn="l" rtl="0">
              <a:defRPr sz="1000"/>
            </a:pPr>
            <a:t>12.1kΩ</a:t>
          </a:fld>
          <a:endParaRPr lang="el-GR" sz="700" b="0" i="0" strike="noStrike">
            <a:solidFill>
              <a:srgbClr val="000000"/>
            </a:solidFill>
            <a:latin typeface="Arial" pitchFamily="34" charset="0"/>
            <a:cs typeface="Arial" pitchFamily="34" charset="0"/>
          </a:endParaRPr>
        </a:p>
      </xdr:txBody>
    </xdr:sp>
    <xdr:clientData/>
  </xdr:twoCellAnchor>
  <xdr:twoCellAnchor>
    <xdr:from>
      <xdr:col>1</xdr:col>
      <xdr:colOff>449152</xdr:colOff>
      <xdr:row>21</xdr:row>
      <xdr:rowOff>35238</xdr:rowOff>
    </xdr:from>
    <xdr:to>
      <xdr:col>2</xdr:col>
      <xdr:colOff>194965</xdr:colOff>
      <xdr:row>22</xdr:row>
      <xdr:rowOff>103921</xdr:rowOff>
    </xdr:to>
    <xdr:sp macro="" textlink="'Variable Mgmt'!D310">
      <xdr:nvSpPr>
        <xdr:cNvPr id="51" name="Text Box 268">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118344" y="3420276"/>
          <a:ext cx="546890"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700" b="0" i="0" u="none" strike="noStrike">
              <a:solidFill>
                <a:srgbClr val="000000"/>
              </a:solidFill>
              <a:latin typeface="Arial"/>
              <a:cs typeface="Arial"/>
            </a:rPr>
            <a:pPr algn="l" rtl="0">
              <a:defRPr sz="1000"/>
            </a:pPr>
            <a:t>22nF</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164452</xdr:colOff>
      <xdr:row>21</xdr:row>
      <xdr:rowOff>126649</xdr:rowOff>
    </xdr:from>
    <xdr:to>
      <xdr:col>2</xdr:col>
      <xdr:colOff>711340</xdr:colOff>
      <xdr:row>23</xdr:row>
      <xdr:rowOff>34140</xdr:rowOff>
    </xdr:to>
    <xdr:sp macro="" textlink="'Variable Mgmt'!D311">
      <xdr:nvSpPr>
        <xdr:cNvPr id="52" name="Text Box 268">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634721" y="3511687"/>
          <a:ext cx="546888"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700" b="0" i="0" u="none" strike="noStrike">
              <a:solidFill>
                <a:srgbClr val="000000"/>
              </a:solidFill>
              <a:latin typeface="Arial"/>
              <a:cs typeface="Arial"/>
            </a:rPr>
            <a:pPr algn="l" rtl="0">
              <a:defRPr sz="1000"/>
            </a:pPr>
            <a:t>47pF</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1093922</xdr:colOff>
      <xdr:row>21</xdr:row>
      <xdr:rowOff>148980</xdr:rowOff>
    </xdr:from>
    <xdr:to>
      <xdr:col>4</xdr:col>
      <xdr:colOff>229158</xdr:colOff>
      <xdr:row>22</xdr:row>
      <xdr:rowOff>144814</xdr:rowOff>
    </xdr:to>
    <xdr:sp macro="" textlink="'Variable Mgmt'!D314">
      <xdr:nvSpPr>
        <xdr:cNvPr id="53" name="Text Box 268">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3502037" y="3534018"/>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4</xdr:col>
      <xdr:colOff>426125</xdr:colOff>
      <xdr:row>21</xdr:row>
      <xdr:rowOff>129442</xdr:rowOff>
    </xdr:from>
    <xdr:to>
      <xdr:col>4</xdr:col>
      <xdr:colOff>973014</xdr:colOff>
      <xdr:row>22</xdr:row>
      <xdr:rowOff>125276</xdr:rowOff>
    </xdr:to>
    <xdr:sp macro="" textlink="'Variable Mgmt'!D313">
      <xdr:nvSpPr>
        <xdr:cNvPr id="54" name="Text Box 268">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4245894" y="3514480"/>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700" b="0" i="0" u="none" strike="noStrike">
              <a:solidFill>
                <a:srgbClr val="000000"/>
              </a:solidFill>
              <a:latin typeface="Arial"/>
              <a:cs typeface="Arial"/>
            </a:rPr>
            <a:pPr algn="l" rtl="0">
              <a:defRPr sz="1000"/>
            </a:pPr>
            <a:t>20mΩ</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1332569</xdr:colOff>
      <xdr:row>18</xdr:row>
      <xdr:rowOff>12210</xdr:rowOff>
    </xdr:from>
    <xdr:to>
      <xdr:col>4</xdr:col>
      <xdr:colOff>467805</xdr:colOff>
      <xdr:row>19</xdr:row>
      <xdr:rowOff>8045</xdr:rowOff>
    </xdr:to>
    <xdr:sp macro="" textlink="'Variable Mgmt'!D315">
      <xdr:nvSpPr>
        <xdr:cNvPr id="55" name="Text Box 268">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3740684" y="2913672"/>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700" b="0" i="0" u="none" strike="noStrike">
              <a:solidFill>
                <a:srgbClr val="000000"/>
              </a:solidFill>
              <a:latin typeface="Arial"/>
              <a:cs typeface="Arial"/>
            </a:rPr>
            <a:pPr algn="l" rtl="0">
              <a:defRPr sz="1000"/>
            </a:pPr>
            <a:t>100Ω</a:t>
          </a:fld>
          <a:endParaRPr lang="el-GR" sz="7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51</xdr:row>
          <xdr:rowOff>9525</xdr:rowOff>
        </xdr:from>
        <xdr:to>
          <xdr:col>6</xdr:col>
          <xdr:colOff>876300</xdr:colOff>
          <xdr:row>51</xdr:row>
          <xdr:rowOff>219075</xdr:rowOff>
        </xdr:to>
        <xdr:sp macro="" textlink="">
          <xdr:nvSpPr>
            <xdr:cNvPr id="764426" name="Drop Down 2570" hidden="1">
              <a:extLst>
                <a:ext uri="{63B3BB69-23CF-44E3-9099-C40C66FF867C}">
                  <a14:compatExt spid="_x0000_s764426"/>
                </a:ext>
                <a:ext uri="{FF2B5EF4-FFF2-40B4-BE49-F238E27FC236}">
                  <a16:creationId xmlns:a16="http://schemas.microsoft.com/office/drawing/2014/main" id="{00000000-0008-0000-0700-00000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9525</xdr:rowOff>
        </xdr:from>
        <xdr:to>
          <xdr:col>6</xdr:col>
          <xdr:colOff>876300</xdr:colOff>
          <xdr:row>52</xdr:row>
          <xdr:rowOff>219075</xdr:rowOff>
        </xdr:to>
        <xdr:sp macro="" textlink="">
          <xdr:nvSpPr>
            <xdr:cNvPr id="764430" name="Drop Down 2574" hidden="1">
              <a:extLst>
                <a:ext uri="{63B3BB69-23CF-44E3-9099-C40C66FF867C}">
                  <a14:compatExt spid="_x0000_s764430"/>
                </a:ext>
                <a:ext uri="{FF2B5EF4-FFF2-40B4-BE49-F238E27FC236}">
                  <a16:creationId xmlns:a16="http://schemas.microsoft.com/office/drawing/2014/main" id="{00000000-0008-0000-0700-00000E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6</xdr:col>
          <xdr:colOff>885825</xdr:colOff>
          <xdr:row>35</xdr:row>
          <xdr:rowOff>0</xdr:rowOff>
        </xdr:to>
        <xdr:sp macro="" textlink="">
          <xdr:nvSpPr>
            <xdr:cNvPr id="764447" name="Drop Down 2591" hidden="1">
              <a:extLst>
                <a:ext uri="{63B3BB69-23CF-44E3-9099-C40C66FF867C}">
                  <a14:compatExt spid="_x0000_s764447"/>
                </a:ext>
                <a:ext uri="{FF2B5EF4-FFF2-40B4-BE49-F238E27FC236}">
                  <a16:creationId xmlns:a16="http://schemas.microsoft.com/office/drawing/2014/main" id="{00000000-0008-0000-0700-00001F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9525</xdr:rowOff>
        </xdr:from>
        <xdr:to>
          <xdr:col>6</xdr:col>
          <xdr:colOff>876300</xdr:colOff>
          <xdr:row>44</xdr:row>
          <xdr:rowOff>0</xdr:rowOff>
        </xdr:to>
        <xdr:sp macro="" textlink="">
          <xdr:nvSpPr>
            <xdr:cNvPr id="764451" name="Drop Down 2595" hidden="1">
              <a:extLst>
                <a:ext uri="{63B3BB69-23CF-44E3-9099-C40C66FF867C}">
                  <a14:compatExt spid="_x0000_s764451"/>
                </a:ext>
                <a:ext uri="{FF2B5EF4-FFF2-40B4-BE49-F238E27FC236}">
                  <a16:creationId xmlns:a16="http://schemas.microsoft.com/office/drawing/2014/main" id="{00000000-0008-0000-0700-000023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9525</xdr:rowOff>
        </xdr:from>
        <xdr:to>
          <xdr:col>6</xdr:col>
          <xdr:colOff>876300</xdr:colOff>
          <xdr:row>36</xdr:row>
          <xdr:rowOff>0</xdr:rowOff>
        </xdr:to>
        <xdr:sp macro="" textlink="">
          <xdr:nvSpPr>
            <xdr:cNvPr id="764454" name="Drop Down 2598" hidden="1">
              <a:extLst>
                <a:ext uri="{63B3BB69-23CF-44E3-9099-C40C66FF867C}">
                  <a14:compatExt spid="_x0000_s764454"/>
                </a:ext>
                <a:ext uri="{FF2B5EF4-FFF2-40B4-BE49-F238E27FC236}">
                  <a16:creationId xmlns:a16="http://schemas.microsoft.com/office/drawing/2014/main" id="{00000000-0008-0000-0700-000026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9525</xdr:rowOff>
        </xdr:from>
        <xdr:to>
          <xdr:col>6</xdr:col>
          <xdr:colOff>876300</xdr:colOff>
          <xdr:row>37</xdr:row>
          <xdr:rowOff>0</xdr:rowOff>
        </xdr:to>
        <xdr:sp macro="" textlink="">
          <xdr:nvSpPr>
            <xdr:cNvPr id="764455" name="Drop Down 2599" hidden="1">
              <a:extLst>
                <a:ext uri="{63B3BB69-23CF-44E3-9099-C40C66FF867C}">
                  <a14:compatExt spid="_x0000_s764455"/>
                </a:ext>
                <a:ext uri="{FF2B5EF4-FFF2-40B4-BE49-F238E27FC236}">
                  <a16:creationId xmlns:a16="http://schemas.microsoft.com/office/drawing/2014/main" id="{00000000-0008-0000-0700-000027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9525</xdr:rowOff>
        </xdr:from>
        <xdr:to>
          <xdr:col>6</xdr:col>
          <xdr:colOff>876300</xdr:colOff>
          <xdr:row>38</xdr:row>
          <xdr:rowOff>0</xdr:rowOff>
        </xdr:to>
        <xdr:sp macro="" textlink="">
          <xdr:nvSpPr>
            <xdr:cNvPr id="764456" name="Drop Down 2600" hidden="1">
              <a:extLst>
                <a:ext uri="{63B3BB69-23CF-44E3-9099-C40C66FF867C}">
                  <a14:compatExt spid="_x0000_s764456"/>
                </a:ext>
                <a:ext uri="{FF2B5EF4-FFF2-40B4-BE49-F238E27FC236}">
                  <a16:creationId xmlns:a16="http://schemas.microsoft.com/office/drawing/2014/main" id="{00000000-0008-0000-0700-000028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9525</xdr:rowOff>
        </xdr:from>
        <xdr:to>
          <xdr:col>6</xdr:col>
          <xdr:colOff>876300</xdr:colOff>
          <xdr:row>51</xdr:row>
          <xdr:rowOff>0</xdr:rowOff>
        </xdr:to>
        <xdr:sp macro="" textlink="">
          <xdr:nvSpPr>
            <xdr:cNvPr id="764458" name="Drop Down 2602" hidden="1">
              <a:extLst>
                <a:ext uri="{63B3BB69-23CF-44E3-9099-C40C66FF867C}">
                  <a14:compatExt spid="_x0000_s764458"/>
                </a:ext>
                <a:ext uri="{FF2B5EF4-FFF2-40B4-BE49-F238E27FC236}">
                  <a16:creationId xmlns:a16="http://schemas.microsoft.com/office/drawing/2014/main" id="{00000000-0008-0000-0700-00002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pwr_@Fco" TargetMode="External"/><Relationship Id="rId5" Type="http://schemas.openxmlformats.org/officeDocument/2006/relationships/ctrlProp" Target="../ctrlProps/ctrlProp9.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5.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2" Type="http://schemas.openxmlformats.org/officeDocument/2006/relationships/drawing" Target="../drawings/drawing9.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92"/>
  <sheetViews>
    <sheetView tabSelected="1" zoomScale="85" zoomScaleNormal="85" zoomScaleSheetLayoutView="70" zoomScalePageLayoutView="10" workbookViewId="0">
      <selection activeCell="E11" sqref="E11"/>
    </sheetView>
  </sheetViews>
  <sheetFormatPr defaultColWidth="9.140625" defaultRowHeight="12.75"/>
  <cols>
    <col min="1" max="1" width="8.28515625" style="86" customWidth="1"/>
    <col min="2" max="2" width="8.28515625" style="35" customWidth="1"/>
    <col min="3" max="3" width="13.5703125" style="35" customWidth="1"/>
    <col min="4" max="4" width="9.85546875" style="35" customWidth="1"/>
    <col min="5" max="5" width="9.140625" style="35" customWidth="1"/>
    <col min="6" max="6" width="8.7109375" style="35" customWidth="1"/>
    <col min="7" max="7" width="2.7109375" style="35" customWidth="1"/>
    <col min="8" max="9" width="8.28515625" style="35" customWidth="1"/>
    <col min="10" max="10" width="13.7109375" style="35" customWidth="1"/>
    <col min="11" max="11" width="10" style="35" customWidth="1"/>
    <col min="12" max="12" width="9.42578125" style="35" customWidth="1"/>
    <col min="13" max="13" width="8.7109375" style="35" customWidth="1"/>
    <col min="14" max="14" width="2.7109375" style="35" customWidth="1"/>
    <col min="15" max="15" width="9.140625" style="35"/>
    <col min="16" max="18" width="10.140625" style="35" customWidth="1"/>
    <col min="19" max="19" width="10" style="35" bestFit="1" customWidth="1"/>
    <col min="20" max="25" width="9.140625" style="35"/>
    <col min="26" max="26" width="29.5703125" style="35" customWidth="1"/>
    <col min="27" max="27" width="3.140625" style="35" customWidth="1"/>
    <col min="28" max="16384" width="9.140625" style="35"/>
  </cols>
  <sheetData>
    <row r="1" spans="1:27" ht="47.25" customHeight="1">
      <c r="A1" s="445" t="s">
        <v>831</v>
      </c>
      <c r="B1" s="443"/>
      <c r="C1" s="443"/>
      <c r="D1" s="443"/>
      <c r="E1" s="443"/>
      <c r="F1" s="443"/>
      <c r="G1" s="443"/>
      <c r="H1" s="443"/>
      <c r="I1" s="443"/>
      <c r="J1" s="443"/>
      <c r="K1" s="443"/>
      <c r="L1" s="443"/>
      <c r="M1" s="443"/>
      <c r="N1" s="443"/>
      <c r="O1" s="443"/>
      <c r="P1" s="443"/>
      <c r="Q1" s="443"/>
      <c r="R1" s="444"/>
      <c r="S1" s="444"/>
      <c r="T1" s="444"/>
      <c r="U1" s="444"/>
      <c r="V1" s="356"/>
      <c r="W1" s="356"/>
      <c r="X1" s="356"/>
      <c r="Y1" s="356"/>
      <c r="Z1" s="356"/>
      <c r="AA1" s="356"/>
    </row>
    <row r="2" spans="1:27" ht="14.1" customHeight="1">
      <c r="A2" s="337"/>
      <c r="B2" s="338"/>
      <c r="C2" s="338"/>
      <c r="D2" s="338"/>
      <c r="E2" s="338"/>
      <c r="F2" s="338"/>
      <c r="G2" s="338"/>
      <c r="H2" s="338"/>
      <c r="I2" s="338"/>
      <c r="J2" s="338"/>
      <c r="K2" s="338"/>
      <c r="L2" s="338"/>
      <c r="M2" s="338"/>
      <c r="N2" s="338"/>
      <c r="O2" s="351"/>
      <c r="P2" s="338"/>
      <c r="Q2" s="338"/>
      <c r="R2" s="346"/>
      <c r="S2" s="346"/>
      <c r="T2" s="346"/>
      <c r="U2" s="346"/>
      <c r="V2" s="346"/>
      <c r="W2" s="346"/>
      <c r="X2" s="346"/>
      <c r="Y2" s="346"/>
      <c r="Z2" s="346"/>
      <c r="AA2" s="346"/>
    </row>
    <row r="3" spans="1:27" ht="15.95" customHeight="1">
      <c r="A3" s="339" t="s">
        <v>105</v>
      </c>
      <c r="B3" s="340"/>
      <c r="C3" s="352" t="s">
        <v>106</v>
      </c>
      <c r="D3" s="341"/>
      <c r="E3" s="64"/>
      <c r="F3" s="343" t="s">
        <v>59</v>
      </c>
      <c r="G3" s="342"/>
      <c r="H3" s="338"/>
      <c r="I3" s="338"/>
      <c r="J3" s="342"/>
      <c r="K3" s="344"/>
      <c r="L3" s="345"/>
      <c r="M3" s="346"/>
      <c r="N3" s="346"/>
      <c r="O3" s="346"/>
      <c r="P3" s="1"/>
      <c r="Q3" s="346" t="s">
        <v>77</v>
      </c>
      <c r="R3" s="346"/>
      <c r="S3" s="346"/>
      <c r="T3" s="346"/>
      <c r="U3" s="446" t="s">
        <v>315</v>
      </c>
      <c r="V3" s="346"/>
      <c r="W3" s="346"/>
      <c r="X3" s="346"/>
      <c r="Y3" s="346"/>
      <c r="Z3" s="346"/>
      <c r="AA3" s="346"/>
    </row>
    <row r="4" spans="1:27" ht="14.1" customHeight="1" thickBot="1">
      <c r="A4" s="347"/>
      <c r="B4" s="348"/>
      <c r="C4" s="349"/>
      <c r="D4" s="349"/>
      <c r="E4" s="349"/>
      <c r="F4" s="349"/>
      <c r="G4" s="349"/>
      <c r="H4" s="349"/>
      <c r="I4" s="349"/>
      <c r="J4" s="349"/>
      <c r="K4" s="349"/>
      <c r="L4" s="349"/>
      <c r="M4" s="350"/>
      <c r="N4" s="350"/>
      <c r="O4" s="350"/>
      <c r="P4" s="350"/>
      <c r="Q4" s="350"/>
      <c r="R4" s="346"/>
      <c r="S4" s="346"/>
      <c r="T4" s="346"/>
      <c r="U4" s="346"/>
      <c r="V4" s="346"/>
      <c r="W4" s="346"/>
      <c r="X4" s="346"/>
      <c r="Y4" s="346"/>
      <c r="Z4" s="346"/>
      <c r="AA4" s="346"/>
    </row>
    <row r="5" spans="1:27" ht="19.5" customHeight="1" thickBot="1">
      <c r="A5" s="85" t="s">
        <v>101</v>
      </c>
      <c r="B5" s="63"/>
      <c r="C5" s="36"/>
      <c r="D5" s="36"/>
      <c r="E5" s="37"/>
      <c r="F5" s="36"/>
      <c r="G5" s="55"/>
      <c r="H5" s="501" t="s">
        <v>360</v>
      </c>
      <c r="I5" s="73"/>
      <c r="J5" s="74"/>
      <c r="K5" s="74"/>
      <c r="L5" s="75"/>
      <c r="M5" s="306"/>
      <c r="N5" s="38"/>
      <c r="O5" s="38"/>
      <c r="P5" s="38"/>
      <c r="Q5" s="38"/>
      <c r="R5" s="430"/>
      <c r="S5" s="430"/>
      <c r="T5" s="430"/>
      <c r="U5" s="430"/>
      <c r="V5" s="430"/>
      <c r="W5" s="430"/>
      <c r="X5" s="430"/>
      <c r="Y5" s="430"/>
      <c r="Z5" s="434"/>
      <c r="AA5" s="346"/>
    </row>
    <row r="6" spans="1:27" ht="15.75" customHeight="1">
      <c r="A6" s="387"/>
      <c r="B6" s="437"/>
      <c r="C6" s="178"/>
      <c r="D6" s="674" t="s">
        <v>367</v>
      </c>
      <c r="E6" s="617">
        <v>9</v>
      </c>
      <c r="F6" s="675" t="s">
        <v>0</v>
      </c>
      <c r="G6" s="71"/>
      <c r="H6" s="387"/>
      <c r="I6" s="437"/>
      <c r="J6" s="178"/>
      <c r="K6" s="438" t="s">
        <v>835</v>
      </c>
      <c r="L6" s="671">
        <f>Lmin</f>
        <v>62.007704493966465</v>
      </c>
      <c r="M6" s="537" t="s">
        <v>96</v>
      </c>
      <c r="N6" s="38"/>
      <c r="O6" s="38"/>
      <c r="P6" s="38"/>
      <c r="Q6" s="38"/>
      <c r="R6" s="58"/>
      <c r="S6" s="58"/>
      <c r="T6" s="58"/>
      <c r="U6" s="58"/>
      <c r="V6" s="58"/>
      <c r="W6" s="58"/>
      <c r="X6" s="58"/>
      <c r="Y6" s="58"/>
      <c r="Z6" s="435"/>
      <c r="AA6" s="346"/>
    </row>
    <row r="7" spans="1:27" ht="14.25" customHeight="1">
      <c r="A7" s="112"/>
      <c r="B7" s="111"/>
      <c r="C7" s="719"/>
      <c r="D7" s="720" t="s">
        <v>882</v>
      </c>
      <c r="E7" s="121">
        <v>48</v>
      </c>
      <c r="F7" s="366" t="s">
        <v>0</v>
      </c>
      <c r="G7" s="71"/>
      <c r="H7" s="69"/>
      <c r="I7" s="70"/>
      <c r="J7" s="68"/>
      <c r="K7" s="79" t="s">
        <v>836</v>
      </c>
      <c r="L7" s="121">
        <v>12</v>
      </c>
      <c r="M7" s="366" t="s">
        <v>96</v>
      </c>
      <c r="N7" s="38"/>
      <c r="O7" s="38"/>
      <c r="P7" s="38"/>
      <c r="Q7" s="38"/>
      <c r="R7" s="58"/>
      <c r="S7" s="58"/>
      <c r="T7" s="58"/>
      <c r="U7" s="58"/>
      <c r="V7" s="58"/>
      <c r="W7" s="58"/>
      <c r="X7" s="58"/>
      <c r="Y7" s="58"/>
      <c r="Z7" s="435"/>
      <c r="AA7" s="346"/>
    </row>
    <row r="8" spans="1:27" ht="15.75" customHeight="1">
      <c r="A8" s="112"/>
      <c r="B8" s="111"/>
      <c r="C8" s="113"/>
      <c r="D8" s="120" t="s">
        <v>368</v>
      </c>
      <c r="E8" s="121">
        <v>60</v>
      </c>
      <c r="F8" s="366" t="s">
        <v>0</v>
      </c>
      <c r="G8" s="71"/>
      <c r="H8" s="69"/>
      <c r="I8" s="70"/>
      <c r="J8" s="68"/>
      <c r="K8" s="79" t="s">
        <v>525</v>
      </c>
      <c r="L8" s="121">
        <v>30</v>
      </c>
      <c r="M8" s="366" t="s">
        <v>20</v>
      </c>
      <c r="N8" s="38"/>
      <c r="O8" s="38"/>
      <c r="P8" s="38"/>
      <c r="Q8" s="38"/>
      <c r="R8" s="58"/>
      <c r="S8" s="58"/>
      <c r="T8" s="58"/>
      <c r="U8" s="58"/>
      <c r="V8" s="58"/>
      <c r="W8" s="58"/>
      <c r="X8" s="58"/>
      <c r="Y8" s="58"/>
      <c r="Z8" s="435"/>
      <c r="AA8" s="346"/>
    </row>
    <row r="9" spans="1:27" ht="15.75" customHeight="1">
      <c r="A9" s="112"/>
      <c r="B9" s="111"/>
      <c r="C9" s="113"/>
      <c r="D9" s="120" t="s">
        <v>366</v>
      </c>
      <c r="E9" s="499">
        <v>32</v>
      </c>
      <c r="F9" s="122"/>
      <c r="G9" s="71"/>
      <c r="H9" s="69"/>
      <c r="I9" s="70"/>
      <c r="J9" s="68"/>
      <c r="K9" s="79" t="str">
        <f>CHOOSE(MODE, "Secondary Winding DCR", "Secondary Winding #1 DCR")</f>
        <v>Secondary Winding DCR</v>
      </c>
      <c r="L9" s="121">
        <v>30</v>
      </c>
      <c r="M9" s="366" t="s">
        <v>20</v>
      </c>
      <c r="N9" s="38"/>
      <c r="O9" s="38"/>
      <c r="P9" s="38"/>
      <c r="Q9" s="38"/>
      <c r="R9" s="58"/>
      <c r="S9" s="58"/>
      <c r="T9" s="58"/>
      <c r="U9" s="58"/>
      <c r="V9" s="58"/>
      <c r="W9" s="58"/>
      <c r="X9" s="58"/>
      <c r="Y9" s="58"/>
      <c r="Z9" s="435"/>
      <c r="AA9" s="346"/>
    </row>
    <row r="10" spans="1:27" ht="15.75" customHeight="1">
      <c r="A10" s="112"/>
      <c r="B10" s="111"/>
      <c r="C10" s="113"/>
      <c r="D10" s="120" t="str">
        <f>CHOOSE(MODE, "Output Voltage, VOUT ", "Output Voltage, VOUT1")</f>
        <v xml:space="preserve">Output Voltage, VOUT </v>
      </c>
      <c r="E10" s="121">
        <v>5</v>
      </c>
      <c r="F10" s="366" t="s">
        <v>0</v>
      </c>
      <c r="G10" s="71"/>
      <c r="H10" s="69"/>
      <c r="I10" s="70"/>
      <c r="J10" s="68"/>
      <c r="K10" s="79" t="str">
        <f>CHOOSE(MODE, "", "Secondary Winding #2 DCR")</f>
        <v/>
      </c>
      <c r="L10" s="121">
        <v>5</v>
      </c>
      <c r="M10" s="366" t="str">
        <f>CHOOSE(MODE, "", "mΩ")</f>
        <v/>
      </c>
      <c r="N10" s="38"/>
      <c r="O10" s="38"/>
      <c r="P10" s="38"/>
      <c r="Q10" s="38"/>
      <c r="R10" s="58"/>
      <c r="S10" s="58"/>
      <c r="T10" s="58"/>
      <c r="U10" s="58"/>
      <c r="V10" s="58"/>
      <c r="W10" s="58"/>
      <c r="X10" s="58"/>
      <c r="Y10" s="58"/>
      <c r="Z10" s="435"/>
      <c r="AA10" s="346"/>
    </row>
    <row r="11" spans="1:27" ht="15.75" customHeight="1" thickBot="1">
      <c r="A11" s="673"/>
      <c r="B11" s="128"/>
      <c r="C11" s="436"/>
      <c r="D11" s="439" t="str">
        <f>CHOOSE(MODE, "Rated Output Current, IOUT ", "Rated Output Current, IOUT1")</f>
        <v xml:space="preserve">Rated Output Current, IOUT </v>
      </c>
      <c r="E11" s="440">
        <v>1.2</v>
      </c>
      <c r="F11" s="619" t="s">
        <v>1</v>
      </c>
      <c r="G11" s="71"/>
      <c r="H11" s="69"/>
      <c r="I11" s="58"/>
      <c r="J11" s="58"/>
      <c r="K11" s="79" t="s">
        <v>663</v>
      </c>
      <c r="L11" s="121">
        <v>2</v>
      </c>
      <c r="M11" s="366" t="s">
        <v>662</v>
      </c>
      <c r="N11" s="38"/>
      <c r="O11" s="38"/>
      <c r="P11" s="38"/>
      <c r="Q11" s="38"/>
      <c r="R11" s="58"/>
      <c r="S11" s="58"/>
      <c r="T11" s="58"/>
      <c r="U11" s="58"/>
      <c r="V11" s="58"/>
      <c r="W11" s="58"/>
      <c r="X11" s="58"/>
      <c r="Y11" s="58"/>
      <c r="Z11" s="435"/>
      <c r="AA11" s="346"/>
    </row>
    <row r="12" spans="1:27" ht="15.75" customHeight="1">
      <c r="A12" s="364"/>
      <c r="B12" s="58"/>
      <c r="C12" s="58"/>
      <c r="D12" s="120" t="str">
        <f>CHOOSE(MODE, "", "Output Voltage, VOUT2")</f>
        <v/>
      </c>
      <c r="E12" s="121">
        <v>8</v>
      </c>
      <c r="F12" s="366" t="str">
        <f>CHOOSE(MODE, "", "V", "V")</f>
        <v/>
      </c>
      <c r="G12" s="71"/>
      <c r="H12" s="112"/>
      <c r="I12" s="111"/>
      <c r="J12" s="514"/>
      <c r="K12" s="113" t="s">
        <v>843</v>
      </c>
      <c r="L12" s="666" t="str">
        <f>"1 : "&amp;(ROUND(1/ktr_rcmd*100,0)/100)</f>
        <v>1 : 0.3</v>
      </c>
      <c r="M12" s="539"/>
      <c r="N12" s="38"/>
      <c r="O12" s="38"/>
      <c r="P12" s="38"/>
      <c r="Q12" s="38"/>
      <c r="R12" s="58"/>
      <c r="S12" s="58"/>
      <c r="T12" s="58"/>
      <c r="U12" s="58"/>
      <c r="V12" s="58"/>
      <c r="W12" s="58"/>
      <c r="X12" s="58"/>
      <c r="Y12" s="58"/>
      <c r="Z12" s="435"/>
      <c r="AA12" s="346"/>
    </row>
    <row r="13" spans="1:27" ht="15.75" customHeight="1" thickBot="1">
      <c r="A13" s="673"/>
      <c r="B13" s="128"/>
      <c r="C13" s="436"/>
      <c r="D13" s="439" t="str">
        <f>CHOOSE(MODE, "", "Rated Output Current, IOUT2")</f>
        <v/>
      </c>
      <c r="E13" s="440">
        <v>0.25</v>
      </c>
      <c r="F13" s="619" t="str">
        <f>CHOOSE(MODE, "", "A", "A")</f>
        <v/>
      </c>
      <c r="G13" s="71"/>
      <c r="H13" s="69"/>
      <c r="I13" s="70"/>
      <c r="J13" s="68"/>
      <c r="K13" s="67" t="str">
        <f>IF(MODE=1, "Transformer Turns Ratio, Pri : Sec", "Turns Ratio, PRI : SEC1")</f>
        <v>Transformer Turns Ratio, Pri : Sec</v>
      </c>
      <c r="L13" s="370"/>
      <c r="M13" s="82"/>
      <c r="N13" s="38"/>
      <c r="O13" s="38"/>
      <c r="P13" s="38"/>
      <c r="Q13" s="38"/>
      <c r="R13" s="58"/>
      <c r="S13" s="58"/>
      <c r="T13" s="58"/>
      <c r="U13" s="58"/>
      <c r="V13" s="58"/>
      <c r="W13" s="58"/>
      <c r="X13" s="58"/>
      <c r="Y13" s="58"/>
      <c r="Z13" s="435"/>
      <c r="AA13" s="346"/>
    </row>
    <row r="14" spans="1:27" ht="15.75" customHeight="1">
      <c r="A14" s="111"/>
      <c r="B14" s="111"/>
      <c r="C14" s="113"/>
      <c r="D14" s="120"/>
      <c r="E14" s="75"/>
      <c r="F14" s="185"/>
      <c r="G14" s="71"/>
      <c r="H14" s="112"/>
      <c r="I14" s="111"/>
      <c r="J14" s="113"/>
      <c r="K14" s="68" t="str">
        <f>CHOOSE(MODE, "Diode Max Rev Voltage (Spike Not Included)", "Turns Ratio, SEC2 : SEC1")</f>
        <v>Diode Max Rev Voltage (Spike Not Included)</v>
      </c>
      <c r="L14" s="70">
        <f>CHOOSE(MODE, ROUND(VRRM_DIODE,0), ROUND(Nsec1sec2,2))</f>
        <v>65</v>
      </c>
      <c r="M14" s="82" t="str">
        <f>CHOOSE(MODE, "V", "")</f>
        <v>V</v>
      </c>
      <c r="N14" s="38"/>
      <c r="O14" s="38"/>
      <c r="P14" s="38"/>
      <c r="Q14" s="38"/>
      <c r="R14" s="58"/>
      <c r="S14" s="58"/>
      <c r="T14" s="58"/>
      <c r="U14" s="58"/>
      <c r="V14" s="58"/>
      <c r="W14" s="58"/>
      <c r="X14" s="58"/>
      <c r="Y14" s="58"/>
      <c r="Z14" s="435"/>
      <c r="AA14" s="346"/>
    </row>
    <row r="15" spans="1:27" ht="15.75" customHeight="1" thickBot="1">
      <c r="A15" s="645" t="s">
        <v>873</v>
      </c>
      <c r="B15" s="38"/>
      <c r="C15" s="38"/>
      <c r="D15" s="68"/>
      <c r="E15" s="38"/>
      <c r="F15" s="70"/>
      <c r="G15" s="71"/>
      <c r="H15" s="112"/>
      <c r="I15" s="111"/>
      <c r="J15" s="514"/>
      <c r="K15" s="113" t="s">
        <v>658</v>
      </c>
      <c r="L15" s="666">
        <f>CHOOSE(MODE, 'Calculations - Single'!M212, 'Calculations - Dual'!N212)*100</f>
        <v>38.211260063863158</v>
      </c>
      <c r="M15" s="539" t="s">
        <v>659</v>
      </c>
      <c r="N15" s="38"/>
      <c r="O15" s="38"/>
      <c r="P15" s="38"/>
      <c r="Q15" s="38"/>
      <c r="R15" s="58"/>
      <c r="S15" s="58"/>
      <c r="T15" s="58"/>
      <c r="U15" s="58"/>
      <c r="V15" s="58"/>
      <c r="W15" s="58"/>
      <c r="X15" s="58"/>
      <c r="Y15" s="58"/>
      <c r="Z15" s="435"/>
      <c r="AA15" s="346"/>
    </row>
    <row r="16" spans="1:27" ht="15.75" customHeight="1" thickBot="1">
      <c r="A16" s="361"/>
      <c r="B16" s="502"/>
      <c r="C16" s="502"/>
      <c r="D16" s="438" t="s">
        <v>847</v>
      </c>
      <c r="E16" s="672">
        <f>RCSmin*1000</f>
        <v>23.4375</v>
      </c>
      <c r="F16" s="618" t="s">
        <v>20</v>
      </c>
      <c r="G16" s="71"/>
      <c r="H16" s="515"/>
      <c r="I16" s="433"/>
      <c r="J16" s="83"/>
      <c r="K16" s="436" t="s">
        <v>605</v>
      </c>
      <c r="L16" s="541">
        <f>CHOOSE(MODE, 'Calculations - Single'!N212,'Calculations - Dual'!O212+'Calculations - Dual'!P212)</f>
        <v>8.5052674081402895</v>
      </c>
      <c r="M16" s="540" t="s">
        <v>45</v>
      </c>
      <c r="N16" s="38"/>
      <c r="O16" s="38"/>
      <c r="P16" s="38"/>
      <c r="Q16" s="38"/>
      <c r="R16" s="58"/>
      <c r="S16" s="58"/>
      <c r="T16" s="58"/>
      <c r="U16" s="58"/>
      <c r="V16" s="58"/>
      <c r="W16" s="58"/>
      <c r="X16" s="58"/>
      <c r="Y16" s="58"/>
      <c r="Z16" s="435"/>
      <c r="AA16" s="346"/>
    </row>
    <row r="17" spans="1:27" ht="15.75" customHeight="1" thickBot="1">
      <c r="A17" s="69"/>
      <c r="B17" s="38"/>
      <c r="C17" s="38"/>
      <c r="D17" s="79" t="s">
        <v>772</v>
      </c>
      <c r="E17" s="127">
        <v>20</v>
      </c>
      <c r="F17" s="366" t="s">
        <v>20</v>
      </c>
      <c r="G17" s="72"/>
      <c r="H17" s="58"/>
      <c r="I17" s="58"/>
      <c r="J17" s="58"/>
      <c r="K17" s="58"/>
      <c r="L17" s="58"/>
      <c r="M17" s="58"/>
      <c r="N17" s="38"/>
      <c r="O17" s="38"/>
      <c r="P17" s="38"/>
      <c r="Q17" s="38"/>
      <c r="R17" s="58"/>
      <c r="S17" s="58"/>
      <c r="T17" s="58"/>
      <c r="U17" s="58"/>
      <c r="V17" s="58"/>
      <c r="W17" s="58"/>
      <c r="X17" s="58"/>
      <c r="Y17" s="58"/>
      <c r="Z17" s="435"/>
      <c r="AA17" s="346"/>
    </row>
    <row r="18" spans="1:27" ht="15.75" customHeight="1">
      <c r="A18" s="85"/>
      <c r="B18" s="73"/>
      <c r="C18" s="70"/>
      <c r="D18" s="68" t="s">
        <v>795</v>
      </c>
      <c r="E18" s="676">
        <f>Isw_max</f>
        <v>5</v>
      </c>
      <c r="F18" s="82" t="s">
        <v>1</v>
      </c>
      <c r="G18" s="504"/>
      <c r="H18" s="681"/>
      <c r="I18" s="502"/>
      <c r="J18" s="494"/>
      <c r="K18" s="438" t="s">
        <v>871</v>
      </c>
      <c r="L18" s="494">
        <v>100</v>
      </c>
      <c r="M18" s="685" t="s">
        <v>136</v>
      </c>
      <c r="N18" s="38"/>
      <c r="O18" s="38"/>
      <c r="P18" s="38"/>
      <c r="Q18" s="38"/>
      <c r="R18" s="58"/>
      <c r="S18" s="58"/>
      <c r="T18" s="58"/>
      <c r="U18" s="58"/>
      <c r="V18" s="58"/>
      <c r="W18" s="58"/>
      <c r="X18" s="58"/>
      <c r="Y18" s="58"/>
      <c r="Z18" s="435"/>
      <c r="AA18" s="346"/>
    </row>
    <row r="19" spans="1:27" ht="19.5" customHeight="1" thickBot="1">
      <c r="A19" s="642"/>
      <c r="B19" s="677"/>
      <c r="C19" s="83"/>
      <c r="D19" s="678" t="s">
        <v>844</v>
      </c>
      <c r="E19" s="180">
        <f>IF(MODE, RCS*'Calculations - Single'!BD210^2, RCS*'Calculations - Dual'!BA210^2)*1.21</f>
        <v>45.282346013944235</v>
      </c>
      <c r="F19" s="84" t="s">
        <v>293</v>
      </c>
      <c r="G19" s="505"/>
      <c r="H19" s="687"/>
      <c r="I19" s="432"/>
      <c r="J19" s="482"/>
      <c r="K19" s="179" t="s">
        <v>872</v>
      </c>
      <c r="L19" s="482">
        <v>100</v>
      </c>
      <c r="M19" s="540" t="s">
        <v>15</v>
      </c>
      <c r="N19" s="38"/>
      <c r="O19" s="38"/>
      <c r="P19" s="38"/>
      <c r="Q19" s="38"/>
      <c r="R19" s="58"/>
      <c r="S19" s="58"/>
      <c r="T19" s="58"/>
      <c r="U19" s="58"/>
      <c r="V19" s="58"/>
      <c r="W19" s="58"/>
      <c r="X19" s="58"/>
      <c r="Y19" s="58"/>
      <c r="Z19" s="435"/>
      <c r="AA19" s="346"/>
    </row>
    <row r="20" spans="1:27" ht="19.5" customHeight="1">
      <c r="A20" s="58"/>
      <c r="B20" s="73"/>
      <c r="C20" s="74"/>
      <c r="D20" s="74"/>
      <c r="E20" s="75"/>
      <c r="F20" s="74"/>
      <c r="G20" s="71"/>
      <c r="H20" s="58"/>
      <c r="I20" s="58"/>
      <c r="J20" s="58"/>
      <c r="K20" s="58"/>
      <c r="L20" s="58"/>
      <c r="M20" s="58"/>
      <c r="N20" s="38"/>
      <c r="O20" s="38"/>
      <c r="P20" s="38"/>
      <c r="Q20" s="38"/>
      <c r="R20" s="58"/>
      <c r="S20" s="58"/>
      <c r="T20" s="58"/>
      <c r="U20" s="58"/>
      <c r="V20" s="58"/>
      <c r="W20" s="58"/>
      <c r="X20" s="58"/>
      <c r="Y20" s="58"/>
      <c r="Z20" s="435"/>
      <c r="AA20" s="346"/>
    </row>
    <row r="21" spans="1:27" ht="19.5" customHeight="1" thickBot="1">
      <c r="A21" s="645" t="s">
        <v>860</v>
      </c>
      <c r="B21" s="73"/>
      <c r="C21" s="74"/>
      <c r="D21" s="74"/>
      <c r="E21" s="75"/>
      <c r="F21" s="74"/>
      <c r="G21" s="71"/>
      <c r="H21" s="58"/>
      <c r="I21" s="58"/>
      <c r="J21" s="58"/>
      <c r="K21" s="58"/>
      <c r="L21" s="58"/>
      <c r="M21" s="58"/>
      <c r="N21" s="38"/>
      <c r="O21" s="38"/>
      <c r="P21" s="38"/>
      <c r="Q21" s="38"/>
      <c r="R21" s="58"/>
      <c r="S21" s="58"/>
      <c r="T21" s="58"/>
      <c r="U21" s="58"/>
      <c r="V21" s="58"/>
      <c r="W21" s="58"/>
      <c r="X21" s="58"/>
      <c r="Y21" s="58"/>
      <c r="Z21" s="435"/>
      <c r="AA21" s="346"/>
    </row>
    <row r="22" spans="1:27" ht="19.5" customHeight="1">
      <c r="A22" s="681"/>
      <c r="B22" s="682"/>
      <c r="C22" s="494"/>
      <c r="D22" s="683" t="s">
        <v>855</v>
      </c>
      <c r="E22" s="684">
        <f>MAX(Vout_eff*Nps,Vout2_actual*Nps/Nsec1sec2)*1.2</f>
        <v>6.48</v>
      </c>
      <c r="F22" s="685" t="s">
        <v>0</v>
      </c>
      <c r="G22" s="71"/>
      <c r="H22" s="711"/>
      <c r="I22" s="502"/>
      <c r="J22" s="502"/>
      <c r="K22" s="724" t="s">
        <v>848</v>
      </c>
      <c r="L22" s="617">
        <v>20</v>
      </c>
      <c r="M22" s="618" t="s">
        <v>20</v>
      </c>
      <c r="N22" s="38"/>
      <c r="O22" s="38"/>
      <c r="P22" s="38"/>
      <c r="Q22" s="38"/>
      <c r="R22" s="58"/>
      <c r="S22" s="58"/>
      <c r="T22" s="58"/>
      <c r="U22" s="58"/>
      <c r="V22" s="58"/>
      <c r="W22" s="58"/>
      <c r="X22" s="58"/>
      <c r="Y22" s="58"/>
      <c r="Z22" s="435"/>
      <c r="AA22" s="346"/>
    </row>
    <row r="23" spans="1:27" ht="19.5" customHeight="1" thickBot="1">
      <c r="A23" s="686"/>
      <c r="B23" s="73"/>
      <c r="C23" s="74"/>
      <c r="D23" s="67" t="s">
        <v>856</v>
      </c>
      <c r="E23" s="695">
        <v>24</v>
      </c>
      <c r="F23" s="641" t="s">
        <v>0</v>
      </c>
      <c r="G23" s="71"/>
      <c r="H23" s="69"/>
      <c r="I23" s="38"/>
      <c r="J23" s="3"/>
      <c r="K23" s="131" t="s">
        <v>857</v>
      </c>
      <c r="L23" s="716">
        <f>0.00000005*1*1000000000</f>
        <v>50</v>
      </c>
      <c r="M23" s="725" t="s">
        <v>31</v>
      </c>
      <c r="N23" s="38"/>
      <c r="O23" s="38"/>
      <c r="P23" s="38"/>
      <c r="Q23" s="38"/>
      <c r="R23" s="58"/>
      <c r="S23" s="58"/>
      <c r="T23" s="58"/>
      <c r="U23" s="58"/>
      <c r="V23" s="58"/>
      <c r="W23" s="58"/>
      <c r="X23" s="58"/>
      <c r="Y23" s="58"/>
      <c r="Z23" s="435"/>
      <c r="AA23" s="346"/>
    </row>
    <row r="24" spans="1:27" ht="19.5" customHeight="1">
      <c r="A24" s="364"/>
      <c r="B24" s="73"/>
      <c r="C24" s="70"/>
      <c r="D24" s="68" t="s">
        <v>851</v>
      </c>
      <c r="E24" s="676">
        <f>E8+E23*1.25</f>
        <v>90</v>
      </c>
      <c r="F24" s="82" t="s">
        <v>0</v>
      </c>
      <c r="G24" s="709"/>
      <c r="H24" s="680"/>
      <c r="I24" s="38"/>
      <c r="J24" s="38"/>
      <c r="K24" s="79" t="s">
        <v>858</v>
      </c>
      <c r="L24" s="121">
        <v>25</v>
      </c>
      <c r="M24" s="726" t="s">
        <v>31</v>
      </c>
      <c r="N24" s="38"/>
      <c r="O24" s="38"/>
      <c r="P24" s="38"/>
      <c r="Q24" s="38"/>
      <c r="R24" s="58"/>
      <c r="S24" s="58"/>
      <c r="T24" s="58"/>
      <c r="U24" s="58"/>
      <c r="V24" s="58"/>
      <c r="W24" s="58"/>
      <c r="X24" s="58"/>
      <c r="Y24" s="58"/>
      <c r="Z24" s="435"/>
      <c r="AA24" s="346"/>
    </row>
    <row r="25" spans="1:27" ht="19.5" customHeight="1" thickBot="1">
      <c r="A25" s="364"/>
      <c r="B25" s="73"/>
      <c r="C25" s="74"/>
      <c r="D25" s="68" t="s">
        <v>852</v>
      </c>
      <c r="E25" s="688" t="s">
        <v>854</v>
      </c>
      <c r="F25" s="641"/>
      <c r="G25" s="710"/>
      <c r="H25" s="69"/>
      <c r="I25" s="38"/>
      <c r="J25" s="38"/>
      <c r="K25" s="126" t="s">
        <v>859</v>
      </c>
      <c r="L25" s="121">
        <v>150</v>
      </c>
      <c r="M25" s="726" t="s">
        <v>15</v>
      </c>
      <c r="N25" s="38"/>
      <c r="O25" s="38"/>
      <c r="P25" s="38"/>
      <c r="Q25" s="38"/>
      <c r="R25" s="58"/>
      <c r="S25" s="58"/>
      <c r="T25" s="58"/>
      <c r="U25" s="58"/>
      <c r="V25" s="58"/>
      <c r="W25" s="58"/>
      <c r="X25" s="58"/>
      <c r="Y25" s="58"/>
      <c r="Z25" s="435"/>
      <c r="AA25" s="346"/>
    </row>
    <row r="26" spans="1:27" ht="19.5" customHeight="1" thickBot="1">
      <c r="A26" s="687"/>
      <c r="B26" s="643"/>
      <c r="C26" s="87"/>
      <c r="D26" s="179" t="s">
        <v>853</v>
      </c>
      <c r="E26" s="689" t="str">
        <f>IF(VIN_min&lt;7, "No", "Yes")</f>
        <v>Yes</v>
      </c>
      <c r="F26" s="644"/>
      <c r="G26" s="71"/>
      <c r="H26" s="727"/>
      <c r="I26" s="433"/>
      <c r="J26" s="728"/>
      <c r="K26" s="729" t="s">
        <v>887</v>
      </c>
      <c r="L26" s="731">
        <f>'Variable Mgmt'!L112</f>
        <v>0.56465786612573998</v>
      </c>
      <c r="M26" s="730" t="s">
        <v>45</v>
      </c>
      <c r="N26" s="38"/>
      <c r="O26" s="38"/>
      <c r="P26" s="38"/>
      <c r="Q26" s="38"/>
      <c r="R26" s="58"/>
      <c r="S26" s="58"/>
      <c r="T26" s="58"/>
      <c r="U26" s="58"/>
      <c r="V26" s="58"/>
      <c r="W26" s="58"/>
      <c r="X26" s="58"/>
      <c r="Y26" s="58"/>
      <c r="Z26" s="435"/>
      <c r="AA26" s="346"/>
    </row>
    <row r="27" spans="1:27" ht="19.5" customHeight="1">
      <c r="A27" s="58"/>
      <c r="B27" s="73"/>
      <c r="C27" s="74"/>
      <c r="D27" s="68"/>
      <c r="E27" s="679"/>
      <c r="F27" s="74"/>
      <c r="G27" s="71"/>
      <c r="H27" s="58"/>
      <c r="I27" s="58"/>
      <c r="J27" s="58"/>
      <c r="K27" s="58"/>
      <c r="L27" s="58"/>
      <c r="M27" s="58"/>
      <c r="N27" s="38"/>
      <c r="O27" s="38"/>
      <c r="P27" s="38"/>
      <c r="Q27" s="38"/>
      <c r="R27" s="58"/>
      <c r="S27" s="58"/>
      <c r="T27" s="58"/>
      <c r="U27" s="58"/>
      <c r="V27" s="58"/>
      <c r="W27" s="58"/>
      <c r="X27" s="58"/>
      <c r="Y27" s="58"/>
      <c r="Z27" s="435"/>
      <c r="AA27" s="346"/>
    </row>
    <row r="28" spans="1:27" ht="19.5" customHeight="1" thickBot="1">
      <c r="A28" s="85" t="s">
        <v>861</v>
      </c>
      <c r="B28" s="73"/>
      <c r="C28" s="74"/>
      <c r="D28" s="74"/>
      <c r="E28" s="75"/>
      <c r="F28" s="74"/>
      <c r="G28" s="71"/>
      <c r="H28" s="708" t="s">
        <v>874</v>
      </c>
      <c r="I28" s="58"/>
      <c r="J28" s="58"/>
      <c r="K28" s="58"/>
      <c r="L28" s="58"/>
      <c r="M28" s="58"/>
      <c r="N28" s="38"/>
      <c r="O28" s="38"/>
      <c r="P28" s="38"/>
      <c r="Q28" s="38"/>
      <c r="R28" s="58"/>
      <c r="S28" s="58"/>
      <c r="T28" s="58"/>
      <c r="U28" s="58"/>
      <c r="V28" s="58"/>
      <c r="W28" s="58"/>
      <c r="X28" s="58"/>
      <c r="Y28" s="58"/>
      <c r="Z28" s="435"/>
      <c r="AA28" s="346"/>
    </row>
    <row r="29" spans="1:27" ht="15.75" customHeight="1" thickBot="1">
      <c r="A29" s="326"/>
      <c r="B29" s="493"/>
      <c r="C29" s="494"/>
      <c r="D29" s="178" t="s">
        <v>314</v>
      </c>
      <c r="E29" s="523">
        <f>'Variable Mgmt'!B151</f>
        <v>2.2000000000000002</v>
      </c>
      <c r="F29" s="367" t="s">
        <v>97</v>
      </c>
      <c r="G29" s="71"/>
      <c r="H29" s="487"/>
      <c r="I29" s="430"/>
      <c r="J29" s="430"/>
      <c r="K29" s="713" t="str">
        <f>CHOOSE(MODE, "Min Diode Voltage Rating","Min Diode Voltage Rating, Output #1")</f>
        <v>Min Diode Voltage Rating</v>
      </c>
      <c r="L29" s="732">
        <f>(VIN_max/Nps+Vout)*1.3</f>
        <v>84.5</v>
      </c>
      <c r="M29" s="733" t="s">
        <v>0</v>
      </c>
      <c r="N29" s="38"/>
      <c r="O29" s="487"/>
      <c r="P29" s="430"/>
      <c r="Q29" s="430"/>
      <c r="R29" s="713" t="s">
        <v>877</v>
      </c>
      <c r="S29" s="732">
        <f>(VIN_max/Npri_sec2+Vout2)*1.3</f>
        <v>126.7157894736842</v>
      </c>
      <c r="T29" s="733" t="s">
        <v>0</v>
      </c>
      <c r="U29" s="58"/>
      <c r="V29" s="58"/>
      <c r="W29" s="58"/>
      <c r="X29" s="58"/>
      <c r="Y29" s="58"/>
      <c r="Z29" s="435"/>
      <c r="AA29" s="346"/>
    </row>
    <row r="30" spans="1:27" ht="15.75" customHeight="1" thickBot="1">
      <c r="A30" s="76"/>
      <c r="B30" s="70"/>
      <c r="C30" s="74"/>
      <c r="D30" s="79" t="s">
        <v>141</v>
      </c>
      <c r="E30" s="77">
        <v>22</v>
      </c>
      <c r="F30" s="368" t="s">
        <v>97</v>
      </c>
      <c r="G30" s="71"/>
      <c r="H30" s="364"/>
      <c r="I30" s="58"/>
      <c r="J30" s="58"/>
      <c r="K30" s="712" t="str">
        <f>CHOOSE(MODE, "Min Diode DC Current Rating","Min Diode DC Current Rating, Output #1")</f>
        <v>Min Diode DC Current Rating</v>
      </c>
      <c r="L30" s="328">
        <f>MAX(E11*3,0.5)</f>
        <v>3.5999999999999996</v>
      </c>
      <c r="M30" s="734" t="s">
        <v>1</v>
      </c>
      <c r="N30" s="717"/>
      <c r="O30" s="364"/>
      <c r="P30" s="58"/>
      <c r="Q30" s="58"/>
      <c r="R30" s="712" t="s">
        <v>878</v>
      </c>
      <c r="S30" s="328">
        <f>MAX(E13*3,0.5)</f>
        <v>0.75</v>
      </c>
      <c r="T30" s="734" t="s">
        <v>1</v>
      </c>
      <c r="U30" s="58"/>
      <c r="V30" s="58"/>
      <c r="W30" s="58"/>
      <c r="X30" s="58"/>
      <c r="Y30" s="58"/>
      <c r="Z30" s="435"/>
      <c r="AA30" s="346"/>
    </row>
    <row r="31" spans="1:27" ht="15.75" customHeight="1" thickBot="1">
      <c r="A31" s="76"/>
      <c r="B31" s="70"/>
      <c r="C31" s="125"/>
      <c r="D31" s="120" t="s">
        <v>104</v>
      </c>
      <c r="E31" s="121">
        <v>3</v>
      </c>
      <c r="F31" s="366" t="s">
        <v>20</v>
      </c>
      <c r="G31" s="71"/>
      <c r="H31" s="687"/>
      <c r="I31" s="432"/>
      <c r="J31" s="432"/>
      <c r="K31" s="715" t="str">
        <f>CHOOSE(MODE, "Select  Diode Forward Drop VF","Select  Diode Forward Drop VF, Output #1")</f>
        <v>Select  Diode Forward Drop VF</v>
      </c>
      <c r="L31" s="735">
        <v>0.7</v>
      </c>
      <c r="M31" s="736" t="s">
        <v>0</v>
      </c>
      <c r="N31" s="38"/>
      <c r="O31" s="687"/>
      <c r="P31" s="432"/>
      <c r="Q31" s="432"/>
      <c r="R31" s="715" t="s">
        <v>923</v>
      </c>
      <c r="S31" s="735">
        <v>0.5</v>
      </c>
      <c r="T31" s="736" t="s">
        <v>0</v>
      </c>
      <c r="U31" s="58"/>
      <c r="V31" s="58"/>
      <c r="W31" s="58"/>
      <c r="X31" s="58"/>
      <c r="Y31" s="58"/>
      <c r="Z31" s="435"/>
      <c r="AA31" s="346"/>
    </row>
    <row r="32" spans="1:27" ht="15.75" customHeight="1" thickBot="1">
      <c r="A32" s="80"/>
      <c r="B32" s="81"/>
      <c r="C32" s="87"/>
      <c r="D32" s="179" t="s">
        <v>496</v>
      </c>
      <c r="E32" s="180">
        <f>Vinripple2*1000</f>
        <v>42.645072657324661</v>
      </c>
      <c r="F32" s="84" t="s">
        <v>103</v>
      </c>
      <c r="G32" s="71"/>
      <c r="H32" s="771" t="s">
        <v>926</v>
      </c>
      <c r="I32" s="38"/>
      <c r="J32" s="38"/>
      <c r="K32" s="38"/>
      <c r="L32" s="38"/>
      <c r="M32" s="38"/>
      <c r="N32" s="38"/>
      <c r="O32" s="38"/>
      <c r="P32" s="38"/>
      <c r="Q32" s="38"/>
      <c r="R32" s="58"/>
      <c r="S32" s="58"/>
      <c r="T32" s="58"/>
      <c r="U32" s="58"/>
      <c r="V32" s="58"/>
      <c r="W32" s="58"/>
      <c r="X32" s="58"/>
      <c r="Y32" s="58"/>
      <c r="Z32" s="435"/>
      <c r="AA32" s="346"/>
    </row>
    <row r="33" spans="1:27" ht="15.75" customHeight="1" thickBot="1">
      <c r="A33" s="361"/>
      <c r="B33" s="362"/>
      <c r="C33" s="363"/>
      <c r="D33" s="363" t="str">
        <f>CHOOSE(MODE, "Minimum Output Capacitance", "Minimum Output Capacitance, Output #1")</f>
        <v>Minimum Output Capacitance</v>
      </c>
      <c r="E33" s="535">
        <f>'Variable Mgmt'!B126</f>
        <v>113.77777777777777</v>
      </c>
      <c r="F33" s="367" t="s">
        <v>97</v>
      </c>
      <c r="G33" s="503"/>
      <c r="H33" s="494"/>
      <c r="I33" s="502"/>
      <c r="J33" s="430"/>
      <c r="K33" s="363" t="str">
        <f>CHOOSE(MODE, "", "Minimum Output Capacitance, Output #2")</f>
        <v/>
      </c>
      <c r="L33" s="535">
        <f>'Variable Mgmt'!B136</f>
        <v>4.7</v>
      </c>
      <c r="M33" s="367" t="s">
        <v>97</v>
      </c>
      <c r="N33" s="38"/>
      <c r="O33" s="38"/>
      <c r="P33" s="38"/>
      <c r="Q33" s="38"/>
      <c r="R33" s="58"/>
      <c r="S33" s="58"/>
      <c r="T33" s="58"/>
      <c r="U33" s="58"/>
      <c r="V33" s="58"/>
      <c r="W33" s="58"/>
      <c r="X33" s="58"/>
      <c r="Y33" s="58"/>
      <c r="Z33" s="435"/>
      <c r="AA33" s="346"/>
    </row>
    <row r="34" spans="1:27" ht="15.75" customHeight="1">
      <c r="A34" s="69"/>
      <c r="B34" s="70"/>
      <c r="C34" s="113"/>
      <c r="D34" s="126" t="s">
        <v>140</v>
      </c>
      <c r="E34" s="121">
        <v>110</v>
      </c>
      <c r="F34" s="366" t="s">
        <v>97</v>
      </c>
      <c r="G34" s="504"/>
      <c r="H34" s="70"/>
      <c r="I34" s="38"/>
      <c r="J34" s="58"/>
      <c r="K34" s="126" t="s">
        <v>532</v>
      </c>
      <c r="L34" s="121">
        <v>55</v>
      </c>
      <c r="M34" s="366" t="s">
        <v>97</v>
      </c>
      <c r="N34" s="38"/>
      <c r="O34" s="771" t="s">
        <v>922</v>
      </c>
      <c r="P34" s="38"/>
      <c r="Q34" s="38"/>
      <c r="R34" s="58"/>
      <c r="S34" s="58"/>
      <c r="T34" s="58"/>
      <c r="U34" s="58"/>
      <c r="V34" s="58"/>
      <c r="W34" s="58"/>
      <c r="X34" s="58"/>
      <c r="Y34" s="58"/>
      <c r="Z34" s="435"/>
      <c r="AA34" s="346"/>
    </row>
    <row r="35" spans="1:27" ht="16.5" customHeight="1" thickBot="1">
      <c r="A35" s="69"/>
      <c r="B35" s="70"/>
      <c r="C35" s="125"/>
      <c r="D35" s="120" t="s">
        <v>533</v>
      </c>
      <c r="E35" s="121">
        <v>2</v>
      </c>
      <c r="F35" s="366" t="s">
        <v>20</v>
      </c>
      <c r="G35" s="505"/>
      <c r="H35" s="70"/>
      <c r="I35" s="38"/>
      <c r="J35" s="58"/>
      <c r="K35" s="120" t="s">
        <v>533</v>
      </c>
      <c r="L35" s="121">
        <v>8</v>
      </c>
      <c r="M35" s="366" t="s">
        <v>20</v>
      </c>
      <c r="N35" s="38"/>
      <c r="O35" s="38"/>
      <c r="P35" s="38"/>
      <c r="Q35" s="38"/>
      <c r="R35" s="58"/>
      <c r="S35" s="58"/>
      <c r="T35" s="58"/>
      <c r="U35" s="58"/>
      <c r="V35" s="58"/>
      <c r="W35" s="58"/>
      <c r="X35" s="58"/>
      <c r="Y35" s="58"/>
      <c r="Z35" s="435"/>
      <c r="AA35" s="346"/>
    </row>
    <row r="36" spans="1:27" ht="15.75" customHeight="1" thickBot="1">
      <c r="A36" s="80"/>
      <c r="B36" s="83"/>
      <c r="C36" s="83"/>
      <c r="D36" s="179" t="str">
        <f>CHOOSE(MODE, "Resulting Output Voltage Ripple", "Resulting Output Voltage Ripple, Output #1")</f>
        <v>Resulting Output Voltage Ripple</v>
      </c>
      <c r="E36" s="180">
        <f>Vripple1_actual</f>
        <v>9.6985648715472728</v>
      </c>
      <c r="F36" s="84" t="s">
        <v>103</v>
      </c>
      <c r="G36" s="503"/>
      <c r="H36" s="83"/>
      <c r="I36" s="433"/>
      <c r="J36" s="432"/>
      <c r="K36" s="179" t="str">
        <f>CHOOSE(MODE, "", "Resulting Output Voltage Ripple, Output #2")</f>
        <v/>
      </c>
      <c r="L36" s="180">
        <f>Vripple2_actual</f>
        <v>36.092744470508066</v>
      </c>
      <c r="M36" s="84" t="s">
        <v>103</v>
      </c>
      <c r="N36" s="38"/>
      <c r="O36" s="38"/>
      <c r="P36" s="38"/>
      <c r="Q36" s="38"/>
      <c r="R36" s="58"/>
      <c r="S36" s="58"/>
      <c r="T36" s="58"/>
      <c r="U36" s="58"/>
      <c r="V36" s="58"/>
      <c r="W36" s="58"/>
      <c r="X36" s="58"/>
      <c r="Y36" s="58"/>
      <c r="Z36" s="435"/>
      <c r="AA36" s="346"/>
    </row>
    <row r="37" spans="1:27" ht="13.5" customHeight="1">
      <c r="A37" s="364"/>
      <c r="B37" s="58"/>
      <c r="C37" s="58"/>
      <c r="D37" s="58"/>
      <c r="E37" s="58"/>
      <c r="F37" s="58"/>
      <c r="G37" s="58"/>
      <c r="H37" s="58"/>
      <c r="I37" s="58"/>
      <c r="J37" s="58"/>
      <c r="K37" s="58"/>
      <c r="L37" s="58"/>
      <c r="M37" s="58"/>
      <c r="N37" s="38"/>
      <c r="O37" s="38"/>
      <c r="P37" s="38"/>
      <c r="Q37" s="38"/>
      <c r="R37" s="58"/>
      <c r="S37" s="58"/>
      <c r="T37" s="58"/>
      <c r="U37" s="58"/>
      <c r="V37" s="58"/>
      <c r="W37" s="58"/>
      <c r="X37" s="58"/>
      <c r="Y37" s="58"/>
      <c r="Z37" s="435"/>
      <c r="AA37" s="346"/>
    </row>
    <row r="38" spans="1:27" ht="19.5" customHeight="1" thickBot="1">
      <c r="A38" s="85" t="s">
        <v>879</v>
      </c>
      <c r="B38" s="73"/>
      <c r="C38" s="70"/>
      <c r="D38" s="68"/>
      <c r="E38" s="70"/>
      <c r="F38" s="70"/>
      <c r="G38" s="70"/>
      <c r="H38" s="70"/>
      <c r="I38" s="38"/>
      <c r="J38" s="38"/>
      <c r="K38" s="38"/>
      <c r="L38" s="38"/>
      <c r="M38" s="38"/>
      <c r="N38" s="38"/>
      <c r="O38" s="38"/>
      <c r="P38" s="38"/>
      <c r="Q38" s="38"/>
      <c r="R38" s="58"/>
      <c r="S38" s="58"/>
      <c r="T38" s="58"/>
      <c r="U38" s="58"/>
      <c r="V38" s="58"/>
      <c r="W38" s="58"/>
      <c r="X38" s="58"/>
      <c r="Y38" s="58"/>
      <c r="Z38" s="435"/>
      <c r="AA38" s="346"/>
    </row>
    <row r="39" spans="1:27" ht="15.75" customHeight="1">
      <c r="A39" s="118"/>
      <c r="B39" s="119"/>
      <c r="C39" s="178"/>
      <c r="D39" s="178" t="s">
        <v>370</v>
      </c>
      <c r="E39" s="496">
        <f>Rfb_recommend</f>
        <v>54</v>
      </c>
      <c r="F39" s="442" t="s">
        <v>21</v>
      </c>
      <c r="G39" s="70"/>
      <c r="H39" s="70"/>
      <c r="I39" s="38"/>
      <c r="J39" s="38"/>
      <c r="K39" s="38"/>
      <c r="L39" s="38"/>
      <c r="M39" s="38"/>
      <c r="N39" s="38"/>
      <c r="O39" s="38"/>
      <c r="P39" s="38"/>
      <c r="Q39" s="38"/>
      <c r="R39" s="58"/>
      <c r="S39" s="58"/>
      <c r="T39" s="58"/>
      <c r="U39" s="58"/>
      <c r="V39" s="58"/>
      <c r="W39" s="58"/>
      <c r="X39" s="58"/>
      <c r="Y39" s="58"/>
      <c r="Z39" s="435"/>
      <c r="AA39" s="346"/>
    </row>
    <row r="40" spans="1:27" ht="15.75" customHeight="1" thickBot="1">
      <c r="A40" s="112"/>
      <c r="B40" s="111"/>
      <c r="C40" s="113"/>
      <c r="D40" s="126" t="s">
        <v>369</v>
      </c>
      <c r="E40" s="127">
        <v>168</v>
      </c>
      <c r="F40" s="122" t="str">
        <f>IF(Vout=Vref,"","kΩ")</f>
        <v>kΩ</v>
      </c>
      <c r="G40" s="70"/>
      <c r="H40" s="70"/>
      <c r="I40" s="38"/>
      <c r="J40" s="38"/>
      <c r="K40" s="38"/>
      <c r="L40" s="38"/>
      <c r="M40" s="38"/>
      <c r="N40" s="38"/>
      <c r="O40" s="38"/>
      <c r="P40" s="38"/>
      <c r="Q40" s="38"/>
      <c r="R40" s="58"/>
      <c r="S40" s="58"/>
      <c r="T40" s="58"/>
      <c r="U40" s="58"/>
      <c r="V40" s="58"/>
      <c r="W40" s="58"/>
      <c r="X40" s="58"/>
      <c r="Y40" s="58"/>
      <c r="Z40" s="435"/>
      <c r="AA40" s="346"/>
    </row>
    <row r="41" spans="1:27" ht="14.1" customHeight="1">
      <c r="A41" s="330"/>
      <c r="B41" s="331"/>
      <c r="C41" s="332"/>
      <c r="D41" s="333" t="s">
        <v>292</v>
      </c>
      <c r="E41" s="332" t="s">
        <v>682</v>
      </c>
      <c r="F41" s="334"/>
      <c r="G41" s="71"/>
      <c r="H41" s="70"/>
      <c r="I41" s="38"/>
      <c r="J41" s="38"/>
      <c r="K41" s="38"/>
      <c r="L41" s="38"/>
      <c r="M41" s="38"/>
      <c r="N41" s="38"/>
      <c r="O41" s="38"/>
      <c r="P41" s="38"/>
      <c r="Q41" s="38"/>
      <c r="R41" s="58"/>
      <c r="S41" s="58"/>
      <c r="T41" s="58"/>
      <c r="U41" s="58"/>
      <c r="V41" s="58"/>
      <c r="W41" s="58"/>
      <c r="X41" s="58"/>
      <c r="Y41" s="58"/>
      <c r="Z41" s="435"/>
      <c r="AA41" s="346"/>
    </row>
    <row r="42" spans="1:27" ht="16.5" customHeight="1">
      <c r="A42" s="112"/>
      <c r="B42" s="111"/>
      <c r="C42" s="111"/>
      <c r="D42" s="124" t="str">
        <f>CHOOSE(MODE_SS,"Soft-Start Time","*Leave SS Pin Open or Supply by Ext. Bias")</f>
        <v>*Leave SS Pin Open or Supply by Ext. Bias</v>
      </c>
      <c r="E42" s="121">
        <v>10</v>
      </c>
      <c r="F42" s="122" t="s">
        <v>63</v>
      </c>
      <c r="G42" s="71"/>
      <c r="H42" s="70"/>
      <c r="I42" s="38"/>
      <c r="J42" s="38"/>
      <c r="K42" s="38"/>
      <c r="L42" s="38"/>
      <c r="M42" s="38"/>
      <c r="N42" s="38"/>
      <c r="O42" s="38"/>
      <c r="P42" s="38"/>
      <c r="Q42" s="38"/>
      <c r="R42" s="58"/>
      <c r="S42" s="58"/>
      <c r="T42" s="58"/>
      <c r="U42" s="58"/>
      <c r="V42" s="58"/>
      <c r="W42" s="58"/>
      <c r="X42" s="58"/>
      <c r="Y42" s="58"/>
      <c r="Z42" s="435"/>
      <c r="AA42" s="346"/>
    </row>
    <row r="43" spans="1:27" ht="16.5" customHeight="1" thickBot="1">
      <c r="A43" s="115"/>
      <c r="B43" s="116"/>
      <c r="C43" s="116"/>
      <c r="D43" s="315" t="s">
        <v>142</v>
      </c>
      <c r="E43" s="329">
        <f>IF(Tss&gt;0.0001,Css_u*1000000000,"N/A")</f>
        <v>47</v>
      </c>
      <c r="F43" s="117" t="s">
        <v>56</v>
      </c>
      <c r="G43" s="71"/>
      <c r="H43" s="70"/>
      <c r="I43" s="38"/>
      <c r="J43" s="38"/>
      <c r="K43" s="38"/>
      <c r="L43" s="38"/>
      <c r="M43" s="38"/>
      <c r="N43" s="38"/>
      <c r="O43" s="38"/>
      <c r="P43" s="38"/>
      <c r="Q43" s="38"/>
      <c r="R43" s="58"/>
      <c r="S43" s="58"/>
      <c r="T43" s="58"/>
      <c r="U43" s="58"/>
      <c r="V43" s="58"/>
      <c r="W43" s="58"/>
      <c r="X43" s="58"/>
      <c r="Y43" s="58"/>
      <c r="Z43" s="435"/>
      <c r="AA43" s="346"/>
    </row>
    <row r="44" spans="1:27" ht="15.75" customHeight="1">
      <c r="A44" s="112"/>
      <c r="B44" s="111"/>
      <c r="C44" s="111"/>
      <c r="D44" s="67" t="s">
        <v>381</v>
      </c>
      <c r="E44" s="123"/>
      <c r="F44" s="114"/>
      <c r="G44" s="70"/>
      <c r="H44" s="70"/>
      <c r="I44" s="38"/>
      <c r="J44" s="38"/>
      <c r="K44" s="38"/>
      <c r="L44" s="38"/>
      <c r="M44" s="38"/>
      <c r="N44" s="38"/>
      <c r="O44" s="38"/>
      <c r="P44" s="38"/>
      <c r="Q44" s="38"/>
      <c r="R44" s="58"/>
      <c r="S44" s="58"/>
      <c r="T44" s="58"/>
      <c r="U44" s="58"/>
      <c r="V44" s="58"/>
      <c r="W44" s="58"/>
      <c r="X44" s="58"/>
      <c r="Y44" s="58"/>
      <c r="Z44" s="435"/>
      <c r="AA44" s="346"/>
    </row>
    <row r="45" spans="1:27" ht="15.75" customHeight="1">
      <c r="A45" s="112"/>
      <c r="B45" s="111"/>
      <c r="C45" s="111"/>
      <c r="D45" s="67" t="str">
        <f>CHOOSE(TC,"Diode Voltage Drop Thermal Coefficient","*Leave TC Pin Open")</f>
        <v>*Leave TC Pin Open</v>
      </c>
      <c r="E45" s="500">
        <f>(450-300)/(-55-25)</f>
        <v>-1.875</v>
      </c>
      <c r="F45" s="114" t="s">
        <v>380</v>
      </c>
      <c r="G45" s="70"/>
      <c r="H45" s="70"/>
      <c r="I45" s="38"/>
      <c r="J45" s="38"/>
      <c r="K45" s="38"/>
      <c r="L45" s="38"/>
      <c r="M45" s="38"/>
      <c r="N45" s="38"/>
      <c r="O45" s="38"/>
      <c r="P45" s="38"/>
      <c r="Q45" s="38"/>
      <c r="R45" s="58"/>
      <c r="S45" s="58"/>
      <c r="T45" s="58"/>
      <c r="U45" s="58"/>
      <c r="V45" s="58"/>
      <c r="W45" s="58"/>
      <c r="X45" s="58"/>
      <c r="Y45" s="58"/>
      <c r="Z45" s="435"/>
      <c r="AA45" s="346"/>
    </row>
    <row r="46" spans="1:27" ht="15.75" customHeight="1" thickBot="1">
      <c r="A46" s="115"/>
      <c r="B46" s="128"/>
      <c r="C46" s="128"/>
      <c r="D46" s="436" t="s">
        <v>382</v>
      </c>
      <c r="E46" s="450">
        <f>RTC</f>
        <v>357</v>
      </c>
      <c r="F46" s="451" t="s">
        <v>21</v>
      </c>
      <c r="G46" s="70"/>
      <c r="H46" s="70"/>
      <c r="I46" s="38"/>
      <c r="J46" s="38"/>
      <c r="K46" s="56"/>
      <c r="L46" s="38"/>
      <c r="M46" s="38"/>
      <c r="N46" s="38"/>
      <c r="O46" s="38"/>
      <c r="P46" s="38"/>
      <c r="Q46" s="38"/>
      <c r="R46" s="58"/>
      <c r="S46" s="58"/>
      <c r="T46" s="58"/>
      <c r="U46" s="58"/>
      <c r="V46" s="58"/>
      <c r="W46" s="58"/>
      <c r="X46" s="58"/>
      <c r="Y46" s="58"/>
      <c r="Z46" s="435"/>
      <c r="AA46" s="346"/>
    </row>
    <row r="47" spans="1:27" ht="16.5" customHeight="1">
      <c r="A47" s="387"/>
      <c r="B47" s="437"/>
      <c r="C47" s="437"/>
      <c r="D47" s="696" t="s">
        <v>303</v>
      </c>
      <c r="E47" s="697"/>
      <c r="F47" s="690"/>
      <c r="G47" s="70"/>
      <c r="H47" s="70"/>
      <c r="I47" s="38"/>
      <c r="J47" s="38"/>
      <c r="K47" s="38"/>
      <c r="L47" s="38"/>
      <c r="M47" s="38"/>
      <c r="N47" s="38"/>
      <c r="O47" s="38"/>
      <c r="P47" s="38"/>
      <c r="Q47" s="38"/>
      <c r="R47" s="58"/>
      <c r="S47" s="58"/>
      <c r="T47" s="58"/>
      <c r="U47" s="58"/>
      <c r="V47" s="58"/>
      <c r="W47" s="58"/>
      <c r="X47" s="58"/>
      <c r="Y47" s="58"/>
      <c r="Z47" s="435"/>
      <c r="AA47" s="346"/>
    </row>
    <row r="48" spans="1:27" ht="15.75" customHeight="1">
      <c r="A48" s="112"/>
      <c r="B48" s="111"/>
      <c r="C48" s="125"/>
      <c r="D48" s="126" t="str">
        <f>CHOOSE(MODE_UVLO, "Input UVLO Turn-On Threshold", "*Connect EN pin to VIN or Logic HIGH")</f>
        <v>Input UVLO Turn-On Threshold</v>
      </c>
      <c r="E48" s="127">
        <v>18.8</v>
      </c>
      <c r="F48" s="122" t="s">
        <v>0</v>
      </c>
      <c r="G48" s="70"/>
      <c r="H48" s="70"/>
      <c r="I48" s="58"/>
      <c r="J48" s="58"/>
      <c r="K48" s="58"/>
      <c r="L48" s="181"/>
      <c r="M48" s="38"/>
      <c r="N48" s="38"/>
      <c r="O48" s="38"/>
      <c r="P48" s="38"/>
      <c r="Q48" s="38"/>
      <c r="R48" s="58"/>
      <c r="S48" s="58"/>
      <c r="T48" s="58"/>
      <c r="U48" s="58"/>
      <c r="V48" s="58"/>
      <c r="W48" s="58"/>
      <c r="X48" s="58"/>
      <c r="Y48" s="58"/>
      <c r="Z48" s="435"/>
      <c r="AA48" s="346"/>
    </row>
    <row r="49" spans="1:27" ht="15.75" customHeight="1">
      <c r="A49" s="112"/>
      <c r="B49" s="111"/>
      <c r="C49" s="111"/>
      <c r="D49" s="126" t="str">
        <f>CHOOSE(MODE_UVLO, "Input UVLO Turn-Off Threshold", "")</f>
        <v>Input UVLO Turn-Off Threshold</v>
      </c>
      <c r="E49" s="127">
        <v>17.2</v>
      </c>
      <c r="F49" s="122" t="s">
        <v>0</v>
      </c>
      <c r="G49" s="70"/>
      <c r="H49" s="113"/>
      <c r="I49" s="182"/>
      <c r="J49" s="184"/>
      <c r="K49" s="58"/>
      <c r="L49" s="58"/>
      <c r="M49" s="38"/>
      <c r="N49" s="38"/>
      <c r="O49" s="38"/>
      <c r="P49" s="38"/>
      <c r="Q49" s="38"/>
      <c r="R49" s="58"/>
      <c r="S49" s="58"/>
      <c r="T49" s="58"/>
      <c r="U49" s="58"/>
      <c r="V49" s="58"/>
      <c r="W49" s="58"/>
      <c r="X49" s="58"/>
      <c r="Y49" s="58"/>
      <c r="Z49" s="435"/>
      <c r="AA49" s="346"/>
    </row>
    <row r="50" spans="1:27" ht="15.75" customHeight="1">
      <c r="A50" s="698"/>
      <c r="B50" s="699"/>
      <c r="C50" s="700"/>
      <c r="D50" s="701" t="s">
        <v>821</v>
      </c>
      <c r="E50" s="702">
        <f>'Variable Mgmt'!F181</f>
        <v>196</v>
      </c>
      <c r="F50" s="703" t="s">
        <v>21</v>
      </c>
      <c r="G50" s="70"/>
      <c r="H50" s="113"/>
      <c r="I50" s="182"/>
      <c r="J50" s="184"/>
      <c r="K50" s="58"/>
      <c r="L50" s="58"/>
      <c r="M50" s="38"/>
      <c r="N50" s="38"/>
      <c r="O50" s="38"/>
      <c r="P50" s="38"/>
      <c r="Q50" s="38"/>
      <c r="R50" s="58"/>
      <c r="S50" s="58"/>
      <c r="T50" s="58"/>
      <c r="U50" s="58"/>
      <c r="V50" s="58"/>
      <c r="W50" s="58"/>
      <c r="X50" s="58"/>
      <c r="Y50" s="58"/>
      <c r="Z50" s="435"/>
      <c r="AA50" s="346"/>
    </row>
    <row r="51" spans="1:27" ht="15.75" customHeight="1">
      <c r="A51" s="704"/>
      <c r="B51" s="705"/>
      <c r="C51" s="705"/>
      <c r="D51" s="706" t="s">
        <v>822</v>
      </c>
      <c r="E51" s="706">
        <f>'Variable Mgmt'!F182</f>
        <v>16.900000000000002</v>
      </c>
      <c r="F51" s="707" t="s">
        <v>21</v>
      </c>
      <c r="G51" s="70"/>
      <c r="H51" s="186"/>
      <c r="I51" s="124"/>
      <c r="J51" s="498"/>
      <c r="K51" s="185"/>
      <c r="L51" s="58"/>
      <c r="M51" s="38"/>
      <c r="N51" s="38"/>
      <c r="O51" s="38"/>
      <c r="P51" s="38"/>
      <c r="Q51" s="38"/>
      <c r="R51" s="58"/>
      <c r="S51" s="58"/>
      <c r="T51" s="58"/>
      <c r="U51" s="58"/>
      <c r="V51" s="58"/>
      <c r="W51" s="58"/>
      <c r="X51" s="58"/>
      <c r="Y51" s="58"/>
      <c r="Z51" s="435"/>
      <c r="AA51" s="346"/>
    </row>
    <row r="52" spans="1:27" ht="15.75" customHeight="1">
      <c r="A52" s="112"/>
      <c r="B52" s="111"/>
      <c r="C52" s="111"/>
      <c r="D52" s="113"/>
      <c r="E52" s="113"/>
      <c r="F52" s="58"/>
      <c r="G52" s="70"/>
      <c r="H52" s="186"/>
      <c r="I52" s="124"/>
      <c r="J52" s="498"/>
      <c r="K52" s="185"/>
      <c r="L52" s="58"/>
      <c r="M52" s="38"/>
      <c r="N52" s="38"/>
      <c r="O52" s="38"/>
      <c r="P52" s="38"/>
      <c r="Q52" s="38"/>
      <c r="R52" s="58"/>
      <c r="S52" s="58"/>
      <c r="T52" s="58"/>
      <c r="U52" s="58"/>
      <c r="V52" s="58"/>
      <c r="W52" s="58"/>
      <c r="X52" s="58"/>
      <c r="Y52" s="58"/>
      <c r="Z52" s="435"/>
      <c r="AA52" s="346"/>
    </row>
    <row r="53" spans="1:27" ht="15.75" customHeight="1" thickBot="1">
      <c r="A53" s="85" t="s">
        <v>889</v>
      </c>
      <c r="B53" s="111"/>
      <c r="C53" s="111"/>
      <c r="D53" s="126" t="s">
        <v>862</v>
      </c>
      <c r="E53" s="113"/>
      <c r="F53" s="70"/>
      <c r="G53" s="70"/>
      <c r="H53" s="70"/>
      <c r="I53" s="58"/>
      <c r="J53" s="183"/>
      <c r="K53" s="58"/>
      <c r="L53" s="58"/>
      <c r="M53" s="38"/>
      <c r="N53" s="38"/>
      <c r="O53" s="38"/>
      <c r="P53" s="38"/>
      <c r="Q53" s="38" t="s">
        <v>78</v>
      </c>
      <c r="R53" s="58"/>
      <c r="S53" s="58"/>
      <c r="T53" s="58"/>
      <c r="U53" s="58"/>
      <c r="V53" s="58"/>
      <c r="W53" s="58"/>
      <c r="X53" s="58"/>
      <c r="Y53" s="58"/>
      <c r="Z53" s="435"/>
      <c r="AA53" s="346"/>
    </row>
    <row r="54" spans="1:27" ht="15.75" hidden="1" customHeight="1">
      <c r="A54" s="387"/>
      <c r="B54" s="437"/>
      <c r="C54" s="178"/>
      <c r="D54" s="178" t="s">
        <v>800</v>
      </c>
      <c r="E54" s="496">
        <f>pole1/1000</f>
        <v>0.35403891591937636</v>
      </c>
      <c r="F54" s="690" t="s">
        <v>2</v>
      </c>
      <c r="G54" s="70"/>
      <c r="H54" s="70"/>
      <c r="I54" s="58"/>
      <c r="J54" s="183"/>
      <c r="K54" s="58"/>
      <c r="L54" s="58"/>
      <c r="M54" s="38"/>
      <c r="N54" s="38"/>
      <c r="O54" s="38"/>
      <c r="P54" s="38"/>
      <c r="Q54" s="38"/>
      <c r="R54" s="58"/>
      <c r="S54" s="58"/>
      <c r="T54" s="58"/>
      <c r="U54" s="58"/>
      <c r="V54" s="58"/>
      <c r="W54" s="58"/>
      <c r="X54" s="58"/>
      <c r="Y54" s="58"/>
      <c r="Z54" s="435"/>
      <c r="AA54" s="346"/>
    </row>
    <row r="55" spans="1:27" ht="15.75" hidden="1" customHeight="1">
      <c r="A55" s="112"/>
      <c r="B55" s="111"/>
      <c r="C55" s="113"/>
      <c r="D55" s="113" t="s">
        <v>797</v>
      </c>
      <c r="E55" s="646">
        <f>Zero1/1000</f>
        <v>723.43156033525634</v>
      </c>
      <c r="F55" s="114" t="s">
        <v>2</v>
      </c>
      <c r="G55" s="70"/>
      <c r="H55" s="113"/>
      <c r="I55" s="182"/>
      <c r="J55" s="184"/>
      <c r="K55" s="58"/>
      <c r="L55" s="58"/>
      <c r="M55" s="38"/>
      <c r="N55" s="38"/>
      <c r="O55" s="38"/>
      <c r="P55" s="38"/>
      <c r="Q55" s="38"/>
      <c r="R55" s="58"/>
      <c r="S55" s="58"/>
      <c r="T55" s="58"/>
      <c r="U55" s="58"/>
      <c r="V55" s="58"/>
      <c r="W55" s="58"/>
      <c r="X55" s="58"/>
      <c r="Y55" s="58"/>
      <c r="Z55" s="435"/>
      <c r="AA55" s="346"/>
    </row>
    <row r="56" spans="1:27" ht="15.75" hidden="1" customHeight="1">
      <c r="A56" s="112"/>
      <c r="B56" s="111"/>
      <c r="C56" s="113"/>
      <c r="D56" s="113" t="s">
        <v>798</v>
      </c>
      <c r="E56" s="646">
        <f>z_RHP/1000</f>
        <v>476.86874389140496</v>
      </c>
      <c r="F56" s="114" t="s">
        <v>2</v>
      </c>
      <c r="G56" s="70"/>
      <c r="H56" s="113"/>
      <c r="I56" s="182"/>
      <c r="J56" s="184"/>
      <c r="K56" s="58"/>
      <c r="L56" s="58"/>
      <c r="M56" s="38"/>
      <c r="N56" s="38"/>
      <c r="O56" s="38"/>
      <c r="P56" s="38"/>
      <c r="Q56" s="38"/>
      <c r="R56" s="58"/>
      <c r="S56" s="58"/>
      <c r="T56" s="58"/>
      <c r="U56" s="58"/>
      <c r="V56" s="58"/>
      <c r="W56" s="58"/>
      <c r="X56" s="58"/>
      <c r="Y56" s="58"/>
      <c r="Z56" s="435"/>
      <c r="AA56" s="346"/>
    </row>
    <row r="57" spans="1:27" ht="15.75" customHeight="1">
      <c r="A57" s="387"/>
      <c r="B57" s="437"/>
      <c r="C57" s="178"/>
      <c r="D57" s="178" t="s">
        <v>799</v>
      </c>
      <c r="E57" s="496">
        <f>MIN(E56/10,'Calculations - Single'!DC212/10)*0+MIN(E56/10,CHOOSE(MODE,'Calculations - Single'!DC212/10,'Calculations - Dual'!DQ212/10))</f>
        <v>7.91015625</v>
      </c>
      <c r="F57" s="690" t="s">
        <v>2</v>
      </c>
      <c r="G57" s="70"/>
      <c r="H57" s="70"/>
      <c r="I57" s="38"/>
      <c r="J57" s="38"/>
      <c r="K57" s="38"/>
      <c r="L57" s="38"/>
      <c r="M57" s="38"/>
      <c r="N57" s="38"/>
      <c r="O57" s="38"/>
      <c r="P57" s="38"/>
      <c r="Q57" s="38"/>
      <c r="R57" s="58"/>
      <c r="S57" s="58"/>
      <c r="T57" s="58"/>
      <c r="U57" s="58"/>
      <c r="V57" s="58"/>
      <c r="W57" s="58"/>
      <c r="X57" s="58"/>
      <c r="Y57" s="58"/>
      <c r="Z57" s="435"/>
      <c r="AA57" s="346"/>
    </row>
    <row r="58" spans="1:27" ht="15.75" customHeight="1">
      <c r="A58" s="112"/>
      <c r="B58" s="111"/>
      <c r="C58" s="111"/>
      <c r="D58" s="126" t="s">
        <v>864</v>
      </c>
      <c r="E58" s="500">
        <v>1</v>
      </c>
      <c r="F58" s="738" t="s">
        <v>2</v>
      </c>
      <c r="G58" s="70"/>
      <c r="H58" s="70"/>
      <c r="I58" s="38"/>
      <c r="J58" s="38"/>
      <c r="K58" s="38"/>
      <c r="L58" s="38"/>
      <c r="M58" s="38"/>
      <c r="N58" s="38"/>
      <c r="O58" s="38"/>
      <c r="P58" s="38"/>
      <c r="Q58" s="38"/>
      <c r="R58" s="58"/>
      <c r="S58" s="58"/>
      <c r="T58" s="58"/>
      <c r="U58" s="58"/>
      <c r="V58" s="58"/>
      <c r="W58" s="58"/>
      <c r="X58" s="58"/>
      <c r="Y58" s="58"/>
      <c r="Z58" s="435"/>
      <c r="AA58" s="346"/>
    </row>
    <row r="59" spans="1:27" ht="15.75" customHeight="1">
      <c r="A59" s="112"/>
      <c r="B59" s="111"/>
      <c r="C59" s="113"/>
      <c r="D59" s="113" t="s">
        <v>815</v>
      </c>
      <c r="E59" s="646">
        <f>'Stability Calculations'!D64</f>
        <v>9.1291695382001983</v>
      </c>
      <c r="F59" s="739" t="s">
        <v>813</v>
      </c>
      <c r="G59" s="70"/>
      <c r="H59" s="70"/>
      <c r="I59" s="38"/>
      <c r="J59" s="38"/>
      <c r="K59" s="38"/>
      <c r="L59" s="38"/>
      <c r="M59" s="38"/>
      <c r="N59" s="38"/>
      <c r="O59" s="38"/>
      <c r="P59" s="38"/>
      <c r="Q59" s="38"/>
      <c r="R59" s="58"/>
      <c r="S59" s="58"/>
      <c r="T59" s="58"/>
      <c r="U59" s="58"/>
      <c r="V59" s="58"/>
      <c r="W59" s="58"/>
      <c r="X59" s="58"/>
      <c r="Y59" s="58"/>
      <c r="Z59" s="435"/>
      <c r="AA59" s="346"/>
    </row>
    <row r="60" spans="1:27" ht="15.75" customHeight="1">
      <c r="A60" s="112"/>
      <c r="B60" s="111"/>
      <c r="C60" s="113"/>
      <c r="D60" s="126" t="s">
        <v>816</v>
      </c>
      <c r="E60" s="664">
        <v>12.1</v>
      </c>
      <c r="F60" s="738" t="s">
        <v>814</v>
      </c>
      <c r="G60" s="70"/>
      <c r="H60" s="70"/>
      <c r="I60" s="38"/>
      <c r="J60" s="38"/>
      <c r="K60" s="38"/>
      <c r="L60" s="38"/>
      <c r="M60" s="38"/>
      <c r="N60" s="38"/>
      <c r="O60" s="38"/>
      <c r="P60" s="38"/>
      <c r="Q60" s="38"/>
      <c r="R60" s="58"/>
      <c r="S60" s="58"/>
      <c r="T60" s="58"/>
      <c r="U60" s="58"/>
      <c r="V60" s="58"/>
      <c r="W60" s="58"/>
      <c r="X60" s="58"/>
      <c r="Y60" s="58"/>
      <c r="Z60" s="435"/>
      <c r="AA60" s="346"/>
    </row>
    <row r="61" spans="1:27" ht="16.5" customHeight="1">
      <c r="A61" s="112"/>
      <c r="B61" s="111"/>
      <c r="C61" s="113"/>
      <c r="D61" s="113" t="s">
        <v>817</v>
      </c>
      <c r="E61" s="646">
        <f>'Stability Calculations'!D65</f>
        <v>24.633611390363608</v>
      </c>
      <c r="F61" s="740" t="s">
        <v>56</v>
      </c>
      <c r="G61" s="70"/>
      <c r="H61" s="70"/>
      <c r="I61" s="38"/>
      <c r="J61" s="38"/>
      <c r="K61" s="38"/>
      <c r="L61" s="38"/>
      <c r="M61" s="38"/>
      <c r="N61" s="38"/>
      <c r="O61" s="38"/>
      <c r="P61" s="38"/>
      <c r="Q61" s="38"/>
      <c r="R61" s="58"/>
      <c r="S61" s="58"/>
      <c r="T61" s="58"/>
      <c r="U61" s="58"/>
      <c r="V61" s="58"/>
      <c r="W61" s="58"/>
      <c r="X61" s="58"/>
      <c r="Y61" s="58"/>
      <c r="Z61" s="435"/>
      <c r="AA61" s="346"/>
    </row>
    <row r="62" spans="1:27" ht="15.75" customHeight="1">
      <c r="A62" s="112"/>
      <c r="B62" s="111"/>
      <c r="C62" s="113"/>
      <c r="D62" s="126" t="s">
        <v>818</v>
      </c>
      <c r="E62" s="664">
        <v>22</v>
      </c>
      <c r="F62" s="738" t="s">
        <v>56</v>
      </c>
      <c r="G62" s="70"/>
      <c r="H62" s="70"/>
      <c r="I62" s="38"/>
      <c r="J62" s="38"/>
      <c r="K62" s="38"/>
      <c r="L62" s="38"/>
      <c r="M62" s="38"/>
      <c r="N62" s="38"/>
      <c r="O62" s="38"/>
      <c r="P62" s="38"/>
      <c r="Q62" s="38"/>
      <c r="R62" s="58"/>
      <c r="S62" s="58"/>
      <c r="T62" s="58"/>
      <c r="U62" s="58"/>
      <c r="V62" s="58"/>
      <c r="W62" s="58"/>
      <c r="X62" s="58"/>
      <c r="Y62" s="58"/>
      <c r="Z62" s="435"/>
      <c r="AA62" s="346"/>
    </row>
    <row r="63" spans="1:27" ht="15.75" customHeight="1">
      <c r="A63" s="112"/>
      <c r="B63" s="111"/>
      <c r="C63" s="113"/>
      <c r="D63" s="113" t="s">
        <v>819</v>
      </c>
      <c r="E63" s="663">
        <f>'Stability Calculations'!D66</f>
        <v>164.22407593575741</v>
      </c>
      <c r="F63" s="740" t="s">
        <v>15</v>
      </c>
      <c r="G63" s="70"/>
      <c r="H63" s="70"/>
      <c r="I63" s="38"/>
      <c r="J63" s="38"/>
      <c r="K63" s="38"/>
      <c r="L63" s="38"/>
      <c r="M63" s="38"/>
      <c r="N63" s="38"/>
      <c r="O63" s="38"/>
      <c r="P63" s="38"/>
      <c r="Q63" s="38"/>
      <c r="R63" s="58"/>
      <c r="S63" s="58"/>
      <c r="T63" s="58"/>
      <c r="U63" s="58"/>
      <c r="V63" s="693" t="s">
        <v>863</v>
      </c>
      <c r="W63" s="694">
        <f>Vin</f>
        <v>48</v>
      </c>
      <c r="X63" s="623" t="s">
        <v>0</v>
      </c>
      <c r="Y63" s="58"/>
      <c r="Z63" s="435"/>
      <c r="AA63" s="346"/>
    </row>
    <row r="64" spans="1:27" ht="15.75" customHeight="1" thickBot="1">
      <c r="A64" s="673"/>
      <c r="B64" s="128"/>
      <c r="C64" s="128"/>
      <c r="D64" s="439" t="s">
        <v>820</v>
      </c>
      <c r="E64" s="691">
        <v>47</v>
      </c>
      <c r="F64" s="692" t="s">
        <v>15</v>
      </c>
      <c r="G64" s="70"/>
      <c r="H64" s="70"/>
      <c r="I64" s="38"/>
      <c r="J64" s="38"/>
      <c r="K64" s="38"/>
      <c r="L64" s="38"/>
      <c r="M64" s="38"/>
      <c r="N64" s="38"/>
      <c r="O64" s="38"/>
      <c r="P64" s="38"/>
      <c r="Q64" s="38"/>
      <c r="R64" s="58"/>
      <c r="S64" s="58"/>
      <c r="T64" s="58"/>
      <c r="U64" s="58"/>
      <c r="V64" s="58"/>
      <c r="W64" s="58"/>
      <c r="X64" s="58"/>
      <c r="Y64" s="58"/>
      <c r="Z64" s="435"/>
      <c r="AA64" s="346"/>
    </row>
    <row r="65" spans="1:27" ht="15.75" customHeight="1">
      <c r="A65" s="112"/>
      <c r="B65" s="111"/>
      <c r="C65" s="111"/>
      <c r="D65" s="113"/>
      <c r="E65" s="113"/>
      <c r="F65" s="58"/>
      <c r="G65" s="70"/>
      <c r="H65" s="70"/>
      <c r="I65" s="38"/>
      <c r="J65" s="38"/>
      <c r="K65" s="38"/>
      <c r="L65" s="38"/>
      <c r="M65" s="38"/>
      <c r="N65" s="38"/>
      <c r="O65" s="38"/>
      <c r="P65" s="38"/>
      <c r="Q65" s="38"/>
      <c r="R65" s="58"/>
      <c r="S65" s="58"/>
      <c r="T65" s="58"/>
      <c r="U65" s="58"/>
      <c r="V65" s="58"/>
      <c r="W65" s="58"/>
      <c r="X65" s="58"/>
      <c r="Y65" s="58"/>
      <c r="Z65" s="435"/>
      <c r="AA65" s="346"/>
    </row>
    <row r="66" spans="1:27" ht="15.75" customHeight="1" thickBot="1">
      <c r="A66" s="85" t="s">
        <v>894</v>
      </c>
      <c r="B66" s="111"/>
      <c r="C66" s="111"/>
      <c r="D66" s="113"/>
      <c r="E66" s="113"/>
      <c r="F66" s="58"/>
      <c r="G66" s="772" t="s">
        <v>945</v>
      </c>
      <c r="H66" s="70"/>
      <c r="I66" s="38"/>
      <c r="J66" s="38"/>
      <c r="K66" s="38"/>
      <c r="L66" s="38"/>
      <c r="M66" s="38"/>
      <c r="N66" s="38"/>
      <c r="O66" s="38"/>
      <c r="P66" s="38"/>
      <c r="Q66" s="38"/>
      <c r="R66" s="58"/>
      <c r="S66" s="58"/>
      <c r="T66" s="58"/>
      <c r="U66" s="58"/>
      <c r="V66" s="58"/>
      <c r="W66" s="58"/>
      <c r="X66" s="58"/>
      <c r="Y66" s="58"/>
      <c r="Z66" s="435"/>
      <c r="AA66" s="346"/>
    </row>
    <row r="67" spans="1:27" ht="15.75" customHeight="1" thickBot="1">
      <c r="A67" s="387"/>
      <c r="B67" s="437"/>
      <c r="C67" s="437"/>
      <c r="D67" s="178" t="str">
        <f>CHOOSE(MODE, "Initial Csnb", "Inisitial Csnb1")</f>
        <v>Initial Csnb</v>
      </c>
      <c r="E67" s="178">
        <v>22</v>
      </c>
      <c r="F67" s="733" t="s">
        <v>15</v>
      </c>
      <c r="G67" s="70"/>
      <c r="H67" s="742"/>
      <c r="I67" s="743"/>
      <c r="J67" s="744"/>
      <c r="K67" s="745" t="s">
        <v>892</v>
      </c>
      <c r="L67" s="745">
        <v>22</v>
      </c>
      <c r="M67" s="685" t="s">
        <v>15</v>
      </c>
      <c r="N67" s="622"/>
      <c r="O67" s="38"/>
      <c r="P67" s="623"/>
      <c r="Q67" s="38"/>
      <c r="R67" s="58"/>
      <c r="S67" s="58"/>
      <c r="T67" s="58"/>
      <c r="U67" s="58"/>
      <c r="V67" s="58"/>
      <c r="W67" s="58"/>
      <c r="X67" s="58"/>
      <c r="Y67" s="58"/>
      <c r="Z67" s="435"/>
      <c r="AA67" s="346"/>
    </row>
    <row r="68" spans="1:27" ht="15.75" customHeight="1">
      <c r="A68" s="112"/>
      <c r="B68" s="111"/>
      <c r="C68" s="111"/>
      <c r="D68" s="113" t="s">
        <v>890</v>
      </c>
      <c r="E68" s="113">
        <f>(VIN_max/Npri_sec1+E10)*1.3</f>
        <v>84.5</v>
      </c>
      <c r="F68" s="739" t="s">
        <v>0</v>
      </c>
      <c r="G68" s="751"/>
      <c r="H68" s="746"/>
      <c r="I68" s="182"/>
      <c r="J68" s="184"/>
      <c r="K68" s="113" t="s">
        <v>890</v>
      </c>
      <c r="L68" s="737">
        <f>E8/Nps*Nsec1sec2+Vout</f>
        <v>94.473684210526315</v>
      </c>
      <c r="M68" s="747" t="s">
        <v>0</v>
      </c>
      <c r="N68" s="38"/>
      <c r="O68" s="38"/>
      <c r="P68" s="38"/>
      <c r="Q68" s="38"/>
      <c r="R68" s="58"/>
      <c r="S68" s="58"/>
      <c r="T68" s="58"/>
      <c r="U68" s="58"/>
      <c r="V68" s="58"/>
      <c r="W68" s="58"/>
      <c r="X68" s="58"/>
      <c r="Y68" s="58"/>
      <c r="Z68" s="435"/>
      <c r="AA68" s="346"/>
    </row>
    <row r="69" spans="1:27" ht="16.5" customHeight="1" thickBot="1">
      <c r="A69" s="112"/>
      <c r="B69" s="111"/>
      <c r="C69" s="111"/>
      <c r="D69" s="113" t="str">
        <f>CHOOSE(MODE, "Initial Rsnb", "Inisitial Rsnb1")</f>
        <v>Initial Rsnb</v>
      </c>
      <c r="E69" s="113">
        <v>100</v>
      </c>
      <c r="F69" s="739" t="s">
        <v>136</v>
      </c>
      <c r="G69" s="752"/>
      <c r="H69" s="69"/>
      <c r="I69" s="38"/>
      <c r="J69" s="57"/>
      <c r="K69" s="70" t="s">
        <v>893</v>
      </c>
      <c r="L69" s="70">
        <v>100</v>
      </c>
      <c r="M69" s="739" t="s">
        <v>136</v>
      </c>
      <c r="N69" s="38"/>
      <c r="O69" s="38"/>
      <c r="P69" s="38"/>
      <c r="Q69" s="38"/>
      <c r="R69" s="58"/>
      <c r="S69" s="58"/>
      <c r="T69" s="58"/>
      <c r="U69" s="58"/>
      <c r="V69" s="58"/>
      <c r="W69" s="58"/>
      <c r="X69" s="58"/>
      <c r="Y69" s="58"/>
      <c r="Z69" s="435"/>
      <c r="AA69" s="346"/>
    </row>
    <row r="70" spans="1:27" ht="15.75" customHeight="1" thickBot="1">
      <c r="A70" s="673"/>
      <c r="B70" s="128"/>
      <c r="C70" s="128"/>
      <c r="D70" s="436" t="s">
        <v>891</v>
      </c>
      <c r="E70" s="750">
        <f>E68*E68*E67*0.000000000001*350000*3</f>
        <v>0.16493977500000001</v>
      </c>
      <c r="F70" s="741" t="s">
        <v>45</v>
      </c>
      <c r="G70" s="70"/>
      <c r="H70" s="727"/>
      <c r="I70" s="433"/>
      <c r="J70" s="748"/>
      <c r="K70" s="436" t="s">
        <v>891</v>
      </c>
      <c r="L70" s="749">
        <f>L68*L68*L67*0.000000000001*350000*3</f>
        <v>0.20617389889196677</v>
      </c>
      <c r="M70" s="84" t="s">
        <v>45</v>
      </c>
      <c r="N70" s="38"/>
      <c r="O70" s="38"/>
      <c r="P70" s="38"/>
      <c r="Q70" s="38"/>
      <c r="R70" s="58"/>
      <c r="S70" s="58"/>
      <c r="T70" s="58"/>
      <c r="U70" s="58"/>
      <c r="V70" s="58"/>
      <c r="W70" s="58"/>
      <c r="X70" s="58"/>
      <c r="Y70" s="58"/>
      <c r="Z70" s="435"/>
      <c r="AA70" s="346"/>
    </row>
    <row r="71" spans="1:27" ht="15.75" customHeight="1">
      <c r="A71" s="112"/>
      <c r="B71" s="111"/>
      <c r="C71" s="111"/>
      <c r="D71" s="113"/>
      <c r="E71" s="113"/>
      <c r="F71" s="58"/>
      <c r="G71" s="70"/>
      <c r="H71" s="70"/>
      <c r="I71" s="38"/>
      <c r="J71" s="57"/>
      <c r="K71" s="38"/>
      <c r="L71" s="38"/>
      <c r="M71" s="38"/>
      <c r="N71" s="38"/>
      <c r="O71" s="38"/>
      <c r="P71" s="38"/>
      <c r="Q71" s="38"/>
      <c r="R71" s="58"/>
      <c r="S71" s="58"/>
      <c r="T71" s="58"/>
      <c r="U71" s="58"/>
      <c r="V71" s="58"/>
      <c r="W71" s="58"/>
      <c r="X71" s="58"/>
      <c r="Y71" s="58"/>
      <c r="Z71" s="435"/>
      <c r="AA71" s="346"/>
    </row>
    <row r="72" spans="1:27" ht="15.75" customHeight="1" thickBot="1">
      <c r="A72" s="85" t="s">
        <v>895</v>
      </c>
      <c r="B72" s="111"/>
      <c r="C72" s="111"/>
      <c r="D72" s="113"/>
      <c r="E72" s="113"/>
      <c r="F72" s="58"/>
      <c r="G72" s="70"/>
      <c r="H72" s="70"/>
      <c r="I72" s="38"/>
      <c r="J72" s="57"/>
      <c r="K72" s="38"/>
      <c r="L72" s="38"/>
      <c r="M72" s="38"/>
      <c r="N72" s="38"/>
      <c r="O72" s="38"/>
      <c r="P72" s="38"/>
      <c r="Q72" s="38"/>
      <c r="R72" s="58"/>
      <c r="S72" s="58"/>
      <c r="T72" s="58"/>
      <c r="U72" s="58"/>
      <c r="V72" s="58"/>
      <c r="W72" s="58"/>
      <c r="X72" s="58"/>
      <c r="Y72" s="58"/>
      <c r="Z72" s="435"/>
      <c r="AA72" s="346"/>
    </row>
    <row r="73" spans="1:27" ht="15.75" customHeight="1" thickBot="1">
      <c r="A73" s="387"/>
      <c r="B73" s="437"/>
      <c r="C73" s="437"/>
      <c r="D73" s="696" t="str">
        <f>CHOOSE(MODE, "Min Load Current, IOUT_min ", "Min Load Current, IOUT1_min")</f>
        <v xml:space="preserve">Min Load Current, IOUT_min </v>
      </c>
      <c r="E73" s="756">
        <v>5.0000000000000001E-4</v>
      </c>
      <c r="F73" s="757" t="s">
        <v>1</v>
      </c>
      <c r="G73" s="70"/>
      <c r="H73" s="361"/>
      <c r="I73" s="502"/>
      <c r="J73" s="502"/>
      <c r="K73" s="674" t="str">
        <f>CHOOSE(MODE, " ", "Min Load Current, IOUT2min")</f>
        <v xml:space="preserve"> </v>
      </c>
      <c r="L73" s="766">
        <v>5.0000000000000001E-4</v>
      </c>
      <c r="M73" s="759" t="str">
        <f>CHOOSE(MODE, "", "A")</f>
        <v/>
      </c>
      <c r="N73" s="38"/>
      <c r="O73" s="38"/>
      <c r="P73" s="38"/>
      <c r="Q73" s="38"/>
      <c r="R73" s="58"/>
      <c r="S73" s="58"/>
      <c r="T73" s="58"/>
      <c r="U73" s="58"/>
      <c r="V73" s="58"/>
      <c r="W73" s="58"/>
      <c r="X73" s="58"/>
      <c r="Y73" s="58"/>
      <c r="Z73" s="435"/>
      <c r="AA73" s="346"/>
    </row>
    <row r="74" spans="1:27" ht="15.75" customHeight="1">
      <c r="A74" s="112"/>
      <c r="B74" s="111"/>
      <c r="C74" s="111"/>
      <c r="D74" s="126" t="str">
        <f>CHOOSE(MODE, "Max VOUT Limit","Max VOUT1 Limit")</f>
        <v>Max VOUT Limit</v>
      </c>
      <c r="E74" s="753">
        <v>18</v>
      </c>
      <c r="F74" s="758" t="s">
        <v>0</v>
      </c>
      <c r="G74" s="751"/>
      <c r="H74" s="69"/>
      <c r="I74" s="38"/>
      <c r="J74" s="38"/>
      <c r="K74" s="67" t="str">
        <f>CHOOSE(MODE,"","Max Output Voltage Limit, VOUT2max")</f>
        <v/>
      </c>
      <c r="L74" s="767">
        <v>31</v>
      </c>
      <c r="M74" s="760" t="str">
        <f>CHOOSE(MODE,"","V")</f>
        <v/>
      </c>
      <c r="N74" s="38"/>
      <c r="O74" s="38"/>
      <c r="P74" s="38"/>
      <c r="Q74" s="38"/>
      <c r="R74" s="58"/>
      <c r="S74" s="58"/>
      <c r="T74" s="58"/>
      <c r="U74" s="58"/>
      <c r="V74" s="58"/>
      <c r="W74" s="58"/>
      <c r="X74" s="58"/>
      <c r="Y74" s="58"/>
      <c r="Z74" s="435"/>
      <c r="AA74" s="346"/>
    </row>
    <row r="75" spans="1:27" ht="15.75" customHeight="1">
      <c r="A75" s="112"/>
      <c r="B75" s="111"/>
      <c r="C75" s="111"/>
      <c r="D75" s="113" t="str">
        <f>CHOOSE(MODE," Zener Clamp Dz or Dymmy Load Rdmy","Zener Clamp Dz1 or Dummy Load Rdmy1")</f>
        <v xml:space="preserve"> Zener Clamp Dz or Dymmy Load Rdmy</v>
      </c>
      <c r="E75" s="720" t="str">
        <f>CHOOSE(MODE, IF('Calculations - Single'!G329="Yes",IF(E74&gt;ROUND(Vout*11.25,0)/10, IF(E74/E10&gt;1.4,"None", "Dz"), "Rdmy"), "None"), IF('Calculations - Dual'!G329="Yes",IF(E74&gt;ROUND(Vout*11.25,0)/10, IF(E74/E10&gt;1.4,"None","Dz1"), "Rdmy1"), "None"))</f>
        <v>None</v>
      </c>
      <c r="F75" s="739"/>
      <c r="G75" s="765"/>
      <c r="H75" s="69"/>
      <c r="I75" s="38"/>
      <c r="J75" s="38"/>
      <c r="K75" s="68" t="str">
        <f>CHOOSE(MODE,"","Zener Clamp Dz2 or Dummy Load Rdmy2")</f>
        <v/>
      </c>
      <c r="L75" s="768" t="str">
        <f>CHOOSE(MODE, "", IF('Calculations - Dual'!N329="Yes",IF(ABS(L74)&gt;ROUND(Vout2*11.25,0)/10, IF(L74/Vout2&gt;1.4,"None","Dz2"), "Rdmy2"), "None"))</f>
        <v/>
      </c>
      <c r="M75" s="761"/>
      <c r="N75" s="38"/>
      <c r="O75" s="38"/>
      <c r="P75" s="38"/>
      <c r="Q75" s="38"/>
      <c r="R75" s="58"/>
      <c r="S75" s="58"/>
      <c r="T75" s="58"/>
      <c r="U75" s="58"/>
      <c r="V75" s="58"/>
      <c r="W75" s="58"/>
      <c r="X75" s="58"/>
      <c r="Y75" s="58"/>
      <c r="Z75" s="435"/>
      <c r="AA75" s="346"/>
    </row>
    <row r="76" spans="1:27" ht="15.75" customHeight="1" thickBot="1">
      <c r="A76" s="112"/>
      <c r="B76" s="111"/>
      <c r="C76" s="111"/>
      <c r="D76" s="113" t="s">
        <v>959</v>
      </c>
      <c r="E76" s="783" t="str">
        <f>CHOOSE(MODE,IF(OR(E75="Rdmy",E75="Rdmy1"),'Standard Value Calculator'!J23,IF(E75="None","None",ROUND(E74/0.0105,0)/100)),IF(OR(E75="Rdmy",E75="Rdmy1"),'Standard Value Calculator'!J24,IF(E75="None","None",ROUND(E74/0.0105,0)/100)))</f>
        <v>None</v>
      </c>
      <c r="F76" s="739" t="str">
        <f>IF(OR(E75="DZ", E75="DZ1"), "V", IF(OR(E75="Rdmy", E75="Rdmy1"),"Ohm", ""))</f>
        <v/>
      </c>
      <c r="G76" s="752"/>
      <c r="H76" s="746"/>
      <c r="I76" s="182"/>
      <c r="J76" s="184"/>
      <c r="K76" s="68" t="str">
        <f>CHOOSE(MODE, "", "Selection "&amp;IF(L75="Dz", "Zener Clamp (5%)", IF(L75="Rdym", "Dummy Load (1%)", "")))</f>
        <v/>
      </c>
      <c r="L76" s="328" t="str">
        <f>CHOOSE(MODE,"",IF(L75="Rdmy2",'Standard Value Calculator'!J25,IF(L75="None","None",ROUND(ABS(L74)/0.0105,0)/100)))</f>
        <v/>
      </c>
      <c r="M76" s="714" t="str">
        <f>IF(L75="DZ2", "V", IF(L75="Rdmy2","Ohm", ""))</f>
        <v/>
      </c>
      <c r="N76" s="38"/>
      <c r="O76" s="38"/>
      <c r="P76" s="38"/>
      <c r="Q76" s="38"/>
      <c r="R76" s="58"/>
      <c r="S76" s="58"/>
      <c r="T76" s="58"/>
      <c r="U76" s="58"/>
      <c r="V76" s="58"/>
      <c r="W76" s="58"/>
      <c r="X76" s="58"/>
      <c r="Y76" s="58"/>
      <c r="Z76" s="435"/>
      <c r="AA76" s="346"/>
    </row>
    <row r="77" spans="1:27" ht="15.75" customHeight="1" thickBot="1">
      <c r="A77" s="673"/>
      <c r="B77" s="128"/>
      <c r="C77" s="128"/>
      <c r="D77" s="436" t="s">
        <v>897</v>
      </c>
      <c r="E77" s="436" t="str">
        <f>IF(OR(E75="Rdmy",E75="Rdmy1"),(Vout*1.08)^2/E76*4, IF(OR(E75="Dz",E75="Dz1"), E76*1.065*E73*4*1*0+'Standard Value Calculator'!I27*5, "N/A"))</f>
        <v>N/A</v>
      </c>
      <c r="F77" s="741" t="s">
        <v>45</v>
      </c>
      <c r="G77" s="70"/>
      <c r="H77" s="762"/>
      <c r="I77" s="763"/>
      <c r="J77" s="764"/>
      <c r="K77" s="179" t="str">
        <f>CHOOSE(MODE, "", "Selected Device Min Power Rating&gt;")</f>
        <v/>
      </c>
      <c r="L77" s="482" t="str">
        <f>CHOOSE(MODE, "", IF(L75="Rdmy2",(Vout2*1.08)^2/L76*4, IF(L75="Dz2", ABS(L60*1.065*L73*4*0+'Standard Value Calculator'!I29*5), "")))</f>
        <v/>
      </c>
      <c r="M77" s="540" t="str">
        <f>CHOOSE(MODE, "", "W")</f>
        <v/>
      </c>
      <c r="N77" s="38"/>
      <c r="O77" s="38"/>
      <c r="P77" s="38"/>
      <c r="Q77" s="38"/>
      <c r="R77" s="58"/>
      <c r="S77" s="58"/>
      <c r="T77" s="58"/>
      <c r="U77" s="58"/>
      <c r="V77" s="58"/>
      <c r="W77" s="58"/>
      <c r="X77" s="58"/>
      <c r="Y77" s="58"/>
      <c r="Z77" s="435"/>
      <c r="AA77" s="346"/>
    </row>
    <row r="78" spans="1:27" ht="15.75" customHeight="1">
      <c r="A78" s="112"/>
      <c r="B78" s="111"/>
      <c r="C78" s="111"/>
      <c r="D78" s="113"/>
      <c r="E78" s="113"/>
      <c r="F78" s="58"/>
      <c r="G78" s="70"/>
      <c r="H78" s="113"/>
      <c r="I78" s="182"/>
      <c r="J78" s="184"/>
      <c r="K78" s="58"/>
      <c r="L78" s="58"/>
      <c r="M78" s="38"/>
      <c r="N78" s="38"/>
      <c r="O78" s="38"/>
      <c r="P78" s="38"/>
      <c r="Q78" s="38"/>
      <c r="R78" s="58"/>
      <c r="S78" s="58"/>
      <c r="T78" s="58"/>
      <c r="U78" s="58"/>
      <c r="V78" s="58"/>
      <c r="W78" s="58"/>
      <c r="X78" s="58"/>
      <c r="Y78" s="58"/>
      <c r="Z78" s="435"/>
      <c r="AA78" s="346"/>
    </row>
    <row r="79" spans="1:27" ht="15.75" customHeight="1" thickBot="1">
      <c r="A79" s="388" t="s">
        <v>896</v>
      </c>
      <c r="B79" s="70"/>
      <c r="C79" s="70"/>
      <c r="D79" s="68"/>
      <c r="E79" s="78"/>
      <c r="F79" s="70"/>
      <c r="G79" s="70"/>
      <c r="H79" s="113"/>
      <c r="I79" s="182"/>
      <c r="J79" s="184"/>
      <c r="K79" s="58"/>
      <c r="L79" s="58"/>
      <c r="M79" s="38"/>
      <c r="N79" s="38"/>
      <c r="O79" s="38"/>
      <c r="P79" s="38"/>
      <c r="Q79" s="38"/>
      <c r="R79" s="58"/>
      <c r="S79" s="58"/>
      <c r="T79" s="58"/>
      <c r="U79" s="58"/>
      <c r="V79" s="58"/>
      <c r="W79" s="58"/>
      <c r="X79" s="58"/>
      <c r="Y79" s="58"/>
      <c r="Z79" s="435"/>
      <c r="AA79" s="346"/>
    </row>
    <row r="80" spans="1:27" ht="15.75" customHeight="1">
      <c r="A80" s="487"/>
      <c r="B80" s="430"/>
      <c r="C80" s="430"/>
      <c r="D80" s="488" t="s">
        <v>924</v>
      </c>
      <c r="E80" s="491">
        <v>0.4</v>
      </c>
      <c r="F80" s="489" t="s">
        <v>0</v>
      </c>
      <c r="G80" s="70"/>
      <c r="H80" s="113"/>
      <c r="I80" s="182"/>
      <c r="J80" s="184"/>
      <c r="K80" s="58"/>
      <c r="L80" s="58"/>
      <c r="M80" s="38"/>
      <c r="N80" s="38"/>
      <c r="O80" s="38"/>
      <c r="P80" s="38"/>
      <c r="Q80" s="38"/>
      <c r="R80" s="58"/>
      <c r="S80" s="58"/>
      <c r="T80" s="58"/>
      <c r="U80" s="58"/>
      <c r="V80" s="58"/>
      <c r="W80" s="58"/>
      <c r="X80" s="58"/>
      <c r="Y80" s="58"/>
      <c r="Z80" s="435"/>
      <c r="AA80" s="346"/>
    </row>
    <row r="81" spans="1:35" ht="15.75" customHeight="1">
      <c r="A81" s="364"/>
      <c r="B81" s="58"/>
      <c r="C81" s="58"/>
      <c r="D81" s="718" t="s">
        <v>925</v>
      </c>
      <c r="E81" s="59">
        <f>L31</f>
        <v>0.7</v>
      </c>
      <c r="F81" s="539" t="s">
        <v>0</v>
      </c>
      <c r="G81" s="70"/>
      <c r="H81" s="113"/>
      <c r="I81" s="182"/>
      <c r="J81" s="184"/>
      <c r="K81" s="58"/>
      <c r="L81" s="58"/>
      <c r="M81" s="38"/>
      <c r="N81" s="38"/>
      <c r="O81" s="38"/>
      <c r="P81" s="38"/>
      <c r="Q81" s="38"/>
      <c r="R81" s="58"/>
      <c r="S81" s="58"/>
      <c r="T81" s="58"/>
      <c r="U81" s="58"/>
      <c r="V81" s="58"/>
      <c r="W81" s="58"/>
      <c r="X81" s="58"/>
      <c r="Y81" s="58"/>
      <c r="Z81" s="435"/>
      <c r="AA81" s="346"/>
    </row>
    <row r="82" spans="1:35" ht="15.75" customHeight="1">
      <c r="A82" s="69"/>
      <c r="B82" s="111"/>
      <c r="C82" s="111"/>
      <c r="D82" s="113" t="s">
        <v>958</v>
      </c>
      <c r="E82" s="782">
        <v>52.8</v>
      </c>
      <c r="F82" s="781" t="s">
        <v>84</v>
      </c>
      <c r="G82" s="70"/>
      <c r="H82" s="113"/>
      <c r="I82" s="182"/>
      <c r="J82" s="184"/>
      <c r="K82" s="58"/>
      <c r="L82" s="58"/>
      <c r="M82" s="38"/>
      <c r="N82" s="38"/>
      <c r="O82" s="38"/>
      <c r="P82" s="38"/>
      <c r="Q82" s="38"/>
      <c r="R82" s="58"/>
      <c r="S82" s="58"/>
      <c r="T82" s="58"/>
      <c r="U82" s="58"/>
      <c r="V82" s="58"/>
      <c r="W82" s="58"/>
      <c r="X82" s="58"/>
      <c r="Y82" s="58"/>
      <c r="Z82" s="435"/>
      <c r="AA82" s="346"/>
    </row>
    <row r="83" spans="1:35" ht="15.75" customHeight="1">
      <c r="A83" s="69"/>
      <c r="B83" s="70"/>
      <c r="C83" s="70"/>
      <c r="D83" s="67" t="s">
        <v>505</v>
      </c>
      <c r="E83" s="486">
        <v>85</v>
      </c>
      <c r="F83" s="366" t="s">
        <v>102</v>
      </c>
      <c r="G83" s="70"/>
      <c r="H83" s="113"/>
      <c r="I83" s="182"/>
      <c r="J83" s="184"/>
      <c r="K83" s="58"/>
      <c r="L83" s="58"/>
      <c r="M83" s="38"/>
      <c r="N83" s="38"/>
      <c r="O83" s="38"/>
      <c r="P83" s="38"/>
      <c r="Q83" s="38"/>
      <c r="R83" s="58"/>
      <c r="S83" s="58"/>
      <c r="T83" s="58"/>
      <c r="U83" s="58"/>
      <c r="V83" s="58"/>
      <c r="W83" s="58"/>
      <c r="X83" s="58"/>
      <c r="Y83" s="58"/>
      <c r="Z83" s="435"/>
      <c r="AA83" s="346"/>
    </row>
    <row r="84" spans="1:35" ht="15.75" customHeight="1">
      <c r="A84" s="69"/>
      <c r="B84" s="70"/>
      <c r="C84" s="70"/>
      <c r="D84" s="68" t="s">
        <v>779</v>
      </c>
      <c r="E84" s="313">
        <f>CHOOSE(MODE, 'Calculations - Single'!BL105, 'Calculations - Dual'!BJ105)</f>
        <v>198.74234672238728</v>
      </c>
      <c r="F84" s="82" t="s">
        <v>293</v>
      </c>
      <c r="G84" s="70"/>
      <c r="H84" s="113"/>
      <c r="I84" s="182"/>
      <c r="J84" s="184"/>
      <c r="K84" s="58"/>
      <c r="L84" s="58"/>
      <c r="M84" s="38"/>
      <c r="N84" s="38"/>
      <c r="O84" s="38"/>
      <c r="P84" s="38"/>
      <c r="Q84" s="38"/>
      <c r="R84" s="58"/>
      <c r="S84" s="58"/>
      <c r="T84" s="58"/>
      <c r="U84" s="58"/>
      <c r="V84" s="58"/>
      <c r="W84" s="58"/>
      <c r="X84" s="58"/>
      <c r="Y84" s="58"/>
      <c r="Z84" s="435"/>
      <c r="AA84" s="346"/>
    </row>
    <row r="85" spans="1:35" ht="15.75" customHeight="1" thickBot="1">
      <c r="A85" s="80"/>
      <c r="B85" s="81"/>
      <c r="C85" s="81"/>
      <c r="D85" s="315" t="s">
        <v>780</v>
      </c>
      <c r="E85" s="441">
        <f>E83+E84/1000*ThetaJA</f>
        <v>95.493595906942048</v>
      </c>
      <c r="F85" s="369" t="s">
        <v>102</v>
      </c>
      <c r="G85" s="70"/>
      <c r="H85" s="113"/>
      <c r="I85" s="182"/>
      <c r="J85" s="184"/>
      <c r="K85" s="58"/>
      <c r="L85" s="58"/>
      <c r="M85" s="38"/>
      <c r="N85" s="38"/>
      <c r="O85" s="38"/>
      <c r="P85" s="38"/>
      <c r="Q85" s="38"/>
      <c r="R85" s="58"/>
      <c r="S85" s="58"/>
      <c r="T85" s="58"/>
      <c r="U85" s="58"/>
      <c r="V85" s="58"/>
      <c r="W85" s="58"/>
      <c r="X85" s="58"/>
      <c r="Y85" s="58"/>
      <c r="Z85" s="435"/>
      <c r="AA85" s="346"/>
    </row>
    <row r="86" spans="1:35" ht="15.75" customHeight="1" thickBot="1">
      <c r="A86" s="80"/>
      <c r="B86" s="83"/>
      <c r="C86" s="83"/>
      <c r="D86" s="83"/>
      <c r="E86" s="482"/>
      <c r="F86" s="83"/>
      <c r="G86" s="83"/>
      <c r="H86" s="83"/>
      <c r="I86" s="433"/>
      <c r="J86" s="433"/>
      <c r="K86" s="433"/>
      <c r="L86" s="433"/>
      <c r="M86" s="433"/>
      <c r="N86" s="433"/>
      <c r="O86" s="433"/>
      <c r="P86" s="433"/>
      <c r="Q86" s="433"/>
      <c r="R86" s="431"/>
      <c r="S86" s="431"/>
      <c r="T86" s="431"/>
      <c r="U86" s="432"/>
      <c r="V86" s="432"/>
      <c r="W86" s="431"/>
      <c r="X86" s="431"/>
      <c r="Y86" s="431"/>
      <c r="Z86" s="483"/>
      <c r="AA86" s="346"/>
      <c r="AB86" s="18"/>
      <c r="AC86" s="18"/>
      <c r="AD86" s="18"/>
      <c r="AG86" s="18"/>
      <c r="AH86" s="18"/>
      <c r="AI86" s="18"/>
    </row>
    <row r="87" spans="1:35">
      <c r="A87" s="354"/>
      <c r="B87" s="355"/>
      <c r="C87" s="356"/>
      <c r="D87" s="356"/>
      <c r="E87" s="356"/>
      <c r="F87" s="356"/>
      <c r="G87" s="356"/>
      <c r="H87" s="356"/>
      <c r="I87" s="356"/>
      <c r="J87" s="356"/>
      <c r="K87" s="356"/>
      <c r="L87" s="356"/>
      <c r="M87" s="356"/>
      <c r="N87" s="356"/>
      <c r="O87" s="356"/>
      <c r="P87" s="356"/>
      <c r="Q87" s="356"/>
      <c r="R87" s="353"/>
      <c r="S87" s="353"/>
      <c r="T87" s="353"/>
      <c r="U87" s="346"/>
      <c r="V87" s="346"/>
      <c r="W87" s="353"/>
      <c r="X87" s="353"/>
      <c r="Y87" s="353"/>
      <c r="Z87" s="346"/>
      <c r="AA87" s="346"/>
      <c r="AB87" s="18"/>
      <c r="AC87" s="18"/>
      <c r="AD87" s="18"/>
      <c r="AG87" s="18"/>
      <c r="AH87" s="18"/>
      <c r="AI87" s="18"/>
    </row>
    <row r="88" spans="1:35">
      <c r="A88" s="35"/>
      <c r="K88" s="35" t="s">
        <v>849</v>
      </c>
      <c r="R88" s="18"/>
      <c r="S88" s="18"/>
      <c r="T88" s="18"/>
      <c r="W88" s="18"/>
      <c r="X88" s="18"/>
      <c r="Y88" s="18"/>
      <c r="AB88" s="18"/>
      <c r="AC88" s="18"/>
      <c r="AD88" s="18"/>
      <c r="AG88" s="18"/>
      <c r="AH88" s="18"/>
      <c r="AI88" s="18"/>
    </row>
    <row r="89" spans="1:35">
      <c r="R89" s="18"/>
      <c r="S89" s="18"/>
      <c r="T89" s="18"/>
      <c r="W89" s="18"/>
      <c r="X89" s="18"/>
      <c r="Y89" s="18"/>
      <c r="AB89" s="18"/>
      <c r="AC89" s="18"/>
      <c r="AD89" s="18"/>
      <c r="AG89" s="18"/>
      <c r="AH89" s="18"/>
      <c r="AI89" s="18"/>
    </row>
    <row r="90" spans="1:35">
      <c r="R90" s="18"/>
      <c r="S90" s="18"/>
      <c r="T90" s="18"/>
      <c r="W90" s="18"/>
      <c r="X90" s="18"/>
      <c r="Y90" s="18"/>
      <c r="AB90" s="18"/>
      <c r="AC90" s="18"/>
      <c r="AD90" s="18"/>
      <c r="AG90" s="18"/>
      <c r="AH90" s="18"/>
      <c r="AI90" s="18"/>
    </row>
    <row r="91" spans="1:35">
      <c r="R91" s="18"/>
      <c r="S91" s="18"/>
      <c r="T91" s="18"/>
      <c r="W91" s="18"/>
      <c r="X91" s="18"/>
      <c r="Y91" s="18"/>
      <c r="AB91" s="18"/>
      <c r="AC91" s="18"/>
      <c r="AD91" s="18"/>
      <c r="AG91" s="18"/>
      <c r="AH91" s="18"/>
      <c r="AI91" s="18"/>
    </row>
    <row r="92" spans="1:35">
      <c r="R92" s="18"/>
      <c r="S92" s="18"/>
      <c r="T92" s="18"/>
      <c r="W92" s="18"/>
      <c r="X92" s="18"/>
      <c r="Y92" s="18"/>
      <c r="AB92" s="18"/>
      <c r="AC92" s="18"/>
      <c r="AD92" s="18"/>
      <c r="AG92" s="18"/>
      <c r="AH92" s="18"/>
      <c r="AI92" s="18"/>
    </row>
  </sheetData>
  <sheetProtection algorithmName="SHA-512" hashValue="Sk+SkT6Lk/8Q0+YFQX3UcaCptwzFF7tlQ+F707yXLSKW4rcu2tVjAJdyknIe/5s49J+/wLoSSRxN4R5P9KvPOA==" saltValue="ggJkC+AbmD1efsCHBmxP4Q==" spinCount="100000" sheet="1" selectLockedCells="1"/>
  <phoneticPr fontId="6" type="noConversion"/>
  <conditionalFormatting sqref="C50:E50">
    <cfRule type="expression" dxfId="73" priority="20">
      <formula>OR(MODE_UVLO=2)</formula>
    </cfRule>
  </conditionalFormatting>
  <conditionalFormatting sqref="C51:E51">
    <cfRule type="expression" dxfId="72" priority="19">
      <formula>OR(MODE_UVLO=2)</formula>
    </cfRule>
  </conditionalFormatting>
  <conditionalFormatting sqref="D42">
    <cfRule type="expression" dxfId="71" priority="118">
      <formula>OR(MODE_SS=2,MODE_SS=3)</formula>
    </cfRule>
  </conditionalFormatting>
  <conditionalFormatting sqref="D45">
    <cfRule type="expression" dxfId="70" priority="64">
      <formula>OR(TC=2)</formula>
    </cfRule>
  </conditionalFormatting>
  <conditionalFormatting sqref="D48">
    <cfRule type="expression" dxfId="69" priority="115">
      <formula>MODE_UVLO=2</formula>
    </cfRule>
  </conditionalFormatting>
  <conditionalFormatting sqref="D43:F43">
    <cfRule type="expression" dxfId="68" priority="117">
      <formula>OR(MODE_SS=2,MODE_SS=3)</formula>
    </cfRule>
  </conditionalFormatting>
  <conditionalFormatting sqref="E6">
    <cfRule type="cellIs" dxfId="67" priority="8" operator="notBetween">
      <formula>4.5</formula>
      <formula>100</formula>
    </cfRule>
  </conditionalFormatting>
  <conditionalFormatting sqref="E7">
    <cfRule type="cellIs" dxfId="66" priority="7" operator="notBetween">
      <formula>$E$6</formula>
      <formula>100</formula>
    </cfRule>
  </conditionalFormatting>
  <conditionalFormatting sqref="E8">
    <cfRule type="cellIs" dxfId="65" priority="41" operator="notBetween">
      <formula>$E$7</formula>
      <formula>100</formula>
    </cfRule>
  </conditionalFormatting>
  <conditionalFormatting sqref="E10">
    <cfRule type="cellIs" dxfId="64" priority="148" stopIfTrue="1" operator="notBetween">
      <formula>-200</formula>
      <formula>200</formula>
    </cfRule>
  </conditionalFormatting>
  <conditionalFormatting sqref="E12">
    <cfRule type="cellIs" dxfId="63" priority="75" operator="notBetween">
      <formula>-200</formula>
      <formula>200</formula>
    </cfRule>
  </conditionalFormatting>
  <conditionalFormatting sqref="E13">
    <cfRule type="expression" dxfId="61" priority="74">
      <formula>($E$12*$E$13)&lt;0</formula>
    </cfRule>
  </conditionalFormatting>
  <conditionalFormatting sqref="E17">
    <cfRule type="cellIs" dxfId="60" priority="38" stopIfTrue="1" operator="greaterThan">
      <formula>$E$16</formula>
    </cfRule>
  </conditionalFormatting>
  <conditionalFormatting sqref="E23">
    <cfRule type="cellIs" dxfId="59" priority="198" stopIfTrue="1" operator="lessThan">
      <formula>$E$22</formula>
    </cfRule>
  </conditionalFormatting>
  <conditionalFormatting sqref="E30">
    <cfRule type="cellIs" dxfId="58" priority="141" stopIfTrue="1" operator="lessThan">
      <formula>$E$29</formula>
    </cfRule>
  </conditionalFormatting>
  <conditionalFormatting sqref="E31">
    <cfRule type="cellIs" dxfId="57" priority="140" stopIfTrue="1" operator="equal">
      <formula>0</formula>
    </cfRule>
  </conditionalFormatting>
  <conditionalFormatting sqref="E34">
    <cfRule type="cellIs" dxfId="56" priority="145" stopIfTrue="1" operator="lessThan">
      <formula>$E$33</formula>
    </cfRule>
  </conditionalFormatting>
  <conditionalFormatting sqref="E35">
    <cfRule type="cellIs" dxfId="55" priority="69" stopIfTrue="1" operator="equal">
      <formula>0</formula>
    </cfRule>
  </conditionalFormatting>
  <conditionalFormatting sqref="E40">
    <cfRule type="cellIs" dxfId="54" priority="4" operator="notBetween">
      <formula>$E$39*0.969</formula>
      <formula>$E$39*1.031</formula>
    </cfRule>
  </conditionalFormatting>
  <conditionalFormatting sqref="E42">
    <cfRule type="cellIs" dxfId="53" priority="135" operator="lessThan">
      <formula>6</formula>
    </cfRule>
  </conditionalFormatting>
  <conditionalFormatting sqref="E48">
    <cfRule type="cellIs" dxfId="52" priority="137" operator="notBetween">
      <formula>100</formula>
      <formula>4.5</formula>
    </cfRule>
    <cfRule type="cellIs" dxfId="51" priority="3" operator="greaterThanOrEqual">
      <formula>$E$6</formula>
    </cfRule>
  </conditionalFormatting>
  <conditionalFormatting sqref="E49">
    <cfRule type="cellIs" dxfId="50" priority="1" operator="notBetween">
      <formula>4.5</formula>
      <formula>100</formula>
    </cfRule>
    <cfRule type="cellIs" dxfId="49" priority="2" operator="greaterThanOrEqual">
      <formula>$E$48</formula>
    </cfRule>
  </conditionalFormatting>
  <conditionalFormatting sqref="E58">
    <cfRule type="cellIs" dxfId="48" priority="25" operator="greaterThan">
      <formula>$E$57</formula>
    </cfRule>
  </conditionalFormatting>
  <conditionalFormatting sqref="E74">
    <cfRule type="cellIs" dxfId="47" priority="6" operator="lessThan">
      <formula>$E$10*1.03</formula>
    </cfRule>
  </conditionalFormatting>
  <conditionalFormatting sqref="E80">
    <cfRule type="cellIs" dxfId="46" priority="12" operator="greaterThan">
      <formula>$E$81</formula>
    </cfRule>
  </conditionalFormatting>
  <conditionalFormatting sqref="E83">
    <cfRule type="cellIs" dxfId="45" priority="96" operator="notBetween">
      <formula>-40</formula>
      <formula>150</formula>
    </cfRule>
  </conditionalFormatting>
  <conditionalFormatting sqref="E85">
    <cfRule type="cellIs" dxfId="44" priority="97" operator="notBetween">
      <formula>-40</formula>
      <formula>150</formula>
    </cfRule>
  </conditionalFormatting>
  <conditionalFormatting sqref="E42:F42">
    <cfRule type="expression" dxfId="43" priority="119">
      <formula>OR(MODE_SS=2,MODE_SS=3)</formula>
    </cfRule>
  </conditionalFormatting>
  <conditionalFormatting sqref="E45:F45 D46:F46">
    <cfRule type="expression" dxfId="42" priority="63">
      <formula>OR(TC=2)</formula>
    </cfRule>
  </conditionalFormatting>
  <conditionalFormatting sqref="E48:F49">
    <cfRule type="expression" dxfId="41" priority="21">
      <formula>OR(MODE_UVLO=2)</formula>
    </cfRule>
  </conditionalFormatting>
  <conditionalFormatting sqref="F29">
    <cfRule type="cellIs" dxfId="39" priority="77" stopIfTrue="1" operator="lessThanOrEqual">
      <formula>0</formula>
    </cfRule>
  </conditionalFormatting>
  <conditionalFormatting sqref="F33">
    <cfRule type="cellIs" dxfId="38" priority="95" stopIfTrue="1" operator="lessThanOrEqual">
      <formula>0</formula>
    </cfRule>
  </conditionalFormatting>
  <conditionalFormatting sqref="F50:F51">
    <cfRule type="expression" dxfId="37" priority="87">
      <formula>MODE_UVLO=2</formula>
    </cfRule>
  </conditionalFormatting>
  <conditionalFormatting sqref="J51:J52">
    <cfRule type="cellIs" dxfId="32" priority="160" stopIfTrue="1" operator="greaterThan">
      <formula>$E$9</formula>
    </cfRule>
    <cfRule type="cellIs" dxfId="31" priority="159" stopIfTrue="1" operator="notBetween">
      <formula>600</formula>
      <formula>50</formula>
    </cfRule>
  </conditionalFormatting>
  <conditionalFormatting sqref="L34">
    <cfRule type="cellIs" dxfId="21" priority="59" stopIfTrue="1" operator="lessThan">
      <formula>$L$33</formula>
    </cfRule>
  </conditionalFormatting>
  <conditionalFormatting sqref="L35">
    <cfRule type="cellIs" dxfId="20" priority="57" stopIfTrue="1" operator="equal">
      <formula>0</formula>
    </cfRule>
  </conditionalFormatting>
  <conditionalFormatting sqref="L74">
    <cfRule type="cellIs" dxfId="19" priority="5" operator="lessThan">
      <formula>$E$12*1.03</formula>
    </cfRule>
  </conditionalFormatting>
  <conditionalFormatting sqref="M33">
    <cfRule type="cellIs" dxfId="15" priority="58" stopIfTrue="1" operator="lessThanOrEqual">
      <formula>0</formula>
    </cfRule>
  </conditionalFormatting>
  <conditionalFormatting sqref="S31">
    <cfRule type="cellIs" dxfId="13" priority="13" operator="notBetween">
      <formula>0.3</formula>
      <formula>1.5</formula>
    </cfRule>
  </conditionalFormatting>
  <conditionalFormatting sqref="W63">
    <cfRule type="cellIs" dxfId="12" priority="44" stopIfTrue="1" operator="notBetween">
      <formula>100</formula>
      <formula>4.5</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87"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1583" r:id="rId6" name="Drop Down 6111">
              <controlPr defaultSize="0" autoLine="0" autoPict="0">
                <anchor moveWithCells="1">
                  <from>
                    <xdr:col>24</xdr:col>
                    <xdr:colOff>304800</xdr:colOff>
                    <xdr:row>0</xdr:row>
                    <xdr:rowOff>409575</xdr:rowOff>
                  </from>
                  <to>
                    <xdr:col>25</xdr:col>
                    <xdr:colOff>219075</xdr:colOff>
                    <xdr:row>1</xdr:row>
                    <xdr:rowOff>66675</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9525</xdr:colOff>
                    <xdr:row>40</xdr:row>
                    <xdr:rowOff>0</xdr:rowOff>
                  </from>
                  <to>
                    <xdr:col>5</xdr:col>
                    <xdr:colOff>276225</xdr:colOff>
                    <xdr:row>41</xdr:row>
                    <xdr:rowOff>28575</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9525</xdr:colOff>
                    <xdr:row>46</xdr:row>
                    <xdr:rowOff>0</xdr:rowOff>
                  </from>
                  <to>
                    <xdr:col>5</xdr:col>
                    <xdr:colOff>257175</xdr:colOff>
                    <xdr:row>46</xdr:row>
                    <xdr:rowOff>200025</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9525</xdr:colOff>
                    <xdr:row>12</xdr:row>
                    <xdr:rowOff>0</xdr:rowOff>
                  </from>
                  <to>
                    <xdr:col>12</xdr:col>
                    <xdr:colOff>66675</xdr:colOff>
                    <xdr:row>13</xdr:row>
                    <xdr:rowOff>9525</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43</xdr:row>
                    <xdr:rowOff>9525</xdr:rowOff>
                  </from>
                  <to>
                    <xdr:col>5</xdr:col>
                    <xdr:colOff>266700</xdr:colOff>
                    <xdr:row>44</xdr:row>
                    <xdr:rowOff>9525</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672895" r:id="rId12" name="Spinner 127">
              <controlPr defaultSize="0" autoPict="0">
                <anchor moveWithCells="1" sizeWithCells="1">
                  <from>
                    <xdr:col>5</xdr:col>
                    <xdr:colOff>123825</xdr:colOff>
                    <xdr:row>6</xdr:row>
                    <xdr:rowOff>9525</xdr:rowOff>
                  </from>
                  <to>
                    <xdr:col>5</xdr:col>
                    <xdr:colOff>304800</xdr:colOff>
                    <xdr:row>7</xdr:row>
                    <xdr:rowOff>28575</xdr:rowOff>
                  </to>
                </anchor>
              </controlPr>
            </control>
          </mc:Choice>
        </mc:AlternateContent>
        <mc:AlternateContent xmlns:mc="http://schemas.openxmlformats.org/markup-compatibility/2006">
          <mc:Choice Requires="x14">
            <control shapeId="751280" r:id="rId13" name="Spinner 5808">
              <controlPr defaultSize="0" autoPict="0">
                <anchor moveWithCells="1" sizeWithCells="1">
                  <from>
                    <xdr:col>23</xdr:col>
                    <xdr:colOff>123825</xdr:colOff>
                    <xdr:row>62</xdr:row>
                    <xdr:rowOff>9525</xdr:rowOff>
                  </from>
                  <to>
                    <xdr:col>23</xdr:col>
                    <xdr:colOff>304800</xdr:colOff>
                    <xdr:row>63</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1" id="{7DE853EF-1754-4C48-A140-FF26B3EC5CF8}">
            <xm:f>'Variable Mgmt'!$B$74=FALSE</xm:f>
            <x14:dxf>
              <border>
                <bottom/>
                <vertical/>
                <horizontal/>
              </border>
            </x14:dxf>
          </x14:cfRule>
          <xm:sqref>A11:F12</xm:sqref>
        </x14:conditionalFormatting>
        <x14:conditionalFormatting xmlns:xm="http://schemas.microsoft.com/office/excel/2006/main">
          <x14:cfRule type="expression" priority="191" id="{9B976DD7-FFA8-454F-A63D-186A721FDF9C}">
            <xm:f>'Variable Mgmt'!$B$74</xm:f>
            <x14:dxf>
              <border>
                <bottom/>
                <vertical/>
                <horizontal/>
              </border>
            </x14:dxf>
          </x14:cfRule>
          <xm:sqref>A12:F13 A14:D14 F14</xm:sqref>
        </x14:conditionalFormatting>
        <x14:conditionalFormatting xmlns:xm="http://schemas.microsoft.com/office/excel/2006/main">
          <x14:cfRule type="expression" priority="189" id="{2F97F2FF-95A0-40C5-B045-6ADA68EA7C2F}">
            <xm:f>'Variable Mgmt'!$B$74</xm:f>
            <x14:dxf>
              <font>
                <strike val="0"/>
                <color theme="0"/>
              </font>
              <fill>
                <patternFill>
                  <bgColor theme="0"/>
                </patternFill>
              </fill>
            </x14:dxf>
          </x14:cfRule>
          <xm:sqref>E12:E13</xm:sqref>
        </x14:conditionalFormatting>
        <x14:conditionalFormatting xmlns:xm="http://schemas.microsoft.com/office/excel/2006/main">
          <x14:cfRule type="expression" priority="192" id="{25C53C6F-CE07-4419-8FCF-F6B8FCD8434A}">
            <xm:f>'Variable Mgmt'!$B$74</xm:f>
            <x14:dxf>
              <border>
                <right/>
                <vertical/>
                <horizontal/>
              </border>
            </x14:dxf>
          </x14:cfRule>
          <xm:sqref>F12:F14</xm:sqref>
        </x14:conditionalFormatting>
        <x14:conditionalFormatting xmlns:xm="http://schemas.microsoft.com/office/excel/2006/main">
          <x14:cfRule type="expression" priority="54" id="{8076779E-531E-4945-9FF1-9C72CDB0D6DC}">
            <xm:f>'Variable Mgmt'!$B$74=TRUE</xm:f>
            <x14:dxf>
              <border>
                <top/>
                <bottom/>
                <vertical/>
                <horizontal/>
              </border>
            </x14:dxf>
          </x14:cfRule>
          <xm:sqref>G34:G35</xm:sqref>
        </x14:conditionalFormatting>
        <x14:conditionalFormatting xmlns:xm="http://schemas.microsoft.com/office/excel/2006/main">
          <x14:cfRule type="expression" priority="10" id="{0343908F-1CE4-4778-868E-05BB939E0494}">
            <xm:f>'Variable Mgmt'!$B$74=TRUE</xm:f>
            <x14:dxf>
              <font>
                <color theme="0"/>
              </font>
              <fill>
                <patternFill>
                  <bgColor theme="0"/>
                </patternFill>
              </fill>
              <border>
                <right/>
                <top/>
                <bottom/>
                <vertical/>
                <horizontal/>
              </border>
            </x14:dxf>
          </x14:cfRule>
          <xm:sqref>G67:M70</xm:sqref>
        </x14:conditionalFormatting>
        <x14:conditionalFormatting xmlns:xm="http://schemas.microsoft.com/office/excel/2006/main">
          <x14:cfRule type="expression" priority="9" id="{1E57FB43-6A30-4541-BAF2-E52CAF5FFFA7}">
            <xm:f>'Variable Mgmt'!$B$74=TRUE</xm:f>
            <x14:dxf>
              <font>
                <color theme="0"/>
              </font>
              <fill>
                <patternFill>
                  <bgColor theme="0"/>
                </patternFill>
              </fill>
              <border>
                <right/>
                <top/>
                <bottom/>
                <vertical/>
                <horizontal/>
              </border>
            </x14:dxf>
          </x14:cfRule>
          <xm:sqref>G73:M77</xm:sqref>
        </x14:conditionalFormatting>
        <x14:conditionalFormatting xmlns:xm="http://schemas.microsoft.com/office/excel/2006/main">
          <x14:cfRule type="expression" priority="55" id="{B42E45EE-F49B-4512-9DB9-8B85B95C6919}">
            <xm:f>'Variable Mgmt'!$B$74=TRUE</xm:f>
            <x14:dxf>
              <border>
                <left/>
                <right/>
                <top/>
                <bottom/>
                <vertical/>
                <horizontal/>
              </border>
            </x14:dxf>
          </x14:cfRule>
          <xm:sqref>H33:J36</xm:sqref>
        </x14:conditionalFormatting>
        <x14:conditionalFormatting xmlns:xm="http://schemas.microsoft.com/office/excel/2006/main">
          <x14:cfRule type="expression" priority="56" id="{18CE8F81-B526-43C7-B5F1-BAA9C73809CD}">
            <xm:f>'Variable Mgmt'!$B$74=TRUE</xm:f>
            <x14:dxf>
              <font>
                <color theme="0"/>
              </font>
              <fill>
                <patternFill>
                  <bgColor theme="0"/>
                </patternFill>
              </fill>
              <border>
                <right/>
                <top/>
                <bottom/>
              </border>
            </x14:dxf>
          </x14:cfRule>
          <xm:sqref>K33:M36</xm:sqref>
        </x14:conditionalFormatting>
        <x14:conditionalFormatting xmlns:xm="http://schemas.microsoft.com/office/excel/2006/main">
          <x14:cfRule type="expression" priority="195" id="{2E385B5D-C8C9-48C7-B4AE-E1A8F27EB6E6}">
            <xm:f>Lmin_abs*0.000001&gt;'Variable Mgmt'!$B$96</xm:f>
            <x14:dxf>
              <font>
                <strike/>
                <color rgb="FFFF0000"/>
              </font>
            </x14:dxf>
          </x14:cfRule>
          <xm:sqref>L7</xm:sqref>
        </x14:conditionalFormatting>
        <x14:conditionalFormatting xmlns:xm="http://schemas.microsoft.com/office/excel/2006/main">
          <x14:cfRule type="expression" priority="53" id="{DA50B535-B6B5-4DFB-9CBC-C505A48C7EB5}">
            <xm:f>'Variable Mgmt'!$B$74=TRUE</xm:f>
            <x14:dxf>
              <font>
                <color theme="0"/>
              </font>
              <fill>
                <patternFill>
                  <bgColor theme="0"/>
                </patternFill>
              </fill>
            </x14:dxf>
          </x14:cfRule>
          <xm:sqref>L10</xm:sqref>
        </x14:conditionalFormatting>
        <x14:conditionalFormatting xmlns:xm="http://schemas.microsoft.com/office/excel/2006/main">
          <x14:cfRule type="expression" priority="36" id="{FDC5A767-D495-475A-B6AD-F3FAFB5256A1}">
            <xm:f>AND('Variable Mgmt'!#REF!&gt;'Variable Mgmt'!$B$78*1/1000, MODE=1)</xm:f>
            <x14:dxf>
              <font>
                <color rgb="FFFF0000"/>
              </font>
            </x14:dxf>
          </x14:cfRule>
          <xm:sqref>L11</xm:sqref>
        </x14:conditionalFormatting>
        <x14:conditionalFormatting xmlns:xm="http://schemas.microsoft.com/office/excel/2006/main">
          <x14:cfRule type="expression" priority="196" id="{EE277573-B7FD-4D2F-97C3-CC46EAD89E7B}">
            <xm:f>AND('Variable Mgmt'!#REF!&gt;'Variable Mgmt'!$B$78*1/1000, MODE=1)</xm:f>
            <x14:dxf>
              <font>
                <b/>
                <i val="0"/>
                <color rgb="FFFF0000"/>
              </font>
            </x14:dxf>
          </x14:cfRule>
          <xm:sqref>L13</xm:sqref>
        </x14:conditionalFormatting>
        <x14:conditionalFormatting xmlns:xm="http://schemas.microsoft.com/office/excel/2006/main">
          <x14:cfRule type="expression" priority="48" id="{461050CF-E84A-487F-98EC-3FE96E53D0D0}">
            <xm:f>AND('Variable Mgmt'!#REF!&gt;'Variable Mgmt'!$B$78*1/1000, MODE=1)</xm:f>
            <x14:dxf>
              <font>
                <color rgb="FFFF0000"/>
              </font>
            </x14:dxf>
          </x14:cfRule>
          <xm:sqref>L22</xm:sqref>
        </x14:conditionalFormatting>
        <x14:conditionalFormatting xmlns:xm="http://schemas.microsoft.com/office/excel/2006/main">
          <x14:cfRule type="expression" priority="28" id="{F1CB057B-DEBD-4CC6-A39A-8CCF4EB9AEA4}">
            <xm:f>AND('Variable Mgmt'!#REF!&gt;'Variable Mgmt'!$B$78*1/1000, MODE=1)</xm:f>
            <x14:dxf>
              <font>
                <color rgb="FFFF0000"/>
              </font>
            </x14:dxf>
          </x14:cfRule>
          <xm:sqref>L23:L24</xm:sqref>
        </x14:conditionalFormatting>
        <x14:conditionalFormatting xmlns:xm="http://schemas.microsoft.com/office/excel/2006/main">
          <x14:cfRule type="expression" priority="47" id="{901FFC11-0194-41BF-B5C0-646916E32353}">
            <xm:f>AND('Variable Mgmt'!#REF!&gt;'Variable Mgmt'!$B$78*1/1000, MODE=1)</xm:f>
            <x14:dxf>
              <font>
                <color rgb="FFFF0000"/>
              </font>
            </x14:dxf>
          </x14:cfRule>
          <xm:sqref>L25</xm:sqref>
        </x14:conditionalFormatting>
        <x14:conditionalFormatting xmlns:xm="http://schemas.microsoft.com/office/excel/2006/main">
          <x14:cfRule type="expression" priority="11" id="{39327DC7-FED1-4A11-B0EB-9DA33BE59322}">
            <xm:f>AND('Variable Mgmt'!#REF!&gt;'Variable Mgmt'!$B$78*1/1000, MODE=1)</xm:f>
            <x14:dxf>
              <font>
                <color rgb="FFFF0000"/>
              </font>
            </x14:dxf>
          </x14:cfRule>
          <xm:sqref>L26</xm:sqref>
        </x14:conditionalFormatting>
        <x14:conditionalFormatting xmlns:xm="http://schemas.microsoft.com/office/excel/2006/main">
          <x14:cfRule type="expression" priority="35" id="{004998DE-C112-4A16-9357-8F0E103D9C84}">
            <xm:f>'Variable Mgmt'!$D$83=TRUE</xm:f>
            <x14:dxf>
              <font>
                <strike val="0"/>
                <color theme="0"/>
              </font>
              <fill>
                <patternFill>
                  <bgColor rgb="FFFF0000"/>
                </patternFill>
              </fill>
            </x14:dxf>
          </x14:cfRule>
          <xm:sqref>L12:M12</xm:sqref>
        </x14:conditionalFormatting>
        <x14:conditionalFormatting xmlns:xm="http://schemas.microsoft.com/office/excel/2006/main">
          <x14:cfRule type="expression" priority="51" id="{2E35C64D-1122-4B17-B495-E52D781938E1}">
            <xm:f>'Variable Mgmt'!$D$83=TRUE</xm:f>
            <x14:dxf>
              <font>
                <strike val="0"/>
                <color theme="0"/>
              </font>
              <fill>
                <patternFill>
                  <bgColor rgb="FFFF0000"/>
                </patternFill>
              </fill>
            </x14:dxf>
          </x14:cfRule>
          <xm:sqref>L15:M16</xm:sqref>
        </x14:conditionalFormatting>
        <x14:conditionalFormatting xmlns:xm="http://schemas.microsoft.com/office/excel/2006/main">
          <x14:cfRule type="expression" priority="197" id="{FB76FAF3-E114-4E5D-9585-0FED8547CF75}">
            <xm:f>'Variable Mgmt'!$D$48=TRUE</xm:f>
            <x14:dxf>
              <font>
                <b/>
                <i val="0"/>
                <color theme="0"/>
              </font>
              <fill>
                <patternFill patternType="solid">
                  <fgColor auto="1"/>
                  <bgColor rgb="FFFF0000"/>
                </patternFill>
              </fill>
            </x14:dxf>
          </x14:cfRule>
          <xm:sqref>L16:M16</xm:sqref>
        </x14:conditionalFormatting>
        <x14:conditionalFormatting xmlns:xm="http://schemas.microsoft.com/office/excel/2006/main">
          <x14:cfRule type="expression" priority="14" id="{3BB56539-2E3C-47E6-AE6B-0D4CFCA3E58F}">
            <xm:f>'Variable Mgmt'!$B$74=TRUE</xm:f>
            <x14:dxf>
              <font>
                <color theme="0"/>
              </font>
              <fill>
                <patternFill>
                  <bgColor theme="0"/>
                </patternFill>
              </fill>
              <border>
                <right/>
                <top/>
                <bottom/>
                <vertical/>
                <horizontal/>
              </border>
            </x14:dxf>
          </x14:cfRule>
          <xm:sqref>N29:T31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Selection is out of reasonable range!" xr:uid="{DB9BF754-8A1C-46C6-8BD1-90DBE37CFCCE}">
          <x14:formula1>
            <xm:f>'Stability Calculations'!$A$49:$A$96</xm:f>
          </x14:formula1>
          <xm:sqref>E58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zoomScaleNormal="100" workbookViewId="0">
      <selection activeCell="D5" sqref="D5"/>
    </sheetView>
  </sheetViews>
  <sheetFormatPr defaultRowHeight="12.75"/>
  <cols>
    <col min="2" max="2" width="126.42578125" customWidth="1"/>
  </cols>
  <sheetData>
    <row r="2" spans="1:2" ht="17.25" customHeight="1">
      <c r="A2" s="59" t="str">
        <f>CHOOSE(MODE, "EFF_SINGLE", "EFF_DUAL")</f>
        <v>EFF_SINGLE</v>
      </c>
    </row>
    <row r="5" spans="1:2" ht="409.5" customHeight="1">
      <c r="B5" s="309"/>
    </row>
    <row r="6" spans="1:2" ht="17.100000000000001" customHeight="1"/>
    <row r="7" spans="1:2" ht="409.5" customHeight="1">
      <c r="B7" s="309"/>
    </row>
  </sheetData>
  <phoneticPr fontId="83"/>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B12" sqref="B12"/>
    </sheetView>
  </sheetViews>
  <sheetFormatPr defaultRowHeight="12.75"/>
  <cols>
    <col min="2" max="2" width="126.42578125" customWidth="1"/>
  </cols>
  <sheetData>
    <row r="2" spans="1:2" ht="17.25" customHeight="1">
      <c r="A2" s="59" t="str">
        <f>CHOOSE(MODE, "Fsw_SINGLE", "Fsw_DUAL")</f>
        <v>Fsw_SINGLE</v>
      </c>
    </row>
    <row r="5" spans="1:2" ht="409.5" customHeight="1">
      <c r="B5" s="309"/>
    </row>
    <row r="6" spans="1:2" ht="17.100000000000001" customHeight="1"/>
    <row r="7" spans="1:2" ht="409.5" customHeight="1">
      <c r="B7" s="309"/>
    </row>
  </sheetData>
  <phoneticPr fontId="83"/>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6"/>
  <sheetViews>
    <sheetView topLeftCell="A8" zoomScale="40" zoomScaleNormal="40" zoomScaleSheetLayoutView="145" workbookViewId="0">
      <selection activeCell="N13" sqref="N13"/>
    </sheetView>
  </sheetViews>
  <sheetFormatPr defaultRowHeight="12.75"/>
  <cols>
    <col min="1" max="1" width="12.7109375" style="309" customWidth="1"/>
    <col min="2" max="2" width="124.7109375" customWidth="1"/>
    <col min="3" max="4" width="9.140625" style="309"/>
    <col min="5" max="5" width="124.7109375" customWidth="1"/>
    <col min="8" max="8" width="124.7109375" style="309" customWidth="1"/>
  </cols>
  <sheetData>
    <row r="2" spans="1:6">
      <c r="A2" s="309" t="str">
        <f>'Variable Mgmt'!K66</f>
        <v>SCH_SINGLE_UVLOadj_SSint_TCno</v>
      </c>
    </row>
    <row r="5" spans="1:6" s="309" customFormat="1" ht="13.5" customHeight="1"/>
    <row r="6" spans="1:6" s="309" customFormat="1" ht="16.5" customHeight="1"/>
    <row r="7" spans="1:6" ht="357" customHeight="1">
      <c r="E7" s="328"/>
    </row>
    <row r="8" spans="1:6" s="309" customFormat="1" ht="17.25" customHeight="1"/>
    <row r="9" spans="1:6" ht="357" customHeight="1">
      <c r="B9" s="59"/>
      <c r="E9" s="328"/>
      <c r="F9" s="309"/>
    </row>
    <row r="10" spans="1:6" s="309" customFormat="1"/>
    <row r="11" spans="1:6" ht="357" customHeight="1">
      <c r="B11" s="328"/>
      <c r="E11" s="309"/>
      <c r="F11" s="309"/>
    </row>
    <row r="12" spans="1:6">
      <c r="B12" s="309"/>
      <c r="E12" s="309"/>
      <c r="F12" s="309"/>
    </row>
    <row r="13" spans="1:6" ht="357" customHeight="1">
      <c r="B13" s="328"/>
      <c r="E13" s="309"/>
      <c r="F13" s="309"/>
    </row>
    <row r="14" spans="1:6">
      <c r="B14" s="309"/>
      <c r="E14" s="309"/>
      <c r="F14" s="309"/>
    </row>
    <row r="15" spans="1:6" ht="357" customHeight="1">
      <c r="E15" s="309"/>
      <c r="F15" s="309"/>
    </row>
    <row r="16" spans="1:6">
      <c r="B16" s="309"/>
      <c r="E16" s="309"/>
    </row>
    <row r="17" spans="2:6" ht="357" customHeight="1">
      <c r="B17" s="328"/>
      <c r="E17" s="309"/>
      <c r="F17" s="309"/>
    </row>
    <row r="18" spans="2:6" ht="12" customHeight="1">
      <c r="B18" s="309"/>
      <c r="E18" s="309"/>
    </row>
    <row r="19" spans="2:6" ht="357" customHeight="1">
      <c r="B19" s="309"/>
      <c r="E19" s="309"/>
    </row>
    <row r="20" spans="2:6" ht="13.5" customHeight="1">
      <c r="B20" s="309"/>
      <c r="E20" s="309"/>
    </row>
    <row r="21" spans="2:6" ht="357" customHeight="1">
      <c r="B21" s="309"/>
      <c r="E21" s="309"/>
    </row>
    <row r="22" spans="2:6">
      <c r="B22" s="309"/>
      <c r="E22" s="309"/>
    </row>
    <row r="23" spans="2:6" ht="357" customHeight="1">
      <c r="B23" s="309"/>
      <c r="E23" s="309"/>
    </row>
    <row r="24" spans="2:6">
      <c r="B24" s="309"/>
      <c r="E24" s="309"/>
    </row>
    <row r="25" spans="2:6" ht="327.75" customHeight="1">
      <c r="B25" s="309"/>
      <c r="E25" s="309"/>
    </row>
    <row r="26" spans="2:6">
      <c r="E26" s="309"/>
    </row>
    <row r="27" spans="2:6" ht="327.60000000000002" customHeight="1">
      <c r="B27" s="309"/>
      <c r="E27" s="309"/>
    </row>
    <row r="28" spans="2:6">
      <c r="B28" s="309"/>
      <c r="E28" s="309"/>
    </row>
    <row r="29" spans="2:6" ht="327.75" customHeight="1">
      <c r="B29" s="309"/>
      <c r="E29" s="309"/>
    </row>
    <row r="30" spans="2:6" ht="13.5" customHeight="1">
      <c r="B30" s="309"/>
      <c r="E30" s="309"/>
    </row>
    <row r="31" spans="2:6" ht="327.75" customHeight="1">
      <c r="B31" s="309"/>
      <c r="E31" s="309"/>
    </row>
    <row r="32" spans="2:6" ht="13.5" customHeight="1">
      <c r="B32" s="309"/>
      <c r="E32" s="309"/>
    </row>
    <row r="33" spans="2:20" ht="327.75" customHeight="1">
      <c r="B33" s="309"/>
      <c r="E33" s="309"/>
    </row>
    <row r="34" spans="2:20" ht="13.5" customHeight="1">
      <c r="B34" s="309"/>
      <c r="E34" s="309"/>
    </row>
    <row r="35" spans="2:20" ht="327.60000000000002" customHeight="1">
      <c r="B35" s="309"/>
      <c r="E35" s="309"/>
    </row>
    <row r="36" spans="2:20" ht="13.5" customHeight="1">
      <c r="B36" s="309"/>
      <c r="E36" s="309"/>
    </row>
    <row r="37" spans="2:20" ht="327.75" customHeight="1">
      <c r="B37" s="309"/>
      <c r="E37" s="309"/>
    </row>
    <row r="38" spans="2:20" ht="13.5" customHeight="1">
      <c r="B38" s="309"/>
      <c r="E38" s="309"/>
      <c r="G38" s="310"/>
    </row>
    <row r="39" spans="2:20" ht="327.75" customHeight="1">
      <c r="B39" s="309"/>
      <c r="E39" s="309"/>
    </row>
    <row r="40" spans="2:20">
      <c r="B40" s="309"/>
      <c r="E40" s="309"/>
      <c r="Q40" s="9"/>
      <c r="S40" s="9"/>
      <c r="T40" s="9"/>
    </row>
    <row r="41" spans="2:20" ht="327.75" customHeight="1">
      <c r="B41" s="309"/>
      <c r="E41" s="309"/>
      <c r="Q41" s="9"/>
      <c r="S41" s="9"/>
    </row>
    <row r="42" spans="2:20">
      <c r="B42" s="309"/>
      <c r="E42" s="309"/>
      <c r="Q42" s="9"/>
      <c r="S42" s="9"/>
    </row>
    <row r="43" spans="2:20" ht="327.75" customHeight="1">
      <c r="B43" s="309"/>
      <c r="E43" s="309"/>
      <c r="Q43" s="9"/>
      <c r="S43" s="9"/>
    </row>
    <row r="44" spans="2:20">
      <c r="B44" s="309"/>
      <c r="E44" s="309"/>
      <c r="Q44" s="9"/>
      <c r="S44" s="9"/>
    </row>
    <row r="45" spans="2:20" ht="327.75" customHeight="1">
      <c r="B45" s="309"/>
      <c r="E45" s="309"/>
      <c r="Q45" s="9"/>
      <c r="S45" s="9"/>
    </row>
    <row r="46" spans="2:20">
      <c r="B46" s="309"/>
      <c r="E46" s="309"/>
      <c r="Q46" s="9"/>
      <c r="S46" s="9"/>
    </row>
    <row r="47" spans="2:20" ht="327.75" customHeight="1">
      <c r="B47" s="309"/>
      <c r="E47" s="309"/>
      <c r="Q47" s="9"/>
      <c r="S47" s="311"/>
    </row>
    <row r="48" spans="2:20">
      <c r="B48" s="309"/>
      <c r="E48" s="309"/>
      <c r="Q48" s="9"/>
      <c r="S48" s="9"/>
    </row>
    <row r="49" spans="2:19" ht="327.75" customHeight="1">
      <c r="B49" s="309"/>
      <c r="E49" s="309"/>
      <c r="Q49" s="9"/>
      <c r="S49" s="9"/>
    </row>
    <row r="50" spans="2:19">
      <c r="B50" s="309"/>
      <c r="E50" s="309"/>
      <c r="Q50" s="9"/>
      <c r="S50" s="9"/>
    </row>
    <row r="51" spans="2:19">
      <c r="B51" s="309"/>
      <c r="E51" s="309"/>
      <c r="Q51" s="9"/>
      <c r="S51" s="9"/>
    </row>
    <row r="52" spans="2:19">
      <c r="B52" s="309"/>
      <c r="E52" s="309"/>
      <c r="Q52" s="9"/>
      <c r="S52" s="9"/>
    </row>
    <row r="53" spans="2:19">
      <c r="B53" s="309"/>
      <c r="E53" s="309"/>
    </row>
    <row r="54" spans="2:19">
      <c r="B54" s="309"/>
      <c r="E54" s="309"/>
    </row>
    <row r="55" spans="2:19">
      <c r="B55" s="309"/>
      <c r="E55" s="309"/>
      <c r="R55" s="3"/>
    </row>
    <row r="56" spans="2:19">
      <c r="B56" s="309"/>
      <c r="E56" s="309"/>
    </row>
    <row r="57" spans="2:19">
      <c r="B57" s="309"/>
      <c r="E57" s="309"/>
    </row>
    <row r="66" spans="18:18">
      <c r="R66" s="3"/>
    </row>
  </sheetData>
  <sheetProtection sheet="1" objects="1" scenarios="1"/>
  <phoneticPr fontId="83"/>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O25" sqref="O25"/>
    </sheetView>
  </sheetViews>
  <sheetFormatPr defaultRowHeight="12.75"/>
  <cols>
    <col min="1" max="1" width="17.28515625" customWidth="1"/>
    <col min="2" max="2" width="12" bestFit="1" customWidth="1"/>
    <col min="8" max="8" width="12.140625" customWidth="1"/>
    <col min="9" max="9" width="12.42578125" bestFit="1" customWidth="1"/>
    <col min="10" max="10" width="15.42578125" customWidth="1"/>
  </cols>
  <sheetData>
    <row r="2" spans="1:11">
      <c r="A2" t="s">
        <v>68</v>
      </c>
      <c r="B2" t="s">
        <v>66</v>
      </c>
      <c r="C2" t="s">
        <v>14</v>
      </c>
      <c r="D2" t="s">
        <v>28</v>
      </c>
      <c r="E2" t="s">
        <v>75</v>
      </c>
    </row>
    <row r="3" spans="1:11">
      <c r="A3" t="s">
        <v>71</v>
      </c>
      <c r="B3">
        <f>Css</f>
        <v>5.0000000000000004E-8</v>
      </c>
      <c r="C3">
        <f>Cout</f>
        <v>110</v>
      </c>
      <c r="D3">
        <f>Cin</f>
        <v>22</v>
      </c>
      <c r="E3">
        <f>Cb</f>
        <v>0</v>
      </c>
      <c r="H3" t="s">
        <v>73</v>
      </c>
      <c r="I3" t="s">
        <v>74</v>
      </c>
      <c r="J3" s="3" t="s">
        <v>70</v>
      </c>
    </row>
    <row r="4" spans="1:11">
      <c r="A4" s="6" t="s">
        <v>70</v>
      </c>
      <c r="B4" s="6">
        <f>SUM(B6:B158)/1000000000000</f>
        <v>4.6999999999999997E-8</v>
      </c>
      <c r="C4" s="6">
        <f>SUM(C6:C158)/1000000000000</f>
        <v>0</v>
      </c>
      <c r="D4" s="6">
        <f>SUM(D6:D158)/1000000000000</f>
        <v>0</v>
      </c>
      <c r="E4" s="6">
        <f>IF(E3="OPEN","OPEN",SUM(E6:E158)/1000000000000)</f>
        <v>0</v>
      </c>
      <c r="H4" s="59" t="s">
        <v>139</v>
      </c>
      <c r="I4" t="e">
        <f>Rt</f>
        <v>#NAME?</v>
      </c>
      <c r="J4" s="3" t="e">
        <f t="shared" ref="J4:J9" si="0">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2" t="s">
        <v>136</v>
      </c>
    </row>
    <row r="5" spans="1:11">
      <c r="A5" t="s">
        <v>69</v>
      </c>
      <c r="J5" s="3"/>
      <c r="K5" s="12"/>
    </row>
    <row r="6" spans="1:11">
      <c r="A6">
        <v>0.47</v>
      </c>
      <c r="B6">
        <f>IF(IF((B$3*10^12-$A7)*(B$3*10^12-$A6)*-1&lt;0,0,1)*IF(ABS(B$3*10^12-$A7)&gt;(B$3*10^12-$A6),$A6,$A7)=B7,0,IF((B$3*10^12-$A7)*(B$3*10^12-$A6)*-1&lt;0,0,1)*IF(ABS(B$3*10^12-$A7)&gt;(B$3*10^12-$A6),$A6,$A7))</f>
        <v>0</v>
      </c>
      <c r="C6">
        <f>IF(IF((C$3*10^12-$A7)*(C$3*10^12-$A6)*-1&lt;0,0,1)*IF(ABS(C$3*10^12-$A7)&gt;(C$3*10^12-$A6),$A6,$A7)=C7,0,IF((C$3*10^12-$A7)*(C$3*10^12-$A6)*-1&lt;0,0,1)*IF(ABS(C$3*10^12-$A7)&gt;(C$3*10^12-$A6),$A6,$A7))</f>
        <v>0</v>
      </c>
      <c r="D6">
        <f>IF(IF((D$3*10^12-$A7)*(D$3*10^12-$A6)*-1&lt;0,0,1)*IF(ABS(D$3*10^12-$A7)&gt;(D$3*10^12-$A6),$A6,$A7)=D7,0,IF((D$3*10^12-$A7)*(D$3*10^12-$A6)*-1&lt;0,0,1)*IF(ABS(D$3*10^12-$A7)&gt;(D$3*10^12-$A6),$A6,$A7))</f>
        <v>0</v>
      </c>
      <c r="E6">
        <f>IF(IF((E$3*10^12-$A7)*(E$3*10^12-$A6)*-1&lt;0,0,1)*IF(ABS(E$3*10^12-$A7)&gt;(E$3*10^12-$A6),$A6,$A7)=E7,0,IF((E$3*10^12-$A7)*(E$3*10^12-$A6)*-1&lt;0,0,1)*IF(ABS(E$3*10^12-$A7)&gt;(E$3*10^12-$A6),$A6,$A7))</f>
        <v>0</v>
      </c>
      <c r="H6" s="59" t="s">
        <v>162</v>
      </c>
      <c r="I6" t="e">
        <f>Rshunt</f>
        <v>#NAME?</v>
      </c>
      <c r="J6" s="3" t="e">
        <f t="shared" si="0"/>
        <v>#NAME?</v>
      </c>
      <c r="K6" s="12" t="s">
        <v>136</v>
      </c>
    </row>
    <row r="7" spans="1:11">
      <c r="A7">
        <v>0.56000000000000005</v>
      </c>
      <c r="B7">
        <f t="shared" ref="B7:B70" si="1">IF(IF((B$3*10^12-$A8)*(B$3*10^12-$A7)*-1&lt;0,0,1)*IF(ABS(B$3*10^12-$A8)&gt;(B$3*10^12-$A7),$A7,$A8)=B8,0,IF((B$3*10^12-$A8)*(B$3*10^12-$A7)*-1&lt;0,0,1)*IF(ABS(B$3*10^12-$A8)&gt;(B$3*10^12-$A7),$A7,$A8))</f>
        <v>0</v>
      </c>
      <c r="C7">
        <f t="shared" ref="C7:C69" si="2">IF(IF((C$3*10^12-$A8)*(C$3*10^12-$A7)*-1&lt;0,0,1)*IF(ABS(C$3*10^12-$A8)&gt;(C$3*10^12-$A7),$A7,$A8)=C8,0,IF((C$3*10^12-$A8)*(C$3*10^12-$A7)*-1&lt;0,0,1)*IF(ABS(C$3*10^12-$A8)&gt;(C$3*10^12-$A7),$A7,$A8))</f>
        <v>0</v>
      </c>
      <c r="D7">
        <f t="shared" ref="D7:D69" si="3">IF(IF((D$3*10^12-$A8)*(D$3*10^12-$A7)*-1&lt;0,0,1)*IF(ABS(D$3*10^12-$A8)&gt;(D$3*10^12-$A7),$A7,$A8)=D8,0,IF((D$3*10^12-$A8)*(D$3*10^12-$A7)*-1&lt;0,0,1)*IF(ABS(D$3*10^12-$A8)&gt;(D$3*10^12-$A7),$A7,$A8))</f>
        <v>0</v>
      </c>
      <c r="E7">
        <f t="shared" ref="E7:E37" si="4">IF(IF((E$3*10^12-$A8)*(E$3*10^12-$A7)*-1&lt;0,0,1)*IF(ABS(E$3*10^12-$A8)&gt;(E$3*10^12-$A7),$A7,$A8)=E8,0,IF((E$3*10^12-$A8)*(E$3*10^12-$A7)*-1&lt;0,0,1)*IF(ABS(E$3*10^12-$A8)&gt;(E$3*10^12-$A7),$A7,$A8))</f>
        <v>0</v>
      </c>
      <c r="H7" t="s">
        <v>79</v>
      </c>
      <c r="I7">
        <v>6220.3534470000013</v>
      </c>
      <c r="J7" s="3">
        <f t="shared" si="0"/>
        <v>6190</v>
      </c>
      <c r="K7" s="12" t="s">
        <v>136</v>
      </c>
    </row>
    <row r="8" spans="1:11">
      <c r="A8">
        <v>0.68</v>
      </c>
      <c r="B8">
        <f t="shared" si="1"/>
        <v>0</v>
      </c>
      <c r="C8">
        <f t="shared" si="2"/>
        <v>0</v>
      </c>
      <c r="D8">
        <f t="shared" si="3"/>
        <v>0</v>
      </c>
      <c r="E8">
        <f t="shared" si="4"/>
        <v>0</v>
      </c>
      <c r="J8" s="3"/>
      <c r="K8" s="12"/>
    </row>
    <row r="9" spans="1:11">
      <c r="A9">
        <v>0.82</v>
      </c>
      <c r="B9">
        <f t="shared" si="1"/>
        <v>0</v>
      </c>
      <c r="C9">
        <f t="shared" si="2"/>
        <v>0</v>
      </c>
      <c r="D9">
        <f t="shared" si="3"/>
        <v>0</v>
      </c>
      <c r="E9">
        <f t="shared" si="4"/>
        <v>0</v>
      </c>
      <c r="H9" t="s">
        <v>377</v>
      </c>
      <c r="I9">
        <f>RTC_1</f>
        <v>358400</v>
      </c>
      <c r="J9" s="3">
        <f t="shared" si="0"/>
        <v>357000</v>
      </c>
      <c r="K9" s="12" t="s">
        <v>136</v>
      </c>
    </row>
    <row r="10" spans="1:11">
      <c r="A10">
        <v>1</v>
      </c>
      <c r="B10">
        <f t="shared" si="1"/>
        <v>0</v>
      </c>
      <c r="C10">
        <f t="shared" si="2"/>
        <v>0</v>
      </c>
      <c r="D10">
        <f t="shared" si="3"/>
        <v>0</v>
      </c>
      <c r="E10">
        <f t="shared" si="4"/>
        <v>0</v>
      </c>
      <c r="H10" t="s">
        <v>17</v>
      </c>
      <c r="I10">
        <f>Rfb</f>
        <v>168000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169000</v>
      </c>
      <c r="K10" s="12" t="s">
        <v>136</v>
      </c>
    </row>
    <row r="11" spans="1:11">
      <c r="A11">
        <v>1.2</v>
      </c>
      <c r="B11">
        <f t="shared" si="1"/>
        <v>0</v>
      </c>
      <c r="C11">
        <f t="shared" si="2"/>
        <v>0</v>
      </c>
      <c r="D11">
        <f t="shared" si="3"/>
        <v>0</v>
      </c>
      <c r="E11">
        <f t="shared" si="4"/>
        <v>0</v>
      </c>
      <c r="J11" s="3"/>
    </row>
    <row r="12" spans="1:11">
      <c r="A12">
        <v>1.5</v>
      </c>
      <c r="B12">
        <f t="shared" si="1"/>
        <v>0</v>
      </c>
      <c r="C12">
        <f t="shared" si="2"/>
        <v>0</v>
      </c>
      <c r="D12">
        <f t="shared" si="3"/>
        <v>0</v>
      </c>
      <c r="E12">
        <f t="shared" si="4"/>
        <v>0</v>
      </c>
      <c r="J12" s="3"/>
    </row>
    <row r="13" spans="1:11">
      <c r="A13">
        <v>1.8</v>
      </c>
      <c r="B13">
        <f t="shared" si="1"/>
        <v>0</v>
      </c>
      <c r="C13">
        <f t="shared" si="2"/>
        <v>0</v>
      </c>
      <c r="D13">
        <f t="shared" si="3"/>
        <v>0</v>
      </c>
      <c r="E13">
        <f t="shared" si="4"/>
        <v>0</v>
      </c>
      <c r="H13" s="59"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2" t="s">
        <v>161</v>
      </c>
    </row>
    <row r="14" spans="1:11">
      <c r="A14">
        <v>2.2000000000000002</v>
      </c>
      <c r="B14">
        <f>IF(IF((B$3*10^12-$A15)*(B$3*10^12-$A14)*-1&lt;0,0,1)*IF(ABS(B$3*10^12-$A15)&gt;(B$3*10^12-$A14),$A14,$A15)=B15,0,IF((B$3*10^12-$A15)*(B$3*10^12-$A14)*-1&lt;0,0,1)*IF(ABS(B$3*10^12-$A15)&gt;(B$3*10^12-$A14),$A14,$A15))</f>
        <v>0</v>
      </c>
      <c r="C14">
        <f>IF(IF((C$3*10^12-$A15)*(C$3*10^12-$A14)*-1&lt;0,0,1)*IF(ABS(C$3*10^12-$A15)&gt;(C$3*10^12-$A14),$A14,$A15)=C15,0,IF((C$3*10^12-$A15)*(C$3*10^12-$A14)*-1&lt;0,0,1)*IF(ABS(C$3*10^12-$A15)&gt;(C$3*10^12-$A14),$A14,$A15))</f>
        <v>0</v>
      </c>
      <c r="D14">
        <f>IF(IF((D$3*10^12-$A15)*(D$3*10^12-$A14)*-1&lt;0,0,1)*IF(ABS(D$3*10^12-$A15)&gt;(D$3*10^12-$A14),$A14,$A15)=D15,0,IF((D$3*10^12-$A15)*(D$3*10^12-$A14)*-1&lt;0,0,1)*IF(ABS(D$3*10^12-$A15)&gt;(D$3*10^12-$A14),$A14,$A15))</f>
        <v>0</v>
      </c>
      <c r="E14">
        <f>IF(IF((E$3*10^12-$A15)*(E$3*10^12-$A14)*-1&lt;0,0,1)*IF(ABS(E$3*10^12-$A15)&gt;(E$3*10^12-$A14),$A14,$A15)=E15,0,IF((E$3*10^12-$A15)*(E$3*10^12-$A14)*-1&lt;0,0,1)*IF(ABS(E$3*10^12-$A15)&gt;(E$3*10^12-$A14),$A14,$A15))</f>
        <v>0</v>
      </c>
      <c r="H14" s="59" t="s">
        <v>160</v>
      </c>
      <c r="I14" t="e">
        <f>Cslope_ideal</f>
        <v>#NAME?</v>
      </c>
      <c r="J14" t="e">
        <f>#REF!*1000000000000</f>
        <v>#REF!</v>
      </c>
      <c r="K14" s="59" t="s">
        <v>15</v>
      </c>
    </row>
    <row r="15" spans="1:11">
      <c r="A15">
        <v>2.7</v>
      </c>
      <c r="B15">
        <f t="shared" si="1"/>
        <v>0</v>
      </c>
      <c r="C15">
        <f t="shared" si="2"/>
        <v>0</v>
      </c>
      <c r="D15">
        <f t="shared" si="3"/>
        <v>0</v>
      </c>
      <c r="E15">
        <f t="shared" si="4"/>
        <v>0</v>
      </c>
    </row>
    <row r="16" spans="1:11">
      <c r="A16">
        <v>3.3</v>
      </c>
      <c r="B16">
        <f t="shared" si="1"/>
        <v>0</v>
      </c>
      <c r="C16">
        <f t="shared" si="2"/>
        <v>0</v>
      </c>
      <c r="D16">
        <f t="shared" si="3"/>
        <v>0</v>
      </c>
      <c r="E16">
        <f t="shared" si="4"/>
        <v>0</v>
      </c>
      <c r="H16" s="59" t="s">
        <v>130</v>
      </c>
      <c r="I16">
        <f>Ruvlo1</f>
        <v>194.66666666666725</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196</v>
      </c>
      <c r="K16" s="12" t="s">
        <v>113</v>
      </c>
    </row>
    <row r="17" spans="1:11">
      <c r="A17">
        <v>3.9</v>
      </c>
      <c r="B17">
        <f t="shared" si="1"/>
        <v>0</v>
      </c>
      <c r="C17">
        <f t="shared" si="2"/>
        <v>0</v>
      </c>
      <c r="D17">
        <f t="shared" si="3"/>
        <v>0</v>
      </c>
      <c r="E17">
        <f t="shared" si="4"/>
        <v>0</v>
      </c>
      <c r="H17" s="59" t="s">
        <v>131</v>
      </c>
      <c r="I17" s="150">
        <f>Ruvlo2</f>
        <v>16.99421965317919</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16.900000000000002</v>
      </c>
      <c r="K17" s="12" t="s">
        <v>113</v>
      </c>
    </row>
    <row r="18" spans="1:11">
      <c r="A18">
        <v>4.7</v>
      </c>
      <c r="B18">
        <f t="shared" si="1"/>
        <v>0</v>
      </c>
      <c r="C18">
        <f t="shared" si="2"/>
        <v>0</v>
      </c>
      <c r="D18">
        <f t="shared" si="3"/>
        <v>0</v>
      </c>
      <c r="E18">
        <f t="shared" si="4"/>
        <v>0</v>
      </c>
      <c r="H18" s="59" t="s">
        <v>295</v>
      </c>
      <c r="I18" s="150"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2" t="s">
        <v>113</v>
      </c>
    </row>
    <row r="19" spans="1:11">
      <c r="A19">
        <v>5.6</v>
      </c>
      <c r="B19">
        <f t="shared" si="1"/>
        <v>0</v>
      </c>
      <c r="C19">
        <f t="shared" si="2"/>
        <v>0</v>
      </c>
      <c r="D19">
        <f t="shared" si="3"/>
        <v>0</v>
      </c>
      <c r="E19">
        <f t="shared" si="4"/>
        <v>0</v>
      </c>
    </row>
    <row r="20" spans="1:11">
      <c r="A20">
        <v>6.8</v>
      </c>
      <c r="B20">
        <f t="shared" si="1"/>
        <v>0</v>
      </c>
      <c r="C20">
        <f t="shared" si="2"/>
        <v>0</v>
      </c>
      <c r="D20">
        <f t="shared" si="3"/>
        <v>0</v>
      </c>
      <c r="E20">
        <f t="shared" si="4"/>
        <v>0</v>
      </c>
      <c r="H20" s="59"/>
      <c r="J20" s="3"/>
    </row>
    <row r="21" spans="1:11">
      <c r="A21">
        <v>8.1999999999999993</v>
      </c>
      <c r="B21">
        <f t="shared" si="1"/>
        <v>0</v>
      </c>
      <c r="C21">
        <f t="shared" si="2"/>
        <v>0</v>
      </c>
      <c r="D21">
        <f t="shared" si="3"/>
        <v>0</v>
      </c>
      <c r="E21">
        <f t="shared" si="4"/>
        <v>0</v>
      </c>
      <c r="J21" s="3"/>
    </row>
    <row r="22" spans="1:11">
      <c r="A22">
        <v>10</v>
      </c>
      <c r="B22">
        <f t="shared" si="1"/>
        <v>0</v>
      </c>
      <c r="C22">
        <f t="shared" si="2"/>
        <v>0</v>
      </c>
      <c r="D22">
        <f t="shared" si="3"/>
        <v>0</v>
      </c>
      <c r="E22">
        <f t="shared" si="4"/>
        <v>0</v>
      </c>
      <c r="H22" s="59"/>
      <c r="J22" s="3"/>
      <c r="K22" s="12"/>
    </row>
    <row r="23" spans="1:11">
      <c r="A23">
        <v>12</v>
      </c>
      <c r="B23">
        <f t="shared" si="1"/>
        <v>0</v>
      </c>
      <c r="C23">
        <f t="shared" si="2"/>
        <v>0</v>
      </c>
      <c r="D23">
        <f t="shared" si="3"/>
        <v>0</v>
      </c>
      <c r="E23">
        <f t="shared" si="4"/>
        <v>0</v>
      </c>
      <c r="H23" t="s">
        <v>898</v>
      </c>
      <c r="I23">
        <f>'Calculations - Single'!H329</f>
        <v>282.69230769230762</v>
      </c>
      <c r="J23" s="3">
        <f>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280</v>
      </c>
      <c r="K23" s="12" t="s">
        <v>136</v>
      </c>
    </row>
    <row r="24" spans="1:11">
      <c r="A24">
        <v>15</v>
      </c>
      <c r="B24">
        <f t="shared" si="1"/>
        <v>0</v>
      </c>
      <c r="C24">
        <f t="shared" si="2"/>
        <v>0</v>
      </c>
      <c r="D24">
        <f t="shared" si="3"/>
        <v>0</v>
      </c>
      <c r="E24">
        <f t="shared" si="4"/>
        <v>0</v>
      </c>
      <c r="H24" t="s">
        <v>899</v>
      </c>
      <c r="I24">
        <f>'Calculations - Dual'!H329</f>
        <v>282.69230769230762</v>
      </c>
      <c r="J24" s="3">
        <f>IF(I24&gt;(INT(0.5+100*POWER(10,IF(96*(LOG(I24)-INT(LOG(I24)))-ROUND(96*(LOG(I24)-INT(LOG(I24))),0)&lt;0,ROUND(96*(LOG(I24)-INT(LOG(I24))),0)-1,ROUND(96*(LOG(I24)-INT(LOG(I24))),0))/96))*POWER(10,INT(LOG(I24))-2)+INT(0.5+100*POWER(10,(IF(96*(LOG(I24)-INT(LOG(I24)))-ROUND(96*(LOG(I24)-INT(LOG(I24))),0)&lt;0,ROUND(96*(LOG(I24)-INT(LOG(I24))),0)-1,ROUND(96*(LOG(I24)-INT(LOG(I24))),0))+1)/96))*POWER(10,INT(LOG(I24))-2))/2,INT(0.5+100*POWER(10,(IF(96*(LOG(I24)-INT(LOG(I24)))-ROUND(96*(LOG(I24)-INT(LOG(I24))),0)&lt;0,ROUND(96*(LOG(I24)-INT(LOG(I24))),0)-1,ROUND(96*(LOG(I24)-INT(LOG(I24))),0))+1)/96))*POWER(10,INT(LOG(I24))-2),INT(0.5+100*POWER(10,IF(96*(LOG(I24)-INT(LOG(I24)))-ROUND(96*(LOG(I24)-INT(LOG(I24))),0)&lt;0,ROUND(96*(LOG(I24)-INT(LOG(I24))),0)-1,ROUND(96*(LOG(I24)-INT(LOG(I24))),0))/96))*POWER(10,INT(LOG(I24))-2))</f>
        <v>280</v>
      </c>
    </row>
    <row r="25" spans="1:11">
      <c r="A25">
        <v>18</v>
      </c>
      <c r="B25">
        <f t="shared" si="1"/>
        <v>0</v>
      </c>
      <c r="C25">
        <f t="shared" si="2"/>
        <v>0</v>
      </c>
      <c r="D25">
        <f t="shared" si="3"/>
        <v>0</v>
      </c>
      <c r="E25">
        <f t="shared" si="4"/>
        <v>0</v>
      </c>
      <c r="H25" s="59" t="s">
        <v>900</v>
      </c>
      <c r="I25">
        <f>'Calculations - Dual'!O329</f>
        <v>734.99999999999989</v>
      </c>
      <c r="J25" s="3">
        <f>IF(I25&gt;(INT(0.5+100*POWER(10,IF(96*(LOG(I25)-INT(LOG(I25)))-ROUND(96*(LOG(I25)-INT(LOG(I25))),0)&lt;0,ROUND(96*(LOG(I25)-INT(LOG(I25))),0)-1,ROUND(96*(LOG(I25)-INT(LOG(I25))),0))/96))*POWER(10,INT(LOG(I25))-2)+INT(0.5+100*POWER(10,(IF(96*(LOG(I25)-INT(LOG(I25)))-ROUND(96*(LOG(I25)-INT(LOG(I25))),0)&lt;0,ROUND(96*(LOG(I25)-INT(LOG(I25))),0)-1,ROUND(96*(LOG(I25)-INT(LOG(I25))),0))+1)/96))*POWER(10,INT(LOG(I25))-2))/2,INT(0.5+100*POWER(10,(IF(96*(LOG(I25)-INT(LOG(I25)))-ROUND(96*(LOG(I25)-INT(LOG(I25))),0)&lt;0,ROUND(96*(LOG(I25)-INT(LOG(I25))),0)-1,ROUND(96*(LOG(I25)-INT(LOG(I25))),0))+1)/96))*POWER(10,INT(LOG(I25))-2),INT(0.5+100*POWER(10,IF(96*(LOG(I25)-INT(LOG(I25)))-ROUND(96*(LOG(I25)-INT(LOG(I25))),0)&lt;0,ROUND(96*(LOG(I25)-INT(LOG(I25))),0)-1,ROUND(96*(LOG(I25)-INT(LOG(I25))),0))/96))*POWER(10,INT(LOG(I25))-2))</f>
        <v>732</v>
      </c>
      <c r="K25" s="12"/>
    </row>
    <row r="26" spans="1:11">
      <c r="A26">
        <v>22</v>
      </c>
      <c r="B26">
        <f t="shared" si="1"/>
        <v>0</v>
      </c>
      <c r="C26">
        <f t="shared" si="2"/>
        <v>0</v>
      </c>
      <c r="D26">
        <f t="shared" si="3"/>
        <v>0</v>
      </c>
      <c r="E26">
        <f t="shared" si="4"/>
        <v>0</v>
      </c>
    </row>
    <row r="27" spans="1:11">
      <c r="A27">
        <v>27</v>
      </c>
      <c r="B27">
        <f t="shared" si="1"/>
        <v>0</v>
      </c>
      <c r="C27">
        <f t="shared" si="2"/>
        <v>0</v>
      </c>
      <c r="D27">
        <f t="shared" si="3"/>
        <v>0</v>
      </c>
      <c r="E27">
        <f t="shared" si="4"/>
        <v>0</v>
      </c>
      <c r="H27" t="s">
        <v>901</v>
      </c>
      <c r="I27">
        <f>'Calculations - Single'!G327</f>
        <v>0.10000000000000002</v>
      </c>
    </row>
    <row r="28" spans="1:11">
      <c r="A28">
        <v>33</v>
      </c>
      <c r="B28">
        <f t="shared" si="1"/>
        <v>0</v>
      </c>
      <c r="C28">
        <f t="shared" si="2"/>
        <v>0</v>
      </c>
      <c r="D28">
        <f t="shared" si="3"/>
        <v>0</v>
      </c>
      <c r="E28">
        <f t="shared" si="4"/>
        <v>0</v>
      </c>
      <c r="H28" s="59" t="s">
        <v>902</v>
      </c>
      <c r="I28">
        <f>'Calculations - Dual'!G327</f>
        <v>0.10000000000000002</v>
      </c>
      <c r="K28" s="12"/>
    </row>
    <row r="29" spans="1:11">
      <c r="A29">
        <v>39</v>
      </c>
      <c r="B29">
        <f t="shared" si="1"/>
        <v>0</v>
      </c>
      <c r="C29">
        <f t="shared" si="2"/>
        <v>0</v>
      </c>
      <c r="D29">
        <f t="shared" si="3"/>
        <v>0</v>
      </c>
      <c r="E29">
        <f t="shared" si="4"/>
        <v>0</v>
      </c>
      <c r="H29" s="59" t="s">
        <v>903</v>
      </c>
      <c r="I29">
        <f>'Calculations - Dual'!N327</f>
        <v>0.10000000000000002</v>
      </c>
      <c r="K29" s="59"/>
    </row>
    <row r="30" spans="1:11">
      <c r="A30">
        <v>47</v>
      </c>
      <c r="B30">
        <f t="shared" si="1"/>
        <v>0</v>
      </c>
      <c r="C30">
        <f t="shared" si="2"/>
        <v>0</v>
      </c>
      <c r="D30">
        <f t="shared" si="3"/>
        <v>0</v>
      </c>
      <c r="E30">
        <f t="shared" si="4"/>
        <v>0</v>
      </c>
      <c r="H30" s="4"/>
      <c r="K30" s="59"/>
    </row>
    <row r="31" spans="1:11">
      <c r="A31">
        <v>56</v>
      </c>
      <c r="B31">
        <f t="shared" si="1"/>
        <v>0</v>
      </c>
      <c r="C31">
        <f t="shared" si="2"/>
        <v>0</v>
      </c>
      <c r="D31">
        <f t="shared" si="3"/>
        <v>0</v>
      </c>
      <c r="E31">
        <f t="shared" si="4"/>
        <v>0</v>
      </c>
      <c r="H31" s="4"/>
      <c r="K31" s="12"/>
    </row>
    <row r="32" spans="1:11">
      <c r="A32">
        <v>68</v>
      </c>
      <c r="B32">
        <f t="shared" si="1"/>
        <v>0</v>
      </c>
      <c r="C32">
        <f t="shared" si="2"/>
        <v>0</v>
      </c>
      <c r="D32">
        <f t="shared" si="3"/>
        <v>0</v>
      </c>
      <c r="E32">
        <f t="shared" si="4"/>
        <v>0</v>
      </c>
      <c r="H32" s="4"/>
      <c r="K32" s="59"/>
    </row>
    <row r="33" spans="1:8">
      <c r="A33">
        <v>82</v>
      </c>
      <c r="B33">
        <f t="shared" si="1"/>
        <v>0</v>
      </c>
      <c r="C33">
        <f t="shared" si="2"/>
        <v>0</v>
      </c>
      <c r="D33">
        <f t="shared" si="3"/>
        <v>0</v>
      </c>
      <c r="E33">
        <f t="shared" si="4"/>
        <v>0</v>
      </c>
    </row>
    <row r="34" spans="1:8">
      <c r="A34">
        <f>A22*10</f>
        <v>100</v>
      </c>
      <c r="B34">
        <f t="shared" si="1"/>
        <v>0</v>
      </c>
      <c r="C34">
        <f t="shared" si="2"/>
        <v>0</v>
      </c>
      <c r="D34">
        <f t="shared" si="3"/>
        <v>0</v>
      </c>
      <c r="E34">
        <f t="shared" si="4"/>
        <v>0</v>
      </c>
      <c r="H34" s="59"/>
    </row>
    <row r="35" spans="1:8">
      <c r="A35">
        <f t="shared" ref="A35:A98" si="5">A23*10</f>
        <v>120</v>
      </c>
      <c r="B35">
        <f t="shared" si="1"/>
        <v>0</v>
      </c>
      <c r="C35">
        <f t="shared" si="2"/>
        <v>0</v>
      </c>
      <c r="D35">
        <f t="shared" si="3"/>
        <v>0</v>
      </c>
      <c r="E35">
        <f t="shared" si="4"/>
        <v>0</v>
      </c>
      <c r="H35" s="59"/>
    </row>
    <row r="36" spans="1:8">
      <c r="A36">
        <f t="shared" si="5"/>
        <v>150</v>
      </c>
      <c r="B36">
        <f t="shared" si="1"/>
        <v>0</v>
      </c>
      <c r="C36">
        <f t="shared" si="2"/>
        <v>0</v>
      </c>
      <c r="D36">
        <f t="shared" si="3"/>
        <v>0</v>
      </c>
      <c r="E36">
        <f t="shared" si="4"/>
        <v>0</v>
      </c>
    </row>
    <row r="37" spans="1:8">
      <c r="A37">
        <f t="shared" si="5"/>
        <v>180</v>
      </c>
      <c r="B37">
        <f t="shared" si="1"/>
        <v>0</v>
      </c>
      <c r="C37">
        <f t="shared" si="2"/>
        <v>0</v>
      </c>
      <c r="D37">
        <f t="shared" si="3"/>
        <v>0</v>
      </c>
      <c r="E37">
        <f t="shared" si="4"/>
        <v>0</v>
      </c>
    </row>
    <row r="38" spans="1:8">
      <c r="A38">
        <f t="shared" si="5"/>
        <v>220</v>
      </c>
      <c r="B38">
        <f t="shared" si="1"/>
        <v>0</v>
      </c>
      <c r="C38">
        <f t="shared" si="2"/>
        <v>0</v>
      </c>
      <c r="D38">
        <f t="shared" si="3"/>
        <v>0</v>
      </c>
      <c r="E38">
        <f t="shared" ref="E38:E69" si="6">IF(IF((E$3*10^12-$A39)*(E$3*10^12-$A38)*-1&lt;0,0,1)*IF(ABS(E$3*10^12-$A39)&gt;(E$3*10^12-$A38),$A38,$A39)=E39,0,IF((E$3*10^12-$A39)*(E$3*10^12-$A38)*-1&lt;0,0,1)*IF(ABS(E$3*10^12-$A39)&gt;(E$3*10^12-$A38),$A38,$A39))</f>
        <v>0</v>
      </c>
    </row>
    <row r="39" spans="1:8">
      <c r="A39">
        <f t="shared" si="5"/>
        <v>270</v>
      </c>
      <c r="B39">
        <f t="shared" si="1"/>
        <v>0</v>
      </c>
      <c r="C39">
        <f t="shared" si="2"/>
        <v>0</v>
      </c>
      <c r="D39">
        <f t="shared" si="3"/>
        <v>0</v>
      </c>
      <c r="E39">
        <f t="shared" si="6"/>
        <v>0</v>
      </c>
    </row>
    <row r="40" spans="1:8">
      <c r="A40">
        <f t="shared" si="5"/>
        <v>330</v>
      </c>
      <c r="B40">
        <f t="shared" si="1"/>
        <v>0</v>
      </c>
      <c r="C40">
        <f t="shared" si="2"/>
        <v>0</v>
      </c>
      <c r="D40">
        <f t="shared" si="3"/>
        <v>0</v>
      </c>
      <c r="E40">
        <f t="shared" si="6"/>
        <v>0</v>
      </c>
    </row>
    <row r="41" spans="1:8">
      <c r="A41">
        <f t="shared" si="5"/>
        <v>390</v>
      </c>
      <c r="B41">
        <f t="shared" si="1"/>
        <v>0</v>
      </c>
      <c r="C41">
        <f t="shared" si="2"/>
        <v>0</v>
      </c>
      <c r="D41">
        <f t="shared" si="3"/>
        <v>0</v>
      </c>
      <c r="E41">
        <f t="shared" si="6"/>
        <v>0</v>
      </c>
    </row>
    <row r="42" spans="1:8">
      <c r="A42">
        <f t="shared" si="5"/>
        <v>470</v>
      </c>
      <c r="B42">
        <f t="shared" si="1"/>
        <v>0</v>
      </c>
      <c r="C42">
        <f t="shared" si="2"/>
        <v>0</v>
      </c>
      <c r="D42">
        <f t="shared" si="3"/>
        <v>0</v>
      </c>
      <c r="E42">
        <f t="shared" si="6"/>
        <v>0</v>
      </c>
    </row>
    <row r="43" spans="1:8">
      <c r="A43">
        <f t="shared" si="5"/>
        <v>560</v>
      </c>
      <c r="B43">
        <f t="shared" si="1"/>
        <v>0</v>
      </c>
      <c r="C43">
        <f t="shared" si="2"/>
        <v>0</v>
      </c>
      <c r="D43">
        <f t="shared" si="3"/>
        <v>0</v>
      </c>
      <c r="E43">
        <f t="shared" si="6"/>
        <v>0</v>
      </c>
    </row>
    <row r="44" spans="1:8">
      <c r="A44">
        <f t="shared" si="5"/>
        <v>680</v>
      </c>
      <c r="B44">
        <f t="shared" si="1"/>
        <v>0</v>
      </c>
      <c r="C44">
        <f t="shared" si="2"/>
        <v>0</v>
      </c>
      <c r="D44">
        <f t="shared" si="3"/>
        <v>0</v>
      </c>
      <c r="E44">
        <f t="shared" si="6"/>
        <v>0</v>
      </c>
    </row>
    <row r="45" spans="1:8">
      <c r="A45">
        <f>A33*10</f>
        <v>820</v>
      </c>
      <c r="B45">
        <f t="shared" si="1"/>
        <v>0</v>
      </c>
      <c r="C45">
        <f t="shared" si="2"/>
        <v>0</v>
      </c>
      <c r="D45">
        <f t="shared" si="3"/>
        <v>0</v>
      </c>
      <c r="E45">
        <f t="shared" si="6"/>
        <v>0</v>
      </c>
    </row>
    <row r="46" spans="1:8">
      <c r="A46">
        <f t="shared" si="5"/>
        <v>1000</v>
      </c>
      <c r="B46">
        <f t="shared" si="1"/>
        <v>0</v>
      </c>
      <c r="C46">
        <f t="shared" si="2"/>
        <v>0</v>
      </c>
      <c r="D46">
        <f t="shared" si="3"/>
        <v>0</v>
      </c>
      <c r="E46">
        <f t="shared" si="6"/>
        <v>0</v>
      </c>
    </row>
    <row r="47" spans="1:8">
      <c r="A47">
        <f t="shared" si="5"/>
        <v>1200</v>
      </c>
      <c r="B47">
        <f t="shared" si="1"/>
        <v>0</v>
      </c>
      <c r="C47">
        <f t="shared" si="2"/>
        <v>0</v>
      </c>
      <c r="D47">
        <f t="shared" si="3"/>
        <v>0</v>
      </c>
      <c r="E47">
        <f t="shared" si="6"/>
        <v>0</v>
      </c>
    </row>
    <row r="48" spans="1:8">
      <c r="A48">
        <f t="shared" si="5"/>
        <v>1500</v>
      </c>
      <c r="B48">
        <f t="shared" si="1"/>
        <v>0</v>
      </c>
      <c r="C48">
        <f t="shared" si="2"/>
        <v>0</v>
      </c>
      <c r="D48">
        <f t="shared" si="3"/>
        <v>0</v>
      </c>
      <c r="E48">
        <f t="shared" si="6"/>
        <v>0</v>
      </c>
    </row>
    <row r="49" spans="1:5">
      <c r="A49">
        <f t="shared" si="5"/>
        <v>1800</v>
      </c>
      <c r="B49">
        <f t="shared" si="1"/>
        <v>0</v>
      </c>
      <c r="C49">
        <f t="shared" si="2"/>
        <v>0</v>
      </c>
      <c r="D49">
        <f t="shared" si="3"/>
        <v>0</v>
      </c>
      <c r="E49">
        <f t="shared" si="6"/>
        <v>0</v>
      </c>
    </row>
    <row r="50" spans="1:5">
      <c r="A50">
        <f t="shared" si="5"/>
        <v>2200</v>
      </c>
      <c r="B50">
        <f t="shared" si="1"/>
        <v>0</v>
      </c>
      <c r="C50">
        <f t="shared" si="2"/>
        <v>0</v>
      </c>
      <c r="D50">
        <f t="shared" si="3"/>
        <v>0</v>
      </c>
      <c r="E50">
        <f t="shared" si="6"/>
        <v>0</v>
      </c>
    </row>
    <row r="51" spans="1:5">
      <c r="A51">
        <f t="shared" si="5"/>
        <v>2700</v>
      </c>
      <c r="B51">
        <f t="shared" si="1"/>
        <v>0</v>
      </c>
      <c r="C51">
        <f t="shared" si="2"/>
        <v>0</v>
      </c>
      <c r="D51">
        <f t="shared" si="3"/>
        <v>0</v>
      </c>
      <c r="E51">
        <f t="shared" si="6"/>
        <v>0</v>
      </c>
    </row>
    <row r="52" spans="1:5">
      <c r="A52">
        <f t="shared" si="5"/>
        <v>3300</v>
      </c>
      <c r="B52">
        <f t="shared" si="1"/>
        <v>0</v>
      </c>
      <c r="C52">
        <f t="shared" si="2"/>
        <v>0</v>
      </c>
      <c r="D52">
        <f t="shared" si="3"/>
        <v>0</v>
      </c>
      <c r="E52">
        <f t="shared" si="6"/>
        <v>0</v>
      </c>
    </row>
    <row r="53" spans="1:5">
      <c r="A53">
        <f t="shared" si="5"/>
        <v>3900</v>
      </c>
      <c r="B53">
        <f t="shared" si="1"/>
        <v>0</v>
      </c>
      <c r="C53">
        <f t="shared" si="2"/>
        <v>0</v>
      </c>
      <c r="D53">
        <f t="shared" si="3"/>
        <v>0</v>
      </c>
      <c r="E53">
        <f t="shared" si="6"/>
        <v>0</v>
      </c>
    </row>
    <row r="54" spans="1:5">
      <c r="A54">
        <f t="shared" si="5"/>
        <v>4700</v>
      </c>
      <c r="B54">
        <f t="shared" si="1"/>
        <v>0</v>
      </c>
      <c r="C54">
        <f t="shared" si="2"/>
        <v>0</v>
      </c>
      <c r="D54">
        <f t="shared" si="3"/>
        <v>0</v>
      </c>
      <c r="E54">
        <f t="shared" si="6"/>
        <v>0</v>
      </c>
    </row>
    <row r="55" spans="1:5">
      <c r="A55">
        <f t="shared" si="5"/>
        <v>5600</v>
      </c>
      <c r="B55">
        <f t="shared" si="1"/>
        <v>0</v>
      </c>
      <c r="C55">
        <f t="shared" si="2"/>
        <v>0</v>
      </c>
      <c r="D55">
        <f t="shared" si="3"/>
        <v>0</v>
      </c>
      <c r="E55">
        <f t="shared" si="6"/>
        <v>0</v>
      </c>
    </row>
    <row r="56" spans="1:5">
      <c r="A56">
        <f t="shared" si="5"/>
        <v>6800</v>
      </c>
      <c r="B56">
        <f t="shared" si="1"/>
        <v>0</v>
      </c>
      <c r="C56">
        <f t="shared" si="2"/>
        <v>0</v>
      </c>
      <c r="D56">
        <f t="shared" si="3"/>
        <v>0</v>
      </c>
      <c r="E56">
        <f t="shared" si="6"/>
        <v>0</v>
      </c>
    </row>
    <row r="57" spans="1:5">
      <c r="A57">
        <f t="shared" si="5"/>
        <v>8200</v>
      </c>
      <c r="B57">
        <f t="shared" si="1"/>
        <v>0</v>
      </c>
      <c r="C57">
        <f t="shared" si="2"/>
        <v>0</v>
      </c>
      <c r="D57">
        <f t="shared" si="3"/>
        <v>0</v>
      </c>
      <c r="E57">
        <f t="shared" si="6"/>
        <v>0</v>
      </c>
    </row>
    <row r="58" spans="1:5">
      <c r="A58">
        <f t="shared" si="5"/>
        <v>10000</v>
      </c>
      <c r="B58">
        <f t="shared" si="1"/>
        <v>0</v>
      </c>
      <c r="C58">
        <f t="shared" si="2"/>
        <v>0</v>
      </c>
      <c r="D58">
        <f t="shared" si="3"/>
        <v>0</v>
      </c>
      <c r="E58">
        <f t="shared" si="6"/>
        <v>0</v>
      </c>
    </row>
    <row r="59" spans="1:5">
      <c r="A59">
        <f t="shared" si="5"/>
        <v>12000</v>
      </c>
      <c r="B59">
        <f t="shared" si="1"/>
        <v>0</v>
      </c>
      <c r="C59">
        <f t="shared" si="2"/>
        <v>0</v>
      </c>
      <c r="D59">
        <f t="shared" si="3"/>
        <v>0</v>
      </c>
      <c r="E59">
        <f t="shared" si="6"/>
        <v>0</v>
      </c>
    </row>
    <row r="60" spans="1:5">
      <c r="A60">
        <f t="shared" si="5"/>
        <v>15000</v>
      </c>
      <c r="B60">
        <f t="shared" si="1"/>
        <v>0</v>
      </c>
      <c r="C60">
        <f t="shared" si="2"/>
        <v>0</v>
      </c>
      <c r="D60">
        <f t="shared" si="3"/>
        <v>0</v>
      </c>
      <c r="E60">
        <f t="shared" si="6"/>
        <v>0</v>
      </c>
    </row>
    <row r="61" spans="1:5">
      <c r="A61">
        <f t="shared" si="5"/>
        <v>18000</v>
      </c>
      <c r="B61">
        <f t="shared" si="1"/>
        <v>0</v>
      </c>
      <c r="C61">
        <f t="shared" si="2"/>
        <v>0</v>
      </c>
      <c r="D61">
        <f t="shared" si="3"/>
        <v>0</v>
      </c>
      <c r="E61">
        <f t="shared" si="6"/>
        <v>0</v>
      </c>
    </row>
    <row r="62" spans="1:5">
      <c r="A62">
        <f t="shared" si="5"/>
        <v>22000</v>
      </c>
      <c r="B62">
        <f t="shared" si="1"/>
        <v>0</v>
      </c>
      <c r="C62">
        <f t="shared" si="2"/>
        <v>0</v>
      </c>
      <c r="D62">
        <f t="shared" si="3"/>
        <v>0</v>
      </c>
      <c r="E62">
        <f t="shared" si="6"/>
        <v>0</v>
      </c>
    </row>
    <row r="63" spans="1:5">
      <c r="A63">
        <f t="shared" si="5"/>
        <v>27000</v>
      </c>
      <c r="B63">
        <f t="shared" si="1"/>
        <v>0</v>
      </c>
      <c r="C63">
        <f t="shared" si="2"/>
        <v>0</v>
      </c>
      <c r="D63">
        <f t="shared" si="3"/>
        <v>0</v>
      </c>
      <c r="E63">
        <f t="shared" si="6"/>
        <v>0</v>
      </c>
    </row>
    <row r="64" spans="1:5">
      <c r="A64">
        <f t="shared" si="5"/>
        <v>33000</v>
      </c>
      <c r="B64">
        <f t="shared" si="1"/>
        <v>0</v>
      </c>
      <c r="C64">
        <f t="shared" si="2"/>
        <v>0</v>
      </c>
      <c r="D64">
        <f t="shared" si="3"/>
        <v>0</v>
      </c>
      <c r="E64">
        <f t="shared" si="6"/>
        <v>0</v>
      </c>
    </row>
    <row r="65" spans="1:5">
      <c r="A65">
        <f t="shared" si="5"/>
        <v>39000</v>
      </c>
      <c r="B65">
        <f t="shared" si="1"/>
        <v>0</v>
      </c>
      <c r="C65">
        <f t="shared" si="2"/>
        <v>0</v>
      </c>
      <c r="D65">
        <f t="shared" si="3"/>
        <v>0</v>
      </c>
      <c r="E65">
        <f t="shared" si="6"/>
        <v>0</v>
      </c>
    </row>
    <row r="66" spans="1:5">
      <c r="A66">
        <f t="shared" si="5"/>
        <v>47000</v>
      </c>
      <c r="B66">
        <f t="shared" si="1"/>
        <v>47000</v>
      </c>
      <c r="C66">
        <f t="shared" si="2"/>
        <v>0</v>
      </c>
      <c r="D66">
        <f t="shared" si="3"/>
        <v>0</v>
      </c>
      <c r="E66">
        <f t="shared" si="6"/>
        <v>0</v>
      </c>
    </row>
    <row r="67" spans="1:5">
      <c r="A67">
        <f t="shared" si="5"/>
        <v>56000</v>
      </c>
      <c r="B67">
        <f t="shared" si="1"/>
        <v>0</v>
      </c>
      <c r="C67">
        <f t="shared" si="2"/>
        <v>0</v>
      </c>
      <c r="D67">
        <f t="shared" si="3"/>
        <v>0</v>
      </c>
      <c r="E67">
        <f t="shared" si="6"/>
        <v>0</v>
      </c>
    </row>
    <row r="68" spans="1:5">
      <c r="A68">
        <f t="shared" si="5"/>
        <v>68000</v>
      </c>
      <c r="B68">
        <f t="shared" si="1"/>
        <v>0</v>
      </c>
      <c r="C68">
        <f t="shared" si="2"/>
        <v>0</v>
      </c>
      <c r="D68">
        <f t="shared" si="3"/>
        <v>0</v>
      </c>
      <c r="E68">
        <f t="shared" si="6"/>
        <v>0</v>
      </c>
    </row>
    <row r="69" spans="1:5">
      <c r="A69">
        <f t="shared" si="5"/>
        <v>82000</v>
      </c>
      <c r="B69">
        <f t="shared" si="1"/>
        <v>0</v>
      </c>
      <c r="C69">
        <f t="shared" si="2"/>
        <v>0</v>
      </c>
      <c r="D69">
        <f t="shared" si="3"/>
        <v>0</v>
      </c>
      <c r="E69">
        <f t="shared" si="6"/>
        <v>0</v>
      </c>
    </row>
    <row r="70" spans="1:5">
      <c r="A70">
        <f t="shared" si="5"/>
        <v>100000</v>
      </c>
      <c r="B70">
        <f t="shared" si="1"/>
        <v>0</v>
      </c>
      <c r="C70">
        <f>IF(IF((C$3*10^12-$A71)*(C$3*10^12-$A70)*-1&lt;0,0,1)*IF(ABS(C$3*10^12-$A71)&gt;(C$3*10^12-$A70),$A70,$A71)=C71,0,IF((C$3*10^12-$A71)*(C$3*10^12-$A70)*-1&lt;0,0,1)*IF(ABS(C$3*10^12-$A71)&gt;(C$3*10^12-$A70),$A70,$A71))</f>
        <v>0</v>
      </c>
      <c r="D70">
        <f>IF(IF((D$3*10^12-$A71)*(D$3*10^12-$A70)*-1&lt;0,0,1)*IF(ABS(D$3*10^12-$A71)&gt;(D$3*10^12-$A70),$A70,$A71)=D71,0,IF((D$3*10^12-$A71)*(D$3*10^12-$A70)*-1&lt;0,0,1)*IF(ABS(D$3*10^12-$A71)&gt;(D$3*10^12-$A70),$A70,$A71))</f>
        <v>0</v>
      </c>
      <c r="E70">
        <f t="shared" ref="E70:E101" si="7">IF(IF((E$3*10^12-$A71)*(E$3*10^12-$A70)*-1&lt;0,0,1)*IF(ABS(E$3*10^12-$A71)&gt;(E$3*10^12-$A70),$A70,$A71)=E71,0,IF((E$3*10^12-$A71)*(E$3*10^12-$A70)*-1&lt;0,0,1)*IF(ABS(E$3*10^12-$A71)&gt;(E$3*10^12-$A70),$A70,$A71))</f>
        <v>0</v>
      </c>
    </row>
    <row r="71" spans="1:5">
      <c r="A71">
        <f t="shared" si="5"/>
        <v>120000</v>
      </c>
      <c r="B71">
        <f t="shared" ref="B71:B134" si="8">IF(IF((B$3*10^12-$A72)*(B$3*10^12-$A71)*-1&lt;0,0,1)*IF(ABS(B$3*10^12-$A72)&gt;(B$3*10^12-$A71),$A71,$A72)=B72,0,IF((B$3*10^12-$A72)*(B$3*10^12-$A71)*-1&lt;0,0,1)*IF(ABS(B$3*10^12-$A72)&gt;(B$3*10^12-$A71),$A71,$A72))</f>
        <v>0</v>
      </c>
      <c r="C71">
        <f t="shared" ref="C71:C133" si="9">IF(IF((C$3*10^12-$A72)*(C$3*10^12-$A71)*-1&lt;0,0,1)*IF(ABS(C$3*10^12-$A72)&gt;(C$3*10^12-$A71),$A71,$A72)=C72,0,IF((C$3*10^12-$A72)*(C$3*10^12-$A71)*-1&lt;0,0,1)*IF(ABS(C$3*10^12-$A72)&gt;(C$3*10^12-$A71),$A71,$A72))</f>
        <v>0</v>
      </c>
      <c r="D71">
        <f t="shared" ref="D71:D102" si="10">IF(IF((D$3*10^12-$A72)*(D$3*10^12-$A71)*-1&lt;0,0,1)*IF(ABS(D$3*10^12-$A72)&gt;(D$3*10^12-$A71),$A71,$A72)=D72,0,IF((D$3*10^12-$A72)*(D$3*10^12-$A71)*-1&lt;0,0,1)*IF(ABS(D$3*10^12-$A72)&gt;(D$3*10^12-$A71),$A71,$A72))</f>
        <v>0</v>
      </c>
      <c r="E71">
        <f t="shared" si="7"/>
        <v>0</v>
      </c>
    </row>
    <row r="72" spans="1:5">
      <c r="A72">
        <f t="shared" si="5"/>
        <v>150000</v>
      </c>
      <c r="B72">
        <f t="shared" si="8"/>
        <v>0</v>
      </c>
      <c r="C72">
        <f t="shared" si="9"/>
        <v>0</v>
      </c>
      <c r="D72">
        <f t="shared" si="10"/>
        <v>0</v>
      </c>
      <c r="E72">
        <f t="shared" si="7"/>
        <v>0</v>
      </c>
    </row>
    <row r="73" spans="1:5">
      <c r="A73">
        <f t="shared" si="5"/>
        <v>180000</v>
      </c>
      <c r="B73">
        <f t="shared" si="8"/>
        <v>0</v>
      </c>
      <c r="C73">
        <f t="shared" si="9"/>
        <v>0</v>
      </c>
      <c r="D73">
        <f t="shared" si="10"/>
        <v>0</v>
      </c>
      <c r="E73">
        <f t="shared" si="7"/>
        <v>0</v>
      </c>
    </row>
    <row r="74" spans="1:5">
      <c r="A74">
        <f t="shared" si="5"/>
        <v>220000</v>
      </c>
      <c r="B74">
        <f t="shared" si="8"/>
        <v>0</v>
      </c>
      <c r="C74">
        <f t="shared" si="9"/>
        <v>0</v>
      </c>
      <c r="D74">
        <f t="shared" si="10"/>
        <v>0</v>
      </c>
      <c r="E74">
        <f t="shared" si="7"/>
        <v>0</v>
      </c>
    </row>
    <row r="75" spans="1:5">
      <c r="A75">
        <f t="shared" si="5"/>
        <v>270000</v>
      </c>
      <c r="B75">
        <f t="shared" si="8"/>
        <v>0</v>
      </c>
      <c r="C75">
        <f t="shared" si="9"/>
        <v>0</v>
      </c>
      <c r="D75">
        <f t="shared" si="10"/>
        <v>0</v>
      </c>
      <c r="E75">
        <f t="shared" si="7"/>
        <v>0</v>
      </c>
    </row>
    <row r="76" spans="1:5">
      <c r="A76">
        <f t="shared" si="5"/>
        <v>330000</v>
      </c>
      <c r="B76">
        <f t="shared" si="8"/>
        <v>0</v>
      </c>
      <c r="C76">
        <f t="shared" si="9"/>
        <v>0</v>
      </c>
      <c r="D76">
        <f t="shared" si="10"/>
        <v>0</v>
      </c>
      <c r="E76">
        <f t="shared" si="7"/>
        <v>0</v>
      </c>
    </row>
    <row r="77" spans="1:5">
      <c r="A77">
        <f t="shared" si="5"/>
        <v>390000</v>
      </c>
      <c r="B77">
        <f t="shared" si="8"/>
        <v>0</v>
      </c>
      <c r="C77">
        <f t="shared" si="9"/>
        <v>0</v>
      </c>
      <c r="D77">
        <f t="shared" si="10"/>
        <v>0</v>
      </c>
      <c r="E77">
        <f t="shared" si="7"/>
        <v>0</v>
      </c>
    </row>
    <row r="78" spans="1:5">
      <c r="A78">
        <f t="shared" si="5"/>
        <v>470000</v>
      </c>
      <c r="B78">
        <f t="shared" si="8"/>
        <v>0</v>
      </c>
      <c r="C78">
        <f t="shared" si="9"/>
        <v>0</v>
      </c>
      <c r="D78">
        <f t="shared" si="10"/>
        <v>0</v>
      </c>
      <c r="E78">
        <f t="shared" si="7"/>
        <v>0</v>
      </c>
    </row>
    <row r="79" spans="1:5">
      <c r="A79">
        <f t="shared" si="5"/>
        <v>560000</v>
      </c>
      <c r="B79">
        <f t="shared" si="8"/>
        <v>0</v>
      </c>
      <c r="C79">
        <f t="shared" si="9"/>
        <v>0</v>
      </c>
      <c r="D79">
        <f t="shared" si="10"/>
        <v>0</v>
      </c>
      <c r="E79">
        <f t="shared" si="7"/>
        <v>0</v>
      </c>
    </row>
    <row r="80" spans="1:5">
      <c r="A80">
        <f t="shared" si="5"/>
        <v>680000</v>
      </c>
      <c r="B80">
        <f t="shared" si="8"/>
        <v>0</v>
      </c>
      <c r="C80">
        <f t="shared" si="9"/>
        <v>0</v>
      </c>
      <c r="D80">
        <f t="shared" si="10"/>
        <v>0</v>
      </c>
      <c r="E80">
        <f t="shared" si="7"/>
        <v>0</v>
      </c>
    </row>
    <row r="81" spans="1:5">
      <c r="A81">
        <f t="shared" si="5"/>
        <v>820000</v>
      </c>
      <c r="B81">
        <f t="shared" si="8"/>
        <v>0</v>
      </c>
      <c r="C81">
        <f t="shared" si="9"/>
        <v>0</v>
      </c>
      <c r="D81">
        <f t="shared" si="10"/>
        <v>0</v>
      </c>
      <c r="E81">
        <f t="shared" si="7"/>
        <v>0</v>
      </c>
    </row>
    <row r="82" spans="1:5">
      <c r="A82">
        <f t="shared" si="5"/>
        <v>1000000</v>
      </c>
      <c r="B82">
        <f t="shared" si="8"/>
        <v>0</v>
      </c>
      <c r="C82">
        <f t="shared" si="9"/>
        <v>0</v>
      </c>
      <c r="D82">
        <f t="shared" si="10"/>
        <v>0</v>
      </c>
      <c r="E82">
        <f t="shared" si="7"/>
        <v>0</v>
      </c>
    </row>
    <row r="83" spans="1:5">
      <c r="A83">
        <f t="shared" si="5"/>
        <v>1200000</v>
      </c>
      <c r="B83">
        <f t="shared" si="8"/>
        <v>0</v>
      </c>
      <c r="C83">
        <f t="shared" si="9"/>
        <v>0</v>
      </c>
      <c r="D83">
        <f t="shared" si="10"/>
        <v>0</v>
      </c>
      <c r="E83">
        <f t="shared" si="7"/>
        <v>0</v>
      </c>
    </row>
    <row r="84" spans="1:5">
      <c r="A84">
        <f t="shared" si="5"/>
        <v>1500000</v>
      </c>
      <c r="B84">
        <f t="shared" si="8"/>
        <v>0</v>
      </c>
      <c r="C84">
        <f t="shared" si="9"/>
        <v>0</v>
      </c>
      <c r="D84">
        <f t="shared" si="10"/>
        <v>0</v>
      </c>
      <c r="E84">
        <f t="shared" si="7"/>
        <v>0</v>
      </c>
    </row>
    <row r="85" spans="1:5">
      <c r="A85">
        <f t="shared" si="5"/>
        <v>1800000</v>
      </c>
      <c r="B85">
        <f t="shared" si="8"/>
        <v>0</v>
      </c>
      <c r="C85">
        <f t="shared" si="9"/>
        <v>0</v>
      </c>
      <c r="D85">
        <f t="shared" si="10"/>
        <v>0</v>
      </c>
      <c r="E85">
        <f t="shared" si="7"/>
        <v>0</v>
      </c>
    </row>
    <row r="86" spans="1:5">
      <c r="A86">
        <f t="shared" si="5"/>
        <v>2200000</v>
      </c>
      <c r="B86">
        <f t="shared" si="8"/>
        <v>0</v>
      </c>
      <c r="C86">
        <f t="shared" si="9"/>
        <v>0</v>
      </c>
      <c r="D86">
        <f t="shared" si="10"/>
        <v>0</v>
      </c>
      <c r="E86">
        <f t="shared" si="7"/>
        <v>0</v>
      </c>
    </row>
    <row r="87" spans="1:5">
      <c r="A87">
        <f t="shared" si="5"/>
        <v>2700000</v>
      </c>
      <c r="B87">
        <f t="shared" si="8"/>
        <v>0</v>
      </c>
      <c r="C87">
        <f t="shared" si="9"/>
        <v>0</v>
      </c>
      <c r="D87">
        <f t="shared" si="10"/>
        <v>0</v>
      </c>
      <c r="E87">
        <f t="shared" si="7"/>
        <v>0</v>
      </c>
    </row>
    <row r="88" spans="1:5">
      <c r="A88">
        <f t="shared" si="5"/>
        <v>3300000</v>
      </c>
      <c r="B88">
        <f t="shared" si="8"/>
        <v>0</v>
      </c>
      <c r="C88">
        <f t="shared" si="9"/>
        <v>0</v>
      </c>
      <c r="D88">
        <f t="shared" si="10"/>
        <v>0</v>
      </c>
      <c r="E88">
        <f t="shared" si="7"/>
        <v>0</v>
      </c>
    </row>
    <row r="89" spans="1:5">
      <c r="A89">
        <f t="shared" si="5"/>
        <v>3900000</v>
      </c>
      <c r="B89">
        <f t="shared" si="8"/>
        <v>0</v>
      </c>
      <c r="C89">
        <f t="shared" si="9"/>
        <v>0</v>
      </c>
      <c r="D89">
        <f t="shared" si="10"/>
        <v>0</v>
      </c>
      <c r="E89">
        <f t="shared" si="7"/>
        <v>0</v>
      </c>
    </row>
    <row r="90" spans="1:5">
      <c r="A90">
        <f t="shared" si="5"/>
        <v>4700000</v>
      </c>
      <c r="B90">
        <f t="shared" si="8"/>
        <v>0</v>
      </c>
      <c r="C90">
        <f t="shared" si="9"/>
        <v>0</v>
      </c>
      <c r="D90">
        <f t="shared" si="10"/>
        <v>0</v>
      </c>
      <c r="E90">
        <f t="shared" si="7"/>
        <v>0</v>
      </c>
    </row>
    <row r="91" spans="1:5">
      <c r="A91">
        <f t="shared" si="5"/>
        <v>5600000</v>
      </c>
      <c r="B91">
        <f t="shared" si="8"/>
        <v>0</v>
      </c>
      <c r="C91">
        <f t="shared" si="9"/>
        <v>0</v>
      </c>
      <c r="D91">
        <f t="shared" si="10"/>
        <v>0</v>
      </c>
      <c r="E91">
        <f t="shared" si="7"/>
        <v>0</v>
      </c>
    </row>
    <row r="92" spans="1:5">
      <c r="A92">
        <f t="shared" si="5"/>
        <v>6800000</v>
      </c>
      <c r="B92">
        <f t="shared" si="8"/>
        <v>0</v>
      </c>
      <c r="C92">
        <f t="shared" si="9"/>
        <v>0</v>
      </c>
      <c r="D92">
        <f t="shared" si="10"/>
        <v>0</v>
      </c>
      <c r="E92">
        <f t="shared" si="7"/>
        <v>0</v>
      </c>
    </row>
    <row r="93" spans="1:5">
      <c r="A93">
        <f t="shared" si="5"/>
        <v>8200000</v>
      </c>
      <c r="B93">
        <f t="shared" si="8"/>
        <v>0</v>
      </c>
      <c r="C93">
        <f t="shared" si="9"/>
        <v>0</v>
      </c>
      <c r="D93">
        <f t="shared" si="10"/>
        <v>0</v>
      </c>
      <c r="E93">
        <f t="shared" si="7"/>
        <v>0</v>
      </c>
    </row>
    <row r="94" spans="1:5">
      <c r="A94">
        <f t="shared" si="5"/>
        <v>10000000</v>
      </c>
      <c r="B94">
        <f t="shared" si="8"/>
        <v>0</v>
      </c>
      <c r="C94">
        <f t="shared" si="9"/>
        <v>0</v>
      </c>
      <c r="D94">
        <f t="shared" si="10"/>
        <v>0</v>
      </c>
      <c r="E94">
        <f t="shared" si="7"/>
        <v>0</v>
      </c>
    </row>
    <row r="95" spans="1:5">
      <c r="A95">
        <f t="shared" si="5"/>
        <v>12000000</v>
      </c>
      <c r="B95">
        <f t="shared" si="8"/>
        <v>0</v>
      </c>
      <c r="C95">
        <f t="shared" si="9"/>
        <v>0</v>
      </c>
      <c r="D95">
        <f t="shared" si="10"/>
        <v>0</v>
      </c>
      <c r="E95">
        <f t="shared" si="7"/>
        <v>0</v>
      </c>
    </row>
    <row r="96" spans="1:5">
      <c r="A96">
        <f t="shared" si="5"/>
        <v>15000000</v>
      </c>
      <c r="B96">
        <f t="shared" si="8"/>
        <v>0</v>
      </c>
      <c r="C96">
        <f t="shared" si="9"/>
        <v>0</v>
      </c>
      <c r="D96">
        <f t="shared" si="10"/>
        <v>0</v>
      </c>
      <c r="E96">
        <f t="shared" si="7"/>
        <v>0</v>
      </c>
    </row>
    <row r="97" spans="1:5">
      <c r="A97">
        <f t="shared" si="5"/>
        <v>18000000</v>
      </c>
      <c r="B97">
        <f t="shared" si="8"/>
        <v>0</v>
      </c>
      <c r="C97">
        <f t="shared" si="9"/>
        <v>0</v>
      </c>
      <c r="D97">
        <f t="shared" si="10"/>
        <v>0</v>
      </c>
      <c r="E97">
        <f t="shared" si="7"/>
        <v>0</v>
      </c>
    </row>
    <row r="98" spans="1:5">
      <c r="A98">
        <f t="shared" si="5"/>
        <v>22000000</v>
      </c>
      <c r="B98">
        <f t="shared" si="8"/>
        <v>0</v>
      </c>
      <c r="C98">
        <f t="shared" si="9"/>
        <v>0</v>
      </c>
      <c r="D98">
        <f t="shared" si="10"/>
        <v>0</v>
      </c>
      <c r="E98">
        <f t="shared" si="7"/>
        <v>0</v>
      </c>
    </row>
    <row r="99" spans="1:5">
      <c r="A99">
        <f t="shared" ref="A99:A159" si="11">A87*10</f>
        <v>27000000</v>
      </c>
      <c r="B99">
        <f t="shared" si="8"/>
        <v>0</v>
      </c>
      <c r="C99">
        <f t="shared" si="9"/>
        <v>0</v>
      </c>
      <c r="D99">
        <f t="shared" si="10"/>
        <v>0</v>
      </c>
      <c r="E99">
        <f t="shared" si="7"/>
        <v>0</v>
      </c>
    </row>
    <row r="100" spans="1:5">
      <c r="A100">
        <f t="shared" si="11"/>
        <v>33000000</v>
      </c>
      <c r="B100">
        <f t="shared" si="8"/>
        <v>0</v>
      </c>
      <c r="C100">
        <f t="shared" si="9"/>
        <v>0</v>
      </c>
      <c r="D100">
        <f t="shared" si="10"/>
        <v>0</v>
      </c>
      <c r="E100">
        <f t="shared" si="7"/>
        <v>0</v>
      </c>
    </row>
    <row r="101" spans="1:5">
      <c r="A101">
        <f t="shared" si="11"/>
        <v>39000000</v>
      </c>
      <c r="B101">
        <f t="shared" si="8"/>
        <v>0</v>
      </c>
      <c r="C101">
        <f t="shared" si="9"/>
        <v>0</v>
      </c>
      <c r="D101">
        <f t="shared" si="10"/>
        <v>0</v>
      </c>
      <c r="E101">
        <f t="shared" si="7"/>
        <v>0</v>
      </c>
    </row>
    <row r="102" spans="1:5">
      <c r="A102">
        <f t="shared" si="11"/>
        <v>47000000</v>
      </c>
      <c r="B102">
        <f t="shared" si="8"/>
        <v>0</v>
      </c>
      <c r="C102">
        <f t="shared" si="9"/>
        <v>0</v>
      </c>
      <c r="D102">
        <f t="shared" si="10"/>
        <v>0</v>
      </c>
      <c r="E102">
        <f t="shared" ref="E102:E133" si="12">IF(IF((E$3*10^12-$A103)*(E$3*10^12-$A102)*-1&lt;0,0,1)*IF(ABS(E$3*10^12-$A103)&gt;(E$3*10^12-$A102),$A102,$A103)=E103,0,IF((E$3*10^12-$A103)*(E$3*10^12-$A102)*-1&lt;0,0,1)*IF(ABS(E$3*10^12-$A103)&gt;(E$3*10^12-$A102),$A102,$A103))</f>
        <v>0</v>
      </c>
    </row>
    <row r="103" spans="1:5">
      <c r="A103">
        <f t="shared" si="11"/>
        <v>56000000</v>
      </c>
      <c r="B103">
        <f t="shared" si="8"/>
        <v>0</v>
      </c>
      <c r="C103">
        <f t="shared" si="9"/>
        <v>0</v>
      </c>
      <c r="D103">
        <f t="shared" ref="D103:D134" si="13">IF(IF((D$3*10^12-$A104)*(D$3*10^12-$A103)*-1&lt;0,0,1)*IF(ABS(D$3*10^12-$A104)&gt;(D$3*10^12-$A103),$A103,$A104)=D104,0,IF((D$3*10^12-$A104)*(D$3*10^12-$A103)*-1&lt;0,0,1)*IF(ABS(D$3*10^12-$A104)&gt;(D$3*10^12-$A103),$A103,$A104))</f>
        <v>0</v>
      </c>
      <c r="E103">
        <f t="shared" si="12"/>
        <v>0</v>
      </c>
    </row>
    <row r="104" spans="1:5">
      <c r="A104">
        <f t="shared" si="11"/>
        <v>68000000</v>
      </c>
      <c r="B104">
        <f t="shared" si="8"/>
        <v>0</v>
      </c>
      <c r="C104">
        <f t="shared" si="9"/>
        <v>0</v>
      </c>
      <c r="D104">
        <f t="shared" si="13"/>
        <v>0</v>
      </c>
      <c r="E104">
        <f t="shared" si="12"/>
        <v>0</v>
      </c>
    </row>
    <row r="105" spans="1:5">
      <c r="A105">
        <f t="shared" si="11"/>
        <v>82000000</v>
      </c>
      <c r="B105">
        <f t="shared" si="8"/>
        <v>0</v>
      </c>
      <c r="C105">
        <f t="shared" si="9"/>
        <v>0</v>
      </c>
      <c r="D105">
        <f t="shared" si="13"/>
        <v>0</v>
      </c>
      <c r="E105">
        <f t="shared" si="12"/>
        <v>0</v>
      </c>
    </row>
    <row r="106" spans="1:5">
      <c r="A106">
        <f t="shared" si="11"/>
        <v>100000000</v>
      </c>
      <c r="B106">
        <f t="shared" si="8"/>
        <v>0</v>
      </c>
      <c r="C106">
        <f t="shared" si="9"/>
        <v>0</v>
      </c>
      <c r="D106">
        <f t="shared" si="13"/>
        <v>0</v>
      </c>
      <c r="E106">
        <f t="shared" si="12"/>
        <v>0</v>
      </c>
    </row>
    <row r="107" spans="1:5">
      <c r="A107">
        <f t="shared" si="11"/>
        <v>120000000</v>
      </c>
      <c r="B107">
        <f t="shared" si="8"/>
        <v>0</v>
      </c>
      <c r="C107">
        <f t="shared" si="9"/>
        <v>0</v>
      </c>
      <c r="D107">
        <f t="shared" si="13"/>
        <v>0</v>
      </c>
      <c r="E107">
        <f t="shared" si="12"/>
        <v>0</v>
      </c>
    </row>
    <row r="108" spans="1:5">
      <c r="A108">
        <f t="shared" si="11"/>
        <v>150000000</v>
      </c>
      <c r="B108">
        <f t="shared" si="8"/>
        <v>0</v>
      </c>
      <c r="C108">
        <f t="shared" si="9"/>
        <v>0</v>
      </c>
      <c r="D108">
        <f t="shared" si="13"/>
        <v>0</v>
      </c>
      <c r="E108">
        <f t="shared" si="12"/>
        <v>0</v>
      </c>
    </row>
    <row r="109" spans="1:5">
      <c r="A109">
        <f t="shared" si="11"/>
        <v>180000000</v>
      </c>
      <c r="B109">
        <f t="shared" si="8"/>
        <v>0</v>
      </c>
      <c r="C109">
        <f t="shared" si="9"/>
        <v>0</v>
      </c>
      <c r="D109">
        <f t="shared" si="13"/>
        <v>0</v>
      </c>
      <c r="E109">
        <f t="shared" si="12"/>
        <v>0</v>
      </c>
    </row>
    <row r="110" spans="1:5">
      <c r="A110">
        <f t="shared" si="11"/>
        <v>220000000</v>
      </c>
      <c r="B110">
        <f t="shared" si="8"/>
        <v>0</v>
      </c>
      <c r="C110">
        <f t="shared" si="9"/>
        <v>0</v>
      </c>
      <c r="D110">
        <f t="shared" si="13"/>
        <v>0</v>
      </c>
      <c r="E110">
        <f t="shared" si="12"/>
        <v>0</v>
      </c>
    </row>
    <row r="111" spans="1:5">
      <c r="A111">
        <f t="shared" si="11"/>
        <v>270000000</v>
      </c>
      <c r="B111">
        <f t="shared" si="8"/>
        <v>0</v>
      </c>
      <c r="C111">
        <f t="shared" si="9"/>
        <v>0</v>
      </c>
      <c r="D111">
        <f t="shared" si="13"/>
        <v>0</v>
      </c>
      <c r="E111">
        <f t="shared" si="12"/>
        <v>0</v>
      </c>
    </row>
    <row r="112" spans="1:5">
      <c r="A112">
        <f t="shared" si="11"/>
        <v>330000000</v>
      </c>
      <c r="B112">
        <f t="shared" si="8"/>
        <v>0</v>
      </c>
      <c r="C112">
        <f t="shared" si="9"/>
        <v>0</v>
      </c>
      <c r="D112">
        <f t="shared" si="13"/>
        <v>0</v>
      </c>
      <c r="E112">
        <f t="shared" si="12"/>
        <v>0</v>
      </c>
    </row>
    <row r="113" spans="1:5">
      <c r="A113">
        <f t="shared" si="11"/>
        <v>390000000</v>
      </c>
      <c r="B113">
        <f t="shared" si="8"/>
        <v>0</v>
      </c>
      <c r="C113">
        <f t="shared" si="9"/>
        <v>0</v>
      </c>
      <c r="D113">
        <f t="shared" si="13"/>
        <v>0</v>
      </c>
      <c r="E113">
        <f t="shared" si="12"/>
        <v>0</v>
      </c>
    </row>
    <row r="114" spans="1:5">
      <c r="A114">
        <f t="shared" si="11"/>
        <v>470000000</v>
      </c>
      <c r="B114">
        <f t="shared" si="8"/>
        <v>0</v>
      </c>
      <c r="C114">
        <f t="shared" si="9"/>
        <v>0</v>
      </c>
      <c r="D114">
        <f t="shared" si="13"/>
        <v>0</v>
      </c>
      <c r="E114">
        <f t="shared" si="12"/>
        <v>0</v>
      </c>
    </row>
    <row r="115" spans="1:5">
      <c r="A115">
        <f t="shared" si="11"/>
        <v>560000000</v>
      </c>
      <c r="B115">
        <f t="shared" si="8"/>
        <v>0</v>
      </c>
      <c r="C115">
        <f t="shared" si="9"/>
        <v>0</v>
      </c>
      <c r="D115">
        <f t="shared" si="13"/>
        <v>0</v>
      </c>
      <c r="E115">
        <f t="shared" si="12"/>
        <v>0</v>
      </c>
    </row>
    <row r="116" spans="1:5">
      <c r="A116">
        <f t="shared" si="11"/>
        <v>680000000</v>
      </c>
      <c r="B116">
        <f t="shared" si="8"/>
        <v>0</v>
      </c>
      <c r="C116">
        <f t="shared" si="9"/>
        <v>0</v>
      </c>
      <c r="D116">
        <f t="shared" si="13"/>
        <v>0</v>
      </c>
      <c r="E116">
        <f t="shared" si="12"/>
        <v>0</v>
      </c>
    </row>
    <row r="117" spans="1:5">
      <c r="A117">
        <f t="shared" si="11"/>
        <v>820000000</v>
      </c>
      <c r="B117">
        <f t="shared" si="8"/>
        <v>0</v>
      </c>
      <c r="C117">
        <f t="shared" si="9"/>
        <v>0</v>
      </c>
      <c r="D117">
        <f t="shared" si="13"/>
        <v>0</v>
      </c>
      <c r="E117">
        <f t="shared" si="12"/>
        <v>0</v>
      </c>
    </row>
    <row r="118" spans="1:5">
      <c r="A118">
        <f t="shared" si="11"/>
        <v>1000000000</v>
      </c>
      <c r="B118">
        <f t="shared" si="8"/>
        <v>0</v>
      </c>
      <c r="C118">
        <f t="shared" si="9"/>
        <v>0</v>
      </c>
      <c r="D118">
        <f t="shared" si="13"/>
        <v>0</v>
      </c>
      <c r="E118">
        <f t="shared" si="12"/>
        <v>0</v>
      </c>
    </row>
    <row r="119" spans="1:5">
      <c r="A119">
        <f t="shared" si="11"/>
        <v>1200000000</v>
      </c>
      <c r="B119">
        <f t="shared" si="8"/>
        <v>0</v>
      </c>
      <c r="C119">
        <f t="shared" si="9"/>
        <v>0</v>
      </c>
      <c r="D119">
        <f t="shared" si="13"/>
        <v>0</v>
      </c>
      <c r="E119">
        <f t="shared" si="12"/>
        <v>0</v>
      </c>
    </row>
    <row r="120" spans="1:5">
      <c r="A120">
        <f t="shared" si="11"/>
        <v>1500000000</v>
      </c>
      <c r="B120">
        <f t="shared" si="8"/>
        <v>0</v>
      </c>
      <c r="C120">
        <f t="shared" si="9"/>
        <v>0</v>
      </c>
      <c r="D120">
        <f t="shared" si="13"/>
        <v>0</v>
      </c>
      <c r="E120">
        <f t="shared" si="12"/>
        <v>0</v>
      </c>
    </row>
    <row r="121" spans="1:5">
      <c r="A121">
        <f t="shared" si="11"/>
        <v>1800000000</v>
      </c>
      <c r="B121">
        <f t="shared" si="8"/>
        <v>0</v>
      </c>
      <c r="C121">
        <f t="shared" si="9"/>
        <v>0</v>
      </c>
      <c r="D121">
        <f t="shared" si="13"/>
        <v>0</v>
      </c>
      <c r="E121">
        <f t="shared" si="12"/>
        <v>0</v>
      </c>
    </row>
    <row r="122" spans="1:5">
      <c r="A122">
        <f t="shared" si="11"/>
        <v>2200000000</v>
      </c>
      <c r="B122">
        <f t="shared" si="8"/>
        <v>0</v>
      </c>
      <c r="C122">
        <f t="shared" si="9"/>
        <v>0</v>
      </c>
      <c r="D122">
        <f t="shared" si="13"/>
        <v>0</v>
      </c>
      <c r="E122">
        <f t="shared" si="12"/>
        <v>0</v>
      </c>
    </row>
    <row r="123" spans="1:5">
      <c r="A123">
        <f t="shared" si="11"/>
        <v>2700000000</v>
      </c>
      <c r="B123">
        <f t="shared" si="8"/>
        <v>0</v>
      </c>
      <c r="C123">
        <f t="shared" si="9"/>
        <v>0</v>
      </c>
      <c r="D123">
        <f t="shared" si="13"/>
        <v>0</v>
      </c>
      <c r="E123">
        <f t="shared" si="12"/>
        <v>0</v>
      </c>
    </row>
    <row r="124" spans="1:5">
      <c r="A124">
        <f t="shared" si="11"/>
        <v>3300000000</v>
      </c>
      <c r="B124">
        <f t="shared" si="8"/>
        <v>0</v>
      </c>
      <c r="C124">
        <f t="shared" si="9"/>
        <v>0</v>
      </c>
      <c r="D124">
        <f t="shared" si="13"/>
        <v>0</v>
      </c>
      <c r="E124">
        <f t="shared" si="12"/>
        <v>0</v>
      </c>
    </row>
    <row r="125" spans="1:5">
      <c r="A125">
        <f t="shared" si="11"/>
        <v>3900000000</v>
      </c>
      <c r="B125">
        <f t="shared" si="8"/>
        <v>0</v>
      </c>
      <c r="C125">
        <f t="shared" si="9"/>
        <v>0</v>
      </c>
      <c r="D125">
        <f t="shared" si="13"/>
        <v>0</v>
      </c>
      <c r="E125">
        <f t="shared" si="12"/>
        <v>0</v>
      </c>
    </row>
    <row r="126" spans="1:5">
      <c r="A126">
        <f t="shared" si="11"/>
        <v>4700000000</v>
      </c>
      <c r="B126">
        <f t="shared" si="8"/>
        <v>0</v>
      </c>
      <c r="C126">
        <f t="shared" si="9"/>
        <v>0</v>
      </c>
      <c r="D126">
        <f t="shared" si="13"/>
        <v>0</v>
      </c>
      <c r="E126">
        <f t="shared" si="12"/>
        <v>0</v>
      </c>
    </row>
    <row r="127" spans="1:5">
      <c r="A127">
        <f t="shared" si="11"/>
        <v>5600000000</v>
      </c>
      <c r="B127">
        <f t="shared" si="8"/>
        <v>0</v>
      </c>
      <c r="C127">
        <f t="shared" si="9"/>
        <v>0</v>
      </c>
      <c r="D127">
        <f t="shared" si="13"/>
        <v>0</v>
      </c>
      <c r="E127">
        <f t="shared" si="12"/>
        <v>0</v>
      </c>
    </row>
    <row r="128" spans="1:5">
      <c r="A128">
        <f t="shared" si="11"/>
        <v>6800000000</v>
      </c>
      <c r="B128">
        <f t="shared" si="8"/>
        <v>0</v>
      </c>
      <c r="C128">
        <f t="shared" si="9"/>
        <v>0</v>
      </c>
      <c r="D128">
        <f t="shared" si="13"/>
        <v>0</v>
      </c>
      <c r="E128">
        <f t="shared" si="12"/>
        <v>0</v>
      </c>
    </row>
    <row r="129" spans="1:5">
      <c r="A129">
        <f t="shared" si="11"/>
        <v>8200000000</v>
      </c>
      <c r="B129">
        <f t="shared" si="8"/>
        <v>0</v>
      </c>
      <c r="C129">
        <f t="shared" si="9"/>
        <v>0</v>
      </c>
      <c r="D129">
        <f t="shared" si="13"/>
        <v>0</v>
      </c>
      <c r="E129">
        <f t="shared" si="12"/>
        <v>0</v>
      </c>
    </row>
    <row r="130" spans="1:5">
      <c r="A130">
        <f t="shared" si="11"/>
        <v>10000000000</v>
      </c>
      <c r="B130">
        <f t="shared" si="8"/>
        <v>0</v>
      </c>
      <c r="C130">
        <f t="shared" si="9"/>
        <v>0</v>
      </c>
      <c r="D130">
        <f t="shared" si="13"/>
        <v>0</v>
      </c>
      <c r="E130">
        <f t="shared" si="12"/>
        <v>0</v>
      </c>
    </row>
    <row r="131" spans="1:5">
      <c r="A131">
        <f t="shared" si="11"/>
        <v>12000000000</v>
      </c>
      <c r="B131">
        <f t="shared" si="8"/>
        <v>0</v>
      </c>
      <c r="C131">
        <f t="shared" si="9"/>
        <v>0</v>
      </c>
      <c r="D131">
        <f t="shared" si="13"/>
        <v>0</v>
      </c>
      <c r="E131">
        <f t="shared" si="12"/>
        <v>0</v>
      </c>
    </row>
    <row r="132" spans="1:5">
      <c r="A132">
        <f t="shared" si="11"/>
        <v>15000000000</v>
      </c>
      <c r="B132">
        <f t="shared" si="8"/>
        <v>0</v>
      </c>
      <c r="C132">
        <f t="shared" si="9"/>
        <v>0</v>
      </c>
      <c r="D132">
        <f t="shared" si="13"/>
        <v>0</v>
      </c>
      <c r="E132">
        <f t="shared" si="12"/>
        <v>0</v>
      </c>
    </row>
    <row r="133" spans="1:5">
      <c r="A133">
        <f t="shared" si="11"/>
        <v>18000000000</v>
      </c>
      <c r="B133">
        <f t="shared" si="8"/>
        <v>0</v>
      </c>
      <c r="C133">
        <f t="shared" si="9"/>
        <v>0</v>
      </c>
      <c r="D133">
        <f t="shared" si="13"/>
        <v>0</v>
      </c>
      <c r="E133">
        <f t="shared" si="12"/>
        <v>0</v>
      </c>
    </row>
    <row r="134" spans="1:5">
      <c r="A134">
        <f t="shared" si="11"/>
        <v>22000000000</v>
      </c>
      <c r="B134">
        <f t="shared" si="8"/>
        <v>0</v>
      </c>
      <c r="C134">
        <f t="shared" ref="C134:D159" si="14">IF(IF((C$3*10^12-$A135)*(C$3*10^12-$A134)*-1&lt;0,0,1)*IF(ABS(C$3*10^12-$A135)&gt;(C$3*10^12-$A134),$A134,$A135)=C135,0,IF((C$3*10^12-$A135)*(C$3*10^12-$A134)*-1&lt;0,0,1)*IF(ABS(C$3*10^12-$A135)&gt;(C$3*10^12-$A134),$A134,$A135))</f>
        <v>0</v>
      </c>
      <c r="D134">
        <f t="shared" si="13"/>
        <v>0</v>
      </c>
      <c r="E134">
        <f t="shared" ref="E134:E159" si="15">IF(IF((E$3*10^12-$A135)*(E$3*10^12-$A134)*-1&lt;0,0,1)*IF(ABS(E$3*10^12-$A135)&gt;(E$3*10^12-$A134),$A134,$A135)=E135,0,IF((E$3*10^12-$A135)*(E$3*10^12-$A134)*-1&lt;0,0,1)*IF(ABS(E$3*10^12-$A135)&gt;(E$3*10^12-$A134),$A134,$A135))</f>
        <v>0</v>
      </c>
    </row>
    <row r="135" spans="1:5">
      <c r="A135">
        <f t="shared" si="11"/>
        <v>27000000000</v>
      </c>
      <c r="B135">
        <f t="shared" ref="B135:B159" si="16">IF(IF((B$3*10^12-$A136)*(B$3*10^12-$A135)*-1&lt;0,0,1)*IF(ABS(B$3*10^12-$A136)&gt;(B$3*10^12-$A135),$A135,$A136)=B136,0,IF((B$3*10^12-$A136)*(B$3*10^12-$A135)*-1&lt;0,0,1)*IF(ABS(B$3*10^12-$A136)&gt;(B$3*10^12-$A135),$A135,$A136))</f>
        <v>0</v>
      </c>
      <c r="C135">
        <f t="shared" si="14"/>
        <v>0</v>
      </c>
      <c r="D135">
        <f t="shared" si="14"/>
        <v>0</v>
      </c>
      <c r="E135">
        <f t="shared" si="15"/>
        <v>0</v>
      </c>
    </row>
    <row r="136" spans="1:5">
      <c r="A136">
        <f t="shared" si="11"/>
        <v>33000000000</v>
      </c>
      <c r="B136">
        <f t="shared" si="16"/>
        <v>0</v>
      </c>
      <c r="C136">
        <f t="shared" si="14"/>
        <v>0</v>
      </c>
      <c r="D136">
        <f t="shared" si="14"/>
        <v>0</v>
      </c>
      <c r="E136">
        <f t="shared" si="15"/>
        <v>0</v>
      </c>
    </row>
    <row r="137" spans="1:5">
      <c r="A137">
        <f t="shared" si="11"/>
        <v>39000000000</v>
      </c>
      <c r="B137">
        <f t="shared" si="16"/>
        <v>0</v>
      </c>
      <c r="C137">
        <f t="shared" si="14"/>
        <v>0</v>
      </c>
      <c r="D137">
        <f t="shared" si="14"/>
        <v>0</v>
      </c>
      <c r="E137">
        <f t="shared" si="15"/>
        <v>0</v>
      </c>
    </row>
    <row r="138" spans="1:5">
      <c r="A138">
        <f t="shared" si="11"/>
        <v>47000000000</v>
      </c>
      <c r="B138">
        <f t="shared" si="16"/>
        <v>0</v>
      </c>
      <c r="C138">
        <f t="shared" si="14"/>
        <v>0</v>
      </c>
      <c r="D138">
        <f t="shared" si="14"/>
        <v>0</v>
      </c>
      <c r="E138">
        <f t="shared" si="15"/>
        <v>0</v>
      </c>
    </row>
    <row r="139" spans="1:5">
      <c r="A139">
        <f t="shared" si="11"/>
        <v>56000000000</v>
      </c>
      <c r="B139">
        <f t="shared" si="16"/>
        <v>0</v>
      </c>
      <c r="C139">
        <f t="shared" si="14"/>
        <v>0</v>
      </c>
      <c r="D139">
        <f t="shared" si="14"/>
        <v>0</v>
      </c>
      <c r="E139">
        <f t="shared" si="15"/>
        <v>0</v>
      </c>
    </row>
    <row r="140" spans="1:5">
      <c r="A140">
        <f t="shared" si="11"/>
        <v>68000000000</v>
      </c>
      <c r="B140">
        <f t="shared" si="16"/>
        <v>0</v>
      </c>
      <c r="C140">
        <f t="shared" si="14"/>
        <v>0</v>
      </c>
      <c r="D140">
        <f t="shared" si="14"/>
        <v>0</v>
      </c>
      <c r="E140">
        <f t="shared" si="15"/>
        <v>0</v>
      </c>
    </row>
    <row r="141" spans="1:5">
      <c r="A141">
        <f t="shared" si="11"/>
        <v>82000000000</v>
      </c>
      <c r="B141">
        <f t="shared" si="16"/>
        <v>0</v>
      </c>
      <c r="C141">
        <f t="shared" si="14"/>
        <v>0</v>
      </c>
      <c r="D141">
        <f t="shared" si="14"/>
        <v>0</v>
      </c>
      <c r="E141">
        <f t="shared" si="15"/>
        <v>0</v>
      </c>
    </row>
    <row r="142" spans="1:5">
      <c r="A142">
        <f t="shared" si="11"/>
        <v>100000000000</v>
      </c>
      <c r="B142">
        <f t="shared" si="16"/>
        <v>0</v>
      </c>
      <c r="C142">
        <f t="shared" si="14"/>
        <v>0</v>
      </c>
      <c r="D142">
        <f t="shared" si="14"/>
        <v>0</v>
      </c>
      <c r="E142">
        <f t="shared" si="15"/>
        <v>0</v>
      </c>
    </row>
    <row r="143" spans="1:5">
      <c r="A143">
        <f t="shared" si="11"/>
        <v>120000000000</v>
      </c>
      <c r="B143">
        <f t="shared" si="16"/>
        <v>0</v>
      </c>
      <c r="C143">
        <f t="shared" si="14"/>
        <v>0</v>
      </c>
      <c r="D143">
        <f t="shared" si="14"/>
        <v>0</v>
      </c>
      <c r="E143">
        <f t="shared" si="15"/>
        <v>0</v>
      </c>
    </row>
    <row r="144" spans="1:5">
      <c r="A144">
        <f t="shared" si="11"/>
        <v>150000000000</v>
      </c>
      <c r="B144">
        <f t="shared" si="16"/>
        <v>0</v>
      </c>
      <c r="C144">
        <f t="shared" si="14"/>
        <v>0</v>
      </c>
      <c r="D144">
        <f t="shared" si="14"/>
        <v>0</v>
      </c>
      <c r="E144">
        <f t="shared" si="15"/>
        <v>0</v>
      </c>
    </row>
    <row r="145" spans="1:5">
      <c r="A145">
        <f t="shared" si="11"/>
        <v>180000000000</v>
      </c>
      <c r="B145">
        <f t="shared" si="16"/>
        <v>0</v>
      </c>
      <c r="C145">
        <f t="shared" si="14"/>
        <v>0</v>
      </c>
      <c r="D145">
        <f t="shared" si="14"/>
        <v>0</v>
      </c>
      <c r="E145">
        <f t="shared" si="15"/>
        <v>0</v>
      </c>
    </row>
    <row r="146" spans="1:5">
      <c r="A146">
        <f t="shared" si="11"/>
        <v>220000000000</v>
      </c>
      <c r="B146">
        <f t="shared" si="16"/>
        <v>0</v>
      </c>
      <c r="C146">
        <f t="shared" si="14"/>
        <v>0</v>
      </c>
      <c r="D146">
        <f t="shared" si="14"/>
        <v>0</v>
      </c>
      <c r="E146">
        <f t="shared" si="15"/>
        <v>0</v>
      </c>
    </row>
    <row r="147" spans="1:5">
      <c r="A147">
        <f t="shared" si="11"/>
        <v>270000000000</v>
      </c>
      <c r="B147">
        <f t="shared" si="16"/>
        <v>0</v>
      </c>
      <c r="C147">
        <f t="shared" si="14"/>
        <v>0</v>
      </c>
      <c r="D147">
        <f t="shared" si="14"/>
        <v>0</v>
      </c>
      <c r="E147">
        <f t="shared" si="15"/>
        <v>0</v>
      </c>
    </row>
    <row r="148" spans="1:5">
      <c r="A148">
        <f t="shared" si="11"/>
        <v>330000000000</v>
      </c>
      <c r="B148">
        <f t="shared" si="16"/>
        <v>0</v>
      </c>
      <c r="C148">
        <f t="shared" si="14"/>
        <v>0</v>
      </c>
      <c r="D148">
        <f t="shared" si="14"/>
        <v>0</v>
      </c>
      <c r="E148">
        <f t="shared" si="15"/>
        <v>0</v>
      </c>
    </row>
    <row r="149" spans="1:5">
      <c r="A149">
        <f t="shared" si="11"/>
        <v>390000000000</v>
      </c>
      <c r="B149">
        <f t="shared" si="16"/>
        <v>0</v>
      </c>
      <c r="C149">
        <f t="shared" si="14"/>
        <v>0</v>
      </c>
      <c r="D149">
        <f t="shared" si="14"/>
        <v>0</v>
      </c>
      <c r="E149">
        <f t="shared" si="15"/>
        <v>0</v>
      </c>
    </row>
    <row r="150" spans="1:5">
      <c r="A150">
        <f t="shared" si="11"/>
        <v>470000000000</v>
      </c>
      <c r="B150">
        <f t="shared" si="16"/>
        <v>0</v>
      </c>
      <c r="C150">
        <f t="shared" si="14"/>
        <v>0</v>
      </c>
      <c r="D150">
        <f t="shared" si="14"/>
        <v>0</v>
      </c>
      <c r="E150">
        <f t="shared" si="15"/>
        <v>0</v>
      </c>
    </row>
    <row r="151" spans="1:5">
      <c r="A151">
        <f t="shared" si="11"/>
        <v>560000000000</v>
      </c>
      <c r="B151">
        <f t="shared" si="16"/>
        <v>0</v>
      </c>
      <c r="C151">
        <f t="shared" si="14"/>
        <v>0</v>
      </c>
      <c r="D151">
        <f t="shared" si="14"/>
        <v>0</v>
      </c>
      <c r="E151">
        <f t="shared" si="15"/>
        <v>0</v>
      </c>
    </row>
    <row r="152" spans="1:5">
      <c r="A152">
        <f t="shared" si="11"/>
        <v>680000000000</v>
      </c>
      <c r="B152">
        <f t="shared" si="16"/>
        <v>0</v>
      </c>
      <c r="C152">
        <f t="shared" si="14"/>
        <v>0</v>
      </c>
      <c r="D152">
        <f t="shared" si="14"/>
        <v>0</v>
      </c>
      <c r="E152">
        <f t="shared" si="15"/>
        <v>0</v>
      </c>
    </row>
    <row r="153" spans="1:5">
      <c r="A153">
        <f t="shared" si="11"/>
        <v>820000000000</v>
      </c>
      <c r="B153">
        <f t="shared" si="16"/>
        <v>0</v>
      </c>
      <c r="C153">
        <f t="shared" si="14"/>
        <v>0</v>
      </c>
      <c r="D153">
        <f t="shared" si="14"/>
        <v>0</v>
      </c>
      <c r="E153">
        <f t="shared" si="15"/>
        <v>0</v>
      </c>
    </row>
    <row r="154" spans="1:5">
      <c r="A154">
        <f t="shared" si="11"/>
        <v>1000000000000</v>
      </c>
      <c r="B154">
        <f t="shared" si="16"/>
        <v>0</v>
      </c>
      <c r="C154">
        <f t="shared" si="14"/>
        <v>0</v>
      </c>
      <c r="D154">
        <f t="shared" si="14"/>
        <v>0</v>
      </c>
      <c r="E154">
        <f t="shared" si="15"/>
        <v>0</v>
      </c>
    </row>
    <row r="155" spans="1:5">
      <c r="A155">
        <f t="shared" si="11"/>
        <v>1200000000000</v>
      </c>
      <c r="B155">
        <f t="shared" si="16"/>
        <v>0</v>
      </c>
      <c r="C155">
        <f t="shared" si="14"/>
        <v>0</v>
      </c>
      <c r="D155">
        <f t="shared" si="14"/>
        <v>0</v>
      </c>
      <c r="E155">
        <f t="shared" si="15"/>
        <v>0</v>
      </c>
    </row>
    <row r="156" spans="1:5">
      <c r="A156">
        <f t="shared" si="11"/>
        <v>1500000000000</v>
      </c>
      <c r="B156">
        <f t="shared" si="16"/>
        <v>0</v>
      </c>
      <c r="C156">
        <f t="shared" si="14"/>
        <v>0</v>
      </c>
      <c r="D156">
        <f t="shared" si="14"/>
        <v>0</v>
      </c>
      <c r="E156">
        <f t="shared" si="15"/>
        <v>0</v>
      </c>
    </row>
    <row r="157" spans="1:5">
      <c r="A157">
        <f t="shared" si="11"/>
        <v>1800000000000</v>
      </c>
      <c r="B157">
        <f t="shared" si="16"/>
        <v>0</v>
      </c>
      <c r="C157">
        <f t="shared" si="14"/>
        <v>0</v>
      </c>
      <c r="D157">
        <f t="shared" si="14"/>
        <v>0</v>
      </c>
      <c r="E157">
        <f t="shared" si="15"/>
        <v>0</v>
      </c>
    </row>
    <row r="158" spans="1:5">
      <c r="A158">
        <f t="shared" si="11"/>
        <v>2200000000000</v>
      </c>
      <c r="B158">
        <f t="shared" si="16"/>
        <v>0</v>
      </c>
      <c r="C158">
        <f t="shared" si="14"/>
        <v>0</v>
      </c>
      <c r="D158">
        <f t="shared" si="14"/>
        <v>0</v>
      </c>
      <c r="E158">
        <f t="shared" si="15"/>
        <v>0</v>
      </c>
    </row>
    <row r="159" spans="1:5">
      <c r="A159" s="10">
        <f t="shared" si="11"/>
        <v>2700000000000</v>
      </c>
      <c r="B159">
        <f t="shared" si="16"/>
        <v>2700000000000</v>
      </c>
      <c r="C159">
        <f t="shared" si="14"/>
        <v>0</v>
      </c>
      <c r="D159">
        <f t="shared" si="14"/>
        <v>0</v>
      </c>
      <c r="E159">
        <f t="shared" si="15"/>
        <v>2700000000000</v>
      </c>
    </row>
  </sheetData>
  <sheetProtection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R687"/>
  <sheetViews>
    <sheetView zoomScaleNormal="100" workbookViewId="0">
      <pane ySplit="11" topLeftCell="A19" activePane="bottomLeft" state="frozen"/>
      <selection activeCell="A93" sqref="A93"/>
      <selection pane="bottomLeft" activeCell="B19" sqref="B19"/>
    </sheetView>
  </sheetViews>
  <sheetFormatPr defaultColWidth="9.140625" defaultRowHeight="12.75"/>
  <cols>
    <col min="1" max="1" width="14.7109375" style="147" bestFit="1" customWidth="1"/>
    <col min="2" max="2" width="10.7109375" style="147" customWidth="1"/>
    <col min="3" max="3" width="10" style="147" customWidth="1"/>
    <col min="4" max="4" width="13.85546875" style="147" customWidth="1"/>
    <col min="5" max="5" width="10.140625" style="147" customWidth="1"/>
    <col min="6" max="6" width="3.28515625" style="147" customWidth="1"/>
    <col min="7" max="7" width="16.140625" style="147" customWidth="1"/>
    <col min="8" max="8" width="15.7109375" style="147" customWidth="1"/>
    <col min="9" max="9" width="10" style="147" customWidth="1"/>
    <col min="10" max="10" width="10.85546875" style="147" customWidth="1"/>
    <col min="11" max="11" width="10.140625" style="147" customWidth="1"/>
    <col min="12" max="14" width="11.85546875" style="147" customWidth="1"/>
    <col min="15" max="15" width="14.28515625" style="147" customWidth="1"/>
    <col min="16" max="16" width="11" style="147" customWidth="1"/>
    <col min="17" max="17" width="12" style="147" customWidth="1"/>
    <col min="18" max="18" width="11.42578125" style="147" customWidth="1"/>
    <col min="19" max="19" width="10.85546875" style="147" customWidth="1"/>
    <col min="20" max="20" width="11.42578125" style="147" customWidth="1"/>
    <col min="21" max="21" width="11.85546875" style="147" customWidth="1"/>
    <col min="22" max="22" width="13.5703125" style="147" customWidth="1"/>
    <col min="23" max="23" width="9.42578125" style="147" customWidth="1"/>
    <col min="24" max="24" width="16.28515625" style="147" bestFit="1" customWidth="1"/>
    <col min="25" max="25" width="16.140625" style="149" customWidth="1"/>
    <col min="26" max="26" width="8.85546875" style="147" bestFit="1" customWidth="1"/>
    <col min="27" max="27" width="13.5703125" style="147" bestFit="1" customWidth="1"/>
    <col min="28" max="28" width="10.7109375" style="147" bestFit="1" customWidth="1"/>
    <col min="29" max="29" width="9.140625" style="147"/>
    <col min="30" max="30" width="13.5703125" style="147" customWidth="1"/>
    <col min="31" max="31" width="10.5703125" style="147" customWidth="1"/>
    <col min="32" max="32" width="9.140625" style="147"/>
    <col min="33" max="33" width="9.42578125" style="147" bestFit="1" customWidth="1"/>
    <col min="34" max="34" width="11.42578125" style="147" bestFit="1" customWidth="1"/>
    <col min="35" max="35" width="5.85546875" style="147" customWidth="1"/>
    <col min="36" max="36" width="12.28515625" style="147" customWidth="1"/>
    <col min="37" max="37" width="8.85546875" style="147" customWidth="1"/>
    <col min="38" max="38" width="18.140625" style="147" customWidth="1"/>
    <col min="39" max="39" width="45.28515625" style="147" customWidth="1"/>
    <col min="40" max="40" width="19.28515625" style="147" bestFit="1" customWidth="1"/>
    <col min="41" max="41" width="40.7109375" style="147" bestFit="1" customWidth="1"/>
    <col min="42" max="42" width="40.140625" style="147" bestFit="1" customWidth="1"/>
    <col min="43" max="43" width="40.7109375" style="147" bestFit="1" customWidth="1"/>
    <col min="44" max="44" width="40.140625" style="147" bestFit="1" customWidth="1"/>
    <col min="45" max="45" width="28.42578125" style="147" customWidth="1"/>
    <col min="46" max="16384" width="9.140625" style="147"/>
  </cols>
  <sheetData>
    <row r="1" spans="1:44" ht="13.5" thickBot="1"/>
    <row r="2" spans="1:44">
      <c r="A2" s="285" t="s">
        <v>770</v>
      </c>
      <c r="G2" s="794" t="s">
        <v>764</v>
      </c>
      <c r="H2" s="795"/>
      <c r="I2" s="796"/>
      <c r="J2" s="797"/>
      <c r="K2" s="794" t="s">
        <v>683</v>
      </c>
      <c r="L2" s="795"/>
      <c r="M2" s="795"/>
      <c r="N2" s="547"/>
      <c r="O2" s="548"/>
      <c r="P2" s="794" t="s">
        <v>684</v>
      </c>
      <c r="Q2" s="796"/>
      <c r="R2" s="797"/>
      <c r="S2" s="794" t="s">
        <v>765</v>
      </c>
      <c r="T2" s="796"/>
      <c r="U2" s="797"/>
      <c r="V2" s="794" t="s">
        <v>685</v>
      </c>
      <c r="W2" s="795"/>
      <c r="X2" s="798"/>
      <c r="AA2" s="285" t="s">
        <v>796</v>
      </c>
    </row>
    <row r="3" spans="1:44">
      <c r="H3" s="549" t="s">
        <v>757</v>
      </c>
      <c r="I3" s="624">
        <f>Vref/(Vout_eff*Npri_sec)</f>
        <v>0.18518518518518517</v>
      </c>
      <c r="J3" s="550" t="s">
        <v>686</v>
      </c>
      <c r="K3" s="551" t="s">
        <v>687</v>
      </c>
      <c r="L3" s="238">
        <f>1/Rcs_gain</f>
        <v>5</v>
      </c>
      <c r="M3" s="550" t="s">
        <v>688</v>
      </c>
      <c r="N3" s="169" t="s">
        <v>689</v>
      </c>
      <c r="O3" s="552">
        <f>gmEA</f>
        <v>5.9999999999999995E-4</v>
      </c>
      <c r="P3" s="551" t="s">
        <v>690</v>
      </c>
      <c r="Q3" s="553">
        <f>1/(2*Pi*D25*D26)</f>
        <v>723431.56033525639</v>
      </c>
      <c r="R3" s="550" t="s">
        <v>8</v>
      </c>
      <c r="S3" s="551"/>
      <c r="T3" s="553"/>
      <c r="U3" s="550"/>
      <c r="V3" s="250" t="s">
        <v>692</v>
      </c>
      <c r="W3" s="553">
        <f>Am*Afb*Aea</f>
        <v>306122.44897959183</v>
      </c>
      <c r="X3" s="550" t="s">
        <v>686</v>
      </c>
      <c r="AA3" s="147">
        <f>MIN(z_RHP/10,'Calculations - Single'!Y212/10)</f>
        <v>5.5069413281597193</v>
      </c>
      <c r="AB3" s="147" t="s">
        <v>2</v>
      </c>
    </row>
    <row r="4" spans="1:44">
      <c r="B4" s="147">
        <f>BODE_TYPE*0+IF('Variable Mgmt'!Y17="BCM",2, 1)</f>
        <v>1</v>
      </c>
      <c r="H4" s="549" t="s">
        <v>693</v>
      </c>
      <c r="I4" s="553">
        <f>1/(2*Pi*Rcomp*Ccomp)</f>
        <v>597.87732259112101</v>
      </c>
      <c r="J4" s="550" t="s">
        <v>8</v>
      </c>
      <c r="K4" s="551" t="s">
        <v>694</v>
      </c>
      <c r="L4" s="238">
        <f>CHOOSE(BODE_TYPE, Rload_pri/Rcs_gain*(Lmag/(2*Vout_eff*Npri_sec)*Fsw_DCM)*SQRT(Iout_eff/(Lmag/(2*Vout_eff*Npri_sec)*Fsw_DCM*Npri_sec)), Rload_pri/(Rcs_gain*2*(2*M+1)))</f>
        <v>9.183673469387756</v>
      </c>
      <c r="M4" s="550" t="s">
        <v>686</v>
      </c>
      <c r="N4" s="554" t="s">
        <v>755</v>
      </c>
      <c r="O4" s="605">
        <f>REAout</f>
        <v>300000000</v>
      </c>
      <c r="P4" s="551" t="s">
        <v>695</v>
      </c>
      <c r="Q4" s="553">
        <f>CHOOSE(BODE_TYPE, 2/(2*Pi*D25*Rload_sec), 1/(2*Pi*D25*[0]!Rload_sec)*(2*M+1)/(M+1))</f>
        <v>354.03891591937634</v>
      </c>
      <c r="R4" s="550" t="s">
        <v>8</v>
      </c>
      <c r="S4" s="551"/>
      <c r="T4" s="252"/>
      <c r="U4" s="550"/>
      <c r="V4" s="610" t="s">
        <v>696</v>
      </c>
      <c r="W4" s="611">
        <f>AK7</f>
        <v>4.3651999999999997</v>
      </c>
      <c r="X4" s="612" t="s">
        <v>2</v>
      </c>
    </row>
    <row r="5" spans="1:44">
      <c r="H5" s="549" t="s">
        <v>697</v>
      </c>
      <c r="I5" s="165">
        <f>1/(2*Pi*REAout*Ccomp)</f>
        <v>2.4114385344508542E-2</v>
      </c>
      <c r="J5" s="550" t="s">
        <v>8</v>
      </c>
      <c r="K5" s="551"/>
      <c r="L5" s="165"/>
      <c r="M5" s="550"/>
      <c r="N5" s="554"/>
      <c r="O5" s="554"/>
      <c r="P5" s="551" t="s">
        <v>712</v>
      </c>
      <c r="Q5" s="553">
        <f>Rload_pri/(2*Pi*Lmag*M*(M+1))</f>
        <v>476868.74389140494</v>
      </c>
      <c r="R5" s="550" t="s">
        <v>8</v>
      </c>
      <c r="S5" s="551"/>
      <c r="T5" s="148"/>
      <c r="U5" s="550"/>
      <c r="V5" s="610" t="s">
        <v>698</v>
      </c>
      <c r="W5" s="613">
        <f>AK9</f>
        <v>78.346042393766012</v>
      </c>
      <c r="X5" s="614" t="s">
        <v>699</v>
      </c>
    </row>
    <row r="6" spans="1:44">
      <c r="H6" s="549" t="s">
        <v>700</v>
      </c>
      <c r="I6" s="148">
        <f>gmEA*REAout</f>
        <v>179999.99999999997</v>
      </c>
      <c r="J6" s="550" t="s">
        <v>686</v>
      </c>
      <c r="K6" s="551"/>
      <c r="L6" s="165"/>
      <c r="M6" s="169"/>
      <c r="N6" s="615"/>
      <c r="O6" s="550"/>
      <c r="P6" s="551"/>
      <c r="Q6" s="148"/>
      <c r="R6" s="550"/>
      <c r="S6" s="551"/>
      <c r="T6" s="165"/>
      <c r="U6" s="550"/>
      <c r="V6" s="250" t="s">
        <v>701</v>
      </c>
      <c r="W6" s="148">
        <v>57.295779578552292</v>
      </c>
      <c r="X6" s="550"/>
      <c r="AJ6" s="555" t="s">
        <v>702</v>
      </c>
      <c r="AK6" s="555"/>
    </row>
    <row r="7" spans="1:44" ht="13.5" thickBot="1">
      <c r="H7" s="556" t="s">
        <v>703</v>
      </c>
      <c r="I7" s="557">
        <f>1/(2*Pi*Rcomp*Chf)</f>
        <v>279857.47014903533</v>
      </c>
      <c r="J7" s="558" t="s">
        <v>8</v>
      </c>
      <c r="K7" s="559"/>
      <c r="L7" s="560"/>
      <c r="M7" s="560"/>
      <c r="N7" s="561"/>
      <c r="O7" s="558"/>
      <c r="P7" s="559"/>
      <c r="Q7" s="559"/>
      <c r="R7" s="558"/>
      <c r="S7" s="559"/>
      <c r="T7" s="559"/>
      <c r="U7" s="558"/>
      <c r="V7" s="559"/>
      <c r="W7" s="559"/>
      <c r="X7" s="558"/>
      <c r="AJ7" s="147" t="s">
        <v>704</v>
      </c>
      <c r="AK7" s="147">
        <f>SUM(AJ12:AJ613)/1000</f>
        <v>4.3651999999999997</v>
      </c>
      <c r="AL7" s="172">
        <f>AK7*1000</f>
        <v>4365.2</v>
      </c>
    </row>
    <row r="8" spans="1:44">
      <c r="H8" s="562"/>
      <c r="I8" s="172"/>
      <c r="L8" s="188"/>
      <c r="M8" s="188"/>
      <c r="N8" s="188"/>
      <c r="AL8" s="147">
        <v>0</v>
      </c>
    </row>
    <row r="9" spans="1:44" ht="13.5" thickBot="1">
      <c r="A9" s="603"/>
      <c r="B9" s="229" t="s">
        <v>758</v>
      </c>
      <c r="AJ9" s="147" t="s">
        <v>705</v>
      </c>
      <c r="AK9" s="149">
        <f>SUM(AK13:AK613)</f>
        <v>78.346042393766012</v>
      </c>
      <c r="AL9" s="379">
        <f>AK9</f>
        <v>78.346042393766012</v>
      </c>
    </row>
    <row r="10" spans="1:44" ht="15">
      <c r="A10" s="606"/>
      <c r="B10" s="229" t="s">
        <v>762</v>
      </c>
      <c r="G10" s="784" t="s">
        <v>706</v>
      </c>
      <c r="H10" s="787" t="s">
        <v>756</v>
      </c>
      <c r="I10" s="789" t="s">
        <v>707</v>
      </c>
      <c r="J10" s="790"/>
      <c r="K10" s="790"/>
      <c r="L10" s="790"/>
      <c r="M10" s="790"/>
      <c r="N10" s="791"/>
      <c r="O10" s="789" t="s">
        <v>708</v>
      </c>
      <c r="P10" s="790"/>
      <c r="Q10" s="790"/>
      <c r="R10" s="790"/>
      <c r="S10" s="790"/>
      <c r="T10" s="791"/>
      <c r="U10" s="792" t="s">
        <v>760</v>
      </c>
      <c r="V10" s="793"/>
      <c r="W10" s="792" t="s">
        <v>709</v>
      </c>
      <c r="X10" s="799"/>
      <c r="Y10" s="800"/>
      <c r="AD10" s="801" t="s">
        <v>710</v>
      </c>
      <c r="AE10" s="802"/>
      <c r="AG10" s="801" t="s">
        <v>711</v>
      </c>
      <c r="AH10" s="802"/>
      <c r="AM10" s="235" t="s">
        <v>761</v>
      </c>
    </row>
    <row r="11" spans="1:44">
      <c r="G11" s="785"/>
      <c r="H11" s="788"/>
      <c r="I11" s="803" t="s">
        <v>695</v>
      </c>
      <c r="J11" s="804"/>
      <c r="K11" s="804" t="s">
        <v>690</v>
      </c>
      <c r="L11" s="805"/>
      <c r="M11" s="806" t="s">
        <v>712</v>
      </c>
      <c r="N11" s="807"/>
      <c r="O11" s="803" t="s">
        <v>713</v>
      </c>
      <c r="P11" s="804"/>
      <c r="Q11" s="804" t="s">
        <v>714</v>
      </c>
      <c r="R11" s="805"/>
      <c r="S11" s="806" t="s">
        <v>715</v>
      </c>
      <c r="T11" s="807"/>
      <c r="U11" s="803" t="s">
        <v>691</v>
      </c>
      <c r="V11" s="805"/>
      <c r="W11" s="551"/>
      <c r="X11" s="148"/>
      <c r="Y11" s="563"/>
      <c r="AD11" s="551"/>
      <c r="AE11" s="550"/>
      <c r="AG11" s="551"/>
      <c r="AH11" s="550"/>
    </row>
    <row r="12" spans="1:44" ht="13.5" thickBot="1">
      <c r="F12" s="601"/>
      <c r="G12" s="786"/>
      <c r="H12" s="564"/>
      <c r="I12" s="565" t="s">
        <v>716</v>
      </c>
      <c r="J12" s="566" t="s">
        <v>717</v>
      </c>
      <c r="K12" s="566" t="s">
        <v>716</v>
      </c>
      <c r="L12" s="567" t="s">
        <v>717</v>
      </c>
      <c r="M12" s="566" t="s">
        <v>716</v>
      </c>
      <c r="N12" s="567" t="s">
        <v>717</v>
      </c>
      <c r="O12" s="565" t="s">
        <v>716</v>
      </c>
      <c r="P12" s="566" t="s">
        <v>717</v>
      </c>
      <c r="Q12" s="566" t="s">
        <v>716</v>
      </c>
      <c r="R12" s="567" t="s">
        <v>717</v>
      </c>
      <c r="S12" s="565" t="s">
        <v>716</v>
      </c>
      <c r="T12" s="566" t="s">
        <v>717</v>
      </c>
      <c r="U12" s="565" t="s">
        <v>716</v>
      </c>
      <c r="V12" s="567" t="s">
        <v>717</v>
      </c>
      <c r="W12" s="565" t="s">
        <v>718</v>
      </c>
      <c r="X12" s="566" t="s">
        <v>719</v>
      </c>
      <c r="Y12" s="568" t="s">
        <v>720</v>
      </c>
      <c r="AB12" s="569" t="s">
        <v>721</v>
      </c>
      <c r="AD12" s="570" t="s">
        <v>722</v>
      </c>
      <c r="AE12" s="571" t="s">
        <v>723</v>
      </c>
      <c r="AG12" s="570" t="s">
        <v>722</v>
      </c>
      <c r="AH12" s="571" t="s">
        <v>723</v>
      </c>
    </row>
    <row r="13" spans="1:44">
      <c r="A13" s="235" t="s">
        <v>739</v>
      </c>
      <c r="B13" s="602" t="str">
        <f>Nps</f>
        <v>1</v>
      </c>
      <c r="D13" s="147" t="s">
        <v>766</v>
      </c>
      <c r="G13" s="572">
        <v>1</v>
      </c>
      <c r="H13" s="573">
        <f>G13/1000</f>
        <v>1E-3</v>
      </c>
      <c r="I13" s="574">
        <f t="shared" ref="I13:I76" si="0">SQRT(1+(G13/pole1)^2)</f>
        <v>1.0000039890284491</v>
      </c>
      <c r="J13" s="575">
        <f t="shared" ref="J13:J76" si="1">ATAN(G13/pole1)</f>
        <v>2.8245407374449514E-3</v>
      </c>
      <c r="K13" s="575">
        <f t="shared" ref="K13:K76" si="2">SQRT(1+(G13/Zero1)^2)</f>
        <v>1.0000000000009552</v>
      </c>
      <c r="L13" s="576">
        <f t="shared" ref="L13:L76" si="3">ATAN(G13/Zero1)</f>
        <v>1.3823007659991194E-6</v>
      </c>
      <c r="M13" s="575">
        <f t="shared" ref="M13:M76" si="4">SQRT(1+(G13/z_RHP)^2)</f>
        <v>1.0000000000021987</v>
      </c>
      <c r="N13" s="576">
        <f t="shared" ref="N13:N76" si="5">-ATAN(G13/z_RHP)</f>
        <v>-2.0970130938719259E-6</v>
      </c>
      <c r="O13" s="574">
        <f t="shared" ref="O13:O76" si="6">SQRT(1+(G13/Pole2)^2)</f>
        <v>41.481078420356532</v>
      </c>
      <c r="P13" s="577">
        <f t="shared" ref="P13:P76" si="7">ATAN(G13/Pole2)</f>
        <v>1.5466866140207001</v>
      </c>
      <c r="Q13" s="575">
        <f t="shared" ref="Q13:Q76" si="8">SQRT(1+(G13/Zero2)^2)</f>
        <v>1.0000013987675178</v>
      </c>
      <c r="R13" s="576">
        <f t="shared" ref="R13:R76" si="9">ATAN(G13/Zero2)</f>
        <v>1.6725823671574814E-3</v>
      </c>
      <c r="S13" s="574">
        <f t="shared" ref="S13:S76" si="10">SQRT(1+(G13/pole4)^2)</f>
        <v>1.000000000006384</v>
      </c>
      <c r="T13" s="577">
        <f t="shared" ref="T13:T76" si="11">ATAN(G13/pole4)</f>
        <v>3.5732474800947917E-6</v>
      </c>
      <c r="U13" s="578">
        <f>IMABS(IMPRODUCT(AO13, AR13))</f>
        <v>0.99959999970815416</v>
      </c>
      <c r="V13" s="579">
        <f>IMARGUMENT(IMPRODUCT(AO13, AR13))</f>
        <v>-2.9747646672976854E-5</v>
      </c>
      <c r="W13" s="580">
        <f t="shared" ref="W13:W76" si="12">20*LOG10(((K13*Q13*M13*U13)/(I13*O13*S13))*Adc)</f>
        <v>77.35740525636173</v>
      </c>
      <c r="X13" s="581">
        <f t="shared" ref="X13:X76" si="13">((L13+R13+N13+V13)-(J13+P13+T13))*radconv</f>
        <v>-88.686567763501827</v>
      </c>
      <c r="Y13" s="582">
        <f t="shared" ref="Y13:Y76" si="14">IF(X13&gt;0,X13,X13+180)</f>
        <v>91.313432236498173</v>
      </c>
      <c r="AA13" s="147">
        <f t="shared" ref="AA13:AA76" si="15">IF(W13&lt;0,G13,1000000000)</f>
        <v>1000000000</v>
      </c>
      <c r="AB13" s="147">
        <f t="shared" ref="AB13:AB76" si="16">G13^2</f>
        <v>1</v>
      </c>
      <c r="AD13" s="583">
        <f t="shared" ref="AD13:AD76" si="17">20*LOG10((Q13/(O13*S13))*Aea)</f>
        <v>72.748461479496569</v>
      </c>
      <c r="AE13" s="584">
        <f t="shared" ref="AE13:AE76" si="18">(R13-(P13+T13))*radconv</f>
        <v>-88.522988135391785</v>
      </c>
      <c r="AG13" s="583">
        <f t="shared" ref="AG13:AG76" si="19">20*LOG10((K13*M13/(I13*U13))*Acs*Am)</f>
        <v>33.243169166940312</v>
      </c>
      <c r="AH13" s="584">
        <f t="shared" ref="AH13:AH76" si="20">(L13+N13-(J13+V13))*radconv</f>
        <v>-0.1601707988965318</v>
      </c>
      <c r="AJ13" s="147">
        <f t="shared" ref="AJ13:AJ76" si="21">SUM((W14&lt;0)*(W13&gt;0))*G13</f>
        <v>0</v>
      </c>
      <c r="AK13" s="147">
        <f t="shared" ref="AK13:AK44" si="22">IF(AJ13&gt;0,Y11,0)</f>
        <v>0</v>
      </c>
      <c r="AM13" s="147" t="str">
        <f>IMSUB(1,IMEXP(COMPLEX(0,-2*Pi*G13*Tsw)))</f>
        <v>9.02982022488175E-10+0.0000424966300405917i</v>
      </c>
      <c r="AN13" s="147" t="str">
        <f>COMPLEX(0, 2*Pi*G13*Tsw)</f>
        <v>0.0000424966300533829i</v>
      </c>
      <c r="AO13" s="147" t="str">
        <f>IMDIV(AM13, AN13)</f>
        <v>0.999999999699007-0.0000212483206634003i</v>
      </c>
      <c r="AP13" s="147" t="str">
        <f>IMDIV(IMEXP(COMPLEX(0,-2*Pi*G13*Tsw)),6)</f>
        <v>0.16666666651617-7.08277167343195E-06i</v>
      </c>
      <c r="AQ13" s="147" t="str">
        <f>IMSUB(1, AP13)</f>
        <v>0.83333333348383+7.08277167343195E-06i</v>
      </c>
      <c r="AR13" s="147" t="str">
        <f>IMDIV(0.833, AQ13)</f>
        <v>0.999599999747267-0.0000084959262740327i</v>
      </c>
    </row>
    <row r="14" spans="1:44">
      <c r="A14" s="235" t="s">
        <v>736</v>
      </c>
      <c r="B14" s="603">
        <f>Vout+Vfwd1</f>
        <v>5.4</v>
      </c>
      <c r="C14" s="147" t="s">
        <v>0</v>
      </c>
      <c r="D14" s="147" t="s">
        <v>763</v>
      </c>
      <c r="G14" s="585">
        <v>1.0965</v>
      </c>
      <c r="H14" s="573">
        <f t="shared" ref="H14:H77" si="23">G14/1000</f>
        <v>1.0965E-3</v>
      </c>
      <c r="I14" s="574">
        <f t="shared" si="0"/>
        <v>1.0000047960558345</v>
      </c>
      <c r="J14" s="575">
        <f t="shared" si="1"/>
        <v>3.0971072523130632E-3</v>
      </c>
      <c r="K14" s="575">
        <f t="shared" si="2"/>
        <v>1.0000000000011486</v>
      </c>
      <c r="L14" s="576">
        <f t="shared" si="3"/>
        <v>1.5156927899178391E-6</v>
      </c>
      <c r="M14" s="575">
        <f t="shared" si="4"/>
        <v>1.0000000000026437</v>
      </c>
      <c r="N14" s="576">
        <f t="shared" si="5"/>
        <v>-2.299374857429885E-6</v>
      </c>
      <c r="O14" s="574">
        <f t="shared" si="6"/>
        <v>45.481778440065405</v>
      </c>
      <c r="P14" s="577">
        <f t="shared" si="7"/>
        <v>1.5488077278014645</v>
      </c>
      <c r="Q14" s="586">
        <f t="shared" si="8"/>
        <v>1.0000016817550836</v>
      </c>
      <c r="R14" s="587">
        <f t="shared" si="9"/>
        <v>1.8339862195916727E-3</v>
      </c>
      <c r="S14" s="574">
        <f t="shared" si="10"/>
        <v>1.0000000000076756</v>
      </c>
      <c r="T14" s="577">
        <f t="shared" si="11"/>
        <v>3.9180658619205659E-6</v>
      </c>
      <c r="U14" s="578">
        <f t="shared" ref="U14:U77" si="24">IMABS(IMPRODUCT(AO14, AR14))</f>
        <v>0.99959999964910839</v>
      </c>
      <c r="V14" s="579">
        <f t="shared" ref="V14:V77" si="25">IMARGUMENT(IMPRODUCT(AO14, AR14))</f>
        <v>-3.2618287159465299E-5</v>
      </c>
      <c r="W14" s="580">
        <f t="shared" si="12"/>
        <v>76.55765271134419</v>
      </c>
      <c r="X14" s="581">
        <f t="shared" si="13"/>
        <v>-88.81465596644729</v>
      </c>
      <c r="Y14" s="584">
        <f t="shared" si="14"/>
        <v>91.18534403355271</v>
      </c>
      <c r="AA14" s="147">
        <f t="shared" si="15"/>
        <v>1000000000</v>
      </c>
      <c r="AB14" s="147">
        <f t="shared" si="16"/>
        <v>1.2023122500000001</v>
      </c>
      <c r="AD14" s="583">
        <f t="shared" si="17"/>
        <v>71.948715944706578</v>
      </c>
      <c r="AE14" s="584">
        <f t="shared" si="18"/>
        <v>-88.635291000121299</v>
      </c>
      <c r="AG14" s="583">
        <f t="shared" si="19"/>
        <v>33.243162157738915</v>
      </c>
      <c r="AH14" s="584">
        <f t="shared" si="20"/>
        <v>-0.1756271859433462</v>
      </c>
      <c r="AJ14" s="147">
        <f t="shared" si="21"/>
        <v>0</v>
      </c>
      <c r="AK14" s="147">
        <f t="shared" si="22"/>
        <v>0</v>
      </c>
      <c r="AM14" s="147" t="str">
        <f t="shared" ref="AM14:AM77" si="26">IMSUB(1,IMEXP(COMPLEX(0,-2*Pi*G14*Tsw)))</f>
        <v>1.08566600154347E-09+0.0000465975548366712i</v>
      </c>
      <c r="AN14" s="147" t="str">
        <f t="shared" ref="AN14:AN77" si="27">COMPLEX(0, 2*Pi*G14*Tsw)</f>
        <v>0.0000465975548535343i</v>
      </c>
      <c r="AO14" s="147" t="str">
        <f t="shared" ref="AO14:AO77" si="28">IMDIV(AM14, AN14)</f>
        <v>0.999999999638112-0.0000232987761902087i</v>
      </c>
      <c r="AP14" s="147" t="str">
        <f t="shared" ref="AP14:AP77" si="29">IMDIV(IMEXP(COMPLEX(0,-2*Pi*G14*Tsw)),6)</f>
        <v>0.166666666485722-0.0000077662591394452i</v>
      </c>
      <c r="AQ14" s="147" t="str">
        <f t="shared" ref="AQ14:AQ77" si="30">IMSUB(1, AP14)</f>
        <v>0.833333333514278+0.0000077662591394452i</v>
      </c>
      <c r="AR14" s="147" t="str">
        <f t="shared" ref="AR14:AR77" si="31">IMDIV(0.833, AQ14)</f>
        <v>0.999599999696135-9.31578315809266E-06i</v>
      </c>
    </row>
    <row r="15" spans="1:44">
      <c r="A15" s="235" t="s">
        <v>735</v>
      </c>
      <c r="B15" s="603">
        <f>'Design Converter'!E11+IF(MODE=2,ABS('Design Converter'!E13*'Design Converter'!L14),0)</f>
        <v>1.2</v>
      </c>
      <c r="C15" s="147" t="s">
        <v>1</v>
      </c>
      <c r="G15" s="585">
        <v>1.2022999999999999</v>
      </c>
      <c r="H15" s="573">
        <f t="shared" si="23"/>
        <v>1.2022999999999999E-3</v>
      </c>
      <c r="I15" s="574">
        <f>SQRT(1+(G15/pole1)^2)</f>
        <v>1.0000057662363817</v>
      </c>
      <c r="J15" s="575">
        <f t="shared" si="1"/>
        <v>3.3959413051128555E-3</v>
      </c>
      <c r="K15" s="575">
        <f t="shared" si="2"/>
        <v>1.0000000000013811</v>
      </c>
      <c r="L15" s="576">
        <f t="shared" si="3"/>
        <v>1.6619402109602695E-6</v>
      </c>
      <c r="M15" s="575">
        <f t="shared" si="4"/>
        <v>1.0000000000031783</v>
      </c>
      <c r="N15" s="576">
        <f t="shared" si="5"/>
        <v>-2.5212388427605697E-6</v>
      </c>
      <c r="O15" s="574">
        <f t="shared" si="6"/>
        <v>49.868233759885435</v>
      </c>
      <c r="P15" s="577">
        <f t="shared" si="7"/>
        <v>1.5507421368594212</v>
      </c>
      <c r="Q15" s="586">
        <f t="shared" si="8"/>
        <v>1.000002021953192</v>
      </c>
      <c r="R15" s="587">
        <f t="shared" si="9"/>
        <v>2.0109449445729274E-3</v>
      </c>
      <c r="S15" s="574">
        <f t="shared" si="10"/>
        <v>1.0000000000092282</v>
      </c>
      <c r="T15" s="577">
        <f t="shared" si="11"/>
        <v>4.2961154453098221E-6</v>
      </c>
      <c r="U15" s="578">
        <f t="shared" si="24"/>
        <v>0.99959999957812784</v>
      </c>
      <c r="V15" s="579">
        <f t="shared" si="25"/>
        <v>-3.5765588604835872E-5</v>
      </c>
      <c r="W15" s="580">
        <f t="shared" si="12"/>
        <v>75.75791627186662</v>
      </c>
      <c r="X15" s="581">
        <f t="shared" si="13"/>
        <v>-88.932678703610961</v>
      </c>
      <c r="Y15" s="584">
        <f t="shared" si="14"/>
        <v>91.067321296389039</v>
      </c>
      <c r="AA15" s="147">
        <f t="shared" si="15"/>
        <v>1000000000</v>
      </c>
      <c r="AB15" s="147">
        <f t="shared" si="16"/>
        <v>1.4455252899999997</v>
      </c>
      <c r="AD15" s="583">
        <f t="shared" si="17"/>
        <v>71.148987932675766</v>
      </c>
      <c r="AE15" s="584">
        <f t="shared" si="18"/>
        <v>-88.736007147665319</v>
      </c>
      <c r="AG15" s="583">
        <f t="shared" si="19"/>
        <v>33.243153731525695</v>
      </c>
      <c r="AH15" s="584">
        <f t="shared" si="20"/>
        <v>-0.19257312138324728</v>
      </c>
      <c r="AJ15" s="147">
        <f t="shared" si="21"/>
        <v>0</v>
      </c>
      <c r="AK15" s="147">
        <f t="shared" si="22"/>
        <v>0</v>
      </c>
      <c r="AM15" s="147" t="str">
        <f t="shared" si="26"/>
        <v>1.30528299280286E-09+0.0000510936982909516i</v>
      </c>
      <c r="AN15" s="147" t="str">
        <f t="shared" si="27"/>
        <v>0.0000510936983131822i</v>
      </c>
      <c r="AO15" s="147" t="str">
        <f t="shared" si="28"/>
        <v>0.999999999564905-0.0000255468489441113i</v>
      </c>
      <c r="AP15" s="147" t="str">
        <f t="shared" si="29"/>
        <v>0.16666666644912-8.51561638182527E-06i</v>
      </c>
      <c r="AQ15" s="147" t="str">
        <f t="shared" si="30"/>
        <v>0.83333333355088+8.51561638182527E-06i</v>
      </c>
      <c r="AR15" s="147" t="str">
        <f t="shared" si="31"/>
        <v>0.999599999634668-0.0000102146521559272i</v>
      </c>
    </row>
    <row r="16" spans="1:44">
      <c r="A16" s="235" t="s">
        <v>3</v>
      </c>
      <c r="B16" s="603">
        <f>VIN_nom</f>
        <v>48</v>
      </c>
      <c r="C16" s="147" t="s">
        <v>0</v>
      </c>
      <c r="G16" s="585">
        <v>1.3183</v>
      </c>
      <c r="H16" s="573">
        <f t="shared" si="23"/>
        <v>1.3183000000000001E-3</v>
      </c>
      <c r="I16" s="574">
        <f t="shared" si="0"/>
        <v>1.0000069325817349</v>
      </c>
      <c r="J16" s="575">
        <f t="shared" si="1"/>
        <v>3.7235847471490265E-3</v>
      </c>
      <c r="K16" s="575">
        <f t="shared" si="2"/>
        <v>1.0000000000016604</v>
      </c>
      <c r="L16" s="576">
        <f t="shared" si="3"/>
        <v>1.8222870998157825E-6</v>
      </c>
      <c r="M16" s="575">
        <f t="shared" si="4"/>
        <v>1.0000000000038212</v>
      </c>
      <c r="N16" s="576">
        <f t="shared" si="5"/>
        <v>-2.7644923616483695E-6</v>
      </c>
      <c r="O16" s="574">
        <f t="shared" si="6"/>
        <v>54.677758245434056</v>
      </c>
      <c r="P16" s="577">
        <f t="shared" si="7"/>
        <v>1.5525063348816508</v>
      </c>
      <c r="Q16" s="586">
        <f t="shared" si="8"/>
        <v>1.0000024309376425</v>
      </c>
      <c r="R16" s="587">
        <f t="shared" si="9"/>
        <v>2.2049638173601313E-3</v>
      </c>
      <c r="S16" s="574">
        <f t="shared" si="10"/>
        <v>1.0000000000110949</v>
      </c>
      <c r="T16" s="577">
        <f t="shared" si="11"/>
        <v>4.7106121529941705E-6</v>
      </c>
      <c r="U16" s="578">
        <f t="shared" si="24"/>
        <v>0.99959999949279477</v>
      </c>
      <c r="V16" s="579">
        <f t="shared" si="25"/>
        <v>-3.9216306846299331E-5</v>
      </c>
      <c r="W16" s="580">
        <f t="shared" si="12"/>
        <v>74.958175415509047</v>
      </c>
      <c r="X16" s="581">
        <f t="shared" si="13"/>
        <v>-89.041642139195261</v>
      </c>
      <c r="Y16" s="584">
        <f t="shared" si="14"/>
        <v>90.958357860804739</v>
      </c>
      <c r="AA16" s="147">
        <f t="shared" si="15"/>
        <v>1000000000</v>
      </c>
      <c r="AB16" s="147">
        <f t="shared" si="16"/>
        <v>1.7379148900000001</v>
      </c>
      <c r="AD16" s="583">
        <f t="shared" si="17"/>
        <v>70.349257207734368</v>
      </c>
      <c r="AE16" s="584">
        <f t="shared" si="18"/>
        <v>-88.825995535022599</v>
      </c>
      <c r="AG16" s="583">
        <f t="shared" si="19"/>
        <v>33.2431436015925</v>
      </c>
      <c r="AH16" s="584">
        <f t="shared" si="20"/>
        <v>-0.21115274642675927</v>
      </c>
      <c r="AJ16" s="147">
        <f t="shared" si="21"/>
        <v>0</v>
      </c>
      <c r="AK16" s="147">
        <f t="shared" si="22"/>
        <v>0</v>
      </c>
      <c r="AM16" s="147" t="str">
        <f t="shared" si="26"/>
        <v>1.56930501926666E-09+0.0000560233073700688i</v>
      </c>
      <c r="AN16" s="147" t="str">
        <f t="shared" si="27"/>
        <v>0.0000560233073993747i</v>
      </c>
      <c r="AO16" s="147" t="str">
        <f t="shared" si="28"/>
        <v>0.999999999476898-0.0000280116453689447i</v>
      </c>
      <c r="AP16" s="147" t="str">
        <f t="shared" si="29"/>
        <v>0.166666666405116-9.33721789501147E-06i</v>
      </c>
      <c r="AQ16" s="147" t="str">
        <f t="shared" si="30"/>
        <v>0.833333333594884+9.33721789501147E-06i</v>
      </c>
      <c r="AR16" s="147" t="str">
        <f t="shared" si="31"/>
        <v>0.999599999560771-0.0000112001796009874i</v>
      </c>
    </row>
    <row r="17" spans="1:44">
      <c r="G17" s="585">
        <v>1.4454</v>
      </c>
      <c r="H17" s="573">
        <f t="shared" si="23"/>
        <v>1.4454000000000001E-3</v>
      </c>
      <c r="I17" s="574">
        <f t="shared" si="0"/>
        <v>1.0000083337849783</v>
      </c>
      <c r="J17" s="575">
        <f t="shared" si="1"/>
        <v>4.0825793567303599E-3</v>
      </c>
      <c r="K17" s="575">
        <f t="shared" si="2"/>
        <v>1.000000000001996</v>
      </c>
      <c r="L17" s="576">
        <f t="shared" si="3"/>
        <v>1.9979775271737414E-6</v>
      </c>
      <c r="M17" s="575">
        <f t="shared" si="4"/>
        <v>1.0000000000045937</v>
      </c>
      <c r="N17" s="576">
        <f t="shared" si="5"/>
        <v>-3.0310227258776426E-6</v>
      </c>
      <c r="O17" s="574">
        <f t="shared" si="6"/>
        <v>59.947667003743611</v>
      </c>
      <c r="P17" s="577">
        <f t="shared" si="7"/>
        <v>1.5541143367700194</v>
      </c>
      <c r="Q17" s="586">
        <f t="shared" si="8"/>
        <v>1.0000029222765197</v>
      </c>
      <c r="R17" s="587">
        <f t="shared" si="9"/>
        <v>2.4175480980545413E-3</v>
      </c>
      <c r="S17" s="574">
        <f t="shared" si="10"/>
        <v>1.0000000000133373</v>
      </c>
      <c r="T17" s="577">
        <f t="shared" si="11"/>
        <v>5.1647719077050702E-6</v>
      </c>
      <c r="U17" s="578">
        <f t="shared" si="24"/>
        <v>0.99959999939027799</v>
      </c>
      <c r="V17" s="579">
        <f t="shared" si="25"/>
        <v>-4.2997247402817723E-5</v>
      </c>
      <c r="W17" s="580">
        <f t="shared" si="12"/>
        <v>74.158935796135481</v>
      </c>
      <c r="X17" s="581">
        <f t="shared" si="13"/>
        <v>-89.142410413003986</v>
      </c>
      <c r="Y17" s="584">
        <f t="shared" si="14"/>
        <v>90.857589586996014</v>
      </c>
      <c r="AA17" s="147">
        <f t="shared" si="15"/>
        <v>1000000000</v>
      </c>
      <c r="AB17" s="147">
        <f t="shared" si="16"/>
        <v>2.0891811599999999</v>
      </c>
      <c r="AD17" s="583">
        <f t="shared" si="17"/>
        <v>69.550029759845827</v>
      </c>
      <c r="AE17" s="584">
        <f t="shared" si="18"/>
        <v>-88.905973096129131</v>
      </c>
      <c r="AG17" s="583">
        <f t="shared" si="19"/>
        <v>33.243131431889104</v>
      </c>
      <c r="AH17" s="584">
        <f t="shared" si="20"/>
        <v>-0.23151019525549385</v>
      </c>
      <c r="AJ17" s="147">
        <f t="shared" si="21"/>
        <v>0</v>
      </c>
      <c r="AK17" s="147">
        <f t="shared" si="22"/>
        <v>0</v>
      </c>
      <c r="AM17" s="147" t="str">
        <f t="shared" si="26"/>
        <v>1.88649296184451E-09+0.0000614246290405339i</v>
      </c>
      <c r="AN17" s="147" t="str">
        <f t="shared" si="27"/>
        <v>0.0000614246290791596i</v>
      </c>
      <c r="AO17" s="147" t="str">
        <f t="shared" si="28"/>
        <v>0.999999999371169-0.0000307123215903076i</v>
      </c>
      <c r="AP17" s="147" t="str">
        <f t="shared" si="29"/>
        <v>0.166666666352251-0.0000102374381734223i</v>
      </c>
      <c r="AQ17" s="147" t="str">
        <f t="shared" si="30"/>
        <v>0.833333333647749+0.0000102374381734223i</v>
      </c>
      <c r="AR17" s="147" t="str">
        <f t="shared" si="31"/>
        <v>0.999599999471993-0.0000122800118266638i</v>
      </c>
    </row>
    <row r="18" spans="1:44">
      <c r="A18" s="147" t="s">
        <v>742</v>
      </c>
      <c r="B18" s="607">
        <f>Vout_eff*Npri_sec/Vin_eff</f>
        <v>0.1125</v>
      </c>
      <c r="C18" s="147" t="s">
        <v>686</v>
      </c>
      <c r="G18" s="585">
        <v>1.5849</v>
      </c>
      <c r="H18" s="573">
        <f t="shared" si="23"/>
        <v>1.5849E-3</v>
      </c>
      <c r="I18" s="574">
        <f t="shared" si="0"/>
        <v>1.0000100200422977</v>
      </c>
      <c r="J18" s="575">
        <f t="shared" si="1"/>
        <v>4.4765966158886502E-3</v>
      </c>
      <c r="K18" s="575">
        <f t="shared" si="2"/>
        <v>1.0000000000023999</v>
      </c>
      <c r="L18" s="576">
        <f t="shared" si="3"/>
        <v>2.1908084840298945E-6</v>
      </c>
      <c r="M18" s="575">
        <f t="shared" si="4"/>
        <v>1.0000000000055231</v>
      </c>
      <c r="N18" s="576">
        <f t="shared" si="5"/>
        <v>-3.3235560524702495E-6</v>
      </c>
      <c r="O18" s="574">
        <f t="shared" si="6"/>
        <v>65.731861622362814</v>
      </c>
      <c r="P18" s="577">
        <f t="shared" si="7"/>
        <v>1.5555824175348851</v>
      </c>
      <c r="Q18" s="586">
        <f t="shared" si="8"/>
        <v>1.0000035135716172</v>
      </c>
      <c r="R18" s="587">
        <f t="shared" si="9"/>
        <v>2.6508720563285957E-3</v>
      </c>
      <c r="S18" s="574">
        <f t="shared" si="10"/>
        <v>1.0000000000160361</v>
      </c>
      <c r="T18" s="577">
        <f t="shared" si="11"/>
        <v>5.6632399311657944E-6</v>
      </c>
      <c r="U18" s="578">
        <f t="shared" si="24"/>
        <v>0.9995999992669069</v>
      </c>
      <c r="V18" s="579">
        <f t="shared" si="25"/>
        <v>-4.7147033040881372E-5</v>
      </c>
      <c r="W18" s="580">
        <f t="shared" si="12"/>
        <v>73.358853362910637</v>
      </c>
      <c r="X18" s="581">
        <f t="shared" si="13"/>
        <v>-89.236004330700666</v>
      </c>
      <c r="Y18" s="584">
        <f t="shared" si="14"/>
        <v>90.763995669299334</v>
      </c>
      <c r="AA18" s="147">
        <f t="shared" si="15"/>
        <v>1000000000</v>
      </c>
      <c r="AB18" s="147">
        <f t="shared" si="16"/>
        <v>2.51190801</v>
      </c>
      <c r="AD18" s="583">
        <f t="shared" si="17"/>
        <v>68.74996197419199</v>
      </c>
      <c r="AE18" s="584">
        <f t="shared" si="18"/>
        <v>-88.976748010066729</v>
      </c>
      <c r="AG18" s="583">
        <f t="shared" si="19"/>
        <v>33.243116786462124</v>
      </c>
      <c r="AH18" s="584">
        <f t="shared" si="20"/>
        <v>-0.25385366860815567</v>
      </c>
      <c r="AJ18" s="147">
        <f t="shared" si="21"/>
        <v>0</v>
      </c>
      <c r="AK18" s="147">
        <f t="shared" si="22"/>
        <v>0</v>
      </c>
      <c r="AM18" s="147" t="str">
        <f t="shared" si="26"/>
        <v>2.26820695559127E-09+0.0000673529089206831i</v>
      </c>
      <c r="AN18" s="147" t="str">
        <f t="shared" si="27"/>
        <v>0.0000673529089716065i</v>
      </c>
      <c r="AO18" s="147" t="str">
        <f t="shared" si="28"/>
        <v>0.999999999243932-0.0000336764512509395i</v>
      </c>
      <c r="AP18" s="147" t="str">
        <f t="shared" si="29"/>
        <v>0.166666666288632-0.0000112254848201139i</v>
      </c>
      <c r="AQ18" s="147" t="str">
        <f t="shared" si="30"/>
        <v>0.833333333711368+0.0000112254848201139i</v>
      </c>
      <c r="AR18" s="147" t="str">
        <f t="shared" si="31"/>
        <v>0.999599999365156-0.0000134651935367629i</v>
      </c>
    </row>
    <row r="19" spans="1:44">
      <c r="A19" s="147" t="s">
        <v>759</v>
      </c>
      <c r="B19" s="147">
        <f>1/'Calculations - Single'!AQ105/1000*0+1/CHOOSE(MODE, 'Calculations - Single'!AQ105,'Calculations - Dual'!AP105)/1000</f>
        <v>6.7635487454719632E-6</v>
      </c>
      <c r="C19" s="147" t="s">
        <v>51</v>
      </c>
      <c r="G19" s="585">
        <v>1.7378</v>
      </c>
      <c r="H19" s="573">
        <f t="shared" si="23"/>
        <v>1.7378000000000001E-3</v>
      </c>
      <c r="I19" s="574">
        <f t="shared" si="0"/>
        <v>1.000012046613304</v>
      </c>
      <c r="J19" s="575">
        <f t="shared" si="1"/>
        <v>4.9084605267245805E-3</v>
      </c>
      <c r="K19" s="575">
        <f t="shared" si="2"/>
        <v>1.0000000000028852</v>
      </c>
      <c r="L19" s="576">
        <f t="shared" si="3"/>
        <v>2.402162271150179E-6</v>
      </c>
      <c r="M19" s="575">
        <f t="shared" si="4"/>
        <v>1.00000000000664</v>
      </c>
      <c r="N19" s="576">
        <f t="shared" si="5"/>
        <v>-3.6441893545198431E-6</v>
      </c>
      <c r="O19" s="574">
        <f t="shared" si="6"/>
        <v>72.071805994186306</v>
      </c>
      <c r="P19" s="577">
        <f t="shared" si="7"/>
        <v>1.5569208303346704</v>
      </c>
      <c r="Q19" s="586">
        <f t="shared" si="8"/>
        <v>1.0000042242003755</v>
      </c>
      <c r="R19" s="587">
        <f t="shared" si="9"/>
        <v>2.906608162701598E-3</v>
      </c>
      <c r="S19" s="574">
        <f t="shared" si="10"/>
        <v>1.0000000000192795</v>
      </c>
      <c r="T19" s="577">
        <f t="shared" si="11"/>
        <v>6.2095894708553457E-6</v>
      </c>
      <c r="U19" s="578">
        <f t="shared" si="24"/>
        <v>0.9995999991186354</v>
      </c>
      <c r="V19" s="579">
        <f t="shared" si="25"/>
        <v>-5.1695453351267258E-5</v>
      </c>
      <c r="W19" s="580">
        <f t="shared" si="12"/>
        <v>72.55905248061292</v>
      </c>
      <c r="X19" s="581">
        <f t="shared" si="13"/>
        <v>-89.323079285389767</v>
      </c>
      <c r="Y19" s="584">
        <f t="shared" si="14"/>
        <v>90.676920714610233</v>
      </c>
      <c r="AA19" s="147">
        <f t="shared" si="15"/>
        <v>1000000000</v>
      </c>
      <c r="AB19" s="147">
        <f t="shared" si="16"/>
        <v>3.0199488400000001</v>
      </c>
      <c r="AD19" s="583">
        <f t="shared" si="17"/>
        <v>67.950178695546626</v>
      </c>
      <c r="AE19" s="584">
        <f t="shared" si="18"/>
        <v>-89.03881211877011</v>
      </c>
      <c r="AG19" s="583">
        <f t="shared" si="19"/>
        <v>33.243099185386541</v>
      </c>
      <c r="AH19" s="584">
        <f t="shared" si="20"/>
        <v>-0.27834330401880802</v>
      </c>
      <c r="AJ19" s="147">
        <f t="shared" si="21"/>
        <v>0</v>
      </c>
      <c r="AK19" s="147">
        <f t="shared" si="22"/>
        <v>0</v>
      </c>
      <c r="AM19" s="147" t="str">
        <f t="shared" si="26"/>
        <v>2.72695899194986E-09+0.0000738506436396396i</v>
      </c>
      <c r="AN19" s="147" t="str">
        <f t="shared" si="27"/>
        <v>0.0000738506437067688i</v>
      </c>
      <c r="AO19" s="147" t="str">
        <f t="shared" si="28"/>
        <v>0.999999999091014-0.0000369253246156867i</v>
      </c>
      <c r="AP19" s="147" t="str">
        <f t="shared" si="29"/>
        <v>0.166666666212173-0.0000123084406066066i</v>
      </c>
      <c r="AQ19" s="147" t="str">
        <f t="shared" si="30"/>
        <v>0.833333333787827+0.0000123084406066066i</v>
      </c>
      <c r="AR19" s="147" t="str">
        <f t="shared" si="31"/>
        <v>0.999599999236756-0.0000147642206571112i</v>
      </c>
    </row>
    <row r="20" spans="1:44">
      <c r="G20" s="585">
        <v>1.9055</v>
      </c>
      <c r="H20" s="573">
        <f t="shared" si="23"/>
        <v>1.9055000000000001E-3</v>
      </c>
      <c r="I20" s="574">
        <f t="shared" si="0"/>
        <v>1.0000144838080616</v>
      </c>
      <c r="J20" s="575">
        <f t="shared" si="1"/>
        <v>5.3821247191828325E-3</v>
      </c>
      <c r="K20" s="575">
        <f t="shared" si="2"/>
        <v>1.0000000000034688</v>
      </c>
      <c r="L20" s="576">
        <f t="shared" si="3"/>
        <v>2.6339741096069081E-6</v>
      </c>
      <c r="M20" s="575">
        <f t="shared" si="4"/>
        <v>1.0000000000079834</v>
      </c>
      <c r="N20" s="576">
        <f t="shared" si="5"/>
        <v>-3.9958584503575444E-6</v>
      </c>
      <c r="O20" s="574">
        <f t="shared" si="6"/>
        <v>79.02555060928357</v>
      </c>
      <c r="P20" s="577">
        <f t="shared" si="7"/>
        <v>1.5581418538798804</v>
      </c>
      <c r="Q20" s="586">
        <f t="shared" si="8"/>
        <v>1.0000050788179484</v>
      </c>
      <c r="R20" s="587">
        <f t="shared" si="9"/>
        <v>3.1870978815069406E-3</v>
      </c>
      <c r="S20" s="574">
        <f t="shared" si="10"/>
        <v>1.0000000000231801</v>
      </c>
      <c r="T20" s="577">
        <f t="shared" si="11"/>
        <v>6.8088230732443852E-6</v>
      </c>
      <c r="U20" s="578">
        <f t="shared" si="24"/>
        <v>0.9995999989403247</v>
      </c>
      <c r="V20" s="579">
        <f t="shared" si="25"/>
        <v>-5.6684131669250835E-5</v>
      </c>
      <c r="W20" s="580">
        <f t="shared" si="12"/>
        <v>71.758996221171785</v>
      </c>
      <c r="X20" s="581">
        <f t="shared" si="13"/>
        <v>-89.404433894443642</v>
      </c>
      <c r="Y20" s="584">
        <f t="shared" si="14"/>
        <v>90.595566105556358</v>
      </c>
      <c r="AA20" s="147">
        <f t="shared" si="15"/>
        <v>1000000000</v>
      </c>
      <c r="AB20" s="147">
        <f t="shared" si="16"/>
        <v>3.63093025</v>
      </c>
      <c r="AD20" s="583">
        <f t="shared" si="17"/>
        <v>67.15014360656204</v>
      </c>
      <c r="AE20" s="584">
        <f t="shared" si="18"/>
        <v>-89.092735071130349</v>
      </c>
      <c r="AG20" s="583">
        <f t="shared" si="19"/>
        <v>33.243078018028804</v>
      </c>
      <c r="AH20" s="584">
        <f t="shared" si="20"/>
        <v>-0.30520330028585335</v>
      </c>
      <c r="AJ20" s="147">
        <f t="shared" si="21"/>
        <v>0</v>
      </c>
      <c r="AK20" s="147">
        <f t="shared" si="22"/>
        <v>0</v>
      </c>
      <c r="AM20" s="147" t="str">
        <f t="shared" si="26"/>
        <v>3.27866400695598E-09+0.000080977328478222i</v>
      </c>
      <c r="AN20" s="147" t="str">
        <f t="shared" si="27"/>
        <v>0.0000809773285667211i</v>
      </c>
      <c r="AO20" s="147" t="str">
        <f t="shared" si="28"/>
        <v>0.999999998907113-0.0000404886659635176i</v>
      </c>
      <c r="AP20" s="147" t="str">
        <f t="shared" si="29"/>
        <v>0.166666666120223-0.000013496221413037i</v>
      </c>
      <c r="AQ20" s="147" t="str">
        <f t="shared" si="30"/>
        <v>0.833333333879777+0.000013496221413037i</v>
      </c>
      <c r="AR20" s="147" t="str">
        <f t="shared" si="31"/>
        <v>0.999599999082342-0.0000161889874838886i</v>
      </c>
    </row>
    <row r="21" spans="1:44">
      <c r="A21" s="235" t="s">
        <v>738</v>
      </c>
      <c r="B21" s="609">
        <f>Vout_eff/Iout_eff</f>
        <v>4.5000000000000009</v>
      </c>
      <c r="C21" s="600" t="s">
        <v>45</v>
      </c>
      <c r="D21" s="600"/>
      <c r="E21" s="600"/>
      <c r="G21" s="585">
        <v>2.0893000000000002</v>
      </c>
      <c r="H21" s="573">
        <f t="shared" si="23"/>
        <v>2.0893000000000001E-3</v>
      </c>
      <c r="I21" s="574">
        <f t="shared" si="0"/>
        <v>1.0000174126883545</v>
      </c>
      <c r="J21" s="575">
        <f t="shared" si="1"/>
        <v>5.9012601519156591E-3</v>
      </c>
      <c r="K21" s="575">
        <f t="shared" si="2"/>
        <v>1.0000000000041704</v>
      </c>
      <c r="L21" s="576">
        <f t="shared" si="3"/>
        <v>2.8880409903957706E-6</v>
      </c>
      <c r="M21" s="575">
        <f t="shared" si="4"/>
        <v>1.0000000000095979</v>
      </c>
      <c r="N21" s="576">
        <f t="shared" si="5"/>
        <v>-4.3812894570050035E-6</v>
      </c>
      <c r="O21" s="574">
        <f t="shared" si="6"/>
        <v>86.64700044448918</v>
      </c>
      <c r="P21" s="577">
        <f t="shared" si="7"/>
        <v>1.5592549901574646</v>
      </c>
      <c r="Q21" s="586">
        <f t="shared" si="8"/>
        <v>1.0000061058499163</v>
      </c>
      <c r="R21" s="587">
        <f t="shared" si="9"/>
        <v>3.4945153737338912E-3</v>
      </c>
      <c r="S21" s="574">
        <f t="shared" si="10"/>
        <v>1.0000000000278675</v>
      </c>
      <c r="T21" s="577">
        <f t="shared" si="11"/>
        <v>7.4655859600551249E-6</v>
      </c>
      <c r="U21" s="578">
        <f t="shared" si="24"/>
        <v>0.99959999872603511</v>
      </c>
      <c r="V21" s="579">
        <f t="shared" si="25"/>
        <v>-6.2151745780324576E-5</v>
      </c>
      <c r="W21" s="580">
        <f t="shared" si="12"/>
        <v>70.959259652534769</v>
      </c>
      <c r="X21" s="581">
        <f t="shared" si="13"/>
        <v>-89.480700877261597</v>
      </c>
      <c r="Y21" s="584">
        <f t="shared" si="14"/>
        <v>90.519299122738403</v>
      </c>
      <c r="AA21" s="147">
        <f t="shared" si="15"/>
        <v>1000000000</v>
      </c>
      <c r="AB21" s="147">
        <f t="shared" si="16"/>
        <v>4.3651744900000002</v>
      </c>
      <c r="AD21" s="583">
        <f t="shared" si="17"/>
        <v>66.350432479292223</v>
      </c>
      <c r="AE21" s="584">
        <f t="shared" si="18"/>
        <v>-89.13893698680009</v>
      </c>
      <c r="AG21" s="583">
        <f t="shared" si="19"/>
        <v>33.243052580385687</v>
      </c>
      <c r="AH21" s="584">
        <f t="shared" si="20"/>
        <v>-0.33464182500820078</v>
      </c>
      <c r="AJ21" s="147">
        <f t="shared" si="21"/>
        <v>0</v>
      </c>
      <c r="AK21" s="147">
        <f t="shared" si="22"/>
        <v>0</v>
      </c>
      <c r="AM21" s="147" t="str">
        <f t="shared" si="26"/>
        <v>3.94167298800596E-09+0.0000887882090538749i</v>
      </c>
      <c r="AN21" s="147" t="str">
        <f t="shared" si="27"/>
        <v>0.0000887882091705329i</v>
      </c>
      <c r="AO21" s="147" t="str">
        <f t="shared" si="28"/>
        <v>0.999999998686109-0.0000443941039562506i</v>
      </c>
      <c r="AP21" s="147" t="str">
        <f t="shared" si="29"/>
        <v>0.166666666009721-0.0000147980348423125i</v>
      </c>
      <c r="AQ21" s="147" t="str">
        <f t="shared" si="30"/>
        <v>0.833333333990279+0.0000147980348423125i</v>
      </c>
      <c r="AR21" s="147" t="str">
        <f t="shared" si="31"/>
        <v>0.999599998896773-0.0000177505387204666i</v>
      </c>
    </row>
    <row r="22" spans="1:44">
      <c r="A22" s="147" t="s">
        <v>737</v>
      </c>
      <c r="B22" s="609">
        <f>Rload_sec*(Npri_sec^2)</f>
        <v>4.5000000000000009</v>
      </c>
      <c r="C22" s="600" t="s">
        <v>45</v>
      </c>
      <c r="D22" s="600"/>
      <c r="E22" s="600"/>
      <c r="G22" s="585">
        <v>2.2909000000000002</v>
      </c>
      <c r="H22" s="573">
        <f t="shared" si="23"/>
        <v>2.2909000000000002E-3</v>
      </c>
      <c r="I22" s="574">
        <f t="shared" si="0"/>
        <v>1.0000209351327116</v>
      </c>
      <c r="J22" s="575">
        <f t="shared" si="1"/>
        <v>6.4706672739329261E-3</v>
      </c>
      <c r="K22" s="575">
        <f t="shared" si="2"/>
        <v>1.000000000005014</v>
      </c>
      <c r="L22" s="576">
        <f t="shared" si="3"/>
        <v>3.1667128248188145E-6</v>
      </c>
      <c r="M22" s="575">
        <f t="shared" si="4"/>
        <v>1.0000000000115394</v>
      </c>
      <c r="N22" s="576">
        <f t="shared" si="5"/>
        <v>-4.8040472967212796E-6</v>
      </c>
      <c r="O22" s="574">
        <f t="shared" si="6"/>
        <v>95.006647680281318</v>
      </c>
      <c r="P22" s="577">
        <f>ATAN(G22/Pole2)</f>
        <v>1.5602705531782721</v>
      </c>
      <c r="Q22" s="586">
        <f t="shared" si="8"/>
        <v>1.0000073410217825</v>
      </c>
      <c r="R22" s="587">
        <f t="shared" si="9"/>
        <v>3.8317037656342909E-3</v>
      </c>
      <c r="S22" s="574">
        <f t="shared" si="10"/>
        <v>1.0000000000335048</v>
      </c>
      <c r="T22" s="577">
        <f t="shared" si="11"/>
        <v>8.1859526520011543E-6</v>
      </c>
      <c r="U22" s="578">
        <f t="shared" si="24"/>
        <v>0.99959999846832071</v>
      </c>
      <c r="V22" s="579">
        <f t="shared" si="25"/>
        <v>-6.8148875471817828E-5</v>
      </c>
      <c r="W22" s="580">
        <f t="shared" si="12"/>
        <v>70.159230556202957</v>
      </c>
      <c r="X22" s="581">
        <f t="shared" si="13"/>
        <v>-89.552586645136799</v>
      </c>
      <c r="Y22" s="584">
        <f t="shared" si="14"/>
        <v>90.447413354863201</v>
      </c>
      <c r="AA22" s="147">
        <f t="shared" si="15"/>
        <v>1000000000</v>
      </c>
      <c r="AB22" s="147">
        <f t="shared" si="16"/>
        <v>5.2482228100000006</v>
      </c>
      <c r="AD22" s="583">
        <f t="shared" si="17"/>
        <v>65.550433980151908</v>
      </c>
      <c r="AE22" s="584">
        <f t="shared" si="18"/>
        <v>-89.177846263980825</v>
      </c>
      <c r="AG22" s="583">
        <f t="shared" si="19"/>
        <v>33.243021987672932</v>
      </c>
      <c r="AH22" s="584">
        <f t="shared" si="20"/>
        <v>-0.36693109526085177</v>
      </c>
      <c r="AJ22" s="147">
        <f t="shared" si="21"/>
        <v>0</v>
      </c>
      <c r="AK22" s="147">
        <f t="shared" si="22"/>
        <v>0</v>
      </c>
      <c r="AM22" s="147" t="str">
        <f t="shared" si="26"/>
        <v>4.73905004128028E-09+0.000097355529635504i</v>
      </c>
      <c r="AN22" s="147" t="str">
        <f t="shared" si="27"/>
        <v>0.0000973555297892949i</v>
      </c>
      <c r="AO22" s="147" t="str">
        <f t="shared" si="28"/>
        <v>0.999999998420317-0.0000486777695271849i</v>
      </c>
      <c r="AP22" s="147" t="str">
        <f t="shared" si="29"/>
        <v>0.166666665876825-0.0000162259216059173i</v>
      </c>
      <c r="AQ22" s="147" t="str">
        <f t="shared" si="30"/>
        <v>0.833333334123175+0.0000162259216059173i</v>
      </c>
      <c r="AR22" s="147" t="str">
        <f t="shared" si="31"/>
        <v>0.999599998673597-0.0000194633174404559i</v>
      </c>
    </row>
    <row r="23" spans="1:44">
      <c r="G23" s="585">
        <v>2.5118999999999998</v>
      </c>
      <c r="H23" s="573">
        <f t="shared" si="23"/>
        <v>2.5118999999999996E-3</v>
      </c>
      <c r="I23" s="574">
        <f t="shared" si="0"/>
        <v>1.0000251690733446</v>
      </c>
      <c r="J23" s="575">
        <f t="shared" si="1"/>
        <v>7.094863699063968E-3</v>
      </c>
      <c r="K23" s="575">
        <f t="shared" si="2"/>
        <v>1.0000000000060281</v>
      </c>
      <c r="L23" s="576">
        <f t="shared" si="3"/>
        <v>3.4722012941014451E-6</v>
      </c>
      <c r="M23" s="575">
        <f t="shared" si="4"/>
        <v>1.0000000000138733</v>
      </c>
      <c r="N23" s="576">
        <f t="shared" si="5"/>
        <v>-5.2674871904558938E-6</v>
      </c>
      <c r="O23" s="574">
        <f t="shared" si="6"/>
        <v>104.17083874180429</v>
      </c>
      <c r="P23" s="577">
        <f t="shared" si="7"/>
        <v>1.5611965638335439</v>
      </c>
      <c r="Q23" s="586">
        <f t="shared" si="8"/>
        <v>1.0000088256889601</v>
      </c>
      <c r="R23" s="587">
        <f t="shared" si="9"/>
        <v>4.2013388460803245E-3</v>
      </c>
      <c r="S23" s="574">
        <f t="shared" si="10"/>
        <v>1.0000000000402811</v>
      </c>
      <c r="T23" s="577">
        <f t="shared" si="11"/>
        <v>8.9756403450472757E-6</v>
      </c>
      <c r="U23" s="578">
        <f t="shared" si="24"/>
        <v>0.99959999815854361</v>
      </c>
      <c r="V23" s="579">
        <f t="shared" si="25"/>
        <v>-7.472309579241283E-5</v>
      </c>
      <c r="W23" s="580">
        <f t="shared" si="12"/>
        <v>69.359363340222828</v>
      </c>
      <c r="X23" s="581">
        <f t="shared" si="13"/>
        <v>-89.620659409023318</v>
      </c>
      <c r="Y23" s="584">
        <f t="shared" si="14"/>
        <v>90.379340590976682</v>
      </c>
      <c r="AA23" s="147">
        <f t="shared" si="15"/>
        <v>1000000000</v>
      </c>
      <c r="AB23" s="147">
        <f t="shared" si="16"/>
        <v>6.309641609999999</v>
      </c>
      <c r="AD23" s="583">
        <f t="shared" si="17"/>
        <v>64.750603541527809</v>
      </c>
      <c r="AE23" s="584">
        <f t="shared" si="18"/>
        <v>-89.209769482050916</v>
      </c>
      <c r="AG23" s="583">
        <f t="shared" si="19"/>
        <v>33.242985215700443</v>
      </c>
      <c r="AH23" s="584">
        <f t="shared" si="20"/>
        <v>-0.40232729092049013</v>
      </c>
      <c r="AJ23" s="147">
        <f t="shared" si="21"/>
        <v>0</v>
      </c>
      <c r="AK23" s="147">
        <f t="shared" si="22"/>
        <v>0</v>
      </c>
      <c r="AM23" s="147" t="str">
        <f t="shared" si="26"/>
        <v>5.69749103451755E-09+0.000106747284828361i</v>
      </c>
      <c r="AN23" s="147" t="str">
        <f t="shared" si="27"/>
        <v>0.000106747285031092i</v>
      </c>
      <c r="AO23" s="147" t="str">
        <f t="shared" si="28"/>
        <v>0.999999998100832-0.0000533736388036291i</v>
      </c>
      <c r="AP23" s="147" t="str">
        <f t="shared" si="29"/>
        <v>0.166666665717085-0.0000177912141380602i</v>
      </c>
      <c r="AQ23" s="147" t="str">
        <f t="shared" si="30"/>
        <v>0.833333334282915+0.0000177912141380602i</v>
      </c>
      <c r="AR23" s="147" t="str">
        <f t="shared" si="31"/>
        <v>0.999599998405341-0.0000213409171245229i</v>
      </c>
    </row>
    <row r="24" spans="1:44">
      <c r="D24" s="604"/>
      <c r="G24" s="585">
        <v>2.7542</v>
      </c>
      <c r="H24" s="573">
        <f t="shared" si="23"/>
        <v>2.7542000000000001E-3</v>
      </c>
      <c r="I24" s="574">
        <f t="shared" si="0"/>
        <v>1.0000302588471226</v>
      </c>
      <c r="J24" s="575">
        <f t="shared" si="1"/>
        <v>7.7792138605636899E-3</v>
      </c>
      <c r="K24" s="575">
        <f t="shared" si="2"/>
        <v>1.0000000000072471</v>
      </c>
      <c r="L24" s="576">
        <f t="shared" si="3"/>
        <v>3.8071327696988057E-6</v>
      </c>
      <c r="M24" s="575">
        <f t="shared" si="4"/>
        <v>1.0000000000166787</v>
      </c>
      <c r="N24" s="576">
        <f t="shared" si="5"/>
        <v>-5.775593463086305E-6</v>
      </c>
      <c r="O24" s="574">
        <f t="shared" si="6"/>
        <v>114.21836075530548</v>
      </c>
      <c r="P24" s="577">
        <f t="shared" si="7"/>
        <v>1.5620410551441892</v>
      </c>
      <c r="Q24" s="586">
        <f t="shared" si="8"/>
        <v>1.0000106104666879</v>
      </c>
      <c r="R24" s="587">
        <f t="shared" si="9"/>
        <v>4.606598065932453E-3</v>
      </c>
      <c r="S24" s="574">
        <f t="shared" si="10"/>
        <v>1.000000000048427</v>
      </c>
      <c r="T24" s="577">
        <f t="shared" si="11"/>
        <v>9.8414382094012348E-6</v>
      </c>
      <c r="U24" s="578">
        <f t="shared" si="24"/>
        <v>0.99959999778615849</v>
      </c>
      <c r="V24" s="579">
        <f t="shared" si="25"/>
        <v>-8.1930948725929845E-5</v>
      </c>
      <c r="W24" s="580">
        <f t="shared" si="12"/>
        <v>68.559539391114313</v>
      </c>
      <c r="X24" s="581">
        <f t="shared" si="13"/>
        <v>-89.685508438390571</v>
      </c>
      <c r="Y24" s="584">
        <f t="shared" si="14"/>
        <v>90.314491561609429</v>
      </c>
      <c r="AA24" s="147">
        <f t="shared" si="15"/>
        <v>1000000000</v>
      </c>
      <c r="AB24" s="147">
        <f t="shared" si="16"/>
        <v>7.5856176399999997</v>
      </c>
      <c r="AD24" s="583">
        <f t="shared" si="17"/>
        <v>63.950823803608266</v>
      </c>
      <c r="AE24" s="584">
        <f t="shared" si="18"/>
        <v>-89.234985233672447</v>
      </c>
      <c r="AG24" s="583">
        <f t="shared" si="19"/>
        <v>33.242941010983053</v>
      </c>
      <c r="AH24" s="584">
        <f t="shared" si="20"/>
        <v>-0.44113460956041084</v>
      </c>
      <c r="AJ24" s="147">
        <f t="shared" si="21"/>
        <v>0</v>
      </c>
      <c r="AK24" s="147">
        <f t="shared" si="22"/>
        <v>0</v>
      </c>
      <c r="AM24" s="147" t="str">
        <f t="shared" si="26"/>
        <v>6.84967405018E-09+0.000117044218225789i</v>
      </c>
      <c r="AN24" s="147" t="str">
        <f t="shared" si="27"/>
        <v>0.000117044218493027i</v>
      </c>
      <c r="AO24" s="147" t="str">
        <f t="shared" si="28"/>
        <v>0.999999997716777-0.0000585221050503069i</v>
      </c>
      <c r="AP24" s="147" t="str">
        <f t="shared" si="29"/>
        <v>0.166666665525054-0.0000195073697042982i</v>
      </c>
      <c r="AQ24" s="147" t="str">
        <f t="shared" si="30"/>
        <v>0.833333334474946+0.0000195073697042982i</v>
      </c>
      <c r="AR24" s="147" t="str">
        <f t="shared" si="31"/>
        <v>0.999599998082858-0.0000233994800307659i</v>
      </c>
    </row>
    <row r="25" spans="1:44">
      <c r="A25" s="235" t="s">
        <v>751</v>
      </c>
      <c r="B25" s="603">
        <f>'Design Converter'!E34+'Design Converter'!E34*0+IF(MODE=2,ABS('Design Converter'!L34*('Design Converter'!L14)^2),0)</f>
        <v>110</v>
      </c>
      <c r="C25" s="147" t="s">
        <v>749</v>
      </c>
      <c r="D25" s="236">
        <f>Cout_sec*0.000001</f>
        <v>1.0999999999999999E-4</v>
      </c>
      <c r="E25" s="147" t="s">
        <v>13</v>
      </c>
      <c r="G25" s="585">
        <v>3.02</v>
      </c>
      <c r="H25" s="573">
        <f t="shared" si="23"/>
        <v>3.0200000000000001E-3</v>
      </c>
      <c r="I25" s="574">
        <f t="shared" si="0"/>
        <v>1.000036380945843</v>
      </c>
      <c r="J25" s="575">
        <f t="shared" si="1"/>
        <v>8.5299288273215038E-3</v>
      </c>
      <c r="K25" s="575">
        <f t="shared" si="2"/>
        <v>1.0000000000087135</v>
      </c>
      <c r="L25" s="576">
        <f t="shared" si="3"/>
        <v>4.1745483132957498E-6</v>
      </c>
      <c r="M25" s="575">
        <f t="shared" si="4"/>
        <v>1.0000000000200533</v>
      </c>
      <c r="N25" s="576">
        <f t="shared" si="5"/>
        <v>-6.3329795434178339E-6</v>
      </c>
      <c r="O25" s="574">
        <f t="shared" si="6"/>
        <v>125.24044178386858</v>
      </c>
      <c r="P25" s="577">
        <f t="shared" si="7"/>
        <v>1.5628116006807875</v>
      </c>
      <c r="Q25" s="586">
        <f t="shared" si="8"/>
        <v>1.0000127572468192</v>
      </c>
      <c r="R25" s="587">
        <f t="shared" si="9"/>
        <v>5.0511604998679871E-3</v>
      </c>
      <c r="S25" s="574">
        <f t="shared" si="10"/>
        <v>1.000000000058225</v>
      </c>
      <c r="T25" s="577">
        <f t="shared" si="11"/>
        <v>1.079120738951332E-5</v>
      </c>
      <c r="U25" s="578">
        <f t="shared" si="24"/>
        <v>0.99959999733823279</v>
      </c>
      <c r="V25" s="579">
        <f t="shared" si="25"/>
        <v>-8.9837875610616105E-5</v>
      </c>
      <c r="W25" s="580">
        <f t="shared" si="12"/>
        <v>67.75933150014221</v>
      </c>
      <c r="X25" s="581">
        <f t="shared" si="13"/>
        <v>-89.747717029464269</v>
      </c>
      <c r="Y25" s="584">
        <f t="shared" si="14"/>
        <v>90.252282970535731</v>
      </c>
      <c r="AA25" s="147">
        <f t="shared" si="15"/>
        <v>1000000000</v>
      </c>
      <c r="AB25" s="147">
        <f t="shared" si="16"/>
        <v>9.1204000000000001</v>
      </c>
      <c r="AD25" s="583">
        <f t="shared" si="17"/>
        <v>63.150669090588387</v>
      </c>
      <c r="AE25" s="584">
        <f t="shared" si="18"/>
        <v>-89.253717107434525</v>
      </c>
      <c r="AG25" s="583">
        <f t="shared" si="19"/>
        <v>33.242887840815207</v>
      </c>
      <c r="AH25" s="584">
        <f t="shared" si="20"/>
        <v>-0.48370525979215717</v>
      </c>
      <c r="AJ25" s="147">
        <f t="shared" si="21"/>
        <v>0</v>
      </c>
      <c r="AK25" s="147">
        <f t="shared" si="22"/>
        <v>0</v>
      </c>
      <c r="AM25" s="147" t="str">
        <f t="shared" si="26"/>
        <v>8.23555501572315E-09+0.000128339822408899i</v>
      </c>
      <c r="AN25" s="147" t="str">
        <f t="shared" si="27"/>
        <v>0.000128339822761216i</v>
      </c>
      <c r="AO25" s="147" t="str">
        <f t="shared" si="28"/>
        <v>0.999999997254812-0.000064169911088672i</v>
      </c>
      <c r="AP25" s="147" t="str">
        <f t="shared" si="29"/>
        <v>0.166666665294074-0.0000213899704014832i</v>
      </c>
      <c r="AQ25" s="147" t="str">
        <f t="shared" si="30"/>
        <v>0.833333334705926+0.0000213899704014832i</v>
      </c>
      <c r="AR25" s="147" t="str">
        <f t="shared" si="31"/>
        <v>0.999599997694967-0.0000256576971945605i</v>
      </c>
    </row>
    <row r="26" spans="1:44">
      <c r="A26" s="235" t="s">
        <v>746</v>
      </c>
      <c r="B26" s="603">
        <f>IF(MODE=2,('Design Converter'!E35*'Design Converter'!E34+'Design Converter'!L34*'Design Converter'!L35)/Cout_sec,'Design Converter'!E35)</f>
        <v>2</v>
      </c>
      <c r="C26" s="147" t="s">
        <v>748</v>
      </c>
      <c r="D26" s="147">
        <f>B26*0.001</f>
        <v>2E-3</v>
      </c>
      <c r="E26" s="600" t="s">
        <v>45</v>
      </c>
      <c r="G26" s="585">
        <v>3.3113000000000001</v>
      </c>
      <c r="H26" s="573">
        <f t="shared" si="23"/>
        <v>3.3113000000000001E-3</v>
      </c>
      <c r="I26" s="574">
        <f t="shared" si="0"/>
        <v>1.0000437376616558</v>
      </c>
      <c r="J26" s="575">
        <f t="shared" si="1"/>
        <v>9.3526539081483489E-3</v>
      </c>
      <c r="K26" s="575">
        <f t="shared" si="2"/>
        <v>1.0000000000104754</v>
      </c>
      <c r="L26" s="576">
        <f t="shared" si="3"/>
        <v>4.577212526423834E-6</v>
      </c>
      <c r="M26" s="575">
        <f t="shared" si="4"/>
        <v>1.0000000000241085</v>
      </c>
      <c r="N26" s="576">
        <f t="shared" si="5"/>
        <v>-6.943839457636684E-6</v>
      </c>
      <c r="O26" s="574">
        <f t="shared" si="6"/>
        <v>137.32001697170557</v>
      </c>
      <c r="P26" s="577">
        <f t="shared" si="7"/>
        <v>1.5635140029151406</v>
      </c>
      <c r="Q26" s="586">
        <f t="shared" si="8"/>
        <v>1.0000153369700755</v>
      </c>
      <c r="R26" s="587">
        <f t="shared" si="9"/>
        <v>5.5383705291584184E-3</v>
      </c>
      <c r="S26" s="574">
        <f t="shared" si="10"/>
        <v>1.0000000000699991</v>
      </c>
      <c r="T26" s="577">
        <f t="shared" si="11"/>
        <v>1.1832094380336084E-5</v>
      </c>
      <c r="U26" s="578">
        <f t="shared" si="24"/>
        <v>0.99959999679997746</v>
      </c>
      <c r="V26" s="579">
        <f t="shared" si="25"/>
        <v>-9.8503361343414326E-5</v>
      </c>
      <c r="W26" s="580">
        <f t="shared" si="12"/>
        <v>66.959504854947355</v>
      </c>
      <c r="X26" s="581">
        <f t="shared" si="13"/>
        <v>-89.807753372424443</v>
      </c>
      <c r="Y26" s="584">
        <f t="shared" si="14"/>
        <v>90.192246627575557</v>
      </c>
      <c r="AA26" s="147">
        <f t="shared" si="15"/>
        <v>1000000000</v>
      </c>
      <c r="AB26" s="147">
        <f t="shared" si="16"/>
        <v>10.964707690000001</v>
      </c>
      <c r="AD26" s="583">
        <f t="shared" si="17"/>
        <v>62.350906347082073</v>
      </c>
      <c r="AE26" s="584">
        <f t="shared" si="18"/>
        <v>-89.266106351014415</v>
      </c>
      <c r="AG26" s="583">
        <f t="shared" si="19"/>
        <v>33.242823948480854</v>
      </c>
      <c r="AH26" s="584">
        <f t="shared" si="20"/>
        <v>-0.53035936765147018</v>
      </c>
      <c r="AJ26" s="147">
        <f t="shared" si="21"/>
        <v>0</v>
      </c>
      <c r="AK26" s="147">
        <f t="shared" si="22"/>
        <v>0</v>
      </c>
      <c r="AM26" s="147" t="str">
        <f t="shared" si="26"/>
        <v>9.9009309639797E-09+0.00014071909063135i</v>
      </c>
      <c r="AN26" s="147" t="str">
        <f t="shared" si="27"/>
        <v>0.000140719091095767i</v>
      </c>
      <c r="AO26" s="147" t="str">
        <f t="shared" si="28"/>
        <v>0.999999996699687-0.0000703595431642006i</v>
      </c>
      <c r="AP26" s="147" t="str">
        <f t="shared" si="29"/>
        <v>0.166666665016512-0.0000234531817718917i</v>
      </c>
      <c r="AQ26" s="147" t="str">
        <f t="shared" si="30"/>
        <v>0.833333334983488+0.0000234531817718917i</v>
      </c>
      <c r="AR26" s="147" t="str">
        <f t="shared" si="31"/>
        <v>0.999599997228849-0.0000281325604653211i</v>
      </c>
    </row>
    <row r="27" spans="1:44">
      <c r="A27" s="147" t="s">
        <v>740</v>
      </c>
      <c r="B27" s="608">
        <f>Cout_sec/Npri_sec^2</f>
        <v>110</v>
      </c>
      <c r="C27" s="147" t="s">
        <v>749</v>
      </c>
      <c r="D27" s="236">
        <f>Cout_pri*0.000001</f>
        <v>1.0999999999999999E-4</v>
      </c>
      <c r="E27" s="147" t="s">
        <v>13</v>
      </c>
      <c r="G27" s="585">
        <v>3.6307999999999998</v>
      </c>
      <c r="H27" s="573">
        <f t="shared" si="23"/>
        <v>3.6308E-3</v>
      </c>
      <c r="I27" s="574">
        <f t="shared" si="0"/>
        <v>1.0000525849220967</v>
      </c>
      <c r="J27" s="575">
        <f t="shared" si="1"/>
        <v>1.0255010276765978E-2</v>
      </c>
      <c r="K27" s="575">
        <f t="shared" si="2"/>
        <v>1.0000000000125944</v>
      </c>
      <c r="L27" s="576">
        <f t="shared" si="3"/>
        <v>5.018857621150659E-6</v>
      </c>
      <c r="M27" s="575">
        <f t="shared" si="4"/>
        <v>1.0000000000289853</v>
      </c>
      <c r="N27" s="576">
        <f t="shared" si="5"/>
        <v>-7.6138351410942224E-6</v>
      </c>
      <c r="O27" s="574">
        <f t="shared" si="6"/>
        <v>150.56904940798606</v>
      </c>
      <c r="P27" s="577">
        <f t="shared" si="7"/>
        <v>1.5641548068038957</v>
      </c>
      <c r="Q27" s="586">
        <f t="shared" si="8"/>
        <v>1.0000184393875347</v>
      </c>
      <c r="R27" s="587">
        <f t="shared" si="9"/>
        <v>6.0727430699139273E-3</v>
      </c>
      <c r="S27" s="574">
        <f t="shared" si="10"/>
        <v>1.0000000000841589</v>
      </c>
      <c r="T27" s="577">
        <f t="shared" si="11"/>
        <v>1.2973746950055481E-5</v>
      </c>
      <c r="U27" s="578">
        <f t="shared" si="24"/>
        <v>0.99959999615266426</v>
      </c>
      <c r="V27" s="579">
        <f t="shared" si="25"/>
        <v>-1.0800773656246311E-4</v>
      </c>
      <c r="W27" s="580">
        <f t="shared" si="12"/>
        <v>66.159417750693322</v>
      </c>
      <c r="X27" s="581">
        <f t="shared" si="13"/>
        <v>-89.866175707063874</v>
      </c>
      <c r="Y27" s="584">
        <f t="shared" si="14"/>
        <v>90.133824292936126</v>
      </c>
      <c r="AA27" s="147">
        <f t="shared" si="15"/>
        <v>1000000000</v>
      </c>
      <c r="AB27" s="147">
        <f t="shared" si="16"/>
        <v>13.182708639999998</v>
      </c>
      <c r="AD27" s="583">
        <f t="shared" si="17"/>
        <v>61.550896091018984</v>
      </c>
      <c r="AE27" s="584">
        <f t="shared" si="18"/>
        <v>-89.272269829943653</v>
      </c>
      <c r="AG27" s="583">
        <f t="shared" si="19"/>
        <v>33.242747111539408</v>
      </c>
      <c r="AH27" s="584">
        <f t="shared" si="20"/>
        <v>-0.58152910218650478</v>
      </c>
      <c r="AJ27" s="147">
        <f t="shared" si="21"/>
        <v>0</v>
      </c>
      <c r="AK27" s="147">
        <f t="shared" si="22"/>
        <v>0</v>
      </c>
      <c r="AM27" s="147" t="str">
        <f t="shared" si="26"/>
        <v>1.19037459889171E-08+0.000154296763785587i</v>
      </c>
      <c r="AN27" s="147" t="str">
        <f t="shared" si="27"/>
        <v>0.000154296764397823i</v>
      </c>
      <c r="AO27" s="147" t="str">
        <f t="shared" si="28"/>
        <v>0.999999996032088-0.0000771483837355507i</v>
      </c>
      <c r="AP27" s="147" t="str">
        <f t="shared" si="29"/>
        <v>0.166666664682709-0.0000257161272975978i</v>
      </c>
      <c r="AQ27" s="147" t="str">
        <f t="shared" si="30"/>
        <v>0.833333335317291+0.0000257161272975978i</v>
      </c>
      <c r="AR27" s="147" t="str">
        <f t="shared" si="31"/>
        <v>0.999599996668284-0.0000308470088397609i</v>
      </c>
    </row>
    <row r="28" spans="1:44">
      <c r="G28" s="585">
        <v>3.9811000000000001</v>
      </c>
      <c r="H28" s="573">
        <f t="shared" si="23"/>
        <v>3.9811000000000004E-3</v>
      </c>
      <c r="I28" s="574">
        <f t="shared" si="0"/>
        <v>1.0000632208666629</v>
      </c>
      <c r="J28" s="575">
        <f t="shared" si="1"/>
        <v>1.1244335116925264E-2</v>
      </c>
      <c r="K28" s="575">
        <f t="shared" si="2"/>
        <v>1.0000000000151419</v>
      </c>
      <c r="L28" s="576">
        <f t="shared" si="3"/>
        <v>5.503077579467048E-6</v>
      </c>
      <c r="M28" s="575">
        <f t="shared" si="4"/>
        <v>1.0000000000348481</v>
      </c>
      <c r="N28" s="576">
        <f t="shared" si="5"/>
        <v>-8.348418827831812E-6</v>
      </c>
      <c r="O28" s="574">
        <f t="shared" si="6"/>
        <v>165.09535596624119</v>
      </c>
      <c r="P28" s="577">
        <f t="shared" si="7"/>
        <v>1.5647391841878078</v>
      </c>
      <c r="Q28" s="586">
        <f t="shared" si="8"/>
        <v>1.0000221690560631</v>
      </c>
      <c r="R28" s="587">
        <f t="shared" si="9"/>
        <v>6.658625461000967E-3</v>
      </c>
      <c r="S28" s="574">
        <f t="shared" si="10"/>
        <v>1.0000000001011817</v>
      </c>
      <c r="T28" s="577">
        <f t="shared" si="11"/>
        <v>1.422545554210635E-5</v>
      </c>
      <c r="U28" s="578">
        <f t="shared" si="24"/>
        <v>0.99959999537446687</v>
      </c>
      <c r="V28" s="579">
        <f t="shared" si="25"/>
        <v>-1.1842833218324728E-4</v>
      </c>
      <c r="W28" s="580">
        <f t="shared" si="12"/>
        <v>65.359374792916384</v>
      </c>
      <c r="X28" s="581">
        <f t="shared" si="13"/>
        <v>-89.923456733032225</v>
      </c>
      <c r="Y28" s="584">
        <f t="shared" si="14"/>
        <v>90.076543266967775</v>
      </c>
      <c r="AA28" s="147">
        <f t="shared" si="15"/>
        <v>1000000000</v>
      </c>
      <c r="AB28" s="147">
        <f t="shared" si="16"/>
        <v>15.849157210000001</v>
      </c>
      <c r="AD28" s="583">
        <f t="shared" si="17"/>
        <v>60.75094551722281</v>
      </c>
      <c r="AE28" s="584">
        <f t="shared" si="18"/>
        <v>-89.272255317003868</v>
      </c>
      <c r="AG28" s="583">
        <f t="shared" si="19"/>
        <v>33.242654741082717</v>
      </c>
      <c r="AH28" s="584">
        <f t="shared" si="20"/>
        <v>-0.63763052879509008</v>
      </c>
      <c r="AJ28" s="147">
        <f t="shared" si="21"/>
        <v>0</v>
      </c>
      <c r="AK28" s="147">
        <f t="shared" si="22"/>
        <v>0</v>
      </c>
      <c r="AM28" s="147" t="str">
        <f t="shared" si="26"/>
        <v>1.4311499985098E-08+0.000169183333098434i</v>
      </c>
      <c r="AN28" s="147" t="str">
        <f t="shared" si="27"/>
        <v>0.000169183333905523i</v>
      </c>
      <c r="AO28" s="147" t="str">
        <f t="shared" si="28"/>
        <v>0.999999995229501-0.0000845916654715527i</v>
      </c>
      <c r="AP28" s="147" t="str">
        <f t="shared" si="29"/>
        <v>0.166666664281417-0.0000281972221830723i</v>
      </c>
      <c r="AQ28" s="147" t="str">
        <f t="shared" si="30"/>
        <v>0.833333335718583+0.0000281972221830723i</v>
      </c>
      <c r="AR28" s="147" t="str">
        <f t="shared" si="31"/>
        <v>0.999599995994383-0.0000338231317206902i</v>
      </c>
    </row>
    <row r="29" spans="1:44">
      <c r="G29" s="585">
        <v>4.3651999999999997</v>
      </c>
      <c r="H29" s="573">
        <f t="shared" si="23"/>
        <v>4.3651999999999996E-3</v>
      </c>
      <c r="I29" s="574">
        <f t="shared" si="0"/>
        <v>1.0000760080845634</v>
      </c>
      <c r="J29" s="575">
        <f t="shared" si="1"/>
        <v>1.2329093277140254E-2</v>
      </c>
      <c r="K29" s="575">
        <f t="shared" si="2"/>
        <v>1.0000000000182045</v>
      </c>
      <c r="L29" s="576">
        <f t="shared" si="3"/>
        <v>6.0340193036699671E-6</v>
      </c>
      <c r="M29" s="575">
        <f t="shared" si="4"/>
        <v>1.0000000000418967</v>
      </c>
      <c r="N29" s="576">
        <f t="shared" si="5"/>
        <v>-9.1538815571274696E-6</v>
      </c>
      <c r="O29" s="574">
        <f t="shared" si="6"/>
        <v>181.02334120811881</v>
      </c>
      <c r="P29" s="577">
        <f t="shared" si="7"/>
        <v>1.5652721491974999</v>
      </c>
      <c r="Q29" s="586">
        <f t="shared" si="8"/>
        <v>1.0000266531379918</v>
      </c>
      <c r="R29" s="587">
        <f t="shared" si="9"/>
        <v>7.3010336273400239E-3</v>
      </c>
      <c r="S29" s="574">
        <f t="shared" si="10"/>
        <v>1.000000000121648</v>
      </c>
      <c r="T29" s="577">
        <f t="shared" si="11"/>
        <v>1.55979398989112E-5</v>
      </c>
      <c r="U29" s="578">
        <f t="shared" si="24"/>
        <v>0.99959999443885961</v>
      </c>
      <c r="V29" s="579">
        <f t="shared" si="25"/>
        <v>-1.2985440376741031E-4</v>
      </c>
      <c r="W29" s="580">
        <f t="shared" si="12"/>
        <v>64.55930828014796</v>
      </c>
      <c r="X29" s="581">
        <f t="shared" si="13"/>
        <v>-89.980087198631409</v>
      </c>
      <c r="Y29" s="584">
        <f t="shared" si="14"/>
        <v>90.019912801368591</v>
      </c>
      <c r="AA29" s="147">
        <f t="shared" si="15"/>
        <v>1000000000</v>
      </c>
      <c r="AB29" s="147">
        <f t="shared" si="16"/>
        <v>19.054971039999998</v>
      </c>
      <c r="AD29" s="583">
        <f t="shared" si="17"/>
        <v>59.950990073128438</v>
      </c>
      <c r="AE29" s="584">
        <f t="shared" si="18"/>
        <v>-89.266063323585414</v>
      </c>
      <c r="AG29" s="583">
        <f t="shared" si="19"/>
        <v>33.242543688668334</v>
      </c>
      <c r="AH29" s="584">
        <f t="shared" si="20"/>
        <v>-0.69914365645486654</v>
      </c>
      <c r="AJ29" s="147">
        <f t="shared" si="21"/>
        <v>0</v>
      </c>
      <c r="AK29" s="147">
        <f t="shared" si="22"/>
        <v>0</v>
      </c>
      <c r="AM29" s="147" t="str">
        <f t="shared" si="26"/>
        <v>1.72062919467919E-08+0.000185506288445069i</v>
      </c>
      <c r="AN29" s="147" t="str">
        <f t="shared" si="27"/>
        <v>0.000185506289509027i</v>
      </c>
      <c r="AO29" s="147" t="str">
        <f t="shared" si="28"/>
        <v>0.999999994264572-0.0000927531459571058i</v>
      </c>
      <c r="AP29" s="147" t="str">
        <f t="shared" si="29"/>
        <v>0.166666663798951-0.0000309177147408448i</v>
      </c>
      <c r="AQ29" s="147" t="str">
        <f t="shared" si="30"/>
        <v>0.833333336201049+0.0000309177147408448i</v>
      </c>
      <c r="AR29" s="147" t="str">
        <f t="shared" si="31"/>
        <v>0.999599995184165-0.0000370864168796407i</v>
      </c>
    </row>
    <row r="30" spans="1:44">
      <c r="A30" s="147" t="s">
        <v>18</v>
      </c>
      <c r="B30" s="606">
        <f>Vref</f>
        <v>1</v>
      </c>
      <c r="C30" s="147" t="s">
        <v>0</v>
      </c>
      <c r="G30" s="585">
        <v>4.7862999999999998</v>
      </c>
      <c r="H30" s="573">
        <f t="shared" si="23"/>
        <v>4.7862999999999994E-3</v>
      </c>
      <c r="I30" s="574">
        <f t="shared" si="0"/>
        <v>1.0000913793343178</v>
      </c>
      <c r="J30" s="575">
        <f t="shared" si="1"/>
        <v>1.3518311756631214E-2</v>
      </c>
      <c r="K30" s="575">
        <f t="shared" si="2"/>
        <v>1.0000000000218865</v>
      </c>
      <c r="L30" s="576">
        <f t="shared" si="3"/>
        <v>6.6161061562092637E-6</v>
      </c>
      <c r="M30" s="575">
        <f t="shared" si="4"/>
        <v>1.0000000000503699</v>
      </c>
      <c r="N30" s="576">
        <f t="shared" si="5"/>
        <v>-1.003693377087687E-5</v>
      </c>
      <c r="O30" s="574">
        <f t="shared" si="6"/>
        <v>198.48570377827409</v>
      </c>
      <c r="P30" s="577">
        <f t="shared" si="7"/>
        <v>1.5657581592518495</v>
      </c>
      <c r="Q30" s="586">
        <f t="shared" si="8"/>
        <v>1.0000320434092644</v>
      </c>
      <c r="R30" s="587">
        <f t="shared" si="9"/>
        <v>8.0053174375373758E-3</v>
      </c>
      <c r="S30" s="574">
        <f t="shared" si="10"/>
        <v>1.0000000001462501</v>
      </c>
      <c r="T30" s="577">
        <f t="shared" si="11"/>
        <v>1.7102634412382985E-5</v>
      </c>
      <c r="U30" s="578">
        <f t="shared" si="24"/>
        <v>0.99959999331416882</v>
      </c>
      <c r="V30" s="579">
        <f t="shared" si="25"/>
        <v>-1.4238113148369681E-4</v>
      </c>
      <c r="W30" s="580">
        <f t="shared" si="12"/>
        <v>63.759328486731903</v>
      </c>
      <c r="X30" s="581">
        <f t="shared" si="13"/>
        <v>-90.036539418820482</v>
      </c>
      <c r="Y30" s="584">
        <f t="shared" si="14"/>
        <v>89.963460581179518</v>
      </c>
      <c r="AA30" s="147">
        <f t="shared" si="15"/>
        <v>1000000000</v>
      </c>
      <c r="AB30" s="147">
        <f t="shared" si="16"/>
        <v>22.908667689999998</v>
      </c>
      <c r="AD30" s="583">
        <f t="shared" si="17"/>
        <v>59.151143791185348</v>
      </c>
      <c r="AE30" s="584">
        <f t="shared" si="18"/>
        <v>-89.253643371227767</v>
      </c>
      <c r="AG30" s="583">
        <f t="shared" si="19"/>
        <v>33.242410196741062</v>
      </c>
      <c r="AH30" s="584">
        <f t="shared" si="20"/>
        <v>-0.76658037174144555</v>
      </c>
      <c r="AJ30" s="147">
        <f t="shared" si="21"/>
        <v>0</v>
      </c>
      <c r="AK30" s="147">
        <f t="shared" si="22"/>
        <v>0</v>
      </c>
      <c r="AM30" s="147" t="str">
        <f t="shared" si="26"/>
        <v>2.06861090479293E-08+0.000203401619021977i</v>
      </c>
      <c r="AN30" s="147" t="str">
        <f t="shared" si="27"/>
        <v>0.000203401620424506i</v>
      </c>
      <c r="AO30" s="147" t="str">
        <f t="shared" si="28"/>
        <v>0.999999993104632-0.000101700807519413i</v>
      </c>
      <c r="AP30" s="147" t="str">
        <f t="shared" si="29"/>
        <v>0.166666663218982-0.0000339002698369962i</v>
      </c>
      <c r="AQ30" s="147" t="str">
        <f t="shared" si="30"/>
        <v>0.833333336781018+0.0000339002698369962i</v>
      </c>
      <c r="AR30" s="147" t="str">
        <f t="shared" si="31"/>
        <v>0.999599994210207-0.0000406640512711068i</v>
      </c>
    </row>
    <row r="31" spans="1:44">
      <c r="A31" s="147" t="s">
        <v>745</v>
      </c>
      <c r="B31" s="606">
        <v>600</v>
      </c>
      <c r="C31" s="147" t="s">
        <v>753</v>
      </c>
      <c r="D31" s="237">
        <f>B31*0.000001</f>
        <v>5.9999999999999995E-4</v>
      </c>
      <c r="E31" s="147" t="s">
        <v>754</v>
      </c>
      <c r="G31" s="585">
        <v>5.2481</v>
      </c>
      <c r="H31" s="573">
        <f t="shared" si="23"/>
        <v>5.2481000000000003E-3</v>
      </c>
      <c r="I31" s="574">
        <f t="shared" si="0"/>
        <v>1.0001098622141884</v>
      </c>
      <c r="J31" s="575">
        <f t="shared" si="1"/>
        <v>1.4822426052626023E-2</v>
      </c>
      <c r="K31" s="575">
        <f t="shared" si="2"/>
        <v>1.0000000000263136</v>
      </c>
      <c r="L31" s="576">
        <f t="shared" si="3"/>
        <v>7.2544526499173395E-6</v>
      </c>
      <c r="M31" s="575">
        <f t="shared" si="4"/>
        <v>1.0000000000605587</v>
      </c>
      <c r="N31" s="576">
        <f t="shared" si="5"/>
        <v>-1.1005334417521074E-5</v>
      </c>
      <c r="O31" s="574">
        <f t="shared" si="6"/>
        <v>217.63587692879409</v>
      </c>
      <c r="P31" s="577">
        <f t="shared" si="7"/>
        <v>1.5662014799668371</v>
      </c>
      <c r="Q31" s="586">
        <f t="shared" si="8"/>
        <v>1.0000385249142099</v>
      </c>
      <c r="R31" s="587">
        <f t="shared" si="9"/>
        <v>8.7776622677195725E-3</v>
      </c>
      <c r="S31" s="574">
        <f t="shared" si="10"/>
        <v>1.0000000001758331</v>
      </c>
      <c r="T31" s="577">
        <f t="shared" si="11"/>
        <v>1.8752760098167055E-5</v>
      </c>
      <c r="U31" s="578">
        <f t="shared" si="24"/>
        <v>0.99959999196177896</v>
      </c>
      <c r="V31" s="579">
        <f t="shared" si="25"/>
        <v>-1.5611859426635979E-4</v>
      </c>
      <c r="W31" s="580">
        <f t="shared" si="12"/>
        <v>62.959199083393393</v>
      </c>
      <c r="X31" s="581">
        <f t="shared" si="13"/>
        <v>-90.093308525475948</v>
      </c>
      <c r="Y31" s="584">
        <f t="shared" si="14"/>
        <v>89.906691474524052</v>
      </c>
      <c r="AA31" s="147">
        <f t="shared" si="15"/>
        <v>1000000000</v>
      </c>
      <c r="AB31" s="147">
        <f t="shared" si="16"/>
        <v>27.542553609999999</v>
      </c>
      <c r="AD31" s="583">
        <f t="shared" si="17"/>
        <v>58.351174923573993</v>
      </c>
      <c r="AE31" s="584">
        <f t="shared" si="18"/>
        <v>-89.234886223285116</v>
      </c>
      <c r="AG31" s="583">
        <f t="shared" si="19"/>
        <v>33.242249684516729</v>
      </c>
      <c r="AH31" s="584">
        <f t="shared" si="20"/>
        <v>-0.84053242906043457</v>
      </c>
      <c r="AJ31" s="147">
        <f t="shared" si="21"/>
        <v>0</v>
      </c>
      <c r="AK31" s="147">
        <f t="shared" si="22"/>
        <v>0</v>
      </c>
      <c r="AM31" s="147" t="str">
        <f t="shared" si="26"/>
        <v>2.48704240535247E-08+0.000223026562334237i</v>
      </c>
      <c r="AN31" s="147" t="str">
        <f t="shared" si="27"/>
        <v>0.000223026564183159i</v>
      </c>
      <c r="AO31" s="147" t="str">
        <f t="shared" si="28"/>
        <v>0.999999991709858-0.000111513281588735i</v>
      </c>
      <c r="AP31" s="147" t="str">
        <f t="shared" si="29"/>
        <v>0.166666662521596-0.0000371710937223728i</v>
      </c>
      <c r="AQ31" s="147" t="str">
        <f t="shared" si="30"/>
        <v>0.833333337478404+0.0000371710937223728i</v>
      </c>
      <c r="AR31" s="147" t="str">
        <f t="shared" si="31"/>
        <v>0.999599993039067-0.0000445874698095842i</v>
      </c>
    </row>
    <row r="32" spans="1:44">
      <c r="A32" s="147" t="s">
        <v>741</v>
      </c>
      <c r="B32" s="606">
        <v>300</v>
      </c>
      <c r="C32" s="600" t="s">
        <v>747</v>
      </c>
      <c r="D32" s="237">
        <f>B32*1000000</f>
        <v>300000000</v>
      </c>
      <c r="E32" s="600" t="s">
        <v>45</v>
      </c>
      <c r="G32" s="585">
        <v>5.7544000000000004</v>
      </c>
      <c r="H32" s="573">
        <f t="shared" si="23"/>
        <v>5.7544000000000007E-3</v>
      </c>
      <c r="I32" s="574">
        <f t="shared" si="0"/>
        <v>1.0001320807159577</v>
      </c>
      <c r="J32" s="575">
        <f t="shared" si="1"/>
        <v>1.625214938604445E-2</v>
      </c>
      <c r="K32" s="575">
        <f t="shared" si="2"/>
        <v>1.0000000000316356</v>
      </c>
      <c r="L32" s="576">
        <f t="shared" si="3"/>
        <v>7.9543115277026403E-6</v>
      </c>
      <c r="M32" s="575">
        <f t="shared" si="4"/>
        <v>1.0000000000728069</v>
      </c>
      <c r="N32" s="576">
        <f t="shared" si="5"/>
        <v>-1.2067052146808589E-5</v>
      </c>
      <c r="O32" s="574">
        <f t="shared" si="6"/>
        <v>238.63144112662681</v>
      </c>
      <c r="P32" s="577">
        <f t="shared" si="7"/>
        <v>1.5666057518978735</v>
      </c>
      <c r="Q32" s="586">
        <f t="shared" si="8"/>
        <v>1.0000463165155618</v>
      </c>
      <c r="R32" s="587">
        <f t="shared" si="9"/>
        <v>9.624419769456629E-3</v>
      </c>
      <c r="S32" s="574">
        <f t="shared" si="10"/>
        <v>1.0000000002113958</v>
      </c>
      <c r="T32" s="577">
        <f t="shared" si="11"/>
        <v>2.0561895296647188E-5</v>
      </c>
      <c r="U32" s="578">
        <f t="shared" si="24"/>
        <v>0.99959999033602431</v>
      </c>
      <c r="V32" s="579">
        <f t="shared" si="25"/>
        <v>-1.7117982326124811E-4</v>
      </c>
      <c r="W32" s="580">
        <f t="shared" si="12"/>
        <v>62.15913029254024</v>
      </c>
      <c r="X32" s="581">
        <f t="shared" si="13"/>
        <v>-90.150860416373476</v>
      </c>
      <c r="Y32" s="584">
        <f t="shared" si="14"/>
        <v>89.849139583626524</v>
      </c>
      <c r="AA32" s="147">
        <f t="shared" si="15"/>
        <v>1000000000</v>
      </c>
      <c r="AB32" s="147">
        <f t="shared" si="16"/>
        <v>33.113119360000006</v>
      </c>
      <c r="AD32" s="583">
        <f t="shared" si="17"/>
        <v>57.551299110806148</v>
      </c>
      <c r="AE32" s="584">
        <f t="shared" si="18"/>
        <v>-89.209637323371126</v>
      </c>
      <c r="AG32" s="583">
        <f t="shared" si="19"/>
        <v>33.242056734684965</v>
      </c>
      <c r="AH32" s="584">
        <f t="shared" si="20"/>
        <v>-0.92160733015861074</v>
      </c>
      <c r="AJ32" s="147">
        <f t="shared" si="21"/>
        <v>0</v>
      </c>
      <c r="AK32" s="147">
        <f t="shared" si="22"/>
        <v>0</v>
      </c>
      <c r="AM32" s="147" t="str">
        <f t="shared" si="26"/>
        <v>2.99005430415278E-08+0.000244542605541867i</v>
      </c>
      <c r="AN32" s="147" t="str">
        <f t="shared" si="27"/>
        <v>0.000244542607979186i</v>
      </c>
      <c r="AO32" s="147" t="str">
        <f t="shared" si="28"/>
        <v>0.999999990033152-0.00012227130187502i</v>
      </c>
      <c r="AP32" s="147" t="str">
        <f t="shared" si="29"/>
        <v>0.166666661683243-0.0000407571009236445i</v>
      </c>
      <c r="AQ32" s="147" t="str">
        <f t="shared" si="30"/>
        <v>0.833333338316757+0.0000407571009236445i</v>
      </c>
      <c r="AR32" s="147" t="str">
        <f t="shared" si="31"/>
        <v>0.999599991631197-0.000048888956998263i</v>
      </c>
    </row>
    <row r="33" spans="1:44">
      <c r="A33" s="147" t="s">
        <v>771</v>
      </c>
      <c r="B33" s="147">
        <f>RCS/1000</f>
        <v>0.02</v>
      </c>
      <c r="C33" s="600" t="s">
        <v>45</v>
      </c>
      <c r="G33" s="585">
        <v>6.3095999999999997</v>
      </c>
      <c r="H33" s="573">
        <f t="shared" si="23"/>
        <v>6.3095999999999994E-3</v>
      </c>
      <c r="I33" s="574">
        <f t="shared" si="0"/>
        <v>1.0001587951284476</v>
      </c>
      <c r="J33" s="575">
        <f t="shared" si="1"/>
        <v>1.7819883167440931E-2</v>
      </c>
      <c r="K33" s="575">
        <f t="shared" si="2"/>
        <v>1.0000000000380345</v>
      </c>
      <c r="L33" s="576">
        <f t="shared" si="3"/>
        <v>8.7217649129324459E-6</v>
      </c>
      <c r="M33" s="575">
        <f t="shared" si="4"/>
        <v>1.000000000087534</v>
      </c>
      <c r="N33" s="576">
        <f t="shared" si="5"/>
        <v>-1.3231313816341573E-5</v>
      </c>
      <c r="O33" s="574">
        <f t="shared" si="6"/>
        <v>261.65485831584613</v>
      </c>
      <c r="P33" s="577">
        <f t="shared" si="7"/>
        <v>1.5669744889706418</v>
      </c>
      <c r="Q33" s="586">
        <f t="shared" si="8"/>
        <v>1.0000556848951581</v>
      </c>
      <c r="R33" s="587">
        <f t="shared" si="9"/>
        <v>1.0552943785930774E-2</v>
      </c>
      <c r="S33" s="574">
        <f t="shared" si="10"/>
        <v>1.0000000002541558</v>
      </c>
      <c r="T33" s="577">
        <f t="shared" si="11"/>
        <v>2.2545762296681966E-5</v>
      </c>
      <c r="U33" s="578">
        <f t="shared" si="24"/>
        <v>0.99959998838124964</v>
      </c>
      <c r="V33" s="579">
        <f t="shared" si="25"/>
        <v>-1.8769571633025462E-4</v>
      </c>
      <c r="W33" s="580">
        <f t="shared" si="12"/>
        <v>61.358956859911501</v>
      </c>
      <c r="X33" s="581">
        <f t="shared" si="13"/>
        <v>-90.209694209827859</v>
      </c>
      <c r="Y33" s="584">
        <f t="shared" si="14"/>
        <v>89.790305790172141</v>
      </c>
      <c r="AA33" s="147">
        <f t="shared" si="15"/>
        <v>1000000000</v>
      </c>
      <c r="AB33" s="147">
        <f t="shared" si="16"/>
        <v>39.811052159999996</v>
      </c>
      <c r="AD33" s="583">
        <f t="shared" si="17"/>
        <v>56.751357699676028</v>
      </c>
      <c r="AE33" s="584">
        <f t="shared" si="18"/>
        <v>-89.177677561239946</v>
      </c>
      <c r="AG33" s="583">
        <f t="shared" si="19"/>
        <v>33.24182474715785</v>
      </c>
      <c r="AH33" s="584">
        <f t="shared" si="20"/>
        <v>-1.0105083038065215</v>
      </c>
      <c r="AJ33" s="147">
        <f t="shared" si="21"/>
        <v>0</v>
      </c>
      <c r="AK33" s="147">
        <f t="shared" si="22"/>
        <v>0</v>
      </c>
      <c r="AM33" s="147" t="str">
        <f t="shared" si="26"/>
        <v>3.59486550527421E-08+0.000268136733771773i</v>
      </c>
      <c r="AN33" s="147" t="str">
        <f t="shared" si="27"/>
        <v>0.000268136736984825i</v>
      </c>
      <c r="AO33" s="147" t="str">
        <f t="shared" si="28"/>
        <v>0.999999988017114-0.000134068369209612i</v>
      </c>
      <c r="AP33" s="147" t="str">
        <f t="shared" si="29"/>
        <v>0.166666660675224-0.0000446894556286288i</v>
      </c>
      <c r="AQ33" s="147" t="str">
        <f t="shared" si="30"/>
        <v>0.833333339324776+0.0000446894556286288i</v>
      </c>
      <c r="AR33" s="147" t="str">
        <f t="shared" si="31"/>
        <v>0.999599989938403-0.0000536058948906641i</v>
      </c>
    </row>
    <row r="34" spans="1:44">
      <c r="A34" s="147" t="s">
        <v>752</v>
      </c>
      <c r="B34" s="607">
        <f>10*B33</f>
        <v>0.2</v>
      </c>
      <c r="C34" s="600" t="s">
        <v>45</v>
      </c>
      <c r="E34" s="600"/>
      <c r="G34" s="585">
        <v>6.9183000000000003</v>
      </c>
      <c r="H34" s="573">
        <f t="shared" si="23"/>
        <v>6.9183000000000005E-3</v>
      </c>
      <c r="I34" s="574">
        <f t="shared" si="0"/>
        <v>1.000190908527359</v>
      </c>
      <c r="J34" s="575">
        <f t="shared" si="1"/>
        <v>1.9538585444421788E-2</v>
      </c>
      <c r="K34" s="575">
        <f t="shared" si="2"/>
        <v>1.000000000045727</v>
      </c>
      <c r="L34" s="576">
        <f t="shared" si="3"/>
        <v>9.5631713891262694E-6</v>
      </c>
      <c r="M34" s="575">
        <f t="shared" si="4"/>
        <v>1.0000000001052376</v>
      </c>
      <c r="N34" s="576">
        <f t="shared" si="5"/>
        <v>-1.4507765686337569E-5</v>
      </c>
      <c r="O34" s="574">
        <f t="shared" si="6"/>
        <v>286.89688447426761</v>
      </c>
      <c r="P34" s="577">
        <f t="shared" si="7"/>
        <v>1.5673107468566088</v>
      </c>
      <c r="Q34" s="586">
        <f t="shared" si="8"/>
        <v>1.0000669468405938</v>
      </c>
      <c r="R34" s="587">
        <f t="shared" si="9"/>
        <v>1.1570920957947315E-2</v>
      </c>
      <c r="S34" s="574">
        <f t="shared" si="10"/>
        <v>1.0000000003055589</v>
      </c>
      <c r="T34" s="577">
        <f t="shared" si="11"/>
        <v>2.4720798036609238E-5</v>
      </c>
      <c r="U34" s="578">
        <f t="shared" si="24"/>
        <v>0.99959998603134637</v>
      </c>
      <c r="V34" s="579">
        <f t="shared" si="25"/>
        <v>-2.0580310435030881E-4</v>
      </c>
      <c r="W34" s="580">
        <f t="shared" si="12"/>
        <v>60.558835186227249</v>
      </c>
      <c r="X34" s="581">
        <f t="shared" si="13"/>
        <v>-90.270295982249039</v>
      </c>
      <c r="Y34" s="584">
        <f t="shared" si="14"/>
        <v>89.729704017750961</v>
      </c>
      <c r="AA34" s="147">
        <f t="shared" si="15"/>
        <v>1000000000</v>
      </c>
      <c r="AB34" s="147">
        <f t="shared" si="16"/>
        <v>47.862874890000008</v>
      </c>
      <c r="AD34" s="583">
        <f t="shared" si="17"/>
        <v>55.951514930865748</v>
      </c>
      <c r="AE34" s="584">
        <f t="shared" si="18"/>
        <v>-89.138742543660342</v>
      </c>
      <c r="AG34" s="583">
        <f t="shared" si="19"/>
        <v>33.241545883122228</v>
      </c>
      <c r="AH34" s="584">
        <f t="shared" si="20"/>
        <v>-1.1079701399818225</v>
      </c>
      <c r="AJ34" s="147">
        <f t="shared" si="21"/>
        <v>0</v>
      </c>
      <c r="AK34" s="147">
        <f t="shared" si="22"/>
        <v>0</v>
      </c>
      <c r="AM34" s="147" t="str">
        <f t="shared" si="26"/>
        <v>4.3219304024511E-08+0.000294004431462763i</v>
      </c>
      <c r="AN34" s="147" t="str">
        <f t="shared" si="27"/>
        <v>0.000294004435698319i</v>
      </c>
      <c r="AO34" s="147" t="str">
        <f t="shared" si="28"/>
        <v>0.999999985593564-0.000147002217574903i</v>
      </c>
      <c r="AP34" s="147" t="str">
        <f t="shared" si="29"/>
        <v>0.166666659463449-0.0000490007385771272i</v>
      </c>
      <c r="AQ34" s="147" t="str">
        <f t="shared" si="30"/>
        <v>0.833333340536551+0.0000490007385771272i</v>
      </c>
      <c r="AR34" s="147" t="str">
        <f t="shared" si="31"/>
        <v>0.999599987903435-0.0000587773647186835i</v>
      </c>
    </row>
    <row r="35" spans="1:44">
      <c r="G35" s="585">
        <v>7.5857999999999999</v>
      </c>
      <c r="H35" s="573">
        <f t="shared" si="23"/>
        <v>7.5858000000000002E-3</v>
      </c>
      <c r="I35" s="574">
        <f t="shared" si="0"/>
        <v>1.0002295202137295</v>
      </c>
      <c r="J35" s="575">
        <f t="shared" si="1"/>
        <v>2.1423180096276587E-2</v>
      </c>
      <c r="K35" s="575">
        <f t="shared" si="2"/>
        <v>1.0000000000549765</v>
      </c>
      <c r="L35" s="576">
        <f t="shared" si="3"/>
        <v>1.0485857150338482E-5</v>
      </c>
      <c r="M35" s="575">
        <f t="shared" si="4"/>
        <v>1.0000000001265246</v>
      </c>
      <c r="N35" s="576">
        <f t="shared" si="5"/>
        <v>-1.590752192617518E-5</v>
      </c>
      <c r="O35" s="574">
        <f t="shared" si="6"/>
        <v>314.57730396013636</v>
      </c>
      <c r="P35" s="577">
        <f t="shared" si="7"/>
        <v>1.5676174525670992</v>
      </c>
      <c r="Q35" s="586">
        <f t="shared" si="8"/>
        <v>1.0000804880010365</v>
      </c>
      <c r="R35" s="587">
        <f t="shared" si="9"/>
        <v>1.268720637561435E-2</v>
      </c>
      <c r="S35" s="574">
        <f t="shared" si="10"/>
        <v>1.0000000003673659</v>
      </c>
      <c r="T35" s="577">
        <f t="shared" si="11"/>
        <v>2.7105940727979902E-5</v>
      </c>
      <c r="U35" s="578">
        <f t="shared" si="24"/>
        <v>0.99959998320583177</v>
      </c>
      <c r="V35" s="579">
        <f t="shared" si="25"/>
        <v>-2.2565965400589145E-4</v>
      </c>
      <c r="W35" s="580">
        <f t="shared" si="12"/>
        <v>59.758586384260894</v>
      </c>
      <c r="X35" s="581">
        <f t="shared" si="13"/>
        <v>-90.333191490790099</v>
      </c>
      <c r="Y35" s="584">
        <f t="shared" si="14"/>
        <v>89.666808509209901</v>
      </c>
      <c r="AA35" s="147">
        <f t="shared" si="15"/>
        <v>1000000000</v>
      </c>
      <c r="AB35" s="147">
        <f t="shared" si="16"/>
        <v>57.544361639999998</v>
      </c>
      <c r="AD35" s="583">
        <f t="shared" si="17"/>
        <v>55.151601459546455</v>
      </c>
      <c r="AE35" s="584">
        <f t="shared" si="18"/>
        <v>-89.092493701816593</v>
      </c>
      <c r="AG35" s="583">
        <f t="shared" si="19"/>
        <v>33.241210601579013</v>
      </c>
      <c r="AH35" s="584">
        <f t="shared" si="20"/>
        <v>-1.2148390973821432</v>
      </c>
      <c r="AJ35" s="147">
        <f t="shared" si="21"/>
        <v>0</v>
      </c>
      <c r="AK35" s="147">
        <f t="shared" si="22"/>
        <v>0</v>
      </c>
      <c r="AM35" s="147" t="str">
        <f t="shared" si="26"/>
        <v>5.19615099836557E-08+0.000322370930675325i</v>
      </c>
      <c r="AN35" s="147" t="str">
        <f t="shared" si="27"/>
        <v>0.000322370936258952i</v>
      </c>
      <c r="AO35" s="147" t="str">
        <f t="shared" si="28"/>
        <v>0.999999982679496-0.000161185467234293i</v>
      </c>
      <c r="AP35" s="147" t="str">
        <f t="shared" si="29"/>
        <v>0.166666658006415-0.0000537284884458875i</v>
      </c>
      <c r="AQ35" s="147" t="str">
        <f t="shared" si="30"/>
        <v>0.833333341993585+0.0000537284884458875i</v>
      </c>
      <c r="AR35" s="147" t="str">
        <f t="shared" si="31"/>
        <v>0.999599985456597-0.0000644483948531697i</v>
      </c>
    </row>
    <row r="36" spans="1:44">
      <c r="G36" s="585">
        <v>8.3176000000000005</v>
      </c>
      <c r="H36" s="573">
        <f t="shared" si="23"/>
        <v>8.3176000000000014E-3</v>
      </c>
      <c r="I36" s="574">
        <f t="shared" si="0"/>
        <v>1.0002759333208728</v>
      </c>
      <c r="J36" s="575">
        <f t="shared" si="1"/>
        <v>2.3489141596829244E-2</v>
      </c>
      <c r="K36" s="575">
        <f t="shared" si="2"/>
        <v>1.0000000000660954</v>
      </c>
      <c r="L36" s="576">
        <f t="shared" si="3"/>
        <v>1.1497424850774981E-5</v>
      </c>
      <c r="M36" s="575">
        <f t="shared" si="4"/>
        <v>1.0000000001521137</v>
      </c>
      <c r="N36" s="576">
        <f t="shared" si="5"/>
        <v>-1.7442116107845909E-5</v>
      </c>
      <c r="O36" s="574">
        <f t="shared" si="6"/>
        <v>344.92419513536737</v>
      </c>
      <c r="P36" s="577">
        <f t="shared" si="7"/>
        <v>1.5678971349869852</v>
      </c>
      <c r="Q36" s="586">
        <f t="shared" si="8"/>
        <v>1.0000967655774009</v>
      </c>
      <c r="R36" s="587">
        <f t="shared" si="9"/>
        <v>1.391098666984023E-2</v>
      </c>
      <c r="S36" s="574">
        <f t="shared" si="10"/>
        <v>1.0000000004416643</v>
      </c>
      <c r="T36" s="577">
        <f t="shared" si="11"/>
        <v>2.9720843231811846E-5</v>
      </c>
      <c r="U36" s="578">
        <f t="shared" si="24"/>
        <v>0.99959997980928106</v>
      </c>
      <c r="V36" s="579">
        <f t="shared" si="25"/>
        <v>-2.4742897590031071E-4</v>
      </c>
      <c r="W36" s="580">
        <f t="shared" si="12"/>
        <v>58.958399219727049</v>
      </c>
      <c r="X36" s="581">
        <f t="shared" si="13"/>
        <v>-90.398896622191103</v>
      </c>
      <c r="Y36" s="584">
        <f t="shared" si="14"/>
        <v>89.601103377808897</v>
      </c>
      <c r="AA36" s="147">
        <f t="shared" si="15"/>
        <v>1000000000</v>
      </c>
      <c r="AB36" s="147">
        <f t="shared" si="16"/>
        <v>69.182469760000004</v>
      </c>
      <c r="AD36" s="583">
        <f t="shared" si="17"/>
        <v>54.35181736147581</v>
      </c>
      <c r="AE36" s="584">
        <f t="shared" si="18"/>
        <v>-89.038550700985311</v>
      </c>
      <c r="AG36" s="583">
        <f t="shared" si="19"/>
        <v>33.240807594143561</v>
      </c>
      <c r="AH36" s="584">
        <f t="shared" si="20"/>
        <v>-1.3319926490767287</v>
      </c>
      <c r="AJ36" s="147">
        <f t="shared" si="21"/>
        <v>0</v>
      </c>
      <c r="AK36" s="147">
        <f t="shared" si="22"/>
        <v>0</v>
      </c>
      <c r="AM36" s="147" t="str">
        <f t="shared" si="26"/>
        <v>6.24705089879996E-08+0.000353469962771534i</v>
      </c>
      <c r="AN36" s="147" t="str">
        <f t="shared" si="27"/>
        <v>0.000353469970132017i</v>
      </c>
      <c r="AO36" s="147" t="str">
        <f t="shared" si="28"/>
        <v>0.999999979176497-0.000176734982506909i</v>
      </c>
      <c r="AP36" s="147" t="str">
        <f t="shared" si="29"/>
        <v>0.166666656254915-0.0000589116604619223i</v>
      </c>
      <c r="AQ36" s="147" t="str">
        <f t="shared" si="30"/>
        <v>0.833333343745085+0.0000589116604619223i</v>
      </c>
      <c r="AR36" s="147" t="str">
        <f t="shared" si="31"/>
        <v>0.999599982515254-0.0000706657128383139i</v>
      </c>
    </row>
    <row r="37" spans="1:44">
      <c r="A37" s="147" t="s">
        <v>743</v>
      </c>
      <c r="B37" s="606">
        <f>'Design Converter'!E60*0.001</f>
        <v>1.21E-2</v>
      </c>
      <c r="C37" s="600" t="s">
        <v>747</v>
      </c>
      <c r="D37" s="147">
        <f>B37*1000000</f>
        <v>12100</v>
      </c>
      <c r="E37" s="600" t="s">
        <v>45</v>
      </c>
      <c r="G37" s="585">
        <v>9.1201000000000008</v>
      </c>
      <c r="H37" s="573">
        <f t="shared" si="23"/>
        <v>9.1201000000000008E-3</v>
      </c>
      <c r="I37" s="574">
        <f t="shared" si="0"/>
        <v>1.0003317379605825</v>
      </c>
      <c r="J37" s="575">
        <f t="shared" si="1"/>
        <v>2.5754466724851061E-2</v>
      </c>
      <c r="K37" s="575">
        <f t="shared" si="2"/>
        <v>1.0000000000794647</v>
      </c>
      <c r="L37" s="576">
        <f t="shared" si="3"/>
        <v>1.260672121532874E-5</v>
      </c>
      <c r="M37" s="575">
        <f t="shared" si="4"/>
        <v>1.0000000001828822</v>
      </c>
      <c r="N37" s="576">
        <f t="shared" si="5"/>
        <v>-1.9124969115117642E-5</v>
      </c>
      <c r="O37" s="574">
        <f t="shared" si="6"/>
        <v>378.20295852369134</v>
      </c>
      <c r="P37" s="577">
        <f t="shared" si="7"/>
        <v>1.5681522407488675</v>
      </c>
      <c r="Q37" s="586">
        <f t="shared" si="8"/>
        <v>1.000116337514569</v>
      </c>
      <c r="R37" s="587">
        <f t="shared" si="9"/>
        <v>1.5252949682439095E-2</v>
      </c>
      <c r="S37" s="574">
        <f t="shared" si="10"/>
        <v>1.000000000531001</v>
      </c>
      <c r="T37" s="577">
        <f t="shared" si="11"/>
        <v>3.2588374331814901E-5</v>
      </c>
      <c r="U37" s="578">
        <f t="shared" si="24"/>
        <v>0.9995999757252414</v>
      </c>
      <c r="V37" s="579">
        <f t="shared" si="25"/>
        <v>-2.713014575686016E-4</v>
      </c>
      <c r="W37" s="580">
        <f t="shared" si="12"/>
        <v>58.158059354393913</v>
      </c>
      <c r="X37" s="581">
        <f t="shared" si="13"/>
        <v>-90.46798281018205</v>
      </c>
      <c r="Y37" s="584">
        <f t="shared" si="14"/>
        <v>89.53201718981795</v>
      </c>
      <c r="AA37" s="147">
        <f t="shared" si="15"/>
        <v>1000000000</v>
      </c>
      <c r="AB37" s="147">
        <f t="shared" si="16"/>
        <v>83.176224010000013</v>
      </c>
      <c r="AD37" s="583">
        <f t="shared" si="17"/>
        <v>53.551962096960615</v>
      </c>
      <c r="AE37" s="584">
        <f t="shared" si="18"/>
        <v>-88.976442664944727</v>
      </c>
      <c r="AG37" s="583">
        <f t="shared" si="19"/>
        <v>33.240323064301045</v>
      </c>
      <c r="AH37" s="584">
        <f t="shared" si="20"/>
        <v>-1.4604512882129399</v>
      </c>
      <c r="AJ37" s="147">
        <f t="shared" si="21"/>
        <v>0</v>
      </c>
      <c r="AK37" s="147">
        <f t="shared" si="22"/>
        <v>0</v>
      </c>
      <c r="AM37" s="147" t="str">
        <f t="shared" si="26"/>
        <v>7.51066140391998E-08+0.000387573506046745i</v>
      </c>
      <c r="AN37" s="147" t="str">
        <f t="shared" si="27"/>
        <v>0.000387573515749857i</v>
      </c>
      <c r="AO37" s="147" t="str">
        <f t="shared" si="28"/>
        <v>0.999999974964461-0.000193786755253097i</v>
      </c>
      <c r="AP37" s="147" t="str">
        <f t="shared" si="29"/>
        <v>0.166666654148898-0.0000645955843411242i</v>
      </c>
      <c r="AQ37" s="147" t="str">
        <f t="shared" si="30"/>
        <v>0.833333345851102+0.0000645955843411242i</v>
      </c>
      <c r="AR37" s="147" t="str">
        <f t="shared" si="31"/>
        <v>0.999599978978561-0.0000774836925354872i</v>
      </c>
    </row>
    <row r="38" spans="1:44">
      <c r="A38" s="147" t="s">
        <v>744</v>
      </c>
      <c r="B38" s="606">
        <f>'Design Converter'!E62*1000</f>
        <v>22000</v>
      </c>
      <c r="C38" s="147" t="s">
        <v>15</v>
      </c>
      <c r="D38" s="147">
        <f>B38*0.000000000001</f>
        <v>2.1999999999999998E-8</v>
      </c>
      <c r="E38" s="147" t="s">
        <v>13</v>
      </c>
      <c r="G38" s="585">
        <v>10</v>
      </c>
      <c r="H38" s="573">
        <f t="shared" si="23"/>
        <v>0.01</v>
      </c>
      <c r="I38" s="574">
        <f t="shared" si="0"/>
        <v>1.0003988241101807</v>
      </c>
      <c r="J38" s="575">
        <f t="shared" si="1"/>
        <v>2.8237974598648762E-2</v>
      </c>
      <c r="K38" s="575">
        <f t="shared" si="2"/>
        <v>1.0000000000955378</v>
      </c>
      <c r="L38" s="576">
        <f t="shared" si="3"/>
        <v>1.3823007659119586E-5</v>
      </c>
      <c r="M38" s="575">
        <f t="shared" si="4"/>
        <v>1.0000000002198732</v>
      </c>
      <c r="N38" s="576">
        <f t="shared" si="5"/>
        <v>-2.0970130935676154E-5</v>
      </c>
      <c r="O38" s="574">
        <f t="shared" si="6"/>
        <v>414.69143551751449</v>
      </c>
      <c r="P38" s="577">
        <f t="shared" si="7"/>
        <v>1.56838489293463</v>
      </c>
      <c r="Q38" s="586">
        <f t="shared" si="8"/>
        <v>1.0001398670682211</v>
      </c>
      <c r="R38" s="587">
        <f t="shared" si="9"/>
        <v>1.6724279825211574E-2</v>
      </c>
      <c r="S38" s="574">
        <f t="shared" si="10"/>
        <v>1.0000000006384049</v>
      </c>
      <c r="T38" s="577">
        <f t="shared" si="11"/>
        <v>3.5732474785892137E-5</v>
      </c>
      <c r="U38" s="578">
        <f t="shared" si="24"/>
        <v>0.99959997081526819</v>
      </c>
      <c r="V38" s="579">
        <f t="shared" si="25"/>
        <v>-2.9747640633705073E-4</v>
      </c>
      <c r="W38" s="580">
        <f t="shared" si="12"/>
        <v>57.357678284216931</v>
      </c>
      <c r="X38" s="581">
        <f t="shared" si="13"/>
        <v>-90.541022200393797</v>
      </c>
      <c r="Y38" s="584">
        <f t="shared" si="14"/>
        <v>89.458977799606203</v>
      </c>
      <c r="AA38" s="147">
        <f t="shared" si="15"/>
        <v>1000000000</v>
      </c>
      <c r="AB38" s="147">
        <f t="shared" si="16"/>
        <v>100</v>
      </c>
      <c r="AD38" s="583">
        <f t="shared" si="17"/>
        <v>52.752163559106549</v>
      </c>
      <c r="AE38" s="584">
        <f t="shared" si="18"/>
        <v>-88.90565178943767</v>
      </c>
      <c r="AG38" s="583">
        <f t="shared" si="19"/>
        <v>33.239740617307227</v>
      </c>
      <c r="AH38" s="584">
        <f t="shared" si="20"/>
        <v>-1.6012821257415049</v>
      </c>
      <c r="AJ38" s="147">
        <f t="shared" si="21"/>
        <v>0</v>
      </c>
      <c r="AK38" s="147">
        <f t="shared" si="22"/>
        <v>0</v>
      </c>
      <c r="AM38" s="147" t="str">
        <f t="shared" si="26"/>
        <v>9.02981770467548E-08+0.000424966287742601i</v>
      </c>
      <c r="AN38" s="147" t="str">
        <f t="shared" si="27"/>
        <v>0.000424966300533829i</v>
      </c>
      <c r="AO38" s="147" t="str">
        <f t="shared" si="28"/>
        <v>0.999999969900606-0.00021248314733033i</v>
      </c>
      <c r="AP38" s="147" t="str">
        <f t="shared" si="29"/>
        <v>0.166666651616971-0.0000708277146237668i</v>
      </c>
      <c r="AQ38" s="147" t="str">
        <f t="shared" si="30"/>
        <v>0.833333348383029+0.0000708277146237668i</v>
      </c>
      <c r="AR38" s="147" t="str">
        <f t="shared" si="31"/>
        <v>0.999599974726626-0.0000849592565631012i</v>
      </c>
    </row>
    <row r="39" spans="1:44">
      <c r="A39" s="147" t="s">
        <v>750</v>
      </c>
      <c r="B39" s="606">
        <f>'Design Converter'!E64</f>
        <v>47</v>
      </c>
      <c r="C39" s="147" t="s">
        <v>15</v>
      </c>
      <c r="D39" s="147">
        <f>B39*0.000000000001</f>
        <v>4.6999999999999999E-11</v>
      </c>
      <c r="E39" s="147" t="s">
        <v>13</v>
      </c>
      <c r="G39" s="585">
        <v>10.965</v>
      </c>
      <c r="H39" s="573">
        <f t="shared" si="23"/>
        <v>1.0964999999999999E-2</v>
      </c>
      <c r="I39" s="574">
        <f t="shared" si="0"/>
        <v>1.0004794917773798</v>
      </c>
      <c r="J39" s="575">
        <f t="shared" si="1"/>
        <v>3.0961274589516714E-2</v>
      </c>
      <c r="K39" s="575">
        <f t="shared" si="2"/>
        <v>1.0000000001148663</v>
      </c>
      <c r="L39" s="576">
        <f t="shared" si="3"/>
        <v>1.5156927898029319E-5</v>
      </c>
      <c r="M39" s="575">
        <f t="shared" si="4"/>
        <v>1.0000000002643561</v>
      </c>
      <c r="N39" s="576">
        <f t="shared" si="5"/>
        <v>-2.299374857028701E-5</v>
      </c>
      <c r="O39" s="574">
        <f t="shared" si="6"/>
        <v>454.70893658154534</v>
      </c>
      <c r="P39" s="577">
        <f t="shared" si="7"/>
        <v>1.5685971159907142</v>
      </c>
      <c r="Q39" s="586">
        <f t="shared" si="8"/>
        <v>1.0001681615106421</v>
      </c>
      <c r="R39" s="587">
        <f t="shared" si="9"/>
        <v>1.833782695841988E-2</v>
      </c>
      <c r="S39" s="574">
        <f t="shared" si="10"/>
        <v>1.000000000767562</v>
      </c>
      <c r="T39" s="577">
        <f t="shared" si="11"/>
        <v>3.9180658599357086E-5</v>
      </c>
      <c r="U39" s="578">
        <f t="shared" si="24"/>
        <v>0.99959996491083969</v>
      </c>
      <c r="V39" s="579">
        <f t="shared" si="25"/>
        <v>-3.2618287849795114E-4</v>
      </c>
      <c r="W39" s="580">
        <f t="shared" si="12"/>
        <v>56.557055123261165</v>
      </c>
      <c r="X39" s="581">
        <f t="shared" si="13"/>
        <v>-90.618647683786904</v>
      </c>
      <c r="Y39" s="584">
        <f t="shared" si="14"/>
        <v>89.381352316213096</v>
      </c>
      <c r="AA39" s="147">
        <f t="shared" si="15"/>
        <v>1000000000</v>
      </c>
      <c r="AB39" s="147">
        <f t="shared" si="16"/>
        <v>120.23122499999999</v>
      </c>
      <c r="AD39" s="583">
        <f t="shared" si="17"/>
        <v>51.952240811787377</v>
      </c>
      <c r="AE39" s="584">
        <f t="shared" si="18"/>
        <v>-88.825559400376378</v>
      </c>
      <c r="AG39" s="583">
        <f t="shared" si="19"/>
        <v>33.239040306282121</v>
      </c>
      <c r="AH39" s="584">
        <f t="shared" si="20"/>
        <v>-1.7557104787930995</v>
      </c>
      <c r="AJ39" s="147">
        <f t="shared" si="21"/>
        <v>0</v>
      </c>
      <c r="AK39" s="147">
        <f t="shared" si="22"/>
        <v>0</v>
      </c>
      <c r="AM39" s="147" t="str">
        <f t="shared" si="26"/>
        <v>1.08566604040128E-07+0.000465975531672215i</v>
      </c>
      <c r="AN39" s="147" t="str">
        <f t="shared" si="27"/>
        <v>0.000465975548535343i</v>
      </c>
      <c r="AO39" s="147" t="str">
        <f t="shared" si="28"/>
        <v>0.999999963811131-0.000232987770241111i</v>
      </c>
      <c r="AP39" s="147" t="str">
        <f t="shared" si="29"/>
        <v>0.166666648572233-0.0000776625886120358i</v>
      </c>
      <c r="AQ39" s="147" t="str">
        <f t="shared" si="30"/>
        <v>0.833333351427767+0.0000776625886120358i</v>
      </c>
      <c r="AR39" s="147" t="str">
        <f t="shared" si="31"/>
        <v>0.999599969613512-0.0000931578234372716i</v>
      </c>
    </row>
    <row r="40" spans="1:44">
      <c r="G40" s="585">
        <v>12.023</v>
      </c>
      <c r="H40" s="573">
        <f t="shared" si="23"/>
        <v>1.2022999999999999E-2</v>
      </c>
      <c r="I40" s="574">
        <f t="shared" si="0"/>
        <v>1.0005764591480646</v>
      </c>
      <c r="J40" s="575">
        <f t="shared" si="1"/>
        <v>3.3946498000797146E-2</v>
      </c>
      <c r="K40" s="575">
        <f t="shared" si="2"/>
        <v>1.0000000001381024</v>
      </c>
      <c r="L40" s="576">
        <f t="shared" si="3"/>
        <v>1.661940210808788E-5</v>
      </c>
      <c r="M40" s="575">
        <f t="shared" si="4"/>
        <v>1.0000000003178324</v>
      </c>
      <c r="N40" s="576">
        <f t="shared" si="5"/>
        <v>-2.5212388422316916E-5</v>
      </c>
      <c r="O40" s="574">
        <f t="shared" si="6"/>
        <v>498.58306613146993</v>
      </c>
      <c r="P40" s="577">
        <f t="shared" si="7"/>
        <v>1.5687906416074282</v>
      </c>
      <c r="Q40" s="586">
        <f t="shared" si="8"/>
        <v>1.0002021750862278</v>
      </c>
      <c r="R40" s="587">
        <f t="shared" si="9"/>
        <v>2.0106766512729524E-2</v>
      </c>
      <c r="S40" s="574">
        <f t="shared" si="10"/>
        <v>1.0000000009228303</v>
      </c>
      <c r="T40" s="577">
        <f t="shared" si="11"/>
        <v>4.2961154426931953E-5</v>
      </c>
      <c r="U40" s="578">
        <f t="shared" si="24"/>
        <v>0.99959995781273492</v>
      </c>
      <c r="V40" s="579">
        <f t="shared" si="25"/>
        <v>-3.5765588154814841E-4</v>
      </c>
      <c r="W40" s="580">
        <f t="shared" si="12"/>
        <v>55.756427953150506</v>
      </c>
      <c r="X40" s="581">
        <f t="shared" si="13"/>
        <v>-90.701487018439934</v>
      </c>
      <c r="Y40" s="584">
        <f t="shared" si="14"/>
        <v>89.298512981560066</v>
      </c>
      <c r="AA40" s="147">
        <f t="shared" si="15"/>
        <v>1000000000</v>
      </c>
      <c r="AB40" s="147">
        <f t="shared" si="16"/>
        <v>144.55252899999999</v>
      </c>
      <c r="AD40" s="583">
        <f t="shared" si="17"/>
        <v>51.152455506117789</v>
      </c>
      <c r="AE40" s="584">
        <f t="shared" si="18"/>
        <v>-88.735511437118561</v>
      </c>
      <c r="AG40" s="583">
        <f t="shared" si="19"/>
        <v>33.238198565197095</v>
      </c>
      <c r="AH40" s="584">
        <f t="shared" si="20"/>
        <v>-1.9249912362130654</v>
      </c>
      <c r="AJ40" s="147">
        <f t="shared" si="21"/>
        <v>0</v>
      </c>
      <c r="AK40" s="147">
        <f t="shared" si="22"/>
        <v>0</v>
      </c>
      <c r="AM40" s="147" t="str">
        <f t="shared" si="26"/>
        <v>1.30528297948018E-07+0.000510936960901244i</v>
      </c>
      <c r="AN40" s="147" t="str">
        <f t="shared" si="27"/>
        <v>0.000510936983131822i</v>
      </c>
      <c r="AO40" s="147" t="str">
        <f t="shared" si="28"/>
        <v>0.999999956490568-0.000255468486833613i</v>
      </c>
      <c r="AP40" s="147" t="str">
        <f t="shared" si="29"/>
        <v>0.16666664491195-0.0000851561601502073i</v>
      </c>
      <c r="AQ40" s="147" t="str">
        <f t="shared" si="30"/>
        <v>0.83333335508805+0.0000851561601502073i</v>
      </c>
      <c r="AR40" s="147" t="str">
        <f t="shared" si="31"/>
        <v>0.999599963466698-0.000102146510823532i</v>
      </c>
    </row>
    <row r="41" spans="1:44">
      <c r="A41" s="235" t="str">
        <f>V3</f>
        <v>Adc</v>
      </c>
      <c r="B41" s="147">
        <f>Adc</f>
        <v>306122.44897959183</v>
      </c>
      <c r="C41" s="147" t="str">
        <f>X3</f>
        <v>V/V</v>
      </c>
      <c r="D41" s="149">
        <f>10*LOG10(B41)</f>
        <v>54.858951790271675</v>
      </c>
      <c r="E41" s="147" t="s">
        <v>781</v>
      </c>
      <c r="G41" s="585">
        <v>13.183</v>
      </c>
      <c r="H41" s="573">
        <f t="shared" si="23"/>
        <v>1.3183E-2</v>
      </c>
      <c r="I41" s="574">
        <f t="shared" si="0"/>
        <v>1.0006930204378646</v>
      </c>
      <c r="J41" s="575">
        <f t="shared" si="1"/>
        <v>3.7218824358206053E-2</v>
      </c>
      <c r="K41" s="575">
        <f t="shared" si="2"/>
        <v>1.0000000001660365</v>
      </c>
      <c r="L41" s="576">
        <f t="shared" si="3"/>
        <v>1.822287099616089E-5</v>
      </c>
      <c r="M41" s="575">
        <f t="shared" si="4"/>
        <v>1.0000000003821208</v>
      </c>
      <c r="N41" s="576">
        <f t="shared" si="5"/>
        <v>-2.7644923609511654E-5</v>
      </c>
      <c r="O41" s="574">
        <f t="shared" si="6"/>
        <v>546.68704454615818</v>
      </c>
      <c r="P41" s="577">
        <f t="shared" si="7"/>
        <v>1.5689671256685134</v>
      </c>
      <c r="Q41" s="586">
        <f t="shared" si="8"/>
        <v>1.0002430645195397</v>
      </c>
      <c r="R41" s="587">
        <f t="shared" si="9"/>
        <v>2.2046101520018485E-2</v>
      </c>
      <c r="S41" s="574">
        <f t="shared" si="10"/>
        <v>1.0000000011094934</v>
      </c>
      <c r="T41" s="577">
        <f t="shared" si="11"/>
        <v>4.7106121495447511E-5</v>
      </c>
      <c r="U41" s="578">
        <f t="shared" si="24"/>
        <v>0.99959994927942242</v>
      </c>
      <c r="V41" s="579">
        <f t="shared" si="25"/>
        <v>-3.9216314107493868E-4</v>
      </c>
      <c r="W41" s="580">
        <f t="shared" si="12"/>
        <v>54.955746003854784</v>
      </c>
      <c r="X41" s="581">
        <f t="shared" si="13"/>
        <v>-90.790235700334748</v>
      </c>
      <c r="Y41" s="584">
        <f t="shared" si="14"/>
        <v>89.209764299665252</v>
      </c>
      <c r="AA41" s="147">
        <f t="shared" si="15"/>
        <v>1000000000</v>
      </c>
      <c r="AB41" s="147">
        <f t="shared" si="16"/>
        <v>173.79148899999998</v>
      </c>
      <c r="AD41" s="583">
        <f t="shared" si="17"/>
        <v>50.352785426443177</v>
      </c>
      <c r="AE41" s="584">
        <f t="shared" si="18"/>
        <v>-88.634745006994535</v>
      </c>
      <c r="AG41" s="583">
        <f t="shared" si="19"/>
        <v>33.237186843874142</v>
      </c>
      <c r="AH41" s="584">
        <f t="shared" si="20"/>
        <v>-2.1105521075604767</v>
      </c>
      <c r="AJ41" s="147">
        <f t="shared" si="21"/>
        <v>0</v>
      </c>
      <c r="AK41" s="147">
        <f t="shared" si="22"/>
        <v>0</v>
      </c>
      <c r="AM41" s="147" t="str">
        <f t="shared" si="26"/>
        <v>1.56930544004119E-07+0.000560233044687853i</v>
      </c>
      <c r="AN41" s="147" t="str">
        <f t="shared" si="27"/>
        <v>0.000560233073993747i</v>
      </c>
      <c r="AO41" s="147" t="str">
        <f t="shared" si="28"/>
        <v>0.999999947689818-0.000280116528796496i</v>
      </c>
      <c r="AP41" s="147" t="str">
        <f t="shared" si="29"/>
        <v>0.166666640511576-0.0000933721741146422i</v>
      </c>
      <c r="AQ41" s="147" t="str">
        <f t="shared" si="30"/>
        <v>0.833333359488424+0.0000933721741146422i</v>
      </c>
      <c r="AR41" s="147" t="str">
        <f t="shared" si="31"/>
        <v>0.999599956077027-0.000112001781857275i</v>
      </c>
    </row>
    <row r="42" spans="1:44">
      <c r="A42" s="235" t="str">
        <f>V4</f>
        <v>Crossover</v>
      </c>
      <c r="B42" s="286">
        <f>W4</f>
        <v>4.3651999999999997</v>
      </c>
      <c r="C42" s="147" t="str">
        <f>X4</f>
        <v>kHz</v>
      </c>
      <c r="G42" s="585">
        <v>14.454000000000001</v>
      </c>
      <c r="H42" s="573">
        <f t="shared" si="23"/>
        <v>1.4454E-2</v>
      </c>
      <c r="I42" s="574">
        <f t="shared" si="0"/>
        <v>1.0008330349967689</v>
      </c>
      <c r="J42" s="575">
        <f t="shared" si="1"/>
        <v>4.0803360600085201E-2</v>
      </c>
      <c r="K42" s="575">
        <f t="shared" si="2"/>
        <v>1.0000000001995957</v>
      </c>
      <c r="L42" s="576">
        <f t="shared" si="3"/>
        <v>1.9979775269105413E-5</v>
      </c>
      <c r="M42" s="575">
        <f t="shared" si="4"/>
        <v>1.0000000004593548</v>
      </c>
      <c r="N42" s="576">
        <f t="shared" si="5"/>
        <v>-3.0310227249587145E-5</v>
      </c>
      <c r="O42" s="574">
        <f t="shared" si="6"/>
        <v>599.39409232922299</v>
      </c>
      <c r="P42" s="577">
        <f t="shared" si="7"/>
        <v>1.5691279745760516</v>
      </c>
      <c r="Q42" s="586">
        <f t="shared" si="8"/>
        <v>1.0002921853927933</v>
      </c>
      <c r="R42" s="587">
        <f t="shared" si="9"/>
        <v>2.4170819884345503E-2</v>
      </c>
      <c r="S42" s="574">
        <f t="shared" si="10"/>
        <v>1.0000000013337433</v>
      </c>
      <c r="T42" s="577">
        <f t="shared" si="11"/>
        <v>5.1647719031586735E-5</v>
      </c>
      <c r="U42" s="578">
        <f t="shared" si="24"/>
        <v>0.99959993902781419</v>
      </c>
      <c r="V42" s="579">
        <f t="shared" si="25"/>
        <v>-4.2997239066929323E-4</v>
      </c>
      <c r="W42" s="580">
        <f t="shared" si="12"/>
        <v>54.155483711528305</v>
      </c>
      <c r="X42" s="581">
        <f t="shared" si="13"/>
        <v>-90.885571639475614</v>
      </c>
      <c r="Y42" s="584">
        <f t="shared" si="14"/>
        <v>89.114428360524386</v>
      </c>
      <c r="AA42" s="147">
        <f t="shared" si="15"/>
        <v>1000000000</v>
      </c>
      <c r="AB42" s="147">
        <f t="shared" si="16"/>
        <v>208.91811600000003</v>
      </c>
      <c r="AD42" s="583">
        <f t="shared" si="17"/>
        <v>49.553738445993275</v>
      </c>
      <c r="AE42" s="584">
        <f t="shared" si="18"/>
        <v>-88.522483789848664</v>
      </c>
      <c r="AG42" s="583">
        <f t="shared" si="19"/>
        <v>33.235971710157521</v>
      </c>
      <c r="AH42" s="584">
        <f t="shared" si="20"/>
        <v>-2.3138166429856364</v>
      </c>
      <c r="AJ42" s="147">
        <f t="shared" si="21"/>
        <v>0</v>
      </c>
      <c r="AK42" s="147">
        <f t="shared" si="22"/>
        <v>0</v>
      </c>
      <c r="AM42" s="147" t="str">
        <f t="shared" si="26"/>
        <v>1.88649247001571E-07+0.000614246252165896i</v>
      </c>
      <c r="AN42" s="147" t="str">
        <f t="shared" si="27"/>
        <v>0.000614246290791596i</v>
      </c>
      <c r="AO42" s="147" t="str">
        <f t="shared" si="28"/>
        <v>0.999999937116918-0.000307123135832784i</v>
      </c>
      <c r="AP42" s="147" t="str">
        <f t="shared" si="29"/>
        <v>0.166666635225126-0.000102374375360983i</v>
      </c>
      <c r="AQ42" s="147" t="str">
        <f t="shared" si="30"/>
        <v>0.833333364774874+0.000102374375360983i</v>
      </c>
      <c r="AR42" s="147" t="str">
        <f t="shared" si="31"/>
        <v>0.999599947199345-0.000122800099613256i</v>
      </c>
    </row>
    <row r="43" spans="1:44">
      <c r="A43" s="235" t="str">
        <f>V5</f>
        <v>Phase Margin</v>
      </c>
      <c r="B43" s="459">
        <f>W5</f>
        <v>78.346042393766012</v>
      </c>
      <c r="C43" s="147" t="str">
        <f>X5</f>
        <v>°</v>
      </c>
      <c r="G43" s="585">
        <v>15.849</v>
      </c>
      <c r="H43" s="573">
        <f t="shared" si="23"/>
        <v>1.5848999999999999E-2</v>
      </c>
      <c r="I43" s="574">
        <f t="shared" si="0"/>
        <v>1.0010015077409531</v>
      </c>
      <c r="J43" s="575">
        <f t="shared" si="1"/>
        <v>4.473639696117887E-2</v>
      </c>
      <c r="K43" s="575">
        <f t="shared" si="2"/>
        <v>1.0000000002399823</v>
      </c>
      <c r="L43" s="576">
        <f t="shared" si="3"/>
        <v>2.1908084836828966E-5</v>
      </c>
      <c r="M43" s="575">
        <f t="shared" si="4"/>
        <v>1.0000000005523011</v>
      </c>
      <c r="N43" s="576">
        <f t="shared" si="5"/>
        <v>-3.3235560512587512E-5</v>
      </c>
      <c r="O43" s="574">
        <f t="shared" si="6"/>
        <v>657.24330596373909</v>
      </c>
      <c r="P43" s="577">
        <f t="shared" si="7"/>
        <v>1.5692748196501956</v>
      </c>
      <c r="Q43" s="586">
        <f t="shared" si="8"/>
        <v>1.0003512960745069</v>
      </c>
      <c r="R43" s="587">
        <f t="shared" si="9"/>
        <v>2.6502575895548285E-2</v>
      </c>
      <c r="S43" s="574">
        <f t="shared" si="10"/>
        <v>1.0000000016036144</v>
      </c>
      <c r="T43" s="577">
        <f t="shared" si="11"/>
        <v>5.6632399251719036E-5</v>
      </c>
      <c r="U43" s="578">
        <f t="shared" si="24"/>
        <v>0.99959992669064457</v>
      </c>
      <c r="V43" s="579">
        <f t="shared" si="25"/>
        <v>-4.7147034601842998E-4</v>
      </c>
      <c r="W43" s="580">
        <f>20*LOG10(((K43*Q43*M43*U43)/(I43*O43*S43))*Adc)</f>
        <v>53.354260606050133</v>
      </c>
      <c r="X43" s="581">
        <f t="shared" si="13"/>
        <v>-90.988452232538464</v>
      </c>
      <c r="Y43" s="584">
        <f t="shared" si="14"/>
        <v>89.011547767461536</v>
      </c>
      <c r="AA43" s="147">
        <f t="shared" si="15"/>
        <v>1000000000</v>
      </c>
      <c r="AB43" s="147">
        <f t="shared" si="16"/>
        <v>251.19080099999999</v>
      </c>
      <c r="AD43" s="583">
        <f t="shared" si="17"/>
        <v>48.753977441179821</v>
      </c>
      <c r="AE43" s="584">
        <f t="shared" si="18"/>
        <v>-88.397583215539342</v>
      </c>
      <c r="AG43" s="583">
        <f t="shared" si="19"/>
        <v>33.234509823897163</v>
      </c>
      <c r="AH43" s="584">
        <f t="shared" si="20"/>
        <v>-2.5368424949525252</v>
      </c>
      <c r="AJ43" s="147">
        <f t="shared" si="21"/>
        <v>0</v>
      </c>
      <c r="AK43" s="147">
        <f t="shared" si="22"/>
        <v>0</v>
      </c>
      <c r="AM43" s="147" t="str">
        <f t="shared" si="26"/>
        <v>2.26820708992825E-07+0.000673529038792616i</v>
      </c>
      <c r="AN43" s="147" t="str">
        <f t="shared" si="27"/>
        <v>0.000673529089716065i</v>
      </c>
      <c r="AO43" s="147" t="str">
        <f t="shared" si="28"/>
        <v>0.999999924393096-0.000336764532454633i</v>
      </c>
      <c r="AP43" s="147" t="str">
        <f t="shared" si="29"/>
        <v>0.166666628863215-0.000112254839798769i</v>
      </c>
      <c r="AQ43" s="147" t="str">
        <f t="shared" si="30"/>
        <v>0.833333371136785+0.000112254839798769i</v>
      </c>
      <c r="AR43" s="147" t="str">
        <f t="shared" si="31"/>
        <v>0.999599936515612-0.000134651910775335i</v>
      </c>
    </row>
    <row r="44" spans="1:44">
      <c r="G44" s="585">
        <v>17.378</v>
      </c>
      <c r="H44" s="573">
        <f t="shared" si="23"/>
        <v>1.7378000000000001E-2</v>
      </c>
      <c r="I44" s="574">
        <f t="shared" si="0"/>
        <v>1.0012039438460565</v>
      </c>
      <c r="J44" s="575">
        <f t="shared" si="1"/>
        <v>4.9045635586845319E-2</v>
      </c>
      <c r="K44" s="575">
        <f t="shared" si="2"/>
        <v>1.0000000002885192</v>
      </c>
      <c r="L44" s="576">
        <f t="shared" si="3"/>
        <v>2.4021622706927532E-5</v>
      </c>
      <c r="M44" s="575">
        <f t="shared" si="4"/>
        <v>1.0000000006640057</v>
      </c>
      <c r="N44" s="576">
        <f t="shared" si="5"/>
        <v>-3.6441893529227996E-5</v>
      </c>
      <c r="O44" s="574">
        <f t="shared" si="6"/>
        <v>720.6493751654566</v>
      </c>
      <c r="P44" s="577">
        <f t="shared" si="7"/>
        <v>1.5694086889846319</v>
      </c>
      <c r="Q44" s="586">
        <f t="shared" si="8"/>
        <v>1.0004223317476988</v>
      </c>
      <c r="R44" s="587">
        <f t="shared" si="9"/>
        <v>2.9057982190509528E-2</v>
      </c>
      <c r="S44" s="574">
        <f t="shared" si="10"/>
        <v>1.00000000192795</v>
      </c>
      <c r="T44" s="577">
        <f t="shared" si="11"/>
        <v>6.2095894629539714E-5</v>
      </c>
      <c r="U44" s="578">
        <f t="shared" si="24"/>
        <v>0.99959991186361263</v>
      </c>
      <c r="V44" s="579">
        <f t="shared" si="25"/>
        <v>-5.1695448284755873E-4</v>
      </c>
      <c r="W44" s="580">
        <f t="shared" si="12"/>
        <v>52.553163986120367</v>
      </c>
      <c r="X44" s="581">
        <f t="shared" si="13"/>
        <v>-91.099591267909318</v>
      </c>
      <c r="Y44" s="584">
        <f t="shared" si="14"/>
        <v>88.900408732090682</v>
      </c>
      <c r="AA44" s="147">
        <f t="shared" si="15"/>
        <v>1000000000</v>
      </c>
      <c r="AB44" s="147">
        <f t="shared" si="16"/>
        <v>301.99488400000001</v>
      </c>
      <c r="AD44" s="583">
        <f t="shared" si="17"/>
        <v>47.954637349540889</v>
      </c>
      <c r="AE44" s="584">
        <f t="shared" si="18"/>
        <v>-88.259152402834701</v>
      </c>
      <c r="AG44" s="583">
        <f t="shared" si="19"/>
        <v>33.232753553281349</v>
      </c>
      <c r="AH44" s="584">
        <f t="shared" si="20"/>
        <v>-2.7812002448718518</v>
      </c>
      <c r="AJ44" s="147">
        <f t="shared" si="21"/>
        <v>0</v>
      </c>
      <c r="AK44" s="147">
        <f t="shared" si="22"/>
        <v>0</v>
      </c>
      <c r="AM44" s="147" t="str">
        <f t="shared" si="26"/>
        <v>2.72695865999317E-07+0.000738506369938469i</v>
      </c>
      <c r="AN44" s="147" t="str">
        <f t="shared" si="27"/>
        <v>0.000738506437067688i</v>
      </c>
      <c r="AO44" s="147" t="str">
        <f t="shared" si="28"/>
        <v>0.999999909101376-0.000369253201207132i</v>
      </c>
      <c r="AP44" s="147" t="str">
        <f t="shared" si="29"/>
        <v>0.166666621217356-0.000123084394989745i</v>
      </c>
      <c r="AQ44" s="147" t="str">
        <f t="shared" si="30"/>
        <v>0.833333378782644+0.000123084394989745i</v>
      </c>
      <c r="AR44" s="147" t="str">
        <f t="shared" si="31"/>
        <v>0.99959992367571-0.000147642174152622i</v>
      </c>
    </row>
    <row r="45" spans="1:44">
      <c r="G45" s="585">
        <v>19.055</v>
      </c>
      <c r="H45" s="573">
        <f t="shared" si="23"/>
        <v>1.9054999999999999E-2</v>
      </c>
      <c r="I45" s="574">
        <f t="shared" si="0"/>
        <v>1.0014473438930132</v>
      </c>
      <c r="J45" s="575">
        <f t="shared" si="1"/>
        <v>5.3769887037861321E-2</v>
      </c>
      <c r="K45" s="575">
        <f t="shared" si="2"/>
        <v>1.000000000346891</v>
      </c>
      <c r="L45" s="576">
        <f t="shared" si="3"/>
        <v>2.633974109003865E-5</v>
      </c>
      <c r="M45" s="575">
        <f t="shared" si="4"/>
        <v>1.0000000007983443</v>
      </c>
      <c r="N45" s="576">
        <f t="shared" si="5"/>
        <v>-3.9958584482520989E-5</v>
      </c>
      <c r="O45" s="574">
        <f t="shared" si="6"/>
        <v>790.19286564106847</v>
      </c>
      <c r="P45" s="577">
        <f t="shared" si="7"/>
        <v>1.569530812626897</v>
      </c>
      <c r="Q45" s="586">
        <f t="shared" si="8"/>
        <v>1.0005077541774059</v>
      </c>
      <c r="R45" s="587">
        <f t="shared" si="9"/>
        <v>3.1860302107788535E-2</v>
      </c>
      <c r="S45" s="574">
        <f t="shared" si="10"/>
        <v>1.0000000023180036</v>
      </c>
      <c r="T45" s="577">
        <f t="shared" si="11"/>
        <v>6.8088230628276868E-5</v>
      </c>
      <c r="U45" s="578">
        <f t="shared" si="24"/>
        <v>0.99959989403228844</v>
      </c>
      <c r="V45" s="579">
        <f t="shared" si="25"/>
        <v>-5.6684127008335531E-4</v>
      </c>
      <c r="W45" s="580">
        <f t="shared" si="12"/>
        <v>51.751612310054838</v>
      </c>
      <c r="X45" s="581">
        <f t="shared" si="13"/>
        <v>-91.219977313797585</v>
      </c>
      <c r="Y45" s="584">
        <f t="shared" si="14"/>
        <v>88.780022686202415</v>
      </c>
      <c r="AA45" s="147">
        <f t="shared" si="15"/>
        <v>1000000000</v>
      </c>
      <c r="AB45" s="147">
        <f t="shared" si="16"/>
        <v>363.09302500000001</v>
      </c>
      <c r="AD45" s="583">
        <f t="shared" si="17"/>
        <v>47.155197173806286</v>
      </c>
      <c r="AE45" s="584">
        <f t="shared" si="18"/>
        <v>-88.105931803396786</v>
      </c>
      <c r="AG45" s="583">
        <f t="shared" si="19"/>
        <v>33.230642362836221</v>
      </c>
      <c r="AH45" s="584">
        <f t="shared" si="20"/>
        <v>-3.0490902854673658</v>
      </c>
      <c r="AJ45" s="147">
        <f t="shared" si="21"/>
        <v>0</v>
      </c>
      <c r="AK45" s="147">
        <f t="shared" ref="AK45:AK53" si="32">IF(AJ45&gt;0,Y43,0)</f>
        <v>0</v>
      </c>
      <c r="AM45" s="147" t="str">
        <f t="shared" si="26"/>
        <v>3.27866369054242E-07+0.000809773197168067i</v>
      </c>
      <c r="AN45" s="147" t="str">
        <f t="shared" si="27"/>
        <v>0.000809773285667211i</v>
      </c>
      <c r="AO45" s="147" t="str">
        <f t="shared" si="28"/>
        <v>0.999999890711208-0.000404886620560837i</v>
      </c>
      <c r="AP45" s="147" t="str">
        <f t="shared" si="29"/>
        <v>0.166666612022272-0.000134962199528011i</v>
      </c>
      <c r="AQ45" s="147" t="str">
        <f t="shared" si="30"/>
        <v>0.833333387977728+0.000134962199528011i</v>
      </c>
      <c r="AR45" s="147" t="str">
        <f t="shared" si="31"/>
        <v>0.999599908234152-0.000161889832100289i</v>
      </c>
    </row>
    <row r="46" spans="1:44">
      <c r="G46" s="585">
        <v>20.893000000000001</v>
      </c>
      <c r="H46" s="573">
        <f t="shared" si="23"/>
        <v>2.0893000000000002E-2</v>
      </c>
      <c r="I46" s="574">
        <f t="shared" si="0"/>
        <v>1.0017397705946884</v>
      </c>
      <c r="J46" s="575">
        <f t="shared" si="1"/>
        <v>5.8944923427315631E-2</v>
      </c>
      <c r="K46" s="575">
        <f t="shared" si="2"/>
        <v>1.0000000004170391</v>
      </c>
      <c r="L46" s="576">
        <f t="shared" si="3"/>
        <v>2.8880409896008491E-5</v>
      </c>
      <c r="M46" s="575">
        <f t="shared" si="4"/>
        <v>1.0000000009597849</v>
      </c>
      <c r="N46" s="576">
        <f t="shared" si="5"/>
        <v>-4.3812894542296404E-5</v>
      </c>
      <c r="O46" s="574">
        <f t="shared" si="6"/>
        <v>866.41287421340337</v>
      </c>
      <c r="P46" s="577">
        <f t="shared" si="7"/>
        <v>1.5696421423964577</v>
      </c>
      <c r="Q46" s="586">
        <f t="shared" si="8"/>
        <v>1.0006104005612781</v>
      </c>
      <c r="R46" s="587">
        <f t="shared" si="9"/>
        <v>3.4931081638413471E-2</v>
      </c>
      <c r="S46" s="574">
        <f t="shared" si="10"/>
        <v>1.0000000027867486</v>
      </c>
      <c r="T46" s="577">
        <f t="shared" si="11"/>
        <v>7.4655859463240143E-5</v>
      </c>
      <c r="U46" s="578">
        <f t="shared" si="24"/>
        <v>0.99959987260357186</v>
      </c>
      <c r="V46" s="579">
        <f t="shared" si="25"/>
        <v>-6.2151742448818444E-4</v>
      </c>
      <c r="W46" s="580">
        <f t="shared" si="12"/>
        <v>50.950131400663849</v>
      </c>
      <c r="X46" s="581">
        <f t="shared" si="13"/>
        <v>-91.350505353299809</v>
      </c>
      <c r="Y46" s="584">
        <f t="shared" si="14"/>
        <v>88.649494646700191</v>
      </c>
      <c r="AA46" s="147">
        <f t="shared" si="15"/>
        <v>1000000000</v>
      </c>
      <c r="AB46" s="147">
        <f t="shared" si="16"/>
        <v>436.51744900000006</v>
      </c>
      <c r="AD46" s="583">
        <f t="shared" si="17"/>
        <v>46.356252393508363</v>
      </c>
      <c r="AE46" s="584">
        <f t="shared" si="18"/>
        <v>-87.936744119627136</v>
      </c>
      <c r="AG46" s="583">
        <f t="shared" si="19"/>
        <v>33.228106606147101</v>
      </c>
      <c r="AH46" s="584">
        <f t="shared" si="20"/>
        <v>-3.3425405829572692</v>
      </c>
      <c r="AJ46" s="147">
        <f t="shared" si="21"/>
        <v>0</v>
      </c>
      <c r="AK46" s="147">
        <f t="shared" si="32"/>
        <v>0</v>
      </c>
      <c r="AM46" s="147" t="str">
        <f t="shared" si="26"/>
        <v>3.94167278039426E-07+0.000887881975047303i</v>
      </c>
      <c r="AN46" s="147" t="str">
        <f t="shared" si="27"/>
        <v>0.000887882091705329i</v>
      </c>
      <c r="AO46" s="147" t="str">
        <f t="shared" si="28"/>
        <v>0.999999868610903-0.000443941016179705i</v>
      </c>
      <c r="AP46" s="147" t="str">
        <f t="shared" si="29"/>
        <v>0.16666660097212-0.00014798032917455i</v>
      </c>
      <c r="AQ46" s="147" t="str">
        <f t="shared" si="30"/>
        <v>0.83333339902788+0.00014798032917455i</v>
      </c>
      <c r="AR46" s="147" t="str">
        <f t="shared" si="31"/>
        <v>0.999599889677329-0.000177505330867395i</v>
      </c>
    </row>
    <row r="47" spans="1:44">
      <c r="G47" s="585">
        <v>22.909000000000002</v>
      </c>
      <c r="H47" s="573">
        <f t="shared" si="23"/>
        <v>2.2909000000000002E-2</v>
      </c>
      <c r="I47" s="574">
        <f t="shared" si="0"/>
        <v>1.0020913483162592</v>
      </c>
      <c r="J47" s="575">
        <f t="shared" si="1"/>
        <v>6.4617490317954163E-2</v>
      </c>
      <c r="K47" s="575">
        <f t="shared" si="2"/>
        <v>1.0000000005014034</v>
      </c>
      <c r="L47" s="576">
        <f t="shared" si="3"/>
        <v>3.166712823770866E-5</v>
      </c>
      <c r="M47" s="575">
        <f t="shared" si="4"/>
        <v>1.0000000011539434</v>
      </c>
      <c r="N47" s="576">
        <f t="shared" si="5"/>
        <v>-4.8040472930625049E-5</v>
      </c>
      <c r="O47" s="574">
        <f t="shared" si="6"/>
        <v>950.01437375679222</v>
      </c>
      <c r="P47" s="577">
        <f t="shared" si="7"/>
        <v>1.5697437109479255</v>
      </c>
      <c r="Q47" s="586">
        <f t="shared" si="8"/>
        <v>1.000733835615409</v>
      </c>
      <c r="R47" s="587">
        <f t="shared" si="9"/>
        <v>3.8298489108281403E-2</v>
      </c>
      <c r="S47" s="574">
        <f t="shared" si="10"/>
        <v>1.000000003350491</v>
      </c>
      <c r="T47" s="577">
        <f t="shared" si="11"/>
        <v>8.1859526338993592E-5</v>
      </c>
      <c r="U47" s="578">
        <f t="shared" si="24"/>
        <v>0.99959984683205516</v>
      </c>
      <c r="V47" s="579">
        <f t="shared" si="25"/>
        <v>-6.8148865723630721E-4</v>
      </c>
      <c r="W47" s="580">
        <f t="shared" si="12"/>
        <v>50.148049084696595</v>
      </c>
      <c r="X47" s="581">
        <f t="shared" si="13"/>
        <v>-91.492332102144402</v>
      </c>
      <c r="Y47" s="584">
        <f t="shared" si="14"/>
        <v>88.507667897855598</v>
      </c>
      <c r="AA47" s="147">
        <f t="shared" si="15"/>
        <v>1000000000</v>
      </c>
      <c r="AB47" s="147">
        <f t="shared" si="16"/>
        <v>524.82228100000009</v>
      </c>
      <c r="AD47" s="583">
        <f t="shared" si="17"/>
        <v>45.55721822589507</v>
      </c>
      <c r="AE47" s="584">
        <f t="shared" si="18"/>
        <v>-87.750038072528895</v>
      </c>
      <c r="AG47" s="583">
        <f t="shared" si="19"/>
        <v>33.225058905669442</v>
      </c>
      <c r="AH47" s="584">
        <f t="shared" si="20"/>
        <v>-3.6642011818349327</v>
      </c>
      <c r="AJ47" s="147">
        <f t="shared" si="21"/>
        <v>0</v>
      </c>
      <c r="AK47" s="147">
        <f t="shared" si="32"/>
        <v>0</v>
      </c>
      <c r="AM47" s="147" t="str">
        <f t="shared" si="26"/>
        <v>4.73904921971524E-07+0.000973555144102062i</v>
      </c>
      <c r="AN47" s="147" t="str">
        <f t="shared" si="27"/>
        <v>0.000973555297892949i</v>
      </c>
      <c r="AO47" s="147" t="str">
        <f t="shared" si="28"/>
        <v>0.999999842031688-0.000486777610883726i</v>
      </c>
      <c r="AP47" s="147" t="str">
        <f t="shared" si="29"/>
        <v>0.166666587682513-0.000162259190683677i</v>
      </c>
      <c r="AQ47" s="147" t="str">
        <f t="shared" si="30"/>
        <v>0.833333412317487+0.000162259190683677i</v>
      </c>
      <c r="AR47" s="147" t="str">
        <f t="shared" si="31"/>
        <v>0.999599867359729-0.000194633100134844i</v>
      </c>
    </row>
    <row r="48" spans="1:44">
      <c r="A48" s="147" t="s">
        <v>802</v>
      </c>
      <c r="G48" s="585">
        <v>25.119</v>
      </c>
      <c r="H48" s="573">
        <f t="shared" si="23"/>
        <v>2.5118999999999999E-2</v>
      </c>
      <c r="I48" s="574">
        <f t="shared" si="0"/>
        <v>1.0025137794649821</v>
      </c>
      <c r="J48" s="575">
        <f t="shared" si="1"/>
        <v>7.0831134823196487E-2</v>
      </c>
      <c r="K48" s="575">
        <f t="shared" si="2"/>
        <v>1.0000000006028091</v>
      </c>
      <c r="L48" s="576">
        <f t="shared" si="3"/>
        <v>3.4722012927200167E-5</v>
      </c>
      <c r="M48" s="575">
        <f t="shared" si="4"/>
        <v>1.0000000013873209</v>
      </c>
      <c r="N48" s="576">
        <f t="shared" si="5"/>
        <v>-5.2674871856328145E-5</v>
      </c>
      <c r="O48" s="574">
        <f t="shared" si="6"/>
        <v>1041.6608682374026</v>
      </c>
      <c r="P48" s="577">
        <f t="shared" si="7"/>
        <v>1.569836321303576</v>
      </c>
      <c r="Q48" s="586">
        <f t="shared" si="8"/>
        <v>1.0008821836666242</v>
      </c>
      <c r="R48" s="587">
        <f t="shared" si="9"/>
        <v>4.1988941745424384E-2</v>
      </c>
      <c r="S48" s="574">
        <f t="shared" si="10"/>
        <v>1.0000000040281058</v>
      </c>
      <c r="T48" s="577">
        <f t="shared" si="11"/>
        <v>8.9756403211850884E-5</v>
      </c>
      <c r="U48" s="578">
        <f t="shared" si="24"/>
        <v>0.99959981585484503</v>
      </c>
      <c r="V48" s="579">
        <f t="shared" si="25"/>
        <v>-7.4723092714303388E-4</v>
      </c>
      <c r="W48" s="580">
        <f t="shared" si="12"/>
        <v>49.345752081289376</v>
      </c>
      <c r="X48" s="581">
        <f t="shared" si="13"/>
        <v>-91.64651624159923</v>
      </c>
      <c r="Y48" s="584">
        <f t="shared" si="14"/>
        <v>88.35348375840077</v>
      </c>
      <c r="AA48" s="147">
        <f t="shared" si="15"/>
        <v>1000000000</v>
      </c>
      <c r="AB48" s="147">
        <f t="shared" si="16"/>
        <v>630.96416099999999</v>
      </c>
      <c r="AD48" s="583">
        <f t="shared" si="17"/>
        <v>44.758582250007429</v>
      </c>
      <c r="AE48" s="584">
        <f t="shared" si="18"/>
        <v>-87.544349351926755</v>
      </c>
      <c r="AG48" s="583">
        <f t="shared" si="19"/>
        <v>33.221398416494551</v>
      </c>
      <c r="AH48" s="584">
        <f t="shared" si="20"/>
        <v>-4.0165405326807289</v>
      </c>
      <c r="AJ48" s="147">
        <f t="shared" si="21"/>
        <v>0</v>
      </c>
      <c r="AK48" s="147">
        <f t="shared" si="32"/>
        <v>0</v>
      </c>
      <c r="AM48" s="147" t="str">
        <f t="shared" si="26"/>
        <v>5.69749089018856E-07+0.00106747264758035i</v>
      </c>
      <c r="AN48" s="147" t="str">
        <f t="shared" si="27"/>
        <v>0.00106747285031092i</v>
      </c>
      <c r="AO48" s="147" t="str">
        <f t="shared" si="28"/>
        <v>0.999999810083629-0.000533736374515667i</v>
      </c>
      <c r="AP48" s="147" t="str">
        <f t="shared" si="29"/>
        <v>0.166666571708485-0.000177912107930058i</v>
      </c>
      <c r="AQ48" s="147" t="str">
        <f t="shared" si="30"/>
        <v>0.833333428291515+0.000177912107930058i</v>
      </c>
      <c r="AR48" s="147" t="str">
        <f t="shared" si="31"/>
        <v>0.99959984053411-0.000213409073341243i</v>
      </c>
    </row>
    <row r="49" spans="1:44">
      <c r="A49" s="147">
        <v>0.1</v>
      </c>
      <c r="C49" s="235" t="s">
        <v>803</v>
      </c>
      <c r="D49" s="648">
        <f>Fco_desire*1000</f>
        <v>1000</v>
      </c>
      <c r="E49" s="648" t="s">
        <v>8</v>
      </c>
      <c r="G49" s="585">
        <v>27.542000000000002</v>
      </c>
      <c r="H49" s="573">
        <f t="shared" si="23"/>
        <v>2.7542000000000001E-2</v>
      </c>
      <c r="I49" s="574">
        <f t="shared" si="0"/>
        <v>1.003021366165407</v>
      </c>
      <c r="J49" s="575">
        <f t="shared" si="1"/>
        <v>7.7637343023346905E-2</v>
      </c>
      <c r="K49" s="575">
        <f t="shared" si="2"/>
        <v>1.000000000724713</v>
      </c>
      <c r="L49" s="576">
        <f t="shared" si="3"/>
        <v>3.8071327678778143E-5</v>
      </c>
      <c r="M49" s="575">
        <f t="shared" si="4"/>
        <v>1.0000000016678738</v>
      </c>
      <c r="N49" s="576">
        <f t="shared" si="5"/>
        <v>-5.7755934567285504E-5</v>
      </c>
      <c r="O49" s="574">
        <f t="shared" si="6"/>
        <v>1142.1402686898448</v>
      </c>
      <c r="P49" s="577">
        <f t="shared" si="7"/>
        <v>1.5699207774817536</v>
      </c>
      <c r="Q49" s="586">
        <f t="shared" si="8"/>
        <v>1.0010604899784044</v>
      </c>
      <c r="R49" s="587">
        <f t="shared" si="9"/>
        <v>4.6033762100873246E-2</v>
      </c>
      <c r="S49" s="574">
        <f t="shared" si="10"/>
        <v>1.0000000048426954</v>
      </c>
      <c r="T49" s="577">
        <f t="shared" si="11"/>
        <v>9.8414381779462384E-5</v>
      </c>
      <c r="U49" s="578">
        <f t="shared" si="24"/>
        <v>0.99959977861584837</v>
      </c>
      <c r="V49" s="579">
        <f t="shared" si="25"/>
        <v>-8.1930943974949642E-4</v>
      </c>
      <c r="W49" s="580">
        <f t="shared" si="12"/>
        <v>48.543040438882592</v>
      </c>
      <c r="X49" s="581">
        <f t="shared" si="13"/>
        <v>-91.814296175500672</v>
      </c>
      <c r="Y49" s="584">
        <f t="shared" si="14"/>
        <v>88.185703824499328</v>
      </c>
      <c r="AA49" s="147">
        <f t="shared" si="15"/>
        <v>1000000000</v>
      </c>
      <c r="AB49" s="147">
        <f t="shared" si="16"/>
        <v>758.56176400000004</v>
      </c>
      <c r="AD49" s="583">
        <f t="shared" si="17"/>
        <v>43.960267601728503</v>
      </c>
      <c r="AE49" s="584">
        <f t="shared" si="18"/>
        <v>-87.317933264606637</v>
      </c>
      <c r="AG49" s="583">
        <f t="shared" si="19"/>
        <v>33.217002069533336</v>
      </c>
      <c r="AH49" s="584">
        <f t="shared" si="20"/>
        <v>-4.4024769647609991</v>
      </c>
      <c r="AJ49" s="147">
        <f t="shared" si="21"/>
        <v>0</v>
      </c>
      <c r="AK49" s="147">
        <f t="shared" si="32"/>
        <v>0</v>
      </c>
      <c r="AM49" s="147" t="str">
        <f t="shared" si="26"/>
        <v>6.84967376041179E-07+0.00117044191769202i</v>
      </c>
      <c r="AN49" s="147" t="str">
        <f t="shared" si="27"/>
        <v>0.00117044218493027i</v>
      </c>
      <c r="AO49" s="147" t="str">
        <f t="shared" si="28"/>
        <v>0.999999771677531-0.000585221025745912i</v>
      </c>
      <c r="AP49" s="147" t="str">
        <f t="shared" si="29"/>
        <v>0.166666552505437-0.00019507365294867i</v>
      </c>
      <c r="AQ49" s="147" t="str">
        <f t="shared" si="30"/>
        <v>0.833333447494563+0.00019507365294867i</v>
      </c>
      <c r="AR49" s="147" t="str">
        <f t="shared" si="31"/>
        <v>0.999599808285914-0.000233994671251205i</v>
      </c>
    </row>
    <row r="50" spans="1:44">
      <c r="A50" s="147">
        <v>0.2</v>
      </c>
      <c r="C50" s="647" t="s">
        <v>810</v>
      </c>
      <c r="D50" s="147">
        <f>SQRT(1+(D49/Zero1)^2)*SQRT(1+(D49/z_RHP)^2)/SQRT(1+(D49/pole1)^2)/D58</f>
        <v>0.33397220591983579</v>
      </c>
      <c r="G50" s="585">
        <v>30.2</v>
      </c>
      <c r="H50" s="573">
        <f t="shared" si="23"/>
        <v>3.0199999999999998E-2</v>
      </c>
      <c r="I50" s="574">
        <f t="shared" si="0"/>
        <v>1.0036315666248883</v>
      </c>
      <c r="J50" s="575">
        <f t="shared" si="1"/>
        <v>8.5095362335032995E-2</v>
      </c>
      <c r="K50" s="575">
        <f t="shared" si="2"/>
        <v>1.0000000008713426</v>
      </c>
      <c r="L50" s="576">
        <f t="shared" si="3"/>
        <v>4.1745483108950245E-5</v>
      </c>
      <c r="M50" s="575">
        <f t="shared" si="4"/>
        <v>1.0000000020053315</v>
      </c>
      <c r="N50" s="576">
        <f t="shared" si="5"/>
        <v>-6.3329795350360174E-5</v>
      </c>
      <c r="O50" s="574">
        <f t="shared" si="6"/>
        <v>1252.3648932407268</v>
      </c>
      <c r="P50" s="577">
        <f t="shared" si="7"/>
        <v>1.5699978373836543</v>
      </c>
      <c r="Q50" s="586">
        <f t="shared" si="8"/>
        <v>1.0012749201086282</v>
      </c>
      <c r="R50" s="587">
        <f t="shared" si="9"/>
        <v>5.0469140331123319E-2</v>
      </c>
      <c r="S50" s="574">
        <f t="shared" si="10"/>
        <v>1.0000000058225078</v>
      </c>
      <c r="T50" s="577">
        <f t="shared" si="11"/>
        <v>1.0791207348044274E-4</v>
      </c>
      <c r="U50" s="578">
        <f t="shared" si="24"/>
        <v>0.99959973382366663</v>
      </c>
      <c r="V50" s="579">
        <f t="shared" si="25"/>
        <v>-8.9837864072803554E-4</v>
      </c>
      <c r="W50" s="580">
        <f t="shared" si="12"/>
        <v>47.739389007912408</v>
      </c>
      <c r="X50" s="581">
        <f t="shared" si="13"/>
        <v>-91.997079314061438</v>
      </c>
      <c r="Y50" s="584">
        <f t="shared" si="14"/>
        <v>88.002920685938562</v>
      </c>
      <c r="AA50" s="147">
        <f t="shared" si="15"/>
        <v>1000000000</v>
      </c>
      <c r="AB50" s="147">
        <f t="shared" si="16"/>
        <v>912.04</v>
      </c>
      <c r="AD50" s="583">
        <f t="shared" si="17"/>
        <v>43.161899117516704</v>
      </c>
      <c r="AE50" s="584">
        <f t="shared" si="18"/>
        <v>-87.068764195982581</v>
      </c>
      <c r="AG50" s="583">
        <f t="shared" si="19"/>
        <v>33.211719901206408</v>
      </c>
      <c r="AH50" s="584">
        <f t="shared" si="20"/>
        <v>-4.8253685089243969</v>
      </c>
      <c r="AJ50" s="147">
        <f t="shared" si="21"/>
        <v>0</v>
      </c>
      <c r="AK50" s="147">
        <f t="shared" si="32"/>
        <v>0</v>
      </c>
      <c r="AM50" s="147" t="str">
        <f t="shared" si="26"/>
        <v>8.23555391993303E-07+0.00128339787529563i</v>
      </c>
      <c r="AN50" s="147" t="str">
        <f t="shared" si="27"/>
        <v>0.00128339822761216i</v>
      </c>
      <c r="AO50" s="147" t="str">
        <f t="shared" si="28"/>
        <v>0.99999972548152-0.000641699025504794i</v>
      </c>
      <c r="AP50" s="147" t="str">
        <f t="shared" si="29"/>
        <v>0.166666529407435-0.000213899645882605i</v>
      </c>
      <c r="AQ50" s="147" t="str">
        <f t="shared" si="30"/>
        <v>0.833333470592565+0.000213899645882605i</v>
      </c>
      <c r="AR50" s="147" t="str">
        <f t="shared" si="31"/>
        <v>0.99959976949682-0.000256576801802602i</v>
      </c>
    </row>
    <row r="51" spans="1:44">
      <c r="A51" s="147">
        <v>0.3</v>
      </c>
      <c r="C51" s="235" t="s">
        <v>811</v>
      </c>
      <c r="D51" s="648">
        <f>20*LOG(D50*Acs*Am)</f>
        <v>23.713935264480238</v>
      </c>
      <c r="E51" s="235" t="s">
        <v>781</v>
      </c>
      <c r="G51" s="585">
        <v>33.113</v>
      </c>
      <c r="H51" s="573">
        <f t="shared" si="23"/>
        <v>3.3112999999999997E-2</v>
      </c>
      <c r="I51" s="574">
        <f t="shared" si="0"/>
        <v>1.0043643380912495</v>
      </c>
      <c r="J51" s="575">
        <f t="shared" si="1"/>
        <v>9.3257965979866422E-2</v>
      </c>
      <c r="K51" s="575">
        <f t="shared" si="2"/>
        <v>1.0000000010475436</v>
      </c>
      <c r="L51" s="576">
        <f t="shared" si="3"/>
        <v>4.5772125232592459E-5</v>
      </c>
      <c r="M51" s="575">
        <f t="shared" si="4"/>
        <v>1.0000000024108453</v>
      </c>
      <c r="N51" s="576">
        <f t="shared" si="5"/>
        <v>-6.9438394465879376E-5</v>
      </c>
      <c r="O51" s="574">
        <f t="shared" si="6"/>
        <v>1373.1641220593224</v>
      </c>
      <c r="P51" s="577">
        <f t="shared" si="7"/>
        <v>1.5700680816621222</v>
      </c>
      <c r="Q51" s="586">
        <f t="shared" si="8"/>
        <v>1.0015325344377746</v>
      </c>
      <c r="R51" s="587">
        <f t="shared" si="9"/>
        <v>5.5327746669682799E-2</v>
      </c>
      <c r="S51" s="574">
        <f t="shared" si="10"/>
        <v>1.0000000069999229</v>
      </c>
      <c r="T51" s="577">
        <f t="shared" si="11"/>
        <v>1.183209432567241E-4</v>
      </c>
      <c r="U51" s="578">
        <f t="shared" si="24"/>
        <v>0.99959967999808375</v>
      </c>
      <c r="V51" s="579">
        <f t="shared" si="25"/>
        <v>-9.8503348190055262E-4</v>
      </c>
      <c r="W51" s="580">
        <f t="shared" si="12"/>
        <v>46.935452322964579</v>
      </c>
      <c r="X51" s="581">
        <f t="shared" si="13"/>
        <v>-92.19608974448208</v>
      </c>
      <c r="Y51" s="584">
        <f t="shared" si="14"/>
        <v>87.80391025551792</v>
      </c>
      <c r="AA51" s="147">
        <f t="shared" si="15"/>
        <v>1000000000</v>
      </c>
      <c r="AB51" s="147">
        <f t="shared" si="16"/>
        <v>1096.470769</v>
      </c>
      <c r="AD51" s="583">
        <f t="shared" si="17"/>
        <v>42.364302322866045</v>
      </c>
      <c r="AE51" s="584">
        <f t="shared" si="18"/>
        <v>-86.795007643153625</v>
      </c>
      <c r="AG51" s="583">
        <f t="shared" si="19"/>
        <v>33.205380946329825</v>
      </c>
      <c r="AH51" s="584">
        <f t="shared" si="20"/>
        <v>-5.2882055788155231</v>
      </c>
      <c r="AJ51" s="147">
        <f t="shared" si="21"/>
        <v>0</v>
      </c>
      <c r="AK51" s="147">
        <f t="shared" si="32"/>
        <v>0</v>
      </c>
      <c r="AM51" s="147" t="str">
        <f t="shared" si="26"/>
        <v>9.90092966945966E-07+0.00140719044654103i</v>
      </c>
      <c r="AN51" s="147" t="str">
        <f t="shared" si="27"/>
        <v>0.00140719091095767i</v>
      </c>
      <c r="AO51" s="147" t="str">
        <f t="shared" si="28"/>
        <v>0.999999669968988-0.0007035953396488i</v>
      </c>
      <c r="AP51" s="147" t="str">
        <f t="shared" si="29"/>
        <v>0.166666501651172-0.000234531741090172i</v>
      </c>
      <c r="AQ51" s="147" t="str">
        <f t="shared" si="30"/>
        <v>0.833333498348828+0.000234531741090172i</v>
      </c>
      <c r="AR51" s="147" t="str">
        <f t="shared" si="31"/>
        <v>0.999599722884991-0.000281325380374108i</v>
      </c>
    </row>
    <row r="52" spans="1:44">
      <c r="A52" s="147">
        <v>0.4</v>
      </c>
      <c r="C52" s="147" t="s">
        <v>694</v>
      </c>
      <c r="D52" s="147" t="str">
        <f>IMSUB(1,IMEXP(COMPLEX(0,-2*Pi*D49*Tsw)))</f>
        <v>0.000902845895111026+0.0424838399807662i</v>
      </c>
      <c r="G52" s="585">
        <v>36.308</v>
      </c>
      <c r="H52" s="573">
        <f t="shared" si="23"/>
        <v>3.6308E-2</v>
      </c>
      <c r="I52" s="574">
        <f t="shared" si="0"/>
        <v>1.0052448761056783</v>
      </c>
      <c r="J52" s="575">
        <f t="shared" si="1"/>
        <v>0.10219642166530665</v>
      </c>
      <c r="K52" s="575">
        <f t="shared" si="2"/>
        <v>1.0000000012594465</v>
      </c>
      <c r="L52" s="576">
        <f t="shared" si="3"/>
        <v>5.0188576169788103E-5</v>
      </c>
      <c r="M52" s="575">
        <f t="shared" si="4"/>
        <v>1.0000000028985243</v>
      </c>
      <c r="N52" s="576">
        <f t="shared" si="5"/>
        <v>-7.613835126528759E-5</v>
      </c>
      <c r="O52" s="574">
        <f t="shared" si="6"/>
        <v>1505.6576184386859</v>
      </c>
      <c r="P52" s="577">
        <f t="shared" si="7"/>
        <v>1.5701321651280793</v>
      </c>
      <c r="Q52" s="586">
        <f t="shared" si="8"/>
        <v>1.0018422587952809</v>
      </c>
      <c r="R52" s="587">
        <f t="shared" si="9"/>
        <v>6.065368859036472E-2</v>
      </c>
      <c r="S52" s="574">
        <f t="shared" si="10"/>
        <v>1.0000000084159055</v>
      </c>
      <c r="T52" s="577">
        <f t="shared" si="11"/>
        <v>1.2973746877992836E-4</v>
      </c>
      <c r="U52" s="578">
        <f t="shared" si="24"/>
        <v>0.9995996152663873</v>
      </c>
      <c r="V52" s="579">
        <f t="shared" si="25"/>
        <v>-1.0800771450551765E-3</v>
      </c>
      <c r="W52" s="580">
        <f t="shared" si="12"/>
        <v>46.130450203116979</v>
      </c>
      <c r="X52" s="581">
        <f t="shared" si="13"/>
        <v>-92.412973803765198</v>
      </c>
      <c r="Y52" s="584">
        <f t="shared" si="14"/>
        <v>87.587026196234802</v>
      </c>
      <c r="AA52" s="147">
        <f t="shared" si="15"/>
        <v>1000000000</v>
      </c>
      <c r="AB52" s="147">
        <f t="shared" si="16"/>
        <v>1318.2708640000001</v>
      </c>
      <c r="AD52" s="583">
        <f t="shared" si="17"/>
        <v>41.56691244476697</v>
      </c>
      <c r="AE52" s="584">
        <f t="shared" si="18"/>
        <v>-86.4941794796881</v>
      </c>
      <c r="AG52" s="583">
        <f t="shared" si="19"/>
        <v>33.197769829536419</v>
      </c>
      <c r="AH52" s="584">
        <f t="shared" si="20"/>
        <v>-5.7950266000152677</v>
      </c>
      <c r="AJ52" s="147">
        <f t="shared" si="21"/>
        <v>0</v>
      </c>
      <c r="AK52" s="147">
        <f t="shared" si="32"/>
        <v>0</v>
      </c>
      <c r="AM52" s="147" t="str">
        <f t="shared" si="26"/>
        <v>0.0000011903743389885+0.00154296703174182i</v>
      </c>
      <c r="AN52" s="147" t="str">
        <f t="shared" si="27"/>
        <v>0.00154296764397823i</v>
      </c>
      <c r="AO52" s="147" t="str">
        <f t="shared" si="28"/>
        <v>0.999999603208523-0.000771483668911787i</v>
      </c>
      <c r="AP52" s="147" t="str">
        <f t="shared" si="29"/>
        <v>0.166666468270944-0.00025716117195697i</v>
      </c>
      <c r="AQ52" s="147" t="str">
        <f t="shared" si="30"/>
        <v>0.833333531729056+0.00025716117195697i</v>
      </c>
      <c r="AR52" s="147" t="str">
        <f t="shared" si="31"/>
        <v>0.999599666828698-0.000308469792732453i</v>
      </c>
    </row>
    <row r="53" spans="1:44">
      <c r="A53" s="147">
        <v>0.5</v>
      </c>
      <c r="C53" s="147" t="s">
        <v>804</v>
      </c>
      <c r="D53" s="147" t="str">
        <f>COMPLEX(0, 2*Pi*D49*Tsw)</f>
        <v>0.0424966300533829i</v>
      </c>
      <c r="G53" s="585">
        <v>39.811</v>
      </c>
      <c r="H53" s="573">
        <f t="shared" si="23"/>
        <v>3.9810999999999999E-2</v>
      </c>
      <c r="I53" s="574">
        <f t="shared" si="0"/>
        <v>1.0063024262220401</v>
      </c>
      <c r="J53" s="575">
        <f t="shared" si="1"/>
        <v>0.11197770123776336</v>
      </c>
      <c r="K53" s="575">
        <f t="shared" si="2"/>
        <v>1.000000001514193</v>
      </c>
      <c r="L53" s="576">
        <f t="shared" si="3"/>
        <v>5.503077573967451E-5</v>
      </c>
      <c r="M53" s="575">
        <f t="shared" si="4"/>
        <v>1.0000000034848049</v>
      </c>
      <c r="N53" s="576">
        <f t="shared" si="5"/>
        <v>-8.348418808630688E-5</v>
      </c>
      <c r="O53" s="574">
        <f t="shared" si="6"/>
        <v>1650.9235767175865</v>
      </c>
      <c r="P53" s="577">
        <f t="shared" si="7"/>
        <v>1.5701906052004797</v>
      </c>
      <c r="Q53" s="586">
        <f t="shared" si="8"/>
        <v>1.0022144782227598</v>
      </c>
      <c r="R53" s="587">
        <f t="shared" si="9"/>
        <v>6.6489086855796187E-2</v>
      </c>
      <c r="S53" s="574">
        <f t="shared" si="10"/>
        <v>1.0000000101181792</v>
      </c>
      <c r="T53" s="577">
        <f t="shared" si="11"/>
        <v>1.4225455447108783E-4</v>
      </c>
      <c r="U53" s="578">
        <f t="shared" si="24"/>
        <v>0.99959953744689367</v>
      </c>
      <c r="V53" s="579">
        <f t="shared" si="25"/>
        <v>-1.1842830660273355E-3</v>
      </c>
      <c r="W53" s="580">
        <f t="shared" si="12"/>
        <v>45.324528123500542</v>
      </c>
      <c r="X53" s="581">
        <f t="shared" si="13"/>
        <v>-92.649235702392076</v>
      </c>
      <c r="Y53" s="584">
        <f t="shared" si="14"/>
        <v>87.350764297607924</v>
      </c>
      <c r="AA53" s="147">
        <f t="shared" si="15"/>
        <v>1000000000</v>
      </c>
      <c r="AB53" s="147">
        <f t="shared" si="16"/>
        <v>1584.9157210000001</v>
      </c>
      <c r="AD53" s="583">
        <f t="shared" si="17"/>
        <v>40.770124067542071</v>
      </c>
      <c r="AE53" s="584">
        <f t="shared" si="18"/>
        <v>-86.163901332608418</v>
      </c>
      <c r="AG53" s="583">
        <f t="shared" si="19"/>
        <v>33.188637479549492</v>
      </c>
      <c r="AH53" s="584">
        <f t="shared" si="20"/>
        <v>-6.3496255267642274</v>
      </c>
      <c r="AJ53" s="147">
        <f t="shared" si="21"/>
        <v>0</v>
      </c>
      <c r="AK53" s="147">
        <f t="shared" si="32"/>
        <v>0</v>
      </c>
      <c r="AM53" s="147" t="str">
        <f t="shared" si="26"/>
        <v>1.43114968198521E-06+0.00169183253196624i</v>
      </c>
      <c r="AN53" s="147" t="str">
        <f t="shared" si="27"/>
        <v>0.00169183333905523i</v>
      </c>
      <c r="AO53" s="147" t="str">
        <f t="shared" si="28"/>
        <v>0.999999522950062-0.000845916467625828i</v>
      </c>
      <c r="AP53" s="147" t="str">
        <f t="shared" si="29"/>
        <v>0.16666642814172-0.00028197208866104i</v>
      </c>
      <c r="AQ53" s="147" t="str">
        <f t="shared" si="30"/>
        <v>0.83333357185828+0.00028197208866104i</v>
      </c>
      <c r="AR53" s="147" t="str">
        <f t="shared" si="31"/>
        <v>0.999599599438653-0.00033823092744233i</v>
      </c>
    </row>
    <row r="54" spans="1:44">
      <c r="A54" s="147">
        <v>0.6</v>
      </c>
      <c r="C54" s="147" t="s">
        <v>805</v>
      </c>
      <c r="D54" s="147" t="str">
        <f>IMDIV(D52, D53)</f>
        <v>0.999699033250386-0.021245117412296i</v>
      </c>
      <c r="G54" s="585">
        <v>43.652000000000001</v>
      </c>
      <c r="H54" s="573">
        <f t="shared" si="23"/>
        <v>4.3652000000000003E-2</v>
      </c>
      <c r="I54" s="574">
        <f t="shared" si="0"/>
        <v>1.0075724264962658</v>
      </c>
      <c r="J54" s="575">
        <f t="shared" si="1"/>
        <v>0.12267802205116617</v>
      </c>
      <c r="K54" s="575">
        <f t="shared" si="2"/>
        <v>1.0000000018204693</v>
      </c>
      <c r="L54" s="576">
        <f t="shared" si="3"/>
        <v>6.0340192964200345E-5</v>
      </c>
      <c r="M54" s="575">
        <f t="shared" si="4"/>
        <v>1.0000000041896773</v>
      </c>
      <c r="N54" s="576">
        <f t="shared" si="5"/>
        <v>-9.1538815318152757E-5</v>
      </c>
      <c r="O54" s="574">
        <f t="shared" si="6"/>
        <v>1810.2060673346286</v>
      </c>
      <c r="P54" s="577">
        <f t="shared" si="7"/>
        <v>1.5702439034719904</v>
      </c>
      <c r="Q54" s="586">
        <f t="shared" si="8"/>
        <v>1.0026618067111825</v>
      </c>
      <c r="R54" s="587">
        <f t="shared" si="9"/>
        <v>7.2882312608114327E-2</v>
      </c>
      <c r="S54" s="574">
        <f t="shared" si="10"/>
        <v>1.0000000121647865</v>
      </c>
      <c r="T54" s="577">
        <f t="shared" si="11"/>
        <v>1.55979397736791E-4</v>
      </c>
      <c r="U54" s="578">
        <f t="shared" si="24"/>
        <v>0.99959944388620892</v>
      </c>
      <c r="V54" s="579">
        <f t="shared" si="25"/>
        <v>-1.2985436690936866E-3</v>
      </c>
      <c r="W54" s="580">
        <f t="shared" si="12"/>
        <v>44.51742728365268</v>
      </c>
      <c r="X54" s="581">
        <f t="shared" si="13"/>
        <v>-92.906558152522024</v>
      </c>
      <c r="Y54" s="584">
        <f t="shared" si="14"/>
        <v>87.093441847477976</v>
      </c>
      <c r="AA54" s="147">
        <f t="shared" si="15"/>
        <v>1000000000</v>
      </c>
      <c r="AB54" s="147">
        <f t="shared" si="16"/>
        <v>1905.497104</v>
      </c>
      <c r="AD54" s="583">
        <f t="shared" si="17"/>
        <v>39.973979115493684</v>
      </c>
      <c r="AE54" s="584">
        <f t="shared" si="18"/>
        <v>-85.801436620718562</v>
      </c>
      <c r="AG54" s="583">
        <f t="shared" si="19"/>
        <v>33.177683217716783</v>
      </c>
      <c r="AH54" s="584">
        <f t="shared" si="20"/>
        <v>-6.9563193881284251</v>
      </c>
      <c r="AJ54" s="147">
        <f t="shared" si="21"/>
        <v>0</v>
      </c>
      <c r="AK54" s="147">
        <f t="shared" ref="AK54:AK85" si="33">IF(AJ54&gt;0,Y54,0)</f>
        <v>0</v>
      </c>
      <c r="AM54" s="147" t="str">
        <f t="shared" si="26"/>
        <v>0.0000017206286789806+0.00185506183113201i</v>
      </c>
      <c r="AN54" s="147" t="str">
        <f t="shared" si="27"/>
        <v>0.00185506289509027i</v>
      </c>
      <c r="AO54" s="147" t="str">
        <f t="shared" si="28"/>
        <v>0.999999426457042-0.000927531181575853i</v>
      </c>
      <c r="AP54" s="147" t="str">
        <f t="shared" si="29"/>
        <v>0.16666637989522-0.000309176971855335i</v>
      </c>
      <c r="AQ54" s="147" t="str">
        <f t="shared" si="30"/>
        <v>0.83333362010478+0.000309176971855335i</v>
      </c>
      <c r="AR54" s="147" t="str">
        <f t="shared" si="31"/>
        <v>0.999599518417078-0.000370863654982964i</v>
      </c>
    </row>
    <row r="55" spans="1:44">
      <c r="A55" s="147">
        <v>0.7</v>
      </c>
      <c r="C55" s="147" t="s">
        <v>806</v>
      </c>
      <c r="D55" s="147" t="str">
        <f>IMDIV(IMEXP(COMPLEX(0,-2*Pi*D49*Tsw)),6)</f>
        <v>0.166516192350815-0.00708063999679437i</v>
      </c>
      <c r="G55" s="585">
        <v>47.863</v>
      </c>
      <c r="H55" s="573">
        <f t="shared" si="23"/>
        <v>4.7863000000000003E-2</v>
      </c>
      <c r="I55" s="574">
        <f t="shared" si="0"/>
        <v>1.0090969734776896</v>
      </c>
      <c r="J55" s="575">
        <f t="shared" si="1"/>
        <v>0.13437665103421317</v>
      </c>
      <c r="K55" s="575">
        <f t="shared" si="2"/>
        <v>1.000000002188643</v>
      </c>
      <c r="L55" s="576">
        <f t="shared" si="3"/>
        <v>6.6161061466522687E-5</v>
      </c>
      <c r="M55" s="575">
        <f t="shared" si="4"/>
        <v>1.0000000050370019</v>
      </c>
      <c r="N55" s="576">
        <f t="shared" si="5"/>
        <v>-1.0036933737509874E-4</v>
      </c>
      <c r="O55" s="574">
        <f t="shared" si="6"/>
        <v>1984.8320988022326</v>
      </c>
      <c r="P55" s="577">
        <f t="shared" si="7"/>
        <v>1.5702925058203621</v>
      </c>
      <c r="Q55" s="586">
        <f t="shared" si="8"/>
        <v>1.0031992745865177</v>
      </c>
      <c r="R55" s="587">
        <f t="shared" si="9"/>
        <v>7.9884520938583392E-2</v>
      </c>
      <c r="S55" s="574">
        <f t="shared" si="10"/>
        <v>1.0000000146250052</v>
      </c>
      <c r="T55" s="577">
        <f t="shared" si="11"/>
        <v>1.7102634247299751E-4</v>
      </c>
      <c r="U55" s="578">
        <f t="shared" si="24"/>
        <v>0.99959933141729962</v>
      </c>
      <c r="V55" s="579">
        <f t="shared" si="25"/>
        <v>-1.4238108715315906E-3</v>
      </c>
      <c r="W55" s="580">
        <f t="shared" si="12"/>
        <v>43.709033277254676</v>
      </c>
      <c r="X55" s="581">
        <f t="shared" si="13"/>
        <v>-93.186639793374511</v>
      </c>
      <c r="Y55" s="584">
        <f t="shared" si="14"/>
        <v>86.813360206625489</v>
      </c>
      <c r="AA55" s="147">
        <f t="shared" si="15"/>
        <v>1000000000</v>
      </c>
      <c r="AB55" s="147">
        <f t="shared" si="16"/>
        <v>2290.8667689999997</v>
      </c>
      <c r="AD55" s="583">
        <f t="shared" si="17"/>
        <v>39.17871866894955</v>
      </c>
      <c r="AE55" s="584">
        <f t="shared" si="18"/>
        <v>-85.403886471521147</v>
      </c>
      <c r="AG55" s="583">
        <f t="shared" si="19"/>
        <v>33.164551612430998</v>
      </c>
      <c r="AH55" s="584">
        <f t="shared" si="20"/>
        <v>-7.6195966141397182</v>
      </c>
      <c r="AJ55" s="147">
        <f t="shared" si="21"/>
        <v>0</v>
      </c>
      <c r="AK55" s="147">
        <f t="shared" si="33"/>
        <v>0</v>
      </c>
      <c r="AM55" s="147" t="str">
        <f t="shared" si="26"/>
        <v>2.06861024598659E-06+0.00203401480171595i</v>
      </c>
      <c r="AN55" s="147" t="str">
        <f t="shared" si="27"/>
        <v>0.00203401620424506i</v>
      </c>
      <c r="AO55" s="147" t="str">
        <f t="shared" si="28"/>
        <v>0.999999310463158-0.00101700775129978i</v>
      </c>
      <c r="AP55" s="147" t="str">
        <f t="shared" si="29"/>
        <v>0.166666321898292-0.000339002466952658i</v>
      </c>
      <c r="AQ55" s="147" t="str">
        <f t="shared" si="30"/>
        <v>0.833333678101708+0.000339002466952658i</v>
      </c>
      <c r="AR55" s="147" t="str">
        <f t="shared" si="31"/>
        <v>0.99959942102139-0.000406639835392974i</v>
      </c>
    </row>
    <row r="56" spans="1:44">
      <c r="A56" s="147">
        <v>0.8</v>
      </c>
      <c r="C56" s="147" t="s">
        <v>807</v>
      </c>
      <c r="D56" s="147" t="str">
        <f>IMSUB(1, D55)</f>
        <v>0.833483807649185+0.00708063999679437i</v>
      </c>
      <c r="G56" s="585">
        <v>52.481000000000002</v>
      </c>
      <c r="H56" s="573">
        <f t="shared" si="23"/>
        <v>5.2481E-2</v>
      </c>
      <c r="I56" s="574">
        <f t="shared" si="0"/>
        <v>1.0109271238859319</v>
      </c>
      <c r="J56" s="575">
        <f t="shared" si="1"/>
        <v>0.14716345503739123</v>
      </c>
      <c r="K56" s="575">
        <f t="shared" si="2"/>
        <v>1.000000002631354</v>
      </c>
      <c r="L56" s="576">
        <f t="shared" si="3"/>
        <v>7.2544526373185777E-5</v>
      </c>
      <c r="M56" s="575">
        <f t="shared" si="4"/>
        <v>1.0000000060558691</v>
      </c>
      <c r="N56" s="576">
        <f t="shared" si="5"/>
        <v>-1.1005334373534142E-4</v>
      </c>
      <c r="O56" s="574">
        <f t="shared" si="6"/>
        <v>2176.336024757326</v>
      </c>
      <c r="P56" s="577">
        <f t="shared" si="7"/>
        <v>1.570336838910759</v>
      </c>
      <c r="Q56" s="586">
        <f t="shared" si="8"/>
        <v>1.0038451729519284</v>
      </c>
      <c r="R56" s="587">
        <f t="shared" si="9"/>
        <v>8.7554464376550331E-2</v>
      </c>
      <c r="S56" s="574">
        <f t="shared" si="10"/>
        <v>1.0000000175833004</v>
      </c>
      <c r="T56" s="577">
        <f t="shared" si="11"/>
        <v>1.8752759880541684E-4</v>
      </c>
      <c r="U56" s="578">
        <f t="shared" si="24"/>
        <v>0.9995991961788625</v>
      </c>
      <c r="V56" s="579">
        <f t="shared" si="25"/>
        <v>-1.5611853281682782E-3</v>
      </c>
      <c r="W56" s="580">
        <f t="shared" si="12"/>
        <v>42.898840165829881</v>
      </c>
      <c r="X56" s="581">
        <f t="shared" si="13"/>
        <v>-93.491359943456843</v>
      </c>
      <c r="Y56" s="584">
        <f t="shared" si="14"/>
        <v>86.508640056543157</v>
      </c>
      <c r="AA56" s="147">
        <f t="shared" si="15"/>
        <v>1000000000</v>
      </c>
      <c r="AB56" s="147">
        <f t="shared" si="16"/>
        <v>2754.255361</v>
      </c>
      <c r="AD56" s="583">
        <f t="shared" si="17"/>
        <v>38.384265630049327</v>
      </c>
      <c r="AE56" s="584">
        <f t="shared" si="18"/>
        <v>-84.967916634240453</v>
      </c>
      <c r="AG56" s="583">
        <f t="shared" si="19"/>
        <v>33.148813890180548</v>
      </c>
      <c r="AH56" s="584">
        <f t="shared" si="20"/>
        <v>-8.3445446483283927</v>
      </c>
      <c r="AJ56" s="147">
        <f t="shared" si="21"/>
        <v>0</v>
      </c>
      <c r="AK56" s="147">
        <f t="shared" si="33"/>
        <v>0</v>
      </c>
      <c r="AM56" s="147" t="str">
        <f t="shared" si="26"/>
        <v>2.48704138594569E-06+0.0022302637929103i</v>
      </c>
      <c r="AN56" s="147" t="str">
        <f t="shared" si="27"/>
        <v>0.00223026564183159i</v>
      </c>
      <c r="AO56" s="147" t="str">
        <f t="shared" si="28"/>
        <v>0.999999170986068-0.00111513235880871i</v>
      </c>
      <c r="AP56" s="147" t="str">
        <f t="shared" si="29"/>
        <v>0.166666252159769-0.000371710632151717i</v>
      </c>
      <c r="AQ56" s="147" t="str">
        <f t="shared" si="30"/>
        <v>0.833333747840231+0.000371710632151717i</v>
      </c>
      <c r="AR56" s="147" t="str">
        <f t="shared" si="31"/>
        <v>0.999599303907792-0.000445873805203456i</v>
      </c>
    </row>
    <row r="57" spans="1:44">
      <c r="A57" s="147">
        <v>0.9</v>
      </c>
      <c r="C57" s="147" t="s">
        <v>808</v>
      </c>
      <c r="D57" s="147" t="str">
        <f>IMDIV(0.833,D56)</f>
        <v>0.999347413730418-0.00848969014564338i</v>
      </c>
      <c r="G57" s="585">
        <v>57.544000000000004</v>
      </c>
      <c r="H57" s="573">
        <f t="shared" si="23"/>
        <v>5.7544000000000005E-2</v>
      </c>
      <c r="I57" s="574">
        <f t="shared" si="0"/>
        <v>1.0131228394045324</v>
      </c>
      <c r="J57" s="575">
        <f t="shared" si="1"/>
        <v>0.16112678763705357</v>
      </c>
      <c r="K57" s="575">
        <f t="shared" si="2"/>
        <v>1.0000000031635536</v>
      </c>
      <c r="L57" s="576">
        <f t="shared" si="3"/>
        <v>7.9543115110944723E-5</v>
      </c>
      <c r="M57" s="575">
        <f t="shared" si="4"/>
        <v>1.0000000072806874</v>
      </c>
      <c r="N57" s="576">
        <f t="shared" si="5"/>
        <v>-1.2067052088823345E-4</v>
      </c>
      <c r="O57" s="574">
        <f t="shared" si="6"/>
        <v>2386.2936678910828</v>
      </c>
      <c r="P57" s="577">
        <f t="shared" si="7"/>
        <v>1.5703772668766962</v>
      </c>
      <c r="Q57" s="586">
        <f t="shared" si="8"/>
        <v>1.0046210816194849</v>
      </c>
      <c r="R57" s="587">
        <f t="shared" si="9"/>
        <v>9.5951614698549625E-2</v>
      </c>
      <c r="S57" s="574">
        <f t="shared" si="10"/>
        <v>1.0000000211395765</v>
      </c>
      <c r="T57" s="577">
        <f t="shared" si="11"/>
        <v>2.0561895009765148E-4</v>
      </c>
      <c r="U57" s="578">
        <f t="shared" si="24"/>
        <v>0.99959903360379798</v>
      </c>
      <c r="V57" s="579">
        <f t="shared" si="25"/>
        <v>-1.711797436988593E-3</v>
      </c>
      <c r="W57" s="580">
        <f t="shared" si="12"/>
        <v>42.086745891217362</v>
      </c>
      <c r="X57" s="581">
        <f t="shared" si="13"/>
        <v>-93.822468374265966</v>
      </c>
      <c r="Y57" s="584">
        <f t="shared" si="14"/>
        <v>86.177531625734034</v>
      </c>
      <c r="AA57" s="147">
        <f t="shared" si="15"/>
        <v>1000000000</v>
      </c>
      <c r="AB57" s="147">
        <f t="shared" si="16"/>
        <v>3311.3119360000005</v>
      </c>
      <c r="AD57" s="583">
        <f t="shared" si="17"/>
        <v>37.591017890568281</v>
      </c>
      <c r="AE57" s="584">
        <f t="shared" si="18"/>
        <v>-84.490148270204273</v>
      </c>
      <c r="AG57" s="583">
        <f t="shared" si="19"/>
        <v>33.129970180399873</v>
      </c>
      <c r="AH57" s="584">
        <f t="shared" si="20"/>
        <v>-9.1361625667960507</v>
      </c>
      <c r="AJ57" s="147">
        <f t="shared" si="21"/>
        <v>0</v>
      </c>
      <c r="AK57" s="147">
        <f t="shared" si="33"/>
        <v>0</v>
      </c>
      <c r="AM57" s="147" t="str">
        <f t="shared" si="26"/>
        <v>2.99005286596987E-06+0.00244542364247362i</v>
      </c>
      <c r="AN57" s="147" t="str">
        <f t="shared" si="27"/>
        <v>0.00244542607979186i</v>
      </c>
      <c r="AO57" s="147" t="str">
        <f t="shared" si="28"/>
        <v>0.999999003315512-0.00122271243063882i</v>
      </c>
      <c r="AP57" s="147" t="str">
        <f t="shared" si="29"/>
        <v>0.166666168324522-0.000407570607078937i</v>
      </c>
      <c r="AQ57" s="147" t="str">
        <f t="shared" si="30"/>
        <v>0.833333831675478+0.000407570607078937i</v>
      </c>
      <c r="AR57" s="147" t="str">
        <f t="shared" si="31"/>
        <v>0.999599163121284-0.000488888392938299i</v>
      </c>
    </row>
    <row r="58" spans="1:44">
      <c r="A58" s="147">
        <v>1</v>
      </c>
      <c r="C58" s="147" t="s">
        <v>809</v>
      </c>
      <c r="D58" s="147">
        <f>IMABS(IMPRODUCT(D54, D57))</f>
        <v>0.99930827364045327</v>
      </c>
      <c r="G58" s="585">
        <v>63.095999999999997</v>
      </c>
      <c r="H58" s="573">
        <f t="shared" si="23"/>
        <v>6.3095999999999999E-2</v>
      </c>
      <c r="I58" s="574">
        <f t="shared" si="0"/>
        <v>1.015756637821682</v>
      </c>
      <c r="J58" s="575">
        <f t="shared" si="1"/>
        <v>0.17636603399608525</v>
      </c>
      <c r="K58" s="575">
        <f t="shared" si="2"/>
        <v>1.0000000038034591</v>
      </c>
      <c r="L58" s="576">
        <f t="shared" si="3"/>
        <v>8.7217648910383478E-5</v>
      </c>
      <c r="M58" s="575">
        <f t="shared" si="4"/>
        <v>1.0000000087533831</v>
      </c>
      <c r="N58" s="576">
        <f t="shared" si="5"/>
        <v>-1.3231313739901191E-4</v>
      </c>
      <c r="O58" s="574">
        <f t="shared" si="6"/>
        <v>2616.5296650388946</v>
      </c>
      <c r="P58" s="577">
        <f t="shared" si="7"/>
        <v>1.5704141411702863</v>
      </c>
      <c r="Q58" s="586">
        <f t="shared" si="8"/>
        <v>1.0055532254000077</v>
      </c>
      <c r="R58" s="587">
        <f t="shared" si="9"/>
        <v>0.10514416769201233</v>
      </c>
      <c r="S58" s="574">
        <f t="shared" si="10"/>
        <v>1.0000000254155696</v>
      </c>
      <c r="T58" s="577">
        <f t="shared" si="11"/>
        <v>2.2545761918493133E-4</v>
      </c>
      <c r="U58" s="578">
        <f t="shared" si="24"/>
        <v>0.99959883812701245</v>
      </c>
      <c r="V58" s="579">
        <f t="shared" si="25"/>
        <v>-1.8769560792396703E-3</v>
      </c>
      <c r="W58" s="580">
        <f t="shared" si="12"/>
        <v>41.2722129496699</v>
      </c>
      <c r="X58" s="581">
        <f t="shared" si="13"/>
        <v>-94.181858045481803</v>
      </c>
      <c r="Y58" s="584">
        <f t="shared" si="14"/>
        <v>85.818141954518197</v>
      </c>
      <c r="AA58" s="147">
        <f t="shared" si="15"/>
        <v>1000000000</v>
      </c>
      <c r="AB58" s="147">
        <f t="shared" si="16"/>
        <v>3981.1052159999995</v>
      </c>
      <c r="AD58" s="583">
        <f t="shared" si="17"/>
        <v>36.799037890159987</v>
      </c>
      <c r="AE58" s="584">
        <f t="shared" si="18"/>
        <v>-83.966703193535466</v>
      </c>
      <c r="AG58" s="583">
        <f t="shared" si="19"/>
        <v>33.107420636402736</v>
      </c>
      <c r="AH58" s="584">
        <f t="shared" si="20"/>
        <v>-10.000071528356852</v>
      </c>
      <c r="AJ58" s="147">
        <f t="shared" si="21"/>
        <v>0</v>
      </c>
      <c r="AK58" s="147">
        <f t="shared" si="33"/>
        <v>0</v>
      </c>
      <c r="AM58" s="147" t="str">
        <f t="shared" si="26"/>
        <v>3.59486333201264E-06+0.00268136415679773i</v>
      </c>
      <c r="AN58" s="147" t="str">
        <f t="shared" si="27"/>
        <v>0.00268136736984825i</v>
      </c>
      <c r="AO58" s="147" t="str">
        <f t="shared" si="28"/>
        <v>0.999998801711934-0.00134068288159115i</v>
      </c>
      <c r="AP58" s="147" t="str">
        <f t="shared" si="29"/>
        <v>0.166666067522778-0.000446894026132955i</v>
      </c>
      <c r="AQ58" s="147" t="str">
        <f t="shared" si="30"/>
        <v>0.833333932477222+0.000446894026132955i</v>
      </c>
      <c r="AR58" s="147" t="str">
        <f t="shared" si="31"/>
        <v>0.999598993842628-0.000536057397241523i</v>
      </c>
    </row>
    <row r="59" spans="1:44">
      <c r="A59" s="147">
        <v>1.2</v>
      </c>
      <c r="G59" s="585">
        <v>69.183000000000007</v>
      </c>
      <c r="H59" s="573">
        <f t="shared" si="23"/>
        <v>6.9183000000000008E-2</v>
      </c>
      <c r="I59" s="574">
        <f t="shared" si="0"/>
        <v>1.0189138089546061</v>
      </c>
      <c r="J59" s="575">
        <f t="shared" si="1"/>
        <v>0.19297892283860515</v>
      </c>
      <c r="K59" s="575">
        <f t="shared" si="2"/>
        <v>1.0000000045727122</v>
      </c>
      <c r="L59" s="576">
        <f t="shared" si="3"/>
        <v>9.5631713602647113E-5</v>
      </c>
      <c r="M59" s="575">
        <f t="shared" si="4"/>
        <v>1.0000000105237632</v>
      </c>
      <c r="N59" s="576">
        <f t="shared" si="5"/>
        <v>-1.4507765585571221E-4</v>
      </c>
      <c r="O59" s="574">
        <f t="shared" si="6"/>
        <v>2868.951591105038</v>
      </c>
      <c r="P59" s="577">
        <f t="shared" si="7"/>
        <v>1.5704477674036021</v>
      </c>
      <c r="Q59" s="586">
        <f t="shared" si="8"/>
        <v>1.0066726460506876</v>
      </c>
      <c r="R59" s="587">
        <f t="shared" si="9"/>
        <v>0.11520201902127694</v>
      </c>
      <c r="S59" s="574">
        <f t="shared" si="10"/>
        <v>1.0000000305558923</v>
      </c>
      <c r="T59" s="577">
        <f t="shared" si="11"/>
        <v>2.4720797538067666E-4</v>
      </c>
      <c r="U59" s="578">
        <f t="shared" si="24"/>
        <v>0.99959860313757665</v>
      </c>
      <c r="V59" s="579">
        <f t="shared" si="25"/>
        <v>-2.0580296266457594E-3</v>
      </c>
      <c r="W59" s="580">
        <f t="shared" si="12"/>
        <v>40.454968246329486</v>
      </c>
      <c r="X59" s="581">
        <f t="shared" si="13"/>
        <v>-94.57123088753653</v>
      </c>
      <c r="Y59" s="584">
        <f t="shared" si="14"/>
        <v>85.42876911246347</v>
      </c>
      <c r="AA59" s="147">
        <f t="shared" si="15"/>
        <v>1000000000</v>
      </c>
      <c r="AB59" s="147">
        <f t="shared" si="16"/>
        <v>4786.2874890000012</v>
      </c>
      <c r="AD59" s="583">
        <f t="shared" si="17"/>
        <v>36.008750787691788</v>
      </c>
      <c r="AE59" s="584">
        <f t="shared" si="18"/>
        <v>-83.393603605606543</v>
      </c>
      <c r="AG59" s="583">
        <f t="shared" si="19"/>
        <v>33.080467119353884</v>
      </c>
      <c r="AH59" s="584">
        <f t="shared" si="20"/>
        <v>-10.941794458221132</v>
      </c>
      <c r="AJ59" s="147">
        <f t="shared" si="21"/>
        <v>0</v>
      </c>
      <c r="AK59" s="147">
        <f t="shared" si="33"/>
        <v>0</v>
      </c>
      <c r="AM59" s="147" t="str">
        <f t="shared" si="26"/>
        <v>4.32192729704628E-06+0.00294004012142932i</v>
      </c>
      <c r="AN59" s="147" t="str">
        <f t="shared" si="27"/>
        <v>0.00294004435698319i</v>
      </c>
      <c r="AO59" s="147" t="str">
        <f t="shared" si="28"/>
        <v>0.999998559357154-0.00147002111950483i</v>
      </c>
      <c r="AP59" s="147" t="str">
        <f t="shared" si="29"/>
        <v>0.16666594634545-0.000490006686904887i</v>
      </c>
      <c r="AQ59" s="147" t="str">
        <f t="shared" si="30"/>
        <v>0.83333405365455+0.000490006686904887i</v>
      </c>
      <c r="AR59" s="147" t="str">
        <f t="shared" si="31"/>
        <v>0.999598790346921-0.000587771601729207i</v>
      </c>
    </row>
    <row r="60" spans="1:44">
      <c r="A60" s="147">
        <v>1.5</v>
      </c>
      <c r="C60" s="147" t="s">
        <v>743</v>
      </c>
      <c r="D60" s="147">
        <f>10^(-D51/20)/O3*'Design Converter'!E40/10*Acs</f>
        <v>9129.1695382001981</v>
      </c>
      <c r="G60" s="585">
        <v>75.858000000000004</v>
      </c>
      <c r="H60" s="573">
        <f t="shared" si="23"/>
        <v>7.5858000000000009E-2</v>
      </c>
      <c r="I60" s="574">
        <f t="shared" si="0"/>
        <v>1.0226970767039241</v>
      </c>
      <c r="J60" s="575">
        <f t="shared" si="1"/>
        <v>0.21107312771402004</v>
      </c>
      <c r="K60" s="575">
        <f t="shared" si="2"/>
        <v>1.0000000054976599</v>
      </c>
      <c r="L60" s="576">
        <f t="shared" si="3"/>
        <v>1.0485857112291015E-4</v>
      </c>
      <c r="M60" s="575">
        <f t="shared" si="4"/>
        <v>1.0000000126524626</v>
      </c>
      <c r="N60" s="576">
        <f t="shared" si="5"/>
        <v>-1.5907521793337426E-4</v>
      </c>
      <c r="O60" s="574">
        <f t="shared" si="6"/>
        <v>3145.7573041610831</v>
      </c>
      <c r="P60" s="577">
        <f t="shared" si="7"/>
        <v>1.570478438312044</v>
      </c>
      <c r="Q60" s="586">
        <f t="shared" si="8"/>
        <v>1.008016987971502</v>
      </c>
      <c r="R60" s="587">
        <f t="shared" si="9"/>
        <v>0.12620453054801739</v>
      </c>
      <c r="S60" s="574">
        <f t="shared" si="10"/>
        <v>1.0000000367366004</v>
      </c>
      <c r="T60" s="577">
        <f t="shared" si="11"/>
        <v>2.7105940070765047E-4</v>
      </c>
      <c r="U60" s="578">
        <f t="shared" si="24"/>
        <v>0.99959832058721165</v>
      </c>
      <c r="V60" s="579">
        <f t="shared" si="25"/>
        <v>-2.2565946776637409E-3</v>
      </c>
      <c r="W60" s="580">
        <f t="shared" si="12"/>
        <v>39.634326236195292</v>
      </c>
      <c r="X60" s="581">
        <f t="shared" si="13"/>
        <v>-94.992329166730485</v>
      </c>
      <c r="Y60" s="584">
        <f t="shared" si="14"/>
        <v>85.007670833269515</v>
      </c>
      <c r="AA60" s="147">
        <f t="shared" si="15"/>
        <v>1000000000</v>
      </c>
      <c r="AB60" s="147">
        <f t="shared" si="16"/>
        <v>5754.4361640000006</v>
      </c>
      <c r="AD60" s="583">
        <f t="shared" si="17"/>
        <v>35.220302535123807</v>
      </c>
      <c r="AE60" s="584">
        <f t="shared" si="18"/>
        <v>-82.766330029977667</v>
      </c>
      <c r="AG60" s="583">
        <f t="shared" si="19"/>
        <v>33.048278272161944</v>
      </c>
      <c r="AH60" s="584">
        <f t="shared" si="20"/>
        <v>-11.967412434253694</v>
      </c>
      <c r="AJ60" s="147">
        <f t="shared" si="21"/>
        <v>0</v>
      </c>
      <c r="AK60" s="147">
        <f t="shared" si="33"/>
        <v>0</v>
      </c>
      <c r="AM60" s="147" t="str">
        <f t="shared" si="26"/>
        <v>5.19614652705336E-06+0.00322370377896552i</v>
      </c>
      <c r="AN60" s="147" t="str">
        <f t="shared" si="27"/>
        <v>0.00322370936258952i</v>
      </c>
      <c r="AO60" s="147" t="str">
        <f t="shared" si="28"/>
        <v>0.999998267950559-0.00161185328533445i</v>
      </c>
      <c r="AP60" s="147" t="str">
        <f t="shared" si="29"/>
        <v>0.166665800642245-0.00053728396316092i</v>
      </c>
      <c r="AQ60" s="147" t="str">
        <f t="shared" si="30"/>
        <v>0.833334199357755+0.00053728396316092i</v>
      </c>
      <c r="AR60" s="147" t="str">
        <f t="shared" si="31"/>
        <v>0.999598545664568-0.000644481252057657i</v>
      </c>
    </row>
    <row r="61" spans="1:44">
      <c r="A61" s="147">
        <v>1.8</v>
      </c>
      <c r="C61" s="147" t="s">
        <v>744</v>
      </c>
      <c r="D61" s="147">
        <f>1/(6.28*D60*pole1*2)</f>
        <v>2.463361139036361E-8</v>
      </c>
      <c r="G61" s="585">
        <v>83.176000000000002</v>
      </c>
      <c r="H61" s="573">
        <f t="shared" si="23"/>
        <v>8.3176E-2</v>
      </c>
      <c r="I61" s="574">
        <f t="shared" si="0"/>
        <v>1.0272264979518051</v>
      </c>
      <c r="J61" s="575">
        <f t="shared" si="1"/>
        <v>0.2307500060310268</v>
      </c>
      <c r="K61" s="575">
        <f t="shared" si="2"/>
        <v>1.0000000066095389</v>
      </c>
      <c r="L61" s="576">
        <f t="shared" si="3"/>
        <v>1.1497424800619814E-4</v>
      </c>
      <c r="M61" s="575">
        <f t="shared" si="4"/>
        <v>1.0000000152113706</v>
      </c>
      <c r="N61" s="576">
        <f t="shared" si="5"/>
        <v>-1.7442115932735707E-4</v>
      </c>
      <c r="O61" s="574">
        <f t="shared" si="6"/>
        <v>3449.227600344474</v>
      </c>
      <c r="P61" s="577">
        <f t="shared" si="7"/>
        <v>1.5705064068099386</v>
      </c>
      <c r="Q61" s="586">
        <f t="shared" si="8"/>
        <v>1.0096306511976809</v>
      </c>
      <c r="R61" s="587">
        <f t="shared" si="9"/>
        <v>0.13823161654564445</v>
      </c>
      <c r="S61" s="574">
        <f t="shared" si="10"/>
        <v>1.0000000441664252</v>
      </c>
      <c r="T61" s="577">
        <f t="shared" si="11"/>
        <v>2.972084236545403E-4</v>
      </c>
      <c r="U61" s="578">
        <f t="shared" si="24"/>
        <v>0.99959798093392449</v>
      </c>
      <c r="V61" s="579">
        <f t="shared" si="25"/>
        <v>-2.4742873178238379E-3</v>
      </c>
      <c r="W61" s="580">
        <f t="shared" si="12"/>
        <v>38.80989999875397</v>
      </c>
      <c r="X61" s="581">
        <f t="shared" si="13"/>
        <v>-95.446503228437862</v>
      </c>
      <c r="Y61" s="584">
        <f t="shared" si="14"/>
        <v>84.553496771562138</v>
      </c>
      <c r="AA61" s="147">
        <f t="shared" si="15"/>
        <v>1000000000</v>
      </c>
      <c r="AB61" s="147">
        <f t="shared" si="16"/>
        <v>6918.2469760000004</v>
      </c>
      <c r="AD61" s="583">
        <f t="shared" si="17"/>
        <v>34.434263201431648</v>
      </c>
      <c r="AE61" s="584">
        <f t="shared" si="18"/>
        <v>-82.080329467230811</v>
      </c>
      <c r="AG61" s="583">
        <f t="shared" si="19"/>
        <v>33.009897271166729</v>
      </c>
      <c r="AH61" s="584">
        <f t="shared" si="20"/>
        <v>-13.082641319654963</v>
      </c>
      <c r="AJ61" s="147">
        <f t="shared" si="21"/>
        <v>0</v>
      </c>
      <c r="AK61" s="147">
        <f t="shared" si="33"/>
        <v>0</v>
      </c>
      <c r="AM61" s="147" t="str">
        <f t="shared" si="26"/>
        <v>6.24704448504154E-06+0.00353469234084169i</v>
      </c>
      <c r="AN61" s="147" t="str">
        <f t="shared" si="27"/>
        <v>0.00353469970132018i</v>
      </c>
      <c r="AO61" s="147" t="str">
        <f t="shared" si="28"/>
        <v>0.999997917650971-0.00176734801055612i</v>
      </c>
      <c r="AP61" s="147" t="str">
        <f t="shared" si="29"/>
        <v>0.166665625492586-0.000589115390140282i</v>
      </c>
      <c r="AQ61" s="147" t="str">
        <f t="shared" si="30"/>
        <v>0.833334374507414+0.000589115390140282i</v>
      </c>
      <c r="AR61" s="147" t="str">
        <f t="shared" si="31"/>
        <v>0.999598251532456-0.000706653573822842i</v>
      </c>
    </row>
    <row r="62" spans="1:44">
      <c r="A62" s="147">
        <v>2</v>
      </c>
      <c r="C62" s="147" t="s">
        <v>812</v>
      </c>
      <c r="D62" s="147">
        <f>D61/150</f>
        <v>1.6422407593575741E-10</v>
      </c>
      <c r="G62" s="585">
        <v>91.201000000000008</v>
      </c>
      <c r="H62" s="573">
        <f t="shared" si="23"/>
        <v>9.1201000000000004E-2</v>
      </c>
      <c r="I62" s="574">
        <f t="shared" si="0"/>
        <v>1.0326464046923116</v>
      </c>
      <c r="J62" s="575">
        <f t="shared" si="1"/>
        <v>0.25212023839265629</v>
      </c>
      <c r="K62" s="575">
        <f t="shared" si="2"/>
        <v>1.000000007946471</v>
      </c>
      <c r="L62" s="576">
        <f t="shared" si="3"/>
        <v>1.2606721149210638E-4</v>
      </c>
      <c r="M62" s="575">
        <f t="shared" si="4"/>
        <v>1.000000018288222</v>
      </c>
      <c r="N62" s="576">
        <f t="shared" si="5"/>
        <v>-1.9124968884274936E-4</v>
      </c>
      <c r="O62" s="574">
        <f t="shared" si="6"/>
        <v>3782.0164970035889</v>
      </c>
      <c r="P62" s="577">
        <f t="shared" si="7"/>
        <v>1.5705319175802768</v>
      </c>
      <c r="Q62" s="586">
        <f t="shared" si="8"/>
        <v>1.0115675243677669</v>
      </c>
      <c r="R62" s="587">
        <f t="shared" si="9"/>
        <v>0.15137442135596066</v>
      </c>
      <c r="S62" s="574">
        <f t="shared" si="10"/>
        <v>1.0000000531001056</v>
      </c>
      <c r="T62" s="577">
        <f t="shared" si="11"/>
        <v>3.2588373189720507E-4</v>
      </c>
      <c r="U62" s="578">
        <f t="shared" si="24"/>
        <v>0.99959757253253068</v>
      </c>
      <c r="V62" s="579">
        <f t="shared" si="25"/>
        <v>-2.713011350053909E-3</v>
      </c>
      <c r="W62" s="580">
        <f t="shared" si="12"/>
        <v>37.980803642782597</v>
      </c>
      <c r="X62" s="581">
        <f t="shared" si="13"/>
        <v>-95.935011240788739</v>
      </c>
      <c r="Y62" s="584">
        <f t="shared" si="14"/>
        <v>84.064988759211261</v>
      </c>
      <c r="AA62" s="147">
        <f t="shared" si="15"/>
        <v>1000000000</v>
      </c>
      <c r="AB62" s="147">
        <f t="shared" si="16"/>
        <v>8317.6224010000005</v>
      </c>
      <c r="AD62" s="583">
        <f t="shared" si="17"/>
        <v>33.650878826898378</v>
      </c>
      <c r="AE62" s="584">
        <f t="shared" si="18"/>
        <v>-81.33040685338959</v>
      </c>
      <c r="AG62" s="583">
        <f t="shared" si="19"/>
        <v>32.964192387242292</v>
      </c>
      <c r="AH62" s="584">
        <f t="shared" si="20"/>
        <v>-14.293716186785559</v>
      </c>
      <c r="AJ62" s="147">
        <f t="shared" si="21"/>
        <v>0</v>
      </c>
      <c r="AK62" s="147">
        <f t="shared" si="33"/>
        <v>0</v>
      </c>
      <c r="AM62" s="147" t="str">
        <f t="shared" si="26"/>
        <v>7.51065210402579E-06+0.00387572545439424i</v>
      </c>
      <c r="AN62" s="147" t="str">
        <f t="shared" si="27"/>
        <v>0.00387573515749857i</v>
      </c>
      <c r="AO62" s="147" t="str">
        <f t="shared" si="28"/>
        <v>0.999997496448045-0.00193786515301351i</v>
      </c>
      <c r="AP62" s="147" t="str">
        <f t="shared" si="29"/>
        <v>0.166665414891316-0.00064595424239904i</v>
      </c>
      <c r="AQ62" s="147" t="str">
        <f t="shared" si="30"/>
        <v>0.833334585108684+0.00064595424239904i</v>
      </c>
      <c r="AR62" s="147" t="str">
        <f t="shared" si="31"/>
        <v>0.999597897866182-0.000774832239484709i</v>
      </c>
    </row>
    <row r="63" spans="1:44">
      <c r="A63" s="147">
        <v>2.5</v>
      </c>
      <c r="G63" s="585">
        <v>100</v>
      </c>
      <c r="H63" s="573">
        <f t="shared" si="23"/>
        <v>0.1</v>
      </c>
      <c r="I63" s="574">
        <f t="shared" si="0"/>
        <v>1.0391249819455006</v>
      </c>
      <c r="J63" s="575">
        <f t="shared" si="1"/>
        <v>0.27528360757183051</v>
      </c>
      <c r="K63" s="575">
        <f t="shared" si="2"/>
        <v>1.0000000095537769</v>
      </c>
      <c r="L63" s="576">
        <f t="shared" si="3"/>
        <v>1.382300757195871E-4</v>
      </c>
      <c r="M63" s="575">
        <f t="shared" si="4"/>
        <v>1.0000000219873193</v>
      </c>
      <c r="N63" s="576">
        <f t="shared" si="5"/>
        <v>-2.097013063136536E-4</v>
      </c>
      <c r="O63" s="574">
        <f t="shared" si="6"/>
        <v>4146.9024185719245</v>
      </c>
      <c r="P63" s="577">
        <f t="shared" si="7"/>
        <v>1.5705551829461257</v>
      </c>
      <c r="Q63" s="586">
        <f t="shared" si="8"/>
        <v>1.013891202212498</v>
      </c>
      <c r="R63" s="587">
        <f t="shared" si="9"/>
        <v>0.16572435553571999</v>
      </c>
      <c r="S63" s="574">
        <f t="shared" si="10"/>
        <v>1.0000000638404858</v>
      </c>
      <c r="T63" s="577">
        <f t="shared" si="11"/>
        <v>3.573247328031437E-4</v>
      </c>
      <c r="U63" s="578">
        <f t="shared" si="24"/>
        <v>0.99959708153886095</v>
      </c>
      <c r="V63" s="579">
        <f t="shared" si="25"/>
        <v>-2.9747598059287378E-3</v>
      </c>
      <c r="W63" s="580">
        <f t="shared" si="12"/>
        <v>37.146397941352298</v>
      </c>
      <c r="X63" s="581">
        <f t="shared" si="13"/>
        <v>-96.458475714628747</v>
      </c>
      <c r="Y63" s="584">
        <f t="shared" si="14"/>
        <v>83.541524285371253</v>
      </c>
      <c r="AA63" s="147">
        <f t="shared" si="15"/>
        <v>1000000000</v>
      </c>
      <c r="AB63" s="147">
        <f t="shared" si="16"/>
        <v>10000</v>
      </c>
      <c r="AD63" s="583">
        <f t="shared" si="17"/>
        <v>32.870800318720718</v>
      </c>
      <c r="AE63" s="584">
        <f t="shared" si="18"/>
        <v>-80.511350631590503</v>
      </c>
      <c r="AG63" s="583">
        <f t="shared" si="19"/>
        <v>32.909873726859253</v>
      </c>
      <c r="AH63" s="584">
        <f t="shared" si="20"/>
        <v>-15.606242718758985</v>
      </c>
      <c r="AJ63" s="147">
        <f t="shared" si="21"/>
        <v>0</v>
      </c>
      <c r="AK63" s="147">
        <f t="shared" si="33"/>
        <v>0</v>
      </c>
      <c r="AM63" s="147" t="str">
        <f t="shared" si="26"/>
        <v>9.02980424000166E-06+0.00424965021412225i</v>
      </c>
      <c r="AN63" s="147" t="str">
        <f t="shared" si="27"/>
        <v>0.00424966300533829i</v>
      </c>
      <c r="AO63" s="147" t="str">
        <f t="shared" si="28"/>
        <v>0.999996990063442-0.00212482830489352i</v>
      </c>
      <c r="AP63" s="147" t="str">
        <f t="shared" si="29"/>
        <v>0.166665161699293-0.000708275035687042i</v>
      </c>
      <c r="AQ63" s="147" t="str">
        <f t="shared" si="30"/>
        <v>0.833334838300707+0.000708275035687042i</v>
      </c>
      <c r="AR63" s="147" t="str">
        <f t="shared" si="31"/>
        <v>0.999597472677105-0.000849586388439909i</v>
      </c>
    </row>
    <row r="64" spans="1:44">
      <c r="A64" s="147">
        <v>3</v>
      </c>
      <c r="C64" s="147" t="s">
        <v>743</v>
      </c>
      <c r="D64" s="149">
        <f>D60/1000</f>
        <v>9.1291695382001983</v>
      </c>
      <c r="G64" s="585">
        <v>109.65</v>
      </c>
      <c r="H64" s="573">
        <f t="shared" si="23"/>
        <v>0.10965000000000001</v>
      </c>
      <c r="I64" s="574">
        <f t="shared" si="0"/>
        <v>1.0468626207446903</v>
      </c>
      <c r="J64" s="575">
        <f t="shared" si="1"/>
        <v>0.30034263928896576</v>
      </c>
      <c r="K64" s="575">
        <f t="shared" si="2"/>
        <v>1.0000000114866232</v>
      </c>
      <c r="L64" s="576">
        <f t="shared" si="3"/>
        <v>1.5156927783122057E-4</v>
      </c>
      <c r="M64" s="575">
        <f t="shared" si="4"/>
        <v>1.0000000264356232</v>
      </c>
      <c r="N64" s="576">
        <f t="shared" si="5"/>
        <v>-2.299374816910333E-4</v>
      </c>
      <c r="O64" s="574">
        <f t="shared" si="6"/>
        <v>4547.0784797177166</v>
      </c>
      <c r="P64" s="577">
        <f t="shared" si="7"/>
        <v>1.5705764053634717</v>
      </c>
      <c r="Q64" s="586">
        <f t="shared" si="8"/>
        <v>1.0166784791455907</v>
      </c>
      <c r="R64" s="587">
        <f t="shared" si="9"/>
        <v>0.18138313816107798</v>
      </c>
      <c r="S64" s="574">
        <f t="shared" si="10"/>
        <v>1.0000000767561976</v>
      </c>
      <c r="T64" s="577">
        <f t="shared" si="11"/>
        <v>3.9180656614500677E-4</v>
      </c>
      <c r="U64" s="578">
        <f t="shared" si="24"/>
        <v>0.99959649110136406</v>
      </c>
      <c r="V64" s="579">
        <f t="shared" si="25"/>
        <v>-3.2618231737344314E-3</v>
      </c>
      <c r="W64" s="580">
        <f t="shared" si="12"/>
        <v>36.305627452189398</v>
      </c>
      <c r="X64" s="581">
        <f t="shared" si="13"/>
        <v>-97.017104619950572</v>
      </c>
      <c r="Y64" s="584">
        <f t="shared" si="14"/>
        <v>82.982895380049428</v>
      </c>
      <c r="AA64" s="147">
        <f t="shared" si="15"/>
        <v>1000000000</v>
      </c>
      <c r="AB64" s="147">
        <f t="shared" si="16"/>
        <v>12023.122500000001</v>
      </c>
      <c r="AD64" s="583">
        <f t="shared" si="17"/>
        <v>32.094473048822735</v>
      </c>
      <c r="AE64" s="584">
        <f t="shared" si="18"/>
        <v>-79.617360092288521</v>
      </c>
      <c r="AG64" s="583">
        <f t="shared" si="19"/>
        <v>32.845440768681627</v>
      </c>
      <c r="AH64" s="584">
        <f t="shared" si="20"/>
        <v>-17.025967124489039</v>
      </c>
      <c r="AJ64" s="147">
        <f t="shared" si="21"/>
        <v>0</v>
      </c>
      <c r="AK64" s="147">
        <f t="shared" si="33"/>
        <v>0</v>
      </c>
      <c r="AM64" s="147" t="str">
        <f t="shared" si="26"/>
        <v>0.0000108566409470212+0.00465973862224382i</v>
      </c>
      <c r="AN64" s="147" t="str">
        <f t="shared" si="27"/>
        <v>0.00465975548535343i</v>
      </c>
      <c r="AO64" s="147" t="str">
        <f t="shared" si="28"/>
        <v>0.999996381117064-0.00232987352687193i</v>
      </c>
      <c r="AP64" s="147" t="str">
        <f t="shared" si="29"/>
        <v>0.166664857226509-0.000776623103707303i</v>
      </c>
      <c r="AQ64" s="147" t="str">
        <f t="shared" si="30"/>
        <v>0.833335142773491+0.000776623103707303i</v>
      </c>
      <c r="AR64" s="147" t="str">
        <f t="shared" si="31"/>
        <v>0.999596961372314-0.000931570090772428i</v>
      </c>
    </row>
    <row r="65" spans="1:44">
      <c r="A65" s="147">
        <v>4</v>
      </c>
      <c r="C65" s="147" t="s">
        <v>744</v>
      </c>
      <c r="D65" s="149">
        <f>D61*1000000000</f>
        <v>24.633611390363608</v>
      </c>
      <c r="G65" s="585">
        <v>120.23</v>
      </c>
      <c r="H65" s="573">
        <f t="shared" si="23"/>
        <v>0.12023</v>
      </c>
      <c r="I65" s="574">
        <f t="shared" si="0"/>
        <v>1.0560895133121257</v>
      </c>
      <c r="J65" s="575">
        <f t="shared" si="1"/>
        <v>0.32737581952154871</v>
      </c>
      <c r="K65" s="575">
        <f t="shared" si="2"/>
        <v>1.0000000138102263</v>
      </c>
      <c r="L65" s="576">
        <f t="shared" si="3"/>
        <v>1.66194019566062E-4</v>
      </c>
      <c r="M65" s="575">
        <f t="shared" si="4"/>
        <v>1.0000000317832261</v>
      </c>
      <c r="N65" s="576">
        <f t="shared" si="5"/>
        <v>-2.5212387893438441E-4</v>
      </c>
      <c r="O65" s="574">
        <f t="shared" si="6"/>
        <v>4985.8207331697931</v>
      </c>
      <c r="P65" s="577">
        <f t="shared" si="7"/>
        <v>1.5705957580098917</v>
      </c>
      <c r="Q65" s="586">
        <f t="shared" si="8"/>
        <v>1.0200191688013067</v>
      </c>
      <c r="R65" s="587">
        <f t="shared" si="9"/>
        <v>0.19844799704967744</v>
      </c>
      <c r="S65" s="574">
        <f t="shared" si="10"/>
        <v>1.0000000922830352</v>
      </c>
      <c r="T65" s="577">
        <f t="shared" si="11"/>
        <v>4.296115181030554E-4</v>
      </c>
      <c r="U65" s="578">
        <f t="shared" si="24"/>
        <v>0.99959578129840909</v>
      </c>
      <c r="V65" s="579">
        <f t="shared" si="25"/>
        <v>-3.5765514125711039E-3</v>
      </c>
      <c r="W65" s="580">
        <f t="shared" si="12"/>
        <v>35.457810344066523</v>
      </c>
      <c r="X65" s="581">
        <f t="shared" si="13"/>
        <v>-97.609988102348325</v>
      </c>
      <c r="Y65" s="584">
        <f t="shared" si="14"/>
        <v>82.390011897651675</v>
      </c>
      <c r="AA65" s="147">
        <f t="shared" si="15"/>
        <v>1000000000</v>
      </c>
      <c r="AB65" s="147">
        <f t="shared" si="16"/>
        <v>14455.252900000001</v>
      </c>
      <c r="AD65" s="583">
        <f t="shared" si="17"/>
        <v>31.322882782694176</v>
      </c>
      <c r="AE65" s="584">
        <f t="shared" si="18"/>
        <v>-78.642890588026134</v>
      </c>
      <c r="AG65" s="583">
        <f t="shared" si="19"/>
        <v>32.76922626220945</v>
      </c>
      <c r="AH65" s="584">
        <f t="shared" si="20"/>
        <v>-18.557254911550121</v>
      </c>
      <c r="AJ65" s="147">
        <f t="shared" si="21"/>
        <v>0</v>
      </c>
      <c r="AK65" s="147">
        <f t="shared" si="33"/>
        <v>0</v>
      </c>
      <c r="AM65" s="147" t="str">
        <f t="shared" si="26"/>
        <v>0.0000130528016409892+0.00510934760076857i</v>
      </c>
      <c r="AN65" s="147" t="str">
        <f t="shared" si="27"/>
        <v>0.00510936983131822i</v>
      </c>
      <c r="AO65" s="147" t="str">
        <f t="shared" si="28"/>
        <v>0.999995649062334-0.00255467935810424i</v>
      </c>
      <c r="AP65" s="147" t="str">
        <f t="shared" si="29"/>
        <v>0.166664491199727-0.000851557933461428i</v>
      </c>
      <c r="AQ65" s="147" t="str">
        <f t="shared" si="30"/>
        <v>0.833335508800273+0.000851557933461428i</v>
      </c>
      <c r="AR65" s="147" t="str">
        <f t="shared" si="31"/>
        <v>0.999596346700344-0.00102145437258182i</v>
      </c>
    </row>
    <row r="66" spans="1:44">
      <c r="A66" s="147">
        <v>5</v>
      </c>
      <c r="C66" s="147" t="s">
        <v>812</v>
      </c>
      <c r="D66" s="149">
        <f>D62*1000000000000</f>
        <v>164.22407593575741</v>
      </c>
      <c r="G66" s="585">
        <v>131.83000000000001</v>
      </c>
      <c r="H66" s="573">
        <f t="shared" si="23"/>
        <v>0.13183</v>
      </c>
      <c r="I66" s="574">
        <f t="shared" si="0"/>
        <v>1.0670764336755156</v>
      </c>
      <c r="J66" s="575">
        <f t="shared" si="1"/>
        <v>0.35645431507157244</v>
      </c>
      <c r="K66" s="575">
        <f t="shared" si="2"/>
        <v>1.0000000166036511</v>
      </c>
      <c r="L66" s="576">
        <f t="shared" si="3"/>
        <v>1.8222870796467204E-4</v>
      </c>
      <c r="M66" s="575">
        <f t="shared" si="4"/>
        <v>1.0000000382120893</v>
      </c>
      <c r="N66" s="576">
        <f t="shared" si="5"/>
        <v>-2.7644922912307279E-4</v>
      </c>
      <c r="O66" s="574">
        <f t="shared" si="6"/>
        <v>5466.8613909135584</v>
      </c>
      <c r="P66" s="577">
        <f t="shared" si="7"/>
        <v>1.5706134064802826</v>
      </c>
      <c r="Q66" s="586">
        <f t="shared" si="8"/>
        <v>1.0240209040561679</v>
      </c>
      <c r="R66" s="587">
        <f t="shared" si="9"/>
        <v>0.21702406238485503</v>
      </c>
      <c r="S66" s="574">
        <f t="shared" si="10"/>
        <v>1.0000001109493282</v>
      </c>
      <c r="T66" s="577">
        <f t="shared" si="11"/>
        <v>4.7106118046028712E-4</v>
      </c>
      <c r="U66" s="578">
        <f t="shared" si="24"/>
        <v>0.99959492797844862</v>
      </c>
      <c r="V66" s="579">
        <f t="shared" si="25"/>
        <v>-3.921621671315826E-3</v>
      </c>
      <c r="W66" s="580">
        <f t="shared" si="12"/>
        <v>34.60188858727674</v>
      </c>
      <c r="X66" s="581">
        <f t="shared" si="13"/>
        <v>-98.235365191979355</v>
      </c>
      <c r="Y66" s="584">
        <f t="shared" si="14"/>
        <v>81.764634808020645</v>
      </c>
      <c r="AA66" s="147">
        <f t="shared" si="15"/>
        <v>1000000000</v>
      </c>
      <c r="AB66" s="147">
        <f t="shared" si="16"/>
        <v>17379.148900000004</v>
      </c>
      <c r="AD66" s="583">
        <f t="shared" si="17"/>
        <v>30.556864329179142</v>
      </c>
      <c r="AE66" s="584">
        <f t="shared" si="18"/>
        <v>-77.581946516732458</v>
      </c>
      <c r="AG66" s="583">
        <f t="shared" si="19"/>
        <v>32.679337788621467</v>
      </c>
      <c r="AH66" s="584">
        <f t="shared" si="20"/>
        <v>-20.20403393350653</v>
      </c>
      <c r="AJ66" s="147">
        <f t="shared" si="21"/>
        <v>0</v>
      </c>
      <c r="AK66" s="147">
        <f t="shared" si="33"/>
        <v>0</v>
      </c>
      <c r="AM66" s="147" t="str">
        <f t="shared" si="26"/>
        <v>0.000015693013814988+0.00560230143408891i</v>
      </c>
      <c r="AN66" s="147" t="str">
        <f t="shared" si="27"/>
        <v>0.00560233073993747i</v>
      </c>
      <c r="AO66" s="147" t="str">
        <f t="shared" si="28"/>
        <v>0.999994768989922-0.00280115804358297i</v>
      </c>
      <c r="AP66" s="147" t="str">
        <f t="shared" si="29"/>
        <v>0.166664051164364-0.000933716905681485i</v>
      </c>
      <c r="AQ66" s="147" t="str">
        <f t="shared" si="30"/>
        <v>0.833335948835636+0.000933716905681485i</v>
      </c>
      <c r="AR66" s="147" t="str">
        <f t="shared" si="31"/>
        <v>0.999595607746834-0.00112000366611121i</v>
      </c>
    </row>
    <row r="67" spans="1:44">
      <c r="A67" s="147">
        <v>6</v>
      </c>
      <c r="G67" s="585">
        <v>144.54</v>
      </c>
      <c r="H67" s="573">
        <f t="shared" si="23"/>
        <v>0.14454</v>
      </c>
      <c r="I67" s="574">
        <f t="shared" si="0"/>
        <v>1.0801279526446694</v>
      </c>
      <c r="J67" s="575">
        <f t="shared" si="1"/>
        <v>0.38760689812499088</v>
      </c>
      <c r="K67" s="575">
        <f t="shared" si="2"/>
        <v>1.0000000199595709</v>
      </c>
      <c r="L67" s="576">
        <f t="shared" si="3"/>
        <v>1.9979775005905508E-4</v>
      </c>
      <c r="M67" s="575">
        <f t="shared" si="4"/>
        <v>1.0000000459354927</v>
      </c>
      <c r="N67" s="576">
        <f t="shared" si="5"/>
        <v>-3.0310226330659129E-4</v>
      </c>
      <c r="O67" s="574">
        <f t="shared" si="6"/>
        <v>5993.9326649468876</v>
      </c>
      <c r="P67" s="577">
        <f t="shared" si="7"/>
        <v>1.5706294914197703</v>
      </c>
      <c r="Q67" s="586">
        <f t="shared" si="8"/>
        <v>1.0288078614537561</v>
      </c>
      <c r="R67" s="587">
        <f t="shared" si="9"/>
        <v>0.23720400141549763</v>
      </c>
      <c r="S67" s="574">
        <f t="shared" si="10"/>
        <v>1.0000001333743354</v>
      </c>
      <c r="T67" s="577">
        <f t="shared" si="11"/>
        <v>5.1647714485190228E-4</v>
      </c>
      <c r="U67" s="578">
        <f t="shared" si="24"/>
        <v>0.99959390283350913</v>
      </c>
      <c r="V67" s="579">
        <f t="shared" si="25"/>
        <v>-4.2997110573388181E-3</v>
      </c>
      <c r="W67" s="580">
        <f t="shared" si="12"/>
        <v>33.737319143096499</v>
      </c>
      <c r="X67" s="581">
        <f t="shared" si="13"/>
        <v>-98.889758528065784</v>
      </c>
      <c r="Y67" s="584">
        <f t="shared" si="14"/>
        <v>81.110241471934216</v>
      </c>
      <c r="AA67" s="147">
        <f t="shared" si="15"/>
        <v>1000000000</v>
      </c>
      <c r="AB67" s="147">
        <f t="shared" si="16"/>
        <v>20891.811599999997</v>
      </c>
      <c r="AD67" s="583">
        <f t="shared" si="17"/>
        <v>29.797897230545093</v>
      </c>
      <c r="AE67" s="584">
        <f t="shared" si="18"/>
        <v>-76.429244920356666</v>
      </c>
      <c r="AG67" s="583">
        <f t="shared" si="19"/>
        <v>32.573753258892715</v>
      </c>
      <c r="AH67" s="584">
        <f t="shared" si="20"/>
        <v>-21.9678030137236</v>
      </c>
      <c r="AJ67" s="147">
        <f t="shared" si="21"/>
        <v>0</v>
      </c>
      <c r="AK67" s="147">
        <f t="shared" si="33"/>
        <v>0</v>
      </c>
      <c r="AM67" s="147" t="str">
        <f t="shared" si="26"/>
        <v>0.0000188648659730228+0.00614242428228755i</v>
      </c>
      <c r="AN67" s="147" t="str">
        <f t="shared" si="27"/>
        <v>0.00614246290791596i</v>
      </c>
      <c r="AO67" s="147" t="str">
        <f t="shared" si="28"/>
        <v>0.999993711703434-0.00307122179748308i</v>
      </c>
      <c r="AP67" s="147" t="str">
        <f t="shared" si="29"/>
        <v>0.166663522522338-0.00102373738038126i</v>
      </c>
      <c r="AQ67" s="147" t="str">
        <f t="shared" si="30"/>
        <v>0.833336477477662+0.00102373738038126i</v>
      </c>
      <c r="AR67" s="147" t="str">
        <f t="shared" si="31"/>
        <v>0.999594719998204-0.00122798234296822i</v>
      </c>
    </row>
    <row r="68" spans="1:44">
      <c r="A68" s="147">
        <v>7</v>
      </c>
      <c r="G68" s="585">
        <v>158.49</v>
      </c>
      <c r="H68" s="573">
        <f t="shared" si="23"/>
        <v>0.15849000000000002</v>
      </c>
      <c r="I68" s="574">
        <f t="shared" si="0"/>
        <v>1.0956285182333259</v>
      </c>
      <c r="J68" s="575">
        <f t="shared" si="1"/>
        <v>0.42090848637358136</v>
      </c>
      <c r="K68" s="575">
        <f t="shared" si="2"/>
        <v>1.0000000239982088</v>
      </c>
      <c r="L68" s="576">
        <f t="shared" si="3"/>
        <v>2.1908084489830808E-4</v>
      </c>
      <c r="M68" s="575">
        <f t="shared" si="4"/>
        <v>1.0000000552301227</v>
      </c>
      <c r="N68" s="576">
        <f t="shared" si="5"/>
        <v>-3.3235559301088866E-4</v>
      </c>
      <c r="O68" s="574">
        <f t="shared" si="6"/>
        <v>6572.4255281756159</v>
      </c>
      <c r="P68" s="577">
        <f t="shared" si="7"/>
        <v>1.5706441759641916</v>
      </c>
      <c r="Q68" s="586">
        <f t="shared" si="8"/>
        <v>1.0345392963994011</v>
      </c>
      <c r="R68" s="587">
        <f t="shared" si="9"/>
        <v>0.25912779235270406</v>
      </c>
      <c r="S68" s="574">
        <f t="shared" si="10"/>
        <v>1.0000001603614197</v>
      </c>
      <c r="T68" s="577">
        <f t="shared" si="11"/>
        <v>5.663239325782943E-4</v>
      </c>
      <c r="U68" s="578">
        <f t="shared" si="24"/>
        <v>0.99959266914004741</v>
      </c>
      <c r="V68" s="579">
        <f t="shared" si="25"/>
        <v>-4.7146865179174425E-3</v>
      </c>
      <c r="W68" s="580">
        <f t="shared" si="12"/>
        <v>32.861523921861405</v>
      </c>
      <c r="X68" s="581">
        <f t="shared" si="13"/>
        <v>-99.569703262789943</v>
      </c>
      <c r="Y68" s="584">
        <f t="shared" si="14"/>
        <v>80.430296737210057</v>
      </c>
      <c r="AA68" s="147">
        <f t="shared" si="15"/>
        <v>1000000000</v>
      </c>
      <c r="AB68" s="147">
        <f t="shared" si="16"/>
        <v>25119.080100000003</v>
      </c>
      <c r="AD68" s="583">
        <f t="shared" si="17"/>
        <v>29.045875067424451</v>
      </c>
      <c r="AE68" s="584">
        <f t="shared" si="18"/>
        <v>-75.176801600274899</v>
      </c>
      <c r="AG68" s="583">
        <f t="shared" si="19"/>
        <v>32.450001640948798</v>
      </c>
      <c r="AH68" s="584">
        <f t="shared" si="20"/>
        <v>-23.8526383834899</v>
      </c>
      <c r="AJ68" s="147">
        <f t="shared" si="21"/>
        <v>0</v>
      </c>
      <c r="AK68" s="147">
        <f t="shared" si="33"/>
        <v>0</v>
      </c>
      <c r="AM68" s="147" t="str">
        <f t="shared" si="26"/>
        <v>0.0000226819859889815+0.00673523997382573i</v>
      </c>
      <c r="AN68" s="147" t="str">
        <f t="shared" si="27"/>
        <v>0.00673529089716065i</v>
      </c>
      <c r="AO68" s="147" t="str">
        <f t="shared" si="28"/>
        <v>0.999992439326571-0.00336763271777072i</v>
      </c>
      <c r="AP68" s="147" t="str">
        <f t="shared" si="29"/>
        <v>0.166662886335669-0.00112253999563762i</v>
      </c>
      <c r="AQ68" s="147" t="str">
        <f t="shared" si="30"/>
        <v>0.833337113664331+0.00112253999563762i</v>
      </c>
      <c r="AR68" s="147" t="str">
        <f t="shared" si="31"/>
        <v>0.999593651653423-0.00134649451580576i</v>
      </c>
    </row>
    <row r="69" spans="1:44">
      <c r="A69" s="147">
        <v>8</v>
      </c>
      <c r="G69" s="585">
        <v>173.78</v>
      </c>
      <c r="H69" s="573">
        <f t="shared" si="23"/>
        <v>0.17377999999999999</v>
      </c>
      <c r="I69" s="574">
        <f t="shared" si="0"/>
        <v>1.113972045111423</v>
      </c>
      <c r="J69" s="575">
        <f t="shared" si="1"/>
        <v>0.45630084729075598</v>
      </c>
      <c r="K69" s="575">
        <f t="shared" si="2"/>
        <v>1.0000000288519175</v>
      </c>
      <c r="L69" s="576">
        <f t="shared" si="3"/>
        <v>2.4021622249501424E-4</v>
      </c>
      <c r="M69" s="575">
        <f t="shared" si="4"/>
        <v>1.0000000664005781</v>
      </c>
      <c r="N69" s="576">
        <f t="shared" si="5"/>
        <v>-3.6441891932184628E-4</v>
      </c>
      <c r="O69" s="574">
        <f t="shared" si="6"/>
        <v>7206.486882846335</v>
      </c>
      <c r="P69" s="577">
        <f t="shared" si="7"/>
        <v>1.5706575629256958</v>
      </c>
      <c r="Q69" s="586">
        <f t="shared" si="8"/>
        <v>1.0413857046984394</v>
      </c>
      <c r="R69" s="587">
        <f t="shared" si="9"/>
        <v>0.28286762182105418</v>
      </c>
      <c r="S69" s="574">
        <f t="shared" si="10"/>
        <v>1.0000001927949884</v>
      </c>
      <c r="T69" s="577">
        <f t="shared" si="11"/>
        <v>6.2095886728167791E-4</v>
      </c>
      <c r="U69" s="578">
        <f t="shared" si="24"/>
        <v>0.99959118647048928</v>
      </c>
      <c r="V69" s="579">
        <f t="shared" si="25"/>
        <v>-5.1695225042546243E-3</v>
      </c>
      <c r="W69" s="580">
        <f t="shared" si="12"/>
        <v>31.97462547441285</v>
      </c>
      <c r="X69" s="581">
        <f t="shared" si="13"/>
        <v>-100.2679278115439</v>
      </c>
      <c r="Y69" s="584">
        <f t="shared" si="14"/>
        <v>79.732072188456101</v>
      </c>
      <c r="AA69" s="147">
        <f t="shared" si="15"/>
        <v>1000000000</v>
      </c>
      <c r="AB69" s="147">
        <f t="shared" si="16"/>
        <v>30199.488400000002</v>
      </c>
      <c r="AD69" s="583">
        <f t="shared" si="17"/>
        <v>28.303208652769769</v>
      </c>
      <c r="AE69" s="584">
        <f t="shared" si="18"/>
        <v>-73.820506931395499</v>
      </c>
      <c r="AG69" s="583">
        <f t="shared" si="19"/>
        <v>32.305795375278073</v>
      </c>
      <c r="AH69" s="584">
        <f t="shared" si="20"/>
        <v>-25.855037236288119</v>
      </c>
      <c r="AJ69" s="147">
        <f t="shared" si="21"/>
        <v>0</v>
      </c>
      <c r="AK69" s="147">
        <f t="shared" si="33"/>
        <v>0</v>
      </c>
      <c r="AM69" s="147" t="str">
        <f t="shared" si="26"/>
        <v>0.0000272694639410487+0.00738499724163932i</v>
      </c>
      <c r="AN69" s="147" t="str">
        <f t="shared" si="27"/>
        <v>0.00738506437067688i</v>
      </c>
      <c r="AO69" s="147" t="str">
        <f t="shared" si="28"/>
        <v>0.999990910162161-0.00369251540302408i</v>
      </c>
      <c r="AP69" s="147" t="str">
        <f t="shared" si="29"/>
        <v>0.16666212175601-0.00123083287360655i</v>
      </c>
      <c r="AQ69" s="147" t="str">
        <f t="shared" si="30"/>
        <v>0.83333787824399+0.00123083287360655i</v>
      </c>
      <c r="AR69" s="147" t="str">
        <f t="shared" si="31"/>
        <v>0.999592367704178-0.00147638932358273i</v>
      </c>
    </row>
    <row r="70" spans="1:44">
      <c r="A70" s="147">
        <v>9</v>
      </c>
      <c r="G70" s="585">
        <v>190.55</v>
      </c>
      <c r="H70" s="573">
        <f t="shared" si="23"/>
        <v>0.19055000000000002</v>
      </c>
      <c r="I70" s="574">
        <f t="shared" si="0"/>
        <v>1.1356400217661706</v>
      </c>
      <c r="J70" s="575">
        <f t="shared" si="1"/>
        <v>0.4937522947737833</v>
      </c>
      <c r="K70" s="575">
        <f t="shared" si="2"/>
        <v>1.0000000346890974</v>
      </c>
      <c r="L70" s="576">
        <f t="shared" si="3"/>
        <v>2.6339740486995452E-4</v>
      </c>
      <c r="M70" s="575">
        <f t="shared" si="4"/>
        <v>1.0000000798344206</v>
      </c>
      <c r="N70" s="576">
        <f t="shared" si="5"/>
        <v>-3.9958582377074616E-4</v>
      </c>
      <c r="O70" s="574">
        <f t="shared" si="6"/>
        <v>7901.9223921147432</v>
      </c>
      <c r="P70" s="577">
        <f t="shared" si="7"/>
        <v>1.5706697753112138</v>
      </c>
      <c r="Q70" s="586">
        <f t="shared" si="8"/>
        <v>1.0495602016614596</v>
      </c>
      <c r="R70" s="587">
        <f t="shared" si="9"/>
        <v>0.30853311986199045</v>
      </c>
      <c r="S70" s="574">
        <f t="shared" si="10"/>
        <v>1.0000002318003314</v>
      </c>
      <c r="T70" s="577">
        <f t="shared" si="11"/>
        <v>6.8088220211581459E-4</v>
      </c>
      <c r="U70" s="578">
        <f t="shared" si="24"/>
        <v>0.99958940338676971</v>
      </c>
      <c r="V70" s="579">
        <f t="shared" si="25"/>
        <v>-5.6683832643561749E-3</v>
      </c>
      <c r="W70" s="580">
        <f t="shared" si="12"/>
        <v>31.075013531862503</v>
      </c>
      <c r="X70" s="581">
        <f t="shared" si="13"/>
        <v>-100.97661539267614</v>
      </c>
      <c r="Y70" s="584">
        <f t="shared" si="14"/>
        <v>79.023384607323862</v>
      </c>
      <c r="AA70" s="147">
        <f t="shared" si="15"/>
        <v>1000000000</v>
      </c>
      <c r="AB70" s="147">
        <f t="shared" si="16"/>
        <v>36309.302500000005</v>
      </c>
      <c r="AD70" s="583">
        <f t="shared" si="17"/>
        <v>27.570939974969328</v>
      </c>
      <c r="AE70" s="584">
        <f t="shared" si="18"/>
        <v>-72.354115285201289</v>
      </c>
      <c r="AG70" s="583">
        <f t="shared" si="19"/>
        <v>32.138483098560911</v>
      </c>
      <c r="AH70" s="584">
        <f t="shared" si="20"/>
        <v>-27.972951231312248</v>
      </c>
      <c r="AJ70" s="147">
        <f t="shared" si="21"/>
        <v>0</v>
      </c>
      <c r="AK70" s="147">
        <f t="shared" si="33"/>
        <v>0</v>
      </c>
      <c r="AM70" s="147" t="str">
        <f t="shared" si="26"/>
        <v>0.0000327864595489613+0.00809764435781509i</v>
      </c>
      <c r="AN70" s="147" t="str">
        <f t="shared" si="27"/>
        <v>0.00809773285667211i</v>
      </c>
      <c r="AO70" s="147" t="str">
        <f t="shared" si="28"/>
        <v>0.999989071156262-0.00404884430361851i</v>
      </c>
      <c r="AP70" s="147" t="str">
        <f t="shared" si="29"/>
        <v>0.166661202256742-0.00134960739296918i</v>
      </c>
      <c r="AQ70" s="147" t="str">
        <f t="shared" si="30"/>
        <v>0.833338797743258+0.00134960739296918i</v>
      </c>
      <c r="AR70" s="147" t="str">
        <f t="shared" si="31"/>
        <v>0.999590823607823-0.0016188555832737i</v>
      </c>
    </row>
    <row r="71" spans="1:44">
      <c r="A71" s="147">
        <v>10</v>
      </c>
      <c r="G71" s="585">
        <v>208.93</v>
      </c>
      <c r="H71" s="573">
        <f t="shared" si="23"/>
        <v>0.20893</v>
      </c>
      <c r="I71" s="574">
        <f t="shared" si="0"/>
        <v>1.1611446073206715</v>
      </c>
      <c r="J71" s="575">
        <f t="shared" si="1"/>
        <v>0.53313266215078103</v>
      </c>
      <c r="K71" s="575">
        <f t="shared" si="2"/>
        <v>1.000000041703903</v>
      </c>
      <c r="L71" s="576">
        <f t="shared" si="3"/>
        <v>2.8880409101087482E-4</v>
      </c>
      <c r="M71" s="575">
        <f t="shared" si="4"/>
        <v>1.0000000959784818</v>
      </c>
      <c r="N71" s="576">
        <f t="shared" si="5"/>
        <v>-4.3812891766933823E-4</v>
      </c>
      <c r="O71" s="574">
        <f t="shared" si="6"/>
        <v>8664.1230289206451</v>
      </c>
      <c r="P71" s="577">
        <f t="shared" si="7"/>
        <v>1.5706809083043141</v>
      </c>
      <c r="Q71" s="586">
        <f t="shared" si="8"/>
        <v>1.0593004159067152</v>
      </c>
      <c r="R71" s="587">
        <f t="shared" si="9"/>
        <v>0.33618739538495035</v>
      </c>
      <c r="S71" s="574">
        <f t="shared" si="10"/>
        <v>1.0000002786748299</v>
      </c>
      <c r="T71" s="577">
        <f t="shared" si="11"/>
        <v>7.4655845732134955E-4</v>
      </c>
      <c r="U71" s="578">
        <f t="shared" si="24"/>
        <v>0.99958726058565384</v>
      </c>
      <c r="V71" s="579">
        <f t="shared" si="25"/>
        <v>-6.2151354454586371E-3</v>
      </c>
      <c r="W71" s="580">
        <f t="shared" si="12"/>
        <v>30.162481060928958</v>
      </c>
      <c r="X71" s="581">
        <f t="shared" si="13"/>
        <v>-101.68495106579937</v>
      </c>
      <c r="Y71" s="584">
        <f t="shared" si="14"/>
        <v>78.315048934200632</v>
      </c>
      <c r="AA71" s="147">
        <f t="shared" si="15"/>
        <v>1000000000</v>
      </c>
      <c r="AB71" s="147">
        <f t="shared" si="16"/>
        <v>43651.744900000005</v>
      </c>
      <c r="AD71" s="583">
        <f t="shared" si="17"/>
        <v>26.851338326248428</v>
      </c>
      <c r="AE71" s="584">
        <f t="shared" si="18"/>
        <v>-70.774042856193745</v>
      </c>
      <c r="AG71" s="583">
        <f t="shared" si="19"/>
        <v>31.945589515946644</v>
      </c>
      <c r="AH71" s="584">
        <f t="shared" si="20"/>
        <v>-30.198706148537923</v>
      </c>
      <c r="AJ71" s="147">
        <f t="shared" si="21"/>
        <v>0</v>
      </c>
      <c r="AK71" s="147">
        <f t="shared" si="33"/>
        <v>0</v>
      </c>
      <c r="AM71" s="147" t="str">
        <f t="shared" si="26"/>
        <v>0.0000394164714929701+0.00887870425948288i</v>
      </c>
      <c r="AN71" s="147" t="str">
        <f t="shared" si="27"/>
        <v>0.00887882091705329i</v>
      </c>
      <c r="AO71" s="147" t="str">
        <f t="shared" si="28"/>
        <v>0.999986861141643-0.00443938129411576i</v>
      </c>
      <c r="AP71" s="147" t="str">
        <f t="shared" si="29"/>
        <v>0.166660097254751-0.00147978404324715i</v>
      </c>
      <c r="AQ71" s="147" t="str">
        <f t="shared" si="30"/>
        <v>0.833339902745249+0.00147978404324715i</v>
      </c>
      <c r="AR71" s="147" t="str">
        <f t="shared" si="31"/>
        <v>0.999588968011351-0.00177499697277938i</v>
      </c>
    </row>
    <row r="72" spans="1:44">
      <c r="A72" s="147">
        <v>11</v>
      </c>
      <c r="G72" s="585">
        <v>229.09</v>
      </c>
      <c r="H72" s="573">
        <f t="shared" si="23"/>
        <v>0.22909000000000002</v>
      </c>
      <c r="I72" s="574">
        <f t="shared" si="0"/>
        <v>1.191094890019186</v>
      </c>
      <c r="J72" s="575">
        <f t="shared" si="1"/>
        <v>0.57431676705794521</v>
      </c>
      <c r="K72" s="575">
        <f t="shared" si="2"/>
        <v>1.0000000501403492</v>
      </c>
      <c r="L72" s="576">
        <f t="shared" si="3"/>
        <v>3.166712718976012E-4</v>
      </c>
      <c r="M72" s="575">
        <f t="shared" si="4"/>
        <v>1.0000001153943456</v>
      </c>
      <c r="N72" s="576">
        <f t="shared" si="5"/>
        <v>-4.8040469271850043E-4</v>
      </c>
      <c r="O72" s="574">
        <f t="shared" si="6"/>
        <v>9500.138527119012</v>
      </c>
      <c r="P72" s="577">
        <f t="shared" si="7"/>
        <v>1.5706910651717116</v>
      </c>
      <c r="Q72" s="586">
        <f t="shared" si="8"/>
        <v>1.0708972754437383</v>
      </c>
      <c r="R72" s="587">
        <f t="shared" si="9"/>
        <v>0.36591606423156875</v>
      </c>
      <c r="S72" s="574">
        <f t="shared" si="10"/>
        <v>1.0000003350490481</v>
      </c>
      <c r="T72" s="577">
        <f t="shared" si="11"/>
        <v>8.185950823720665E-4</v>
      </c>
      <c r="U72" s="578">
        <f t="shared" si="24"/>
        <v>0.99958468353549412</v>
      </c>
      <c r="V72" s="579">
        <f t="shared" si="25"/>
        <v>-6.8148354124545714E-3</v>
      </c>
      <c r="W72" s="580">
        <f t="shared" si="12"/>
        <v>29.235724248833662</v>
      </c>
      <c r="X72" s="581">
        <f t="shared" si="13"/>
        <v>-102.38119437428412</v>
      </c>
      <c r="Y72" s="584">
        <f t="shared" si="14"/>
        <v>77.618805625715879</v>
      </c>
      <c r="AA72" s="147">
        <f t="shared" si="15"/>
        <v>1000000000</v>
      </c>
      <c r="AB72" s="147">
        <f t="shared" si="16"/>
        <v>52482.2281</v>
      </c>
      <c r="AD72" s="583">
        <f t="shared" si="17"/>
        <v>26.14580470398252</v>
      </c>
      <c r="AE72" s="584">
        <f t="shared" si="18"/>
        <v>-69.075424939020223</v>
      </c>
      <c r="AG72" s="583">
        <f t="shared" si="19"/>
        <v>31.724411112606671</v>
      </c>
      <c r="AH72" s="584">
        <f t="shared" si="20"/>
        <v>-32.524846819951676</v>
      </c>
      <c r="AJ72" s="147">
        <f t="shared" si="21"/>
        <v>0</v>
      </c>
      <c r="AK72" s="147">
        <f t="shared" si="33"/>
        <v>0</v>
      </c>
      <c r="AM72" s="147" t="str">
        <f t="shared" si="26"/>
        <v>0.0000473901215940487+0.00973539918876378i</v>
      </c>
      <c r="AN72" s="147" t="str">
        <f t="shared" si="27"/>
        <v>0.00973555297892948i</v>
      </c>
      <c r="AO72" s="147" t="str">
        <f t="shared" si="28"/>
        <v>0.999984203242894-0.00486773804185694i</v>
      </c>
      <c r="AP72" s="147" t="str">
        <f t="shared" si="29"/>
        <v>0.166658768313068-0.00162256653146063i</v>
      </c>
      <c r="AQ72" s="147" t="str">
        <f t="shared" si="30"/>
        <v>0.833341231686932+0.00162256653146063i</v>
      </c>
      <c r="AR72" s="147" t="str">
        <f t="shared" si="31"/>
        <v>0.999586736375359-0.00194625673381289i</v>
      </c>
    </row>
    <row r="73" spans="1:44">
      <c r="A73" s="147">
        <v>12</v>
      </c>
      <c r="G73" s="585">
        <v>251.19</v>
      </c>
      <c r="H73" s="573">
        <f t="shared" si="23"/>
        <v>0.25119000000000002</v>
      </c>
      <c r="I73" s="574">
        <f t="shared" si="0"/>
        <v>1.2261271556067426</v>
      </c>
      <c r="J73" s="575">
        <f t="shared" si="1"/>
        <v>0.61707224093264423</v>
      </c>
      <c r="K73" s="575">
        <f t="shared" si="2"/>
        <v>1.0000000602809074</v>
      </c>
      <c r="L73" s="576">
        <f t="shared" si="3"/>
        <v>3.4722011545771091E-4</v>
      </c>
      <c r="M73" s="575">
        <f t="shared" si="4"/>
        <v>1.0000001387320969</v>
      </c>
      <c r="N73" s="576">
        <f t="shared" si="5"/>
        <v>-5.2674867033249639E-4</v>
      </c>
      <c r="O73" s="574">
        <f t="shared" si="6"/>
        <v>10416.60393034649</v>
      </c>
      <c r="P73" s="577">
        <f t="shared" si="7"/>
        <v>1.5707003262165677</v>
      </c>
      <c r="Q73" s="586">
        <f t="shared" si="8"/>
        <v>1.0846725580224699</v>
      </c>
      <c r="R73" s="587">
        <f t="shared" si="9"/>
        <v>0.39774389593349802</v>
      </c>
      <c r="S73" s="574">
        <f t="shared" si="10"/>
        <v>1.0000004028105169</v>
      </c>
      <c r="T73" s="577">
        <f t="shared" si="11"/>
        <v>8.9756379349674367E-4</v>
      </c>
      <c r="U73" s="578">
        <f t="shared" si="24"/>
        <v>0.99958158596158986</v>
      </c>
      <c r="V73" s="579">
        <f t="shared" si="25"/>
        <v>-7.4722418361955522E-3</v>
      </c>
      <c r="W73" s="580">
        <f t="shared" si="12"/>
        <v>28.295006558662944</v>
      </c>
      <c r="X73" s="581">
        <f t="shared" si="13"/>
        <v>-103.05092895224674</v>
      </c>
      <c r="Y73" s="584">
        <f t="shared" si="14"/>
        <v>76.949071047753264</v>
      </c>
      <c r="AA73" s="147">
        <f t="shared" si="15"/>
        <v>1000000000</v>
      </c>
      <c r="AB73" s="147">
        <f t="shared" si="16"/>
        <v>63096.416100000002</v>
      </c>
      <c r="AD73" s="583">
        <f t="shared" si="17"/>
        <v>25.456896631455685</v>
      </c>
      <c r="AE73" s="584">
        <f t="shared" si="18"/>
        <v>-67.256879702014174</v>
      </c>
      <c r="AG73" s="583">
        <f t="shared" si="19"/>
        <v>31.472655327773971</v>
      </c>
      <c r="AH73" s="584">
        <f t="shared" si="20"/>
        <v>-34.93779340782396</v>
      </c>
      <c r="AJ73" s="147">
        <f t="shared" si="21"/>
        <v>0</v>
      </c>
      <c r="AK73" s="147">
        <f t="shared" si="33"/>
        <v>0</v>
      </c>
      <c r="AM73" s="147" t="str">
        <f t="shared" si="26"/>
        <v>0.0000569743732860006+0.0106745257736837i</v>
      </c>
      <c r="AN73" s="147" t="str">
        <f t="shared" si="27"/>
        <v>0.0106747285031092i</v>
      </c>
      <c r="AO73" s="147" t="str">
        <f t="shared" si="28"/>
        <v>0.999981008470104-0.00533731356909038i</v>
      </c>
      <c r="AP73" s="147" t="str">
        <f t="shared" si="29"/>
        <v>0.166657170937786-0.00177908762894728i</v>
      </c>
      <c r="AQ73" s="147" t="str">
        <f t="shared" si="30"/>
        <v>0.833342829062214+0.00177908762894728i</v>
      </c>
      <c r="AR73" s="147" t="str">
        <f t="shared" si="31"/>
        <v>0.999584053992697-0.0021339928328808i</v>
      </c>
    </row>
    <row r="74" spans="1:44">
      <c r="A74" s="147">
        <v>13</v>
      </c>
      <c r="G74" s="585">
        <v>275.42</v>
      </c>
      <c r="H74" s="573">
        <f t="shared" si="23"/>
        <v>0.27542</v>
      </c>
      <c r="I74" s="574">
        <f t="shared" si="0"/>
        <v>1.2669593909956067</v>
      </c>
      <c r="J74" s="575">
        <f t="shared" si="1"/>
        <v>0.66114241792310047</v>
      </c>
      <c r="K74" s="575">
        <f t="shared" si="2"/>
        <v>1.000000072471297</v>
      </c>
      <c r="L74" s="576">
        <f t="shared" si="3"/>
        <v>3.8071325857786428E-4</v>
      </c>
      <c r="M74" s="575">
        <f t="shared" si="4"/>
        <v>1.0000001667873852</v>
      </c>
      <c r="N74" s="576">
        <f t="shared" si="5"/>
        <v>-5.7755928209531776E-4</v>
      </c>
      <c r="O74" s="574">
        <f t="shared" si="6"/>
        <v>11421.398352929078</v>
      </c>
      <c r="P74" s="577">
        <f t="shared" si="7"/>
        <v>1.5707087718414332</v>
      </c>
      <c r="Q74" s="586">
        <f t="shared" si="8"/>
        <v>1.101004295895476</v>
      </c>
      <c r="R74" s="587">
        <f t="shared" si="9"/>
        <v>0.43168586699036965</v>
      </c>
      <c r="S74" s="574">
        <f t="shared" si="10"/>
        <v>1.0000004842694128</v>
      </c>
      <c r="T74" s="577">
        <f t="shared" si="11"/>
        <v>9.841435032448369E-4</v>
      </c>
      <c r="U74" s="578">
        <f t="shared" si="24"/>
        <v>0.99957786227424428</v>
      </c>
      <c r="V74" s="579">
        <f t="shared" si="25"/>
        <v>-8.1930055048070397E-3</v>
      </c>
      <c r="W74" s="580">
        <f t="shared" si="12"/>
        <v>27.340374827113379</v>
      </c>
      <c r="X74" s="581">
        <f t="shared" si="13"/>
        <v>-103.67896589172118</v>
      </c>
      <c r="Y74" s="584">
        <f t="shared" si="14"/>
        <v>76.321034108278823</v>
      </c>
      <c r="AA74" s="147">
        <f t="shared" si="15"/>
        <v>1000000000</v>
      </c>
      <c r="AB74" s="147">
        <f t="shared" si="16"/>
        <v>75856.176400000011</v>
      </c>
      <c r="AD74" s="583">
        <f t="shared" si="17"/>
        <v>24.786840585394252</v>
      </c>
      <c r="AE74" s="584">
        <f t="shared" si="18"/>
        <v>-65.317592560504465</v>
      </c>
      <c r="AG74" s="583">
        <f t="shared" si="19"/>
        <v>31.188144356558354</v>
      </c>
      <c r="AH74" s="584">
        <f t="shared" si="20"/>
        <v>-37.422524056238146</v>
      </c>
      <c r="AJ74" s="147">
        <f t="shared" si="21"/>
        <v>0</v>
      </c>
      <c r="AK74" s="147">
        <f t="shared" si="33"/>
        <v>0</v>
      </c>
      <c r="AM74" s="147" t="str">
        <f t="shared" si="26"/>
        <v>0.0000684959634490445+0.0117041546128653i</v>
      </c>
      <c r="AN74" s="147" t="str">
        <f t="shared" si="27"/>
        <v>0.0117044218493027i</v>
      </c>
      <c r="AO74" s="147" t="str">
        <f t="shared" si="28"/>
        <v>0.99997716790792-0.0058521441153563i</v>
      </c>
      <c r="AP74" s="147" t="str">
        <f t="shared" si="29"/>
        <v>0.166655250672758-0.00195069243547755i</v>
      </c>
      <c r="AQ74" s="147" t="str">
        <f t="shared" si="30"/>
        <v>0.833344749327242+0.00195069243547755i</v>
      </c>
      <c r="AR74" s="147" t="str">
        <f t="shared" si="31"/>
        <v>0.999580829432073-0.00233981766153282i</v>
      </c>
    </row>
    <row r="75" spans="1:44">
      <c r="A75" s="147">
        <v>14</v>
      </c>
      <c r="G75" s="585">
        <v>302</v>
      </c>
      <c r="H75" s="573">
        <f t="shared" si="23"/>
        <v>0.30199999999999999</v>
      </c>
      <c r="I75" s="574">
        <f t="shared" si="0"/>
        <v>1.3143942150636403</v>
      </c>
      <c r="J75" s="575">
        <f t="shared" si="1"/>
        <v>0.70624099792432671</v>
      </c>
      <c r="K75" s="575">
        <f t="shared" si="2"/>
        <v>1.0000000871342642</v>
      </c>
      <c r="L75" s="576">
        <f t="shared" si="3"/>
        <v>4.1745480708225497E-4</v>
      </c>
      <c r="M75" s="575">
        <f t="shared" si="4"/>
        <v>1.0000002005331294</v>
      </c>
      <c r="N75" s="576">
        <f t="shared" si="5"/>
        <v>-6.3329786968544812E-4</v>
      </c>
      <c r="O75" s="574">
        <f t="shared" si="6"/>
        <v>12523.644979884479</v>
      </c>
      <c r="P75" s="577">
        <f t="shared" si="7"/>
        <v>1.570716477836972</v>
      </c>
      <c r="Q75" s="586">
        <f t="shared" si="8"/>
        <v>1.1203332378600466</v>
      </c>
      <c r="R75" s="587">
        <f t="shared" si="9"/>
        <v>0.46773549036618361</v>
      </c>
      <c r="S75" s="574">
        <f t="shared" si="10"/>
        <v>1.0000005822506153</v>
      </c>
      <c r="T75" s="577">
        <f t="shared" si="11"/>
        <v>1.0791203201142479E-3</v>
      </c>
      <c r="U75" s="578">
        <f t="shared" si="24"/>
        <v>0.99957338336328005</v>
      </c>
      <c r="V75" s="579">
        <f t="shared" si="25"/>
        <v>-8.9836692187083185E-3</v>
      </c>
      <c r="W75" s="580">
        <f t="shared" si="12"/>
        <v>26.372011365918844</v>
      </c>
      <c r="X75" s="581">
        <f t="shared" si="13"/>
        <v>-104.24970635176948</v>
      </c>
      <c r="Y75" s="584">
        <f t="shared" si="14"/>
        <v>75.750293648230524</v>
      </c>
      <c r="AA75" s="147">
        <f t="shared" si="15"/>
        <v>1000000000</v>
      </c>
      <c r="AB75" s="147">
        <f t="shared" si="16"/>
        <v>91204</v>
      </c>
      <c r="AD75" s="583">
        <f t="shared" si="17"/>
        <v>24.137774504591945</v>
      </c>
      <c r="AE75" s="584">
        <f t="shared" si="18"/>
        <v>-63.257984577460235</v>
      </c>
      <c r="AG75" s="583">
        <f t="shared" si="19"/>
        <v>30.868924815852186</v>
      </c>
      <c r="AH75" s="584">
        <f t="shared" si="20"/>
        <v>-39.962269111585762</v>
      </c>
      <c r="AJ75" s="147">
        <f t="shared" si="21"/>
        <v>0</v>
      </c>
      <c r="AK75" s="147">
        <f t="shared" si="33"/>
        <v>0</v>
      </c>
      <c r="AM75" s="147" t="str">
        <f t="shared" si="26"/>
        <v>0.000082354420132047+0.0128336299624645i</v>
      </c>
      <c r="AN75" s="147" t="str">
        <f t="shared" si="27"/>
        <v>0.0128339822761216i</v>
      </c>
      <c r="AO75" s="147" t="str">
        <f t="shared" si="28"/>
        <v>0.999972548375904-0.00641690305940911i</v>
      </c>
      <c r="AP75" s="147" t="str">
        <f t="shared" si="29"/>
        <v>0.166652940929978-0.00213893832707742i</v>
      </c>
      <c r="AQ75" s="147" t="str">
        <f t="shared" si="30"/>
        <v>0.833347059070022+0.00213893832707742i</v>
      </c>
      <c r="AR75" s="147" t="str">
        <f t="shared" si="31"/>
        <v>0.999576950897192-0.00256559788369942i</v>
      </c>
    </row>
    <row r="76" spans="1:44">
      <c r="A76" s="147">
        <v>15</v>
      </c>
      <c r="G76" s="585">
        <v>331.13</v>
      </c>
      <c r="H76" s="573">
        <f t="shared" si="23"/>
        <v>0.33112999999999998</v>
      </c>
      <c r="I76" s="574">
        <f t="shared" si="0"/>
        <v>1.3692232699407947</v>
      </c>
      <c r="J76" s="575">
        <f t="shared" si="1"/>
        <v>0.75197518656565598</v>
      </c>
      <c r="K76" s="575">
        <f t="shared" si="2"/>
        <v>1.000000104754367</v>
      </c>
      <c r="L76" s="576">
        <f t="shared" si="3"/>
        <v>4.5772122068004885E-4</v>
      </c>
      <c r="M76" s="575">
        <f t="shared" si="4"/>
        <v>1.000000241084503</v>
      </c>
      <c r="N76" s="576">
        <f t="shared" si="5"/>
        <v>-6.9438383417137523E-4</v>
      </c>
      <c r="O76" s="574">
        <f t="shared" si="6"/>
        <v>13731.637615779666</v>
      </c>
      <c r="P76" s="577">
        <f t="shared" si="7"/>
        <v>1.5707235022688739</v>
      </c>
      <c r="Q76" s="586">
        <f t="shared" si="8"/>
        <v>1.1431280565777515</v>
      </c>
      <c r="R76" s="587">
        <f t="shared" si="9"/>
        <v>0.50578868451601167</v>
      </c>
      <c r="S76" s="574">
        <f t="shared" si="10"/>
        <v>1.0000006999920423</v>
      </c>
      <c r="T76" s="577">
        <f t="shared" si="11"/>
        <v>1.1832088859309675E-3</v>
      </c>
      <c r="U76" s="578">
        <f t="shared" si="24"/>
        <v>0.99956800124890754</v>
      </c>
      <c r="V76" s="579">
        <f t="shared" si="25"/>
        <v>-9.8501803387261271E-3</v>
      </c>
      <c r="W76" s="580">
        <f t="shared" si="12"/>
        <v>25.392112980908319</v>
      </c>
      <c r="X76" s="581">
        <f t="shared" si="13"/>
        <v>-104.74700152745771</v>
      </c>
      <c r="Y76" s="584">
        <f t="shared" si="14"/>
        <v>75.252998472542288</v>
      </c>
      <c r="AA76" s="147">
        <f t="shared" si="15"/>
        <v>1000000000</v>
      </c>
      <c r="AB76" s="147">
        <f t="shared" si="16"/>
        <v>109647.0769</v>
      </c>
      <c r="AD76" s="583">
        <f t="shared" si="17"/>
        <v>23.512895029925968</v>
      </c>
      <c r="AE76" s="584">
        <f t="shared" si="18"/>
        <v>-61.084063459017443</v>
      </c>
      <c r="AG76" s="583">
        <f t="shared" si="19"/>
        <v>30.513999442566728</v>
      </c>
      <c r="AH76" s="584">
        <f t="shared" si="20"/>
        <v>-42.534190545447004</v>
      </c>
      <c r="AJ76" s="147">
        <f t="shared" si="21"/>
        <v>0</v>
      </c>
      <c r="AK76" s="147">
        <f t="shared" si="33"/>
        <v>0</v>
      </c>
      <c r="AM76" s="147" t="str">
        <f t="shared" si="26"/>
        <v>0.0000990076791980155+0.0140714446974904i</v>
      </c>
      <c r="AN76" s="147" t="str">
        <f t="shared" si="27"/>
        <v>0.0140719091095767i</v>
      </c>
      <c r="AO76" s="147" t="str">
        <f t="shared" si="28"/>
        <v>0.999966997222432-0.00703583845141775i</v>
      </c>
      <c r="AP76" s="147" t="str">
        <f t="shared" si="29"/>
        <v>0.1666501653868-0.00234524078291507i</v>
      </c>
      <c r="AQ76" s="147" t="str">
        <f t="shared" si="30"/>
        <v>0.8333498346132+0.00234524078291507i</v>
      </c>
      <c r="AR76" s="147" t="str">
        <f t="shared" si="31"/>
        <v>0.999572290255553-0.00281302953838975i</v>
      </c>
    </row>
    <row r="77" spans="1:44">
      <c r="A77" s="147">
        <v>16</v>
      </c>
      <c r="G77" s="585">
        <v>363.08</v>
      </c>
      <c r="H77" s="573">
        <f t="shared" si="23"/>
        <v>0.36307999999999996</v>
      </c>
      <c r="I77" s="574">
        <f t="shared" ref="I77:I140" si="34">SQRT(1+(G77/pole1)^2)</f>
        <v>1.4323847575536519</v>
      </c>
      <c r="J77" s="575">
        <f t="shared" ref="J77:J140" si="35">ATAN(G77/pole1)</f>
        <v>0.79800500572290334</v>
      </c>
      <c r="K77" s="575">
        <f t="shared" ref="K77:K140" si="36">SQRT(1+(G77/Zero1)^2)</f>
        <v>1.0000001259446512</v>
      </c>
      <c r="L77" s="576">
        <f t="shared" ref="L77:L140" si="37">ATAN(G77/Zero1)</f>
        <v>5.0188571997939878E-4</v>
      </c>
      <c r="M77" s="575">
        <f t="shared" ref="M77:M140" si="38">SQRT(1+(G77/z_RHP)^2)</f>
        <v>1.0000002898523859</v>
      </c>
      <c r="N77" s="576">
        <f t="shared" ref="N77:N140" si="39">-ATAN(G77/z_RHP)</f>
        <v>-7.6138336699827934E-4</v>
      </c>
      <c r="O77" s="574">
        <f t="shared" ref="O77:O140" si="40">SQRT(1+(G77/Pole2)^2)</f>
        <v>15056.572896786487</v>
      </c>
      <c r="P77" s="577">
        <f t="shared" ref="P77:P140" si="41">ATAN(G77/Pole2)</f>
        <v>1.5707299106185468</v>
      </c>
      <c r="Q77" s="586">
        <f t="shared" ref="Q77:Q140" si="42">SQRT(1+(G77/Zero2)^2)</f>
        <v>1.1699534823244246</v>
      </c>
      <c r="R77" s="587">
        <f t="shared" ref="R77:R140" si="43">ATAN(G77/Zero2)</f>
        <v>0.54575654815731844</v>
      </c>
      <c r="S77" s="574">
        <f t="shared" ref="S77:S140" si="44">SQRT(1+(G77/pole4)^2)</f>
        <v>1.0000008415901955</v>
      </c>
      <c r="T77" s="577">
        <f t="shared" ref="T77:T140" si="45">ATAN(G77/pole4)</f>
        <v>1.2973739671735519E-3</v>
      </c>
      <c r="U77" s="578">
        <f t="shared" si="24"/>
        <v>0.999561528720605</v>
      </c>
      <c r="V77" s="579">
        <f t="shared" si="25"/>
        <v>-1.080056780587285E-2</v>
      </c>
      <c r="W77" s="580">
        <f t="shared" ref="W77:W140" si="46">20*LOG10(((K77*Q77*M77*U77)/(I77*O77*S77))*Adc)</f>
        <v>24.401745981440769</v>
      </c>
      <c r="X77" s="581">
        <f t="shared" ref="X77:X140" si="47">((L77+R77+N77+V77)-(J77+P77+T77))*radconv</f>
        <v>-105.1569958851143</v>
      </c>
      <c r="Y77" s="584">
        <f t="shared" ref="Y77:Y140" si="48">IF(X77&gt;0,X77,X77+180)</f>
        <v>74.843004114885701</v>
      </c>
      <c r="AA77" s="147">
        <f t="shared" ref="AA77:AA140" si="49">IF(W77&lt;0,G77,1000000000)</f>
        <v>1000000000</v>
      </c>
      <c r="AB77" s="147">
        <f t="shared" ref="AB77:AB140" si="50">G77^2</f>
        <v>131827.0864</v>
      </c>
      <c r="AD77" s="583">
        <f t="shared" ref="AD77:AD140" si="51">20*LOG10((Q77/(O77*S77))*Aea)</f>
        <v>22.914292057813498</v>
      </c>
      <c r="AE77" s="584">
        <f t="shared" ref="AE77:AE140" si="52">(R77-(P77+T77))*radconv</f>
        <v>-58.80098190232026</v>
      </c>
      <c r="AG77" s="583">
        <f t="shared" ref="AG77:AG140" si="53">20*LOG10((K77*M77/(I77*U77))*Acs*Am)</f>
        <v>30.12234790350352</v>
      </c>
      <c r="AH77" s="584">
        <f t="shared" ref="AH77:AH140" si="54">(L77+N77-(J77+V77))*radconv</f>
        <v>-45.118360078137087</v>
      </c>
      <c r="AJ77" s="147">
        <f t="shared" ref="AJ77:AJ140" si="55">SUM((W78&lt;0)*(W77&gt;0))*G77</f>
        <v>0</v>
      </c>
      <c r="AK77" s="147">
        <f t="shared" si="33"/>
        <v>0</v>
      </c>
      <c r="AM77" s="147" t="str">
        <f t="shared" si="26"/>
        <v>0.000119035095883957+0.0154290642105856i</v>
      </c>
      <c r="AN77" s="147" t="str">
        <f t="shared" si="27"/>
        <v>0.0154296764397823i</v>
      </c>
      <c r="AO77" s="147" t="str">
        <f t="shared" si="28"/>
        <v>0.999960321319822-0.00771468516196808i</v>
      </c>
      <c r="AP77" s="147" t="str">
        <f t="shared" si="29"/>
        <v>0.166646827484019-0.00257151070176427i</v>
      </c>
      <c r="AQ77" s="147" t="str">
        <f t="shared" si="30"/>
        <v>0.833353172515981+0.00257151070176427i</v>
      </c>
      <c r="AR77" s="147" t="str">
        <f t="shared" si="31"/>
        <v>0.999566685408574-0.0030844022839619i</v>
      </c>
    </row>
    <row r="78" spans="1:44">
      <c r="A78" s="147">
        <v>17</v>
      </c>
      <c r="G78" s="585">
        <v>398.11</v>
      </c>
      <c r="H78" s="573">
        <f t="shared" ref="H78:H141" si="56">G78/1000</f>
        <v>0.39811000000000002</v>
      </c>
      <c r="I78" s="574">
        <f t="shared" si="34"/>
        <v>1.5048113842061634</v>
      </c>
      <c r="J78" s="575">
        <f t="shared" si="35"/>
        <v>0.84392480853075924</v>
      </c>
      <c r="K78" s="575">
        <f t="shared" si="36"/>
        <v>1.0000001514193027</v>
      </c>
      <c r="L78" s="576">
        <f t="shared" si="37"/>
        <v>5.503077024007878E-4</v>
      </c>
      <c r="M78" s="575">
        <f t="shared" si="38"/>
        <v>1.0000003484804241</v>
      </c>
      <c r="N78" s="576">
        <f t="shared" si="39"/>
        <v>-8.3484168885192137E-4</v>
      </c>
      <c r="O78" s="574">
        <f t="shared" si="40"/>
        <v>16509.232768853883</v>
      </c>
      <c r="P78" s="577">
        <f t="shared" si="41"/>
        <v>1.5707357546281211</v>
      </c>
      <c r="Q78" s="586">
        <f t="shared" si="42"/>
        <v>1.2014100199065525</v>
      </c>
      <c r="R78" s="587">
        <f t="shared" si="43"/>
        <v>0.58745251610771687</v>
      </c>
      <c r="S78" s="574">
        <f t="shared" si="44"/>
        <v>1.0000010118174152</v>
      </c>
      <c r="T78" s="577">
        <f t="shared" si="45"/>
        <v>1.4225445947363613E-3</v>
      </c>
      <c r="U78" s="578">
        <f t="shared" ref="U78:U141" si="57">IMABS(IMPRODUCT(AO78, AR78))</f>
        <v>0.9995537476985582</v>
      </c>
      <c r="V78" s="579">
        <f t="shared" ref="V78:V141" si="58">IMARGUMENT(IMPRODUCT(AO78, AR78))</f>
        <v>-1.1842562206513993E-2</v>
      </c>
      <c r="W78" s="580">
        <f t="shared" si="46"/>
        <v>23.4036679864486</v>
      </c>
      <c r="X78" s="581">
        <f t="shared" si="47"/>
        <v>-105.46764673994117</v>
      </c>
      <c r="Y78" s="584">
        <f t="shared" si="48"/>
        <v>74.532353260058827</v>
      </c>
      <c r="AA78" s="147">
        <f t="shared" si="49"/>
        <v>1000000000</v>
      </c>
      <c r="AB78" s="147">
        <f t="shared" si="50"/>
        <v>158491.57210000002</v>
      </c>
      <c r="AD78" s="583">
        <f t="shared" si="51"/>
        <v>22.344728490883622</v>
      </c>
      <c r="AE78" s="584">
        <f t="shared" si="52"/>
        <v>-56.419485499090818</v>
      </c>
      <c r="AG78" s="583">
        <f t="shared" si="53"/>
        <v>29.693968705459362</v>
      </c>
      <c r="AH78" s="584">
        <f t="shared" si="54"/>
        <v>-47.691103573190915</v>
      </c>
      <c r="AJ78" s="147">
        <f t="shared" si="55"/>
        <v>0</v>
      </c>
      <c r="AK78" s="147">
        <f t="shared" si="33"/>
        <v>0</v>
      </c>
      <c r="AM78" s="147" t="str">
        <f t="shared" ref="AM78:AM141" si="59">IMSUB(1,IMEXP(COMPLEX(0,-2*Pi*G78*Tsw)))</f>
        <v>0.000143111588739031+0.0169175263129952i</v>
      </c>
      <c r="AN78" s="147" t="str">
        <f t="shared" ref="AN78:AN141" si="60">COMPLEX(0, 2*Pi*G78*Tsw)</f>
        <v>0.0169183333905523i</v>
      </c>
      <c r="AO78" s="147" t="str">
        <f t="shared" ref="AO78:AO141" si="61">IMDIV(AM78, AN78)</f>
        <v>0.999952295681941-0.00845896492493455i</v>
      </c>
      <c r="AP78" s="147" t="str">
        <f t="shared" ref="AP78:AP141" si="62">IMDIV(IMEXP(COMPLEX(0,-2*Pi*G78*Tsw)),6)</f>
        <v>0.16664281473521-0.00281958771883253i</v>
      </c>
      <c r="AQ78" s="147" t="str">
        <f t="shared" ref="AQ78:AQ141" si="63">IMSUB(1, AP78)</f>
        <v>0.83335718526479+0.00281958771883253i</v>
      </c>
      <c r="AR78" s="147" t="str">
        <f t="shared" ref="AR78:AR141" si="64">IMDIV(0.833, AQ78)</f>
        <v>0.999559947534997-0.00338191954439208i</v>
      </c>
    </row>
    <row r="79" spans="1:44">
      <c r="A79" s="147">
        <v>18</v>
      </c>
      <c r="G79" s="585">
        <v>436.52</v>
      </c>
      <c r="H79" s="573">
        <f t="shared" si="56"/>
        <v>0.43651999999999996</v>
      </c>
      <c r="I79" s="574">
        <f t="shared" si="34"/>
        <v>1.587519909656977</v>
      </c>
      <c r="J79" s="575">
        <f t="shared" si="35"/>
        <v>0.88935467439860372</v>
      </c>
      <c r="K79" s="575">
        <f t="shared" si="36"/>
        <v>1.0000001820469282</v>
      </c>
      <c r="L79" s="576">
        <f t="shared" si="37"/>
        <v>6.0340185714268402E-4</v>
      </c>
      <c r="M79" s="575">
        <f t="shared" si="38"/>
        <v>1.0000004189676501</v>
      </c>
      <c r="N79" s="576">
        <f t="shared" si="39"/>
        <v>-9.1538790005970682E-4</v>
      </c>
      <c r="O79" s="574">
        <f t="shared" si="40"/>
        <v>18102.057938850769</v>
      </c>
      <c r="P79" s="577">
        <f t="shared" si="41"/>
        <v>1.5707410844570426</v>
      </c>
      <c r="Q79" s="586">
        <f t="shared" si="42"/>
        <v>1.2381719847150801</v>
      </c>
      <c r="R79" s="587">
        <f t="shared" si="43"/>
        <v>0.63065364560157122</v>
      </c>
      <c r="S79" s="574">
        <f t="shared" si="44"/>
        <v>1.0000012164779057</v>
      </c>
      <c r="T79" s="577">
        <f t="shared" si="45"/>
        <v>1.5597927250487432E-3</v>
      </c>
      <c r="U79" s="578">
        <f t="shared" si="57"/>
        <v>0.9995443929706912</v>
      </c>
      <c r="V79" s="579">
        <f t="shared" si="58"/>
        <v>-1.2985082799456102E-2</v>
      </c>
      <c r="W79" s="580">
        <f t="shared" si="46"/>
        <v>22.400616821759488</v>
      </c>
      <c r="X79" s="581">
        <f t="shared" si="47"/>
        <v>-105.67054753832244</v>
      </c>
      <c r="Y79" s="584">
        <f t="shared" si="48"/>
        <v>74.329452461677562</v>
      </c>
      <c r="AA79" s="147">
        <f t="shared" si="49"/>
        <v>1000000000</v>
      </c>
      <c r="AB79" s="147">
        <f t="shared" si="50"/>
        <v>190549.71039999998</v>
      </c>
      <c r="AD79" s="583">
        <f t="shared" si="51"/>
        <v>21.806499989907294</v>
      </c>
      <c r="AE79" s="584">
        <f t="shared" si="52"/>
        <v>-53.952412221391469</v>
      </c>
      <c r="AG79" s="583">
        <f t="shared" si="53"/>
        <v>29.229308623327132</v>
      </c>
      <c r="AH79" s="584">
        <f t="shared" si="54"/>
        <v>-50.230154433157217</v>
      </c>
      <c r="AJ79" s="147">
        <f t="shared" si="55"/>
        <v>0</v>
      </c>
      <c r="AK79" s="147">
        <f t="shared" si="33"/>
        <v>0</v>
      </c>
      <c r="AM79" s="147" t="str">
        <f t="shared" si="59"/>
        <v>0.000172057983019003+0.0185495650107647i</v>
      </c>
      <c r="AN79" s="147" t="str">
        <f t="shared" si="60"/>
        <v>0.0185506289509027i</v>
      </c>
      <c r="AO79" s="147" t="str">
        <f t="shared" si="61"/>
        <v>0.999942646681101-0.00927504848888859i</v>
      </c>
      <c r="AP79" s="147" t="str">
        <f t="shared" si="62"/>
        <v>0.166637990336163-0.00309159416846078i</v>
      </c>
      <c r="AQ79" s="147" t="str">
        <f t="shared" si="63"/>
        <v>0.833362009663837+0.00309159416846078i</v>
      </c>
      <c r="AR79" s="147" t="str">
        <f t="shared" si="64"/>
        <v>0.999551847012099-0.00370812279113052i</v>
      </c>
    </row>
    <row r="80" spans="1:44">
      <c r="A80" s="147">
        <v>19</v>
      </c>
      <c r="G80" s="585">
        <v>478.63</v>
      </c>
      <c r="H80" s="573">
        <f t="shared" si="56"/>
        <v>0.47863</v>
      </c>
      <c r="I80" s="574">
        <f t="shared" si="34"/>
        <v>1.6815677768628008</v>
      </c>
      <c r="J80" s="575">
        <f t="shared" si="35"/>
        <v>0.9339248637633909</v>
      </c>
      <c r="K80" s="575">
        <f t="shared" si="36"/>
        <v>1.0000002188642794</v>
      </c>
      <c r="L80" s="576">
        <f t="shared" si="37"/>
        <v>6.6161051909530762E-4</v>
      </c>
      <c r="M80" s="575">
        <f t="shared" si="38"/>
        <v>1.0000005037000708</v>
      </c>
      <c r="N80" s="576">
        <f t="shared" si="39"/>
        <v>-1.0036930400812265E-3</v>
      </c>
      <c r="O80" s="574">
        <f t="shared" si="40"/>
        <v>19848.318494108451</v>
      </c>
      <c r="P80" s="577">
        <f t="shared" si="41"/>
        <v>1.5707459446932228</v>
      </c>
      <c r="Q80" s="586">
        <f t="shared" si="42"/>
        <v>1.2809677798803298</v>
      </c>
      <c r="R80" s="587">
        <f t="shared" si="43"/>
        <v>0.67507551416869571</v>
      </c>
      <c r="S80" s="574">
        <f t="shared" si="44"/>
        <v>1.00000146249945</v>
      </c>
      <c r="T80" s="577">
        <f t="shared" si="45"/>
        <v>1.7102617739005281E-3</v>
      </c>
      <c r="U80" s="578">
        <f t="shared" si="57"/>
        <v>0.99953314801694659</v>
      </c>
      <c r="V80" s="579">
        <f t="shared" si="58"/>
        <v>-1.4237642217651256E-2</v>
      </c>
      <c r="W80" s="580">
        <f t="shared" si="46"/>
        <v>21.395843368685693</v>
      </c>
      <c r="X80" s="581">
        <f t="shared" si="47"/>
        <v>-105.76143617603699</v>
      </c>
      <c r="Y80" s="584">
        <f t="shared" si="48"/>
        <v>74.238563823963005</v>
      </c>
      <c r="AA80" s="147">
        <f t="shared" si="49"/>
        <v>1000000000</v>
      </c>
      <c r="AB80" s="147">
        <f t="shared" si="50"/>
        <v>229086.67689999999</v>
      </c>
      <c r="AD80" s="583">
        <f t="shared" si="51"/>
        <v>21.301727117169413</v>
      </c>
      <c r="AE80" s="584">
        <f t="shared" si="52"/>
        <v>-51.416126343979364</v>
      </c>
      <c r="AG80" s="583">
        <f t="shared" si="53"/>
        <v>28.729503477986022</v>
      </c>
      <c r="AH80" s="584">
        <f t="shared" si="54"/>
        <v>-52.713796211615971</v>
      </c>
      <c r="AJ80" s="147">
        <f t="shared" si="55"/>
        <v>0</v>
      </c>
      <c r="AK80" s="147">
        <f t="shared" si="33"/>
        <v>0</v>
      </c>
      <c r="AM80" s="147" t="str">
        <f t="shared" si="59"/>
        <v>0.000206853964136+0.0203387595420592i</v>
      </c>
      <c r="AN80" s="147" t="str">
        <f t="shared" si="60"/>
        <v>0.0203401620424506i</v>
      </c>
      <c r="AO80" s="147" t="str">
        <f t="shared" si="61"/>
        <v>0.999931047727719-0.0101697303937053i</v>
      </c>
      <c r="AP80" s="147" t="str">
        <f t="shared" si="62"/>
        <v>0.166632191005977-0.00338979325700987i</v>
      </c>
      <c r="AQ80" s="147" t="str">
        <f t="shared" si="63"/>
        <v>0.833367808994023+0.00338979325700987i</v>
      </c>
      <c r="AR80" s="147" t="str">
        <f t="shared" si="64"/>
        <v>0.999542109805597-0.00406572112259346i</v>
      </c>
    </row>
    <row r="81" spans="1:44">
      <c r="A81" s="147">
        <v>20</v>
      </c>
      <c r="G81" s="585">
        <v>524.80999999999995</v>
      </c>
      <c r="H81" s="573">
        <f t="shared" si="56"/>
        <v>0.52481</v>
      </c>
      <c r="I81" s="574">
        <f t="shared" si="34"/>
        <v>1.7881177200699736</v>
      </c>
      <c r="J81" s="575">
        <f t="shared" si="35"/>
        <v>0.97731877033817782</v>
      </c>
      <c r="K81" s="575">
        <f t="shared" si="36"/>
        <v>1.0000002631353817</v>
      </c>
      <c r="L81" s="576">
        <f t="shared" si="37"/>
        <v>7.2544513774427217E-4</v>
      </c>
      <c r="M81" s="575">
        <f t="shared" si="38"/>
        <v>1.000000605586745</v>
      </c>
      <c r="N81" s="576">
        <f t="shared" si="39"/>
        <v>-1.1005329974844171E-3</v>
      </c>
      <c r="O81" s="574">
        <f t="shared" si="40"/>
        <v>21763.357973108195</v>
      </c>
      <c r="P81" s="577">
        <f t="shared" si="41"/>
        <v>1.5707503780032814</v>
      </c>
      <c r="Q81" s="586">
        <f t="shared" si="42"/>
        <v>1.3306063001086055</v>
      </c>
      <c r="R81" s="587">
        <f t="shared" si="43"/>
        <v>0.72040729913704538</v>
      </c>
      <c r="S81" s="574">
        <f t="shared" si="44"/>
        <v>1.000001758328511</v>
      </c>
      <c r="T81" s="577">
        <f t="shared" si="45"/>
        <v>1.8752738118050516E-3</v>
      </c>
      <c r="U81" s="578">
        <f t="shared" si="57"/>
        <v>0.99951962697367847</v>
      </c>
      <c r="V81" s="579">
        <f t="shared" si="58"/>
        <v>-1.561123831505255E-2</v>
      </c>
      <c r="W81" s="580">
        <f t="shared" si="46"/>
        <v>20.392273639949622</v>
      </c>
      <c r="X81" s="581">
        <f t="shared" si="47"/>
        <v>-105.74070475189772</v>
      </c>
      <c r="Y81" s="584">
        <f t="shared" si="48"/>
        <v>74.259295248102276</v>
      </c>
      <c r="AA81" s="147">
        <f t="shared" si="49"/>
        <v>1000000000</v>
      </c>
      <c r="AB81" s="147">
        <f t="shared" si="50"/>
        <v>275425.53609999997</v>
      </c>
      <c r="AD81" s="583">
        <f t="shared" si="51"/>
        <v>20.831908225792581</v>
      </c>
      <c r="AE81" s="584">
        <f t="shared" si="52"/>
        <v>-48.828514887837983</v>
      </c>
      <c r="AG81" s="583">
        <f t="shared" si="53"/>
        <v>28.195987636503013</v>
      </c>
      <c r="AH81" s="584">
        <f t="shared" si="54"/>
        <v>-55.123273725164772</v>
      </c>
      <c r="AJ81" s="147">
        <f t="shared" si="55"/>
        <v>0</v>
      </c>
      <c r="AK81" s="147">
        <f t="shared" si="33"/>
        <v>0</v>
      </c>
      <c r="AM81" s="147" t="str">
        <f t="shared" si="59"/>
        <v>0.000248693932860977+0.0223008075425483i</v>
      </c>
      <c r="AN81" s="147" t="str">
        <f t="shared" si="60"/>
        <v>0.0223026564183159i</v>
      </c>
      <c r="AO81" s="147" t="str">
        <f t="shared" si="61"/>
        <v>0.999917100647882-0.0111508659863826i</v>
      </c>
      <c r="AP81" s="147" t="str">
        <f t="shared" si="62"/>
        <v>0.166625217677857-0.00371680125709138i</v>
      </c>
      <c r="AQ81" s="147" t="str">
        <f t="shared" si="63"/>
        <v>0.833374782322143+0.00371680125709138i</v>
      </c>
      <c r="AR81" s="147" t="str">
        <f t="shared" si="64"/>
        <v>0.999530401860665-0.00445784529714832i</v>
      </c>
    </row>
    <row r="82" spans="1:44">
      <c r="A82" s="147">
        <v>21</v>
      </c>
      <c r="G82" s="585">
        <v>575.44000000000005</v>
      </c>
      <c r="H82" s="573">
        <f t="shared" si="56"/>
        <v>0.57544000000000006</v>
      </c>
      <c r="I82" s="574">
        <f t="shared" si="34"/>
        <v>1.9083471309775368</v>
      </c>
      <c r="J82" s="575">
        <f t="shared" si="35"/>
        <v>1.0192396754953212</v>
      </c>
      <c r="K82" s="575">
        <f t="shared" si="36"/>
        <v>1.0000003163553095</v>
      </c>
      <c r="L82" s="576">
        <f t="shared" si="37"/>
        <v>7.9543098502783151E-4</v>
      </c>
      <c r="M82" s="575">
        <f t="shared" si="38"/>
        <v>1.0000007280684726</v>
      </c>
      <c r="N82" s="576">
        <f t="shared" si="39"/>
        <v>-1.2067046290303802E-3</v>
      </c>
      <c r="O82" s="574">
        <f t="shared" si="40"/>
        <v>23862.934604564201</v>
      </c>
      <c r="P82" s="577">
        <f t="shared" si="41"/>
        <v>1.5707544208006481</v>
      </c>
      <c r="Q82" s="586">
        <f t="shared" si="42"/>
        <v>1.3879307487877026</v>
      </c>
      <c r="R82" s="587">
        <f t="shared" si="43"/>
        <v>0.76627751484246831</v>
      </c>
      <c r="S82" s="574">
        <f t="shared" si="44"/>
        <v>1.0000021139554571</v>
      </c>
      <c r="T82" s="577">
        <f t="shared" si="45"/>
        <v>2.0561866321634017E-3</v>
      </c>
      <c r="U82" s="578">
        <f t="shared" si="57"/>
        <v>0.99950337351487095</v>
      </c>
      <c r="V82" s="579">
        <f t="shared" si="58"/>
        <v>-1.7117163714369985E-2</v>
      </c>
      <c r="W82" s="580">
        <f t="shared" si="46"/>
        <v>19.393310976618963</v>
      </c>
      <c r="X82" s="581">
        <f t="shared" si="47"/>
        <v>-105.61337956400129</v>
      </c>
      <c r="Y82" s="584">
        <f t="shared" si="48"/>
        <v>74.386620435998708</v>
      </c>
      <c r="AA82" s="147">
        <f t="shared" si="49"/>
        <v>1000000000</v>
      </c>
      <c r="AB82" s="147">
        <f t="shared" si="50"/>
        <v>331131.19360000006</v>
      </c>
      <c r="AD82" s="583">
        <f t="shared" si="51"/>
        <v>20.398310667119897</v>
      </c>
      <c r="AE82" s="584">
        <f t="shared" si="52"/>
        <v>-46.210942295864406</v>
      </c>
      <c r="AG82" s="583">
        <f t="shared" si="53"/>
        <v>27.63090502133997</v>
      </c>
      <c r="AH82" s="584">
        <f t="shared" si="54"/>
        <v>-57.440954789759793</v>
      </c>
      <c r="AJ82" s="147">
        <f t="shared" si="55"/>
        <v>0</v>
      </c>
      <c r="AK82" s="147">
        <f t="shared" si="33"/>
        <v>0</v>
      </c>
      <c r="AM82" s="147" t="str">
        <f t="shared" si="59"/>
        <v>0.000298990535175014+0.0244518235518275i</v>
      </c>
      <c r="AN82" s="147" t="str">
        <f t="shared" si="60"/>
        <v>0.0244542607979186i</v>
      </c>
      <c r="AO82" s="147" t="str">
        <f t="shared" si="61"/>
        <v>0.999900334501573-0.0122265210813676i</v>
      </c>
      <c r="AP82" s="147" t="str">
        <f t="shared" si="62"/>
        <v>0.166616834910804-0.00407530392530458i</v>
      </c>
      <c r="AQ82" s="147" t="str">
        <f t="shared" si="63"/>
        <v>0.833383165089196+0.00407530392530458i</v>
      </c>
      <c r="AR82" s="147" t="str">
        <f t="shared" si="64"/>
        <v>0.999516328145295-0.00488770710296335i</v>
      </c>
    </row>
    <row r="83" spans="1:44">
      <c r="A83" s="147">
        <v>22</v>
      </c>
      <c r="G83" s="585">
        <v>630.96</v>
      </c>
      <c r="H83" s="573">
        <f t="shared" si="56"/>
        <v>0.63096000000000008</v>
      </c>
      <c r="I83" s="574">
        <f t="shared" si="34"/>
        <v>2.043564221618873</v>
      </c>
      <c r="J83" s="575">
        <f t="shared" si="35"/>
        <v>1.0594622531647042</v>
      </c>
      <c r="K83" s="575">
        <f t="shared" si="36"/>
        <v>1.0000003803458437</v>
      </c>
      <c r="L83" s="576">
        <f t="shared" si="37"/>
        <v>8.7217627016294985E-4</v>
      </c>
      <c r="M83" s="575">
        <f t="shared" si="38"/>
        <v>1.0000008753379435</v>
      </c>
      <c r="N83" s="576">
        <f t="shared" si="39"/>
        <v>-1.3231306095871078E-3</v>
      </c>
      <c r="O83" s="574">
        <f t="shared" si="40"/>
        <v>26165.294758570086</v>
      </c>
      <c r="P83" s="577">
        <f t="shared" si="41"/>
        <v>1.5707581082305935</v>
      </c>
      <c r="Q83" s="586">
        <f t="shared" si="42"/>
        <v>1.4538668822267891</v>
      </c>
      <c r="R83" s="587">
        <f t="shared" si="43"/>
        <v>0.81231359606241449</v>
      </c>
      <c r="S83" s="574">
        <f t="shared" si="44"/>
        <v>1.0000025415537588</v>
      </c>
      <c r="T83" s="577">
        <f t="shared" si="45"/>
        <v>2.2545724099725406E-3</v>
      </c>
      <c r="U83" s="578">
        <f t="shared" si="57"/>
        <v>0.99948383168687838</v>
      </c>
      <c r="V83" s="579">
        <f t="shared" si="58"/>
        <v>-1.8768492154141045E-2</v>
      </c>
      <c r="W83" s="580">
        <f t="shared" si="46"/>
        <v>18.401622308471541</v>
      </c>
      <c r="X83" s="581">
        <f t="shared" si="47"/>
        <v>-105.38875597463462</v>
      </c>
      <c r="Y83" s="584">
        <f t="shared" si="48"/>
        <v>74.61124402536538</v>
      </c>
      <c r="AA83" s="147">
        <f t="shared" si="49"/>
        <v>1000000000</v>
      </c>
      <c r="AB83" s="147">
        <f t="shared" si="50"/>
        <v>398110.52160000004</v>
      </c>
      <c r="AD83" s="583">
        <f t="shared" si="51"/>
        <v>20.001408272188279</v>
      </c>
      <c r="AE83" s="584">
        <f t="shared" si="52"/>
        <v>-43.584847075596272</v>
      </c>
      <c r="AG83" s="583">
        <f t="shared" si="53"/>
        <v>27.036458396443749</v>
      </c>
      <c r="AH83" s="584">
        <f t="shared" si="54"/>
        <v>-59.653198120067444</v>
      </c>
      <c r="AJ83" s="147">
        <f t="shared" si="55"/>
        <v>0</v>
      </c>
      <c r="AK83" s="147">
        <f t="shared" si="33"/>
        <v>0</v>
      </c>
      <c r="AM83" s="147" t="str">
        <f t="shared" si="59"/>
        <v>0.000359465010690951+0.0268104607623143i</v>
      </c>
      <c r="AN83" s="147" t="str">
        <f t="shared" si="60"/>
        <v>0.0268136736984825i</v>
      </c>
      <c r="AO83" s="147" t="str">
        <f t="shared" si="61"/>
        <v>0.999880175458077-0.0134060336055814i</v>
      </c>
      <c r="AP83" s="147" t="str">
        <f t="shared" si="62"/>
        <v>0.166606755831552-0.00446841012705238i</v>
      </c>
      <c r="AQ83" s="147" t="str">
        <f t="shared" si="63"/>
        <v>0.833393244168448+0.00446841012705238i</v>
      </c>
      <c r="AR83" s="147" t="str">
        <f t="shared" si="64"/>
        <v>0.999499407413656-0.00535902265265701i</v>
      </c>
    </row>
    <row r="84" spans="1:44">
      <c r="A84" s="147">
        <v>23</v>
      </c>
      <c r="G84" s="585">
        <v>691.83</v>
      </c>
      <c r="H84" s="573">
        <f t="shared" si="56"/>
        <v>0.69183000000000006</v>
      </c>
      <c r="I84" s="574">
        <f t="shared" si="34"/>
        <v>2.1951161718319931</v>
      </c>
      <c r="J84" s="575">
        <f t="shared" si="35"/>
        <v>1.0977987905891178</v>
      </c>
      <c r="K84" s="575">
        <f t="shared" si="36"/>
        <v>1.0000004572711305</v>
      </c>
      <c r="L84" s="576">
        <f t="shared" si="37"/>
        <v>9.5631684741106029E-4</v>
      </c>
      <c r="M84" s="575">
        <f t="shared" si="38"/>
        <v>1.0000010523757725</v>
      </c>
      <c r="N84" s="576">
        <f t="shared" si="39"/>
        <v>-1.4507755508948829E-3</v>
      </c>
      <c r="O84" s="574">
        <f t="shared" si="40"/>
        <v>28689.514185681375</v>
      </c>
      <c r="P84" s="577">
        <f t="shared" si="41"/>
        <v>1.5707614708543698</v>
      </c>
      <c r="Q84" s="586">
        <f t="shared" si="42"/>
        <v>1.5293729534254534</v>
      </c>
      <c r="R84" s="587">
        <f t="shared" si="43"/>
        <v>0.85811776860055244</v>
      </c>
      <c r="S84" s="574">
        <f t="shared" si="44"/>
        <v>1.0000030555846107</v>
      </c>
      <c r="T84" s="577">
        <f t="shared" si="45"/>
        <v>2.4720747684092684E-3</v>
      </c>
      <c r="U84" s="578">
        <f t="shared" si="57"/>
        <v>0.99946034119837168</v>
      </c>
      <c r="V84" s="579">
        <f t="shared" si="58"/>
        <v>-2.0578887590756597E-2</v>
      </c>
      <c r="W84" s="580">
        <f t="shared" si="46"/>
        <v>17.419855511938302</v>
      </c>
      <c r="X84" s="581">
        <f t="shared" si="47"/>
        <v>-105.07976726486332</v>
      </c>
      <c r="Y84" s="584">
        <f t="shared" si="48"/>
        <v>74.920232735136679</v>
      </c>
      <c r="AA84" s="147">
        <f t="shared" si="49"/>
        <v>1000000000</v>
      </c>
      <c r="AB84" s="147">
        <f t="shared" si="50"/>
        <v>478628.74890000006</v>
      </c>
      <c r="AD84" s="583">
        <f t="shared" si="51"/>
        <v>19.641227788764333</v>
      </c>
      <c r="AE84" s="584">
        <f t="shared" si="52"/>
        <v>-40.973115933410647</v>
      </c>
      <c r="AG84" s="583">
        <f t="shared" si="53"/>
        <v>26.415280370456202</v>
      </c>
      <c r="AH84" s="584">
        <f t="shared" si="54"/>
        <v>-61.748484516709091</v>
      </c>
      <c r="AJ84" s="147">
        <f t="shared" si="55"/>
        <v>0</v>
      </c>
      <c r="AK84" s="147">
        <f t="shared" si="33"/>
        <v>0</v>
      </c>
      <c r="AM84" s="147" t="str">
        <f t="shared" si="59"/>
        <v>0.000432161910143947+0.029396208197181i</v>
      </c>
      <c r="AN84" s="147" t="str">
        <f t="shared" si="60"/>
        <v>0.0294004435698319i</v>
      </c>
      <c r="AO84" s="147" t="str">
        <f t="shared" si="61"/>
        <v>0.999855941879216-0.014699162926487i</v>
      </c>
      <c r="AP84" s="147" t="str">
        <f t="shared" si="62"/>
        <v>0.166594639681643-0.0048993680328635i</v>
      </c>
      <c r="AQ84" s="147" t="str">
        <f t="shared" si="63"/>
        <v>0.833405360318357+0.0048993680328635i</v>
      </c>
      <c r="AR84" s="147" t="str">
        <f t="shared" si="64"/>
        <v>0.99947906815312-0.00587567110698092i</v>
      </c>
    </row>
    <row r="85" spans="1:44">
      <c r="A85" s="147">
        <v>24</v>
      </c>
      <c r="G85" s="585">
        <v>758.58</v>
      </c>
      <c r="H85" s="573">
        <f t="shared" si="56"/>
        <v>0.75858000000000003</v>
      </c>
      <c r="I85" s="574">
        <f t="shared" si="34"/>
        <v>2.3645149756081447</v>
      </c>
      <c r="J85" s="575">
        <f t="shared" si="35"/>
        <v>1.134131370933644</v>
      </c>
      <c r="K85" s="575">
        <f t="shared" si="36"/>
        <v>1.0000005497658497</v>
      </c>
      <c r="L85" s="576">
        <f t="shared" si="37"/>
        <v>1.0485853307546833E-3</v>
      </c>
      <c r="M85" s="575">
        <f t="shared" si="38"/>
        <v>1.0000012652454691</v>
      </c>
      <c r="N85" s="576">
        <f t="shared" si="39"/>
        <v>-1.5907508509582164E-3</v>
      </c>
      <c r="O85" s="574">
        <f t="shared" si="40"/>
        <v>31457.571468062826</v>
      </c>
      <c r="P85" s="577">
        <f t="shared" si="41"/>
        <v>1.5707645379455513</v>
      </c>
      <c r="Q85" s="586">
        <f t="shared" si="42"/>
        <v>1.6154952194029919</v>
      </c>
      <c r="R85" s="587">
        <f t="shared" si="43"/>
        <v>0.90332084749590247</v>
      </c>
      <c r="S85" s="574">
        <f t="shared" si="44"/>
        <v>1.0000036736533677</v>
      </c>
      <c r="T85" s="577">
        <f t="shared" si="45"/>
        <v>2.7105874349568843E-3</v>
      </c>
      <c r="U85" s="578">
        <f t="shared" si="57"/>
        <v>0.99943209838397284</v>
      </c>
      <c r="V85" s="579">
        <f t="shared" si="58"/>
        <v>-2.2564089817630958E-2</v>
      </c>
      <c r="W85" s="580">
        <f t="shared" si="46"/>
        <v>16.449721630379042</v>
      </c>
      <c r="X85" s="581">
        <f t="shared" si="47"/>
        <v>-104.70184374415796</v>
      </c>
      <c r="Y85" s="584">
        <f t="shared" si="48"/>
        <v>75.298156255842045</v>
      </c>
      <c r="AA85" s="147">
        <f t="shared" si="49"/>
        <v>1000000000</v>
      </c>
      <c r="AB85" s="147">
        <f t="shared" si="50"/>
        <v>575443.61640000006</v>
      </c>
      <c r="AD85" s="583">
        <f t="shared" si="51"/>
        <v>19.317027897978377</v>
      </c>
      <c r="AE85" s="584">
        <f t="shared" si="52"/>
        <v>-38.397011789300251</v>
      </c>
      <c r="AG85" s="583">
        <f t="shared" si="53"/>
        <v>25.769837279471393</v>
      </c>
      <c r="AH85" s="584">
        <f t="shared" si="54"/>
        <v>-63.719177721694436</v>
      </c>
      <c r="AJ85" s="147">
        <f t="shared" si="55"/>
        <v>0</v>
      </c>
      <c r="AK85" s="147">
        <f t="shared" si="33"/>
        <v>0</v>
      </c>
      <c r="AM85" s="147" t="str">
        <f t="shared" si="59"/>
        <v>0.000519570104305034+0.0322315102891164i</v>
      </c>
      <c r="AN85" s="147" t="str">
        <f t="shared" si="60"/>
        <v>0.0322370936258952i</v>
      </c>
      <c r="AO85" s="147" t="str">
        <f t="shared" si="61"/>
        <v>0.999826803965531-0.0161171509545661i</v>
      </c>
      <c r="AP85" s="147" t="str">
        <f t="shared" si="62"/>
        <v>0.166580071649282-0.0053719183815194i</v>
      </c>
      <c r="AQ85" s="147" t="str">
        <f t="shared" si="63"/>
        <v>0.833419928350718+0.0053719183815194i</v>
      </c>
      <c r="AR85" s="147" t="str">
        <f t="shared" si="64"/>
        <v>0.999454614820786-0.00644211691394882i</v>
      </c>
    </row>
    <row r="86" spans="1:44">
      <c r="A86" s="147">
        <v>25</v>
      </c>
      <c r="G86" s="585">
        <v>831.76</v>
      </c>
      <c r="H86" s="573">
        <f t="shared" si="56"/>
        <v>0.83175999999999994</v>
      </c>
      <c r="I86" s="574">
        <f t="shared" si="34"/>
        <v>2.5533170209421665</v>
      </c>
      <c r="J86" s="575">
        <f t="shared" si="35"/>
        <v>1.1683749755777955</v>
      </c>
      <c r="K86" s="575">
        <f t="shared" si="36"/>
        <v>1.0000006609536727</v>
      </c>
      <c r="L86" s="576">
        <f t="shared" si="37"/>
        <v>1.1497419785107155E-3</v>
      </c>
      <c r="M86" s="575">
        <f t="shared" si="38"/>
        <v>1.000001521135915</v>
      </c>
      <c r="N86" s="576">
        <f t="shared" si="39"/>
        <v>-1.7442098421747367E-3</v>
      </c>
      <c r="O86" s="574">
        <f t="shared" si="40"/>
        <v>34492.274568340799</v>
      </c>
      <c r="P86" s="577">
        <f t="shared" si="41"/>
        <v>1.5707673347955966</v>
      </c>
      <c r="Q86" s="586">
        <f t="shared" si="42"/>
        <v>1.7133024204107439</v>
      </c>
      <c r="R86" s="587">
        <f t="shared" si="43"/>
        <v>0.94755750164865593</v>
      </c>
      <c r="S86" s="574">
        <f t="shared" si="44"/>
        <v>1.0000044166328612</v>
      </c>
      <c r="T86" s="577">
        <f t="shared" si="45"/>
        <v>2.9720755730131537E-3</v>
      </c>
      <c r="U86" s="578">
        <f t="shared" si="57"/>
        <v>0.99939815071782856</v>
      </c>
      <c r="V86" s="579">
        <f t="shared" si="58"/>
        <v>-2.4740425386205824E-2</v>
      </c>
      <c r="W86" s="580">
        <f t="shared" si="46"/>
        <v>15.492804071981539</v>
      </c>
      <c r="X86" s="581">
        <f t="shared" si="47"/>
        <v>-104.2721181431881</v>
      </c>
      <c r="Y86" s="584">
        <f t="shared" si="48"/>
        <v>75.727881856811905</v>
      </c>
      <c r="AA86" s="147">
        <f t="shared" si="49"/>
        <v>1000000000</v>
      </c>
      <c r="AB86" s="147">
        <f t="shared" si="50"/>
        <v>691824.69759999996</v>
      </c>
      <c r="AD86" s="583">
        <f t="shared" si="51"/>
        <v>19.027655617157556</v>
      </c>
      <c r="AE86" s="584">
        <f t="shared" si="52"/>
        <v>-35.877580618095628</v>
      </c>
      <c r="AG86" s="583">
        <f t="shared" si="53"/>
        <v>25.10288207837921</v>
      </c>
      <c r="AH86" s="584">
        <f t="shared" si="54"/>
        <v>-65.559493605877151</v>
      </c>
      <c r="AJ86" s="147">
        <f t="shared" si="55"/>
        <v>0</v>
      </c>
      <c r="AK86" s="147">
        <f>IF(AJ86&gt;0,Y86,0)</f>
        <v>0</v>
      </c>
      <c r="AM86" s="147" t="str">
        <f t="shared" si="59"/>
        <v>0.000624640058890957+0.0353396369899126i</v>
      </c>
      <c r="AN86" s="147" t="str">
        <f t="shared" si="60"/>
        <v>0.0353469970132018i</v>
      </c>
      <c r="AO86" s="147" t="str">
        <f t="shared" si="61"/>
        <v>0.999791777975185-0.0176716584624617i</v>
      </c>
      <c r="AP86" s="147" t="str">
        <f t="shared" si="62"/>
        <v>0.166562559990185-0.00588993949831877i</v>
      </c>
      <c r="AQ86" s="147" t="str">
        <f t="shared" si="63"/>
        <v>0.833437440009815+0.00588993949831877i</v>
      </c>
      <c r="AR86" s="147" t="str">
        <f t="shared" si="64"/>
        <v>0.999425223146057-0.0070629825525413i</v>
      </c>
    </row>
    <row r="87" spans="1:44">
      <c r="A87" s="147">
        <v>26</v>
      </c>
      <c r="G87" s="585">
        <v>912.01</v>
      </c>
      <c r="H87" s="573">
        <f t="shared" si="56"/>
        <v>0.91200999999999999</v>
      </c>
      <c r="I87" s="574">
        <f t="shared" si="34"/>
        <v>2.7633059389788439</v>
      </c>
      <c r="J87" s="575">
        <f t="shared" si="35"/>
        <v>1.2005067760919921</v>
      </c>
      <c r="K87" s="575">
        <f t="shared" si="36"/>
        <v>1.0000007946467835</v>
      </c>
      <c r="L87" s="576">
        <f t="shared" si="37"/>
        <v>1.2606714537406671E-3</v>
      </c>
      <c r="M87" s="575">
        <f t="shared" si="38"/>
        <v>1.0000018288205463</v>
      </c>
      <c r="N87" s="576">
        <f t="shared" si="39"/>
        <v>-1.912494580005492E-3</v>
      </c>
      <c r="O87" s="574">
        <f t="shared" si="40"/>
        <v>37820.163661210259</v>
      </c>
      <c r="P87" s="577">
        <f t="shared" si="41"/>
        <v>1.5707698858728245</v>
      </c>
      <c r="Q87" s="586">
        <f t="shared" si="42"/>
        <v>1.8239752288760036</v>
      </c>
      <c r="R87" s="587">
        <f t="shared" si="43"/>
        <v>0.99052238336445564</v>
      </c>
      <c r="S87" s="574">
        <f t="shared" si="44"/>
        <v>1.0000053099966137</v>
      </c>
      <c r="T87" s="577">
        <f t="shared" si="45"/>
        <v>3.2588258981008406E-3</v>
      </c>
      <c r="U87" s="578">
        <f t="shared" si="57"/>
        <v>0.99935733610924282</v>
      </c>
      <c r="V87" s="579">
        <f t="shared" si="58"/>
        <v>-2.7126886806755436E-2</v>
      </c>
      <c r="W87" s="580">
        <f t="shared" si="46"/>
        <v>14.549627576938136</v>
      </c>
      <c r="X87" s="581">
        <f t="shared" si="47"/>
        <v>-103.80802444189152</v>
      </c>
      <c r="Y87" s="584">
        <f t="shared" si="48"/>
        <v>76.191975558108481</v>
      </c>
      <c r="AA87" s="147">
        <f t="shared" si="49"/>
        <v>1000000000</v>
      </c>
      <c r="AB87" s="147">
        <f t="shared" si="50"/>
        <v>831762.24009999994</v>
      </c>
      <c r="AD87" s="583">
        <f t="shared" si="51"/>
        <v>18.771314621901258</v>
      </c>
      <c r="AE87" s="584">
        <f t="shared" si="52"/>
        <v>-33.432449975067428</v>
      </c>
      <c r="AG87" s="583">
        <f t="shared" si="53"/>
        <v>24.41675604243235</v>
      </c>
      <c r="AH87" s="584">
        <f t="shared" si="54"/>
        <v>-67.267062212559694</v>
      </c>
      <c r="AJ87" s="147">
        <f t="shared" si="55"/>
        <v>0</v>
      </c>
      <c r="AK87" s="147">
        <f t="shared" ref="AK87:AK150" si="65">IF(AJ87&gt;0,Y87,0)</f>
        <v>0</v>
      </c>
      <c r="AM87" s="147" t="str">
        <f t="shared" si="59"/>
        <v>0.000750972138534034+0.0387476491921098i</v>
      </c>
      <c r="AN87" s="147" t="str">
        <f t="shared" si="60"/>
        <v>0.0387573515749857i</v>
      </c>
      <c r="AO87" s="147" t="str">
        <f t="shared" si="61"/>
        <v>0.999749663419155-0.0193762501310517i</v>
      </c>
      <c r="AP87" s="147" t="str">
        <f t="shared" si="62"/>
        <v>0.166541504643578-0.0064579415320183i</v>
      </c>
      <c r="AQ87" s="147" t="str">
        <f t="shared" si="63"/>
        <v>0.833458495356422+0.0064579415320183i</v>
      </c>
      <c r="AR87" s="147" t="str">
        <f t="shared" si="64"/>
        <v>0.999389887648581-0.00774363870316646i</v>
      </c>
    </row>
    <row r="88" spans="1:44">
      <c r="A88" s="147">
        <v>27</v>
      </c>
      <c r="G88" s="585">
        <v>1000</v>
      </c>
      <c r="H88" s="573">
        <f t="shared" si="56"/>
        <v>1</v>
      </c>
      <c r="I88" s="574">
        <f t="shared" si="34"/>
        <v>2.9963432397380156</v>
      </c>
      <c r="J88" s="575">
        <f t="shared" si="35"/>
        <v>1.2305279051425875</v>
      </c>
      <c r="K88" s="575">
        <f t="shared" si="36"/>
        <v>1.0000009553772475</v>
      </c>
      <c r="L88" s="576">
        <f t="shared" si="37"/>
        <v>1.3822998855881213E-3</v>
      </c>
      <c r="M88" s="575">
        <f t="shared" si="38"/>
        <v>1.0000021987295407</v>
      </c>
      <c r="N88" s="576">
        <f t="shared" si="39"/>
        <v>-2.0970100200366397E-3</v>
      </c>
      <c r="O88" s="574">
        <f t="shared" si="40"/>
        <v>41469.022992057195</v>
      </c>
      <c r="P88" s="577">
        <f t="shared" si="41"/>
        <v>1.5707722124095569</v>
      </c>
      <c r="Q88" s="586">
        <f t="shared" si="42"/>
        <v>1.948727018438041</v>
      </c>
      <c r="R88" s="587">
        <f t="shared" si="43"/>
        <v>1.0319390804792312</v>
      </c>
      <c r="S88" s="574">
        <f t="shared" si="44"/>
        <v>1.0000063840283993</v>
      </c>
      <c r="T88" s="577">
        <f t="shared" si="45"/>
        <v>3.5732322723690335E-3</v>
      </c>
      <c r="U88" s="578">
        <f t="shared" si="57"/>
        <v>0.99930827364045327</v>
      </c>
      <c r="V88" s="579">
        <f t="shared" si="58"/>
        <v>-2.9743344690081483E-2</v>
      </c>
      <c r="W88" s="580">
        <f t="shared" si="46"/>
        <v>13.620578017197376</v>
      </c>
      <c r="X88" s="581">
        <f t="shared" si="47"/>
        <v>-103.32676909928668</v>
      </c>
      <c r="Y88" s="584">
        <f t="shared" si="48"/>
        <v>76.673230900713321</v>
      </c>
      <c r="AA88" s="147">
        <f t="shared" si="49"/>
        <v>1000000000</v>
      </c>
      <c r="AB88" s="147">
        <f t="shared" si="50"/>
        <v>1000000</v>
      </c>
      <c r="AD88" s="583">
        <f t="shared" si="51"/>
        <v>18.545938711522979</v>
      </c>
      <c r="AE88" s="584">
        <f t="shared" si="52"/>
        <v>-31.077595485361545</v>
      </c>
      <c r="AG88" s="583">
        <f t="shared" si="53"/>
        <v>23.713935264480238</v>
      </c>
      <c r="AH88" s="584">
        <f t="shared" si="54"/>
        <v>-68.840837371341507</v>
      </c>
      <c r="AJ88" s="147">
        <f t="shared" si="55"/>
        <v>0</v>
      </c>
      <c r="AK88" s="147">
        <f t="shared" si="65"/>
        <v>0</v>
      </c>
      <c r="AM88" s="147" t="str">
        <f t="shared" si="59"/>
        <v>0.000902845895111026+0.0424838399807662i</v>
      </c>
      <c r="AN88" s="147" t="str">
        <f t="shared" si="60"/>
        <v>0.0424966300533829i</v>
      </c>
      <c r="AO88" s="147" t="str">
        <f t="shared" si="61"/>
        <v>0.999699033250386-0.021245117412296i</v>
      </c>
      <c r="AP88" s="147" t="str">
        <f t="shared" si="62"/>
        <v>0.166516192350815-0.00708063999679437i</v>
      </c>
      <c r="AQ88" s="147" t="str">
        <f t="shared" si="63"/>
        <v>0.833483807649185+0.00708063999679437i</v>
      </c>
      <c r="AR88" s="147" t="str">
        <f t="shared" si="64"/>
        <v>0.999347413730418-0.00848969014564338i</v>
      </c>
    </row>
    <row r="89" spans="1:44">
      <c r="A89" s="147">
        <v>28</v>
      </c>
      <c r="G89" s="585">
        <v>1096.5</v>
      </c>
      <c r="H89" s="573">
        <f t="shared" si="56"/>
        <v>1.0965</v>
      </c>
      <c r="I89" s="574">
        <f t="shared" si="34"/>
        <v>3.254555986804363</v>
      </c>
      <c r="J89" s="575">
        <f t="shared" si="35"/>
        <v>1.2584822659967501</v>
      </c>
      <c r="K89" s="575">
        <f t="shared" si="36"/>
        <v>1.0000011486616569</v>
      </c>
      <c r="L89" s="576">
        <f t="shared" si="37"/>
        <v>1.5156916292411388E-3</v>
      </c>
      <c r="M89" s="575">
        <f t="shared" si="38"/>
        <v>1.0000026435588734</v>
      </c>
      <c r="N89" s="576">
        <f t="shared" si="39"/>
        <v>-2.2993708050862314E-3</v>
      </c>
      <c r="O89" s="574">
        <f t="shared" si="40"/>
        <v>45470.783708566079</v>
      </c>
      <c r="P89" s="577">
        <f t="shared" si="41"/>
        <v>1.5707743346514031</v>
      </c>
      <c r="Q89" s="586">
        <f t="shared" si="42"/>
        <v>2.0889023423269828</v>
      </c>
      <c r="R89" s="587">
        <f t="shared" si="43"/>
        <v>1.0715997416680236</v>
      </c>
      <c r="S89" s="574">
        <f t="shared" si="44"/>
        <v>1.0000076755905918</v>
      </c>
      <c r="T89" s="577">
        <f t="shared" si="45"/>
        <v>3.9180458130686898E-3</v>
      </c>
      <c r="U89" s="578">
        <f t="shared" si="57"/>
        <v>0.99924928323143436</v>
      </c>
      <c r="V89" s="579">
        <f t="shared" si="58"/>
        <v>-3.2612624772091724E-2</v>
      </c>
      <c r="W89" s="580">
        <f t="shared" si="46"/>
        <v>12.705225766882769</v>
      </c>
      <c r="X89" s="581">
        <f t="shared" si="47"/>
        <v>-102.84427472587966</v>
      </c>
      <c r="Y89" s="584">
        <f t="shared" si="48"/>
        <v>77.155725274120343</v>
      </c>
      <c r="AA89" s="147">
        <f t="shared" si="49"/>
        <v>1000000000</v>
      </c>
      <c r="AB89" s="147">
        <f t="shared" si="50"/>
        <v>1202312.25</v>
      </c>
      <c r="AD89" s="583">
        <f t="shared" si="51"/>
        <v>18.349097380111235</v>
      </c>
      <c r="AE89" s="584">
        <f t="shared" si="52"/>
        <v>-28.825084940073527</v>
      </c>
      <c r="AG89" s="583">
        <f t="shared" si="53"/>
        <v>22.996449853561028</v>
      </c>
      <c r="AH89" s="584">
        <f t="shared" si="54"/>
        <v>-70.282058264966523</v>
      </c>
      <c r="AJ89" s="147">
        <f t="shared" si="55"/>
        <v>0</v>
      </c>
      <c r="AK89" s="147">
        <f t="shared" si="65"/>
        <v>0</v>
      </c>
      <c r="AM89" s="147" t="str">
        <f t="shared" si="59"/>
        <v>0.00108546962824996+0.0465806935562974i</v>
      </c>
      <c r="AN89" s="147" t="str">
        <f t="shared" si="60"/>
        <v>0.0465975548535343i</v>
      </c>
      <c r="AO89" s="147" t="str">
        <f t="shared" si="61"/>
        <v>0.999638150600608-0.0232945619499095i</v>
      </c>
      <c r="AP89" s="147" t="str">
        <f t="shared" si="62"/>
        <v>0.166485755061958-0.00776344892604957i</v>
      </c>
      <c r="AQ89" s="147" t="str">
        <f t="shared" si="63"/>
        <v>0.833514244938042+0.00776344892604957i</v>
      </c>
      <c r="AR89" s="147" t="str">
        <f t="shared" si="64"/>
        <v>0.99929634828695-0.00930756277895437i</v>
      </c>
    </row>
    <row r="90" spans="1:44">
      <c r="A90" s="147">
        <v>29</v>
      </c>
      <c r="G90" s="585">
        <v>1202.3</v>
      </c>
      <c r="H90" s="573">
        <f t="shared" si="56"/>
        <v>1.2022999999999999</v>
      </c>
      <c r="I90" s="574">
        <f t="shared" si="34"/>
        <v>3.5401279655945053</v>
      </c>
      <c r="J90" s="575">
        <f t="shared" si="35"/>
        <v>1.2844224268222963</v>
      </c>
      <c r="K90" s="575">
        <f t="shared" si="36"/>
        <v>1.0000013810216788</v>
      </c>
      <c r="L90" s="576">
        <f t="shared" si="37"/>
        <v>1.6619386808463053E-3</v>
      </c>
      <c r="M90" s="575">
        <f t="shared" si="38"/>
        <v>1.0000031783176002</v>
      </c>
      <c r="N90" s="576">
        <f t="shared" si="39"/>
        <v>-2.5212335005792719E-3</v>
      </c>
      <c r="O90" s="574">
        <f t="shared" si="40"/>
        <v>49858.206338882439</v>
      </c>
      <c r="P90" s="577">
        <f t="shared" si="41"/>
        <v>1.5707762699161298</v>
      </c>
      <c r="Q90" s="586">
        <f t="shared" si="42"/>
        <v>2.2458651945766661</v>
      </c>
      <c r="R90" s="587">
        <f t="shared" si="43"/>
        <v>1.1093286991048465</v>
      </c>
      <c r="S90" s="574">
        <f t="shared" si="44"/>
        <v>1.0000092282613793</v>
      </c>
      <c r="T90" s="577">
        <f t="shared" si="45"/>
        <v>4.2960890150561563E-3</v>
      </c>
      <c r="U90" s="578">
        <f t="shared" si="57"/>
        <v>0.99917838002017145</v>
      </c>
      <c r="V90" s="579">
        <f t="shared" si="58"/>
        <v>-3.5758123125518071E-2</v>
      </c>
      <c r="W90" s="580">
        <f t="shared" si="46"/>
        <v>11.803285058649195</v>
      </c>
      <c r="X90" s="581">
        <f t="shared" si="47"/>
        <v>-102.37515383380452</v>
      </c>
      <c r="Y90" s="584">
        <f t="shared" si="48"/>
        <v>77.624846166195482</v>
      </c>
      <c r="AA90" s="147">
        <f t="shared" si="49"/>
        <v>1000000000</v>
      </c>
      <c r="AB90" s="147">
        <f t="shared" si="50"/>
        <v>1445525.2899999998</v>
      </c>
      <c r="AD90" s="583">
        <f t="shared" si="51"/>
        <v>18.178310628616252</v>
      </c>
      <c r="AE90" s="584">
        <f t="shared" si="52"/>
        <v>-26.68514607351818</v>
      </c>
      <c r="AG90" s="583">
        <f t="shared" si="53"/>
        <v>22.266528580856185</v>
      </c>
      <c r="AH90" s="584">
        <f t="shared" si="54"/>
        <v>-71.592428678801497</v>
      </c>
      <c r="AJ90" s="147">
        <f t="shared" si="55"/>
        <v>0</v>
      </c>
      <c r="AK90" s="147">
        <f t="shared" si="65"/>
        <v>0</v>
      </c>
      <c r="AM90" s="147" t="str">
        <f t="shared" si="59"/>
        <v>0.00130499906774795+0.0510714706360541i</v>
      </c>
      <c r="AN90" s="147" t="str">
        <f t="shared" si="60"/>
        <v>0.0510936983131822i</v>
      </c>
      <c r="AO90" s="147" t="str">
        <f t="shared" si="61"/>
        <v>0.999564962454042-0.0255412919955191i</v>
      </c>
      <c r="AP90" s="147" t="str">
        <f t="shared" si="62"/>
        <v>0.166449166822042-0.00851191177267568i</v>
      </c>
      <c r="AQ90" s="147" t="str">
        <f t="shared" si="63"/>
        <v>0.833550833177958+0.00851191177267568i</v>
      </c>
      <c r="AR90" s="147" t="str">
        <f t="shared" si="64"/>
        <v>0.999234975072377-0.0102038167433179i</v>
      </c>
    </row>
    <row r="91" spans="1:44">
      <c r="A91" s="147">
        <v>30</v>
      </c>
      <c r="G91" s="585">
        <v>1318.3</v>
      </c>
      <c r="H91" s="573">
        <f t="shared" si="56"/>
        <v>1.3183</v>
      </c>
      <c r="I91" s="574">
        <f t="shared" si="34"/>
        <v>3.8555429618363375</v>
      </c>
      <c r="J91" s="575">
        <f t="shared" si="35"/>
        <v>1.3084297753820251</v>
      </c>
      <c r="K91" s="575">
        <f t="shared" si="36"/>
        <v>1.0000016603637587</v>
      </c>
      <c r="L91" s="576">
        <f t="shared" si="37"/>
        <v>1.8222850827138385E-3</v>
      </c>
      <c r="M91" s="575">
        <f t="shared" si="38"/>
        <v>1.0000038212017082</v>
      </c>
      <c r="N91" s="576">
        <f t="shared" si="39"/>
        <v>-2.76448531921896E-3</v>
      </c>
      <c r="O91" s="574">
        <f t="shared" si="40"/>
        <v>54668.613003680017</v>
      </c>
      <c r="P91" s="577">
        <f t="shared" si="41"/>
        <v>1.5707780347632332</v>
      </c>
      <c r="Q91" s="586">
        <f t="shared" si="42"/>
        <v>2.4211322133252287</v>
      </c>
      <c r="R91" s="587">
        <f t="shared" si="43"/>
        <v>1.1450178253776373</v>
      </c>
      <c r="S91" s="574">
        <f t="shared" si="44"/>
        <v>1.0000110948718801</v>
      </c>
      <c r="T91" s="577">
        <f t="shared" si="45"/>
        <v>4.7105773108740683E-3</v>
      </c>
      <c r="U91" s="578">
        <f t="shared" si="57"/>
        <v>0.99909315941872989</v>
      </c>
      <c r="V91" s="579">
        <f t="shared" si="58"/>
        <v>-3.92064743904341E-2</v>
      </c>
      <c r="W91" s="580">
        <f t="shared" si="46"/>
        <v>10.913872608314488</v>
      </c>
      <c r="X91" s="581">
        <f t="shared" si="47"/>
        <v>-101.93201292566627</v>
      </c>
      <c r="Y91" s="584">
        <f t="shared" si="48"/>
        <v>78.067987074333729</v>
      </c>
      <c r="AA91" s="147">
        <f t="shared" si="49"/>
        <v>1000000000</v>
      </c>
      <c r="AB91" s="147">
        <f t="shared" si="50"/>
        <v>1737914.89</v>
      </c>
      <c r="AD91" s="583">
        <f t="shared" si="51"/>
        <v>18.030962744018904</v>
      </c>
      <c r="AE91" s="584">
        <f t="shared" si="52"/>
        <v>-24.664159309566937</v>
      </c>
      <c r="AG91" s="583">
        <f t="shared" si="53"/>
        <v>21.525945729139874</v>
      </c>
      <c r="AH91" s="584">
        <f t="shared" si="54"/>
        <v>-72.77512258664639</v>
      </c>
      <c r="AJ91" s="147">
        <f t="shared" si="55"/>
        <v>0</v>
      </c>
      <c r="AK91" s="147">
        <f t="shared" si="65"/>
        <v>0</v>
      </c>
      <c r="AM91" s="147" t="str">
        <f t="shared" si="59"/>
        <v>0.00156889507563696+0.0559940061034729i</v>
      </c>
      <c r="AN91" s="147" t="str">
        <f t="shared" si="60"/>
        <v>0.0560233073993747i</v>
      </c>
      <c r="AO91" s="147" t="str">
        <f t="shared" si="61"/>
        <v>0.999476980255862-0.0280043279925039i</v>
      </c>
      <c r="AP91" s="147" t="str">
        <f t="shared" si="62"/>
        <v>0.16640518415406-0.00933233435057882i</v>
      </c>
      <c r="AQ91" s="147" t="str">
        <f t="shared" si="63"/>
        <v>0.83359481584594+0.00933233435057882i</v>
      </c>
      <c r="AR91" s="147" t="str">
        <f t="shared" si="64"/>
        <v>0.999161215530331-0.0111858979401128i</v>
      </c>
    </row>
    <row r="92" spans="1:44">
      <c r="A92" s="147">
        <v>31</v>
      </c>
      <c r="G92" s="585">
        <v>1445.4</v>
      </c>
      <c r="H92" s="573">
        <f t="shared" si="56"/>
        <v>1.4454</v>
      </c>
      <c r="I92" s="574">
        <f t="shared" si="34"/>
        <v>4.2032891178738288</v>
      </c>
      <c r="J92" s="575">
        <f t="shared" si="35"/>
        <v>1.3305839341855425</v>
      </c>
      <c r="K92" s="575">
        <f t="shared" si="36"/>
        <v>1.0000019959551076</v>
      </c>
      <c r="L92" s="576">
        <f t="shared" si="37"/>
        <v>1.9979748685978144E-3</v>
      </c>
      <c r="M92" s="575">
        <f t="shared" si="38"/>
        <v>1.0000045935388322</v>
      </c>
      <c r="N92" s="576">
        <f t="shared" si="39"/>
        <v>-3.031013443836376E-3</v>
      </c>
      <c r="O92" s="574">
        <f t="shared" si="40"/>
        <v>59939.325823633779</v>
      </c>
      <c r="P92" s="577">
        <f t="shared" si="41"/>
        <v>1.5707796432572307</v>
      </c>
      <c r="Q92" s="586">
        <f t="shared" si="42"/>
        <v>2.616211302419039</v>
      </c>
      <c r="R92" s="587">
        <f t="shared" si="43"/>
        <v>1.178585689581922</v>
      </c>
      <c r="S92" s="574">
        <f t="shared" si="44"/>
        <v>1.0000133373454871</v>
      </c>
      <c r="T92" s="577">
        <f t="shared" si="45"/>
        <v>5.1647259852815354E-3</v>
      </c>
      <c r="U92" s="578">
        <f t="shared" si="57"/>
        <v>0.99899080577108645</v>
      </c>
      <c r="V92" s="579">
        <f t="shared" si="58"/>
        <v>-4.298427161138154E-2</v>
      </c>
      <c r="W92" s="580">
        <f t="shared" si="46"/>
        <v>10.036508799770052</v>
      </c>
      <c r="X92" s="581">
        <f t="shared" si="47"/>
        <v>-101.52582522940887</v>
      </c>
      <c r="Y92" s="584">
        <f t="shared" si="48"/>
        <v>78.474174770591134</v>
      </c>
      <c r="AA92" s="147">
        <f t="shared" si="49"/>
        <v>1000000000</v>
      </c>
      <c r="AB92" s="147">
        <f t="shared" si="50"/>
        <v>2089181.1600000001</v>
      </c>
      <c r="AD92" s="583">
        <f t="shared" si="51"/>
        <v>17.904553530113269</v>
      </c>
      <c r="AE92" s="584">
        <f t="shared" si="52"/>
        <v>-22.766975323457753</v>
      </c>
      <c r="AG92" s="583">
        <f t="shared" si="53"/>
        <v>20.776770904528263</v>
      </c>
      <c r="AH92" s="584">
        <f t="shared" si="54"/>
        <v>-73.833215202770447</v>
      </c>
      <c r="AJ92" s="147">
        <f t="shared" si="55"/>
        <v>0</v>
      </c>
      <c r="AK92" s="147">
        <f t="shared" si="65"/>
        <v>0</v>
      </c>
      <c r="AM92" s="147" t="str">
        <f t="shared" si="59"/>
        <v>0.00188589946100504+0.0613860106639349i</v>
      </c>
      <c r="AN92" s="147" t="str">
        <f t="shared" si="60"/>
        <v>0.0614246290791596i</v>
      </c>
      <c r="AO92" s="147" t="str">
        <f t="shared" si="61"/>
        <v>0.999371287774893-0.0307026593286323i</v>
      </c>
      <c r="AP92" s="147" t="str">
        <f t="shared" si="62"/>
        <v>0.166352350089832-0.0102310017773225i</v>
      </c>
      <c r="AQ92" s="147" t="str">
        <f t="shared" si="63"/>
        <v>0.833647649910168+0.0102310017773225i</v>
      </c>
      <c r="AR92" s="147" t="str">
        <f t="shared" si="64"/>
        <v>0.999072636757604-0.0122611920317208i</v>
      </c>
    </row>
    <row r="93" spans="1:44">
      <c r="A93" s="147">
        <v>32</v>
      </c>
      <c r="G93" s="585">
        <v>1584.9</v>
      </c>
      <c r="H93" s="573">
        <f t="shared" si="56"/>
        <v>1.5849000000000002</v>
      </c>
      <c r="I93" s="574">
        <f t="shared" si="34"/>
        <v>4.5869581420169228</v>
      </c>
      <c r="J93" s="575">
        <f t="shared" si="35"/>
        <v>1.351021981511509</v>
      </c>
      <c r="K93" s="575">
        <f t="shared" si="36"/>
        <v>1.0000023998180274</v>
      </c>
      <c r="L93" s="576">
        <f t="shared" si="37"/>
        <v>2.1908049790114919E-3</v>
      </c>
      <c r="M93" s="575">
        <f t="shared" si="38"/>
        <v>1.0000055229971652</v>
      </c>
      <c r="N93" s="576">
        <f t="shared" si="39"/>
        <v>-3.323543815202694E-3</v>
      </c>
      <c r="O93" s="574">
        <f t="shared" si="40"/>
        <v>65724.254528609541</v>
      </c>
      <c r="P93" s="577">
        <f t="shared" si="41"/>
        <v>1.5707811117117099</v>
      </c>
      <c r="Q93" s="586">
        <f t="shared" si="42"/>
        <v>2.833223531502024</v>
      </c>
      <c r="R93" s="587">
        <f t="shared" si="43"/>
        <v>1.2100689873214847</v>
      </c>
      <c r="S93" s="574">
        <f t="shared" si="44"/>
        <v>1.0000160360146824</v>
      </c>
      <c r="T93" s="577">
        <f t="shared" si="45"/>
        <v>5.6631793880401564E-3</v>
      </c>
      <c r="U93" s="578">
        <f t="shared" si="57"/>
        <v>0.99886766907675439</v>
      </c>
      <c r="V93" s="579">
        <f t="shared" si="58"/>
        <v>-4.7129941043799653E-2</v>
      </c>
      <c r="W93" s="580">
        <f t="shared" si="46"/>
        <v>9.1686001233828307</v>
      </c>
      <c r="X93" s="581">
        <f t="shared" si="47"/>
        <v>-101.16486417504119</v>
      </c>
      <c r="Y93" s="584">
        <f t="shared" si="48"/>
        <v>78.835135824958812</v>
      </c>
      <c r="AA93" s="147">
        <f t="shared" si="49"/>
        <v>1000000000</v>
      </c>
      <c r="AB93" s="147">
        <f t="shared" si="50"/>
        <v>2511908.0100000002</v>
      </c>
      <c r="AD93" s="583">
        <f t="shared" si="51"/>
        <v>17.79641424290287</v>
      </c>
      <c r="AE93" s="584">
        <f t="shared" si="52"/>
        <v>-20.991758648304629</v>
      </c>
      <c r="AG93" s="583">
        <f t="shared" si="53"/>
        <v>20.019142911756006</v>
      </c>
      <c r="AH93" s="584">
        <f t="shared" si="54"/>
        <v>-74.772412099545136</v>
      </c>
      <c r="AJ93" s="147">
        <f t="shared" si="55"/>
        <v>0</v>
      </c>
      <c r="AK93" s="147">
        <f t="shared" si="65"/>
        <v>0</v>
      </c>
      <c r="AM93" s="147" t="str">
        <f t="shared" si="59"/>
        <v>0.002267349842488+0.0673019970704248i</v>
      </c>
      <c r="AN93" s="147" t="str">
        <f t="shared" si="60"/>
        <v>0.0673529089716065i</v>
      </c>
      <c r="AO93" s="147" t="str">
        <f t="shared" si="61"/>
        <v>0.999244102415782-0.0336637255481249i</v>
      </c>
      <c r="AP93" s="147" t="str">
        <f t="shared" si="62"/>
        <v>0.166288775026252-0.0112169995117375i</v>
      </c>
      <c r="AQ93" s="147" t="str">
        <f t="shared" si="63"/>
        <v>0.833711224973748+0.0112169995117375i</v>
      </c>
      <c r="AR93" s="147" t="str">
        <f t="shared" si="64"/>
        <v>0.998966085893709-0.0134403877050653i</v>
      </c>
    </row>
    <row r="94" spans="1:44">
      <c r="A94" s="147">
        <v>33</v>
      </c>
      <c r="G94" s="585">
        <v>1737.8</v>
      </c>
      <c r="H94" s="573">
        <f t="shared" si="56"/>
        <v>1.7378</v>
      </c>
      <c r="I94" s="574">
        <f t="shared" si="34"/>
        <v>5.0093284708604031</v>
      </c>
      <c r="J94" s="575">
        <f t="shared" si="35"/>
        <v>1.3698185153004241</v>
      </c>
      <c r="K94" s="575">
        <f t="shared" si="36"/>
        <v>1.0000028851876264</v>
      </c>
      <c r="L94" s="576">
        <f t="shared" si="37"/>
        <v>2.4021576507048908E-3</v>
      </c>
      <c r="M94" s="575">
        <f t="shared" si="38"/>
        <v>1.0000066400359808</v>
      </c>
      <c r="N94" s="576">
        <f t="shared" si="39"/>
        <v>-3.644173222911998E-3</v>
      </c>
      <c r="O94" s="574">
        <f t="shared" si="40"/>
        <v>72064.868141582192</v>
      </c>
      <c r="P94" s="577">
        <f t="shared" si="41"/>
        <v>1.5707824504078884</v>
      </c>
      <c r="Q94" s="586">
        <f t="shared" si="42"/>
        <v>3.0738280034879191</v>
      </c>
      <c r="R94" s="587">
        <f t="shared" si="43"/>
        <v>1.2394385471837586</v>
      </c>
      <c r="S94" s="574">
        <f t="shared" si="44"/>
        <v>1.0000192793148528</v>
      </c>
      <c r="T94" s="577">
        <f t="shared" si="45"/>
        <v>6.2095096609252236E-3</v>
      </c>
      <c r="U94" s="578">
        <f t="shared" si="57"/>
        <v>0.99871973817725057</v>
      </c>
      <c r="V94" s="579">
        <f t="shared" si="58"/>
        <v>-5.1672919012769679E-2</v>
      </c>
      <c r="W94" s="580">
        <f t="shared" si="46"/>
        <v>8.3102206493603923</v>
      </c>
      <c r="X94" s="581">
        <f t="shared" si="47"/>
        <v>-100.85700808431734</v>
      </c>
      <c r="Y94" s="584">
        <f t="shared" si="48"/>
        <v>79.142991915682657</v>
      </c>
      <c r="AA94" s="147">
        <f t="shared" si="49"/>
        <v>1000000000</v>
      </c>
      <c r="AB94" s="147">
        <f t="shared" si="50"/>
        <v>3019948.84</v>
      </c>
      <c r="AD94" s="583">
        <f t="shared" si="51"/>
        <v>17.704401975630727</v>
      </c>
      <c r="AE94" s="584">
        <f t="shared" si="52"/>
        <v>-19.340385940650165</v>
      </c>
      <c r="AG94" s="583">
        <f t="shared" si="53"/>
        <v>19.255348631656798</v>
      </c>
      <c r="AH94" s="584">
        <f t="shared" si="54"/>
        <v>-75.595341787795135</v>
      </c>
      <c r="AJ94" s="147">
        <f t="shared" si="55"/>
        <v>0</v>
      </c>
      <c r="AK94" s="147">
        <f t="shared" si="65"/>
        <v>0</v>
      </c>
      <c r="AM94" s="147" t="str">
        <f t="shared" si="59"/>
        <v>0.00272571962920798+0.0737835327896363i</v>
      </c>
      <c r="AN94" s="147" t="str">
        <f t="shared" si="60"/>
        <v>0.0738506437067688i</v>
      </c>
      <c r="AO94" s="147" t="str">
        <f t="shared" si="61"/>
        <v>0.999091261581971-0.036908542598907i</v>
      </c>
      <c r="AP94" s="147" t="str">
        <f t="shared" si="62"/>
        <v>0.166212380061799-0.0122972554649394i</v>
      </c>
      <c r="AQ94" s="147" t="str">
        <f t="shared" si="63"/>
        <v>0.833787619938201+0.0122972554649394i</v>
      </c>
      <c r="AR94" s="147" t="str">
        <f t="shared" si="64"/>
        <v>0.998838100611997-0.0147315299455405i</v>
      </c>
    </row>
    <row r="95" spans="1:44">
      <c r="A95" s="147">
        <v>34</v>
      </c>
      <c r="G95" s="585">
        <v>1905.5</v>
      </c>
      <c r="H95" s="573">
        <f t="shared" si="56"/>
        <v>1.9055</v>
      </c>
      <c r="I95" s="574">
        <f t="shared" si="34"/>
        <v>5.4742877074288732</v>
      </c>
      <c r="J95" s="575">
        <f t="shared" si="35"/>
        <v>1.3870926590993833</v>
      </c>
      <c r="K95" s="575">
        <f t="shared" si="36"/>
        <v>1.0000034689037884</v>
      </c>
      <c r="L95" s="576">
        <f t="shared" si="37"/>
        <v>2.6339680182926122E-3</v>
      </c>
      <c r="M95" s="575">
        <f t="shared" si="38"/>
        <v>1.0000079834105102</v>
      </c>
      <c r="N95" s="576">
        <f t="shared" si="39"/>
        <v>-3.9958371834454259E-3</v>
      </c>
      <c r="O95" s="574">
        <f t="shared" si="40"/>
        <v>79019.223294717565</v>
      </c>
      <c r="P95" s="577">
        <f t="shared" si="41"/>
        <v>1.5707836716464614</v>
      </c>
      <c r="Q95" s="586">
        <f t="shared" si="42"/>
        <v>3.340308622143227</v>
      </c>
      <c r="R95" s="587">
        <f t="shared" si="43"/>
        <v>1.2667603188497631</v>
      </c>
      <c r="S95" s="574">
        <f t="shared" si="44"/>
        <v>1.0000231797671713</v>
      </c>
      <c r="T95" s="577">
        <f t="shared" si="45"/>
        <v>6.8087178571011242E-3</v>
      </c>
      <c r="U95" s="578">
        <f t="shared" si="57"/>
        <v>0.99854191551482985</v>
      </c>
      <c r="V95" s="579">
        <f t="shared" si="58"/>
        <v>-5.6654432055783015E-2</v>
      </c>
      <c r="W95" s="580">
        <f t="shared" si="46"/>
        <v>7.4596521062255627</v>
      </c>
      <c r="X95" s="581">
        <f t="shared" si="47"/>
        <v>-100.60801026362896</v>
      </c>
      <c r="Y95" s="584">
        <f t="shared" si="48"/>
        <v>79.391989736371045</v>
      </c>
      <c r="AA95" s="147">
        <f t="shared" si="49"/>
        <v>1000000000</v>
      </c>
      <c r="AB95" s="147">
        <f t="shared" si="50"/>
        <v>3630930.25</v>
      </c>
      <c r="AD95" s="583">
        <f t="shared" si="51"/>
        <v>17.62632552789772</v>
      </c>
      <c r="AE95" s="584">
        <f t="shared" si="52"/>
        <v>-17.809365806125076</v>
      </c>
      <c r="AG95" s="583">
        <f t="shared" si="53"/>
        <v>18.48594986761125</v>
      </c>
      <c r="AH95" s="584">
        <f t="shared" si="54"/>
        <v>-76.306524755071464</v>
      </c>
      <c r="AJ95" s="147">
        <f t="shared" si="55"/>
        <v>0</v>
      </c>
      <c r="AK95" s="147">
        <f t="shared" si="65"/>
        <v>0</v>
      </c>
      <c r="AM95" s="147" t="str">
        <f t="shared" si="59"/>
        <v>0.00327687265633103+0.0808888584309091i</v>
      </c>
      <c r="AN95" s="147" t="str">
        <f t="shared" si="60"/>
        <v>0.0809773285667211i</v>
      </c>
      <c r="AO95" s="147" t="str">
        <f t="shared" si="61"/>
        <v>0.998907470308321-0.0404665443319862i</v>
      </c>
      <c r="AP95" s="147" t="str">
        <f t="shared" si="62"/>
        <v>0.166120521223945-0.0134814764051515i</v>
      </c>
      <c r="AQ95" s="147" t="str">
        <f t="shared" si="63"/>
        <v>0.833879478776055+0.0134814764051515i</v>
      </c>
      <c r="AR95" s="147" t="str">
        <f t="shared" si="64"/>
        <v>0.99868428299621-0.0161459047021648i</v>
      </c>
    </row>
    <row r="96" spans="1:44">
      <c r="A96" s="147">
        <v>35</v>
      </c>
      <c r="G96" s="585">
        <v>2089.3000000000002</v>
      </c>
      <c r="H96" s="573">
        <f t="shared" si="56"/>
        <v>2.0893000000000002</v>
      </c>
      <c r="I96" s="574">
        <f t="shared" si="34"/>
        <v>5.9854556978552313</v>
      </c>
      <c r="J96" s="575">
        <f t="shared" si="35"/>
        <v>1.4029374983678178</v>
      </c>
      <c r="K96" s="575">
        <f t="shared" si="36"/>
        <v>1.0000041703816851</v>
      </c>
      <c r="L96" s="576">
        <f t="shared" si="37"/>
        <v>2.8880329609384052E-3</v>
      </c>
      <c r="M96" s="575">
        <f t="shared" si="38"/>
        <v>1.0000095978025942</v>
      </c>
      <c r="N96" s="576">
        <f t="shared" si="39"/>
        <v>-4.3812614233871691E-3</v>
      </c>
      <c r="O96" s="574">
        <f t="shared" si="40"/>
        <v>86641.22971788494</v>
      </c>
      <c r="P96" s="577">
        <f t="shared" si="41"/>
        <v>1.5707847849457877</v>
      </c>
      <c r="Q96" s="586">
        <f t="shared" si="42"/>
        <v>3.6347953331671889</v>
      </c>
      <c r="R96" s="587">
        <f t="shared" si="43"/>
        <v>1.2920832098627761</v>
      </c>
      <c r="S96" s="574">
        <f t="shared" si="44"/>
        <v>1.0000278670985769</v>
      </c>
      <c r="T96" s="577">
        <f t="shared" si="45"/>
        <v>7.4654472667527181E-3</v>
      </c>
      <c r="U96" s="578">
        <f t="shared" si="57"/>
        <v>0.99832833682783517</v>
      </c>
      <c r="V96" s="579">
        <f t="shared" si="58"/>
        <v>-6.2112609163456435E-2</v>
      </c>
      <c r="W96" s="580">
        <f t="shared" si="46"/>
        <v>6.6164117586095763</v>
      </c>
      <c r="X96" s="581">
        <f t="shared" si="47"/>
        <v>-100.42290635669384</v>
      </c>
      <c r="Y96" s="584">
        <f t="shared" si="48"/>
        <v>79.577093643306156</v>
      </c>
      <c r="AA96" s="147">
        <f t="shared" si="49"/>
        <v>1000000000</v>
      </c>
      <c r="AB96" s="147">
        <f t="shared" si="50"/>
        <v>4365174.4900000012</v>
      </c>
      <c r="AD96" s="583">
        <f t="shared" si="51"/>
        <v>17.560315136466706</v>
      </c>
      <c r="AE96" s="584">
        <f t="shared" si="52"/>
        <v>-16.396162635202742</v>
      </c>
      <c r="AG96" s="583">
        <f t="shared" si="53"/>
        <v>17.712435968409302</v>
      </c>
      <c r="AH96" s="584">
        <f t="shared" si="54"/>
        <v>-76.909162994134761</v>
      </c>
      <c r="AJ96" s="147">
        <f t="shared" si="55"/>
        <v>0</v>
      </c>
      <c r="AK96" s="147">
        <f t="shared" si="65"/>
        <v>0</v>
      </c>
      <c r="AM96" s="147" t="str">
        <f t="shared" si="59"/>
        <v>0.00393908425981704+0.088671597114451i</v>
      </c>
      <c r="AN96" s="147" t="str">
        <f t="shared" si="60"/>
        <v>0.0887882091705329i</v>
      </c>
      <c r="AO96" s="147" t="str">
        <f t="shared" si="61"/>
        <v>0.998686626781064-0.0443649477404298i</v>
      </c>
      <c r="AP96" s="147" t="str">
        <f t="shared" si="62"/>
        <v>0.166010152623364-0.0147785995190752i</v>
      </c>
      <c r="AQ96" s="147" t="str">
        <f t="shared" si="63"/>
        <v>0.833989847376636+0.0147785995190752i</v>
      </c>
      <c r="AR96" s="147" t="str">
        <f t="shared" si="64"/>
        <v>0.998499578218665-0.0176937710127723i</v>
      </c>
    </row>
    <row r="97" spans="1:44">
      <c r="A97" s="147" t="s">
        <v>801</v>
      </c>
      <c r="G97" s="585">
        <v>2290.9</v>
      </c>
      <c r="H97" s="573">
        <f t="shared" si="56"/>
        <v>2.2909000000000002</v>
      </c>
      <c r="I97" s="574">
        <f t="shared" si="34"/>
        <v>6.5475723518707056</v>
      </c>
      <c r="J97" s="575">
        <f t="shared" si="35"/>
        <v>1.4174678887031629</v>
      </c>
      <c r="K97" s="575">
        <f t="shared" si="36"/>
        <v>1.0000050140224872</v>
      </c>
      <c r="L97" s="576">
        <f t="shared" si="37"/>
        <v>3.1667022395536755E-3</v>
      </c>
      <c r="M97" s="575">
        <f t="shared" si="38"/>
        <v>1.0000115393686362</v>
      </c>
      <c r="N97" s="576">
        <f t="shared" si="39"/>
        <v>-4.8040103399416226E-3</v>
      </c>
      <c r="O97" s="574">
        <f t="shared" si="40"/>
        <v>95001.384750145095</v>
      </c>
      <c r="P97" s="577">
        <f t="shared" si="41"/>
        <v>1.5707858006325397</v>
      </c>
      <c r="Q97" s="586">
        <f t="shared" si="42"/>
        <v>3.9600628095122663</v>
      </c>
      <c r="R97" s="587">
        <f t="shared" si="43"/>
        <v>1.3155112597591658</v>
      </c>
      <c r="S97" s="574">
        <f t="shared" si="44"/>
        <v>1.0000335043491411</v>
      </c>
      <c r="T97" s="577">
        <f t="shared" si="45"/>
        <v>8.1857698131283189E-3</v>
      </c>
      <c r="U97" s="578">
        <f t="shared" si="57"/>
        <v>0.99807164542886273</v>
      </c>
      <c r="V97" s="579">
        <f t="shared" si="58"/>
        <v>-6.8097291927864262E-2</v>
      </c>
      <c r="W97" s="580">
        <f t="shared" si="46"/>
        <v>5.7788273532653855</v>
      </c>
      <c r="X97" s="581">
        <f t="shared" si="47"/>
        <v>-100.3055898718203</v>
      </c>
      <c r="Y97" s="584">
        <f t="shared" si="48"/>
        <v>79.694410128179697</v>
      </c>
      <c r="AA97" s="147">
        <f t="shared" si="49"/>
        <v>1000000000</v>
      </c>
      <c r="AB97" s="147">
        <f t="shared" si="50"/>
        <v>5248222.8100000005</v>
      </c>
      <c r="AD97" s="583">
        <f t="shared" si="51"/>
        <v>17.504601862932894</v>
      </c>
      <c r="AE97" s="584">
        <f t="shared" si="52"/>
        <v>-15.095163888790729</v>
      </c>
      <c r="AG97" s="583">
        <f t="shared" si="53"/>
        <v>16.935032063997475</v>
      </c>
      <c r="AH97" s="584">
        <f t="shared" si="54"/>
        <v>-77.407051126639089</v>
      </c>
      <c r="AJ97" s="147">
        <f t="shared" si="55"/>
        <v>0</v>
      </c>
      <c r="AK97" s="147">
        <f t="shared" si="65"/>
        <v>0</v>
      </c>
      <c r="AM97" s="147" t="str">
        <f t="shared" si="59"/>
        <v>0.00473530767415598+0.0972018117605975i</v>
      </c>
      <c r="AN97" s="147" t="str">
        <f t="shared" si="60"/>
        <v>0.0973555297892948i</v>
      </c>
      <c r="AO97" s="147" t="str">
        <f t="shared" si="61"/>
        <v>0.998421065254023-0.0486393293160084i</v>
      </c>
      <c r="AP97" s="147" t="str">
        <f t="shared" si="62"/>
        <v>0.165877448720974-0.0162003019600996i</v>
      </c>
      <c r="AQ97" s="147" t="str">
        <f t="shared" si="63"/>
        <v>0.834122551279026+0.0162003019600996i</v>
      </c>
      <c r="AR97" s="147" t="str">
        <f t="shared" si="64"/>
        <v>0.998277649838432-0.0193885171220977i</v>
      </c>
    </row>
    <row r="98" spans="1:44">
      <c r="G98" s="585">
        <v>2511.9</v>
      </c>
      <c r="H98" s="573">
        <f t="shared" si="56"/>
        <v>2.5119000000000002</v>
      </c>
      <c r="I98" s="574">
        <f t="shared" si="34"/>
        <v>7.1651085247627693</v>
      </c>
      <c r="J98" s="575">
        <f t="shared" si="35"/>
        <v>1.4307739956001682</v>
      </c>
      <c r="K98" s="575">
        <f t="shared" si="36"/>
        <v>1.0000060280727445</v>
      </c>
      <c r="L98" s="576">
        <f t="shared" si="37"/>
        <v>3.4721873403862897E-3</v>
      </c>
      <c r="M98" s="575">
        <f t="shared" si="38"/>
        <v>1.0000138731144195</v>
      </c>
      <c r="N98" s="576">
        <f t="shared" si="39"/>
        <v>-5.2674384733427159E-3</v>
      </c>
      <c r="O98" s="574">
        <f t="shared" si="40"/>
        <v>104166.03882826204</v>
      </c>
      <c r="P98" s="577">
        <f t="shared" si="41"/>
        <v>1.5707867267370346</v>
      </c>
      <c r="Q98" s="586">
        <f t="shared" si="42"/>
        <v>4.3187331258947728</v>
      </c>
      <c r="R98" s="587">
        <f t="shared" si="43"/>
        <v>1.3371262761331952</v>
      </c>
      <c r="S98" s="574">
        <f t="shared" si="44"/>
        <v>1.0000402802485548</v>
      </c>
      <c r="T98" s="577">
        <f t="shared" si="45"/>
        <v>8.9753993247347914E-3</v>
      </c>
      <c r="U98" s="578">
        <f t="shared" si="57"/>
        <v>0.99776335182283316</v>
      </c>
      <c r="V98" s="579">
        <f t="shared" si="58"/>
        <v>-7.4655132249557221E-2</v>
      </c>
      <c r="W98" s="580">
        <f t="shared" si="46"/>
        <v>4.9464264540276028</v>
      </c>
      <c r="X98" s="581">
        <f t="shared" si="47"/>
        <v>-100.2596059689744</v>
      </c>
      <c r="Y98" s="584">
        <f t="shared" si="48"/>
        <v>79.740394031025602</v>
      </c>
      <c r="AA98" s="147">
        <f t="shared" si="49"/>
        <v>1000000000</v>
      </c>
      <c r="AB98" s="147">
        <f t="shared" si="50"/>
        <v>6309641.6100000003</v>
      </c>
      <c r="AD98" s="583">
        <f t="shared" si="51"/>
        <v>17.457704609306852</v>
      </c>
      <c r="AE98" s="584">
        <f t="shared" si="52"/>
        <v>-13.902010175362276</v>
      </c>
      <c r="AG98" s="583">
        <f t="shared" si="53"/>
        <v>16.154895203241356</v>
      </c>
      <c r="AH98" s="584">
        <f t="shared" si="54"/>
        <v>-77.802747790055491</v>
      </c>
      <c r="AJ98" s="147">
        <f t="shared" si="55"/>
        <v>0</v>
      </c>
      <c r="AK98" s="147">
        <f t="shared" si="65"/>
        <v>0</v>
      </c>
      <c r="AM98" s="147" t="str">
        <f t="shared" si="59"/>
        <v>0.00569208325055404+0.10654466992476i</v>
      </c>
      <c r="AN98" s="147" t="str">
        <f t="shared" si="60"/>
        <v>0.106747285031092i</v>
      </c>
      <c r="AO98" s="147" t="str">
        <f t="shared" si="61"/>
        <v>0.998101917943178-0.0533229791174185i</v>
      </c>
      <c r="AP98" s="147" t="str">
        <f t="shared" si="62"/>
        <v>0.165717986124908-0.01775744498746i</v>
      </c>
      <c r="AQ98" s="147" t="str">
        <f t="shared" si="63"/>
        <v>0.834282013875092+0.01775744498746i</v>
      </c>
      <c r="AR98" s="147" t="str">
        <f t="shared" si="64"/>
        <v>0.998011195135756-0.0212423720034143i</v>
      </c>
    </row>
    <row r="99" spans="1:44">
      <c r="G99" s="585">
        <v>2754.2</v>
      </c>
      <c r="H99" s="573">
        <f t="shared" si="56"/>
        <v>2.7542</v>
      </c>
      <c r="I99" s="574">
        <f t="shared" si="34"/>
        <v>7.8433800011982004</v>
      </c>
      <c r="J99" s="575">
        <f t="shared" si="35"/>
        <v>1.4429523082071962</v>
      </c>
      <c r="K99" s="575">
        <f t="shared" si="36"/>
        <v>1.0000072471037029</v>
      </c>
      <c r="L99" s="576">
        <f t="shared" si="37"/>
        <v>3.807114376019848E-3</v>
      </c>
      <c r="M99" s="575">
        <f t="shared" si="38"/>
        <v>1.000016678600838</v>
      </c>
      <c r="N99" s="576">
        <f t="shared" si="39"/>
        <v>-5.7755292446882928E-3</v>
      </c>
      <c r="O99" s="574">
        <f t="shared" si="40"/>
        <v>114213.98309589375</v>
      </c>
      <c r="P99" s="577">
        <f t="shared" si="41"/>
        <v>1.5707875712995281</v>
      </c>
      <c r="Q99" s="586">
        <f t="shared" si="42"/>
        <v>4.7139204446012126</v>
      </c>
      <c r="R99" s="587">
        <f t="shared" si="43"/>
        <v>1.3570344490652289</v>
      </c>
      <c r="S99" s="574">
        <f t="shared" si="44"/>
        <v>1.0000484257804898</v>
      </c>
      <c r="T99" s="577">
        <f t="shared" si="45"/>
        <v>9.8411205009376838E-3</v>
      </c>
      <c r="U99" s="578">
        <f t="shared" si="57"/>
        <v>0.99739309687903643</v>
      </c>
      <c r="V99" s="579">
        <f t="shared" si="58"/>
        <v>-8.1841398802568494E-2</v>
      </c>
      <c r="W99" s="580">
        <f t="shared" si="46"/>
        <v>4.1182122440810085</v>
      </c>
      <c r="X99" s="581">
        <f t="shared" si="47"/>
        <v>-100.28803245082098</v>
      </c>
      <c r="Y99" s="584">
        <f t="shared" si="48"/>
        <v>79.711967549179022</v>
      </c>
      <c r="AA99" s="147">
        <f t="shared" si="49"/>
        <v>1000000000</v>
      </c>
      <c r="AB99" s="147">
        <f t="shared" si="50"/>
        <v>7585617.6399999987</v>
      </c>
      <c r="AD99" s="583">
        <f t="shared" si="51"/>
        <v>17.418288919672221</v>
      </c>
      <c r="AE99" s="584">
        <f t="shared" si="52"/>
        <v>-12.811006446791449</v>
      </c>
      <c r="AG99" s="583">
        <f t="shared" si="53"/>
        <v>15.372544284807985</v>
      </c>
      <c r="AH99" s="584">
        <f t="shared" si="54"/>
        <v>-78.098692511644785</v>
      </c>
      <c r="AJ99" s="147">
        <f t="shared" si="55"/>
        <v>0</v>
      </c>
      <c r="AK99" s="147">
        <f t="shared" si="65"/>
        <v>0</v>
      </c>
      <c r="AM99" s="147" t="str">
        <f t="shared" si="59"/>
        <v>0.00684185843770901+0.116777163214975i</v>
      </c>
      <c r="AN99" s="147" t="str">
        <f t="shared" si="60"/>
        <v>0.117044218493027i</v>
      </c>
      <c r="AO99" s="147" t="str">
        <f t="shared" si="61"/>
        <v>0.997718338577587-0.0584553301803337i</v>
      </c>
      <c r="AP99" s="147" t="str">
        <f t="shared" si="62"/>
        <v>0.165526356927049-0.0194628605358292i</v>
      </c>
      <c r="AQ99" s="147" t="str">
        <f t="shared" si="63"/>
        <v>0.834473643072951+0.0194628605358292i</v>
      </c>
      <c r="AR99" s="147" t="str">
        <f t="shared" si="64"/>
        <v>0.997691314225366-0.0232696707292874i</v>
      </c>
    </row>
    <row r="100" spans="1:44">
      <c r="G100" s="585">
        <v>3020</v>
      </c>
      <c r="H100" s="573">
        <f t="shared" si="56"/>
        <v>3.02</v>
      </c>
      <c r="I100" s="574">
        <f t="shared" si="34"/>
        <v>8.5885514063360144</v>
      </c>
      <c r="J100" s="575">
        <f t="shared" si="35"/>
        <v>1.4540975575636061</v>
      </c>
      <c r="K100" s="575">
        <f t="shared" si="36"/>
        <v>1.0000087133888484</v>
      </c>
      <c r="L100" s="576">
        <f t="shared" si="37"/>
        <v>4.1745240638260918E-3</v>
      </c>
      <c r="M100" s="575">
        <f t="shared" si="38"/>
        <v>1.0000200531138856</v>
      </c>
      <c r="N100" s="576">
        <f t="shared" si="39"/>
        <v>-6.3328948807175791E-3</v>
      </c>
      <c r="O100" s="574">
        <f t="shared" si="40"/>
        <v>125236.44940359246</v>
      </c>
      <c r="P100" s="577">
        <f t="shared" si="41"/>
        <v>1.5707883418990873</v>
      </c>
      <c r="Q100" s="586">
        <f t="shared" si="42"/>
        <v>5.1492384277092436</v>
      </c>
      <c r="R100" s="587">
        <f t="shared" si="43"/>
        <v>1.3753509254031633</v>
      </c>
      <c r="S100" s="574">
        <f t="shared" si="44"/>
        <v>1.0000582233834852</v>
      </c>
      <c r="T100" s="577">
        <f t="shared" si="45"/>
        <v>1.0790788539932216E-2</v>
      </c>
      <c r="U100" s="578">
        <f t="shared" si="57"/>
        <v>0.9969482595763921</v>
      </c>
      <c r="V100" s="579">
        <f t="shared" si="58"/>
        <v>-8.9719874458733931E-2</v>
      </c>
      <c r="W100" s="580">
        <f t="shared" si="46"/>
        <v>3.2929468410947842</v>
      </c>
      <c r="X100" s="581">
        <f t="shared" si="47"/>
        <v>-100.39389461186694</v>
      </c>
      <c r="Y100" s="584">
        <f t="shared" si="48"/>
        <v>79.606105388133059</v>
      </c>
      <c r="AA100" s="147">
        <f t="shared" si="49"/>
        <v>1000000000</v>
      </c>
      <c r="AB100" s="147">
        <f t="shared" si="50"/>
        <v>9120400</v>
      </c>
      <c r="AD100" s="583">
        <f t="shared" si="51"/>
        <v>17.385189500269107</v>
      </c>
      <c r="AE100" s="584">
        <f t="shared" si="52"/>
        <v>-11.816005778614914</v>
      </c>
      <c r="AG100" s="583">
        <f t="shared" si="53"/>
        <v>14.588127842734874</v>
      </c>
      <c r="AH100" s="584">
        <f t="shared" si="54"/>
        <v>-78.296748531646017</v>
      </c>
      <c r="AJ100" s="147">
        <f t="shared" si="55"/>
        <v>0</v>
      </c>
      <c r="AK100" s="147">
        <f t="shared" si="65"/>
        <v>0</v>
      </c>
      <c r="AM100" s="147" t="str">
        <f t="shared" si="59"/>
        <v>0.00822425719654096+0.127987796241072i</v>
      </c>
      <c r="AN100" s="147" t="str">
        <f t="shared" si="60"/>
        <v>0.128339822761216i</v>
      </c>
      <c r="AO100" s="147" t="str">
        <f t="shared" si="61"/>
        <v>0.997257074908082-0.0640818805854414i</v>
      </c>
      <c r="AP100" s="147" t="str">
        <f t="shared" si="62"/>
        <v>0.16529595713391-0.021331299373512i</v>
      </c>
      <c r="AQ100" s="147" t="str">
        <f t="shared" si="63"/>
        <v>0.83470404286609+0.021331299373512i</v>
      </c>
      <c r="AR100" s="147" t="str">
        <f t="shared" si="64"/>
        <v>0.997307180336312-0.0254867077893379i</v>
      </c>
    </row>
    <row r="101" spans="1:44">
      <c r="G101" s="585">
        <v>3311.3</v>
      </c>
      <c r="H101" s="573">
        <f t="shared" si="56"/>
        <v>3.3113000000000001</v>
      </c>
      <c r="I101" s="574">
        <f t="shared" si="34"/>
        <v>9.4062339060187252</v>
      </c>
      <c r="J101" s="575">
        <f t="shared" si="35"/>
        <v>1.4642825637540335</v>
      </c>
      <c r="K101" s="575">
        <f t="shared" si="36"/>
        <v>1.0000104753823893</v>
      </c>
      <c r="L101" s="576">
        <f t="shared" si="37"/>
        <v>4.5771805613225311E-3</v>
      </c>
      <c r="M101" s="575">
        <f t="shared" si="38"/>
        <v>1.0000241081626058</v>
      </c>
      <c r="N101" s="576">
        <f t="shared" si="39"/>
        <v>-6.9437278574911165E-3</v>
      </c>
      <c r="O101" s="574">
        <f t="shared" si="40"/>
        <v>137316.37579731527</v>
      </c>
      <c r="P101" s="577">
        <f t="shared" si="41"/>
        <v>1.5707890443422816</v>
      </c>
      <c r="Q101" s="586">
        <f t="shared" si="42"/>
        <v>5.6279814652788858</v>
      </c>
      <c r="R101" s="587">
        <f t="shared" si="43"/>
        <v>1.3921642348148564</v>
      </c>
      <c r="S101" s="574">
        <f t="shared" si="44"/>
        <v>1.0000699967789446</v>
      </c>
      <c r="T101" s="577">
        <f t="shared" si="45"/>
        <v>1.1831542268943864E-2</v>
      </c>
      <c r="U101" s="578">
        <f t="shared" si="57"/>
        <v>0.99641445478224566</v>
      </c>
      <c r="V101" s="579">
        <f t="shared" si="58"/>
        <v>-9.8347916594030804E-2</v>
      </c>
      <c r="W101" s="580">
        <f t="shared" si="46"/>
        <v>2.470687421247447</v>
      </c>
      <c r="X101" s="581">
        <f t="shared" si="47"/>
        <v>-100.58006988885344</v>
      </c>
      <c r="Y101" s="584">
        <f t="shared" si="48"/>
        <v>79.419930111146556</v>
      </c>
      <c r="AA101" s="147">
        <f t="shared" si="49"/>
        <v>1000000000</v>
      </c>
      <c r="AB101" s="147">
        <f t="shared" si="50"/>
        <v>10964707.690000001</v>
      </c>
      <c r="AD101" s="583">
        <f t="shared" si="51"/>
        <v>17.35744865828719</v>
      </c>
      <c r="AE101" s="584">
        <f t="shared" si="52"/>
        <v>-10.912345151859975</v>
      </c>
      <c r="AG101" s="583">
        <f t="shared" si="53"/>
        <v>13.80291328085743</v>
      </c>
      <c r="AH101" s="584">
        <f t="shared" si="54"/>
        <v>-78.397883634630603</v>
      </c>
      <c r="AJ101" s="147">
        <f t="shared" si="55"/>
        <v>0</v>
      </c>
      <c r="AK101" s="147">
        <f t="shared" si="65"/>
        <v>0</v>
      </c>
      <c r="AM101" s="147" t="str">
        <f t="shared" si="59"/>
        <v>0.00988460400630697+0.14025513401032i</v>
      </c>
      <c r="AN101" s="147" t="str">
        <f t="shared" si="60"/>
        <v>0.140719091095767i</v>
      </c>
      <c r="AO101" s="147" t="str">
        <f t="shared" si="61"/>
        <v>0.996702955641383-0.0702435179856297i</v>
      </c>
      <c r="AP101" s="147" t="str">
        <f t="shared" si="62"/>
        <v>0.165019232665615-0.0233758556683867i</v>
      </c>
      <c r="AQ101" s="147" t="str">
        <f t="shared" si="63"/>
        <v>0.834980767334385+0.0233758556683867i</v>
      </c>
      <c r="AR101" s="147" t="str">
        <f t="shared" si="64"/>
        <v>0.996846482321184-0.0279073966801288i</v>
      </c>
    </row>
    <row r="102" spans="1:44">
      <c r="G102" s="585">
        <v>3630.8</v>
      </c>
      <c r="H102" s="573">
        <f t="shared" si="56"/>
        <v>3.6308000000000002</v>
      </c>
      <c r="I102" s="574">
        <f t="shared" si="34"/>
        <v>10.304009383109248</v>
      </c>
      <c r="J102" s="575">
        <f t="shared" si="35"/>
        <v>1.4735937307535039</v>
      </c>
      <c r="K102" s="575">
        <f t="shared" si="36"/>
        <v>1.0000125943866016</v>
      </c>
      <c r="L102" s="576">
        <f t="shared" si="37"/>
        <v>5.0188154819421817E-3</v>
      </c>
      <c r="M102" s="575">
        <f t="shared" si="38"/>
        <v>1.0000289848227191</v>
      </c>
      <c r="N102" s="576">
        <f t="shared" si="39"/>
        <v>-7.6136880204518151E-3</v>
      </c>
      <c r="O102" s="574">
        <f t="shared" si="40"/>
        <v>150565.72863910481</v>
      </c>
      <c r="P102" s="577">
        <f t="shared" si="41"/>
        <v>1.570789685177252</v>
      </c>
      <c r="Q102" s="586">
        <f t="shared" si="42"/>
        <v>6.1546011308861246</v>
      </c>
      <c r="R102" s="587">
        <f t="shared" si="43"/>
        <v>1.4075927254282403</v>
      </c>
      <c r="S102" s="574">
        <f t="shared" si="44"/>
        <v>1.0000841555138962</v>
      </c>
      <c r="T102" s="577">
        <f t="shared" si="45"/>
        <v>1.2973019118764481E-2</v>
      </c>
      <c r="U102" s="578">
        <f t="shared" si="57"/>
        <v>0.99577356417226703</v>
      </c>
      <c r="V102" s="579">
        <f t="shared" si="58"/>
        <v>-0.10780296874246961</v>
      </c>
      <c r="W102" s="580">
        <f t="shared" si="46"/>
        <v>1.6500963748195163</v>
      </c>
      <c r="X102" s="581">
        <f t="shared" si="47"/>
        <v>-100.84982824313859</v>
      </c>
      <c r="Y102" s="584">
        <f t="shared" si="48"/>
        <v>79.150171756861411</v>
      </c>
      <c r="AA102" s="147">
        <f t="shared" si="49"/>
        <v>1000000000</v>
      </c>
      <c r="AB102" s="147">
        <f t="shared" si="50"/>
        <v>13182708.640000001</v>
      </c>
      <c r="AD102" s="583">
        <f t="shared" si="51"/>
        <v>17.334194809600497</v>
      </c>
      <c r="AE102" s="584">
        <f t="shared" si="52"/>
        <v>-10.093796277566319</v>
      </c>
      <c r="AG102" s="583">
        <f t="shared" si="53"/>
        <v>13.01675315123912</v>
      </c>
      <c r="AH102" s="584">
        <f t="shared" si="54"/>
        <v>-78.402721695608079</v>
      </c>
      <c r="AJ102" s="147">
        <f t="shared" si="55"/>
        <v>0</v>
      </c>
      <c r="AK102" s="147">
        <f t="shared" si="65"/>
        <v>0</v>
      </c>
      <c r="AM102" s="147" t="str">
        <f t="shared" si="59"/>
        <v>0.011880147958375+0.15368525629102i</v>
      </c>
      <c r="AN102" s="147" t="str">
        <f t="shared" si="60"/>
        <v>0.154296764397823i</v>
      </c>
      <c r="AO102" s="147" t="str">
        <f t="shared" si="61"/>
        <v>0.996036805378327-0.076995444491269i</v>
      </c>
      <c r="AP102" s="147" t="str">
        <f t="shared" si="62"/>
        <v>0.164686642006938-0.0256142093818367i</v>
      </c>
      <c r="AQ102" s="147" t="str">
        <f t="shared" si="63"/>
        <v>0.835313357993062+0.0256142093818367i</v>
      </c>
      <c r="AR102" s="147" t="str">
        <f t="shared" si="64"/>
        <v>0.996293742983051-0.0305505428524389i</v>
      </c>
    </row>
    <row r="103" spans="1:44">
      <c r="G103" s="585">
        <v>3981.1</v>
      </c>
      <c r="H103" s="573">
        <f t="shared" si="56"/>
        <v>3.9811000000000001</v>
      </c>
      <c r="I103" s="574">
        <f t="shared" si="34"/>
        <v>11.289186427889607</v>
      </c>
      <c r="J103" s="575">
        <f t="shared" si="35"/>
        <v>1.4820997327757444</v>
      </c>
      <c r="K103" s="575">
        <f t="shared" si="36"/>
        <v>1.0000151418167857</v>
      </c>
      <c r="L103" s="576">
        <f t="shared" si="37"/>
        <v>5.5030220290497485E-3</v>
      </c>
      <c r="M103" s="575">
        <f t="shared" si="38"/>
        <v>1.0000348474412921</v>
      </c>
      <c r="N103" s="576">
        <f t="shared" si="39"/>
        <v>-8.3482248853999786E-3</v>
      </c>
      <c r="O103" s="574">
        <f t="shared" si="40"/>
        <v>165092.32738870662</v>
      </c>
      <c r="P103" s="577">
        <f t="shared" si="41"/>
        <v>1.5707902695782117</v>
      </c>
      <c r="Q103" s="586">
        <f t="shared" si="42"/>
        <v>6.7333946559804652</v>
      </c>
      <c r="R103" s="587">
        <f t="shared" si="43"/>
        <v>1.4217313949553112</v>
      </c>
      <c r="S103" s="574">
        <f t="shared" si="44"/>
        <v>1.0001011766743442</v>
      </c>
      <c r="T103" s="577">
        <f t="shared" si="45"/>
        <v>1.4224496088162548E-2</v>
      </c>
      <c r="U103" s="578">
        <f t="shared" si="57"/>
        <v>0.99500464180724235</v>
      </c>
      <c r="V103" s="579">
        <f t="shared" si="58"/>
        <v>-0.11815864813774414</v>
      </c>
      <c r="W103" s="580">
        <f t="shared" si="46"/>
        <v>0.83085184530799105</v>
      </c>
      <c r="X103" s="581">
        <f t="shared" si="47"/>
        <v>-101.20651759436801</v>
      </c>
      <c r="Y103" s="584">
        <f t="shared" si="48"/>
        <v>78.793482405631991</v>
      </c>
      <c r="AA103" s="147">
        <f t="shared" si="49"/>
        <v>1000000000</v>
      </c>
      <c r="AB103" s="147">
        <f t="shared" si="50"/>
        <v>15849157.209999999</v>
      </c>
      <c r="AD103" s="583">
        <f t="shared" si="51"/>
        <v>17.314714935693289</v>
      </c>
      <c r="AE103" s="584">
        <f t="shared" si="52"/>
        <v>-9.3554480171041074</v>
      </c>
      <c r="AG103" s="583">
        <f t="shared" si="53"/>
        <v>12.230407921495308</v>
      </c>
      <c r="AH103" s="584">
        <f t="shared" si="54"/>
        <v>-78.311085859264097</v>
      </c>
      <c r="AJ103" s="147">
        <f t="shared" si="55"/>
        <v>0</v>
      </c>
      <c r="AK103" s="147">
        <f t="shared" si="65"/>
        <v>0</v>
      </c>
      <c r="AM103" s="147" t="str">
        <f t="shared" si="59"/>
        <v>0.014277396282194+0.168377399076566i</v>
      </c>
      <c r="AN103" s="147" t="str">
        <f t="shared" si="60"/>
        <v>0.169183333905523i</v>
      </c>
      <c r="AO103" s="147" t="str">
        <f t="shared" si="61"/>
        <v>0.995236322571778-0.0843900870884062i</v>
      </c>
      <c r="AP103" s="147" t="str">
        <f t="shared" si="62"/>
        <v>0.164287100619634-0.0280628998460943i</v>
      </c>
      <c r="AQ103" s="147" t="str">
        <f t="shared" si="63"/>
        <v>0.835712899380366+0.0280628998460943i</v>
      </c>
      <c r="AR103" s="147" t="str">
        <f t="shared" si="64"/>
        <v>0.995631127389554-0.0334328890128454i</v>
      </c>
    </row>
    <row r="104" spans="1:44">
      <c r="G104" s="585">
        <v>4365.2</v>
      </c>
      <c r="H104" s="573">
        <f t="shared" si="56"/>
        <v>4.3651999999999997</v>
      </c>
      <c r="I104" s="574">
        <f t="shared" si="34"/>
        <v>12.370203973893464</v>
      </c>
      <c r="J104" s="575">
        <f t="shared" si="35"/>
        <v>1.4898686083843669</v>
      </c>
      <c r="K104" s="575">
        <f t="shared" si="36"/>
        <v>1.0000182045287767</v>
      </c>
      <c r="L104" s="576">
        <f t="shared" si="37"/>
        <v>6.0339460736910126E-3</v>
      </c>
      <c r="M104" s="575">
        <f t="shared" si="38"/>
        <v>1.0000418958961503</v>
      </c>
      <c r="N104" s="576">
        <f t="shared" si="39"/>
        <v>-9.1536258915003513E-3</v>
      </c>
      <c r="O104" s="574">
        <f t="shared" si="40"/>
        <v>181020.57911505812</v>
      </c>
      <c r="P104" s="577">
        <f t="shared" si="41"/>
        <v>1.5707908025611057</v>
      </c>
      <c r="Q104" s="586">
        <f t="shared" si="42"/>
        <v>7.3693274030489437</v>
      </c>
      <c r="R104" s="587">
        <f t="shared" si="43"/>
        <v>1.4346787911687799</v>
      </c>
      <c r="S104" s="574">
        <f t="shared" si="44"/>
        <v>1.0001216404663631</v>
      </c>
      <c r="T104" s="577">
        <f t="shared" si="45"/>
        <v>1.5596675114080961E-2</v>
      </c>
      <c r="U104" s="578">
        <f t="shared" si="57"/>
        <v>0.99408241068577197</v>
      </c>
      <c r="V104" s="579">
        <f t="shared" si="58"/>
        <v>-0.12949928117561885</v>
      </c>
      <c r="W104" s="580">
        <f t="shared" si="46"/>
        <v>1.2277713429982537E-2</v>
      </c>
      <c r="X104" s="581">
        <f t="shared" si="47"/>
        <v>-101.65395760623399</v>
      </c>
      <c r="Y104" s="584">
        <f t="shared" si="48"/>
        <v>78.346042393766012</v>
      </c>
      <c r="AA104" s="147">
        <f t="shared" si="49"/>
        <v>1000000000</v>
      </c>
      <c r="AB104" s="147">
        <f t="shared" si="50"/>
        <v>19054971.039999999</v>
      </c>
      <c r="AD104" s="583">
        <f t="shared" si="51"/>
        <v>17.298391645875121</v>
      </c>
      <c r="AE104" s="584">
        <f t="shared" si="52"/>
        <v>-8.6922674622227731</v>
      </c>
      <c r="AG104" s="583">
        <f t="shared" si="53"/>
        <v>11.444265772729379</v>
      </c>
      <c r="AH104" s="584">
        <f t="shared" si="54"/>
        <v>-78.122165604372768</v>
      </c>
      <c r="AJ104" s="147">
        <f t="shared" si="55"/>
        <v>4365.2</v>
      </c>
      <c r="AK104" s="147">
        <f t="shared" si="65"/>
        <v>78.346042393766012</v>
      </c>
      <c r="AM104" s="147" t="str">
        <f t="shared" si="59"/>
        <v>0.0171570055435+0.184444160243096i</v>
      </c>
      <c r="AN104" s="147" t="str">
        <f t="shared" si="60"/>
        <v>0.185506289509027i</v>
      </c>
      <c r="AO104" s="147" t="str">
        <f t="shared" si="61"/>
        <v>0.994274429892689-0.0924874600689219i</v>
      </c>
      <c r="AP104" s="147" t="str">
        <f t="shared" si="62"/>
        <v>0.16380716574275-0.0307406933738493i</v>
      </c>
      <c r="AQ104" s="147" t="str">
        <f t="shared" si="63"/>
        <v>0.83619283425725+0.0307406933738493i</v>
      </c>
      <c r="AR104" s="147" t="str">
        <f t="shared" si="64"/>
        <v>0.994837183553168-0.0365728855398244i</v>
      </c>
    </row>
    <row r="105" spans="1:44">
      <c r="G105" s="585">
        <v>4786.3</v>
      </c>
      <c r="H105" s="573">
        <f t="shared" si="56"/>
        <v>4.7862999999999998</v>
      </c>
      <c r="I105" s="574">
        <f t="shared" si="34"/>
        <v>13.556069445762301</v>
      </c>
      <c r="J105" s="575">
        <f t="shared" si="35"/>
        <v>1.496961563880175</v>
      </c>
      <c r="K105" s="575">
        <f t="shared" si="36"/>
        <v>1.000021886190833</v>
      </c>
      <c r="L105" s="576">
        <f t="shared" si="37"/>
        <v>6.6160096235434399E-3</v>
      </c>
      <c r="M105" s="575">
        <f t="shared" si="38"/>
        <v>1.0000503687512583</v>
      </c>
      <c r="N105" s="576">
        <f t="shared" si="39"/>
        <v>-1.0036596751216239E-2</v>
      </c>
      <c r="O105" s="574">
        <f t="shared" si="40"/>
        <v>198483.18469169314</v>
      </c>
      <c r="P105" s="577">
        <f t="shared" si="41"/>
        <v>1.5707912885847251</v>
      </c>
      <c r="Q105" s="586">
        <f t="shared" si="42"/>
        <v>8.0677038436691593</v>
      </c>
      <c r="R105" s="587">
        <f t="shared" si="43"/>
        <v>1.4465257129275884</v>
      </c>
      <c r="S105" s="574">
        <f t="shared" si="44"/>
        <v>1.0001462393589753</v>
      </c>
      <c r="T105" s="577">
        <f t="shared" si="45"/>
        <v>1.710096719918933E-2</v>
      </c>
      <c r="U105" s="578">
        <f t="shared" si="57"/>
        <v>0.99297700500617403</v>
      </c>
      <c r="V105" s="579">
        <f t="shared" si="58"/>
        <v>-0.14191363241239133</v>
      </c>
      <c r="W105" s="580">
        <f t="shared" si="46"/>
        <v>-0.80610627784744704</v>
      </c>
      <c r="X105" s="581">
        <f t="shared" si="47"/>
        <v>-102.19632348890988</v>
      </c>
      <c r="Y105" s="584">
        <f t="shared" si="48"/>
        <v>77.803676511090117</v>
      </c>
      <c r="AA105" s="147">
        <f t="shared" si="49"/>
        <v>4786.3</v>
      </c>
      <c r="AB105" s="147">
        <f t="shared" si="50"/>
        <v>22908667.690000001</v>
      </c>
      <c r="AD105" s="583">
        <f t="shared" si="51"/>
        <v>17.284704530663934</v>
      </c>
      <c r="AE105" s="584">
        <f t="shared" si="52"/>
        <v>-8.0997062792780206</v>
      </c>
      <c r="AG105" s="583">
        <f t="shared" si="53"/>
        <v>10.658896819427623</v>
      </c>
      <c r="AH105" s="584">
        <f t="shared" si="54"/>
        <v>-77.834512805847751</v>
      </c>
      <c r="AJ105" s="147">
        <f t="shared" si="55"/>
        <v>0</v>
      </c>
      <c r="AK105" s="147">
        <f t="shared" si="65"/>
        <v>0</v>
      </c>
      <c r="AM105" s="147" t="str">
        <f t="shared" si="59"/>
        <v>0.020614888689097+0.20200198945191i</v>
      </c>
      <c r="AN105" s="147" t="str">
        <f t="shared" si="60"/>
        <v>0.203401620424506i</v>
      </c>
      <c r="AO105" s="147" t="str">
        <f t="shared" si="61"/>
        <v>0.99311887992989-0.101350661052125i</v>
      </c>
      <c r="AP105" s="147" t="str">
        <f t="shared" si="62"/>
        <v>0.16323085188515-0.033666998241985i</v>
      </c>
      <c r="AQ105" s="147" t="str">
        <f t="shared" si="63"/>
        <v>0.83676914811485+0.033666998241985i</v>
      </c>
      <c r="AR105" s="147" t="str">
        <f t="shared" si="64"/>
        <v>0.993886674230481-0.03998854521517i</v>
      </c>
    </row>
    <row r="106" spans="1:44">
      <c r="G106" s="585">
        <v>5248.1</v>
      </c>
      <c r="H106" s="573">
        <f t="shared" si="56"/>
        <v>5.2481</v>
      </c>
      <c r="I106" s="574">
        <f t="shared" si="34"/>
        <v>14.857203575465475</v>
      </c>
      <c r="J106" s="575">
        <f t="shared" si="35"/>
        <v>1.5034379853403277</v>
      </c>
      <c r="K106" s="575">
        <f t="shared" si="36"/>
        <v>1.0000263131954337</v>
      </c>
      <c r="L106" s="576">
        <f t="shared" si="37"/>
        <v>7.2543253938349957E-3</v>
      </c>
      <c r="M106" s="575">
        <f t="shared" si="38"/>
        <v>1.0000605568592591</v>
      </c>
      <c r="N106" s="576">
        <f t="shared" si="39"/>
        <v>-1.1004890137806663E-2</v>
      </c>
      <c r="O106" s="574">
        <f t="shared" si="40"/>
        <v>217633.57950363547</v>
      </c>
      <c r="P106" s="577">
        <f t="shared" si="41"/>
        <v>1.5707917319157318</v>
      </c>
      <c r="Q106" s="586">
        <f t="shared" si="42"/>
        <v>8.8346653920152072</v>
      </c>
      <c r="R106" s="587">
        <f t="shared" si="43"/>
        <v>1.457362743421845</v>
      </c>
      <c r="S106" s="574">
        <f t="shared" si="44"/>
        <v>1.0001758175497855</v>
      </c>
      <c r="T106" s="577">
        <f t="shared" si="45"/>
        <v>1.875056232796014E-2</v>
      </c>
      <c r="U106" s="578">
        <f t="shared" si="57"/>
        <v>0.99165241576503249</v>
      </c>
      <c r="V106" s="579">
        <f t="shared" si="58"/>
        <v>-0.15550328665800414</v>
      </c>
      <c r="W106" s="580">
        <f t="shared" si="46"/>
        <v>-1.6251368840337876</v>
      </c>
      <c r="X106" s="581">
        <f t="shared" si="47"/>
        <v>-102.83855539372587</v>
      </c>
      <c r="Y106" s="584">
        <f t="shared" si="48"/>
        <v>77.161444606274131</v>
      </c>
      <c r="AA106" s="147">
        <f t="shared" si="49"/>
        <v>5248.1</v>
      </c>
      <c r="AB106" s="147">
        <f t="shared" si="50"/>
        <v>27542553.610000003</v>
      </c>
      <c r="AD106" s="583">
        <f t="shared" si="51"/>
        <v>17.27320711185407</v>
      </c>
      <c r="AE106" s="584">
        <f t="shared" si="52"/>
        <v>-7.5733304086805999</v>
      </c>
      <c r="AG106" s="583">
        <f t="shared" si="53"/>
        <v>9.8745523191728104</v>
      </c>
      <c r="AH106" s="584">
        <f t="shared" si="54"/>
        <v>-77.445860912850407</v>
      </c>
      <c r="AJ106" s="147">
        <f t="shared" si="55"/>
        <v>0</v>
      </c>
      <c r="AK106" s="147">
        <f t="shared" si="65"/>
        <v>0</v>
      </c>
      <c r="AM106" s="147" t="str">
        <f t="shared" si="59"/>
        <v>0.024767505273154+0.221182235337406i</v>
      </c>
      <c r="AN106" s="147" t="str">
        <f t="shared" si="60"/>
        <v>0.223026564183159i</v>
      </c>
      <c r="AO106" s="147" t="str">
        <f t="shared" si="61"/>
        <v>0.991730452143636-0.111051817364742i</v>
      </c>
      <c r="AP106" s="147" t="str">
        <f t="shared" si="62"/>
        <v>0.162538749121141-0.0368637058895677i</v>
      </c>
      <c r="AQ106" s="147" t="str">
        <f t="shared" si="63"/>
        <v>0.837461250878859+0.0368637058895677i</v>
      </c>
      <c r="AR106" s="147" t="str">
        <f t="shared" si="64"/>
        <v>0.992749316171079-0.0436992383528129i</v>
      </c>
    </row>
    <row r="107" spans="1:44">
      <c r="G107" s="585">
        <v>5370.3</v>
      </c>
      <c r="H107" s="573">
        <f t="shared" si="56"/>
        <v>5.3703000000000003</v>
      </c>
      <c r="I107" s="574">
        <f t="shared" si="34"/>
        <v>15.201598399268581</v>
      </c>
      <c r="J107" s="575">
        <f t="shared" si="35"/>
        <v>1.5049662340702379</v>
      </c>
      <c r="K107" s="575">
        <f t="shared" si="36"/>
        <v>1.0000275528300417</v>
      </c>
      <c r="L107" s="576">
        <f t="shared" si="37"/>
        <v>7.423233449715295E-3</v>
      </c>
      <c r="M107" s="575">
        <f t="shared" si="38"/>
        <v>1.0000634096877159</v>
      </c>
      <c r="N107" s="576">
        <f t="shared" si="39"/>
        <v>-1.1261113376588024E-2</v>
      </c>
      <c r="O107" s="574">
        <f t="shared" si="40"/>
        <v>222701.09411173919</v>
      </c>
      <c r="P107" s="577">
        <f t="shared" si="41"/>
        <v>1.5707918364712006</v>
      </c>
      <c r="Q107" s="586">
        <f t="shared" si="42"/>
        <v>9.0377712082034378</v>
      </c>
      <c r="R107" s="587">
        <f t="shared" si="43"/>
        <v>1.4599225558941378</v>
      </c>
      <c r="S107" s="574">
        <f t="shared" si="44"/>
        <v>1.0001840997997906</v>
      </c>
      <c r="T107" s="577">
        <f t="shared" si="45"/>
        <v>1.9187056068096717E-2</v>
      </c>
      <c r="U107" s="578">
        <f t="shared" si="57"/>
        <v>0.9912824054863042</v>
      </c>
      <c r="V107" s="579">
        <f t="shared" si="58"/>
        <v>-0.15909475406569634</v>
      </c>
      <c r="W107" s="580">
        <f t="shared" si="46"/>
        <v>-1.829962571593498</v>
      </c>
      <c r="X107" s="581">
        <f t="shared" si="47"/>
        <v>-103.01524510105853</v>
      </c>
      <c r="Y107" s="584">
        <f t="shared" si="48"/>
        <v>76.984754898941475</v>
      </c>
      <c r="AA107" s="147">
        <f t="shared" si="49"/>
        <v>5370.3</v>
      </c>
      <c r="AB107" s="147">
        <f t="shared" si="50"/>
        <v>28840122.090000004</v>
      </c>
      <c r="AD107" s="583">
        <f t="shared" si="51"/>
        <v>17.27063102366461</v>
      </c>
      <c r="AE107" s="584">
        <f t="shared" si="52"/>
        <v>-7.45167919721505</v>
      </c>
      <c r="AG107" s="583">
        <f t="shared" si="53"/>
        <v>9.6787857740085581</v>
      </c>
      <c r="AH107" s="584">
        <f t="shared" si="54"/>
        <v>-77.332649981739209</v>
      </c>
      <c r="AJ107" s="147">
        <f t="shared" si="55"/>
        <v>0</v>
      </c>
      <c r="AK107" s="147">
        <f t="shared" si="65"/>
        <v>0</v>
      </c>
      <c r="AM107" s="147" t="str">
        <f t="shared" si="59"/>
        <v>0.025929269051047+0.226243698494728i</v>
      </c>
      <c r="AN107" s="147" t="str">
        <f t="shared" si="60"/>
        <v>0.228219652375682i</v>
      </c>
      <c r="AO107" s="147" t="str">
        <f t="shared" si="61"/>
        <v>0.99134187673855-0.113615408581745i</v>
      </c>
      <c r="AP107" s="147" t="str">
        <f t="shared" si="62"/>
        <v>0.162345121824825-0.0377072830824547i</v>
      </c>
      <c r="AQ107" s="147" t="str">
        <f t="shared" si="63"/>
        <v>0.837654878175175+0.0377072830824547i</v>
      </c>
      <c r="AR107" s="147" t="str">
        <f t="shared" si="64"/>
        <v>0.992431922982669-0.0446746177154674i</v>
      </c>
    </row>
    <row r="108" spans="1:44">
      <c r="G108" s="585">
        <v>5432.85</v>
      </c>
      <c r="H108" s="573">
        <f t="shared" si="56"/>
        <v>5.4328500000000002</v>
      </c>
      <c r="I108" s="574">
        <f t="shared" si="34"/>
        <v>15.37789560175781</v>
      </c>
      <c r="J108" s="575">
        <f t="shared" si="35"/>
        <v>1.5057220050119042</v>
      </c>
      <c r="K108" s="575">
        <f t="shared" si="36"/>
        <v>1.0000281983961405</v>
      </c>
      <c r="L108" s="576">
        <f t="shared" si="37"/>
        <v>7.5096915425244531E-3</v>
      </c>
      <c r="M108" s="575">
        <f t="shared" si="38"/>
        <v>1.000064895357015</v>
      </c>
      <c r="N108" s="576">
        <f t="shared" si="39"/>
        <v>-1.1392264718067514E-2</v>
      </c>
      <c r="O108" s="574">
        <f t="shared" si="40"/>
        <v>225294.98149911233</v>
      </c>
      <c r="P108" s="577">
        <f t="shared" si="41"/>
        <v>1.5707918881696181</v>
      </c>
      <c r="Q108" s="586">
        <f t="shared" si="42"/>
        <v>9.1417562731336197</v>
      </c>
      <c r="R108" s="587">
        <f t="shared" si="43"/>
        <v>1.4611888202080929</v>
      </c>
      <c r="S108" s="574">
        <f t="shared" si="44"/>
        <v>1.0001884129346177</v>
      </c>
      <c r="T108" s="577">
        <f t="shared" si="45"/>
        <v>1.9410479464027113E-2</v>
      </c>
      <c r="U108" s="578">
        <f t="shared" si="57"/>
        <v>0.99108986963368462</v>
      </c>
      <c r="V108" s="579">
        <f t="shared" si="58"/>
        <v>-0.160932332200381</v>
      </c>
      <c r="W108" s="580">
        <f t="shared" si="46"/>
        <v>-1.9330392296304686</v>
      </c>
      <c r="X108" s="581">
        <f t="shared" si="47"/>
        <v>-103.10664637135834</v>
      </c>
      <c r="Y108" s="584">
        <f t="shared" si="48"/>
        <v>76.893353628641663</v>
      </c>
      <c r="AA108" s="147">
        <f t="shared" si="49"/>
        <v>5432.85</v>
      </c>
      <c r="AB108" s="147">
        <f t="shared" si="50"/>
        <v>29515859.122500002</v>
      </c>
      <c r="AD108" s="583">
        <f t="shared" si="51"/>
        <v>17.269376135022181</v>
      </c>
      <c r="AE108" s="584">
        <f t="shared" si="52"/>
        <v>-7.3919317759415453</v>
      </c>
      <c r="AG108" s="583">
        <f t="shared" si="53"/>
        <v>9.5803384367395523</v>
      </c>
      <c r="AH108" s="584">
        <f t="shared" si="54"/>
        <v>-77.273227729786001</v>
      </c>
      <c r="AJ108" s="147">
        <f t="shared" si="55"/>
        <v>0</v>
      </c>
      <c r="AK108" s="147">
        <f t="shared" si="65"/>
        <v>0</v>
      </c>
      <c r="AM108" s="147" t="str">
        <f t="shared" si="59"/>
        <v>0.026534102555327+0.228832136100324i</v>
      </c>
      <c r="AN108" s="147" t="str">
        <f t="shared" si="60"/>
        <v>0.230877816585521i</v>
      </c>
      <c r="AO108" s="147" t="str">
        <f t="shared" si="61"/>
        <v>0.991139553745566-0.114927033474861i</v>
      </c>
      <c r="AP108" s="147" t="str">
        <f t="shared" si="62"/>
        <v>0.162244316240779-0.038138689350054i</v>
      </c>
      <c r="AQ108" s="147" t="str">
        <f t="shared" si="63"/>
        <v>0.837755683759221+0.038138689350054i</v>
      </c>
      <c r="AR108" s="147" t="str">
        <f t="shared" si="64"/>
        <v>0.992266821177088-0.045172783400793i</v>
      </c>
    </row>
    <row r="109" spans="1:44">
      <c r="G109" s="585">
        <v>5495.4</v>
      </c>
      <c r="H109" s="573">
        <f t="shared" si="56"/>
        <v>5.4954000000000001</v>
      </c>
      <c r="I109" s="574">
        <f t="shared" si="34"/>
        <v>15.554201388824513</v>
      </c>
      <c r="J109" s="575">
        <f t="shared" si="35"/>
        <v>1.5064606431457965</v>
      </c>
      <c r="K109" s="575">
        <f t="shared" si="36"/>
        <v>1.0000288514374425</v>
      </c>
      <c r="L109" s="576">
        <f t="shared" si="37"/>
        <v>7.5961495230617293E-3</v>
      </c>
      <c r="M109" s="575">
        <f t="shared" si="38"/>
        <v>1.0000663982280535</v>
      </c>
      <c r="N109" s="576">
        <f t="shared" si="39"/>
        <v>-1.1523415667621948E-2</v>
      </c>
      <c r="O109" s="574">
        <f t="shared" si="40"/>
        <v>227888.86888648605</v>
      </c>
      <c r="P109" s="577">
        <f t="shared" si="41"/>
        <v>1.5707919386911473</v>
      </c>
      <c r="Q109" s="586">
        <f t="shared" si="42"/>
        <v>9.2457556664600382</v>
      </c>
      <c r="R109" s="587">
        <f t="shared" si="43"/>
        <v>1.4624265997293608</v>
      </c>
      <c r="S109" s="574">
        <f t="shared" si="44"/>
        <v>1.0001927759964317</v>
      </c>
      <c r="T109" s="577">
        <f t="shared" si="45"/>
        <v>1.963390092186577E-2</v>
      </c>
      <c r="U109" s="578">
        <f t="shared" si="57"/>
        <v>0.99089521213735443</v>
      </c>
      <c r="V109" s="579">
        <f t="shared" si="58"/>
        <v>-0.16276938063973112</v>
      </c>
      <c r="W109" s="580">
        <f t="shared" si="46"/>
        <v>-2.0349571478757325</v>
      </c>
      <c r="X109" s="581">
        <f t="shared" si="47"/>
        <v>-103.19866751867821</v>
      </c>
      <c r="Y109" s="584">
        <f t="shared" si="48"/>
        <v>76.801332481321793</v>
      </c>
      <c r="AA109" s="147">
        <f t="shared" si="49"/>
        <v>5495.4</v>
      </c>
      <c r="AB109" s="147">
        <f t="shared" si="50"/>
        <v>30199421.159999996</v>
      </c>
      <c r="AD109" s="583">
        <f t="shared" si="51"/>
        <v>17.268161823081766</v>
      </c>
      <c r="AE109" s="584">
        <f t="shared" si="52"/>
        <v>-7.3338162345959788</v>
      </c>
      <c r="AG109" s="583">
        <f t="shared" si="53"/>
        <v>9.4830471135065242</v>
      </c>
      <c r="AH109" s="584">
        <f t="shared" si="54"/>
        <v>-77.212854173539213</v>
      </c>
      <c r="AJ109" s="147">
        <f t="shared" si="55"/>
        <v>0</v>
      </c>
      <c r="AK109" s="147">
        <f t="shared" si="65"/>
        <v>0</v>
      </c>
      <c r="AM109" s="147" t="str">
        <f t="shared" si="59"/>
        <v>0.02714581440688+0.231418956816306i</v>
      </c>
      <c r="AN109" s="147" t="str">
        <f t="shared" si="60"/>
        <v>0.23353598079536i</v>
      </c>
      <c r="AO109" s="147" t="str">
        <f t="shared" si="61"/>
        <v>0.99093491301921-0.11623825294256i</v>
      </c>
      <c r="AP109" s="147" t="str">
        <f t="shared" si="62"/>
        <v>0.16214236426552-0.038569826136051i</v>
      </c>
      <c r="AQ109" s="147" t="str">
        <f t="shared" si="63"/>
        <v>0.83785763573448+0.038569826136051i</v>
      </c>
      <c r="AR109" s="147" t="str">
        <f t="shared" si="64"/>
        <v>0.992099938036535-0.0456701956127813i</v>
      </c>
    </row>
    <row r="110" spans="1:44">
      <c r="G110" s="585">
        <v>5559.4</v>
      </c>
      <c r="H110" s="573">
        <f t="shared" si="56"/>
        <v>5.5593999999999992</v>
      </c>
      <c r="I110" s="574">
        <f t="shared" si="34"/>
        <v>15.734602784930372</v>
      </c>
      <c r="J110" s="575">
        <f t="shared" si="35"/>
        <v>1.5071992707084307</v>
      </c>
      <c r="K110" s="575">
        <f t="shared" si="36"/>
        <v>1.0000295273543169</v>
      </c>
      <c r="L110" s="576">
        <f t="shared" si="37"/>
        <v>7.6846116078161273E-3</v>
      </c>
      <c r="M110" s="575">
        <f t="shared" si="38"/>
        <v>1.0000679537422514</v>
      </c>
      <c r="N110" s="576">
        <f t="shared" si="39"/>
        <v>-1.1657606476627677E-2</v>
      </c>
      <c r="O110" s="574">
        <f t="shared" si="40"/>
        <v>230542.88635718077</v>
      </c>
      <c r="P110" s="577">
        <f t="shared" si="41"/>
        <v>1.5707919892071454</v>
      </c>
      <c r="Q110" s="586">
        <f t="shared" si="42"/>
        <v>9.3521802489184545</v>
      </c>
      <c r="R110" s="587">
        <f t="shared" si="43"/>
        <v>1.4636645771479528</v>
      </c>
      <c r="S110" s="574">
        <f t="shared" si="44"/>
        <v>1.000197291876157</v>
      </c>
      <c r="T110" s="577">
        <f t="shared" si="45"/>
        <v>1.9862499584896092E-2</v>
      </c>
      <c r="U110" s="578">
        <f t="shared" si="57"/>
        <v>0.99069384998822119</v>
      </c>
      <c r="V110" s="579">
        <f t="shared" si="58"/>
        <v>-0.1646484603564963</v>
      </c>
      <c r="W110" s="580">
        <f t="shared" si="46"/>
        <v>-2.1380667061201568</v>
      </c>
      <c r="X110" s="581">
        <f t="shared" si="47"/>
        <v>-103.2934409125285</v>
      </c>
      <c r="Y110" s="584">
        <f t="shared" si="48"/>
        <v>76.706559087471504</v>
      </c>
      <c r="AA110" s="147">
        <f t="shared" si="49"/>
        <v>5559.4</v>
      </c>
      <c r="AB110" s="147">
        <f t="shared" si="50"/>
        <v>30906928.359999996</v>
      </c>
      <c r="AD110" s="583">
        <f t="shared" si="51"/>
        <v>17.266959464506183</v>
      </c>
      <c r="AE110" s="584">
        <f t="shared" si="52"/>
        <v>-7.2759859862595366</v>
      </c>
      <c r="AG110" s="583">
        <f t="shared" si="53"/>
        <v>9.3846704327411317</v>
      </c>
      <c r="AH110" s="584">
        <f t="shared" si="54"/>
        <v>-77.150131141201342</v>
      </c>
      <c r="AJ110" s="147">
        <f t="shared" si="55"/>
        <v>0</v>
      </c>
      <c r="AK110" s="147">
        <f t="shared" si="65"/>
        <v>0</v>
      </c>
      <c r="AM110" s="147" t="str">
        <f t="shared" si="59"/>
        <v>0.027778821491082+0.234064051188412i</v>
      </c>
      <c r="AN110" s="147" t="str">
        <f t="shared" si="60"/>
        <v>0.236255765118777i</v>
      </c>
      <c r="AO110" s="147" t="str">
        <f t="shared" si="61"/>
        <v>0.990723130378371-0.117579443943373i</v>
      </c>
      <c r="AP110" s="147" t="str">
        <f t="shared" si="62"/>
        <v>0.16203686308482-0.0390106751980687i</v>
      </c>
      <c r="AQ110" s="147" t="str">
        <f t="shared" si="63"/>
        <v>0.83796313691518+0.0390106751980687i</v>
      </c>
      <c r="AR110" s="147" t="str">
        <f t="shared" si="64"/>
        <v>0.991927347093127-0.0461783506372175i</v>
      </c>
    </row>
    <row r="111" spans="1:44">
      <c r="G111" s="585">
        <v>5623.4</v>
      </c>
      <c r="H111" s="573">
        <f t="shared" si="56"/>
        <v>5.6233999999999993</v>
      </c>
      <c r="I111" s="574">
        <f t="shared" si="34"/>
        <v>15.91501257075938</v>
      </c>
      <c r="J111" s="575">
        <f t="shared" si="35"/>
        <v>1.5079211527529868</v>
      </c>
      <c r="K111" s="575">
        <f t="shared" si="36"/>
        <v>1.0000302110969526</v>
      </c>
      <c r="L111" s="576">
        <f t="shared" si="37"/>
        <v>7.7730735722958445E-3</v>
      </c>
      <c r="M111" s="575">
        <f t="shared" si="38"/>
        <v>1.0000695272647899</v>
      </c>
      <c r="N111" s="576">
        <f t="shared" si="39"/>
        <v>-1.1791796865774626E-2</v>
      </c>
      <c r="O111" s="574">
        <f t="shared" si="40"/>
        <v>233196.90382787611</v>
      </c>
      <c r="P111" s="577">
        <f t="shared" si="41"/>
        <v>1.5707920385732967</v>
      </c>
      <c r="Q111" s="586">
        <f t="shared" si="42"/>
        <v>9.458618841865059</v>
      </c>
      <c r="R111" s="587">
        <f t="shared" si="43"/>
        <v>1.4648746942690829</v>
      </c>
      <c r="S111" s="574">
        <f t="shared" si="44"/>
        <v>1.0002018600230673</v>
      </c>
      <c r="T111" s="577">
        <f t="shared" si="45"/>
        <v>2.0091096171749128E-2</v>
      </c>
      <c r="U111" s="578">
        <f t="shared" si="57"/>
        <v>0.99049027440212412</v>
      </c>
      <c r="V111" s="579">
        <f t="shared" si="58"/>
        <v>-0.16652697352507956</v>
      </c>
      <c r="W111" s="580">
        <f t="shared" si="46"/>
        <v>-2.2400197954571697</v>
      </c>
      <c r="X111" s="581">
        <f t="shared" si="47"/>
        <v>-103.38881847350622</v>
      </c>
      <c r="Y111" s="584">
        <f t="shared" si="48"/>
        <v>76.61118152649378</v>
      </c>
      <c r="AA111" s="147">
        <f t="shared" si="49"/>
        <v>5623.4</v>
      </c>
      <c r="AB111" s="147">
        <f t="shared" si="50"/>
        <v>31622627.559999995</v>
      </c>
      <c r="AD111" s="583">
        <f t="shared" si="51"/>
        <v>17.265795843080344</v>
      </c>
      <c r="AE111" s="584">
        <f t="shared" si="52"/>
        <v>-7.2197518305478994</v>
      </c>
      <c r="AG111" s="583">
        <f t="shared" si="53"/>
        <v>9.2874510218646336</v>
      </c>
      <c r="AH111" s="584">
        <f t="shared" si="54"/>
        <v>-77.086481105005589</v>
      </c>
      <c r="AJ111" s="147">
        <f t="shared" si="55"/>
        <v>0</v>
      </c>
      <c r="AK111" s="147">
        <f t="shared" si="65"/>
        <v>0</v>
      </c>
      <c r="AM111" s="147" t="str">
        <f t="shared" si="59"/>
        <v>0.028419020311375+0.236707414136719i</v>
      </c>
      <c r="AN111" s="147" t="str">
        <f t="shared" si="60"/>
        <v>0.238975549442193i</v>
      </c>
      <c r="AO111" s="147" t="str">
        <f t="shared" si="61"/>
        <v>0.990508923148129-0.118920200738986i</v>
      </c>
      <c r="AP111" s="147" t="str">
        <f t="shared" si="62"/>
        <v>0.161930163281438-0.0394512356894532i</v>
      </c>
      <c r="AQ111" s="147" t="str">
        <f t="shared" si="63"/>
        <v>0.838069836718562+0.0394512356894532i</v>
      </c>
      <c r="AR111" s="147" t="str">
        <f t="shared" si="64"/>
        <v>0.991752900544914-0.0466857005357602i</v>
      </c>
    </row>
    <row r="112" spans="1:44">
      <c r="G112" s="585">
        <v>5688.9</v>
      </c>
      <c r="H112" s="573">
        <f t="shared" si="56"/>
        <v>5.6888999999999994</v>
      </c>
      <c r="I112" s="574">
        <f t="shared" si="34"/>
        <v>16.099659103606815</v>
      </c>
      <c r="J112" s="575">
        <f t="shared" si="35"/>
        <v>1.508643201750189</v>
      </c>
      <c r="K112" s="575">
        <f t="shared" si="36"/>
        <v>1.000030918967824</v>
      </c>
      <c r="L112" s="576">
        <f t="shared" si="37"/>
        <v>7.8636087380874152E-3</v>
      </c>
      <c r="M112" s="575">
        <f t="shared" si="38"/>
        <v>1.0000711563130669</v>
      </c>
      <c r="N112" s="576">
        <f t="shared" si="39"/>
        <v>-1.1929131902391456E-2</v>
      </c>
      <c r="O112" s="574">
        <f t="shared" si="40"/>
        <v>235913.12483304142</v>
      </c>
      <c r="P112" s="577">
        <f t="shared" si="41"/>
        <v>1.5707920879463768</v>
      </c>
      <c r="Q112" s="586">
        <f t="shared" si="42"/>
        <v>9.5675661082785517</v>
      </c>
      <c r="R112" s="587">
        <f t="shared" si="43"/>
        <v>1.4660852927608004</v>
      </c>
      <c r="S112" s="574">
        <f t="shared" si="44"/>
        <v>1.0002065893542325</v>
      </c>
      <c r="T112" s="577">
        <f t="shared" si="45"/>
        <v>2.032504831646725E-2</v>
      </c>
      <c r="U112" s="578">
        <f t="shared" si="57"/>
        <v>0.99027963978296896</v>
      </c>
      <c r="V112" s="579">
        <f t="shared" si="58"/>
        <v>-0.16844892141042511</v>
      </c>
      <c r="W112" s="580">
        <f t="shared" si="46"/>
        <v>-2.3431932931184463</v>
      </c>
      <c r="X112" s="581">
        <f t="shared" si="47"/>
        <v>-103.48703488622343</v>
      </c>
      <c r="Y112" s="584">
        <f t="shared" si="48"/>
        <v>76.512965113776573</v>
      </c>
      <c r="AA112" s="147">
        <f t="shared" si="49"/>
        <v>5688.9</v>
      </c>
      <c r="AB112" s="147">
        <f t="shared" si="50"/>
        <v>32363583.209999997</v>
      </c>
      <c r="AD112" s="583">
        <f t="shared" si="51"/>
        <v>17.264643245932472</v>
      </c>
      <c r="AE112" s="584">
        <f t="shared" si="52"/>
        <v>-7.1637969455931394</v>
      </c>
      <c r="AG112" s="583">
        <f t="shared" si="53"/>
        <v>9.1891247434266781</v>
      </c>
      <c r="AH112" s="584">
        <f t="shared" si="54"/>
        <v>-77.020413397877078</v>
      </c>
      <c r="AJ112" s="147">
        <f t="shared" si="55"/>
        <v>0</v>
      </c>
      <c r="AK112" s="147">
        <f t="shared" si="65"/>
        <v>0</v>
      </c>
      <c r="AM112" s="147" t="str">
        <f t="shared" si="59"/>
        <v>0.029081665395234+0.239410917729974i</v>
      </c>
      <c r="AN112" s="147" t="str">
        <f t="shared" si="60"/>
        <v>0.24175907871069i</v>
      </c>
      <c r="AO112" s="147" t="str">
        <f t="shared" si="61"/>
        <v>0.990287185932215-0.120291926782347i</v>
      </c>
      <c r="AP112" s="147" t="str">
        <f t="shared" si="62"/>
        <v>0.161819722434128-0.0399018196216623i</v>
      </c>
      <c r="AQ112" s="147" t="str">
        <f t="shared" si="63"/>
        <v>0.838180277565872+0.0399018196216623i</v>
      </c>
      <c r="AR112" s="147" t="str">
        <f t="shared" si="64"/>
        <v>0.991572449020592-0.0472040992392835i</v>
      </c>
    </row>
    <row r="113" spans="7:44">
      <c r="G113" s="585">
        <v>5754.4</v>
      </c>
      <c r="H113" s="573">
        <f t="shared" si="56"/>
        <v>5.7543999999999995</v>
      </c>
      <c r="I113" s="574">
        <f t="shared" si="34"/>
        <v>16.284313839736065</v>
      </c>
      <c r="J113" s="575">
        <f t="shared" si="35"/>
        <v>1.5093488758691904</v>
      </c>
      <c r="K113" s="575">
        <f t="shared" si="36"/>
        <v>1.0000316350355534</v>
      </c>
      <c r="L113" s="576">
        <f t="shared" si="37"/>
        <v>7.9541437749665444E-3</v>
      </c>
      <c r="M113" s="575">
        <f t="shared" si="38"/>
        <v>1.0000728042235365</v>
      </c>
      <c r="N113" s="576">
        <f t="shared" si="39"/>
        <v>-1.2066466488999795E-2</v>
      </c>
      <c r="O113" s="574">
        <f t="shared" si="40"/>
        <v>238629.34583820731</v>
      </c>
      <c r="P113" s="577">
        <f t="shared" si="41"/>
        <v>1.5707921361954693</v>
      </c>
      <c r="Q113" s="586">
        <f t="shared" si="42"/>
        <v>9.676527080675136</v>
      </c>
      <c r="R113" s="587">
        <f t="shared" si="43"/>
        <v>1.4672686294562569</v>
      </c>
      <c r="S113" s="574">
        <f t="shared" si="44"/>
        <v>1.0002113734297913</v>
      </c>
      <c r="T113" s="577">
        <f t="shared" si="45"/>
        <v>2.0558998235973774E-2</v>
      </c>
      <c r="U113" s="578">
        <f t="shared" si="57"/>
        <v>0.99006669518737156</v>
      </c>
      <c r="V113" s="579">
        <f t="shared" si="58"/>
        <v>-0.17037026307219733</v>
      </c>
      <c r="W113" s="580">
        <f t="shared" si="46"/>
        <v>-2.4452120017736991</v>
      </c>
      <c r="X113" s="581">
        <f t="shared" si="47"/>
        <v>-103.58584012905339</v>
      </c>
      <c r="Y113" s="584">
        <f t="shared" si="48"/>
        <v>76.414159870946605</v>
      </c>
      <c r="AA113" s="147">
        <f t="shared" si="49"/>
        <v>5754.4</v>
      </c>
      <c r="AB113" s="147">
        <f t="shared" si="50"/>
        <v>33113119.359999996</v>
      </c>
      <c r="AD113" s="583">
        <f t="shared" si="51"/>
        <v>17.263527643098286</v>
      </c>
      <c r="AE113" s="584">
        <f t="shared" si="52"/>
        <v>-7.109403854612883</v>
      </c>
      <c r="AG113" s="583">
        <f t="shared" si="53"/>
        <v>9.0919575765792118</v>
      </c>
      <c r="AH113" s="584">
        <f t="shared" si="54"/>
        <v>-76.953442194991354</v>
      </c>
      <c r="AJ113" s="147">
        <f t="shared" si="55"/>
        <v>0</v>
      </c>
      <c r="AK113" s="147">
        <f t="shared" si="65"/>
        <v>0</v>
      </c>
      <c r="AM113" s="147" t="str">
        <f t="shared" si="59"/>
        <v>0.029751833183658+0.242112566360212i</v>
      </c>
      <c r="AN113" s="147" t="str">
        <f t="shared" si="60"/>
        <v>0.244542607979186i</v>
      </c>
      <c r="AO113" s="147" t="str">
        <f t="shared" si="61"/>
        <v>0.990062911166872-0.121663187570938i</v>
      </c>
      <c r="AP113" s="147" t="str">
        <f t="shared" si="62"/>
        <v>0.161708027802724-0.0403520943933687i</v>
      </c>
      <c r="AQ113" s="147" t="str">
        <f t="shared" si="63"/>
        <v>0.838291972197276+0.0403520943933687i</v>
      </c>
      <c r="AR113" s="147" t="str">
        <f t="shared" si="64"/>
        <v>0.991390064023787-0.0477216372945551i</v>
      </c>
    </row>
    <row r="114" spans="7:44">
      <c r="G114" s="585">
        <v>5821.4</v>
      </c>
      <c r="H114" s="573">
        <f t="shared" si="56"/>
        <v>5.8213999999999997</v>
      </c>
      <c r="I114" s="574">
        <f t="shared" si="34"/>
        <v>16.473205509916657</v>
      </c>
      <c r="J114" s="575">
        <f t="shared" si="35"/>
        <v>1.5100543421429689</v>
      </c>
      <c r="K114" s="575">
        <f t="shared" si="36"/>
        <v>1.0000323759823411</v>
      </c>
      <c r="L114" s="576">
        <f t="shared" si="37"/>
        <v>8.046751998379429E-3</v>
      </c>
      <c r="M114" s="575">
        <f t="shared" si="38"/>
        <v>1.0000745093873933</v>
      </c>
      <c r="N114" s="576">
        <f t="shared" si="39"/>
        <v>-1.2206945671493857E-2</v>
      </c>
      <c r="O114" s="574">
        <f t="shared" si="40"/>
        <v>241407.77037784318</v>
      </c>
      <c r="P114" s="577">
        <f t="shared" si="41"/>
        <v>1.5707921844261632</v>
      </c>
      <c r="Q114" s="586">
        <f t="shared" si="42"/>
        <v>9.7879970457211343</v>
      </c>
      <c r="R114" s="587">
        <f t="shared" si="43"/>
        <v>1.4684518057978526</v>
      </c>
      <c r="S114" s="574">
        <f t="shared" si="44"/>
        <v>1.0002163237027955</v>
      </c>
      <c r="T114" s="577">
        <f t="shared" si="45"/>
        <v>2.0798303458326502E-2</v>
      </c>
      <c r="U114" s="578">
        <f t="shared" si="57"/>
        <v>0.98984648857691326</v>
      </c>
      <c r="V114" s="579">
        <f t="shared" si="58"/>
        <v>-0.17233497099132897</v>
      </c>
      <c r="W114" s="580">
        <f t="shared" si="46"/>
        <v>-2.548400514913185</v>
      </c>
      <c r="X114" s="581">
        <f t="shared" si="47"/>
        <v>-103.68749557678296</v>
      </c>
      <c r="Y114" s="584">
        <f t="shared" si="48"/>
        <v>76.312504423217035</v>
      </c>
      <c r="AA114" s="147">
        <f t="shared" si="49"/>
        <v>5821.4</v>
      </c>
      <c r="AB114" s="147">
        <f t="shared" si="50"/>
        <v>33888697.959999993</v>
      </c>
      <c r="AD114" s="583">
        <f t="shared" si="51"/>
        <v>17.262423034276363</v>
      </c>
      <c r="AE114" s="584">
        <f t="shared" si="52"/>
        <v>-7.0553267864293874</v>
      </c>
      <c r="AG114" s="583">
        <f t="shared" si="53"/>
        <v>8.9937378625495548</v>
      </c>
      <c r="AH114" s="584">
        <f t="shared" si="54"/>
        <v>-76.8840357671628</v>
      </c>
      <c r="AJ114" s="147">
        <f t="shared" si="55"/>
        <v>0</v>
      </c>
      <c r="AK114" s="147">
        <f t="shared" si="65"/>
        <v>0</v>
      </c>
      <c r="AM114" s="147" t="str">
        <f t="shared" si="59"/>
        <v>0.030445126003151+0.244874143814644i</v>
      </c>
      <c r="AN114" s="147" t="str">
        <f t="shared" si="60"/>
        <v>0.247389882192763i</v>
      </c>
      <c r="AO114" s="147" t="str">
        <f t="shared" si="61"/>
        <v>0.989830876041411-0.123065364408996i</v>
      </c>
      <c r="AP114" s="147" t="str">
        <f t="shared" si="62"/>
        <v>0.161592478999475-0.0408123573024407i</v>
      </c>
      <c r="AQ114" s="147" t="str">
        <f t="shared" si="63"/>
        <v>0.838407521000525+0.0408123573024407i</v>
      </c>
      <c r="AR114" s="147" t="str">
        <f t="shared" si="64"/>
        <v>0.991201507294189-0.0482501278449086i</v>
      </c>
    </row>
    <row r="115" spans="7:44">
      <c r="G115" s="585">
        <v>5888.4</v>
      </c>
      <c r="H115" s="573">
        <f t="shared" si="56"/>
        <v>5.8883999999999999</v>
      </c>
      <c r="I115" s="574">
        <f t="shared" si="34"/>
        <v>16.662105192639029</v>
      </c>
      <c r="J115" s="575">
        <f t="shared" si="35"/>
        <v>1.5107438128929143</v>
      </c>
      <c r="K115" s="575">
        <f t="shared" si="36"/>
        <v>1.0000331255056767</v>
      </c>
      <c r="L115" s="576">
        <f t="shared" si="37"/>
        <v>8.139360083767094E-3</v>
      </c>
      <c r="M115" s="575">
        <f t="shared" si="38"/>
        <v>1.0000762342870537</v>
      </c>
      <c r="N115" s="576">
        <f t="shared" si="39"/>
        <v>-1.2347424372172129E-2</v>
      </c>
      <c r="O115" s="574">
        <f t="shared" si="40"/>
        <v>244186.19491747962</v>
      </c>
      <c r="P115" s="577">
        <f t="shared" si="41"/>
        <v>1.5707922315592904</v>
      </c>
      <c r="Q115" s="586">
        <f t="shared" si="42"/>
        <v>9.8994804044540494</v>
      </c>
      <c r="R115" s="587">
        <f t="shared" si="43"/>
        <v>1.469608334961398</v>
      </c>
      <c r="S115" s="574">
        <f t="shared" si="44"/>
        <v>1.0002213312546082</v>
      </c>
      <c r="T115" s="577">
        <f t="shared" si="45"/>
        <v>2.1037606298247014E-2</v>
      </c>
      <c r="U115" s="578">
        <f t="shared" si="57"/>
        <v>0.98962387418273445</v>
      </c>
      <c r="V115" s="579">
        <f t="shared" si="58"/>
        <v>-0.17429903096521518</v>
      </c>
      <c r="W115" s="580">
        <f t="shared" si="46"/>
        <v>-2.6504371125779573</v>
      </c>
      <c r="X115" s="581">
        <f t="shared" si="47"/>
        <v>-103.7897239757297</v>
      </c>
      <c r="Y115" s="584">
        <f t="shared" si="48"/>
        <v>76.2102760242703</v>
      </c>
      <c r="AA115" s="147">
        <f t="shared" si="49"/>
        <v>5888.4</v>
      </c>
      <c r="AB115" s="147">
        <f t="shared" si="50"/>
        <v>34673254.559999995</v>
      </c>
      <c r="AD115" s="583">
        <f t="shared" si="51"/>
        <v>17.261353713509283</v>
      </c>
      <c r="AE115" s="584">
        <f t="shared" si="52"/>
        <v>-7.0027762896965884</v>
      </c>
      <c r="AG115" s="583">
        <f t="shared" si="53"/>
        <v>8.8966779016778261</v>
      </c>
      <c r="AH115" s="584">
        <f t="shared" si="54"/>
        <v>-76.813749968156657</v>
      </c>
      <c r="AJ115" s="147">
        <f t="shared" si="55"/>
        <v>0</v>
      </c>
      <c r="AK115" s="147">
        <f t="shared" si="65"/>
        <v>0</v>
      </c>
      <c r="AM115" s="147" t="str">
        <f t="shared" si="59"/>
        <v>0.031146278970045+0.24763373608297i</v>
      </c>
      <c r="AN115" s="147" t="str">
        <f t="shared" si="60"/>
        <v>0.25023715640634i</v>
      </c>
      <c r="AO115" s="147" t="str">
        <f t="shared" si="61"/>
        <v>0.989596188029157-0.124467043253437i</v>
      </c>
      <c r="AP115" s="147" t="str">
        <f t="shared" si="62"/>
        <v>0.161475620171659-0.0412722893471617i</v>
      </c>
      <c r="AQ115" s="147" t="str">
        <f t="shared" si="63"/>
        <v>0.838524379828341+0.0412722893471617i</v>
      </c>
      <c r="AR115" s="147" t="str">
        <f t="shared" si="64"/>
        <v>0.991010938577152-0.0487776994767065i</v>
      </c>
    </row>
    <row r="116" spans="7:44">
      <c r="G116" s="585">
        <v>5957</v>
      </c>
      <c r="H116" s="573">
        <f t="shared" si="56"/>
        <v>5.9569999999999999</v>
      </c>
      <c r="I116" s="574">
        <f t="shared" si="34"/>
        <v>16.855523933065761</v>
      </c>
      <c r="J116" s="575">
        <f t="shared" si="35"/>
        <v>1.5114337365221324</v>
      </c>
      <c r="K116" s="575">
        <f t="shared" si="36"/>
        <v>1.0000339018142701</v>
      </c>
      <c r="L116" s="576">
        <f t="shared" si="37"/>
        <v>8.2341795608548742E-3</v>
      </c>
      <c r="M116" s="575">
        <f t="shared" si="38"/>
        <v>1.0000780208266262</v>
      </c>
      <c r="N116" s="576">
        <f t="shared" si="39"/>
        <v>-1.2491257283090442E-2</v>
      </c>
      <c r="O116" s="574">
        <f t="shared" si="40"/>
        <v>247030.96989388403</v>
      </c>
      <c r="P116" s="577">
        <f t="shared" si="41"/>
        <v>1.5707922787194653</v>
      </c>
      <c r="Q116" s="586">
        <f t="shared" si="42"/>
        <v>10.013639462447232</v>
      </c>
      <c r="R116" s="587">
        <f t="shared" si="43"/>
        <v>1.4707657997299641</v>
      </c>
      <c r="S116" s="574">
        <f t="shared" si="44"/>
        <v>1.000226517735769</v>
      </c>
      <c r="T116" s="577">
        <f t="shared" si="45"/>
        <v>2.1282621335813989E-2</v>
      </c>
      <c r="U116" s="578">
        <f t="shared" si="57"/>
        <v>0.9893934538367799</v>
      </c>
      <c r="V116" s="579">
        <f t="shared" si="58"/>
        <v>-0.1763093153518924</v>
      </c>
      <c r="W116" s="580">
        <f t="shared" si="46"/>
        <v>-2.7537451235415285</v>
      </c>
      <c r="X116" s="581">
        <f t="shared" si="47"/>
        <v>-103.894965945341</v>
      </c>
      <c r="Y116" s="584">
        <f t="shared" si="48"/>
        <v>76.105034054659001</v>
      </c>
      <c r="AA116" s="147">
        <f t="shared" si="49"/>
        <v>5957</v>
      </c>
      <c r="AB116" s="147">
        <f t="shared" si="50"/>
        <v>35485849</v>
      </c>
      <c r="AD116" s="583">
        <f t="shared" si="51"/>
        <v>17.260293761191974</v>
      </c>
      <c r="AE116" s="584">
        <f t="shared" si="52"/>
        <v>-6.950499473111738</v>
      </c>
      <c r="AG116" s="583">
        <f t="shared" si="53"/>
        <v>8.7984750945329697</v>
      </c>
      <c r="AH116" s="584">
        <f t="shared" si="54"/>
        <v>-76.740907132134254</v>
      </c>
      <c r="AJ116" s="147">
        <f t="shared" si="55"/>
        <v>0</v>
      </c>
      <c r="AK116" s="147">
        <f t="shared" si="65"/>
        <v>0</v>
      </c>
      <c r="AM116" s="147" t="str">
        <f t="shared" si="59"/>
        <v>0.031872313897824+0.250457148834779i</v>
      </c>
      <c r="AN116" s="147" t="str">
        <f t="shared" si="60"/>
        <v>0.253152425228002i</v>
      </c>
      <c r="AO116" s="147" t="str">
        <f t="shared" si="61"/>
        <v>0.989353148045903-0.125901673148571i</v>
      </c>
      <c r="AP116" s="147" t="str">
        <f t="shared" si="62"/>
        <v>0.161354614350363-0.0417428581391298i</v>
      </c>
      <c r="AQ116" s="147" t="str">
        <f t="shared" si="63"/>
        <v>0.838645385649637+0.0417428581391298i</v>
      </c>
      <c r="AR116" s="147" t="str">
        <f t="shared" si="64"/>
        <v>0.990813740253508-0.0493169080870393i</v>
      </c>
    </row>
    <row r="117" spans="7:44">
      <c r="G117" s="585">
        <v>6025.6</v>
      </c>
      <c r="H117" s="573">
        <f t="shared" si="56"/>
        <v>6.0256000000000007</v>
      </c>
      <c r="I117" s="574">
        <f t="shared" si="34"/>
        <v>17.048950514585403</v>
      </c>
      <c r="J117" s="575">
        <f t="shared" si="35"/>
        <v>1.5121080055942473</v>
      </c>
      <c r="K117" s="575">
        <f t="shared" si="36"/>
        <v>1.0000346871138874</v>
      </c>
      <c r="L117" s="576">
        <f t="shared" si="37"/>
        <v>8.3289988898769176E-3</v>
      </c>
      <c r="M117" s="575">
        <f t="shared" si="38"/>
        <v>1.0000798280556451</v>
      </c>
      <c r="N117" s="576">
        <f t="shared" si="39"/>
        <v>-1.2635089677147814E-2</v>
      </c>
      <c r="O117" s="574">
        <f t="shared" si="40"/>
        <v>249875.74487028903</v>
      </c>
      <c r="P117" s="577">
        <f t="shared" si="41"/>
        <v>1.570792324805826</v>
      </c>
      <c r="Q117" s="586">
        <f t="shared" si="42"/>
        <v>10.127811633514947</v>
      </c>
      <c r="R117" s="587">
        <f t="shared" si="43"/>
        <v>1.4718971694765426</v>
      </c>
      <c r="S117" s="574">
        <f t="shared" si="44"/>
        <v>1.000231764262272</v>
      </c>
      <c r="T117" s="577">
        <f t="shared" si="45"/>
        <v>2.1527633817729458E-2</v>
      </c>
      <c r="U117" s="578">
        <f t="shared" si="57"/>
        <v>0.9891605194042401</v>
      </c>
      <c r="V117" s="579">
        <f t="shared" si="58"/>
        <v>-0.17831890592764976</v>
      </c>
      <c r="W117" s="580">
        <f t="shared" si="46"/>
        <v>-2.8559018853249607</v>
      </c>
      <c r="X117" s="581">
        <f t="shared" si="47"/>
        <v>-104.00076612800595</v>
      </c>
      <c r="Y117" s="584">
        <f t="shared" si="48"/>
        <v>75.999233871994051</v>
      </c>
      <c r="AA117" s="147">
        <f t="shared" si="49"/>
        <v>6025.6</v>
      </c>
      <c r="AB117" s="147">
        <f t="shared" si="50"/>
        <v>36307855.360000007</v>
      </c>
      <c r="AD117" s="583">
        <f t="shared" si="51"/>
        <v>17.259267528322951</v>
      </c>
      <c r="AE117" s="584">
        <f t="shared" si="52"/>
        <v>-6.8997175832017286</v>
      </c>
      <c r="AG117" s="583">
        <f t="shared" si="53"/>
        <v>8.7014349120243892</v>
      </c>
      <c r="AH117" s="584">
        <f t="shared" si="54"/>
        <v>-76.667207087365796</v>
      </c>
      <c r="AJ117" s="147">
        <f t="shared" si="55"/>
        <v>0</v>
      </c>
      <c r="AK117" s="147">
        <f t="shared" si="65"/>
        <v>0</v>
      </c>
      <c r="AM117" s="147" t="str">
        <f t="shared" si="59"/>
        <v>0.0326065767359019+0.253278433004807i</v>
      </c>
      <c r="AN117" s="147" t="str">
        <f t="shared" si="60"/>
        <v>0.256067694049664i</v>
      </c>
      <c r="AO117" s="147" t="str">
        <f t="shared" si="61"/>
        <v>0.989107329391126-0.127335768992311i</v>
      </c>
      <c r="AP117" s="147" t="str">
        <f t="shared" si="62"/>
        <v>0.161232237210683-0.0422130721674678i</v>
      </c>
      <c r="AQ117" s="147" t="str">
        <f t="shared" si="63"/>
        <v>0.838767762789317+0.0422130721674678i</v>
      </c>
      <c r="AR117" s="147" t="str">
        <f t="shared" si="64"/>
        <v>0.990614444784454-0.0498551338081478i</v>
      </c>
    </row>
    <row r="118" spans="7:44">
      <c r="G118" s="585">
        <v>6095.8</v>
      </c>
      <c r="H118" s="573">
        <f t="shared" si="56"/>
        <v>6.0958000000000006</v>
      </c>
      <c r="I118" s="574">
        <f t="shared" si="34"/>
        <v>17.246896345561673</v>
      </c>
      <c r="J118" s="575">
        <f t="shared" si="35"/>
        <v>1.5127823434479801</v>
      </c>
      <c r="K118" s="575">
        <f t="shared" si="36"/>
        <v>1.0000355000375329</v>
      </c>
      <c r="L118" s="576">
        <f t="shared" si="37"/>
        <v>8.4260295933742228E-3</v>
      </c>
      <c r="M118" s="575">
        <f t="shared" si="38"/>
        <v>1.0000816988545638</v>
      </c>
      <c r="N118" s="576">
        <f t="shared" si="39"/>
        <v>-1.2782276221321727E-2</v>
      </c>
      <c r="O118" s="574">
        <f t="shared" si="40"/>
        <v>252786.87028346199</v>
      </c>
      <c r="P118" s="577">
        <f t="shared" si="41"/>
        <v>1.5707923708932356</v>
      </c>
      <c r="Q118" s="586">
        <f t="shared" si="42"/>
        <v>10.244659830365764</v>
      </c>
      <c r="R118" s="587">
        <f t="shared" si="43"/>
        <v>1.4730288190552505</v>
      </c>
      <c r="S118" s="574">
        <f t="shared" si="44"/>
        <v>1.0002371953181399</v>
      </c>
      <c r="T118" s="577">
        <f t="shared" si="45"/>
        <v>2.1778358200076963E-2</v>
      </c>
      <c r="U118" s="578">
        <f t="shared" si="57"/>
        <v>0.988919554763527</v>
      </c>
      <c r="V118" s="579">
        <f t="shared" si="58"/>
        <v>-0.18037464150189436</v>
      </c>
      <c r="W118" s="580">
        <f t="shared" si="46"/>
        <v>-2.9592776689077382</v>
      </c>
      <c r="X118" s="581">
        <f t="shared" si="47"/>
        <v>-104.10959087609882</v>
      </c>
      <c r="Y118" s="584">
        <f t="shared" si="48"/>
        <v>75.890409123901179</v>
      </c>
      <c r="AA118" s="147">
        <f t="shared" si="49"/>
        <v>6095.8</v>
      </c>
      <c r="AB118" s="147">
        <f t="shared" si="50"/>
        <v>37158777.640000001</v>
      </c>
      <c r="AD118" s="583">
        <f t="shared" si="51"/>
        <v>17.258250682255301</v>
      </c>
      <c r="AE118" s="584">
        <f t="shared" si="52"/>
        <v>-6.8492469279399355</v>
      </c>
      <c r="AG118" s="583">
        <f t="shared" si="53"/>
        <v>8.6033083457132236</v>
      </c>
      <c r="AH118" s="584">
        <f t="shared" si="54"/>
        <v>-76.590932546053025</v>
      </c>
      <c r="AJ118" s="147">
        <f t="shared" si="55"/>
        <v>0</v>
      </c>
      <c r="AK118" s="147">
        <f t="shared" si="65"/>
        <v>0</v>
      </c>
      <c r="AM118" s="147" t="str">
        <f t="shared" si="59"/>
        <v>0.033366476732004+0.256163291075244i</v>
      </c>
      <c r="AN118" s="147" t="str">
        <f t="shared" si="60"/>
        <v>0.259050957479411i</v>
      </c>
      <c r="AO118" s="147" t="str">
        <f t="shared" si="61"/>
        <v>0.988852902022582-0.128802753931747i</v>
      </c>
      <c r="AP118" s="147" t="str">
        <f t="shared" si="62"/>
        <v>0.161105587211333-0.042693881845874i</v>
      </c>
      <c r="AQ118" s="147" t="str">
        <f t="shared" si="63"/>
        <v>0.838894412788667+0.042693881845874i</v>
      </c>
      <c r="AR118" s="147" t="str">
        <f t="shared" si="64"/>
        <v>0.990408336406554-0.0504048851072301i</v>
      </c>
    </row>
    <row r="119" spans="7:44">
      <c r="G119" s="585">
        <v>6166</v>
      </c>
      <c r="H119" s="573">
        <f t="shared" si="56"/>
        <v>6.1660000000000004</v>
      </c>
      <c r="I119" s="574">
        <f t="shared" si="34"/>
        <v>17.44484984126202</v>
      </c>
      <c r="J119" s="575">
        <f t="shared" si="35"/>
        <v>1.5134413776479827</v>
      </c>
      <c r="K119" s="575">
        <f t="shared" si="36"/>
        <v>1.0000363223764548</v>
      </c>
      <c r="L119" s="576">
        <f t="shared" si="37"/>
        <v>8.5230601382066135E-3</v>
      </c>
      <c r="M119" s="575">
        <f t="shared" si="38"/>
        <v>1.0000835913190496</v>
      </c>
      <c r="N119" s="576">
        <f t="shared" si="39"/>
        <v>-1.2929462211640199E-2</v>
      </c>
      <c r="O119" s="574">
        <f t="shared" si="40"/>
        <v>255697.99569663545</v>
      </c>
      <c r="P119" s="577">
        <f t="shared" si="41"/>
        <v>1.5707924159312339</v>
      </c>
      <c r="Q119" s="586">
        <f t="shared" si="42"/>
        <v>10.361520850930091</v>
      </c>
      <c r="R119" s="587">
        <f t="shared" si="43"/>
        <v>1.4741349437085789</v>
      </c>
      <c r="S119" s="574">
        <f t="shared" si="44"/>
        <v>1.0002426892509497</v>
      </c>
      <c r="T119" s="577">
        <f t="shared" si="45"/>
        <v>2.202907984392798E-2</v>
      </c>
      <c r="U119" s="578">
        <f t="shared" si="57"/>
        <v>0.98867596839606486</v>
      </c>
      <c r="V119" s="579">
        <f t="shared" si="58"/>
        <v>-0.18242963501926943</v>
      </c>
      <c r="W119" s="580">
        <f t="shared" si="46"/>
        <v>-3.0615041370931446</v>
      </c>
      <c r="X119" s="581">
        <f t="shared" si="47"/>
        <v>-104.21895850351837</v>
      </c>
      <c r="Y119" s="584">
        <f t="shared" si="48"/>
        <v>75.781041496481635</v>
      </c>
      <c r="AA119" s="147">
        <f t="shared" si="49"/>
        <v>6166</v>
      </c>
      <c r="AB119" s="147">
        <f t="shared" si="50"/>
        <v>38019556</v>
      </c>
      <c r="AD119" s="583">
        <f t="shared" si="51"/>
        <v>17.25726601547197</v>
      </c>
      <c r="AE119" s="584">
        <f t="shared" si="52"/>
        <v>-6.8002385261453071</v>
      </c>
      <c r="AG119" s="583">
        <f t="shared" si="53"/>
        <v>8.5063460125664889</v>
      </c>
      <c r="AH119" s="584">
        <f t="shared" si="54"/>
        <v>-76.513823664053461</v>
      </c>
      <c r="AJ119" s="147">
        <f t="shared" si="55"/>
        <v>0</v>
      </c>
      <c r="AK119" s="147">
        <f t="shared" si="65"/>
        <v>0</v>
      </c>
      <c r="AM119" s="147" t="str">
        <f t="shared" si="59"/>
        <v>0.034134979625422+0.259045869329768i</v>
      </c>
      <c r="AN119" s="147" t="str">
        <f t="shared" si="60"/>
        <v>0.262034220909159i</v>
      </c>
      <c r="AO119" s="147" t="str">
        <f t="shared" si="61"/>
        <v>0.988595567521591-0.130269166779005i</v>
      </c>
      <c r="AP119" s="147" t="str">
        <f t="shared" si="62"/>
        <v>0.160977503395763-0.0431743115549613i</v>
      </c>
      <c r="AQ119" s="147" t="str">
        <f t="shared" si="63"/>
        <v>0.839022496604237+0.0431743115549613i</v>
      </c>
      <c r="AR119" s="147" t="str">
        <f t="shared" si="64"/>
        <v>0.990200045111527-0.0509535863727231i</v>
      </c>
    </row>
    <row r="120" spans="7:44">
      <c r="G120" s="585">
        <v>6237.8</v>
      </c>
      <c r="H120" s="573">
        <f t="shared" si="56"/>
        <v>6.2378</v>
      </c>
      <c r="I120" s="574">
        <f t="shared" si="34"/>
        <v>17.647322757462465</v>
      </c>
      <c r="J120" s="575">
        <f t="shared" si="35"/>
        <v>1.5141001379335408</v>
      </c>
      <c r="K120" s="575">
        <f t="shared" si="36"/>
        <v>1.0000371731977316</v>
      </c>
      <c r="L120" s="576">
        <f t="shared" si="37"/>
        <v>8.6223020393938216E-3</v>
      </c>
      <c r="M120" s="575">
        <f t="shared" si="38"/>
        <v>1.0000855493283991</v>
      </c>
      <c r="N120" s="576">
        <f t="shared" si="39"/>
        <v>-1.3080002288826458E-2</v>
      </c>
      <c r="O120" s="574">
        <f t="shared" si="40"/>
        <v>258675.47154657694</v>
      </c>
      <c r="P120" s="577">
        <f t="shared" si="41"/>
        <v>1.5707924609471067</v>
      </c>
      <c r="Q120" s="586">
        <f t="shared" si="42"/>
        <v>10.481058188909985</v>
      </c>
      <c r="R120" s="587">
        <f t="shared" si="43"/>
        <v>1.4752407621145782</v>
      </c>
      <c r="S120" s="574">
        <f t="shared" si="44"/>
        <v>1.0002483734434333</v>
      </c>
      <c r="T120" s="577">
        <f t="shared" si="45"/>
        <v>2.2285513075560856E-2</v>
      </c>
      <c r="U120" s="578">
        <f t="shared" si="57"/>
        <v>0.98842412404688673</v>
      </c>
      <c r="V120" s="579">
        <f t="shared" si="58"/>
        <v>-0.18453069024087684</v>
      </c>
      <c r="W120" s="580">
        <f t="shared" si="46"/>
        <v>-3.164899770286123</v>
      </c>
      <c r="X120" s="581">
        <f t="shared" si="47"/>
        <v>-104.33135984697094</v>
      </c>
      <c r="Y120" s="584">
        <f t="shared" si="48"/>
        <v>75.66864015302906</v>
      </c>
      <c r="AA120" s="147">
        <f t="shared" si="49"/>
        <v>6237.8</v>
      </c>
      <c r="AB120" s="147">
        <f t="shared" si="50"/>
        <v>38910148.840000004</v>
      </c>
      <c r="AD120" s="583">
        <f t="shared" si="51"/>
        <v>17.256290678950407</v>
      </c>
      <c r="AE120" s="584">
        <f t="shared" si="52"/>
        <v>-6.75157491963704</v>
      </c>
      <c r="AG120" s="583">
        <f t="shared" si="53"/>
        <v>8.4083513739447024</v>
      </c>
      <c r="AH120" s="584">
        <f t="shared" si="54"/>
        <v>-76.434125420295132</v>
      </c>
      <c r="AJ120" s="147">
        <f t="shared" si="55"/>
        <v>0</v>
      </c>
      <c r="AK120" s="147">
        <f t="shared" si="65"/>
        <v>0</v>
      </c>
      <c r="AM120" s="147" t="str">
        <f t="shared" si="59"/>
        <v>0.034929890372888+0.26199176228331i</v>
      </c>
      <c r="AN120" s="147" t="str">
        <f t="shared" si="60"/>
        <v>0.265085478946992i</v>
      </c>
      <c r="AO120" s="147" t="str">
        <f t="shared" si="61"/>
        <v>0.988329362000622-0.131768403579257i</v>
      </c>
      <c r="AP120" s="147" t="str">
        <f t="shared" si="62"/>
        <v>0.160845018271185-0.043665293713885i</v>
      </c>
      <c r="AQ120" s="147" t="str">
        <f t="shared" si="63"/>
        <v>0.839154981728815+0.043665293713885i</v>
      </c>
      <c r="AR120" s="147" t="str">
        <f t="shared" si="64"/>
        <v>0.989984755374832-0.0515136965839766i</v>
      </c>
    </row>
    <row r="121" spans="7:44">
      <c r="G121" s="585">
        <v>6309.6</v>
      </c>
      <c r="H121" s="573">
        <f t="shared" si="56"/>
        <v>6.3096000000000005</v>
      </c>
      <c r="I121" s="574">
        <f t="shared" si="34"/>
        <v>17.849803158244487</v>
      </c>
      <c r="J121" s="575">
        <f t="shared" si="35"/>
        <v>1.5147439531131137</v>
      </c>
      <c r="K121" s="575">
        <f t="shared" si="36"/>
        <v>1.0000380338683126</v>
      </c>
      <c r="L121" s="576">
        <f t="shared" si="37"/>
        <v>8.7215437707357825E-3</v>
      </c>
      <c r="M121" s="575">
        <f t="shared" si="38"/>
        <v>1.0000875300019128</v>
      </c>
      <c r="N121" s="576">
        <f t="shared" si="39"/>
        <v>-1.3230541773134982E-2</v>
      </c>
      <c r="O121" s="574">
        <f t="shared" si="40"/>
        <v>261652.94739651895</v>
      </c>
      <c r="P121" s="577">
        <f t="shared" si="41"/>
        <v>1.5707925049384646</v>
      </c>
      <c r="Q121" s="586">
        <f t="shared" si="42"/>
        <v>10.600608054427088</v>
      </c>
      <c r="R121" s="587">
        <f t="shared" si="43"/>
        <v>1.4763216397687777</v>
      </c>
      <c r="S121" s="574">
        <f t="shared" si="44"/>
        <v>1.0002541234095017</v>
      </c>
      <c r="T121" s="577">
        <f t="shared" si="45"/>
        <v>2.2541943375840364E-2</v>
      </c>
      <c r="U121" s="578">
        <f t="shared" si="57"/>
        <v>0.9881695491021758</v>
      </c>
      <c r="V121" s="579">
        <f t="shared" si="58"/>
        <v>-0.18663095270339142</v>
      </c>
      <c r="W121" s="580">
        <f t="shared" si="46"/>
        <v>-3.2671492007810792</v>
      </c>
      <c r="X121" s="581">
        <f t="shared" si="47"/>
        <v>-104.44428822610011</v>
      </c>
      <c r="Y121" s="584">
        <f t="shared" si="48"/>
        <v>75.555711773899887</v>
      </c>
      <c r="AA121" s="147">
        <f t="shared" si="49"/>
        <v>6309.6</v>
      </c>
      <c r="AB121" s="147">
        <f t="shared" si="50"/>
        <v>39811052.160000004</v>
      </c>
      <c r="AD121" s="583">
        <f t="shared" si="51"/>
        <v>17.255346015216407</v>
      </c>
      <c r="AE121" s="584">
        <f t="shared" si="52"/>
        <v>-6.7043400862918601</v>
      </c>
      <c r="AG121" s="583">
        <f t="shared" si="53"/>
        <v>8.3115213961434424</v>
      </c>
      <c r="AH121" s="584">
        <f t="shared" si="54"/>
        <v>-76.353616282550774</v>
      </c>
      <c r="AJ121" s="147">
        <f t="shared" si="55"/>
        <v>0</v>
      </c>
      <c r="AK121" s="147">
        <f t="shared" si="65"/>
        <v>0</v>
      </c>
      <c r="AM121" s="147" t="str">
        <f t="shared" si="59"/>
        <v>0.035733786085583+0.264935216049427i</v>
      </c>
      <c r="AN121" s="147" t="str">
        <f t="shared" si="60"/>
        <v>0.268136736984825i</v>
      </c>
      <c r="AO121" s="147" t="str">
        <f t="shared" si="61"/>
        <v>0.98806011823893-0.133267028186463i</v>
      </c>
      <c r="AP121" s="147" t="str">
        <f t="shared" si="62"/>
        <v>0.160711035652403-0.0441558693415712i</v>
      </c>
      <c r="AQ121" s="147" t="str">
        <f t="shared" si="63"/>
        <v>0.839288964347597+0.0441558693415712i</v>
      </c>
      <c r="AR121" s="147" t="str">
        <f t="shared" si="64"/>
        <v>0.989767196463217-0.052072686359668i</v>
      </c>
    </row>
    <row r="122" spans="7:44">
      <c r="G122" s="585">
        <v>6383.05</v>
      </c>
      <c r="H122" s="573">
        <f t="shared" si="56"/>
        <v>6.3830499999999999</v>
      </c>
      <c r="I122" s="574">
        <f t="shared" si="34"/>
        <v>18.056944142190694</v>
      </c>
      <c r="J122" s="575">
        <f t="shared" si="35"/>
        <v>1.515387622926275</v>
      </c>
      <c r="K122" s="575">
        <f t="shared" si="36"/>
        <v>1.0000389245089265</v>
      </c>
      <c r="L122" s="576">
        <f t="shared" si="37"/>
        <v>8.8230659490404952E-3</v>
      </c>
      <c r="M122" s="575">
        <f t="shared" si="38"/>
        <v>1.0000895796435567</v>
      </c>
      <c r="N122" s="576">
        <f t="shared" si="39"/>
        <v>-1.3384540109690623E-2</v>
      </c>
      <c r="O122" s="574">
        <f t="shared" si="40"/>
        <v>264698.84713437798</v>
      </c>
      <c r="P122" s="577">
        <f t="shared" si="41"/>
        <v>1.5707925489167123</v>
      </c>
      <c r="Q122" s="586">
        <f t="shared" si="42"/>
        <v>10.722917761589622</v>
      </c>
      <c r="R122" s="587">
        <f t="shared" si="43"/>
        <v>1.4774024166625173</v>
      </c>
      <c r="S122" s="574">
        <f t="shared" si="44"/>
        <v>1.0002600735697078</v>
      </c>
      <c r="T122" s="577">
        <f t="shared" si="45"/>
        <v>2.2804263504709651E-2</v>
      </c>
      <c r="U122" s="578">
        <f t="shared" si="57"/>
        <v>0.9879063048731469</v>
      </c>
      <c r="V122" s="579">
        <f t="shared" si="58"/>
        <v>-0.18877865130262148</v>
      </c>
      <c r="W122" s="580">
        <f t="shared" si="46"/>
        <v>-3.3705904050582074</v>
      </c>
      <c r="X122" s="581">
        <f t="shared" si="47"/>
        <v>-104.5603369191487</v>
      </c>
      <c r="Y122" s="584">
        <f t="shared" si="48"/>
        <v>75.439663080851304</v>
      </c>
      <c r="AA122" s="147">
        <f t="shared" si="49"/>
        <v>6383.05</v>
      </c>
      <c r="AB122" s="147">
        <f t="shared" si="50"/>
        <v>40743327.302500002</v>
      </c>
      <c r="AD122" s="583">
        <f t="shared" si="51"/>
        <v>17.25440993414454</v>
      </c>
      <c r="AE122" s="584">
        <f t="shared" si="52"/>
        <v>-6.6574484876652731</v>
      </c>
      <c r="AG122" s="583">
        <f t="shared" si="53"/>
        <v>8.2136446586960012</v>
      </c>
      <c r="AH122" s="584">
        <f t="shared" si="54"/>
        <v>-76.270448443140651</v>
      </c>
      <c r="AJ122" s="147">
        <f t="shared" si="55"/>
        <v>0</v>
      </c>
      <c r="AK122" s="147">
        <f t="shared" si="65"/>
        <v>0</v>
      </c>
      <c r="AM122" s="147" t="str">
        <f t="shared" si="59"/>
        <v>0.03656544497686+0.267943759373798i</v>
      </c>
      <c r="AN122" s="147" t="str">
        <f t="shared" si="60"/>
        <v>0.271258114462246i</v>
      </c>
      <c r="AO122" s="147" t="str">
        <f t="shared" si="61"/>
        <v>0.987781544913344-0.134799451250883i</v>
      </c>
      <c r="AP122" s="147" t="str">
        <f t="shared" si="62"/>
        <v>0.16057242583719-0.0446572932289663i</v>
      </c>
      <c r="AQ122" s="147" t="str">
        <f t="shared" si="63"/>
        <v>0.83942757416281+0.0446572932289663i</v>
      </c>
      <c r="AR122" s="147" t="str">
        <f t="shared" si="64"/>
        <v>0.98954229763036-0.0526433511453523i</v>
      </c>
    </row>
    <row r="123" spans="7:44">
      <c r="G123" s="585">
        <v>6456.5</v>
      </c>
      <c r="H123" s="573">
        <f t="shared" si="56"/>
        <v>6.4565000000000001</v>
      </c>
      <c r="I123" s="574">
        <f t="shared" si="34"/>
        <v>18.264092437627824</v>
      </c>
      <c r="J123" s="575">
        <f t="shared" si="35"/>
        <v>1.5160166922034639</v>
      </c>
      <c r="K123" s="575">
        <f t="shared" si="36"/>
        <v>1.0000398254566758</v>
      </c>
      <c r="L123" s="576">
        <f t="shared" si="37"/>
        <v>8.9245879454664979E-3</v>
      </c>
      <c r="M123" s="575">
        <f t="shared" si="38"/>
        <v>1.0000916530027149</v>
      </c>
      <c r="N123" s="576">
        <f t="shared" si="39"/>
        <v>-1.3538537811369182E-2</v>
      </c>
      <c r="O123" s="574">
        <f t="shared" si="40"/>
        <v>267744.74687223748</v>
      </c>
      <c r="P123" s="577">
        <f t="shared" si="41"/>
        <v>1.5707925918943555</v>
      </c>
      <c r="Q123" s="586">
        <f t="shared" si="42"/>
        <v>10.845239711443551</v>
      </c>
      <c r="R123" s="587">
        <f t="shared" si="43"/>
        <v>1.4784588149026814</v>
      </c>
      <c r="S123" s="574">
        <f t="shared" si="44"/>
        <v>1.0002660925588387</v>
      </c>
      <c r="T123" s="577">
        <f t="shared" si="45"/>
        <v>2.3066580494665315E-2</v>
      </c>
      <c r="U123" s="578">
        <f t="shared" si="57"/>
        <v>0.98764021619808406</v>
      </c>
      <c r="V123" s="579">
        <f t="shared" si="58"/>
        <v>-0.19092550274952635</v>
      </c>
      <c r="W123" s="580">
        <f t="shared" si="46"/>
        <v>-3.4728880745033308</v>
      </c>
      <c r="X123" s="581">
        <f t="shared" si="47"/>
        <v>-104.67689705568347</v>
      </c>
      <c r="Y123" s="584">
        <f t="shared" si="48"/>
        <v>75.323102944316531</v>
      </c>
      <c r="AA123" s="147">
        <f t="shared" si="49"/>
        <v>6456.5</v>
      </c>
      <c r="AB123" s="147">
        <f t="shared" si="50"/>
        <v>41686392.25</v>
      </c>
      <c r="AD123" s="583">
        <f t="shared" si="51"/>
        <v>17.253503096168249</v>
      </c>
      <c r="AE123" s="584">
        <f t="shared" si="52"/>
        <v>-6.6119534458234375</v>
      </c>
      <c r="AG123" s="583">
        <f t="shared" si="53"/>
        <v>8.1169334778552074</v>
      </c>
      <c r="AH123" s="584">
        <f t="shared" si="54"/>
        <v>-76.186492566937716</v>
      </c>
      <c r="AJ123" s="147">
        <f t="shared" si="55"/>
        <v>0</v>
      </c>
      <c r="AK123" s="147">
        <f t="shared" si="65"/>
        <v>0</v>
      </c>
      <c r="AM123" s="147" t="str">
        <f t="shared" si="59"/>
        <v>0.037406490600837+0.270949692124949i</v>
      </c>
      <c r="AN123" s="147" t="str">
        <f t="shared" si="60"/>
        <v>0.274379491939667i</v>
      </c>
      <c r="AO123" s="147" t="str">
        <f t="shared" si="61"/>
        <v>0.987499795300036-0.136331218985792i</v>
      </c>
      <c r="AP123" s="147" t="str">
        <f t="shared" si="62"/>
        <v>0.160432251566527-0.0451582820208248i</v>
      </c>
      <c r="AQ123" s="147" t="str">
        <f t="shared" si="63"/>
        <v>0.839567748433473+0.0451582820208248i</v>
      </c>
      <c r="AR123" s="147" t="str">
        <f t="shared" si="64"/>
        <v>0.989315039806776-0.053212820118921i</v>
      </c>
    </row>
    <row r="124" spans="7:44">
      <c r="G124" s="585">
        <v>6531.7</v>
      </c>
      <c r="H124" s="573">
        <f t="shared" si="56"/>
        <v>6.5316999999999998</v>
      </c>
      <c r="I124" s="574">
        <f t="shared" si="34"/>
        <v>18.476183510857901</v>
      </c>
      <c r="J124" s="575">
        <f t="shared" si="35"/>
        <v>1.5166461353414613</v>
      </c>
      <c r="K124" s="575">
        <f t="shared" si="36"/>
        <v>1.0000407585485589</v>
      </c>
      <c r="L124" s="576">
        <f t="shared" si="37"/>
        <v>9.0285285871349371E-3</v>
      </c>
      <c r="M124" s="575">
        <f t="shared" si="38"/>
        <v>1.0000938003328954</v>
      </c>
      <c r="N124" s="576">
        <f t="shared" si="39"/>
        <v>-1.3696203955614097E-2</v>
      </c>
      <c r="O124" s="574">
        <f t="shared" si="40"/>
        <v>270863.21740031196</v>
      </c>
      <c r="P124" s="577">
        <f t="shared" si="41"/>
        <v>1.5707926348945729</v>
      </c>
      <c r="Q124" s="586">
        <f t="shared" si="42"/>
        <v>10.970488327326523</v>
      </c>
      <c r="R124" s="587">
        <f t="shared" si="43"/>
        <v>1.4795159749097555</v>
      </c>
      <c r="S124" s="574">
        <f t="shared" si="44"/>
        <v>1.0002723262618018</v>
      </c>
      <c r="T124" s="577">
        <f t="shared" si="45"/>
        <v>2.3335144089244697E-2</v>
      </c>
      <c r="U124" s="578">
        <f t="shared" si="57"/>
        <v>0.98736484786684831</v>
      </c>
      <c r="V124" s="579">
        <f t="shared" si="58"/>
        <v>-0.19312261761963367</v>
      </c>
      <c r="W124" s="580">
        <f t="shared" si="46"/>
        <v>-3.5764663529137088</v>
      </c>
      <c r="X124" s="581">
        <f t="shared" si="47"/>
        <v>-104.79674436233944</v>
      </c>
      <c r="Y124" s="584">
        <f t="shared" si="48"/>
        <v>75.203255637660561</v>
      </c>
      <c r="AA124" s="147">
        <f t="shared" si="49"/>
        <v>6531.7</v>
      </c>
      <c r="AB124" s="147">
        <f t="shared" si="50"/>
        <v>42663104.890000001</v>
      </c>
      <c r="AD124" s="583">
        <f t="shared" si="51"/>
        <v>17.252603564755919</v>
      </c>
      <c r="AE124" s="584">
        <f t="shared" si="52"/>
        <v>-6.5667726633276793</v>
      </c>
      <c r="AG124" s="583">
        <f t="shared" si="53"/>
        <v>8.0190989087156339</v>
      </c>
      <c r="AH124" s="584">
        <f t="shared" si="54"/>
        <v>-76.099749837476608</v>
      </c>
      <c r="AJ124" s="147">
        <f t="shared" si="55"/>
        <v>0</v>
      </c>
      <c r="AK124" s="147">
        <f t="shared" si="65"/>
        <v>0</v>
      </c>
      <c r="AM124" s="147" t="str">
        <f t="shared" si="59"/>
        <v>0.038277291060435+0.274024508228632i</v>
      </c>
      <c r="AN124" s="147" t="str">
        <f t="shared" si="60"/>
        <v>0.277575238519681i</v>
      </c>
      <c r="AO124" s="147" t="str">
        <f t="shared" si="61"/>
        <v>0.987208043808284-0.137898795528626i</v>
      </c>
      <c r="AP124" s="147" t="str">
        <f t="shared" si="62"/>
        <v>0.160287118156594-0.0456707513714387i</v>
      </c>
      <c r="AQ124" s="147" t="str">
        <f t="shared" si="63"/>
        <v>0.839712881843406+0.0456707513714387i</v>
      </c>
      <c r="AR124" s="147" t="str">
        <f t="shared" si="64"/>
        <v>0.98907993182127-0.0537946060247682i</v>
      </c>
    </row>
    <row r="125" spans="7:44">
      <c r="G125" s="585">
        <v>6606.9</v>
      </c>
      <c r="H125" s="573">
        <f t="shared" si="56"/>
        <v>6.6068999999999996</v>
      </c>
      <c r="I125" s="574">
        <f t="shared" si="34"/>
        <v>18.688281738172492</v>
      </c>
      <c r="J125" s="575">
        <f t="shared" si="35"/>
        <v>1.5172612912869683</v>
      </c>
      <c r="K125" s="575">
        <f t="shared" si="36"/>
        <v>1.0000417024445192</v>
      </c>
      <c r="L125" s="576">
        <f t="shared" si="37"/>
        <v>9.1324690337161903E-3</v>
      </c>
      <c r="M125" s="575">
        <f t="shared" si="38"/>
        <v>1.0000959725239136</v>
      </c>
      <c r="N125" s="576">
        <f t="shared" si="39"/>
        <v>-1.3853869418882111E-2</v>
      </c>
      <c r="O125" s="574">
        <f t="shared" si="40"/>
        <v>273981.68792838691</v>
      </c>
      <c r="P125" s="577">
        <f t="shared" si="41"/>
        <v>1.5707926769159299</v>
      </c>
      <c r="Q125" s="586">
        <f t="shared" si="42"/>
        <v>11.095748926887705</v>
      </c>
      <c r="R125" s="587">
        <f t="shared" si="43"/>
        <v>1.480549267359889</v>
      </c>
      <c r="S125" s="574">
        <f t="shared" si="44"/>
        <v>1.0002786321099093</v>
      </c>
      <c r="T125" s="577">
        <f t="shared" si="45"/>
        <v>2.3603704317095162E-2</v>
      </c>
      <c r="U125" s="578">
        <f t="shared" si="57"/>
        <v>0.98708651224288069</v>
      </c>
      <c r="V125" s="579">
        <f t="shared" si="58"/>
        <v>-0.19531882580109453</v>
      </c>
      <c r="W125" s="580">
        <f t="shared" si="46"/>
        <v>-3.6789018880326863</v>
      </c>
      <c r="X125" s="581">
        <f t="shared" si="47"/>
        <v>-104.91708835718903</v>
      </c>
      <c r="Y125" s="584">
        <f t="shared" si="48"/>
        <v>75.08291164281097</v>
      </c>
      <c r="AA125" s="147">
        <f t="shared" si="49"/>
        <v>6606.9</v>
      </c>
      <c r="AB125" s="147">
        <f t="shared" si="50"/>
        <v>43651127.609999992</v>
      </c>
      <c r="AD125" s="583">
        <f t="shared" si="51"/>
        <v>17.251731953454787</v>
      </c>
      <c r="AE125" s="584">
        <f t="shared" si="52"/>
        <v>-6.5229591421295465</v>
      </c>
      <c r="AG125" s="583">
        <f t="shared" si="53"/>
        <v>7.9224327353858151</v>
      </c>
      <c r="AH125" s="584">
        <f t="shared" si="54"/>
        <v>-76.012240433777151</v>
      </c>
      <c r="AJ125" s="147">
        <f t="shared" si="55"/>
        <v>0</v>
      </c>
      <c r="AK125" s="147">
        <f t="shared" si="65"/>
        <v>0</v>
      </c>
      <c r="AM125" s="147" t="str">
        <f t="shared" si="59"/>
        <v>0.039157913389703+0.27709652577824i</v>
      </c>
      <c r="AN125" s="147" t="str">
        <f t="shared" si="60"/>
        <v>0.280770985099695i</v>
      </c>
      <c r="AO125" s="147" t="str">
        <f t="shared" si="61"/>
        <v>0.986912966380232-0.139465669416656i</v>
      </c>
      <c r="AP125" s="147" t="str">
        <f t="shared" si="62"/>
        <v>0.160140347768383-0.0461827542963733i</v>
      </c>
      <c r="AQ125" s="147" t="str">
        <f t="shared" si="63"/>
        <v>0.839859652231617+0.0461827542963733i</v>
      </c>
      <c r="AR125" s="147" t="str">
        <f t="shared" si="64"/>
        <v>0.988842368215752-0.05437511375598i</v>
      </c>
    </row>
    <row r="126" spans="7:44">
      <c r="G126" s="585">
        <v>6683.85</v>
      </c>
      <c r="H126" s="573">
        <f t="shared" si="56"/>
        <v>6.6838500000000005</v>
      </c>
      <c r="I126" s="574">
        <f t="shared" si="34"/>
        <v>18.905322916560952</v>
      </c>
      <c r="J126" s="575">
        <f t="shared" si="35"/>
        <v>1.5178764740760267</v>
      </c>
      <c r="K126" s="575">
        <f t="shared" si="36"/>
        <v>1.0000426794902513</v>
      </c>
      <c r="L126" s="576">
        <f t="shared" si="37"/>
        <v>9.2388281028870957E-3</v>
      </c>
      <c r="M126" s="575">
        <f t="shared" si="38"/>
        <v>1.0000982209998053</v>
      </c>
      <c r="N126" s="576">
        <f t="shared" si="39"/>
        <v>-1.4015203245650679E-2</v>
      </c>
      <c r="O126" s="574">
        <f t="shared" si="40"/>
        <v>277172.72924667696</v>
      </c>
      <c r="P126" s="577">
        <f t="shared" si="41"/>
        <v>1.5707927189363504</v>
      </c>
      <c r="Q126" s="586">
        <f t="shared" si="42"/>
        <v>11.223936487189992</v>
      </c>
      <c r="R126" s="587">
        <f t="shared" si="43"/>
        <v>1.4815827300417788</v>
      </c>
      <c r="S126" s="574">
        <f t="shared" si="44"/>
        <v>1.0002851593847724</v>
      </c>
      <c r="T126" s="577">
        <f t="shared" si="45"/>
        <v>2.3878510758781279E-2</v>
      </c>
      <c r="U126" s="578">
        <f t="shared" si="57"/>
        <v>0.98679863537587276</v>
      </c>
      <c r="V126" s="579">
        <f t="shared" si="58"/>
        <v>-0.19756519415663243</v>
      </c>
      <c r="W126" s="580">
        <f t="shared" si="46"/>
        <v>-3.7825662795996875</v>
      </c>
      <c r="X126" s="581">
        <f t="shared" si="47"/>
        <v>-105.04072758929442</v>
      </c>
      <c r="Y126" s="584">
        <f t="shared" si="48"/>
        <v>74.95927241070558</v>
      </c>
      <c r="AA126" s="147">
        <f t="shared" si="49"/>
        <v>6683.85</v>
      </c>
      <c r="AB126" s="147">
        <f t="shared" si="50"/>
        <v>44673850.822500005</v>
      </c>
      <c r="AD126" s="583">
        <f t="shared" si="51"/>
        <v>17.250867637305909</v>
      </c>
      <c r="AE126" s="584">
        <f t="shared" si="52"/>
        <v>-6.4794937490077</v>
      </c>
      <c r="AG126" s="583">
        <f t="shared" si="53"/>
        <v>7.824699756636261</v>
      </c>
      <c r="AH126" s="584">
        <f t="shared" si="54"/>
        <v>-75.921930206702115</v>
      </c>
      <c r="AJ126" s="147">
        <f t="shared" si="55"/>
        <v>0</v>
      </c>
      <c r="AK126" s="147">
        <f t="shared" si="65"/>
        <v>0</v>
      </c>
      <c r="AM126" s="147" t="str">
        <f t="shared" si="59"/>
        <v>0.040069186922332+0.280237103367928i</v>
      </c>
      <c r="AN126" s="147" t="str">
        <f t="shared" si="60"/>
        <v>0.284041100782303i</v>
      </c>
      <c r="AO126" s="147" t="str">
        <f t="shared" si="61"/>
        <v>0.986607581072253-0.14106827079593i</v>
      </c>
      <c r="AP126" s="147" t="str">
        <f t="shared" si="62"/>
        <v>0.159988468846278-0.0467061838946547i</v>
      </c>
      <c r="AQ126" s="147" t="str">
        <f t="shared" si="63"/>
        <v>0.840011531153722+0.0467061838946547i</v>
      </c>
      <c r="AR126" s="147" t="str">
        <f t="shared" si="64"/>
        <v>0.988596743353399-0.0549677945840851i</v>
      </c>
    </row>
    <row r="127" spans="7:44">
      <c r="G127" s="585">
        <v>6760.8</v>
      </c>
      <c r="H127" s="573">
        <f t="shared" si="56"/>
        <v>6.7608000000000006</v>
      </c>
      <c r="I127" s="574">
        <f t="shared" si="34"/>
        <v>19.122371087250968</v>
      </c>
      <c r="J127" s="575">
        <f t="shared" si="35"/>
        <v>1.5184776918432896</v>
      </c>
      <c r="K127" s="575">
        <f t="shared" si="36"/>
        <v>1.0000436678486953</v>
      </c>
      <c r="L127" s="576">
        <f t="shared" si="37"/>
        <v>9.3451869630285702E-3</v>
      </c>
      <c r="M127" s="575">
        <f t="shared" si="38"/>
        <v>1.0001004955067399</v>
      </c>
      <c r="N127" s="576">
        <f t="shared" si="39"/>
        <v>-1.417653634278244E-2</v>
      </c>
      <c r="O127" s="574">
        <f t="shared" si="40"/>
        <v>280363.77056496742</v>
      </c>
      <c r="P127" s="577">
        <f t="shared" si="41"/>
        <v>1.5707927600002356</v>
      </c>
      <c r="Q127" s="586">
        <f t="shared" si="42"/>
        <v>11.352135764427489</v>
      </c>
      <c r="R127" s="587">
        <f t="shared" si="43"/>
        <v>1.4825928520655418</v>
      </c>
      <c r="S127" s="574">
        <f t="shared" si="44"/>
        <v>1.0002917621987615</v>
      </c>
      <c r="T127" s="577">
        <f t="shared" si="45"/>
        <v>2.4153313593286745E-2</v>
      </c>
      <c r="U127" s="578">
        <f t="shared" si="57"/>
        <v>0.98650766712668048</v>
      </c>
      <c r="V127" s="579">
        <f t="shared" si="58"/>
        <v>-0.1998105932469747</v>
      </c>
      <c r="W127" s="580">
        <f t="shared" si="46"/>
        <v>-3.8850899817296494</v>
      </c>
      <c r="X127" s="581">
        <f t="shared" si="47"/>
        <v>-105.16484817967718</v>
      </c>
      <c r="Y127" s="584">
        <f t="shared" si="48"/>
        <v>74.835151820322821</v>
      </c>
      <c r="AA127" s="147">
        <f t="shared" si="49"/>
        <v>6760.8</v>
      </c>
      <c r="AB127" s="147">
        <f t="shared" si="50"/>
        <v>45708416.640000001</v>
      </c>
      <c r="AD127" s="583">
        <f t="shared" si="51"/>
        <v>17.250029942756459</v>
      </c>
      <c r="AE127" s="584">
        <f t="shared" si="52"/>
        <v>-6.43736541560743</v>
      </c>
      <c r="AG127" s="583">
        <f t="shared" si="53"/>
        <v>7.7281367613641292</v>
      </c>
      <c r="AH127" s="584">
        <f t="shared" si="54"/>
        <v>-75.830875347792897</v>
      </c>
      <c r="AJ127" s="147">
        <f t="shared" si="55"/>
        <v>0</v>
      </c>
      <c r="AK127" s="147">
        <f t="shared" si="65"/>
        <v>0</v>
      </c>
      <c r="AM127" s="147" t="str">
        <f t="shared" si="59"/>
        <v>0.040990725616266+0.283374684200943i</v>
      </c>
      <c r="AN127" s="147" t="str">
        <f t="shared" si="60"/>
        <v>0.287311216464911i</v>
      </c>
      <c r="AO127" s="147" t="str">
        <f t="shared" si="61"/>
        <v>0.986298717076196-0.142670119602769i</v>
      </c>
      <c r="AP127" s="147" t="str">
        <f t="shared" si="62"/>
        <v>0.159834879063956-0.0472291140334905i</v>
      </c>
      <c r="AQ127" s="147" t="str">
        <f t="shared" si="63"/>
        <v>0.840165120936044+0.0472291140334905i</v>
      </c>
      <c r="AR127" s="147" t="str">
        <f t="shared" si="64"/>
        <v>0.988348565923288-0.0555591108957511i</v>
      </c>
    </row>
    <row r="128" spans="7:44">
      <c r="G128" s="585">
        <v>6839.55</v>
      </c>
      <c r="H128" s="573">
        <f t="shared" si="56"/>
        <v>6.83955</v>
      </c>
      <c r="I128" s="574">
        <f t="shared" si="34"/>
        <v>19.344503402104181</v>
      </c>
      <c r="J128" s="575">
        <f t="shared" si="35"/>
        <v>1.5190790043810245</v>
      </c>
      <c r="K128" s="575">
        <f t="shared" si="36"/>
        <v>1.0000446910393448</v>
      </c>
      <c r="L128" s="576">
        <f t="shared" si="37"/>
        <v>9.4540335307919006E-3</v>
      </c>
      <c r="M128" s="575">
        <f t="shared" si="38"/>
        <v>1.0001028501698641</v>
      </c>
      <c r="N128" s="576">
        <f t="shared" si="39"/>
        <v>-1.4341642549335565E-2</v>
      </c>
      <c r="O128" s="574">
        <f t="shared" si="40"/>
        <v>283629.45612462191</v>
      </c>
      <c r="P128" s="577">
        <f t="shared" si="41"/>
        <v>1.5707928010680074</v>
      </c>
      <c r="Q128" s="586">
        <f t="shared" si="42"/>
        <v>11.483345576963066</v>
      </c>
      <c r="R128" s="587">
        <f t="shared" si="43"/>
        <v>1.4836032502202963</v>
      </c>
      <c r="S128" s="574">
        <f t="shared" si="44"/>
        <v>1.0002985976732672</v>
      </c>
      <c r="T128" s="577">
        <f t="shared" si="45"/>
        <v>2.4434540786304523E-2</v>
      </c>
      <c r="U128" s="578">
        <f t="shared" si="57"/>
        <v>0.98620670026347113</v>
      </c>
      <c r="V128" s="579">
        <f t="shared" si="58"/>
        <v>-0.20210750231688768</v>
      </c>
      <c r="W128" s="580">
        <f t="shared" si="46"/>
        <v>-3.9888588292847995</v>
      </c>
      <c r="X128" s="581">
        <f t="shared" si="47"/>
        <v>-105.29235142025328</v>
      </c>
      <c r="Y128" s="584">
        <f t="shared" si="48"/>
        <v>74.707648579746717</v>
      </c>
      <c r="AA128" s="147">
        <f t="shared" si="49"/>
        <v>6839.55</v>
      </c>
      <c r="AB128" s="147">
        <f t="shared" si="50"/>
        <v>46779444.202500001</v>
      </c>
      <c r="AD128" s="583">
        <f t="shared" si="51"/>
        <v>17.249198950593041</v>
      </c>
      <c r="AE128" s="584">
        <f t="shared" si="52"/>
        <v>-6.3955893499186836</v>
      </c>
      <c r="AG128" s="583">
        <f t="shared" si="53"/>
        <v>7.6304995516655572</v>
      </c>
      <c r="AH128" s="584">
        <f t="shared" si="54"/>
        <v>-75.736948262494337</v>
      </c>
      <c r="AJ128" s="147">
        <f t="shared" si="55"/>
        <v>0</v>
      </c>
      <c r="AK128" s="147">
        <f t="shared" si="65"/>
        <v>0</v>
      </c>
      <c r="AM128" s="147" t="str">
        <f t="shared" si="59"/>
        <v>0.041944438638404+0.286582521002445i</v>
      </c>
      <c r="AN128" s="147" t="str">
        <f t="shared" si="60"/>
        <v>0.290657826081615i</v>
      </c>
      <c r="AO128" s="147" t="str">
        <f t="shared" si="61"/>
        <v>0.985979028557017-0.1443086504976i</v>
      </c>
      <c r="AP128" s="147" t="str">
        <f t="shared" si="62"/>
        <v>0.159675926893599-0.0477637535004075i</v>
      </c>
      <c r="AQ128" s="147" t="str">
        <f t="shared" si="63"/>
        <v>0.840324073106401+0.0477637535004075i</v>
      </c>
      <c r="AR128" s="147" t="str">
        <f t="shared" si="64"/>
        <v>0.988091950326397-0.0561628327231691i</v>
      </c>
    </row>
    <row r="129" spans="7:44">
      <c r="G129" s="585">
        <v>6918.3</v>
      </c>
      <c r="H129" s="573">
        <f t="shared" si="56"/>
        <v>6.9183000000000003</v>
      </c>
      <c r="I129" s="574">
        <f t="shared" si="34"/>
        <v>19.566642552666881</v>
      </c>
      <c r="J129" s="575">
        <f t="shared" si="35"/>
        <v>1.5196666637826783</v>
      </c>
      <c r="K129" s="575">
        <f t="shared" si="36"/>
        <v>1.0000457260780746</v>
      </c>
      <c r="L129" s="576">
        <f t="shared" si="37"/>
        <v>9.5628798745342712E-3</v>
      </c>
      <c r="M129" s="575">
        <f t="shared" si="38"/>
        <v>1.0001052320957227</v>
      </c>
      <c r="N129" s="576">
        <f t="shared" si="39"/>
        <v>-1.450674797393073E-2</v>
      </c>
      <c r="O129" s="574">
        <f t="shared" si="40"/>
        <v>286895.14168427681</v>
      </c>
      <c r="P129" s="577">
        <f t="shared" si="41"/>
        <v>1.5707928412008425</v>
      </c>
      <c r="Q129" s="586">
        <f t="shared" si="42"/>
        <v>11.61456684801157</v>
      </c>
      <c r="R129" s="587">
        <f t="shared" si="43"/>
        <v>1.4845908184259642</v>
      </c>
      <c r="S129" s="574">
        <f t="shared" si="44"/>
        <v>1.0003055122590376</v>
      </c>
      <c r="T129" s="577">
        <f t="shared" si="45"/>
        <v>2.4715764113612367E-2</v>
      </c>
      <c r="U129" s="578">
        <f t="shared" si="57"/>
        <v>0.98590251275360419</v>
      </c>
      <c r="V129" s="579">
        <f t="shared" si="58"/>
        <v>-0.20440337509096387</v>
      </c>
      <c r="W129" s="580">
        <f t="shared" si="46"/>
        <v>-4.0914887870824925</v>
      </c>
      <c r="X129" s="581">
        <f t="shared" si="47"/>
        <v>-105.42032077108256</v>
      </c>
      <c r="Y129" s="584">
        <f t="shared" si="48"/>
        <v>74.579679228917442</v>
      </c>
      <c r="AA129" s="147">
        <f t="shared" si="49"/>
        <v>6918.3</v>
      </c>
      <c r="AB129" s="147">
        <f t="shared" si="50"/>
        <v>47862874.890000001</v>
      </c>
      <c r="AD129" s="583">
        <f t="shared" si="51"/>
        <v>17.248393341724132</v>
      </c>
      <c r="AE129" s="584">
        <f t="shared" si="52"/>
        <v>-6.3551210689038031</v>
      </c>
      <c r="AG129" s="583">
        <f t="shared" si="53"/>
        <v>7.5340342145876251</v>
      </c>
      <c r="AH129" s="584">
        <f t="shared" si="54"/>
        <v>-75.642298253530711</v>
      </c>
      <c r="AJ129" s="147">
        <f t="shared" si="55"/>
        <v>0</v>
      </c>
      <c r="AK129" s="147">
        <f t="shared" si="65"/>
        <v>0</v>
      </c>
      <c r="AM129" s="147" t="str">
        <f t="shared" si="59"/>
        <v>0.042908881677301+0.289787148141191i</v>
      </c>
      <c r="AN129" s="147" t="str">
        <f t="shared" si="60"/>
        <v>0.294004435698319i</v>
      </c>
      <c r="AO129" s="147" t="str">
        <f t="shared" si="61"/>
        <v>0.985655700917875-0.145946375180986i</v>
      </c>
      <c r="AP129" s="147" t="str">
        <f t="shared" si="62"/>
        <v>0.159515186387117-0.0482978580235318i</v>
      </c>
      <c r="AQ129" s="147" t="str">
        <f t="shared" si="63"/>
        <v>0.840484813612883+0.0482978580235318i</v>
      </c>
      <c r="AR129" s="147" t="str">
        <f t="shared" si="64"/>
        <v>0.987832681709827-0.0567650977620169i</v>
      </c>
    </row>
    <row r="130" spans="7:44">
      <c r="G130" s="585">
        <v>6998.9</v>
      </c>
      <c r="H130" s="573">
        <f t="shared" si="56"/>
        <v>6.9988999999999999</v>
      </c>
      <c r="I130" s="574">
        <f t="shared" si="34"/>
        <v>19.794007048550093</v>
      </c>
      <c r="J130" s="575">
        <f t="shared" si="35"/>
        <v>1.5202544698068821</v>
      </c>
      <c r="K130" s="575">
        <f t="shared" si="36"/>
        <v>1.0000467977008152</v>
      </c>
      <c r="L130" s="576">
        <f t="shared" si="37"/>
        <v>9.6742830088269692E-3</v>
      </c>
      <c r="M130" s="575">
        <f t="shared" si="38"/>
        <v>1.0001076982086754</v>
      </c>
      <c r="N130" s="576">
        <f t="shared" si="39"/>
        <v>-1.4675731246526644E-2</v>
      </c>
      <c r="O130" s="574">
        <f t="shared" si="40"/>
        <v>290237.54493644473</v>
      </c>
      <c r="P130" s="577">
        <f t="shared" si="41"/>
        <v>1.5707928813412761</v>
      </c>
      <c r="Q130" s="586">
        <f t="shared" si="42"/>
        <v>11.748882242258935</v>
      </c>
      <c r="R130" s="587">
        <f t="shared" si="43"/>
        <v>1.485578742258892</v>
      </c>
      <c r="S130" s="574">
        <f t="shared" si="44"/>
        <v>1.0003126712018091</v>
      </c>
      <c r="T130" s="577">
        <f t="shared" si="45"/>
        <v>2.5003589907845652E-2</v>
      </c>
      <c r="U130" s="578">
        <f t="shared" si="57"/>
        <v>0.98558785335085342</v>
      </c>
      <c r="V130" s="579">
        <f t="shared" si="58"/>
        <v>-0.2067520984536643</v>
      </c>
      <c r="W130" s="580">
        <f t="shared" si="46"/>
        <v>-4.1953783265938611</v>
      </c>
      <c r="X130" s="581">
        <f t="shared" si="47"/>
        <v>-105.55176024744189</v>
      </c>
      <c r="Y130" s="584">
        <f t="shared" si="48"/>
        <v>74.448239752558109</v>
      </c>
      <c r="AA130" s="147">
        <f t="shared" si="49"/>
        <v>6998.9</v>
      </c>
      <c r="AB130" s="147">
        <f t="shared" si="50"/>
        <v>48984601.209999993</v>
      </c>
      <c r="AD130" s="583">
        <f t="shared" si="51"/>
        <v>17.247593882141501</v>
      </c>
      <c r="AE130" s="584">
        <f t="shared" si="52"/>
        <v>-6.3150107058728162</v>
      </c>
      <c r="AG130" s="583">
        <f t="shared" si="53"/>
        <v>7.4364893747799075</v>
      </c>
      <c r="AH130" s="584">
        <f t="shared" si="54"/>
        <v>-75.54470422076048</v>
      </c>
      <c r="AJ130" s="147">
        <f t="shared" si="55"/>
        <v>0</v>
      </c>
      <c r="AK130" s="147">
        <f t="shared" si="65"/>
        <v>0</v>
      </c>
      <c r="AM130" s="147" t="str">
        <f t="shared" si="59"/>
        <v>0.043907081282753+0.293063697476735i</v>
      </c>
      <c r="AN130" s="147" t="str">
        <f t="shared" si="60"/>
        <v>0.297429664080621i</v>
      </c>
      <c r="AO130" s="147" t="str">
        <f t="shared" si="61"/>
        <v>0.985321011549465-0.147621729051382i</v>
      </c>
      <c r="AP130" s="147" t="str">
        <f t="shared" si="62"/>
        <v>0.159348819786208-0.0488439495794558i</v>
      </c>
      <c r="AQ130" s="147" t="str">
        <f t="shared" si="63"/>
        <v>0.840651180213792+0.0488439495794558i</v>
      </c>
      <c r="AR130" s="147" t="str">
        <f t="shared" si="64"/>
        <v>0.987564585986585-0.0573799882516284i</v>
      </c>
    </row>
    <row r="131" spans="7:44">
      <c r="G131" s="585">
        <v>7079.5</v>
      </c>
      <c r="H131" s="573">
        <f t="shared" si="56"/>
        <v>7.0795000000000003</v>
      </c>
      <c r="I131" s="574">
        <f t="shared" si="34"/>
        <v>20.021378228244711</v>
      </c>
      <c r="J131" s="575">
        <f t="shared" si="35"/>
        <v>1.5208289252816769</v>
      </c>
      <c r="K131" s="575">
        <f t="shared" si="36"/>
        <v>1.0000478817347682</v>
      </c>
      <c r="L131" s="576">
        <f t="shared" si="37"/>
        <v>9.7856859029842539E-3</v>
      </c>
      <c r="M131" s="575">
        <f t="shared" si="38"/>
        <v>1.0001101928799085</v>
      </c>
      <c r="N131" s="576">
        <f t="shared" si="39"/>
        <v>-1.4844713680925367E-2</v>
      </c>
      <c r="O131" s="574">
        <f t="shared" si="40"/>
        <v>293579.94818861311</v>
      </c>
      <c r="P131" s="577">
        <f t="shared" si="41"/>
        <v>1.5707929205677134</v>
      </c>
      <c r="Q131" s="586">
        <f t="shared" si="42"/>
        <v>11.883208844114334</v>
      </c>
      <c r="R131" s="587">
        <f t="shared" si="43"/>
        <v>1.4865443322325571</v>
      </c>
      <c r="S131" s="574">
        <f t="shared" si="44"/>
        <v>1.000319913012981</v>
      </c>
      <c r="T131" s="577">
        <f t="shared" si="45"/>
        <v>2.5291411558495975E-2</v>
      </c>
      <c r="U131" s="578">
        <f t="shared" si="57"/>
        <v>0.98526983882069352</v>
      </c>
      <c r="V131" s="579">
        <f t="shared" si="58"/>
        <v>-0.20909971375650332</v>
      </c>
      <c r="W131" s="580">
        <f t="shared" si="46"/>
        <v>-4.2981305769799052</v>
      </c>
      <c r="X131" s="581">
        <f t="shared" si="47"/>
        <v>-105.68365061834456</v>
      </c>
      <c r="Y131" s="584">
        <f t="shared" si="48"/>
        <v>74.316349381655442</v>
      </c>
      <c r="AA131" s="147">
        <f t="shared" si="49"/>
        <v>7079.5</v>
      </c>
      <c r="AB131" s="147">
        <f t="shared" si="50"/>
        <v>50119320.25</v>
      </c>
      <c r="AD131" s="583">
        <f t="shared" si="51"/>
        <v>17.246818623281051</v>
      </c>
      <c r="AE131" s="584">
        <f t="shared" si="52"/>
        <v>-6.276179688941335</v>
      </c>
      <c r="AG131" s="583">
        <f t="shared" si="53"/>
        <v>7.3401185498430301</v>
      </c>
      <c r="AH131" s="584">
        <f t="shared" si="54"/>
        <v>-75.446408710741224</v>
      </c>
      <c r="AJ131" s="147">
        <f t="shared" si="55"/>
        <v>0</v>
      </c>
      <c r="AK131" s="147">
        <f t="shared" si="65"/>
        <v>0</v>
      </c>
      <c r="AM131" s="147" t="str">
        <f t="shared" si="59"/>
        <v>0.044916497940513+0.296336808536815i</v>
      </c>
      <c r="AN131" s="147" t="str">
        <f t="shared" si="60"/>
        <v>0.300854892462924i</v>
      </c>
      <c r="AO131" s="147" t="str">
        <f t="shared" si="61"/>
        <v>0.984982514696297-0.149296219093556i</v>
      </c>
      <c r="AP131" s="147" t="str">
        <f t="shared" si="62"/>
        <v>0.159180583676581-0.0493894680894692i</v>
      </c>
      <c r="AQ131" s="147" t="str">
        <f t="shared" si="63"/>
        <v>0.840819416323419+0.0493894680894692i</v>
      </c>
      <c r="AR131" s="147" t="str">
        <f t="shared" si="64"/>
        <v>0.987293733337013-0.0579933234068243i</v>
      </c>
    </row>
    <row r="132" spans="7:44">
      <c r="G132" s="585">
        <v>7161.95</v>
      </c>
      <c r="H132" s="573">
        <f t="shared" si="56"/>
        <v>7.16195</v>
      </c>
      <c r="I132" s="574">
        <f t="shared" si="34"/>
        <v>20.25397490634143</v>
      </c>
      <c r="J132" s="575">
        <f t="shared" si="35"/>
        <v>1.5214032208222279</v>
      </c>
      <c r="K132" s="575">
        <f t="shared" si="36"/>
        <v>1.0000490034921428</v>
      </c>
      <c r="L132" s="576">
        <f t="shared" si="37"/>
        <v>9.8996455601130066E-3</v>
      </c>
      <c r="M132" s="575">
        <f t="shared" si="38"/>
        <v>1.0001127743597868</v>
      </c>
      <c r="N132" s="576">
        <f t="shared" si="39"/>
        <v>-1.5017573867069735E-2</v>
      </c>
      <c r="O132" s="574">
        <f t="shared" si="40"/>
        <v>296999.06913329457</v>
      </c>
      <c r="P132" s="577">
        <f t="shared" si="41"/>
        <v>1.5707929597809767</v>
      </c>
      <c r="Q132" s="586">
        <f t="shared" si="42"/>
        <v>12.020629829493132</v>
      </c>
      <c r="R132" s="587">
        <f t="shared" si="43"/>
        <v>1.487509755348339</v>
      </c>
      <c r="S132" s="574">
        <f t="shared" si="44"/>
        <v>1.0003274067858368</v>
      </c>
      <c r="T132" s="577">
        <f t="shared" si="45"/>
        <v>2.5585835200396423E-2</v>
      </c>
      <c r="U132" s="578">
        <f t="shared" si="57"/>
        <v>0.98494106337326881</v>
      </c>
      <c r="V132" s="579">
        <f t="shared" si="58"/>
        <v>-0.21150005523358797</v>
      </c>
      <c r="W132" s="580">
        <f t="shared" si="46"/>
        <v>-4.4020924181899765</v>
      </c>
      <c r="X132" s="581">
        <f t="shared" si="47"/>
        <v>-105.81901632576241</v>
      </c>
      <c r="Y132" s="584">
        <f t="shared" si="48"/>
        <v>74.180983674237595</v>
      </c>
      <c r="AA132" s="147">
        <f t="shared" si="49"/>
        <v>7161.95</v>
      </c>
      <c r="AB132" s="147">
        <f t="shared" si="50"/>
        <v>51293527.802499995</v>
      </c>
      <c r="AD132" s="583">
        <f t="shared" si="51"/>
        <v>17.246049454239166</v>
      </c>
      <c r="AE132" s="584">
        <f t="shared" si="52"/>
        <v>-6.2377364977429934</v>
      </c>
      <c r="AG132" s="583">
        <f t="shared" si="53"/>
        <v>7.2427236473965815</v>
      </c>
      <c r="AH132" s="584">
        <f t="shared" si="54"/>
        <v>-75.345158736988822</v>
      </c>
      <c r="AJ132" s="147">
        <f t="shared" si="55"/>
        <v>0</v>
      </c>
      <c r="AK132" s="147">
        <f t="shared" si="65"/>
        <v>0</v>
      </c>
      <c r="AM132" s="147" t="str">
        <f t="shared" si="59"/>
        <v>0.045960677445096+0.299681449240657i</v>
      </c>
      <c r="AN132" s="147" t="str">
        <f t="shared" si="60"/>
        <v>0.304358739610826i</v>
      </c>
      <c r="AO132" s="147" t="str">
        <f t="shared" si="61"/>
        <v>0.984632311277968-0.151008239500086i</v>
      </c>
      <c r="AP132" s="147" t="str">
        <f t="shared" si="62"/>
        <v>0.159006553759151-0.0499469082067762i</v>
      </c>
      <c r="AQ132" s="147" t="str">
        <f t="shared" si="63"/>
        <v>0.840993446240849+0.0499469082067762i</v>
      </c>
      <c r="AR132" s="147" t="str">
        <f t="shared" si="64"/>
        <v>0.987013823134534-0.0586191117698692i</v>
      </c>
    </row>
    <row r="133" spans="7:44">
      <c r="G133" s="585">
        <v>7244.4</v>
      </c>
      <c r="H133" s="573">
        <f t="shared" si="56"/>
        <v>7.2443999999999997</v>
      </c>
      <c r="I133" s="574">
        <f t="shared" si="34"/>
        <v>20.486578112823157</v>
      </c>
      <c r="J133" s="575">
        <f t="shared" si="35"/>
        <v>1.5219644755198383</v>
      </c>
      <c r="K133" s="575">
        <f t="shared" si="36"/>
        <v>1.0000501382369278</v>
      </c>
      <c r="L133" s="576">
        <f t="shared" si="37"/>
        <v>1.0013604960104441E-2</v>
      </c>
      <c r="M133" s="575">
        <f t="shared" si="38"/>
        <v>1.0001153857235239</v>
      </c>
      <c r="N133" s="576">
        <f t="shared" si="39"/>
        <v>-1.5190433155681743E-2</v>
      </c>
      <c r="O133" s="574">
        <f t="shared" si="40"/>
        <v>300418.19007797632</v>
      </c>
      <c r="P133" s="577">
        <f t="shared" si="41"/>
        <v>1.5707929981016515</v>
      </c>
      <c r="Q133" s="586">
        <f t="shared" si="42"/>
        <v>12.15806176532671</v>
      </c>
      <c r="R133" s="587">
        <f t="shared" si="43"/>
        <v>1.488453353485077</v>
      </c>
      <c r="S133" s="574">
        <f t="shared" si="44"/>
        <v>1.0003349872710512</v>
      </c>
      <c r="T133" s="577">
        <f t="shared" si="45"/>
        <v>2.5880254405565035E-2</v>
      </c>
      <c r="U133" s="578">
        <f t="shared" si="57"/>
        <v>0.98460879730279671</v>
      </c>
      <c r="V133" s="579">
        <f t="shared" si="58"/>
        <v>-0.21389921330372377</v>
      </c>
      <c r="W133" s="580">
        <f t="shared" si="46"/>
        <v>-4.5049197827456853</v>
      </c>
      <c r="X133" s="581">
        <f t="shared" si="47"/>
        <v>-105.95481718084302</v>
      </c>
      <c r="Y133" s="584">
        <f t="shared" si="48"/>
        <v>74.045182819156977</v>
      </c>
      <c r="AA133" s="147">
        <f t="shared" si="49"/>
        <v>7244.4</v>
      </c>
      <c r="AB133" s="147">
        <f t="shared" si="50"/>
        <v>52481331.359999992</v>
      </c>
      <c r="AD133" s="583">
        <f t="shared" si="51"/>
        <v>17.24530332779123</v>
      </c>
      <c r="AE133" s="584">
        <f t="shared" si="52"/>
        <v>-6.2005434803856891</v>
      </c>
      <c r="AG133" s="583">
        <f t="shared" si="53"/>
        <v>7.1465037007515839</v>
      </c>
      <c r="AH133" s="584">
        <f t="shared" si="54"/>
        <v>-75.243229345505526</v>
      </c>
      <c r="AJ133" s="147">
        <f t="shared" si="55"/>
        <v>0</v>
      </c>
      <c r="AK133" s="147">
        <f t="shared" si="65"/>
        <v>0</v>
      </c>
      <c r="AM133" s="147" t="str">
        <f t="shared" si="59"/>
        <v>0.047016569625831+0.30302241077564i</v>
      </c>
      <c r="AN133" s="147" t="str">
        <f t="shared" si="60"/>
        <v>0.307862586758727i</v>
      </c>
      <c r="AO133" s="147" t="str">
        <f t="shared" si="61"/>
        <v>0.98427812864809-0.152719335339952i</v>
      </c>
      <c r="AP133" s="147" t="str">
        <f t="shared" si="62"/>
        <v>0.158830571729028-0.0505037351292733i</v>
      </c>
      <c r="AQ133" s="147" t="str">
        <f t="shared" si="63"/>
        <v>0.841169428270972+0.0505037351292733i</v>
      </c>
      <c r="AR133" s="147" t="str">
        <f t="shared" si="64"/>
        <v>0.986731052175635-0.0592432416443625i</v>
      </c>
    </row>
    <row r="134" spans="7:44">
      <c r="G134" s="585">
        <v>7328.75</v>
      </c>
      <c r="H134" s="573">
        <f t="shared" si="56"/>
        <v>7.3287500000000003</v>
      </c>
      <c r="I134" s="574">
        <f t="shared" si="34"/>
        <v>20.724548016786542</v>
      </c>
      <c r="J134" s="575">
        <f t="shared" si="35"/>
        <v>1.5225256263577538</v>
      </c>
      <c r="K134" s="575">
        <f t="shared" si="36"/>
        <v>1.0000513125708184</v>
      </c>
      <c r="L134" s="576">
        <f t="shared" si="37"/>
        <v>1.0130190202013771E-2</v>
      </c>
      <c r="M134" s="575">
        <f t="shared" si="38"/>
        <v>1.0001180881887572</v>
      </c>
      <c r="N134" s="576">
        <f t="shared" si="39"/>
        <v>-1.5367274920723713E-2</v>
      </c>
      <c r="O134" s="574">
        <f t="shared" si="40"/>
        <v>303916.1021663202</v>
      </c>
      <c r="P134" s="577">
        <f t="shared" si="41"/>
        <v>1.5707930364131337</v>
      </c>
      <c r="Q134" s="586">
        <f t="shared" si="42"/>
        <v>12.298671668770229</v>
      </c>
      <c r="R134" s="587">
        <f t="shared" si="43"/>
        <v>1.4893968721968585</v>
      </c>
      <c r="S134" s="574">
        <f t="shared" si="44"/>
        <v>1.0003428321736691</v>
      </c>
      <c r="T134" s="577">
        <f t="shared" si="45"/>
        <v>2.6181453641779491E-2</v>
      </c>
      <c r="U134" s="578">
        <f t="shared" si="57"/>
        <v>0.98426527303741673</v>
      </c>
      <c r="V134" s="579">
        <f t="shared" si="58"/>
        <v>-0.21635242107055655</v>
      </c>
      <c r="W134" s="580">
        <f t="shared" si="46"/>
        <v>-4.6089705529582314</v>
      </c>
      <c r="X134" s="581">
        <f t="shared" si="47"/>
        <v>-106.09417965149412</v>
      </c>
      <c r="Y134" s="584">
        <f t="shared" si="48"/>
        <v>73.905820348505884</v>
      </c>
      <c r="AA134" s="147">
        <f t="shared" si="49"/>
        <v>7328.75</v>
      </c>
      <c r="AB134" s="147">
        <f t="shared" si="50"/>
        <v>53710576.5625</v>
      </c>
      <c r="AD134" s="583">
        <f t="shared" si="51"/>
        <v>17.244562748605166</v>
      </c>
      <c r="AE134" s="584">
        <f t="shared" si="52"/>
        <v>-6.1637434803808357</v>
      </c>
      <c r="AG134" s="583">
        <f t="shared" si="53"/>
        <v>7.0492554797257547</v>
      </c>
      <c r="AH134" s="584">
        <f t="shared" si="54"/>
        <v>-75.138274913223796</v>
      </c>
      <c r="AJ134" s="147">
        <f t="shared" si="55"/>
        <v>0</v>
      </c>
      <c r="AK134" s="147">
        <f t="shared" si="65"/>
        <v>0</v>
      </c>
      <c r="AM134" s="147" t="str">
        <f t="shared" si="59"/>
        <v>0.048108901202914+0.306436512235203i</v>
      </c>
      <c r="AN134" s="147" t="str">
        <f t="shared" si="60"/>
        <v>0.31144717750373i</v>
      </c>
      <c r="AO134" s="147" t="str">
        <f t="shared" si="61"/>
        <v>0.983911669039072-0.154468894496043i</v>
      </c>
      <c r="AP134" s="147" t="str">
        <f t="shared" si="62"/>
        <v>0.158648516466181-0.0510727520392005i</v>
      </c>
      <c r="AQ134" s="147" t="str">
        <f t="shared" si="63"/>
        <v>0.841351483533819+0.0510727520392005i</v>
      </c>
      <c r="AR134" s="147" t="str">
        <f t="shared" si="64"/>
        <v>0.98643881747444-0.0598800217420537i</v>
      </c>
    </row>
    <row r="135" spans="7:44">
      <c r="G135" s="585">
        <v>7413.1</v>
      </c>
      <c r="H135" s="573">
        <f t="shared" si="56"/>
        <v>7.4131</v>
      </c>
      <c r="I135" s="574">
        <f t="shared" si="34"/>
        <v>20.962524298539687</v>
      </c>
      <c r="J135" s="575">
        <f t="shared" si="35"/>
        <v>1.5230740364768416</v>
      </c>
      <c r="K135" s="575">
        <f t="shared" si="36"/>
        <v>1.0000525004974929</v>
      </c>
      <c r="L135" s="576">
        <f t="shared" si="37"/>
        <v>1.0246775168532837E-2</v>
      </c>
      <c r="M135" s="575">
        <f t="shared" si="38"/>
        <v>1.0001208219305238</v>
      </c>
      <c r="N135" s="576">
        <f t="shared" si="39"/>
        <v>-1.5544115724533372E-2</v>
      </c>
      <c r="O135" s="574">
        <f t="shared" si="40"/>
        <v>307414.01425466448</v>
      </c>
      <c r="P135" s="577">
        <f t="shared" si="41"/>
        <v>1.5707930738527611</v>
      </c>
      <c r="Q135" s="586">
        <f t="shared" si="42"/>
        <v>12.439292273305069</v>
      </c>
      <c r="R135" s="587">
        <f t="shared" si="43"/>
        <v>1.4903190596048277</v>
      </c>
      <c r="S135" s="574">
        <f t="shared" si="44"/>
        <v>1.0003507678269408</v>
      </c>
      <c r="T135" s="577">
        <f t="shared" si="45"/>
        <v>2.6482648126569069E-2</v>
      </c>
      <c r="U135" s="578">
        <f t="shared" si="57"/>
        <v>0.98391811752924052</v>
      </c>
      <c r="V135" s="579">
        <f t="shared" si="58"/>
        <v>-0.21880436489382044</v>
      </c>
      <c r="W135" s="580">
        <f t="shared" si="46"/>
        <v>-4.7118894589282236</v>
      </c>
      <c r="X135" s="581">
        <f t="shared" si="47"/>
        <v>-106.23396154629074</v>
      </c>
      <c r="Y135" s="584">
        <f t="shared" si="48"/>
        <v>73.766038453709257</v>
      </c>
      <c r="AA135" s="147">
        <f t="shared" si="49"/>
        <v>7413.1</v>
      </c>
      <c r="AB135" s="147">
        <f t="shared" si="50"/>
        <v>54954051.610000007</v>
      </c>
      <c r="AD135" s="583">
        <f t="shared" si="51"/>
        <v>17.243844107082197</v>
      </c>
      <c r="AE135" s="584">
        <f t="shared" si="52"/>
        <v>-6.1281653518671275</v>
      </c>
      <c r="AG135" s="583">
        <f t="shared" si="53"/>
        <v>6.9531834134476354</v>
      </c>
      <c r="AH135" s="584">
        <f t="shared" si="54"/>
        <v>-75.032662870860705</v>
      </c>
      <c r="AJ135" s="147">
        <f t="shared" si="55"/>
        <v>0</v>
      </c>
      <c r="AK135" s="147">
        <f t="shared" si="65"/>
        <v>0</v>
      </c>
      <c r="AM135" s="147" t="str">
        <f t="shared" si="59"/>
        <v>0.049213463892447+0.309846676207121i</v>
      </c>
      <c r="AN135" s="147" t="str">
        <f t="shared" si="60"/>
        <v>0.315031768248733i</v>
      </c>
      <c r="AO135" s="147" t="str">
        <f t="shared" si="61"/>
        <v>0.98354105025523-0.156217463927608i</v>
      </c>
      <c r="AP135" s="147" t="str">
        <f t="shared" si="62"/>
        <v>0.158464422684592-0.0516411127011868i</v>
      </c>
      <c r="AQ135" s="147" t="str">
        <f t="shared" si="63"/>
        <v>0.841535577315408+0.0516411127011868i</v>
      </c>
      <c r="AR135" s="147" t="str">
        <f t="shared" si="64"/>
        <v>0.986143614971068-0.0605150333901923i</v>
      </c>
    </row>
    <row r="136" spans="7:44">
      <c r="G136" s="585">
        <v>7499.45</v>
      </c>
      <c r="H136" s="573">
        <f t="shared" si="56"/>
        <v>7.4994499999999995</v>
      </c>
      <c r="I136" s="574">
        <f t="shared" si="34"/>
        <v>21.206149553688203</v>
      </c>
      <c r="J136" s="575">
        <f t="shared" si="35"/>
        <v>1.5236226998415867</v>
      </c>
      <c r="K136" s="575">
        <f t="shared" si="36"/>
        <v>1.0000537306707715</v>
      </c>
      <c r="L136" s="576">
        <f t="shared" si="37"/>
        <v>1.0366124161040728E-2</v>
      </c>
      <c r="M136" s="575">
        <f t="shared" si="38"/>
        <v>1.0001236528887423</v>
      </c>
      <c r="N136" s="576">
        <f t="shared" si="39"/>
        <v>-1.5725148545507734E-2</v>
      </c>
      <c r="O136" s="574">
        <f t="shared" si="40"/>
        <v>310994.86438896874</v>
      </c>
      <c r="P136" s="577">
        <f t="shared" si="41"/>
        <v>1.5707931113077149</v>
      </c>
      <c r="Q136" s="586">
        <f t="shared" si="42"/>
        <v>12.583257805037162</v>
      </c>
      <c r="R136" s="587">
        <f t="shared" si="43"/>
        <v>1.4912417618044482</v>
      </c>
      <c r="S136" s="574">
        <f t="shared" si="44"/>
        <v>1.0003589856418926</v>
      </c>
      <c r="T136" s="577">
        <f t="shared" si="45"/>
        <v>2.6790979173510091E-2</v>
      </c>
      <c r="U136" s="578">
        <f t="shared" si="57"/>
        <v>0.98355898112527551</v>
      </c>
      <c r="V136" s="579">
        <f t="shared" si="58"/>
        <v>-0.22131312353754376</v>
      </c>
      <c r="W136" s="580">
        <f t="shared" si="46"/>
        <v>-4.8161040018883581</v>
      </c>
      <c r="X136" s="581">
        <f t="shared" si="47"/>
        <v>-106.37747441867337</v>
      </c>
      <c r="Y136" s="584">
        <f t="shared" si="48"/>
        <v>73.622525581326627</v>
      </c>
      <c r="AA136" s="147">
        <f t="shared" si="49"/>
        <v>7499.45</v>
      </c>
      <c r="AB136" s="147">
        <f t="shared" si="50"/>
        <v>56241750.302499995</v>
      </c>
      <c r="AD136" s="583">
        <f t="shared" si="51"/>
        <v>17.243130094471159</v>
      </c>
      <c r="AE136" s="584">
        <f t="shared" si="52"/>
        <v>-6.0929666237345668</v>
      </c>
      <c r="AG136" s="583">
        <f t="shared" si="53"/>
        <v>6.8560248511074828</v>
      </c>
      <c r="AH136" s="584">
        <f t="shared" si="54"/>
        <v>-74.923891906842769</v>
      </c>
      <c r="AJ136" s="147">
        <f t="shared" si="55"/>
        <v>0</v>
      </c>
      <c r="AK136" s="147">
        <f t="shared" si="65"/>
        <v>0</v>
      </c>
      <c r="AM136" s="147" t="str">
        <f t="shared" si="59"/>
        <v>0.050356871313417+0.313333573270338i</v>
      </c>
      <c r="AN136" s="147" t="str">
        <f t="shared" si="60"/>
        <v>0.318701352253842i</v>
      </c>
      <c r="AO136" s="147" t="str">
        <f t="shared" si="61"/>
        <v>0.983157338537966-0.158006456380858i</v>
      </c>
      <c r="AP136" s="147" t="str">
        <f t="shared" si="62"/>
        <v>0.158273854781097-0.052222262211723i</v>
      </c>
      <c r="AQ136" s="147" t="str">
        <f t="shared" si="63"/>
        <v>0.841726145218903+0.052222262211723i</v>
      </c>
      <c r="AR136" s="147" t="str">
        <f t="shared" si="64"/>
        <v>0.985838352878545-0.0611632527453542i</v>
      </c>
    </row>
    <row r="137" spans="7:44">
      <c r="G137" s="585">
        <v>7585.8</v>
      </c>
      <c r="H137" s="573">
        <f t="shared" si="56"/>
        <v>7.5857999999999999</v>
      </c>
      <c r="I137" s="574">
        <f t="shared" si="34"/>
        <v>21.449781047542618</v>
      </c>
      <c r="J137" s="575">
        <f t="shared" si="35"/>
        <v>1.524158899678022</v>
      </c>
      <c r="K137" s="575">
        <f t="shared" si="36"/>
        <v>1.0000549750889625</v>
      </c>
      <c r="L137" s="576">
        <f t="shared" si="37"/>
        <v>1.0485472858224857E-2</v>
      </c>
      <c r="M137" s="575">
        <f t="shared" si="38"/>
        <v>1.0001265166237092</v>
      </c>
      <c r="N137" s="576">
        <f t="shared" si="39"/>
        <v>-1.590618033568612E-2</v>
      </c>
      <c r="O137" s="574">
        <f t="shared" si="40"/>
        <v>314575.71452327352</v>
      </c>
      <c r="P137" s="577">
        <f t="shared" si="41"/>
        <v>1.5707931479099611</v>
      </c>
      <c r="Q137" s="586">
        <f t="shared" si="42"/>
        <v>12.727233807524401</v>
      </c>
      <c r="R137" s="587">
        <f t="shared" si="43"/>
        <v>1.4921435887405305</v>
      </c>
      <c r="S137" s="574">
        <f t="shared" si="44"/>
        <v>1.0003672985574392</v>
      </c>
      <c r="T137" s="577">
        <f t="shared" si="45"/>
        <v>2.7099305125384922E-2</v>
      </c>
      <c r="U137" s="578">
        <f t="shared" si="57"/>
        <v>0.98319606336761822</v>
      </c>
      <c r="V137" s="579">
        <f t="shared" si="58"/>
        <v>-0.22382053062867724</v>
      </c>
      <c r="W137" s="580">
        <f t="shared" si="46"/>
        <v>-4.9191878475757793</v>
      </c>
      <c r="X137" s="581">
        <f t="shared" si="47"/>
        <v>-106.52139142680244</v>
      </c>
      <c r="Y137" s="584">
        <f t="shared" si="48"/>
        <v>73.478608573197562</v>
      </c>
      <c r="AA137" s="147">
        <f t="shared" si="49"/>
        <v>7585.8</v>
      </c>
      <c r="AB137" s="147">
        <f t="shared" si="50"/>
        <v>57544361.640000001</v>
      </c>
      <c r="AD137" s="583">
        <f t="shared" si="51"/>
        <v>17.242436987614578</v>
      </c>
      <c r="AE137" s="584">
        <f t="shared" si="52"/>
        <v>-6.0589636193179848</v>
      </c>
      <c r="AG137" s="583">
        <f t="shared" si="53"/>
        <v>6.7600452078226994</v>
      </c>
      <c r="AH137" s="584">
        <f t="shared" si="54"/>
        <v>-74.814484231373882</v>
      </c>
      <c r="AJ137" s="147">
        <f t="shared" si="55"/>
        <v>0</v>
      </c>
      <c r="AK137" s="147">
        <f t="shared" si="65"/>
        <v>0</v>
      </c>
      <c r="AM137" s="147" t="str">
        <f t="shared" si="59"/>
        <v>0.051513066468896+0.316816251036406i</v>
      </c>
      <c r="AN137" s="147" t="str">
        <f t="shared" si="60"/>
        <v>0.322370936258952i</v>
      </c>
      <c r="AO137" s="147" t="str">
        <f t="shared" si="61"/>
        <v>0.982769274156638-0.159794388001271i</v>
      </c>
      <c r="AP137" s="147" t="str">
        <f t="shared" si="62"/>
        <v>0.158081155588517-0.0528027085060677i</v>
      </c>
      <c r="AQ137" s="147" t="str">
        <f t="shared" si="63"/>
        <v>0.841918844411483+0.0528027085060677i</v>
      </c>
      <c r="AR137" s="147" t="str">
        <f t="shared" si="64"/>
        <v>0.985530009268678-0.0618095843189876i</v>
      </c>
    </row>
    <row r="138" spans="7:44">
      <c r="G138" s="585">
        <v>7674.15</v>
      </c>
      <c r="H138" s="573">
        <f t="shared" si="56"/>
        <v>7.67415</v>
      </c>
      <c r="I138" s="574">
        <f t="shared" si="34"/>
        <v>21.699061662818263</v>
      </c>
      <c r="J138" s="575">
        <f t="shared" si="35"/>
        <v>1.524695056399719</v>
      </c>
      <c r="K138" s="575">
        <f t="shared" si="36"/>
        <v>1.0000562630733889</v>
      </c>
      <c r="L138" s="576">
        <f t="shared" si="37"/>
        <v>1.0607585547235645E-2</v>
      </c>
      <c r="M138" s="575">
        <f t="shared" si="38"/>
        <v>1.0001294806112091</v>
      </c>
      <c r="N138" s="576">
        <f t="shared" si="39"/>
        <v>-1.6091404023803119E-2</v>
      </c>
      <c r="O138" s="574">
        <f t="shared" si="40"/>
        <v>318239.50270353816</v>
      </c>
      <c r="P138" s="577">
        <f t="shared" si="41"/>
        <v>1.5707931845074323</v>
      </c>
      <c r="Q138" s="586">
        <f t="shared" si="42"/>
        <v>12.874554988607956</v>
      </c>
      <c r="R138" s="587">
        <f t="shared" si="43"/>
        <v>1.4930454262253223</v>
      </c>
      <c r="S138" s="574">
        <f t="shared" si="44"/>
        <v>1.0003759024406567</v>
      </c>
      <c r="T138" s="577">
        <f t="shared" si="45"/>
        <v>2.7414767050315991E-2</v>
      </c>
      <c r="U138" s="578">
        <f t="shared" si="57"/>
        <v>0.98282083902575279</v>
      </c>
      <c r="V138" s="579">
        <f t="shared" si="58"/>
        <v>-0.22638460016334983</v>
      </c>
      <c r="W138" s="580">
        <f t="shared" si="46"/>
        <v>-5.023516754862615</v>
      </c>
      <c r="X138" s="581">
        <f t="shared" si="47"/>
        <v>-106.66904255297746</v>
      </c>
      <c r="Y138" s="584">
        <f t="shared" si="48"/>
        <v>73.330957447022541</v>
      </c>
      <c r="AA138" s="147">
        <f t="shared" si="49"/>
        <v>7674.15</v>
      </c>
      <c r="AB138" s="147">
        <f t="shared" si="50"/>
        <v>58892578.222499996</v>
      </c>
      <c r="AD138" s="583">
        <f t="shared" si="51"/>
        <v>17.241748455901256</v>
      </c>
      <c r="AE138" s="584">
        <f t="shared" si="52"/>
        <v>-6.0253688713706008</v>
      </c>
      <c r="AG138" s="583">
        <f t="shared" si="53"/>
        <v>6.6630358174834665</v>
      </c>
      <c r="AH138" s="584">
        <f t="shared" si="54"/>
        <v>-74.701909379730878</v>
      </c>
      <c r="AJ138" s="147">
        <f t="shared" si="55"/>
        <v>0</v>
      </c>
      <c r="AK138" s="147">
        <f t="shared" si="65"/>
        <v>0</v>
      </c>
      <c r="AM138" s="147" t="str">
        <f t="shared" si="59"/>
        <v>0.052709260098933+0.320375177093497i</v>
      </c>
      <c r="AN138" s="147" t="str">
        <f t="shared" si="60"/>
        <v>0.326125513524168i</v>
      </c>
      <c r="AO138" s="147" t="str">
        <f t="shared" si="61"/>
        <v>0.982367719812744-0.161622620473166i</v>
      </c>
      <c r="AP138" s="147" t="str">
        <f t="shared" si="62"/>
        <v>0.157881789983511-0.0533958628489162i</v>
      </c>
      <c r="AQ138" s="147" t="str">
        <f t="shared" si="63"/>
        <v>0.842118210016489+0.0533958628489162i</v>
      </c>
      <c r="AR138" s="147" t="str">
        <f t="shared" si="64"/>
        <v>0.985211349858758-0.0624689140889422i</v>
      </c>
    </row>
    <row r="139" spans="7:44">
      <c r="G139" s="585">
        <v>7762.5</v>
      </c>
      <c r="H139" s="573">
        <f t="shared" si="56"/>
        <v>7.7625000000000002</v>
      </c>
      <c r="I139" s="574">
        <f t="shared" si="34"/>
        <v>21.948348374101968</v>
      </c>
      <c r="J139" s="575">
        <f t="shared" si="35"/>
        <v>1.5252190340615821</v>
      </c>
      <c r="K139" s="575">
        <f t="shared" si="36"/>
        <v>1.0000575659701245</v>
      </c>
      <c r="L139" s="576">
        <f t="shared" si="37"/>
        <v>1.0729697919885175E-2</v>
      </c>
      <c r="M139" s="575">
        <f t="shared" si="38"/>
        <v>1.0001324789107617</v>
      </c>
      <c r="N139" s="576">
        <f t="shared" si="39"/>
        <v>-1.6276626607709593E-2</v>
      </c>
      <c r="O139" s="574">
        <f t="shared" si="40"/>
        <v>321903.29088380327</v>
      </c>
      <c r="P139" s="577">
        <f t="shared" si="41"/>
        <v>1.5707932202718249</v>
      </c>
      <c r="Q139" s="586">
        <f t="shared" si="42"/>
        <v>13.0218864037773</v>
      </c>
      <c r="R139" s="587">
        <f t="shared" si="43"/>
        <v>1.4939268573866622</v>
      </c>
      <c r="S139" s="574">
        <f t="shared" si="44"/>
        <v>1.0003846058757904</v>
      </c>
      <c r="T139" s="577">
        <f t="shared" si="45"/>
        <v>2.773022351754598E-2</v>
      </c>
      <c r="U139" s="578">
        <f t="shared" si="57"/>
        <v>0.98244168243516727</v>
      </c>
      <c r="V139" s="579">
        <f t="shared" si="58"/>
        <v>-0.22894722620018529</v>
      </c>
      <c r="W139" s="580">
        <f t="shared" si="46"/>
        <v>-5.1267173801889889</v>
      </c>
      <c r="X139" s="581">
        <f t="shared" si="47"/>
        <v>-106.81708195472572</v>
      </c>
      <c r="Y139" s="584">
        <f t="shared" si="48"/>
        <v>73.182918045274278</v>
      </c>
      <c r="AA139" s="147">
        <f t="shared" si="49"/>
        <v>7762.5</v>
      </c>
      <c r="AB139" s="147">
        <f t="shared" si="50"/>
        <v>60256406.25</v>
      </c>
      <c r="AD139" s="583">
        <f t="shared" si="51"/>
        <v>17.24107981764206</v>
      </c>
      <c r="AE139" s="584">
        <f t="shared" si="52"/>
        <v>-5.9929429591985999</v>
      </c>
      <c r="AG139" s="583">
        <f t="shared" si="53"/>
        <v>6.567206878596914</v>
      </c>
      <c r="AH139" s="584">
        <f t="shared" si="54"/>
        <v>-74.588719380553627</v>
      </c>
      <c r="AJ139" s="147">
        <f t="shared" si="55"/>
        <v>0</v>
      </c>
      <c r="AK139" s="147">
        <f t="shared" si="65"/>
        <v>0</v>
      </c>
      <c r="AM139" s="147" t="str">
        <f t="shared" si="59"/>
        <v>0.053918807529168+0.323929586874939i</v>
      </c>
      <c r="AN139" s="147" t="str">
        <f t="shared" si="60"/>
        <v>0.329880090789385i</v>
      </c>
      <c r="AO139" s="147" t="str">
        <f t="shared" si="61"/>
        <v>0.98196161550639-0.163449717138562i</v>
      </c>
      <c r="AP139" s="147" t="str">
        <f t="shared" si="62"/>
        <v>0.157680198745139-0.0539882644791565i</v>
      </c>
      <c r="AQ139" s="147" t="str">
        <f t="shared" si="63"/>
        <v>0.842319801254861+0.0539882644791565i</v>
      </c>
      <c r="AR139" s="147" t="str">
        <f t="shared" si="64"/>
        <v>0.984889495764609-0.0631262312732861i</v>
      </c>
    </row>
    <row r="140" spans="7:44">
      <c r="G140" s="585">
        <v>7852.9</v>
      </c>
      <c r="H140" s="573">
        <f t="shared" si="56"/>
        <v>7.8529</v>
      </c>
      <c r="I140" s="574">
        <f t="shared" si="34"/>
        <v>22.203425422776974</v>
      </c>
      <c r="J140" s="575">
        <f t="shared" si="35"/>
        <v>1.5257429910328126</v>
      </c>
      <c r="K140" s="575">
        <f t="shared" si="36"/>
        <v>1.0000589145334755</v>
      </c>
      <c r="L140" s="576">
        <f t="shared" si="37"/>
        <v>1.0854643355325716E-2</v>
      </c>
      <c r="M140" s="575">
        <f t="shared" si="38"/>
        <v>1.0001355822955562</v>
      </c>
      <c r="N140" s="576">
        <f t="shared" si="39"/>
        <v>-1.6466145786386943E-2</v>
      </c>
      <c r="O140" s="574">
        <f t="shared" si="40"/>
        <v>325652.09056117741</v>
      </c>
      <c r="P140" s="577">
        <f t="shared" si="41"/>
        <v>1.5707932560330959</v>
      </c>
      <c r="Q140" s="586">
        <f t="shared" si="42"/>
        <v>13.17264660955148</v>
      </c>
      <c r="R140" s="587">
        <f t="shared" si="43"/>
        <v>1.4948083312963303</v>
      </c>
      <c r="S140" s="574">
        <f t="shared" si="44"/>
        <v>1.0003936142990866</v>
      </c>
      <c r="T140" s="577">
        <f t="shared" si="45"/>
        <v>2.8052993860101235E-2</v>
      </c>
      <c r="U140" s="578">
        <f t="shared" si="57"/>
        <v>0.98204967209026783</v>
      </c>
      <c r="V140" s="579">
        <f t="shared" si="58"/>
        <v>-0.23156780417382208</v>
      </c>
      <c r="W140" s="580">
        <f t="shared" si="46"/>
        <v>-5.2311724509579012</v>
      </c>
      <c r="X140" s="581">
        <f t="shared" si="47"/>
        <v>-106.96894103130182</v>
      </c>
      <c r="Y140" s="584">
        <f t="shared" si="48"/>
        <v>73.031058968698176</v>
      </c>
      <c r="AA140" s="147">
        <f t="shared" si="49"/>
        <v>7852.9</v>
      </c>
      <c r="AB140" s="147">
        <f t="shared" si="50"/>
        <v>61668038.409999996</v>
      </c>
      <c r="AD140" s="583">
        <f t="shared" si="51"/>
        <v>17.240415292001813</v>
      </c>
      <c r="AE140" s="584">
        <f t="shared" si="52"/>
        <v>-5.9609336517374549</v>
      </c>
      <c r="AG140" s="583">
        <f t="shared" si="53"/>
        <v>6.4703493416082489</v>
      </c>
      <c r="AH140" s="584">
        <f t="shared" si="54"/>
        <v>-74.472291648699041</v>
      </c>
      <c r="AJ140" s="147">
        <f t="shared" si="55"/>
        <v>0</v>
      </c>
      <c r="AK140" s="147">
        <f t="shared" si="65"/>
        <v>0</v>
      </c>
      <c r="AM140" s="147" t="str">
        <f t="shared" si="59"/>
        <v>0.055170224677311+0.327561743284646i</v>
      </c>
      <c r="AN140" s="147" t="str">
        <f t="shared" si="60"/>
        <v>0.33372178614621i</v>
      </c>
      <c r="AO140" s="147" t="str">
        <f t="shared" si="61"/>
        <v>0.981541382321185-0.165318019283104i</v>
      </c>
      <c r="AP140" s="147" t="str">
        <f t="shared" si="62"/>
        <v>0.157471629220448-0.0545936238807743i</v>
      </c>
      <c r="AQ140" s="147" t="str">
        <f t="shared" si="63"/>
        <v>0.842528370779552+0.0545936238807743i</v>
      </c>
      <c r="AR140" s="147" t="str">
        <f t="shared" si="64"/>
        <v>0.984556883569898-0.0637966981943997i</v>
      </c>
    </row>
    <row r="141" spans="7:44">
      <c r="G141" s="585">
        <v>7943.3</v>
      </c>
      <c r="H141" s="573">
        <f t="shared" si="56"/>
        <v>7.9432999999999998</v>
      </c>
      <c r="I141" s="574">
        <f t="shared" ref="I141:I204" si="66">SQRT(1+(G141/pole1)^2)</f>
        <v>22.458508428515213</v>
      </c>
      <c r="J141" s="575">
        <f t="shared" ref="J141:J204" si="67">ATAN(G141/pole1)</f>
        <v>1.526255045969612</v>
      </c>
      <c r="K141" s="575">
        <f t="shared" ref="K141:K204" si="68">SQRT(1+(G141/Zero1)^2)</f>
        <v>1.0000602787090658</v>
      </c>
      <c r="L141" s="576">
        <f t="shared" ref="L141:L204" si="69">ATAN(G141/Zero1)</f>
        <v>1.0979588451842338E-2</v>
      </c>
      <c r="M141" s="575">
        <f t="shared" ref="M141:M204" si="70">SQRT(1+(G141/z_RHP)^2)</f>
        <v>1.0001387216025159</v>
      </c>
      <c r="N141" s="576">
        <f t="shared" ref="N141:N204" si="71">-ATAN(G141/z_RHP)</f>
        <v>-1.6655663782118572E-2</v>
      </c>
      <c r="O141" s="574">
        <f t="shared" ref="O141:O204" si="72">SQRT(1+(G141/Pole2)^2)</f>
        <v>329400.89023855195</v>
      </c>
      <c r="P141" s="577">
        <f t="shared" ref="P141:P204" si="73">ATAN(G141/Pole2)</f>
        <v>1.5707932909803932</v>
      </c>
      <c r="Q141" s="586">
        <f t="shared" ref="Q141:Q147" si="74">SQRT(1+(G141/Zero2)^2)</f>
        <v>13.323416818789072</v>
      </c>
      <c r="R141" s="587">
        <f t="shared" ref="R141:R147" si="75">ATAN(G141/Zero2)</f>
        <v>1.4956698560244976</v>
      </c>
      <c r="S141" s="574">
        <f t="shared" ref="S141:S204" si="76">SQRT(1+(G141/pole4)^2)</f>
        <v>1.0004027269422007</v>
      </c>
      <c r="T141" s="577">
        <f t="shared" ref="T141:T204" si="77">ATAN(G141/pole4)</f>
        <v>2.8375758356068051E-2</v>
      </c>
      <c r="U141" s="578">
        <f t="shared" si="57"/>
        <v>0.98165357354632454</v>
      </c>
      <c r="V141" s="579">
        <f t="shared" si="58"/>
        <v>-0.23418684053932573</v>
      </c>
      <c r="W141" s="580">
        <f t="shared" ref="W141:W204" si="78">20*LOG10(((K141*Q141*M141*U141)/(I141*O141*S141))*Adc)</f>
        <v>-5.334501585773701</v>
      </c>
      <c r="X141" s="581">
        <f t="shared" ref="X141:X204" si="79">((L141+R141+N141+V141)-(J141+P141+T141))*radconv</f>
        <v>-107.12117241782187</v>
      </c>
      <c r="Y141" s="584">
        <f t="shared" ref="Y141:Y204" si="80">IF(X141&gt;0,X141,X141+180)</f>
        <v>72.878827582178133</v>
      </c>
      <c r="AA141" s="147">
        <f t="shared" ref="AA141:AA204" si="81">IF(W141&lt;0,G141,1000000000)</f>
        <v>7943.3</v>
      </c>
      <c r="AB141" s="147">
        <f t="shared" ref="AB141:AB204" si="82">G141^2</f>
        <v>63096014.890000001</v>
      </c>
      <c r="AD141" s="583">
        <f t="shared" ref="AD141:AD204" si="83">20*LOG10((Q141/(O141*S141))*Aea)</f>
        <v>17.239769690664147</v>
      </c>
      <c r="AE141" s="584">
        <f t="shared" ref="AE141:AE204" si="84">(R141-(P141+T141))*radconv</f>
        <v>-5.9300669665602372</v>
      </c>
      <c r="AG141" s="583">
        <f t="shared" ref="AG141:AG204" si="85">20*LOG10((K141*M141/(I141*U141))*Acs*Am)</f>
        <v>6.3746739307531151</v>
      </c>
      <c r="AH141" s="584">
        <f t="shared" ref="AH141:AH204" si="86">(L141+N141-(J141+V141))*radconv</f>
        <v>-74.355270259784078</v>
      </c>
      <c r="AJ141" s="147">
        <f t="shared" ref="AJ141:AJ204" si="87">SUM((W142&lt;0)*(W141&gt;0))*G141</f>
        <v>0</v>
      </c>
      <c r="AK141" s="147">
        <f t="shared" si="65"/>
        <v>0</v>
      </c>
      <c r="AM141" s="147" t="str">
        <f t="shared" si="59"/>
        <v>0.05643558619496+0.331189065339952i</v>
      </c>
      <c r="AN141" s="147" t="str">
        <f t="shared" si="60"/>
        <v>0.337563481503036i</v>
      </c>
      <c r="AO141" s="147" t="str">
        <f t="shared" si="61"/>
        <v>0.981116392879048-0.16718510528353i</v>
      </c>
      <c r="AP141" s="147" t="str">
        <f t="shared" si="62"/>
        <v>0.157260735634173-0.0551981775566587i</v>
      </c>
      <c r="AQ141" s="147" t="str">
        <f t="shared" si="63"/>
        <v>0.842739264365827+0.0551981775566587i</v>
      </c>
      <c r="AR141" s="147" t="str">
        <f t="shared" si="64"/>
        <v>0.98422096069816-0.0644650197762937i</v>
      </c>
    </row>
    <row r="142" spans="7:44">
      <c r="G142" s="585">
        <v>8035.8</v>
      </c>
      <c r="H142" s="573">
        <f t="shared" ref="H142:H205" si="88">G142/1000</f>
        <v>8.0358000000000001</v>
      </c>
      <c r="I142" s="574">
        <f t="shared" si="66"/>
        <v>22.719522991993195</v>
      </c>
      <c r="J142" s="575">
        <f t="shared" si="67"/>
        <v>1.5267670939188838</v>
      </c>
      <c r="K142" s="575">
        <f t="shared" si="68"/>
        <v>1.0000616907349715</v>
      </c>
      <c r="L142" s="576">
        <f t="shared" si="69"/>
        <v>1.1107435679115006E-2</v>
      </c>
      <c r="M142" s="575">
        <f t="shared" si="70"/>
        <v>1.0001419710190715</v>
      </c>
      <c r="N142" s="576">
        <f t="shared" si="71"/>
        <v>-1.6849583058988392E-2</v>
      </c>
      <c r="O142" s="574">
        <f t="shared" si="72"/>
        <v>333236.77486418444</v>
      </c>
      <c r="P142" s="577">
        <f t="shared" si="73"/>
        <v>1.5707933259256186</v>
      </c>
      <c r="Q142" s="586">
        <f t="shared" si="74"/>
        <v>13.477699437869168</v>
      </c>
      <c r="R142" s="587">
        <f t="shared" si="75"/>
        <v>1.4965314414096529</v>
      </c>
      <c r="S142" s="574">
        <f t="shared" si="76"/>
        <v>1.0004121591493411</v>
      </c>
      <c r="T142" s="577">
        <f t="shared" si="77"/>
        <v>2.8706014577966277E-2</v>
      </c>
      <c r="U142" s="578">
        <f t="shared" ref="U142:U205" si="89">IMABS(IMPRODUCT(AO142, AR142))</f>
        <v>0.98124405714405016</v>
      </c>
      <c r="V142" s="579">
        <f t="shared" ref="V142:V205" si="90">IMARGUMENT(IMPRODUCT(AO142, AR142))</f>
        <v>-0.23686510572501637</v>
      </c>
      <c r="W142" s="580">
        <f t="shared" si="78"/>
        <v>-5.439093270789841</v>
      </c>
      <c r="X142" s="581">
        <f t="shared" si="79"/>
        <v>-107.27730862917154</v>
      </c>
      <c r="Y142" s="584">
        <f t="shared" si="80"/>
        <v>72.722691370828457</v>
      </c>
      <c r="AA142" s="147">
        <f t="shared" si="81"/>
        <v>8035.8</v>
      </c>
      <c r="AB142" s="147">
        <f t="shared" si="82"/>
        <v>64574081.640000001</v>
      </c>
      <c r="AD142" s="583">
        <f t="shared" si="83"/>
        <v>17.239127759700605</v>
      </c>
      <c r="AE142" s="584">
        <f t="shared" si="84"/>
        <v>-5.8996260501525422</v>
      </c>
      <c r="AG142" s="583">
        <f t="shared" si="85"/>
        <v>6.2779726735576658</v>
      </c>
      <c r="AH142" s="584">
        <f t="shared" si="86"/>
        <v>-74.23494080407697</v>
      </c>
      <c r="AJ142" s="147">
        <f t="shared" si="87"/>
        <v>0</v>
      </c>
      <c r="AK142" s="147">
        <f t="shared" si="65"/>
        <v>0</v>
      </c>
      <c r="AM142" s="147" t="str">
        <f t="shared" ref="AM142:AM205" si="91">IMSUB(1,IMEXP(COMPLEX(0,-2*Pi*G142*Tsw)))</f>
        <v>0.0577447567163319+0.334895590452362i</v>
      </c>
      <c r="AN142" s="147" t="str">
        <f t="shared" ref="AN142:AN205" si="92">COMPLEX(0, 2*Pi*G142*Tsw)</f>
        <v>0.341494419782974i</v>
      </c>
      <c r="AO142" s="147" t="str">
        <f t="shared" ref="AO142:AO205" si="93">IMDIV(AM142, AN142)</f>
        <v>0.980676611539346-0.169094290773564i</v>
      </c>
      <c r="AP142" s="147" t="str">
        <f t="shared" ref="AP142:AP205" si="94">IMDIV(IMEXP(COMPLEX(0,-2*Pi*G142*Tsw)),6)</f>
        <v>0.157042540547278-0.0558159317420603i</v>
      </c>
      <c r="AQ142" s="147" t="str">
        <f t="shared" ref="AQ142:AQ205" si="95">IMSUB(1, AP142)</f>
        <v>0.842957459452722+0.0558159317420603i</v>
      </c>
      <c r="AR142" s="147" t="str">
        <f t="shared" ref="AR142:AR205" si="96">IMDIV(0.833, AQ142)</f>
        <v>0.983873825509787-0.0651466259318795i</v>
      </c>
    </row>
    <row r="143" spans="7:44">
      <c r="G143" s="585">
        <v>8128.3</v>
      </c>
      <c r="H143" s="573">
        <f t="shared" si="88"/>
        <v>8.1282999999999994</v>
      </c>
      <c r="I143" s="574">
        <f t="shared" si="66"/>
        <v>22.980543377054694</v>
      </c>
      <c r="J143" s="575">
        <f t="shared" si="67"/>
        <v>1.5272675099870883</v>
      </c>
      <c r="K143" s="575">
        <f t="shared" si="68"/>
        <v>1.0000631191067528</v>
      </c>
      <c r="L143" s="576">
        <f t="shared" si="69"/>
        <v>1.1235282543273623E-2</v>
      </c>
      <c r="M143" s="575">
        <f t="shared" si="70"/>
        <v>1.0001452580454067</v>
      </c>
      <c r="N143" s="576">
        <f t="shared" si="71"/>
        <v>-1.7043501068500017E-2</v>
      </c>
      <c r="O143" s="574">
        <f t="shared" si="72"/>
        <v>337072.65948981739</v>
      </c>
      <c r="P143" s="577">
        <f t="shared" si="73"/>
        <v>1.5707933600754911</v>
      </c>
      <c r="Q143" s="586">
        <f t="shared" si="74"/>
        <v>13.631991835372718</v>
      </c>
      <c r="R143" s="587">
        <f t="shared" si="75"/>
        <v>1.4973735238644004</v>
      </c>
      <c r="S143" s="574">
        <f t="shared" si="76"/>
        <v>1.0004217004685432</v>
      </c>
      <c r="T143" s="577">
        <f t="shared" si="77"/>
        <v>2.903626453638046E-2</v>
      </c>
      <c r="U143" s="578">
        <f t="shared" si="89"/>
        <v>0.98083029160041157</v>
      </c>
      <c r="V143" s="579">
        <f t="shared" si="90"/>
        <v>-0.23954172467615456</v>
      </c>
      <c r="W143" s="580">
        <f t="shared" si="78"/>
        <v>-5.5425613339580169</v>
      </c>
      <c r="X143" s="581">
        <f t="shared" si="79"/>
        <v>-107.43380103988633</v>
      </c>
      <c r="Y143" s="584">
        <f t="shared" si="80"/>
        <v>72.566198960113667</v>
      </c>
      <c r="AA143" s="147">
        <f t="shared" si="81"/>
        <v>8128.3</v>
      </c>
      <c r="AB143" s="147">
        <f t="shared" si="82"/>
        <v>66069260.890000001</v>
      </c>
      <c r="AD143" s="583">
        <f t="shared" si="83"/>
        <v>17.238503824240418</v>
      </c>
      <c r="AE143" s="584">
        <f t="shared" si="84"/>
        <v>-5.8703021649050529</v>
      </c>
      <c r="AG143" s="583">
        <f t="shared" si="85"/>
        <v>6.1824553261088528</v>
      </c>
      <c r="AH143" s="584">
        <f t="shared" si="86"/>
        <v>-74.114039161158843</v>
      </c>
      <c r="AJ143" s="147">
        <f t="shared" si="87"/>
        <v>0</v>
      </c>
      <c r="AK143" s="147">
        <f t="shared" si="65"/>
        <v>0</v>
      </c>
      <c r="AM143" s="147" t="str">
        <f t="shared" si="91"/>
        <v>0.059068487206812+0.338596940672421i</v>
      </c>
      <c r="AN143" s="147" t="str">
        <f t="shared" si="92"/>
        <v>0.345425358062912i</v>
      </c>
      <c r="AO143" s="147" t="str">
        <f t="shared" si="93"/>
        <v>0.98023185839979-0.171002174067527i</v>
      </c>
      <c r="AP143" s="147" t="str">
        <f t="shared" si="94"/>
        <v>0.156821918798865-0.0564328234454035i</v>
      </c>
      <c r="AQ143" s="147" t="str">
        <f t="shared" si="95"/>
        <v>0.843178081201135+0.0564328234454035i</v>
      </c>
      <c r="AR143" s="147" t="str">
        <f t="shared" si="96"/>
        <v>0.983523261005441-0.0658259456456716i</v>
      </c>
    </row>
    <row r="144" spans="7:44">
      <c r="G144" s="585">
        <v>8222.9500000000007</v>
      </c>
      <c r="H144" s="573">
        <f t="shared" si="88"/>
        <v>8.2229500000000009</v>
      </c>
      <c r="I144" s="574">
        <f t="shared" si="66"/>
        <v>23.247636543988943</v>
      </c>
      <c r="J144" s="575">
        <f t="shared" si="67"/>
        <v>1.5277679252340377</v>
      </c>
      <c r="K144" s="575">
        <f t="shared" si="68"/>
        <v>1.0000645975986415</v>
      </c>
      <c r="L144" s="576">
        <f t="shared" si="69"/>
        <v>1.1366100602963714E-2</v>
      </c>
      <c r="M144" s="575">
        <f t="shared" si="70"/>
        <v>1.0001486604037062</v>
      </c>
      <c r="N144" s="576">
        <f t="shared" si="71"/>
        <v>-1.7241925034388619E-2</v>
      </c>
      <c r="O144" s="574">
        <f t="shared" si="72"/>
        <v>340997.70251485734</v>
      </c>
      <c r="P144" s="577">
        <f t="shared" si="73"/>
        <v>1.5707933942238188</v>
      </c>
      <c r="Q144" s="586">
        <f t="shared" si="74"/>
        <v>13.789880268198679</v>
      </c>
      <c r="R144" s="587">
        <f t="shared" si="75"/>
        <v>1.4982156725515121</v>
      </c>
      <c r="S144" s="574">
        <f t="shared" si="76"/>
        <v>1.0004315765014042</v>
      </c>
      <c r="T144" s="577">
        <f t="shared" si="77"/>
        <v>2.9374184016399515E-2</v>
      </c>
      <c r="U144" s="578">
        <f t="shared" si="89"/>
        <v>0.98040252703177622</v>
      </c>
      <c r="V144" s="579">
        <f t="shared" si="90"/>
        <v>-0.24227883602330327</v>
      </c>
      <c r="W144" s="580">
        <f t="shared" si="78"/>
        <v>-5.6472988700375737</v>
      </c>
      <c r="X144" s="581">
        <f t="shared" si="79"/>
        <v>-107.59428293414966</v>
      </c>
      <c r="Y144" s="584">
        <f t="shared" si="80"/>
        <v>72.40571706585034</v>
      </c>
      <c r="AA144" s="147">
        <f t="shared" si="81"/>
        <v>8222.9500000000007</v>
      </c>
      <c r="AB144" s="147">
        <f t="shared" si="82"/>
        <v>67616906.702500015</v>
      </c>
      <c r="AD144" s="583">
        <f t="shared" si="83"/>
        <v>17.237883134223122</v>
      </c>
      <c r="AE144" s="584">
        <f t="shared" si="84"/>
        <v>-5.841413915953459</v>
      </c>
      <c r="AG144" s="583">
        <f t="shared" si="85"/>
        <v>6.0859163991143514</v>
      </c>
      <c r="AH144" s="584">
        <f t="shared" si="86"/>
        <v>-73.989759447517386</v>
      </c>
      <c r="AJ144" s="147">
        <f t="shared" si="87"/>
        <v>0</v>
      </c>
      <c r="AK144" s="147">
        <f t="shared" si="65"/>
        <v>0</v>
      </c>
      <c r="AM144" s="147" t="str">
        <f t="shared" si="91"/>
        <v>0.060438035681831+0.342378905901901i</v>
      </c>
      <c r="AN144" s="147" t="str">
        <f t="shared" si="92"/>
        <v>0.349447664097465i</v>
      </c>
      <c r="AO144" s="147" t="str">
        <f t="shared" si="93"/>
        <v>0.979771625562813-0.172953039585848i</v>
      </c>
      <c r="AP144" s="147" t="str">
        <f t="shared" si="94"/>
        <v>0.156593660719695-0.0570631509836502i</v>
      </c>
      <c r="AQ144" s="147" t="str">
        <f t="shared" si="95"/>
        <v>0.843406339280305+0.0570631509836502i</v>
      </c>
      <c r="AR144" s="147" t="str">
        <f t="shared" si="96"/>
        <v>0.983161018159196-0.0665186672278639i</v>
      </c>
    </row>
    <row r="145" spans="7:44">
      <c r="G145" s="585">
        <v>8270.2750000000015</v>
      </c>
      <c r="H145" s="573">
        <f t="shared" si="88"/>
        <v>8.2702750000000016</v>
      </c>
      <c r="I145" s="574">
        <f t="shared" si="66"/>
        <v>23.38118527313592</v>
      </c>
      <c r="J145" s="575">
        <f t="shared" si="67"/>
        <v>1.5280138454855281</v>
      </c>
      <c r="K145" s="575">
        <f t="shared" si="68"/>
        <v>1.0000653432624977</v>
      </c>
      <c r="L145" s="576">
        <f t="shared" si="69"/>
        <v>1.1431509487198475E-2</v>
      </c>
      <c r="M145" s="575">
        <f t="shared" si="70"/>
        <v>1.0001503763495017</v>
      </c>
      <c r="N145" s="576">
        <f t="shared" si="71"/>
        <v>-1.7341136509123899E-2</v>
      </c>
      <c r="O145" s="574">
        <f t="shared" si="72"/>
        <v>342960.22402737744</v>
      </c>
      <c r="P145" s="577">
        <f t="shared" si="73"/>
        <v>1.5707934110048722</v>
      </c>
      <c r="Q145" s="586">
        <f t="shared" si="74"/>
        <v>13.868828089475773</v>
      </c>
      <c r="R145" s="587">
        <f t="shared" si="75"/>
        <v>1.4986295562237153</v>
      </c>
      <c r="S145" s="574">
        <f t="shared" si="76"/>
        <v>1.0004365573567702</v>
      </c>
      <c r="T145" s="577">
        <f t="shared" si="77"/>
        <v>2.9543141244876777E-2</v>
      </c>
      <c r="U145" s="578">
        <f t="shared" si="89"/>
        <v>0.98018698804300386</v>
      </c>
      <c r="V145" s="579">
        <f t="shared" si="90"/>
        <v>-0.24364673361445488</v>
      </c>
      <c r="W145" s="580">
        <f t="shared" si="78"/>
        <v>-5.6992454727615796</v>
      </c>
      <c r="X145" s="581">
        <f t="shared" si="79"/>
        <v>-107.67465234126695</v>
      </c>
      <c r="Y145" s="584">
        <f t="shared" si="80"/>
        <v>72.325347658733051</v>
      </c>
      <c r="AA145" s="147">
        <f t="shared" si="81"/>
        <v>8270.2750000000015</v>
      </c>
      <c r="AB145" s="147">
        <f t="shared" si="82"/>
        <v>68397448.575625017</v>
      </c>
      <c r="AD145" s="583">
        <f t="shared" si="83"/>
        <v>17.237579254881709</v>
      </c>
      <c r="AE145" s="584">
        <f t="shared" si="84"/>
        <v>-5.8273816259043221</v>
      </c>
      <c r="AG145" s="583">
        <f t="shared" si="85"/>
        <v>6.038093236863399</v>
      </c>
      <c r="AH145" s="584">
        <f t="shared" si="86"/>
        <v>-73.927411626946522</v>
      </c>
      <c r="AJ145" s="147">
        <f t="shared" si="87"/>
        <v>0</v>
      </c>
      <c r="AK145" s="147">
        <f t="shared" si="65"/>
        <v>0</v>
      </c>
      <c r="AM145" s="147" t="str">
        <f t="shared" si="91"/>
        <v>0.061128511726928+0.344267815091545i</v>
      </c>
      <c r="AN145" s="147" t="str">
        <f t="shared" si="92"/>
        <v>0.351458817114741i</v>
      </c>
      <c r="AO145" s="147" t="str">
        <f t="shared" si="93"/>
        <v>0.979539560047946-0.173927950445959i</v>
      </c>
      <c r="AP145" s="147" t="str">
        <f t="shared" si="94"/>
        <v>0.156478581378845-0.0573779691819242i</v>
      </c>
      <c r="AQ145" s="147" t="str">
        <f t="shared" si="95"/>
        <v>0.843521418621155+0.0573779691819242i</v>
      </c>
      <c r="AR145" s="147" t="str">
        <f t="shared" si="96"/>
        <v>0.982978564057888-0.0668641157295103i</v>
      </c>
    </row>
    <row r="146" spans="7:44">
      <c r="G146" s="585">
        <v>8317.6</v>
      </c>
      <c r="H146" s="573">
        <f t="shared" si="88"/>
        <v>8.3176000000000005</v>
      </c>
      <c r="I146" s="574">
        <f t="shared" si="66"/>
        <v>23.514735400239957</v>
      </c>
      <c r="J146" s="575">
        <f t="shared" si="67"/>
        <v>1.5282569723813593</v>
      </c>
      <c r="K146" s="575">
        <f t="shared" si="68"/>
        <v>1.0000660932049494</v>
      </c>
      <c r="L146" s="576">
        <f t="shared" si="69"/>
        <v>1.1496918273613758E-2</v>
      </c>
      <c r="M146" s="575">
        <f t="shared" si="70"/>
        <v>1.0001521021396602</v>
      </c>
      <c r="N146" s="576">
        <f t="shared" si="71"/>
        <v>-1.7440347642451403E-2</v>
      </c>
      <c r="O146" s="574">
        <f t="shared" si="72"/>
        <v>344922.74553989765</v>
      </c>
      <c r="P146" s="577">
        <f t="shared" si="73"/>
        <v>1.5707934275949658</v>
      </c>
      <c r="Q146" s="586">
        <f t="shared" si="74"/>
        <v>13.947778259584261</v>
      </c>
      <c r="R146" s="587">
        <f t="shared" si="75"/>
        <v>1.4990387544612234</v>
      </c>
      <c r="S146" s="574">
        <f t="shared" si="76"/>
        <v>1.0004415667708586</v>
      </c>
      <c r="T146" s="577">
        <f t="shared" si="77"/>
        <v>2.9712096786170782E-2</v>
      </c>
      <c r="U146" s="578">
        <f t="shared" si="89"/>
        <v>0.97997034747417477</v>
      </c>
      <c r="V146" s="579">
        <f t="shared" si="90"/>
        <v>-0.24501418962875265</v>
      </c>
      <c r="W146" s="580">
        <f t="shared" si="78"/>
        <v>-5.7509151006794044</v>
      </c>
      <c r="X146" s="581">
        <f t="shared" si="79"/>
        <v>-107.75510473447129</v>
      </c>
      <c r="Y146" s="584">
        <f t="shared" si="80"/>
        <v>72.244895265528712</v>
      </c>
      <c r="AA146" s="147">
        <f t="shared" si="81"/>
        <v>8317.6</v>
      </c>
      <c r="AB146" s="147">
        <f t="shared" si="82"/>
        <v>69182469.760000005</v>
      </c>
      <c r="AD146" s="583">
        <f t="shared" si="83"/>
        <v>17.237279548730356</v>
      </c>
      <c r="AE146" s="584">
        <f t="shared" si="84"/>
        <v>-5.8136176838790279</v>
      </c>
      <c r="AG146" s="583">
        <f t="shared" si="85"/>
        <v>5.9905632437506959</v>
      </c>
      <c r="AH146" s="584">
        <f t="shared" si="86"/>
        <v>-73.864929045419032</v>
      </c>
      <c r="AJ146" s="147">
        <f t="shared" si="87"/>
        <v>0</v>
      </c>
      <c r="AK146" s="147">
        <f t="shared" si="65"/>
        <v>0</v>
      </c>
      <c r="AM146" s="147" t="str">
        <f t="shared" si="91"/>
        <v>0.0618227852584839+0.346155331809075i</v>
      </c>
      <c r="AN146" s="147" t="str">
        <f t="shared" si="92"/>
        <v>0.353469970132017i</v>
      </c>
      <c r="AO146" s="147" t="str">
        <f t="shared" si="93"/>
        <v>0.979306195883599-0.17490251077169i</v>
      </c>
      <c r="AP146" s="147" t="str">
        <f t="shared" si="94"/>
        <v>0.156362869123586-0.0576925553015125i</v>
      </c>
      <c r="AQ146" s="147" t="str">
        <f t="shared" si="95"/>
        <v>0.843637130876414+0.0576925553015125i</v>
      </c>
      <c r="AR146" s="147" t="str">
        <f t="shared" si="96"/>
        <v>0.982795224920093-0.0672089525088376i</v>
      </c>
    </row>
    <row r="147" spans="7:44">
      <c r="G147" s="585">
        <v>8366.0499999999993</v>
      </c>
      <c r="H147" s="573">
        <f t="shared" si="88"/>
        <v>8.3660499999999995</v>
      </c>
      <c r="I147" s="574">
        <f t="shared" si="66"/>
        <v>23.651461676501324</v>
      </c>
      <c r="J147" s="575">
        <f t="shared" si="67"/>
        <v>1.5285030344675163</v>
      </c>
      <c r="K147" s="575">
        <f t="shared" si="68"/>
        <v>1.0000668654072353</v>
      </c>
      <c r="L147" s="576">
        <f t="shared" si="69"/>
        <v>1.1563881842097442E-2</v>
      </c>
      <c r="M147" s="575">
        <f t="shared" si="70"/>
        <v>1.00015387915306</v>
      </c>
      <c r="N147" s="576">
        <f t="shared" si="71"/>
        <v>-1.7541916846370756E-2</v>
      </c>
      <c r="O147" s="574">
        <f t="shared" si="72"/>
        <v>346931.91970327019</v>
      </c>
      <c r="P147" s="577">
        <f t="shared" si="73"/>
        <v>1.5707934443849965</v>
      </c>
      <c r="Q147" s="586">
        <f t="shared" si="74"/>
        <v>14.02860760846276</v>
      </c>
      <c r="R147" s="587">
        <f t="shared" si="75"/>
        <v>1.4994529086999682</v>
      </c>
      <c r="S147" s="574">
        <f t="shared" si="76"/>
        <v>1.0004467248523723</v>
      </c>
      <c r="T147" s="577">
        <f t="shared" si="77"/>
        <v>2.9885066945381993E-2</v>
      </c>
      <c r="U147" s="578">
        <f t="shared" si="89"/>
        <v>0.9797474180740563</v>
      </c>
      <c r="V147" s="579">
        <f t="shared" si="90"/>
        <v>-0.2464136928462882</v>
      </c>
      <c r="W147" s="580">
        <f t="shared" si="78"/>
        <v>-5.8035295022243449</v>
      </c>
      <c r="X147" s="581">
        <f t="shared" si="79"/>
        <v>-107.83755357039298</v>
      </c>
      <c r="Y147" s="584">
        <f t="shared" si="80"/>
        <v>72.162446429607016</v>
      </c>
      <c r="AA147" s="147">
        <f t="shared" si="81"/>
        <v>8366.0499999999993</v>
      </c>
      <c r="AB147" s="147">
        <f t="shared" si="82"/>
        <v>69990792.602499992</v>
      </c>
      <c r="AD147" s="583">
        <f t="shared" si="83"/>
        <v>17.23697693750378</v>
      </c>
      <c r="AE147" s="584">
        <f t="shared" si="84"/>
        <v>-5.7997998160181155</v>
      </c>
      <c r="AG147" s="583">
        <f t="shared" si="85"/>
        <v>5.9422037371925818</v>
      </c>
      <c r="AH147" s="584">
        <f t="shared" si="86"/>
        <v>-73.800824493458833</v>
      </c>
      <c r="AJ147" s="147">
        <f t="shared" si="87"/>
        <v>0</v>
      </c>
      <c r="AK147" s="147">
        <f t="shared" si="65"/>
        <v>0</v>
      </c>
      <c r="AM147" s="147" t="str">
        <f t="shared" si="91"/>
        <v>0.062537493951986+0.348086267689747i</v>
      </c>
      <c r="AN147" s="147" t="str">
        <f t="shared" si="92"/>
        <v>0.355528931858104i</v>
      </c>
      <c r="AO147" s="147" t="str">
        <f t="shared" si="93"/>
        <v>0.979065939501859-0.175899872972773i</v>
      </c>
      <c r="AP147" s="147" t="str">
        <f t="shared" si="94"/>
        <v>0.156243751008002-0.0580143779482912i</v>
      </c>
      <c r="AQ147" s="147" t="str">
        <f t="shared" si="95"/>
        <v>0.843756248991998+0.0580143779482912i</v>
      </c>
      <c r="AR147" s="147" t="str">
        <f t="shared" si="96"/>
        <v>0.982606613324654-0.0675613502217126i</v>
      </c>
    </row>
    <row r="148" spans="7:44">
      <c r="G148" s="588">
        <v>8414.5</v>
      </c>
      <c r="H148" s="573">
        <f t="shared" si="88"/>
        <v>8.4145000000000003</v>
      </c>
      <c r="I148" s="574">
        <f t="shared" si="66"/>
        <v>23.788189368315614</v>
      </c>
      <c r="J148" s="575">
        <f t="shared" si="67"/>
        <v>1.5287462679796215</v>
      </c>
      <c r="K148" s="575">
        <f t="shared" si="68"/>
        <v>1.0000676420939336</v>
      </c>
      <c r="L148" s="576">
        <f t="shared" si="69"/>
        <v>1.1630845306869008E-2</v>
      </c>
      <c r="M148" s="575">
        <f t="shared" si="70"/>
        <v>1.0001556664843136</v>
      </c>
      <c r="N148" s="576">
        <f t="shared" si="71"/>
        <v>-1.7643485688318812E-2</v>
      </c>
      <c r="O148" s="574">
        <f t="shared" si="72"/>
        <v>348941.09386664291</v>
      </c>
      <c r="P148" s="577">
        <f t="shared" si="73"/>
        <v>1.570793460981676</v>
      </c>
      <c r="Q148" s="586">
        <f t="shared" ref="Q148:Q157" si="97">SQRT(1+(G148/Zero2)^2)</f>
        <v>14.109439336010725</v>
      </c>
      <c r="R148" s="587">
        <f t="shared" ref="R148:R157" si="98">ATAN(G148/Zero2)</f>
        <v>1.4998623177024064</v>
      </c>
      <c r="S148" s="574">
        <f t="shared" si="76"/>
        <v>1.0004519128656184</v>
      </c>
      <c r="T148" s="577">
        <f t="shared" si="77"/>
        <v>3.0058035315835892E-2</v>
      </c>
      <c r="U148" s="578">
        <f t="shared" si="89"/>
        <v>0.97952333872718578</v>
      </c>
      <c r="V148" s="579">
        <f t="shared" si="90"/>
        <v>-0.24781272872425211</v>
      </c>
      <c r="W148" s="580">
        <f t="shared" si="78"/>
        <v>-5.8558604976828263</v>
      </c>
      <c r="X148" s="581">
        <f t="shared" si="79"/>
        <v>-107.92008531802402</v>
      </c>
      <c r="Y148" s="584">
        <f t="shared" si="80"/>
        <v>72.079914681975978</v>
      </c>
      <c r="AA148" s="147">
        <f t="shared" si="81"/>
        <v>8414.5</v>
      </c>
      <c r="AB148" s="147">
        <f t="shared" si="82"/>
        <v>70803810.25</v>
      </c>
      <c r="AD148" s="583">
        <f t="shared" si="83"/>
        <v>17.236678492560749</v>
      </c>
      <c r="AE148" s="584">
        <f t="shared" si="84"/>
        <v>-5.7862537166042207</v>
      </c>
      <c r="AG148" s="583">
        <f t="shared" si="85"/>
        <v>5.8941447640478248</v>
      </c>
      <c r="AH148" s="584">
        <f t="shared" si="86"/>
        <v>-73.736584637931145</v>
      </c>
      <c r="AJ148" s="147">
        <f t="shared" si="87"/>
        <v>0</v>
      </c>
      <c r="AK148" s="147">
        <f t="shared" si="65"/>
        <v>0</v>
      </c>
      <c r="AM148" s="147" t="str">
        <f t="shared" si="91"/>
        <v>0.063256176850814+0.350015727920684i</v>
      </c>
      <c r="AN148" s="147" t="str">
        <f t="shared" si="92"/>
        <v>0.35758789358419i</v>
      </c>
      <c r="AO148" s="147" t="str">
        <f t="shared" si="93"/>
        <v>0.978824323196157-0.176896863640382i</v>
      </c>
      <c r="AP148" s="147" t="str">
        <f t="shared" si="94"/>
        <v>0.156123970524864-0.0583359546534473i</v>
      </c>
      <c r="AQ148" s="147" t="str">
        <f t="shared" si="95"/>
        <v>0.843876029475136+0.0583359546534473i</v>
      </c>
      <c r="AR148" s="147" t="str">
        <f t="shared" si="96"/>
        <v>0.982417079582884-0.0679131012181545i</v>
      </c>
    </row>
    <row r="149" spans="7:44">
      <c r="G149" s="588">
        <v>8462.9500000000007</v>
      </c>
      <c r="H149" s="573">
        <f t="shared" si="88"/>
        <v>8.4629500000000011</v>
      </c>
      <c r="I149" s="574">
        <f t="shared" si="66"/>
        <v>23.924918451413735</v>
      </c>
      <c r="J149" s="575">
        <f t="shared" si="67"/>
        <v>1.5289867213838992</v>
      </c>
      <c r="K149" s="575">
        <f t="shared" si="68"/>
        <v>1.0000684232650336</v>
      </c>
      <c r="L149" s="576">
        <f t="shared" si="69"/>
        <v>1.1697808667328157E-2</v>
      </c>
      <c r="M149" s="575">
        <f t="shared" si="70"/>
        <v>1.0001574641333657</v>
      </c>
      <c r="N149" s="576">
        <f t="shared" si="71"/>
        <v>-1.7745054166201892E-2</v>
      </c>
      <c r="O149" s="574">
        <f t="shared" si="72"/>
        <v>350950.26803001575</v>
      </c>
      <c r="P149" s="577">
        <f t="shared" si="73"/>
        <v>1.5707934773883252</v>
      </c>
      <c r="Q149" s="586">
        <f t="shared" si="97"/>
        <v>14.190273401579473</v>
      </c>
      <c r="R149" s="587">
        <f t="shared" si="98"/>
        <v>1.500267062422991</v>
      </c>
      <c r="S149" s="574">
        <f t="shared" si="76"/>
        <v>1.0004571308101309</v>
      </c>
      <c r="T149" s="577">
        <f t="shared" si="77"/>
        <v>3.0231001887210632E-2</v>
      </c>
      <c r="U149" s="578">
        <f t="shared" si="89"/>
        <v>0.97929811178898507</v>
      </c>
      <c r="V149" s="579">
        <f t="shared" si="90"/>
        <v>-0.24921129498676969</v>
      </c>
      <c r="W149" s="580">
        <f t="shared" si="78"/>
        <v>-5.9079114835959787</v>
      </c>
      <c r="X149" s="581">
        <f t="shared" si="79"/>
        <v>-108.00269798504135</v>
      </c>
      <c r="Y149" s="584">
        <f t="shared" si="80"/>
        <v>71.997302014958649</v>
      </c>
      <c r="AA149" s="147">
        <f t="shared" si="81"/>
        <v>8462.9500000000007</v>
      </c>
      <c r="AB149" s="147">
        <f t="shared" si="82"/>
        <v>71621522.702500015</v>
      </c>
      <c r="AD149" s="583">
        <f t="shared" si="83"/>
        <v>17.236384113267668</v>
      </c>
      <c r="AE149" s="584">
        <f t="shared" si="84"/>
        <v>-5.7729747468877237</v>
      </c>
      <c r="AG149" s="583">
        <f t="shared" si="85"/>
        <v>5.8463830010350399</v>
      </c>
      <c r="AH149" s="584">
        <f t="shared" si="86"/>
        <v>-73.672212386058575</v>
      </c>
      <c r="AJ149" s="147">
        <f t="shared" si="87"/>
        <v>0</v>
      </c>
      <c r="AK149" s="147">
        <f t="shared" si="65"/>
        <v>0</v>
      </c>
      <c r="AM149" s="147" t="str">
        <f t="shared" si="91"/>
        <v>0.063978830908238+0.351943704322283i</v>
      </c>
      <c r="AN149" s="147" t="str">
        <f t="shared" si="92"/>
        <v>0.359646855310277i</v>
      </c>
      <c r="AO149" s="147" t="str">
        <f t="shared" si="93"/>
        <v>0.978581347579563-0.177893480684105i</v>
      </c>
      <c r="AP149" s="147" t="str">
        <f t="shared" si="94"/>
        <v>0.15600352818196-0.0586572840537138i</v>
      </c>
      <c r="AQ149" s="147" t="str">
        <f t="shared" si="95"/>
        <v>0.84399647181804+0.0586572840537138i</v>
      </c>
      <c r="AR149" s="147" t="str">
        <f t="shared" si="96"/>
        <v>0.982226626475722-0.068264202704782i</v>
      </c>
    </row>
    <row r="150" spans="7:44">
      <c r="G150" s="588">
        <v>8511.4</v>
      </c>
      <c r="H150" s="573">
        <f t="shared" si="88"/>
        <v>8.5114000000000001</v>
      </c>
      <c r="I150" s="574">
        <f t="shared" si="66"/>
        <v>24.061648902077991</v>
      </c>
      <c r="J150" s="575">
        <f t="shared" si="67"/>
        <v>1.5292244420462382</v>
      </c>
      <c r="K150" s="575">
        <f t="shared" si="68"/>
        <v>1.0000692089205252</v>
      </c>
      <c r="L150" s="576">
        <f t="shared" si="69"/>
        <v>1.176477192287459E-2</v>
      </c>
      <c r="M150" s="575">
        <f t="shared" si="70"/>
        <v>1.0001592721001611</v>
      </c>
      <c r="N150" s="576">
        <f t="shared" si="71"/>
        <v>-1.7846622277926372E-2</v>
      </c>
      <c r="O150" s="574">
        <f t="shared" si="72"/>
        <v>352959.44219338859</v>
      </c>
      <c r="P150" s="577">
        <f t="shared" si="73"/>
        <v>1.5707934936081889</v>
      </c>
      <c r="Q150" s="586">
        <f t="shared" si="97"/>
        <v>14.271109765440123</v>
      </c>
      <c r="R150" s="587">
        <f t="shared" si="98"/>
        <v>1.5006672219881552</v>
      </c>
      <c r="S150" s="574">
        <f t="shared" si="76"/>
        <v>1.0004623786854419</v>
      </c>
      <c r="T150" s="577">
        <f t="shared" si="77"/>
        <v>3.0403966649185005E-2</v>
      </c>
      <c r="U150" s="578">
        <f t="shared" si="89"/>
        <v>0.97907173962409155</v>
      </c>
      <c r="V150" s="579">
        <f t="shared" si="90"/>
        <v>-0.25060938936485144</v>
      </c>
      <c r="W150" s="580">
        <f t="shared" si="78"/>
        <v>-5.9596857973226705</v>
      </c>
      <c r="X150" s="581">
        <f t="shared" si="79"/>
        <v>-108.08538962120527</v>
      </c>
      <c r="Y150" s="584">
        <f t="shared" si="80"/>
        <v>71.914610378794734</v>
      </c>
      <c r="AA150" s="147">
        <f t="shared" si="81"/>
        <v>8511.4</v>
      </c>
      <c r="AB150" s="147">
        <f t="shared" si="82"/>
        <v>72443929.959999993</v>
      </c>
      <c r="AD150" s="583">
        <f t="shared" si="83"/>
        <v>17.23609370183312</v>
      </c>
      <c r="AE150" s="584">
        <f t="shared" si="84"/>
        <v>-5.7599583728525028</v>
      </c>
      <c r="AG150" s="583">
        <f t="shared" si="85"/>
        <v>5.7989151810957473</v>
      </c>
      <c r="AH150" s="584">
        <f t="shared" si="86"/>
        <v>-73.607710581624545</v>
      </c>
      <c r="AJ150" s="147">
        <f t="shared" si="87"/>
        <v>0</v>
      </c>
      <c r="AK150" s="147">
        <f t="shared" si="65"/>
        <v>0</v>
      </c>
      <c r="AM150" s="147" t="str">
        <f t="shared" si="91"/>
        <v>0.064705453060695+0.353870188721231i</v>
      </c>
      <c r="AN150" s="147" t="str">
        <f t="shared" si="92"/>
        <v>0.361705817036363i</v>
      </c>
      <c r="AO150" s="147" t="str">
        <f t="shared" si="93"/>
        <v>0.978337013268591-0.17888972201459i</v>
      </c>
      <c r="AP150" s="147" t="str">
        <f t="shared" si="94"/>
        <v>0.155882424489884-0.0589783647868718i</v>
      </c>
      <c r="AQ150" s="147" t="str">
        <f t="shared" si="95"/>
        <v>0.844117575510116+0.0589783647868718i</v>
      </c>
      <c r="AR150" s="147" t="str">
        <f t="shared" si="96"/>
        <v>0.982035256793929-0.0686146519029179i</v>
      </c>
    </row>
    <row r="151" spans="7:44">
      <c r="G151" s="588">
        <v>8560.9500000000007</v>
      </c>
      <c r="H151" s="573">
        <f t="shared" si="88"/>
        <v>8.5609500000000001</v>
      </c>
      <c r="I151" s="574">
        <f t="shared" si="66"/>
        <v>24.20148504639608</v>
      </c>
      <c r="J151" s="575">
        <f t="shared" si="67"/>
        <v>1.5294647816049418</v>
      </c>
      <c r="K151" s="575">
        <f t="shared" si="68"/>
        <v>1.0000700170516517</v>
      </c>
      <c r="L151" s="576">
        <f t="shared" si="69"/>
        <v>1.1833255390874162E-2</v>
      </c>
      <c r="M151" s="575">
        <f t="shared" si="70"/>
        <v>1.0001611317864281</v>
      </c>
      <c r="N151" s="576">
        <f t="shared" si="71"/>
        <v>-1.7950495992707011E-2</v>
      </c>
      <c r="O151" s="574">
        <f t="shared" si="72"/>
        <v>355014.23228203942</v>
      </c>
      <c r="P151" s="577">
        <f t="shared" si="73"/>
        <v>1.5707935100064159</v>
      </c>
      <c r="Q151" s="586">
        <f t="shared" si="97"/>
        <v>14.353783760111474</v>
      </c>
      <c r="R151" s="587">
        <f t="shared" si="98"/>
        <v>1.5010718048144018</v>
      </c>
      <c r="S151" s="574">
        <f t="shared" si="76"/>
        <v>1.0004677766648973</v>
      </c>
      <c r="T151" s="577">
        <f t="shared" si="77"/>
        <v>3.0580856489456954E-2</v>
      </c>
      <c r="U151" s="578">
        <f t="shared" si="89"/>
        <v>0.97883904589715742</v>
      </c>
      <c r="V151" s="579">
        <f t="shared" si="90"/>
        <v>-0.25203873538997235</v>
      </c>
      <c r="W151" s="580">
        <f t="shared" si="78"/>
        <v>-6.0123528373052917</v>
      </c>
      <c r="X151" s="581">
        <f t="shared" si="79"/>
        <v>-108.17003836257355</v>
      </c>
      <c r="Y151" s="584">
        <f t="shared" si="80"/>
        <v>71.82996163742645</v>
      </c>
      <c r="AA151" s="147">
        <f t="shared" si="81"/>
        <v>8560.9500000000007</v>
      </c>
      <c r="AB151" s="147">
        <f t="shared" si="82"/>
        <v>73289864.902500018</v>
      </c>
      <c r="AD151" s="583">
        <f t="shared" si="83"/>
        <v>17.235800701925179</v>
      </c>
      <c r="AE151" s="584">
        <f t="shared" si="84"/>
        <v>-5.7469134652657079</v>
      </c>
      <c r="AG151" s="583">
        <f t="shared" si="85"/>
        <v>5.7506703425272496</v>
      </c>
      <c r="AH151" s="584">
        <f t="shared" si="86"/>
        <v>-73.541613240986024</v>
      </c>
      <c r="AJ151" s="147">
        <f t="shared" si="87"/>
        <v>0</v>
      </c>
      <c r="AK151" s="147">
        <f t="shared" ref="AK151:AK214" si="99">IF(AJ151&gt;0,Y151,0)</f>
        <v>0</v>
      </c>
      <c r="AM151" s="147" t="str">
        <f t="shared" si="91"/>
        <v>0.06545267335433+0.355838859962527i</v>
      </c>
      <c r="AN151" s="147" t="str">
        <f t="shared" si="92"/>
        <v>0.363811525055508i</v>
      </c>
      <c r="AO151" s="147" t="str">
        <f t="shared" si="93"/>
        <v>0.978085726966004-0.179908191045745i</v>
      </c>
      <c r="AP151" s="147" t="str">
        <f t="shared" si="94"/>
        <v>0.155757887774278-0.0593064766604212i</v>
      </c>
      <c r="AQ151" s="147" t="str">
        <f t="shared" si="95"/>
        <v>0.844242112225722+0.0593064766604212i</v>
      </c>
      <c r="AR151" s="147" t="str">
        <f t="shared" si="96"/>
        <v>0.981838597182722-0.0689723800849077i</v>
      </c>
    </row>
    <row r="152" spans="7:44">
      <c r="G152" s="588">
        <v>8610.5</v>
      </c>
      <c r="H152" s="573">
        <f t="shared" si="88"/>
        <v>8.6105</v>
      </c>
      <c r="I152" s="574">
        <f t="shared" si="66"/>
        <v>24.341322572605073</v>
      </c>
      <c r="J152" s="575">
        <f t="shared" si="67"/>
        <v>1.5297023597422958</v>
      </c>
      <c r="K152" s="575">
        <f t="shared" si="68"/>
        <v>1.0000708298730843</v>
      </c>
      <c r="L152" s="576">
        <f t="shared" si="69"/>
        <v>1.190173874787314E-2</v>
      </c>
      <c r="M152" s="575">
        <f t="shared" si="70"/>
        <v>1.0001630022641421</v>
      </c>
      <c r="N152" s="576">
        <f t="shared" si="71"/>
        <v>-1.8054369320084807E-2</v>
      </c>
      <c r="O152" s="574">
        <f t="shared" si="72"/>
        <v>357069.02237069031</v>
      </c>
      <c r="P152" s="577">
        <f t="shared" si="73"/>
        <v>1.5707935262159123</v>
      </c>
      <c r="Q152" s="586">
        <f t="shared" si="97"/>
        <v>14.436460077403822</v>
      </c>
      <c r="R152" s="587">
        <f t="shared" si="98"/>
        <v>1.5014717536860802</v>
      </c>
      <c r="S152" s="574">
        <f t="shared" si="76"/>
        <v>1.0004732059486667</v>
      </c>
      <c r="T152" s="577">
        <f t="shared" si="77"/>
        <v>3.0757744415401883E-2</v>
      </c>
      <c r="U152" s="578">
        <f t="shared" si="89"/>
        <v>0.97860515938293957</v>
      </c>
      <c r="V152" s="579">
        <f t="shared" si="90"/>
        <v>-0.25346758308215545</v>
      </c>
      <c r="W152" s="580">
        <f t="shared" si="78"/>
        <v>-6.0647373762984795</v>
      </c>
      <c r="X152" s="581">
        <f t="shared" si="79"/>
        <v>-108.25476570348526</v>
      </c>
      <c r="Y152" s="584">
        <f t="shared" si="80"/>
        <v>71.745234296514738</v>
      </c>
      <c r="AA152" s="147">
        <f t="shared" si="81"/>
        <v>8610.5</v>
      </c>
      <c r="AB152" s="147">
        <f t="shared" si="82"/>
        <v>74140710.25</v>
      </c>
      <c r="AD152" s="583">
        <f t="shared" si="83"/>
        <v>17.235511653897021</v>
      </c>
      <c r="AE152" s="584">
        <f t="shared" si="84"/>
        <v>-5.7341339432221154</v>
      </c>
      <c r="AG152" s="583">
        <f t="shared" si="85"/>
        <v>5.70272620863184</v>
      </c>
      <c r="AH152" s="584">
        <f t="shared" si="86"/>
        <v>-73.475386219096009</v>
      </c>
      <c r="AJ152" s="147">
        <f t="shared" si="87"/>
        <v>0</v>
      </c>
      <c r="AK152" s="147">
        <f t="shared" si="99"/>
        <v>0</v>
      </c>
      <c r="AM152" s="147" t="str">
        <f t="shared" si="91"/>
        <v>0.066204037435132+0.357805953412672i</v>
      </c>
      <c r="AN152" s="147" t="str">
        <f t="shared" si="92"/>
        <v>0.365917233074653i</v>
      </c>
      <c r="AO152" s="147" t="str">
        <f t="shared" si="93"/>
        <v>0.977833020888835-0.180926262692922i</v>
      </c>
      <c r="AP152" s="147" t="str">
        <f t="shared" si="94"/>
        <v>0.155632660427478-0.0596343255687787i</v>
      </c>
      <c r="AQ152" s="147" t="str">
        <f t="shared" si="95"/>
        <v>0.844367339572522+0.0596343255687787i</v>
      </c>
      <c r="AR152" s="147" t="str">
        <f t="shared" si="96"/>
        <v>0.981640984840089-0.0693294201919833i</v>
      </c>
    </row>
    <row r="153" spans="7:44">
      <c r="G153" s="588">
        <v>8660.0499999999993</v>
      </c>
      <c r="H153" s="573">
        <f t="shared" si="88"/>
        <v>8.66005</v>
      </c>
      <c r="I153" s="574">
        <f t="shared" si="66"/>
        <v>24.481161457024694</v>
      </c>
      <c r="J153" s="575">
        <f t="shared" si="67"/>
        <v>1.5299372237518074</v>
      </c>
      <c r="K153" s="575">
        <f t="shared" si="68"/>
        <v>1.0000716473848119</v>
      </c>
      <c r="L153" s="576">
        <f t="shared" si="69"/>
        <v>1.1970221993229429E-2</v>
      </c>
      <c r="M153" s="575">
        <f t="shared" si="70"/>
        <v>1.0001648835332426</v>
      </c>
      <c r="N153" s="576">
        <f t="shared" si="71"/>
        <v>-1.8158242257820416E-2</v>
      </c>
      <c r="O153" s="574">
        <f t="shared" si="72"/>
        <v>359123.81245934125</v>
      </c>
      <c r="P153" s="577">
        <f t="shared" si="73"/>
        <v>1.5707935422399177</v>
      </c>
      <c r="Q153" s="586">
        <f t="shared" si="97"/>
        <v>14.519138677640074</v>
      </c>
      <c r="R153" s="587">
        <f t="shared" si="98"/>
        <v>1.501867147637689</v>
      </c>
      <c r="S153" s="574">
        <f t="shared" si="76"/>
        <v>1.0004786665362404</v>
      </c>
      <c r="T153" s="577">
        <f t="shared" si="77"/>
        <v>3.0934630415981646E-2</v>
      </c>
      <c r="U153" s="578">
        <f t="shared" si="89"/>
        <v>0.97837008264025616</v>
      </c>
      <c r="V153" s="579">
        <f t="shared" si="90"/>
        <v>-0.25489593003683964</v>
      </c>
      <c r="W153" s="580">
        <f t="shared" si="78"/>
        <v>-6.1168428008575386</v>
      </c>
      <c r="X153" s="581">
        <f t="shared" si="79"/>
        <v>-108.33956968700593</v>
      </c>
      <c r="Y153" s="584">
        <f t="shared" si="80"/>
        <v>71.660430312994066</v>
      </c>
      <c r="AA153" s="147">
        <f t="shared" si="81"/>
        <v>8660.0499999999993</v>
      </c>
      <c r="AB153" s="147">
        <f t="shared" si="82"/>
        <v>74996466.002499983</v>
      </c>
      <c r="AD153" s="583">
        <f t="shared" si="83"/>
        <v>17.235226461757726</v>
      </c>
      <c r="AE153" s="584">
        <f t="shared" si="84"/>
        <v>-5.7216152779316776</v>
      </c>
      <c r="AG153" s="583">
        <f t="shared" si="85"/>
        <v>5.6550794590633666</v>
      </c>
      <c r="AH153" s="584">
        <f t="shared" si="86"/>
        <v>-73.409032363352566</v>
      </c>
      <c r="AJ153" s="147">
        <f t="shared" si="87"/>
        <v>0</v>
      </c>
      <c r="AK153" s="147">
        <f t="shared" si="99"/>
        <v>0</v>
      </c>
      <c r="AM153" s="147" t="str">
        <f t="shared" si="91"/>
        <v>0.066959541971549+0.359771460349566i</v>
      </c>
      <c r="AN153" s="147" t="str">
        <f t="shared" si="92"/>
        <v>0.368022941093798i</v>
      </c>
      <c r="AO153" s="147" t="str">
        <f t="shared" si="93"/>
        <v>0.977578895707676-0.181943934724664i</v>
      </c>
      <c r="AP153" s="147" t="str">
        <f t="shared" si="94"/>
        <v>0.155506743004742-0.059961910058261i</v>
      </c>
      <c r="AQ153" s="147" t="str">
        <f t="shared" si="95"/>
        <v>0.844493256995258+0.059961910058261i</v>
      </c>
      <c r="AR153" s="147" t="str">
        <f t="shared" si="96"/>
        <v>0.98144242278249-0.069685769299844i</v>
      </c>
    </row>
    <row r="154" spans="7:44">
      <c r="G154" s="588">
        <v>8709.6</v>
      </c>
      <c r="H154" s="573">
        <f t="shared" si="88"/>
        <v>8.7096</v>
      </c>
      <c r="I154" s="574">
        <f t="shared" si="66"/>
        <v>24.621001676512435</v>
      </c>
      <c r="J154" s="575">
        <f t="shared" si="67"/>
        <v>1.5301694198537426</v>
      </c>
      <c r="K154" s="575">
        <f t="shared" si="68"/>
        <v>1.0000724695868226</v>
      </c>
      <c r="L154" s="576">
        <f t="shared" si="69"/>
        <v>1.2038705126300942E-2</v>
      </c>
      <c r="M154" s="575">
        <f t="shared" si="70"/>
        <v>1.0001667755936687</v>
      </c>
      <c r="N154" s="576">
        <f t="shared" si="71"/>
        <v>-1.8262114803674564E-2</v>
      </c>
      <c r="O154" s="574">
        <f t="shared" si="72"/>
        <v>361178.60254799237</v>
      </c>
      <c r="P154" s="577">
        <f t="shared" si="73"/>
        <v>1.5707935580815982</v>
      </c>
      <c r="Q154" s="586">
        <f t="shared" si="97"/>
        <v>14.601819522040696</v>
      </c>
      <c r="R154" s="587">
        <f t="shared" si="98"/>
        <v>1.5022580639194087</v>
      </c>
      <c r="S154" s="574">
        <f t="shared" si="76"/>
        <v>1.0004841584271058</v>
      </c>
      <c r="T154" s="577">
        <f t="shared" si="77"/>
        <v>3.1111514480158812E-2</v>
      </c>
      <c r="U154" s="578">
        <f t="shared" si="89"/>
        <v>0.97813381823767975</v>
      </c>
      <c r="V154" s="579">
        <f t="shared" si="90"/>
        <v>-0.25632377385710581</v>
      </c>
      <c r="W154" s="580">
        <f t="shared" si="78"/>
        <v>-6.1686724385682883</v>
      </c>
      <c r="X154" s="581">
        <f t="shared" si="79"/>
        <v>-108.42444839737661</v>
      </c>
      <c r="Y154" s="584">
        <f t="shared" si="80"/>
        <v>71.575551602623392</v>
      </c>
      <c r="AA154" s="147">
        <f t="shared" si="81"/>
        <v>8709.6</v>
      </c>
      <c r="AB154" s="147">
        <f t="shared" si="82"/>
        <v>75857132.160000011</v>
      </c>
      <c r="AD154" s="583">
        <f t="shared" si="83"/>
        <v>17.234945032226516</v>
      </c>
      <c r="AE154" s="584">
        <f t="shared" si="84"/>
        <v>-5.7093530428340786</v>
      </c>
      <c r="AG154" s="583">
        <f t="shared" si="85"/>
        <v>5.6077268296102201</v>
      </c>
      <c r="AH154" s="584">
        <f t="shared" si="86"/>
        <v>-73.342554459223678</v>
      </c>
      <c r="AJ154" s="147">
        <f t="shared" si="87"/>
        <v>0</v>
      </c>
      <c r="AK154" s="147">
        <f t="shared" si="99"/>
        <v>0</v>
      </c>
      <c r="AM154" s="147" t="str">
        <f t="shared" si="91"/>
        <v>0.067719183613672+0.361735372058142i</v>
      </c>
      <c r="AN154" s="147" t="str">
        <f t="shared" si="92"/>
        <v>0.370128649112944i</v>
      </c>
      <c r="AO154" s="147" t="str">
        <f t="shared" si="93"/>
        <v>0.977323352096852-0.182961204910695i</v>
      </c>
      <c r="AP154" s="147" t="str">
        <f t="shared" si="94"/>
        <v>0.155380136064388-0.060289228676357i</v>
      </c>
      <c r="AQ154" s="147" t="str">
        <f t="shared" si="95"/>
        <v>0.844619863935612+0.060289228676357i</v>
      </c>
      <c r="AR154" s="147" t="str">
        <f t="shared" si="96"/>
        <v>0.981242914036717-0.0700414245004358i</v>
      </c>
    </row>
    <row r="155" spans="7:44">
      <c r="G155" s="588">
        <v>8760.3250000000007</v>
      </c>
      <c r="H155" s="573">
        <f t="shared" si="88"/>
        <v>8.7603249999999999</v>
      </c>
      <c r="I155" s="574">
        <f t="shared" si="66"/>
        <v>24.764159345286942</v>
      </c>
      <c r="J155" s="575">
        <f t="shared" si="67"/>
        <v>1.5304044057245736</v>
      </c>
      <c r="K155" s="575">
        <f t="shared" si="68"/>
        <v>1.0000733161444795</v>
      </c>
      <c r="L155" s="576">
        <f t="shared" si="69"/>
        <v>1.2108812111743096E-2</v>
      </c>
      <c r="M155" s="575">
        <f t="shared" si="70"/>
        <v>1.0001687236994643</v>
      </c>
      <c r="N155" s="576">
        <f t="shared" si="71"/>
        <v>-1.8368450114647997E-2</v>
      </c>
      <c r="O155" s="574">
        <f t="shared" si="72"/>
        <v>363282.11873864487</v>
      </c>
      <c r="P155" s="577">
        <f t="shared" si="73"/>
        <v>1.5707935741133072</v>
      </c>
      <c r="Q155" s="586">
        <f t="shared" si="97"/>
        <v>14.686463297144872</v>
      </c>
      <c r="R155" s="587">
        <f t="shared" si="98"/>
        <v>1.5026536907942771</v>
      </c>
      <c r="S155" s="574">
        <f t="shared" si="76"/>
        <v>1.0004898129745072</v>
      </c>
      <c r="T155" s="577">
        <f t="shared" si="77"/>
        <v>3.1292591053232441E-2</v>
      </c>
      <c r="U155" s="578">
        <f t="shared" si="89"/>
        <v>0.97789072365075902</v>
      </c>
      <c r="V155" s="579">
        <f t="shared" si="90"/>
        <v>-0.25778495307182087</v>
      </c>
      <c r="W155" s="580">
        <f t="shared" si="78"/>
        <v>-6.2214488737525286</v>
      </c>
      <c r="X155" s="581">
        <f t="shared" si="79"/>
        <v>-108.51141532015014</v>
      </c>
      <c r="Y155" s="584">
        <f t="shared" si="80"/>
        <v>71.488584679849865</v>
      </c>
      <c r="AA155" s="147">
        <f t="shared" si="81"/>
        <v>8760.3250000000007</v>
      </c>
      <c r="AB155" s="147">
        <f t="shared" si="82"/>
        <v>76743294.105625018</v>
      </c>
      <c r="AD155" s="583">
        <f t="shared" si="83"/>
        <v>17.234660731902149</v>
      </c>
      <c r="AE155" s="584">
        <f t="shared" si="84"/>
        <v>-5.6970611345832047</v>
      </c>
      <c r="AG155" s="583">
        <f t="shared" si="85"/>
        <v>5.5595526216868576</v>
      </c>
      <c r="AH155" s="584">
        <f t="shared" si="86"/>
        <v>-73.274374485825959</v>
      </c>
      <c r="AJ155" s="147">
        <f t="shared" si="87"/>
        <v>0</v>
      </c>
      <c r="AK155" s="147">
        <f t="shared" si="99"/>
        <v>0</v>
      </c>
      <c r="AM155" s="147" t="str">
        <f t="shared" si="91"/>
        <v>0.068501120867297+0.363744193320689i</v>
      </c>
      <c r="AN155" s="147" t="str">
        <f t="shared" si="92"/>
        <v>0.372284290672401i</v>
      </c>
      <c r="AO155" s="147" t="str">
        <f t="shared" si="93"/>
        <v>0.977060280098612-0.184002179473041i</v>
      </c>
      <c r="AP155" s="147" t="str">
        <f t="shared" si="94"/>
        <v>0.155249813188784-0.0606240322201148i</v>
      </c>
      <c r="AQ155" s="147" t="str">
        <f t="shared" si="95"/>
        <v>0.844750186811216+0.0606240322201148i</v>
      </c>
      <c r="AR155" s="147" t="str">
        <f t="shared" si="96"/>
        <v>0.981037696798772-0.0704047916986934i</v>
      </c>
    </row>
    <row r="156" spans="7:44">
      <c r="G156" s="588">
        <v>8811.0499999999993</v>
      </c>
      <c r="H156" s="573">
        <f t="shared" si="88"/>
        <v>8.8110499999999998</v>
      </c>
      <c r="I156" s="574">
        <f t="shared" si="66"/>
        <v>24.907318365778661</v>
      </c>
      <c r="J156" s="575">
        <f t="shared" si="67"/>
        <v>1.5306366903661197</v>
      </c>
      <c r="K156" s="575">
        <f t="shared" si="68"/>
        <v>1.0000741676174776</v>
      </c>
      <c r="L156" s="576">
        <f t="shared" si="69"/>
        <v>1.2178918978150266E-2</v>
      </c>
      <c r="M156" s="575">
        <f t="shared" si="70"/>
        <v>1.0001706831143222</v>
      </c>
      <c r="N156" s="576">
        <f t="shared" si="71"/>
        <v>-1.8474785010184912E-2</v>
      </c>
      <c r="O156" s="574">
        <f t="shared" si="72"/>
        <v>365385.63492929738</v>
      </c>
      <c r="P156" s="577">
        <f t="shared" si="73"/>
        <v>1.5707935899604279</v>
      </c>
      <c r="Q156" s="586">
        <f t="shared" si="97"/>
        <v>14.771109344638084</v>
      </c>
      <c r="R156" s="587">
        <f t="shared" si="98"/>
        <v>1.5030447834391607</v>
      </c>
      <c r="S156" s="574">
        <f t="shared" si="76"/>
        <v>1.000495500326323</v>
      </c>
      <c r="T156" s="577">
        <f t="shared" si="77"/>
        <v>3.1473665573570939E-2</v>
      </c>
      <c r="U156" s="578">
        <f t="shared" si="89"/>
        <v>0.97764638988772035</v>
      </c>
      <c r="V156" s="579">
        <f t="shared" si="90"/>
        <v>-0.25924559994828389</v>
      </c>
      <c r="W156" s="580">
        <f t="shared" si="78"/>
        <v>-6.2739431610290648</v>
      </c>
      <c r="X156" s="581">
        <f t="shared" si="79"/>
        <v>-108.59845662022086</v>
      </c>
      <c r="Y156" s="584">
        <f t="shared" si="80"/>
        <v>71.401543379779142</v>
      </c>
      <c r="AA156" s="147">
        <f t="shared" si="81"/>
        <v>8811.0499999999993</v>
      </c>
      <c r="AB156" s="147">
        <f t="shared" si="82"/>
        <v>77634602.102499992</v>
      </c>
      <c r="AD156" s="583">
        <f t="shared" si="83"/>
        <v>17.23438018522938</v>
      </c>
      <c r="AE156" s="584">
        <f t="shared" si="84"/>
        <v>-5.685028890384908</v>
      </c>
      <c r="AG156" s="583">
        <f t="shared" si="85"/>
        <v>5.5116799004316039</v>
      </c>
      <c r="AH156" s="584">
        <f t="shared" si="86"/>
        <v>-73.20607022714313</v>
      </c>
      <c r="AJ156" s="147">
        <f t="shared" si="87"/>
        <v>0</v>
      </c>
      <c r="AK156" s="147">
        <f t="shared" si="99"/>
        <v>0</v>
      </c>
      <c r="AM156" s="147" t="str">
        <f t="shared" si="91"/>
        <v>0.06928738659942+0.365751324340818i</v>
      </c>
      <c r="AN156" s="147" t="str">
        <f t="shared" si="92"/>
        <v>0.374439932231859i</v>
      </c>
      <c r="AO156" s="147" t="str">
        <f t="shared" si="93"/>
        <v>0.976795723043607-0.185042728179205i</v>
      </c>
      <c r="AP156" s="147" t="str">
        <f t="shared" si="94"/>
        <v>0.155118768900097-0.060958554056803i</v>
      </c>
      <c r="AQ156" s="147" t="str">
        <f t="shared" si="95"/>
        <v>0.844881231099903+0.060958554056803i</v>
      </c>
      <c r="AR156" s="147" t="str">
        <f t="shared" si="96"/>
        <v>0.980831493893925-0.0707674255744921i</v>
      </c>
    </row>
    <row r="157" spans="7:44">
      <c r="G157" s="588">
        <v>8861.7749999999996</v>
      </c>
      <c r="H157" s="573">
        <f t="shared" si="88"/>
        <v>8.8617749999999997</v>
      </c>
      <c r="I157" s="574">
        <f t="shared" si="66"/>
        <v>25.050478714813128</v>
      </c>
      <c r="J157" s="575">
        <f t="shared" si="67"/>
        <v>1.5308663200646586</v>
      </c>
      <c r="K157" s="575">
        <f t="shared" si="68"/>
        <v>1.0000750240058047</v>
      </c>
      <c r="L157" s="576">
        <f t="shared" si="69"/>
        <v>1.2249025724833613E-2</v>
      </c>
      <c r="M157" s="575">
        <f t="shared" si="70"/>
        <v>1.0001726538381754</v>
      </c>
      <c r="N157" s="576">
        <f t="shared" si="71"/>
        <v>-1.8581119487883078E-2</v>
      </c>
      <c r="O157" s="574">
        <f t="shared" si="72"/>
        <v>367489.15111995011</v>
      </c>
      <c r="P157" s="577">
        <f t="shared" si="73"/>
        <v>1.5707936056261302</v>
      </c>
      <c r="Q157" s="586">
        <f t="shared" si="97"/>
        <v>14.855757625677068</v>
      </c>
      <c r="R157" s="587">
        <f t="shared" si="98"/>
        <v>1.5034314192416742</v>
      </c>
      <c r="S157" s="574">
        <f t="shared" si="76"/>
        <v>1.0005012204819936</v>
      </c>
      <c r="T157" s="577">
        <f t="shared" si="77"/>
        <v>3.1654738029335279E-2</v>
      </c>
      <c r="U157" s="578">
        <f t="shared" si="89"/>
        <v>0.97740081973557869</v>
      </c>
      <c r="V157" s="579">
        <f t="shared" si="90"/>
        <v>-0.26070571194001646</v>
      </c>
      <c r="W157" s="580">
        <f t="shared" si="78"/>
        <v>-6.3261586870693485</v>
      </c>
      <c r="X157" s="581">
        <f t="shared" si="79"/>
        <v>-108.68557036911606</v>
      </c>
      <c r="Y157" s="584">
        <f t="shared" si="80"/>
        <v>71.314429630883936</v>
      </c>
      <c r="AA157" s="147">
        <f t="shared" si="81"/>
        <v>8861.7749999999996</v>
      </c>
      <c r="AB157" s="147">
        <f t="shared" si="82"/>
        <v>78531056.15062499</v>
      </c>
      <c r="AD157" s="583">
        <f t="shared" si="83"/>
        <v>17.234103300374684</v>
      </c>
      <c r="AE157" s="584">
        <f t="shared" si="84"/>
        <v>-5.6732518757587584</v>
      </c>
      <c r="AG157" s="583">
        <f t="shared" si="85"/>
        <v>5.4641053385186265</v>
      </c>
      <c r="AH157" s="584">
        <f t="shared" si="86"/>
        <v>-73.137644480987845</v>
      </c>
      <c r="AJ157" s="147">
        <f t="shared" si="87"/>
        <v>0</v>
      </c>
      <c r="AK157" s="147">
        <f t="shared" si="99"/>
        <v>0</v>
      </c>
      <c r="AM157" s="147" t="str">
        <f t="shared" si="91"/>
        <v>0.0700779771564281+0.367756755791814i</v>
      </c>
      <c r="AN157" s="147" t="str">
        <f t="shared" si="92"/>
        <v>0.376595573791317i</v>
      </c>
      <c r="AO157" s="147" t="str">
        <f t="shared" si="93"/>
        <v>0.976529681667473-0.186082848640331i</v>
      </c>
      <c r="AP157" s="147" t="str">
        <f t="shared" si="94"/>
        <v>0.154987003807262-0.061292792631969i</v>
      </c>
      <c r="AQ157" s="147" t="str">
        <f t="shared" si="95"/>
        <v>0.845012996192738+0.061292792631969i</v>
      </c>
      <c r="AR157" s="147" t="str">
        <f t="shared" si="96"/>
        <v>0.98062430860242-0.0711293230611175i</v>
      </c>
    </row>
    <row r="158" spans="7:44">
      <c r="G158" s="585">
        <v>8912.5</v>
      </c>
      <c r="H158" s="573">
        <f t="shared" si="88"/>
        <v>8.9124999999999996</v>
      </c>
      <c r="I158" s="574">
        <f t="shared" si="66"/>
        <v>25.193640369742411</v>
      </c>
      <c r="J158" s="575">
        <f t="shared" si="67"/>
        <v>1.5310933400555242</v>
      </c>
      <c r="K158" s="575">
        <f t="shared" si="68"/>
        <v>1.000075885309448</v>
      </c>
      <c r="L158" s="576">
        <f t="shared" si="69"/>
        <v>1.2319132351104304E-2</v>
      </c>
      <c r="M158" s="575">
        <f t="shared" si="70"/>
        <v>1.0001746358709573</v>
      </c>
      <c r="N158" s="576">
        <f t="shared" si="71"/>
        <v>-1.8687453545340321E-2</v>
      </c>
      <c r="O158" s="574">
        <f t="shared" si="72"/>
        <v>369592.6673106029</v>
      </c>
      <c r="P158" s="577">
        <f t="shared" si="73"/>
        <v>1.5707936211135116</v>
      </c>
      <c r="Q158" s="586">
        <f t="shared" ref="Q158:Q214" si="100">SQRT(1+(G158/Zero2)^2)</f>
        <v>14.940408102297837</v>
      </c>
      <c r="R158" s="587">
        <f t="shared" ref="R158:R214" si="101">ATAN(G158/Zero2)</f>
        <v>1.5038136738409575</v>
      </c>
      <c r="S158" s="574">
        <f t="shared" si="76"/>
        <v>1.0005069734409562</v>
      </c>
      <c r="T158" s="577">
        <f t="shared" si="77"/>
        <v>3.1835808408687237E-2</v>
      </c>
      <c r="U158" s="578">
        <f t="shared" si="89"/>
        <v>0.97715401599174678</v>
      </c>
      <c r="V158" s="579">
        <f t="shared" si="90"/>
        <v>-0.26216528650905546</v>
      </c>
      <c r="W158" s="580">
        <f t="shared" si="78"/>
        <v>-6.3780987795505055</v>
      </c>
      <c r="X158" s="581">
        <f t="shared" si="79"/>
        <v>-108.77275467881243</v>
      </c>
      <c r="Y158" s="584">
        <f t="shared" si="80"/>
        <v>71.227245321187567</v>
      </c>
      <c r="AA158" s="147">
        <f t="shared" si="81"/>
        <v>8912.5</v>
      </c>
      <c r="AB158" s="147">
        <f t="shared" si="82"/>
        <v>79432656.25</v>
      </c>
      <c r="AD158" s="583">
        <f t="shared" si="83"/>
        <v>17.233829988098986</v>
      </c>
      <c r="AE158" s="584">
        <f t="shared" si="84"/>
        <v>-5.6617257564004744</v>
      </c>
      <c r="AG158" s="583">
        <f t="shared" si="85"/>
        <v>5.4168256648878064</v>
      </c>
      <c r="AH158" s="584">
        <f t="shared" si="86"/>
        <v>-73.069099984470256</v>
      </c>
      <c r="AJ158" s="147">
        <f t="shared" si="87"/>
        <v>0</v>
      </c>
      <c r="AK158" s="147">
        <f t="shared" si="99"/>
        <v>0</v>
      </c>
      <c r="AM158" s="147" t="str">
        <f t="shared" si="91"/>
        <v>0.070872888864616+0.36976047835486i</v>
      </c>
      <c r="AN158" s="147" t="str">
        <f t="shared" si="92"/>
        <v>0.378751215350775i</v>
      </c>
      <c r="AO158" s="147" t="str">
        <f t="shared" si="93"/>
        <v>0.976262156709944-0.187122538468895i</v>
      </c>
      <c r="AP158" s="147" t="str">
        <f t="shared" si="94"/>
        <v>0.154854518522564-0.0616267463924767i</v>
      </c>
      <c r="AQ158" s="147" t="str">
        <f t="shared" si="95"/>
        <v>0.845145481477436+0.0616267463924767i</v>
      </c>
      <c r="AR158" s="147" t="str">
        <f t="shared" si="96"/>
        <v>0.980416144215389-0.0714904811098665i</v>
      </c>
    </row>
    <row r="159" spans="7:44">
      <c r="G159" s="585">
        <v>8964.4</v>
      </c>
      <c r="H159" s="573">
        <f t="shared" si="88"/>
        <v>8.9643999999999995</v>
      </c>
      <c r="I159" s="574">
        <f t="shared" si="66"/>
        <v>25.340119566997345</v>
      </c>
      <c r="J159" s="575">
        <f t="shared" si="67"/>
        <v>1.5313229637890411</v>
      </c>
      <c r="K159" s="575">
        <f t="shared" si="68"/>
        <v>1.0000767716518428</v>
      </c>
      <c r="L159" s="576">
        <f t="shared" si="69"/>
        <v>1.2390862810349393E-2</v>
      </c>
      <c r="M159" s="575">
        <f t="shared" si="70"/>
        <v>1.0001766755206198</v>
      </c>
      <c r="N159" s="576">
        <f t="shared" si="71"/>
        <v>-1.8796250300230979E-2</v>
      </c>
      <c r="O159" s="574">
        <f t="shared" si="72"/>
        <v>371744.90960325702</v>
      </c>
      <c r="P159" s="577">
        <f t="shared" si="73"/>
        <v>1.5707936367782369</v>
      </c>
      <c r="Q159" s="586">
        <f t="shared" si="100"/>
        <v>15.027021666497411</v>
      </c>
      <c r="R159" s="587">
        <f t="shared" si="101"/>
        <v>1.5042003255325413</v>
      </c>
      <c r="S159" s="574">
        <f t="shared" si="76"/>
        <v>1.000512893613444</v>
      </c>
      <c r="T159" s="577">
        <f t="shared" si="77"/>
        <v>3.2021070962618019E-2</v>
      </c>
      <c r="U159" s="578">
        <f t="shared" si="89"/>
        <v>0.97690022139961585</v>
      </c>
      <c r="V159" s="579">
        <f t="shared" si="90"/>
        <v>-0.26365811196049521</v>
      </c>
      <c r="W159" s="580">
        <f t="shared" si="78"/>
        <v>-6.4309603511905875</v>
      </c>
      <c r="X159" s="581">
        <f t="shared" si="79"/>
        <v>-108.86202963983624</v>
      </c>
      <c r="Y159" s="584">
        <f t="shared" si="80"/>
        <v>71.137970360163763</v>
      </c>
      <c r="AA159" s="147">
        <f t="shared" si="81"/>
        <v>8964.4</v>
      </c>
      <c r="AB159" s="147">
        <f t="shared" si="82"/>
        <v>80360467.359999999</v>
      </c>
      <c r="AD159" s="583">
        <f t="shared" si="83"/>
        <v>17.233553952008489</v>
      </c>
      <c r="AE159" s="584">
        <f t="shared" si="84"/>
        <v>-5.650187906282647</v>
      </c>
      <c r="AG159" s="583">
        <f t="shared" si="85"/>
        <v>5.3687526588027552</v>
      </c>
      <c r="AH159" s="584">
        <f t="shared" si="86"/>
        <v>-72.998847599581978</v>
      </c>
      <c r="AJ159" s="147">
        <f t="shared" si="87"/>
        <v>0</v>
      </c>
      <c r="AK159" s="147">
        <f t="shared" si="99"/>
        <v>0</v>
      </c>
      <c r="AM159" s="147" t="str">
        <f t="shared" si="91"/>
        <v>0.071690682604432+0.371808836953311i</v>
      </c>
      <c r="AN159" s="147" t="str">
        <f t="shared" si="92"/>
        <v>0.380956790450545i</v>
      </c>
      <c r="AO159" s="147" t="str">
        <f t="shared" si="93"/>
        <v>0.975986900019777-0.188185863597931i</v>
      </c>
      <c r="AP159" s="147" t="str">
        <f t="shared" si="94"/>
        <v>0.154718219565928-0.0619681394922185i</v>
      </c>
      <c r="AQ159" s="147" t="str">
        <f t="shared" si="95"/>
        <v>0.845281780434072+0.0619681394922185i</v>
      </c>
      <c r="AR159" s="147" t="str">
        <f t="shared" si="96"/>
        <v>0.980202147949403-0.0718592365773088i</v>
      </c>
    </row>
    <row r="160" spans="7:44">
      <c r="G160" s="585">
        <v>9016.2999999999993</v>
      </c>
      <c r="H160" s="573">
        <f t="shared" si="88"/>
        <v>9.0162999999999993</v>
      </c>
      <c r="I160" s="574">
        <f t="shared" si="66"/>
        <v>25.486600085004163</v>
      </c>
      <c r="J160" s="575">
        <f t="shared" si="67"/>
        <v>1.5315499480765538</v>
      </c>
      <c r="K160" s="575">
        <f t="shared" si="68"/>
        <v>1.0000776631398822</v>
      </c>
      <c r="L160" s="576">
        <f t="shared" si="69"/>
        <v>1.2462593142079793E-2</v>
      </c>
      <c r="M160" s="575">
        <f t="shared" si="70"/>
        <v>1.000178727009059</v>
      </c>
      <c r="N160" s="576">
        <f t="shared" si="71"/>
        <v>-1.8905046610098623E-2</v>
      </c>
      <c r="O160" s="574">
        <f t="shared" si="72"/>
        <v>373897.15189591126</v>
      </c>
      <c r="P160" s="577">
        <f t="shared" si="73"/>
        <v>1.5707936522626225</v>
      </c>
      <c r="Q160" s="586">
        <f t="shared" si="100"/>
        <v>15.113637451480521</v>
      </c>
      <c r="R160" s="587">
        <f t="shared" si="101"/>
        <v>1.5045825455031456</v>
      </c>
      <c r="S160" s="574">
        <f t="shared" si="76"/>
        <v>1.000518848125342</v>
      </c>
      <c r="T160" s="577">
        <f t="shared" si="77"/>
        <v>3.2206331317755257E-2</v>
      </c>
      <c r="U160" s="578">
        <f t="shared" si="89"/>
        <v>0.9766451413615953</v>
      </c>
      <c r="V160" s="579">
        <f t="shared" si="90"/>
        <v>-0.26515036945503351</v>
      </c>
      <c r="W160" s="580">
        <f t="shared" si="78"/>
        <v>-6.483540445765291</v>
      </c>
      <c r="X160" s="581">
        <f t="shared" si="79"/>
        <v>-108.95137459461232</v>
      </c>
      <c r="Y160" s="584">
        <f t="shared" si="80"/>
        <v>71.048625405387682</v>
      </c>
      <c r="AA160" s="147">
        <f t="shared" si="81"/>
        <v>9016.2999999999993</v>
      </c>
      <c r="AB160" s="147">
        <f t="shared" si="82"/>
        <v>81293665.689999983</v>
      </c>
      <c r="AD160" s="583">
        <f t="shared" si="83"/>
        <v>17.233281474862927</v>
      </c>
      <c r="AE160" s="584">
        <f t="shared" si="84"/>
        <v>-5.638903838758905</v>
      </c>
      <c r="AG160" s="583">
        <f t="shared" si="85"/>
        <v>5.3209816077906442</v>
      </c>
      <c r="AH160" s="584">
        <f t="shared" si="86"/>
        <v>-72.92847650891882</v>
      </c>
      <c r="AJ160" s="147">
        <f t="shared" si="87"/>
        <v>0</v>
      </c>
      <c r="AK160" s="147">
        <f t="shared" si="99"/>
        <v>0</v>
      </c>
      <c r="AM160" s="147" t="str">
        <f t="shared" si="91"/>
        <v>0.072512992160202+0.373855386865535i</v>
      </c>
      <c r="AN160" s="147" t="str">
        <f t="shared" si="92"/>
        <v>0.383162365550316i</v>
      </c>
      <c r="AO160" s="147" t="str">
        <f t="shared" si="93"/>
        <v>0.975710091800342-0.18924873286043i</v>
      </c>
      <c r="AP160" s="147" t="str">
        <f t="shared" si="94"/>
        <v>0.1545811679733-0.0623092311442558i</v>
      </c>
      <c r="AQ160" s="147" t="str">
        <f t="shared" si="95"/>
        <v>0.8454188320267+0.0623092311442558i</v>
      </c>
      <c r="AR160" s="147" t="str">
        <f t="shared" si="96"/>
        <v>0.979987133707718-0.0722272115540743i</v>
      </c>
    </row>
    <row r="161" spans="7:44">
      <c r="G161" s="585">
        <v>9068.2000000000007</v>
      </c>
      <c r="H161" s="573">
        <f t="shared" si="88"/>
        <v>9.0682000000000009</v>
      </c>
      <c r="I161" s="574">
        <f t="shared" si="66"/>
        <v>25.633081901120512</v>
      </c>
      <c r="J161" s="575">
        <f t="shared" si="67"/>
        <v>1.5317743381442979</v>
      </c>
      <c r="K161" s="575">
        <f t="shared" si="68"/>
        <v>1.0000785597735524</v>
      </c>
      <c r="L161" s="576">
        <f t="shared" si="69"/>
        <v>1.2534323345557707E-2</v>
      </c>
      <c r="M161" s="575">
        <f t="shared" si="70"/>
        <v>1.0001807903362021</v>
      </c>
      <c r="N161" s="576">
        <f t="shared" si="71"/>
        <v>-1.9013842472370441E-2</v>
      </c>
      <c r="O161" s="574">
        <f t="shared" si="72"/>
        <v>376049.39418856561</v>
      </c>
      <c r="P161" s="577">
        <f t="shared" si="73"/>
        <v>1.5707936675697642</v>
      </c>
      <c r="Q161" s="586">
        <f t="shared" si="100"/>
        <v>15.200255419283017</v>
      </c>
      <c r="R161" s="587">
        <f t="shared" si="101"/>
        <v>1.5049604094020101</v>
      </c>
      <c r="S161" s="574">
        <f t="shared" si="76"/>
        <v>1.0005248369760376</v>
      </c>
      <c r="T161" s="577">
        <f t="shared" si="77"/>
        <v>3.2391589461421552E-2</v>
      </c>
      <c r="U161" s="578">
        <f t="shared" si="89"/>
        <v>0.97638877890728826</v>
      </c>
      <c r="V161" s="579">
        <f t="shared" si="90"/>
        <v>-0.26664205630203525</v>
      </c>
      <c r="W161" s="580">
        <f t="shared" si="78"/>
        <v>-6.5358424445645911</v>
      </c>
      <c r="X161" s="581">
        <f t="shared" si="79"/>
        <v>-109.04078764521485</v>
      </c>
      <c r="Y161" s="584">
        <f t="shared" si="80"/>
        <v>70.959212354785151</v>
      </c>
      <c r="AA161" s="147">
        <f t="shared" si="81"/>
        <v>9068.2000000000007</v>
      </c>
      <c r="AB161" s="147">
        <f t="shared" si="82"/>
        <v>82232251.24000001</v>
      </c>
      <c r="AD161" s="583">
        <f t="shared" si="83"/>
        <v>17.233012468951877</v>
      </c>
      <c r="AE161" s="584">
        <f t="shared" si="84"/>
        <v>-5.6278692188981303</v>
      </c>
      <c r="AG161" s="583">
        <f t="shared" si="85"/>
        <v>5.2735091828989553</v>
      </c>
      <c r="AH161" s="584">
        <f t="shared" si="86"/>
        <v>-72.857989457810049</v>
      </c>
      <c r="AJ161" s="147">
        <f t="shared" si="87"/>
        <v>0</v>
      </c>
      <c r="AK161" s="147">
        <f t="shared" si="99"/>
        <v>0</v>
      </c>
      <c r="AM161" s="147" t="str">
        <f t="shared" si="91"/>
        <v>0.073339813531753+0.375900118135966i</v>
      </c>
      <c r="AN161" s="147" t="str">
        <f t="shared" si="92"/>
        <v>0.385367940650087i</v>
      </c>
      <c r="AO161" s="147" t="str">
        <f t="shared" si="93"/>
        <v>0.975431732857307-0.190311143703428i</v>
      </c>
      <c r="AP161" s="147" t="str">
        <f t="shared" si="94"/>
        <v>0.154443364411374-0.0626500196893277i</v>
      </c>
      <c r="AQ161" s="147" t="str">
        <f t="shared" si="95"/>
        <v>0.845556635588626+0.0626500196893277i</v>
      </c>
      <c r="AR161" s="147" t="str">
        <f t="shared" si="96"/>
        <v>0.979771105050142-0.0725944028334599i</v>
      </c>
    </row>
    <row r="162" spans="7:44">
      <c r="G162" s="585">
        <v>9120.1</v>
      </c>
      <c r="H162" s="573">
        <f t="shared" si="88"/>
        <v>9.1201000000000008</v>
      </c>
      <c r="I162" s="574">
        <f t="shared" si="66"/>
        <v>25.779564993218465</v>
      </c>
      <c r="J162" s="575">
        <f t="shared" si="67"/>
        <v>1.53199617819164</v>
      </c>
      <c r="K162" s="575">
        <f t="shared" si="68"/>
        <v>1.0000794615528397</v>
      </c>
      <c r="L162" s="576">
        <f t="shared" si="69"/>
        <v>1.2606053420045341E-2</v>
      </c>
      <c r="M162" s="575">
        <f t="shared" si="70"/>
        <v>1.0001828655019758</v>
      </c>
      <c r="N162" s="576">
        <f t="shared" si="71"/>
        <v>-1.9122637884473666E-2</v>
      </c>
      <c r="O162" s="574">
        <f t="shared" si="72"/>
        <v>378201.63648122014</v>
      </c>
      <c r="P162" s="577">
        <f t="shared" si="73"/>
        <v>1.5707936827026887</v>
      </c>
      <c r="Q162" s="586">
        <f t="shared" si="100"/>
        <v>15.28687553280025</v>
      </c>
      <c r="R162" s="587">
        <f t="shared" si="101"/>
        <v>1.5053339911688091</v>
      </c>
      <c r="S162" s="574">
        <f t="shared" si="76"/>
        <v>1.0005308601649139</v>
      </c>
      <c r="T162" s="577">
        <f t="shared" si="77"/>
        <v>3.257684538094037E-2</v>
      </c>
      <c r="U162" s="578">
        <f t="shared" si="89"/>
        <v>0.97613113707732957</v>
      </c>
      <c r="V162" s="579">
        <f t="shared" si="90"/>
        <v>-0.2681331698203076</v>
      </c>
      <c r="W162" s="580">
        <f t="shared" si="78"/>
        <v>-6.5878696699832755</v>
      </c>
      <c r="X162" s="581">
        <f t="shared" si="79"/>
        <v>-109.13026693337065</v>
      </c>
      <c r="Y162" s="584">
        <f t="shared" si="80"/>
        <v>70.869733066629351</v>
      </c>
      <c r="AA162" s="147">
        <f t="shared" si="81"/>
        <v>9120.1</v>
      </c>
      <c r="AB162" s="147">
        <f t="shared" si="82"/>
        <v>83176224.010000005</v>
      </c>
      <c r="AD162" s="583">
        <f t="shared" si="83"/>
        <v>17.232746849043089</v>
      </c>
      <c r="AE162" s="584">
        <f t="shared" si="84"/>
        <v>-5.6170798097161292</v>
      </c>
      <c r="AG162" s="583">
        <f t="shared" si="85"/>
        <v>5.2263321114485342</v>
      </c>
      <c r="AH162" s="584">
        <f t="shared" si="86"/>
        <v>-72.787389132208759</v>
      </c>
      <c r="AJ162" s="147">
        <f t="shared" si="87"/>
        <v>0</v>
      </c>
      <c r="AK162" s="147">
        <f t="shared" si="99"/>
        <v>0</v>
      </c>
      <c r="AM162" s="147" t="str">
        <f t="shared" si="91"/>
        <v>0.074171142696962+0.377943020817888i</v>
      </c>
      <c r="AN162" s="147" t="str">
        <f t="shared" si="92"/>
        <v>0.387573515749857i</v>
      </c>
      <c r="AO162" s="147" t="str">
        <f t="shared" si="93"/>
        <v>0.975151824000831-0.191373093575446i</v>
      </c>
      <c r="AP162" s="147" t="str">
        <f t="shared" si="94"/>
        <v>0.154304809550506-0.062990503469648i</v>
      </c>
      <c r="AQ162" s="147" t="str">
        <f t="shared" si="95"/>
        <v>0.845695190449494+0.062990503469648i</v>
      </c>
      <c r="AR162" s="147" t="str">
        <f t="shared" si="96"/>
        <v>0.979554065547907-0.0729608072286752i</v>
      </c>
    </row>
    <row r="163" spans="7:44">
      <c r="G163" s="585">
        <v>9173.2000000000007</v>
      </c>
      <c r="H163" s="573">
        <f t="shared" si="88"/>
        <v>9.1732000000000014</v>
      </c>
      <c r="I163" s="574">
        <f t="shared" si="66"/>
        <v>25.92943627564215</v>
      </c>
      <c r="J163" s="575">
        <f t="shared" si="67"/>
        <v>1.5322205533966418</v>
      </c>
      <c r="K163" s="575">
        <f t="shared" si="68"/>
        <v>1.000080389507954</v>
      </c>
      <c r="L163" s="576">
        <f t="shared" si="69"/>
        <v>1.2679441859097201E-2</v>
      </c>
      <c r="M163" s="575">
        <f t="shared" si="70"/>
        <v>1.0001850009007676</v>
      </c>
      <c r="N163" s="576">
        <f t="shared" si="71"/>
        <v>-1.9233948328849948E-2</v>
      </c>
      <c r="O163" s="574">
        <f t="shared" si="72"/>
        <v>380403.64160145045</v>
      </c>
      <c r="P163" s="577">
        <f t="shared" si="73"/>
        <v>1.5707936980082851</v>
      </c>
      <c r="Q163" s="586">
        <f t="shared" si="100"/>
        <v>15.375500606393494</v>
      </c>
      <c r="R163" s="587">
        <f t="shared" si="101"/>
        <v>1.5057118542452603</v>
      </c>
      <c r="S163" s="574">
        <f t="shared" si="76"/>
        <v>1.0005370581559048</v>
      </c>
      <c r="T163" s="577">
        <f t="shared" si="77"/>
        <v>3.276638235922115E-2</v>
      </c>
      <c r="U163" s="578">
        <f t="shared" si="89"/>
        <v>0.97586621730441137</v>
      </c>
      <c r="V163" s="579">
        <f t="shared" si="90"/>
        <v>-0.26965816379915242</v>
      </c>
      <c r="W163" s="580">
        <f t="shared" si="78"/>
        <v>-6.6408188651492015</v>
      </c>
      <c r="X163" s="581">
        <f t="shared" si="79"/>
        <v>-109.22188176172449</v>
      </c>
      <c r="Y163" s="584">
        <f t="shared" si="80"/>
        <v>70.778118238275511</v>
      </c>
      <c r="AA163" s="147">
        <f t="shared" si="81"/>
        <v>9173.2000000000007</v>
      </c>
      <c r="AB163" s="147">
        <f t="shared" si="82"/>
        <v>84147598.24000001</v>
      </c>
      <c r="AD163" s="583">
        <f t="shared" si="83"/>
        <v>17.232478505595136</v>
      </c>
      <c r="AE163" s="584">
        <f t="shared" si="84"/>
        <v>-5.6062903960525476</v>
      </c>
      <c r="AG163" s="583">
        <f t="shared" si="85"/>
        <v>5.1783665610489198</v>
      </c>
      <c r="AH163" s="584">
        <f t="shared" si="86"/>
        <v>-72.715041936485164</v>
      </c>
      <c r="AJ163" s="147">
        <f t="shared" si="87"/>
        <v>0</v>
      </c>
      <c r="AK163" s="147">
        <f t="shared" si="99"/>
        <v>0</v>
      </c>
      <c r="AM163" s="147" t="str">
        <f t="shared" si="91"/>
        <v>0.075026354466236+0.380031255382999i</v>
      </c>
      <c r="AN163" s="147" t="str">
        <f t="shared" si="92"/>
        <v>0.389830086805692i</v>
      </c>
      <c r="AO163" s="147" t="str">
        <f t="shared" si="93"/>
        <v>0.974863840030959-0.19245911746066i</v>
      </c>
      <c r="AP163" s="147" t="str">
        <f t="shared" si="94"/>
        <v>0.154162274255627-0.0633385425638332i</v>
      </c>
      <c r="AQ163" s="147" t="str">
        <f t="shared" si="95"/>
        <v>0.845837725744373+0.0633385425638332i</v>
      </c>
      <c r="AR163" s="147" t="str">
        <f t="shared" si="96"/>
        <v>0.979330965354591-0.0733348657138734i</v>
      </c>
    </row>
    <row r="164" spans="7:44">
      <c r="G164" s="585">
        <v>9226.2999999999993</v>
      </c>
      <c r="H164" s="573">
        <f t="shared" si="88"/>
        <v>9.2262999999999984</v>
      </c>
      <c r="I164" s="574">
        <f t="shared" si="66"/>
        <v>26.079308848459778</v>
      </c>
      <c r="J164" s="575">
        <f t="shared" si="67"/>
        <v>1.5324423497338342</v>
      </c>
      <c r="K164" s="575">
        <f t="shared" si="68"/>
        <v>1.0000813228493539</v>
      </c>
      <c r="L164" s="576">
        <f t="shared" si="69"/>
        <v>1.2752830161562518E-2</v>
      </c>
      <c r="M164" s="575">
        <f t="shared" si="70"/>
        <v>1.0001871486918137</v>
      </c>
      <c r="N164" s="576">
        <f t="shared" si="71"/>
        <v>-1.9345258296551666E-2</v>
      </c>
      <c r="O164" s="574">
        <f t="shared" si="72"/>
        <v>382605.64672168082</v>
      </c>
      <c r="P164" s="577">
        <f t="shared" si="73"/>
        <v>1.5707937131377052</v>
      </c>
      <c r="Q164" s="586">
        <f t="shared" si="100"/>
        <v>15.464127850145468</v>
      </c>
      <c r="R164" s="587">
        <f t="shared" si="101"/>
        <v>1.5060853861942325</v>
      </c>
      <c r="S164" s="574">
        <f t="shared" si="76"/>
        <v>1.0005432920900095</v>
      </c>
      <c r="T164" s="577">
        <f t="shared" si="77"/>
        <v>3.2955916982471863E-2</v>
      </c>
      <c r="U164" s="578">
        <f t="shared" si="89"/>
        <v>0.97559996478424371</v>
      </c>
      <c r="V164" s="579">
        <f t="shared" si="90"/>
        <v>-0.27118255198272412</v>
      </c>
      <c r="W164" s="580">
        <f t="shared" si="78"/>
        <v>-6.6934872867966817</v>
      </c>
      <c r="X164" s="581">
        <f t="shared" si="79"/>
        <v>-109.31356211313665</v>
      </c>
      <c r="Y164" s="584">
        <f t="shared" si="80"/>
        <v>70.686437886863345</v>
      </c>
      <c r="AA164" s="147">
        <f t="shared" si="81"/>
        <v>9226.2999999999993</v>
      </c>
      <c r="AB164" s="147">
        <f t="shared" si="82"/>
        <v>85124611.689999983</v>
      </c>
      <c r="AD164" s="583">
        <f t="shared" si="83"/>
        <v>17.232213533623845</v>
      </c>
      <c r="AE164" s="584">
        <f t="shared" si="84"/>
        <v>-5.5957489926868824</v>
      </c>
      <c r="AG164" s="583">
        <f t="shared" si="85"/>
        <v>5.1307034241521325</v>
      </c>
      <c r="AH164" s="584">
        <f t="shared" si="86"/>
        <v>-72.642581672546825</v>
      </c>
      <c r="AJ164" s="147">
        <f t="shared" si="87"/>
        <v>0</v>
      </c>
      <c r="AK164" s="147">
        <f t="shared" si="99"/>
        <v>0</v>
      </c>
      <c r="AM164" s="147" t="str">
        <f t="shared" si="91"/>
        <v>0.075886276303771+0.382117554786862i</v>
      </c>
      <c r="AN164" s="147" t="str">
        <f t="shared" si="92"/>
        <v>0.392086657861526i</v>
      </c>
      <c r="AO164" s="147" t="str">
        <f t="shared" si="93"/>
        <v>0.974574235376852-0.193544653413256i</v>
      </c>
      <c r="AP164" s="147" t="str">
        <f t="shared" si="94"/>
        <v>0.154018953949372-0.0636862591311437i</v>
      </c>
      <c r="AQ164" s="147" t="str">
        <f t="shared" si="95"/>
        <v>0.845981046050628+0.0636862591311437i</v>
      </c>
      <c r="AR164" s="147" t="str">
        <f t="shared" si="96"/>
        <v>0.979106814630975-0.0737080938216732i</v>
      </c>
    </row>
    <row r="165" spans="7:44">
      <c r="G165" s="585">
        <v>9279.4</v>
      </c>
      <c r="H165" s="573">
        <f t="shared" si="88"/>
        <v>9.279399999999999</v>
      </c>
      <c r="I165" s="574">
        <f t="shared" si="66"/>
        <v>26.229182689551564</v>
      </c>
      <c r="J165" s="575">
        <f t="shared" si="67"/>
        <v>1.5326616113882441</v>
      </c>
      <c r="K165" s="575">
        <f t="shared" si="68"/>
        <v>1.0000822615770248</v>
      </c>
      <c r="L165" s="576">
        <f t="shared" si="69"/>
        <v>1.2826218326651168E-2</v>
      </c>
      <c r="M165" s="575">
        <f t="shared" si="70"/>
        <v>1.0001893088750342</v>
      </c>
      <c r="N165" s="576">
        <f t="shared" si="71"/>
        <v>-1.9456567784823669E-2</v>
      </c>
      <c r="O165" s="574">
        <f t="shared" si="72"/>
        <v>384807.65184191137</v>
      </c>
      <c r="P165" s="577">
        <f t="shared" si="73"/>
        <v>1.5707937280939737</v>
      </c>
      <c r="Q165" s="586">
        <f t="shared" si="100"/>
        <v>15.552757226956285</v>
      </c>
      <c r="R165" s="587">
        <f t="shared" si="101"/>
        <v>1.5064546609550413</v>
      </c>
      <c r="S165" s="574">
        <f t="shared" si="76"/>
        <v>1.0005495619665556</v>
      </c>
      <c r="T165" s="577">
        <f t="shared" si="77"/>
        <v>3.3145449237119193E-2</v>
      </c>
      <c r="U165" s="578">
        <f t="shared" si="89"/>
        <v>0.97533238280846912</v>
      </c>
      <c r="V165" s="579">
        <f t="shared" si="90"/>
        <v>-0.27270633153039958</v>
      </c>
      <c r="W165" s="580">
        <f t="shared" si="78"/>
        <v>-6.7458783104401263</v>
      </c>
      <c r="X165" s="581">
        <f t="shared" si="79"/>
        <v>-109.40530611933924</v>
      </c>
      <c r="Y165" s="584">
        <f t="shared" si="80"/>
        <v>70.594693880660756</v>
      </c>
      <c r="AA165" s="147">
        <f t="shared" si="81"/>
        <v>9279.4</v>
      </c>
      <c r="AB165" s="147">
        <f t="shared" si="82"/>
        <v>86107264.359999999</v>
      </c>
      <c r="AD165" s="583">
        <f t="shared" si="83"/>
        <v>17.231951849368052</v>
      </c>
      <c r="AE165" s="584">
        <f t="shared" si="84"/>
        <v>-5.5854513626040241</v>
      </c>
      <c r="AG165" s="583">
        <f t="shared" si="85"/>
        <v>5.0833393705072814</v>
      </c>
      <c r="AH165" s="584">
        <f t="shared" si="86"/>
        <v>-72.570011034652453</v>
      </c>
      <c r="AJ165" s="147">
        <f t="shared" si="87"/>
        <v>0</v>
      </c>
      <c r="AK165" s="147">
        <f t="shared" si="99"/>
        <v>0</v>
      </c>
      <c r="AM165" s="147" t="str">
        <f t="shared" si="91"/>
        <v>0.076750903830752+0.384201908405809i</v>
      </c>
      <c r="AN165" s="147" t="str">
        <f t="shared" si="92"/>
        <v>0.394343228917361i</v>
      </c>
      <c r="AO165" s="147" t="str">
        <f t="shared" si="93"/>
        <v>0.97428301092073-0.19462969870553i</v>
      </c>
      <c r="AP165" s="147" t="str">
        <f t="shared" si="94"/>
        <v>0.153874849361541-0.0640336514009682i</v>
      </c>
      <c r="AQ165" s="147" t="str">
        <f t="shared" si="95"/>
        <v>0.846125150638459+0.0640336514009682i</v>
      </c>
      <c r="AR165" s="147" t="str">
        <f t="shared" si="96"/>
        <v>0.978881617238007-0.0740804882040644i</v>
      </c>
    </row>
    <row r="166" spans="7:44">
      <c r="G166" s="585">
        <v>9332.5</v>
      </c>
      <c r="H166" s="573">
        <f t="shared" si="88"/>
        <v>9.3324999999999996</v>
      </c>
      <c r="I166" s="574">
        <f t="shared" si="66"/>
        <v>26.379057777300236</v>
      </c>
      <c r="J166" s="575">
        <f t="shared" si="67"/>
        <v>1.5328783815417202</v>
      </c>
      <c r="K166" s="575">
        <f t="shared" si="68"/>
        <v>1.0000832056909514</v>
      </c>
      <c r="L166" s="576">
        <f t="shared" si="69"/>
        <v>1.2899606353573024E-2</v>
      </c>
      <c r="M166" s="575">
        <f t="shared" si="70"/>
        <v>1.0001914814503485</v>
      </c>
      <c r="N166" s="576">
        <f t="shared" si="71"/>
        <v>-1.9567876790910866E-2</v>
      </c>
      <c r="O166" s="574">
        <f t="shared" si="72"/>
        <v>387009.65696214198</v>
      </c>
      <c r="P166" s="577">
        <f t="shared" si="73"/>
        <v>1.5707937428800458</v>
      </c>
      <c r="Q166" s="586">
        <f t="shared" si="100"/>
        <v>15.641388700566052</v>
      </c>
      <c r="R166" s="587">
        <f t="shared" si="101"/>
        <v>1.5068197507958079</v>
      </c>
      <c r="S166" s="574">
        <f t="shared" si="76"/>
        <v>1.0005558677848676</v>
      </c>
      <c r="T166" s="577">
        <f t="shared" si="77"/>
        <v>3.3334979109590872E-2</v>
      </c>
      <c r="U166" s="578">
        <f t="shared" si="89"/>
        <v>0.97506347468040111</v>
      </c>
      <c r="V166" s="579">
        <f t="shared" si="90"/>
        <v>-0.27422949961202164</v>
      </c>
      <c r="W166" s="580">
        <f t="shared" si="78"/>
        <v>-6.7979952528034291</v>
      </c>
      <c r="X166" s="581">
        <f t="shared" si="79"/>
        <v>-109.49711195093462</v>
      </c>
      <c r="Y166" s="584">
        <f t="shared" si="80"/>
        <v>70.502888049065376</v>
      </c>
      <c r="AA166" s="147">
        <f t="shared" si="81"/>
        <v>9332.5</v>
      </c>
      <c r="AB166" s="147">
        <f t="shared" si="82"/>
        <v>87095556.25</v>
      </c>
      <c r="AD166" s="583">
        <f t="shared" si="83"/>
        <v>17.231693371433305</v>
      </c>
      <c r="AE166" s="584">
        <f t="shared" si="84"/>
        <v>-5.5753933645373133</v>
      </c>
      <c r="AG166" s="583">
        <f t="shared" si="85"/>
        <v>5.0362711261338173</v>
      </c>
      <c r="AH166" s="584">
        <f t="shared" si="86"/>
        <v>-72.497332658983183</v>
      </c>
      <c r="AJ166" s="147">
        <f t="shared" si="87"/>
        <v>0</v>
      </c>
      <c r="AK166" s="147">
        <f t="shared" si="99"/>
        <v>0</v>
      </c>
      <c r="AM166" s="147" t="str">
        <f t="shared" si="91"/>
        <v>0.077620232644397+0.386284305626081i</v>
      </c>
      <c r="AN166" s="147" t="str">
        <f t="shared" si="92"/>
        <v>0.396599799973196i</v>
      </c>
      <c r="AO166" s="147" t="str">
        <f t="shared" si="93"/>
        <v>0.973990167549726-0.19571425061143i</v>
      </c>
      <c r="AP166" s="147" t="str">
        <f t="shared" si="94"/>
        <v>0.153729961225934-0.0643807176043468i</v>
      </c>
      <c r="AQ166" s="147" t="str">
        <f t="shared" si="95"/>
        <v>0.846270038774066+0.0643807176043468i</v>
      </c>
      <c r="AR166" s="147" t="str">
        <f t="shared" si="96"/>
        <v>0.978655377048572-0.0744520455350315i</v>
      </c>
    </row>
    <row r="167" spans="7:44">
      <c r="G167" s="585">
        <v>9386.85</v>
      </c>
      <c r="H167" s="573">
        <f t="shared" si="88"/>
        <v>9.3868500000000008</v>
      </c>
      <c r="I167" s="574">
        <f t="shared" si="66"/>
        <v>26.532462266972701</v>
      </c>
      <c r="J167" s="575">
        <f t="shared" si="67"/>
        <v>1.533097718448895</v>
      </c>
      <c r="K167" s="575">
        <f t="shared" si="68"/>
        <v>1.000084177607707</v>
      </c>
      <c r="L167" s="576">
        <f t="shared" si="69"/>
        <v>1.2974721826673995E-2</v>
      </c>
      <c r="M167" s="575">
        <f t="shared" si="70"/>
        <v>1.0001937180021672</v>
      </c>
      <c r="N167" s="576">
        <f t="shared" si="71"/>
        <v>-1.9681805563282782E-2</v>
      </c>
      <c r="O167" s="574">
        <f t="shared" si="72"/>
        <v>389263.49836109753</v>
      </c>
      <c r="P167" s="577">
        <f t="shared" si="73"/>
        <v>1.570793757840951</v>
      </c>
      <c r="Q167" s="586">
        <f t="shared" si="100"/>
        <v>15.732108736893762</v>
      </c>
      <c r="R167" s="587">
        <f t="shared" si="101"/>
        <v>1.5071891749001767</v>
      </c>
      <c r="S167" s="574">
        <f t="shared" si="76"/>
        <v>1.0005623592653761</v>
      </c>
      <c r="T167" s="577">
        <f t="shared" si="77"/>
        <v>3.3528968126945786E-2</v>
      </c>
      <c r="U167" s="578">
        <f t="shared" si="89"/>
        <v>0.97478686643600188</v>
      </c>
      <c r="V167" s="579">
        <f t="shared" si="90"/>
        <v>-0.27578788764646572</v>
      </c>
      <c r="W167" s="580">
        <f t="shared" si="78"/>
        <v>-6.8510586196884615</v>
      </c>
      <c r="X167" s="581">
        <f t="shared" si="79"/>
        <v>-109.59114109270151</v>
      </c>
      <c r="Y167" s="584">
        <f t="shared" si="80"/>
        <v>70.408858907298495</v>
      </c>
      <c r="AA167" s="147">
        <f t="shared" si="81"/>
        <v>9386.85</v>
      </c>
      <c r="AB167" s="147">
        <f t="shared" si="82"/>
        <v>88112952.922499999</v>
      </c>
      <c r="AD167" s="583">
        <f t="shared" si="83"/>
        <v>17.231432046676534</v>
      </c>
      <c r="AE167" s="584">
        <f t="shared" si="84"/>
        <v>-5.56534253165814</v>
      </c>
      <c r="AG167" s="583">
        <f t="shared" si="85"/>
        <v>4.9883978493559713</v>
      </c>
      <c r="AH167" s="584">
        <f t="shared" si="86"/>
        <v>-72.422834518990499</v>
      </c>
      <c r="AJ167" s="147">
        <f t="shared" si="87"/>
        <v>0</v>
      </c>
      <c r="AK167" s="147">
        <f t="shared" si="99"/>
        <v>0</v>
      </c>
      <c r="AM167" s="147" t="str">
        <f t="shared" si="91"/>
        <v>0.078514889858771+0.388413686406655i</v>
      </c>
      <c r="AN167" s="147" t="str">
        <f t="shared" si="92"/>
        <v>0.398909491816597i</v>
      </c>
      <c r="AO167" s="147" t="str">
        <f t="shared" si="93"/>
        <v>0.973688754904916-0.196823819611866i</v>
      </c>
      <c r="AP167" s="147" t="str">
        <f t="shared" si="94"/>
        <v>0.153580851690205-0.0647356144011092i</v>
      </c>
      <c r="AQ167" s="147" t="str">
        <f t="shared" si="95"/>
        <v>0.846419148309795+0.0647356144011092i</v>
      </c>
      <c r="AR167" s="147" t="str">
        <f t="shared" si="96"/>
        <v>0.978422735201526-0.0748314792189722i</v>
      </c>
    </row>
    <row r="168" spans="7:44">
      <c r="G168" s="585">
        <v>9441.2000000000007</v>
      </c>
      <c r="H168" s="573">
        <f t="shared" si="88"/>
        <v>9.4412000000000003</v>
      </c>
      <c r="I168" s="574">
        <f t="shared" si="66"/>
        <v>26.685868018411512</v>
      </c>
      <c r="J168" s="575">
        <f t="shared" si="67"/>
        <v>1.5333145336164586</v>
      </c>
      <c r="K168" s="575">
        <f t="shared" si="68"/>
        <v>1.0000851551672609</v>
      </c>
      <c r="L168" s="576">
        <f t="shared" si="69"/>
        <v>1.3049837153351597E-2</v>
      </c>
      <c r="M168" s="575">
        <f t="shared" si="70"/>
        <v>1.0001959675362069</v>
      </c>
      <c r="N168" s="576">
        <f t="shared" si="71"/>
        <v>-1.9795733824660575E-2</v>
      </c>
      <c r="O168" s="574">
        <f t="shared" si="72"/>
        <v>391517.33976005315</v>
      </c>
      <c r="P168" s="577">
        <f t="shared" si="73"/>
        <v>1.5707937726296057</v>
      </c>
      <c r="Q168" s="586">
        <f t="shared" si="100"/>
        <v>15.82283089562786</v>
      </c>
      <c r="R168" s="587">
        <f t="shared" si="101"/>
        <v>1.5075543627762849</v>
      </c>
      <c r="S168" s="574">
        <f t="shared" si="76"/>
        <v>1.0005688883982964</v>
      </c>
      <c r="T168" s="577">
        <f t="shared" si="77"/>
        <v>3.3722954619880771E-2</v>
      </c>
      <c r="U168" s="578">
        <f t="shared" si="89"/>
        <v>0.97450887590757884</v>
      </c>
      <c r="V168" s="579">
        <f t="shared" si="90"/>
        <v>-0.27734562912161786</v>
      </c>
      <c r="W168" s="580">
        <f t="shared" si="78"/>
        <v>-6.9038416977412886</v>
      </c>
      <c r="X168" s="581">
        <f t="shared" si="79"/>
        <v>-109.68523124691727</v>
      </c>
      <c r="Y168" s="584">
        <f t="shared" si="80"/>
        <v>70.314768753082731</v>
      </c>
      <c r="AA168" s="147">
        <f t="shared" si="81"/>
        <v>9441.2000000000007</v>
      </c>
      <c r="AB168" s="147">
        <f t="shared" si="82"/>
        <v>89136257.440000013</v>
      </c>
      <c r="AD168" s="583">
        <f t="shared" si="83"/>
        <v>17.231173915678269</v>
      </c>
      <c r="AE168" s="584">
        <f t="shared" si="84"/>
        <v>-5.5555342622718094</v>
      </c>
      <c r="AG168" s="583">
        <f t="shared" si="85"/>
        <v>4.9408277072891353</v>
      </c>
      <c r="AH168" s="584">
        <f t="shared" si="86"/>
        <v>-72.348228918191197</v>
      </c>
      <c r="AJ168" s="147">
        <f t="shared" si="87"/>
        <v>0</v>
      </c>
      <c r="AK168" s="147">
        <f t="shared" si="99"/>
        <v>0</v>
      </c>
      <c r="AM168" s="147" t="str">
        <f t="shared" si="91"/>
        <v>0.079414462895841+0.39054099512682i</v>
      </c>
      <c r="AN168" s="147" t="str">
        <f t="shared" si="92"/>
        <v>0.401219183659999i</v>
      </c>
      <c r="AO168" s="147" t="str">
        <f t="shared" si="93"/>
        <v>0.973385648124373-0.197932865949746i</v>
      </c>
      <c r="AP168" s="147" t="str">
        <f t="shared" si="94"/>
        <v>0.153430922850693-0.06509016585447i</v>
      </c>
      <c r="AQ168" s="147" t="str">
        <f t="shared" si="95"/>
        <v>0.846569077149307+0.06509016585447i</v>
      </c>
      <c r="AR168" s="147" t="str">
        <f t="shared" si="96"/>
        <v>0.978189009132132-0.0752100289982606i</v>
      </c>
    </row>
    <row r="169" spans="7:44">
      <c r="G169" s="585">
        <v>9495.5499999999993</v>
      </c>
      <c r="H169" s="573">
        <f t="shared" si="88"/>
        <v>9.4955499999999997</v>
      </c>
      <c r="I169" s="574">
        <f t="shared" si="66"/>
        <v>26.839275009980959</v>
      </c>
      <c r="J169" s="575">
        <f t="shared" si="67"/>
        <v>1.533528870264864</v>
      </c>
      <c r="K169" s="575">
        <f t="shared" si="68"/>
        <v>1.0000861383695965</v>
      </c>
      <c r="L169" s="576">
        <f t="shared" si="69"/>
        <v>1.3124952332758613E-2</v>
      </c>
      <c r="M169" s="575">
        <f t="shared" si="70"/>
        <v>1.0001982300523806</v>
      </c>
      <c r="N169" s="576">
        <f t="shared" si="71"/>
        <v>-1.9909661572090211E-2</v>
      </c>
      <c r="O169" s="574">
        <f t="shared" si="72"/>
        <v>393771.18115900882</v>
      </c>
      <c r="P169" s="577">
        <f t="shared" si="73"/>
        <v>1.5707937872489679</v>
      </c>
      <c r="Q169" s="586">
        <f t="shared" si="100"/>
        <v>15.913555140469233</v>
      </c>
      <c r="R169" s="587">
        <f t="shared" si="101"/>
        <v>1.5079153867789492</v>
      </c>
      <c r="S169" s="574">
        <f t="shared" si="76"/>
        <v>1.0005754551828916</v>
      </c>
      <c r="T169" s="577">
        <f t="shared" si="77"/>
        <v>3.391693857384568E-2</v>
      </c>
      <c r="U169" s="578">
        <f t="shared" si="89"/>
        <v>0.97422950667448138</v>
      </c>
      <c r="V169" s="579">
        <f t="shared" si="90"/>
        <v>-0.27890272103701585</v>
      </c>
      <c r="W169" s="580">
        <f t="shared" si="78"/>
        <v>-6.9563478608278277</v>
      </c>
      <c r="X169" s="581">
        <f t="shared" si="79"/>
        <v>-109.77938057160708</v>
      </c>
      <c r="Y169" s="584">
        <f t="shared" si="80"/>
        <v>70.220619428392922</v>
      </c>
      <c r="AA169" s="147">
        <f t="shared" si="81"/>
        <v>9495.5499999999993</v>
      </c>
      <c r="AB169" s="147">
        <f t="shared" si="82"/>
        <v>90165469.80249998</v>
      </c>
      <c r="AD169" s="583">
        <f t="shared" si="83"/>
        <v>17.230918898352307</v>
      </c>
      <c r="AE169" s="584">
        <f t="shared" si="84"/>
        <v>-5.5459644100884846</v>
      </c>
      <c r="AG169" s="583">
        <f t="shared" si="85"/>
        <v>4.8935573642166368</v>
      </c>
      <c r="AH169" s="584">
        <f t="shared" si="86"/>
        <v>-72.273518504727946</v>
      </c>
      <c r="AJ169" s="147">
        <f t="shared" si="87"/>
        <v>0</v>
      </c>
      <c r="AK169" s="147">
        <f t="shared" si="99"/>
        <v>0</v>
      </c>
      <c r="AM169" s="147" t="str">
        <f t="shared" si="91"/>
        <v>0.080318946956677+0.392666220438076i</v>
      </c>
      <c r="AN169" s="147" t="str">
        <f t="shared" si="92"/>
        <v>0.4035288755034i</v>
      </c>
      <c r="AO169" s="147" t="str">
        <f t="shared" si="93"/>
        <v>0.973080848175306-0.199041386707406i</v>
      </c>
      <c r="AP169" s="147" t="str">
        <f t="shared" si="94"/>
        <v>0.153280175507221-0.0654443700730127i</v>
      </c>
      <c r="AQ169" s="147" t="str">
        <f t="shared" si="95"/>
        <v>0.846719824492779+0.0654443700730127i</v>
      </c>
      <c r="AR169" s="147" t="str">
        <f t="shared" si="96"/>
        <v>0.977954203031108-0.0755876913782735i</v>
      </c>
    </row>
    <row r="170" spans="7:44">
      <c r="G170" s="585">
        <v>9549.9</v>
      </c>
      <c r="H170" s="573">
        <f t="shared" si="88"/>
        <v>9.5498999999999992</v>
      </c>
      <c r="I170" s="574">
        <f t="shared" si="66"/>
        <v>26.992683220537021</v>
      </c>
      <c r="J170" s="575">
        <f t="shared" si="67"/>
        <v>1.5337407706329427</v>
      </c>
      <c r="K170" s="575">
        <f t="shared" si="68"/>
        <v>1.0000871272146969</v>
      </c>
      <c r="L170" s="576">
        <f t="shared" si="69"/>
        <v>1.3200067364047836E-2</v>
      </c>
      <c r="M170" s="575">
        <f t="shared" si="70"/>
        <v>1.0002005055506002</v>
      </c>
      <c r="N170" s="576">
        <f t="shared" si="71"/>
        <v>-2.0023588802617728E-2</v>
      </c>
      <c r="O170" s="574">
        <f t="shared" si="72"/>
        <v>396025.02255796455</v>
      </c>
      <c r="P170" s="577">
        <f t="shared" si="73"/>
        <v>1.5707938017019276</v>
      </c>
      <c r="Q170" s="586">
        <f t="shared" si="100"/>
        <v>16.004281435941035</v>
      </c>
      <c r="R170" s="587">
        <f t="shared" si="101"/>
        <v>1.5082723176267034</v>
      </c>
      <c r="S170" s="574">
        <f t="shared" si="76"/>
        <v>1.0005820596184205</v>
      </c>
      <c r="T170" s="577">
        <f t="shared" si="77"/>
        <v>3.4110919974291498E-2</v>
      </c>
      <c r="U170" s="578">
        <f t="shared" si="89"/>
        <v>0.97394876232836858</v>
      </c>
      <c r="V170" s="579">
        <f t="shared" si="90"/>
        <v>-0.28045916040383839</v>
      </c>
      <c r="W170" s="580">
        <f t="shared" si="78"/>
        <v>-7.0085804240290193</v>
      </c>
      <c r="X170" s="581">
        <f t="shared" si="79"/>
        <v>-109.87358726296866</v>
      </c>
      <c r="Y170" s="584">
        <f t="shared" si="80"/>
        <v>70.126412737031345</v>
      </c>
      <c r="AA170" s="147">
        <f t="shared" si="81"/>
        <v>9549.9</v>
      </c>
      <c r="AB170" s="147">
        <f t="shared" si="82"/>
        <v>91200590.00999999</v>
      </c>
      <c r="AD170" s="583">
        <f t="shared" si="83"/>
        <v>17.230666916876341</v>
      </c>
      <c r="AE170" s="584">
        <f t="shared" si="84"/>
        <v>-5.5366289225666536</v>
      </c>
      <c r="AG170" s="583">
        <f t="shared" si="85"/>
        <v>4.8465835407794406</v>
      </c>
      <c r="AH170" s="584">
        <f t="shared" si="86"/>
        <v>-72.198705869833674</v>
      </c>
      <c r="AJ170" s="147">
        <f t="shared" si="87"/>
        <v>0</v>
      </c>
      <c r="AK170" s="147">
        <f t="shared" si="99"/>
        <v>0</v>
      </c>
      <c r="AM170" s="147" t="str">
        <f t="shared" si="91"/>
        <v>0.081228337216151+0.39478935100304i</v>
      </c>
      <c r="AN170" s="147" t="str">
        <f t="shared" si="92"/>
        <v>0.405838567346801i</v>
      </c>
      <c r="AO170" s="147" t="str">
        <f t="shared" si="93"/>
        <v>0.97277435603029-0.200149378969049i</v>
      </c>
      <c r="AP170" s="147" t="str">
        <f t="shared" si="94"/>
        <v>0.153128610463975-0.0657982251671733i</v>
      </c>
      <c r="AQ170" s="147" t="str">
        <f t="shared" si="95"/>
        <v>0.846871389536025+0.0657982251671733i</v>
      </c>
      <c r="AR170" s="147" t="str">
        <f t="shared" si="96"/>
        <v>0.977718321101605-0.0759644628887034i</v>
      </c>
    </row>
    <row r="171" spans="7:44">
      <c r="G171" s="585">
        <v>9605.5249999999996</v>
      </c>
      <c r="H171" s="573">
        <f t="shared" si="88"/>
        <v>9.6055250000000001</v>
      </c>
      <c r="I171" s="574">
        <f t="shared" si="66"/>
        <v>27.149691484413054</v>
      </c>
      <c r="J171" s="575">
        <f t="shared" si="67"/>
        <v>1.5339551623824443</v>
      </c>
      <c r="K171" s="575">
        <f t="shared" si="68"/>
        <v>1.0000881451000372</v>
      </c>
      <c r="L171" s="576">
        <f t="shared" si="69"/>
        <v>1.3276944369231275E-2</v>
      </c>
      <c r="M171" s="575">
        <f t="shared" si="70"/>
        <v>1.000202847872218</v>
      </c>
      <c r="N171" s="576">
        <f t="shared" si="71"/>
        <v>-2.0140188120752422E-2</v>
      </c>
      <c r="O171" s="574">
        <f t="shared" si="72"/>
        <v>398331.73696121975</v>
      </c>
      <c r="P171" s="577">
        <f t="shared" si="73"/>
        <v>1.5707938163245845</v>
      </c>
      <c r="Q171" s="586">
        <f t="shared" si="100"/>
        <v>16.097138172340408</v>
      </c>
      <c r="R171" s="587">
        <f t="shared" si="101"/>
        <v>1.5086334555536043</v>
      </c>
      <c r="S171" s="574">
        <f t="shared" si="76"/>
        <v>1.0005888579732085</v>
      </c>
      <c r="T171" s="577">
        <f t="shared" si="77"/>
        <v>3.4309449337108874E-2</v>
      </c>
      <c r="U171" s="578">
        <f t="shared" si="89"/>
        <v>0.97366001186455742</v>
      </c>
      <c r="V171" s="579">
        <f t="shared" si="90"/>
        <v>-0.28205143358054124</v>
      </c>
      <c r="W171" s="580">
        <f t="shared" si="78"/>
        <v>-7.0617584105904321</v>
      </c>
      <c r="X171" s="581">
        <f t="shared" si="79"/>
        <v>-109.9700615126112</v>
      </c>
      <c r="Y171" s="584">
        <f t="shared" si="80"/>
        <v>70.029938487388804</v>
      </c>
      <c r="AA171" s="147">
        <f t="shared" si="81"/>
        <v>9605.5249999999996</v>
      </c>
      <c r="AB171" s="147">
        <f t="shared" si="82"/>
        <v>92266110.52562499</v>
      </c>
      <c r="AD171" s="583">
        <f t="shared" si="83"/>
        <v>17.230412088747691</v>
      </c>
      <c r="AE171" s="584">
        <f t="shared" si="84"/>
        <v>-5.5273129759378614</v>
      </c>
      <c r="AG171" s="583">
        <f t="shared" si="85"/>
        <v>4.7988114264644004</v>
      </c>
      <c r="AH171" s="584">
        <f t="shared" si="86"/>
        <v>-72.122035000182578</v>
      </c>
      <c r="AJ171" s="147">
        <f t="shared" si="87"/>
        <v>0</v>
      </c>
      <c r="AK171" s="147">
        <f t="shared" si="99"/>
        <v>0</v>
      </c>
      <c r="AM171" s="147" t="str">
        <f t="shared" si="91"/>
        <v>0.08216413604586+0.396960107365409i</v>
      </c>
      <c r="AN171" s="147" t="str">
        <f t="shared" si="92"/>
        <v>0.408202442393521i</v>
      </c>
      <c r="AO171" s="147" t="str">
        <f t="shared" si="93"/>
        <v>0.972458922680149-0.201282813410144i</v>
      </c>
      <c r="AP171" s="147" t="str">
        <f t="shared" si="94"/>
        <v>0.152972643992357-0.0661600178942348i</v>
      </c>
      <c r="AQ171" s="147" t="str">
        <f t="shared" si="95"/>
        <v>0.847027356007643+0.0661600178942348i</v>
      </c>
      <c r="AR171" s="147" t="str">
        <f t="shared" si="96"/>
        <v>0.977475796021099-0.0763491470461477i</v>
      </c>
    </row>
    <row r="172" spans="7:44">
      <c r="G172" s="585">
        <v>9661.15</v>
      </c>
      <c r="H172" s="573">
        <f t="shared" si="88"/>
        <v>9.6611499999999992</v>
      </c>
      <c r="I172" s="574">
        <f t="shared" si="66"/>
        <v>27.306700981842237</v>
      </c>
      <c r="J172" s="575">
        <f t="shared" si="67"/>
        <v>1.5341670886998062</v>
      </c>
      <c r="K172" s="575">
        <f t="shared" si="68"/>
        <v>1.0000891688959601</v>
      </c>
      <c r="L172" s="576">
        <f t="shared" si="69"/>
        <v>1.3353821217470365E-2</v>
      </c>
      <c r="M172" s="575">
        <f t="shared" si="70"/>
        <v>1.0002052037919309</v>
      </c>
      <c r="N172" s="576">
        <f t="shared" si="71"/>
        <v>-2.0256786891187772E-2</v>
      </c>
      <c r="O172" s="574">
        <f t="shared" si="72"/>
        <v>400638.45136447501</v>
      </c>
      <c r="P172" s="577">
        <f t="shared" si="73"/>
        <v>1.5707938307788587</v>
      </c>
      <c r="Q172" s="586">
        <f t="shared" si="100"/>
        <v>16.189996984056137</v>
      </c>
      <c r="R172" s="587">
        <f t="shared" si="101"/>
        <v>1.5089904508651009</v>
      </c>
      <c r="S172" s="574">
        <f t="shared" si="76"/>
        <v>1.000595695764577</v>
      </c>
      <c r="T172" s="577">
        <f t="shared" si="77"/>
        <v>3.4507975994362505E-2</v>
      </c>
      <c r="U172" s="578">
        <f t="shared" si="89"/>
        <v>0.97336982866477362</v>
      </c>
      <c r="V172" s="579">
        <f t="shared" si="90"/>
        <v>-0.28364301693584132</v>
      </c>
      <c r="W172" s="580">
        <f t="shared" si="78"/>
        <v>-7.1146566534231681</v>
      </c>
      <c r="X172" s="581">
        <f t="shared" si="79"/>
        <v>-110.06659214686769</v>
      </c>
      <c r="Y172" s="584">
        <f t="shared" si="80"/>
        <v>69.933407853132309</v>
      </c>
      <c r="AA172" s="147">
        <f t="shared" si="81"/>
        <v>9661.15</v>
      </c>
      <c r="AB172" s="147">
        <f t="shared" si="82"/>
        <v>93337819.32249999</v>
      </c>
      <c r="AD172" s="583">
        <f t="shared" si="83"/>
        <v>17.230160282568754</v>
      </c>
      <c r="AE172" s="584">
        <f t="shared" si="84"/>
        <v>-5.5182342190231628</v>
      </c>
      <c r="AG172" s="583">
        <f t="shared" si="85"/>
        <v>4.7513431318489738</v>
      </c>
      <c r="AH172" s="584">
        <f t="shared" si="86"/>
        <v>-72.045262373141469</v>
      </c>
      <c r="AJ172" s="147">
        <f t="shared" si="87"/>
        <v>0</v>
      </c>
      <c r="AK172" s="147">
        <f t="shared" si="99"/>
        <v>0</v>
      </c>
      <c r="AM172" s="147" t="str">
        <f t="shared" si="91"/>
        <v>0.08310506365301+0.399128645553347i</v>
      </c>
      <c r="AN172" s="147" t="str">
        <f t="shared" si="92"/>
        <v>0.41056631744024i</v>
      </c>
      <c r="AO172" s="147" t="str">
        <f t="shared" si="93"/>
        <v>0.972141718886723-0.202415688094302i</v>
      </c>
      <c r="AP172" s="147" t="str">
        <f t="shared" si="94"/>
        <v>0.152815822724498-0.0665214409255578i</v>
      </c>
      <c r="AQ172" s="147" t="str">
        <f t="shared" si="95"/>
        <v>0.847184177275502+0.0665214409255578i</v>
      </c>
      <c r="AR172" s="147" t="str">
        <f t="shared" si="96"/>
        <v>0.977232152991989-0.076732890768653i</v>
      </c>
    </row>
    <row r="173" spans="7:44">
      <c r="G173" s="585">
        <v>9716.7749999999996</v>
      </c>
      <c r="H173" s="573">
        <f t="shared" si="88"/>
        <v>9.7167750000000002</v>
      </c>
      <c r="I173" s="574">
        <f t="shared" si="66"/>
        <v>27.463711691667978</v>
      </c>
      <c r="J173" s="575">
        <f t="shared" si="67"/>
        <v>1.5343765918506338</v>
      </c>
      <c r="K173" s="575">
        <f t="shared" si="68"/>
        <v>1.0000901986024475</v>
      </c>
      <c r="L173" s="576">
        <f t="shared" si="69"/>
        <v>1.3430697907856897E-2</v>
      </c>
      <c r="M173" s="575">
        <f t="shared" si="70"/>
        <v>1.0002075733096427</v>
      </c>
      <c r="N173" s="576">
        <f t="shared" si="71"/>
        <v>-2.0373385110757269E-2</v>
      </c>
      <c r="O173" s="574">
        <f t="shared" si="72"/>
        <v>402945.16576773039</v>
      </c>
      <c r="P173" s="577">
        <f t="shared" si="73"/>
        <v>1.570793845067642</v>
      </c>
      <c r="Q173" s="586">
        <f t="shared" si="100"/>
        <v>16.282857835582519</v>
      </c>
      <c r="R173" s="587">
        <f t="shared" si="101"/>
        <v>1.5093433743451983</v>
      </c>
      <c r="S173" s="574">
        <f t="shared" si="76"/>
        <v>1.0006025729917172</v>
      </c>
      <c r="T173" s="577">
        <f t="shared" si="77"/>
        <v>3.470649993045901E-2</v>
      </c>
      <c r="U173" s="578">
        <f t="shared" si="89"/>
        <v>0.97307821661869698</v>
      </c>
      <c r="V173" s="579">
        <f t="shared" si="90"/>
        <v>-0.28523390730369397</v>
      </c>
      <c r="W173" s="580">
        <f t="shared" si="78"/>
        <v>-7.1672785238475818</v>
      </c>
      <c r="X173" s="581">
        <f t="shared" si="79"/>
        <v>-110.16317734949615</v>
      </c>
      <c r="Y173" s="584">
        <f t="shared" si="80"/>
        <v>69.836822650503848</v>
      </c>
      <c r="AA173" s="147">
        <f t="shared" si="81"/>
        <v>9716.7749999999996</v>
      </c>
      <c r="AB173" s="147">
        <f t="shared" si="82"/>
        <v>94415716.40062499</v>
      </c>
      <c r="AD173" s="583">
        <f t="shared" si="83"/>
        <v>17.229911421789041</v>
      </c>
      <c r="AE173" s="584">
        <f t="shared" si="84"/>
        <v>-5.5093885954700301</v>
      </c>
      <c r="AG173" s="583">
        <f t="shared" si="85"/>
        <v>4.7041753165056379</v>
      </c>
      <c r="AH173" s="584">
        <f t="shared" si="86"/>
        <v>-71.96839059162275</v>
      </c>
      <c r="AJ173" s="147">
        <f t="shared" si="87"/>
        <v>0</v>
      </c>
      <c r="AK173" s="147">
        <f t="shared" si="99"/>
        <v>0</v>
      </c>
      <c r="AM173" s="147" t="str">
        <f t="shared" si="91"/>
        <v>0.084051114779791+0.401294953449275i</v>
      </c>
      <c r="AN173" s="147" t="str">
        <f t="shared" si="92"/>
        <v>0.412930192486959i</v>
      </c>
      <c r="AO173" s="147" t="str">
        <f t="shared" si="93"/>
        <v>0.971822745710096-0.203547999901813i</v>
      </c>
      <c r="AP173" s="147" t="str">
        <f t="shared" si="94"/>
        <v>0.152658147536702-0.0668824922415458i</v>
      </c>
      <c r="AQ173" s="147" t="str">
        <f t="shared" si="95"/>
        <v>0.847341852463298+0.0668824922415458i</v>
      </c>
      <c r="AR173" s="147" t="str">
        <f t="shared" si="96"/>
        <v>0.97698739655959-0.077115690415298i</v>
      </c>
    </row>
    <row r="174" spans="7:44">
      <c r="G174" s="585">
        <v>9772.4</v>
      </c>
      <c r="H174" s="573">
        <f t="shared" si="88"/>
        <v>9.7723999999999993</v>
      </c>
      <c r="I174" s="574">
        <f t="shared" si="66"/>
        <v>27.620723593214571</v>
      </c>
      <c r="J174" s="575">
        <f t="shared" si="67"/>
        <v>1.5345837131403475</v>
      </c>
      <c r="K174" s="575">
        <f t="shared" si="68"/>
        <v>1.0000912342194814</v>
      </c>
      <c r="L174" s="576">
        <f t="shared" si="69"/>
        <v>1.3507574439482681E-2</v>
      </c>
      <c r="M174" s="575">
        <f t="shared" si="70"/>
        <v>1.0002099564252567</v>
      </c>
      <c r="N174" s="576">
        <f t="shared" si="71"/>
        <v>-2.0489982776294501E-2</v>
      </c>
      <c r="O174" s="574">
        <f t="shared" si="72"/>
        <v>405251.88017098577</v>
      </c>
      <c r="P174" s="577">
        <f t="shared" si="73"/>
        <v>1.5707938591937602</v>
      </c>
      <c r="Q174" s="586">
        <f t="shared" si="100"/>
        <v>16.375720692218447</v>
      </c>
      <c r="R174" s="587">
        <f t="shared" si="101"/>
        <v>1.5096922951764153</v>
      </c>
      <c r="S174" s="574">
        <f t="shared" si="76"/>
        <v>1.000609489653816</v>
      </c>
      <c r="T174" s="577">
        <f t="shared" si="77"/>
        <v>3.490502112980632E-2</v>
      </c>
      <c r="U174" s="578">
        <f t="shared" si="89"/>
        <v>0.97278517962895839</v>
      </c>
      <c r="V174" s="579">
        <f t="shared" si="90"/>
        <v>-0.28682410153095933</v>
      </c>
      <c r="W174" s="580">
        <f t="shared" si="78"/>
        <v>-7.2196273344212933</v>
      </c>
      <c r="X174" s="581">
        <f t="shared" si="79"/>
        <v>-110.25981534173395</v>
      </c>
      <c r="Y174" s="584">
        <f t="shared" si="80"/>
        <v>69.740184658266045</v>
      </c>
      <c r="AA174" s="147">
        <f t="shared" si="81"/>
        <v>9772.4</v>
      </c>
      <c r="AB174" s="147">
        <f t="shared" si="82"/>
        <v>95499801.75999999</v>
      </c>
      <c r="AD174" s="583">
        <f t="shared" si="83"/>
        <v>17.229665432022809</v>
      </c>
      <c r="AE174" s="584">
        <f t="shared" si="84"/>
        <v>-5.500772140680688</v>
      </c>
      <c r="AG174" s="583">
        <f t="shared" si="85"/>
        <v>4.6573046964310363</v>
      </c>
      <c r="AH174" s="584">
        <f t="shared" si="86"/>
        <v>-71.891422202784923</v>
      </c>
      <c r="AJ174" s="147">
        <f t="shared" si="87"/>
        <v>0</v>
      </c>
      <c r="AK174" s="147">
        <f t="shared" si="99"/>
        <v>0</v>
      </c>
      <c r="AM174" s="147" t="str">
        <f t="shared" si="91"/>
        <v>0.085002284139761+0.403459018948077i</v>
      </c>
      <c r="AN174" s="147" t="str">
        <f t="shared" si="92"/>
        <v>0.415294067533679i</v>
      </c>
      <c r="AO174" s="147" t="str">
        <f t="shared" si="93"/>
        <v>0.971502004216224-0.204679745715047i</v>
      </c>
      <c r="AP174" s="147" t="str">
        <f t="shared" si="94"/>
        <v>0.15249961931004-0.0672431698246795i</v>
      </c>
      <c r="AQ174" s="147" t="str">
        <f t="shared" si="95"/>
        <v>0.84750038068996+0.0672431698246795i</v>
      </c>
      <c r="AR174" s="147" t="str">
        <f t="shared" si="96"/>
        <v>0.97674153128211-0.0774975423720167i</v>
      </c>
    </row>
    <row r="175" spans="7:44">
      <c r="G175" s="585">
        <v>9829.2999999999993</v>
      </c>
      <c r="H175" s="573">
        <f t="shared" si="88"/>
        <v>9.8292999999999999</v>
      </c>
      <c r="I175" s="574">
        <f t="shared" si="66"/>
        <v>27.781335631188224</v>
      </c>
      <c r="J175" s="575">
        <f t="shared" si="67"/>
        <v>1.5347931596339957</v>
      </c>
      <c r="K175" s="575">
        <f t="shared" si="68"/>
        <v>1.0000922996895505</v>
      </c>
      <c r="L175" s="576">
        <f t="shared" si="69"/>
        <v>1.3586212919659271E-2</v>
      </c>
      <c r="M175" s="575">
        <f t="shared" si="70"/>
        <v>1.00021240823399</v>
      </c>
      <c r="N175" s="576">
        <f t="shared" si="71"/>
        <v>-2.0609252441008578E-2</v>
      </c>
      <c r="O175" s="574">
        <f t="shared" si="72"/>
        <v>407611.46757854067</v>
      </c>
      <c r="P175" s="577">
        <f t="shared" si="73"/>
        <v>1.5707938734782469</v>
      </c>
      <c r="Q175" s="586">
        <f t="shared" si="100"/>
        <v>16.470714129954967</v>
      </c>
      <c r="R175" s="587">
        <f t="shared" si="101"/>
        <v>1.5100451429184238</v>
      </c>
      <c r="S175" s="574">
        <f t="shared" si="76"/>
        <v>1.0006166056554551</v>
      </c>
      <c r="T175" s="577">
        <f t="shared" si="77"/>
        <v>3.5108089854894428E-2</v>
      </c>
      <c r="U175" s="578">
        <f t="shared" si="89"/>
        <v>0.97248395560803191</v>
      </c>
      <c r="V175" s="579">
        <f t="shared" si="90"/>
        <v>-0.28845002162209649</v>
      </c>
      <c r="W175" s="580">
        <f t="shared" si="78"/>
        <v>-7.2728969236962051</v>
      </c>
      <c r="X175" s="581">
        <f t="shared" si="79"/>
        <v>-110.35872120931673</v>
      </c>
      <c r="Y175" s="584">
        <f t="shared" si="80"/>
        <v>69.641278790683273</v>
      </c>
      <c r="AA175" s="147">
        <f t="shared" si="81"/>
        <v>9829.2999999999993</v>
      </c>
      <c r="AB175" s="147">
        <f t="shared" si="82"/>
        <v>96615138.48999998</v>
      </c>
      <c r="AD175" s="583">
        <f t="shared" si="83"/>
        <v>17.229416698960456</v>
      </c>
      <c r="AE175" s="584">
        <f t="shared" si="84"/>
        <v>-5.4921912535825221</v>
      </c>
      <c r="AG175" s="583">
        <f t="shared" si="85"/>
        <v>4.6096638641454923</v>
      </c>
      <c r="AH175" s="584">
        <f t="shared" si="86"/>
        <v>-71.812592239157652</v>
      </c>
      <c r="AJ175" s="147">
        <f t="shared" si="87"/>
        <v>0</v>
      </c>
      <c r="AK175" s="147">
        <f t="shared" si="99"/>
        <v>0</v>
      </c>
      <c r="AM175" s="147" t="str">
        <f t="shared" si="91"/>
        <v>0.0859805455954959+0.405670355054561i</v>
      </c>
      <c r="AN175" s="147" t="str">
        <f t="shared" si="92"/>
        <v>0.417712125783716i</v>
      </c>
      <c r="AO175" s="147" t="str">
        <f t="shared" si="93"/>
        <v>0.97117208243222-0.205836843817206i</v>
      </c>
      <c r="AP175" s="147" t="str">
        <f t="shared" si="94"/>
        <v>0.152336575734084-0.0676117258424268i</v>
      </c>
      <c r="AQ175" s="147" t="str">
        <f t="shared" si="95"/>
        <v>0.847663424265916+0.0676117258424268i</v>
      </c>
      <c r="AR175" s="147" t="str">
        <f t="shared" si="96"/>
        <v>0.976488887945764-0.0778871626284229i</v>
      </c>
    </row>
    <row r="176" spans="7:44">
      <c r="G176" s="585">
        <v>9886.2000000000007</v>
      </c>
      <c r="H176" s="573">
        <f t="shared" si="88"/>
        <v>9.8862000000000005</v>
      </c>
      <c r="I176" s="574">
        <f t="shared" si="66"/>
        <v>27.941948873858454</v>
      </c>
      <c r="J176" s="575">
        <f t="shared" si="67"/>
        <v>1.5350001982959649</v>
      </c>
      <c r="K176" s="575">
        <f t="shared" si="68"/>
        <v>1.000093371344188</v>
      </c>
      <c r="L176" s="576">
        <f t="shared" si="69"/>
        <v>1.3664851231791317E-2</v>
      </c>
      <c r="M176" s="575">
        <f t="shared" si="70"/>
        <v>1.000214874270928</v>
      </c>
      <c r="N176" s="576">
        <f t="shared" si="71"/>
        <v>-2.0728521519298861E-2</v>
      </c>
      <c r="O176" s="574">
        <f t="shared" si="72"/>
        <v>409971.0549860957</v>
      </c>
      <c r="P176" s="577">
        <f t="shared" si="73"/>
        <v>1.570793887598305</v>
      </c>
      <c r="Q176" s="586">
        <f t="shared" si="100"/>
        <v>16.565709594802417</v>
      </c>
      <c r="R176" s="587">
        <f t="shared" si="101"/>
        <v>1.510393943918116</v>
      </c>
      <c r="S176" s="574">
        <f t="shared" si="76"/>
        <v>1.0006237629188404</v>
      </c>
      <c r="T176" s="577">
        <f t="shared" si="77"/>
        <v>3.5311155683335593E-2</v>
      </c>
      <c r="U176" s="578">
        <f t="shared" si="89"/>
        <v>0.9721812488732865</v>
      </c>
      <c r="V176" s="579">
        <f t="shared" si="90"/>
        <v>-0.29007520666117609</v>
      </c>
      <c r="W176" s="580">
        <f t="shared" si="78"/>
        <v>-7.3258876211337292</v>
      </c>
      <c r="X176" s="581">
        <f t="shared" si="79"/>
        <v>-110.45767866482343</v>
      </c>
      <c r="Y176" s="584">
        <f t="shared" si="80"/>
        <v>69.542321335176567</v>
      </c>
      <c r="AA176" s="147">
        <f t="shared" si="81"/>
        <v>9886.2000000000007</v>
      </c>
      <c r="AB176" s="147">
        <f t="shared" si="82"/>
        <v>97736950.440000013</v>
      </c>
      <c r="AD176" s="583">
        <f t="shared" si="83"/>
        <v>17.229170819204811</v>
      </c>
      <c r="AE176" s="584">
        <f t="shared" si="84"/>
        <v>-5.483842052353423</v>
      </c>
      <c r="AG176" s="583">
        <f t="shared" si="85"/>
        <v>4.5623272314938692</v>
      </c>
      <c r="AH176" s="584">
        <f t="shared" si="86"/>
        <v>-71.733666408346522</v>
      </c>
      <c r="AJ176" s="147">
        <f t="shared" si="87"/>
        <v>0</v>
      </c>
      <c r="AK176" s="147">
        <f t="shared" si="99"/>
        <v>0</v>
      </c>
      <c r="AM176" s="147" t="str">
        <f t="shared" si="91"/>
        <v>0.086964151325589+0.407879319205322i</v>
      </c>
      <c r="AN176" s="147" t="str">
        <f t="shared" si="92"/>
        <v>0.420130184033754i</v>
      </c>
      <c r="AO176" s="147" t="str">
        <f t="shared" si="93"/>
        <v>0.970840312612607-0.206993343088632i</v>
      </c>
      <c r="AP176" s="147" t="str">
        <f t="shared" si="94"/>
        <v>0.152172641445735-0.0679798865342203i</v>
      </c>
      <c r="AQ176" s="147" t="str">
        <f t="shared" si="95"/>
        <v>0.847827358554265+0.0679798865342203i</v>
      </c>
      <c r="AR176" s="147" t="str">
        <f t="shared" si="96"/>
        <v>0.976235094038308-0.0782757836885733i</v>
      </c>
    </row>
    <row r="177" spans="7:44">
      <c r="G177" s="585">
        <v>9943.1</v>
      </c>
      <c r="H177" s="573">
        <f t="shared" si="88"/>
        <v>9.9431000000000012</v>
      </c>
      <c r="I177" s="574">
        <f t="shared" si="66"/>
        <v>28.10256330056982</v>
      </c>
      <c r="J177" s="575">
        <f t="shared" si="67"/>
        <v>1.5352048703927537</v>
      </c>
      <c r="K177" s="575">
        <f t="shared" si="68"/>
        <v>1.0000944491833734</v>
      </c>
      <c r="L177" s="576">
        <f t="shared" si="69"/>
        <v>1.3743489374906758E-2</v>
      </c>
      <c r="M177" s="575">
        <f t="shared" si="70"/>
        <v>1.0002173545359654</v>
      </c>
      <c r="N177" s="576">
        <f t="shared" si="71"/>
        <v>-2.0847790007776458E-2</v>
      </c>
      <c r="O177" s="574">
        <f t="shared" si="72"/>
        <v>412330.64239365066</v>
      </c>
      <c r="P177" s="577">
        <f t="shared" si="73"/>
        <v>1.5707939015567571</v>
      </c>
      <c r="Q177" s="586">
        <f t="shared" si="100"/>
        <v>16.660707052086455</v>
      </c>
      <c r="R177" s="587">
        <f t="shared" si="101"/>
        <v>1.5107387673120793</v>
      </c>
      <c r="S177" s="574">
        <f t="shared" si="76"/>
        <v>1.0006309614430862</v>
      </c>
      <c r="T177" s="577">
        <f t="shared" si="77"/>
        <v>3.5514218598445002E-2</v>
      </c>
      <c r="U177" s="578">
        <f t="shared" si="89"/>
        <v>0.97187706364315329</v>
      </c>
      <c r="V177" s="579">
        <f t="shared" si="90"/>
        <v>-0.29169965331541159</v>
      </c>
      <c r="W177" s="580">
        <f t="shared" si="78"/>
        <v>-7.3786027901543108</v>
      </c>
      <c r="X177" s="581">
        <f t="shared" si="79"/>
        <v>-110.55668591952825</v>
      </c>
      <c r="Y177" s="584">
        <f t="shared" si="80"/>
        <v>69.443314080471751</v>
      </c>
      <c r="AA177" s="147">
        <f t="shared" si="81"/>
        <v>9943.1</v>
      </c>
      <c r="AB177" s="147">
        <f t="shared" si="82"/>
        <v>98865237.610000014</v>
      </c>
      <c r="AD177" s="583">
        <f t="shared" si="83"/>
        <v>17.228927719701673</v>
      </c>
      <c r="AE177" s="584">
        <f t="shared" si="84"/>
        <v>-5.4757205749644502</v>
      </c>
      <c r="AG177" s="583">
        <f t="shared" si="85"/>
        <v>4.5152914584969963</v>
      </c>
      <c r="AH177" s="584">
        <f t="shared" si="86"/>
        <v>-71.654647265563895</v>
      </c>
      <c r="AJ177" s="147">
        <f t="shared" si="87"/>
        <v>0</v>
      </c>
      <c r="AK177" s="147">
        <f t="shared" si="99"/>
        <v>0</v>
      </c>
      <c r="AM177" s="147" t="str">
        <f t="shared" si="91"/>
        <v>0.087953095578891+0.410085898484541i</v>
      </c>
      <c r="AN177" s="147" t="str">
        <f t="shared" si="92"/>
        <v>0.422548242283791i</v>
      </c>
      <c r="AO177" s="147" t="str">
        <f t="shared" si="93"/>
        <v>0.970506695917386-0.208149240199229i</v>
      </c>
      <c r="AP177" s="147" t="str">
        <f t="shared" si="94"/>
        <v>0.152007817403518-0.0683476497474235i</v>
      </c>
      <c r="AQ177" s="147" t="str">
        <f t="shared" si="95"/>
        <v>0.847992182596482+0.0683476497474235i</v>
      </c>
      <c r="AR177" s="147" t="str">
        <f t="shared" si="96"/>
        <v>0.975980154479322-0.0786634017716305i</v>
      </c>
    </row>
    <row r="178" spans="7:44" s="284" customFormat="1">
      <c r="G178" s="649">
        <v>10000</v>
      </c>
      <c r="H178" s="650">
        <f t="shared" si="88"/>
        <v>10</v>
      </c>
      <c r="I178" s="651">
        <f t="shared" si="66"/>
        <v>28.263178891136267</v>
      </c>
      <c r="J178" s="652">
        <f t="shared" si="67"/>
        <v>1.5354072162536174</v>
      </c>
      <c r="K178" s="652">
        <f t="shared" si="68"/>
        <v>1.0000955332070873</v>
      </c>
      <c r="L178" s="653">
        <f t="shared" si="69"/>
        <v>1.3822127348033553E-2</v>
      </c>
      <c r="M178" s="652">
        <f t="shared" si="70"/>
        <v>1.0002198490289964</v>
      </c>
      <c r="N178" s="653">
        <f t="shared" si="71"/>
        <v>-2.0967057903052592E-2</v>
      </c>
      <c r="O178" s="651">
        <f t="shared" si="72"/>
        <v>414690.22980120574</v>
      </c>
      <c r="P178" s="654">
        <f t="shared" si="73"/>
        <v>1.5707939153563621</v>
      </c>
      <c r="Q178" s="655">
        <f t="shared" si="100"/>
        <v>16.755706467918376</v>
      </c>
      <c r="R178" s="656">
        <f t="shared" si="101"/>
        <v>1.5110796806728066</v>
      </c>
      <c r="S178" s="651">
        <f t="shared" si="76"/>
        <v>1.0006382012273023</v>
      </c>
      <c r="T178" s="654">
        <f t="shared" si="77"/>
        <v>3.5717278583539305E-2</v>
      </c>
      <c r="U178" s="657">
        <f t="shared" si="89"/>
        <v>0.97157140414964005</v>
      </c>
      <c r="V178" s="658">
        <f t="shared" si="90"/>
        <v>-0.2933233582663361</v>
      </c>
      <c r="W178" s="659">
        <f t="shared" si="78"/>
        <v>-7.4310457355576407</v>
      </c>
      <c r="X178" s="660">
        <f t="shared" si="79"/>
        <v>-110.65574122143813</v>
      </c>
      <c r="Y178" s="661">
        <f t="shared" si="80"/>
        <v>69.344258778561866</v>
      </c>
      <c r="AA178" s="284">
        <f t="shared" si="81"/>
        <v>10000</v>
      </c>
      <c r="AB178" s="284">
        <f t="shared" si="82"/>
        <v>100000000</v>
      </c>
      <c r="AD178" s="662">
        <f t="shared" si="83"/>
        <v>17.228687329462385</v>
      </c>
      <c r="AE178" s="661">
        <f t="shared" si="84"/>
        <v>-5.4678229489991566</v>
      </c>
      <c r="AG178" s="662">
        <f>20*LOG10((K178*M178/(I178*U178))*Acs*Am)</f>
        <v>4.4685532615464503</v>
      </c>
      <c r="AH178" s="661">
        <f t="shared" si="86"/>
        <v>-71.575537311501549</v>
      </c>
      <c r="AJ178" s="284">
        <f t="shared" si="87"/>
        <v>0</v>
      </c>
      <c r="AK178" s="147">
        <f t="shared" si="99"/>
        <v>0</v>
      </c>
      <c r="AM178" s="284" t="str">
        <f t="shared" si="91"/>
        <v>0.088947372573045+0.412290079990342i</v>
      </c>
      <c r="AN178" s="284" t="str">
        <f t="shared" si="92"/>
        <v>0.424966300533829i</v>
      </c>
      <c r="AO178" s="284" t="str">
        <f t="shared" si="93"/>
        <v>0.970171233512955-0.209304531821258i</v>
      </c>
      <c r="AP178" s="284" t="str">
        <f t="shared" si="94"/>
        <v>0.151842104571159-0.0687150133317237i</v>
      </c>
      <c r="AQ178" s="284" t="str">
        <f t="shared" si="95"/>
        <v>0.848157895428841+0.0687150133317237i</v>
      </c>
      <c r="AR178" s="284" t="str">
        <f t="shared" si="96"/>
        <v>0.97572407420168-0.0790500131263322i</v>
      </c>
    </row>
    <row r="179" spans="7:44">
      <c r="G179" s="585">
        <v>10058.25</v>
      </c>
      <c r="H179" s="573">
        <f t="shared" si="88"/>
        <v>10.058249999999999</v>
      </c>
      <c r="I179" s="574">
        <f t="shared" si="66"/>
        <v>28.427606405676734</v>
      </c>
      <c r="J179" s="575">
        <f t="shared" si="67"/>
        <v>1.5356119944102757</v>
      </c>
      <c r="K179" s="575">
        <f t="shared" si="68"/>
        <v>1.0000966493565164</v>
      </c>
      <c r="L179" s="576">
        <f t="shared" si="69"/>
        <v>1.3902630895618563E-2</v>
      </c>
      <c r="M179" s="575">
        <f t="shared" si="70"/>
        <v>1.0002224174442005</v>
      </c>
      <c r="N179" s="576">
        <f t="shared" si="71"/>
        <v>-2.1089154910691021E-2</v>
      </c>
      <c r="O179" s="574">
        <f t="shared" si="72"/>
        <v>417105.80038978375</v>
      </c>
      <c r="P179" s="577">
        <f t="shared" si="73"/>
        <v>1.570793929321644</v>
      </c>
      <c r="Q179" s="586">
        <f t="shared" si="100"/>
        <v>16.852961818417491</v>
      </c>
      <c r="R179" s="587">
        <f t="shared" si="101"/>
        <v>1.5114247011542201</v>
      </c>
      <c r="S179" s="574">
        <f t="shared" si="76"/>
        <v>1.0006456555204819</v>
      </c>
      <c r="T179" s="577">
        <f t="shared" si="77"/>
        <v>3.5925153283761703E-2</v>
      </c>
      <c r="U179" s="578">
        <f t="shared" si="89"/>
        <v>0.97125696991657084</v>
      </c>
      <c r="V179" s="579">
        <f t="shared" si="90"/>
        <v>-0.29498481521467967</v>
      </c>
      <c r="W179" s="580">
        <f t="shared" si="78"/>
        <v>-7.4844543355526181</v>
      </c>
      <c r="X179" s="581">
        <f t="shared" si="79"/>
        <v>-110.7571946720777</v>
      </c>
      <c r="Y179" s="584">
        <f t="shared" si="80"/>
        <v>69.242805327922298</v>
      </c>
      <c r="AA179" s="147">
        <f t="shared" si="81"/>
        <v>10058.25</v>
      </c>
      <c r="AB179" s="147">
        <f t="shared" si="82"/>
        <v>101168393.0625</v>
      </c>
      <c r="AD179" s="583">
        <f t="shared" si="83"/>
        <v>17.228443970188998</v>
      </c>
      <c r="AE179" s="584">
        <f t="shared" si="84"/>
        <v>-5.4599658747016075</v>
      </c>
      <c r="AG179" s="583">
        <f t="shared" si="85"/>
        <v>4.4210110415860786</v>
      </c>
      <c r="AH179" s="584">
        <f t="shared" si="86"/>
        <v>-71.49445889425553</v>
      </c>
      <c r="AJ179" s="147">
        <f t="shared" si="87"/>
        <v>0</v>
      </c>
      <c r="AK179" s="147">
        <f t="shared" si="99"/>
        <v>0</v>
      </c>
      <c r="AM179" s="147" t="str">
        <f t="shared" si="91"/>
        <v>0.0899707575763971+0.414544060304721i</v>
      </c>
      <c r="AN179" s="147" t="str">
        <f t="shared" si="92"/>
        <v>0.427441729234438i</v>
      </c>
      <c r="AO179" s="147" t="str">
        <f t="shared" si="93"/>
        <v>0.969825901292283-0.210486603021978i</v>
      </c>
      <c r="AP179" s="147" t="str">
        <f t="shared" si="94"/>
        <v>0.151671540403934-0.0690906767174535i</v>
      </c>
      <c r="AQ179" s="147" t="str">
        <f t="shared" si="95"/>
        <v>0.848328459596066+0.0690906767174535i</v>
      </c>
      <c r="AR179" s="147" t="str">
        <f t="shared" si="96"/>
        <v>0.975460741733184-0.0794447504328044i</v>
      </c>
    </row>
    <row r="180" spans="7:44">
      <c r="G180" s="585">
        <v>10116.5</v>
      </c>
      <c r="H180" s="573">
        <f t="shared" si="88"/>
        <v>10.1165</v>
      </c>
      <c r="I180" s="574">
        <f t="shared" si="66"/>
        <v>28.592035098592142</v>
      </c>
      <c r="J180" s="575">
        <f t="shared" si="67"/>
        <v>1.535814417275726</v>
      </c>
      <c r="K180" s="575">
        <f t="shared" si="68"/>
        <v>1.0000977719873785</v>
      </c>
      <c r="L180" s="576">
        <f t="shared" si="69"/>
        <v>1.3983134262991437E-2</v>
      </c>
      <c r="M180" s="575">
        <f t="shared" si="70"/>
        <v>1.0002250007703226</v>
      </c>
      <c r="N180" s="576">
        <f t="shared" si="71"/>
        <v>-2.1211251289458746E-2</v>
      </c>
      <c r="O180" s="574">
        <f t="shared" si="72"/>
        <v>419521.37097836187</v>
      </c>
      <c r="P180" s="577">
        <f t="shared" si="73"/>
        <v>1.5707939431261035</v>
      </c>
      <c r="Q180" s="586">
        <f t="shared" si="100"/>
        <v>16.950219152056896</v>
      </c>
      <c r="R180" s="587">
        <f t="shared" si="101"/>
        <v>1.5117657623439018</v>
      </c>
      <c r="S180" s="574">
        <f t="shared" si="76"/>
        <v>1.0006531530528071</v>
      </c>
      <c r="T180" s="577">
        <f t="shared" si="77"/>
        <v>3.613302487790656E-2</v>
      </c>
      <c r="U180" s="578">
        <f t="shared" si="89"/>
        <v>0.97094099965262159</v>
      </c>
      <c r="V180" s="579">
        <f t="shared" si="90"/>
        <v>-0.29664548785507217</v>
      </c>
      <c r="W180" s="580">
        <f t="shared" si="78"/>
        <v>-7.5375844678961563</v>
      </c>
      <c r="X180" s="581">
        <f t="shared" si="79"/>
        <v>-110.85869487475635</v>
      </c>
      <c r="Y180" s="584">
        <f t="shared" si="80"/>
        <v>69.141305125243647</v>
      </c>
      <c r="AA180" s="147">
        <f t="shared" si="81"/>
        <v>10116.5</v>
      </c>
      <c r="AB180" s="147">
        <f t="shared" si="82"/>
        <v>102343572.25</v>
      </c>
      <c r="AD180" s="583">
        <f t="shared" si="83"/>
        <v>17.228203306038754</v>
      </c>
      <c r="AE180" s="584">
        <f t="shared" si="84"/>
        <v>-5.4523354639308499</v>
      </c>
      <c r="AG180" s="583">
        <f t="shared" si="85"/>
        <v>4.3737738970153757</v>
      </c>
      <c r="AH180" s="584">
        <f t="shared" si="86"/>
        <v>-71.41329044059286</v>
      </c>
      <c r="AJ180" s="147">
        <f t="shared" si="87"/>
        <v>0</v>
      </c>
      <c r="AK180" s="147">
        <f t="shared" si="99"/>
        <v>0</v>
      </c>
      <c r="AM180" s="147" t="str">
        <f t="shared" si="91"/>
        <v>0.0909997190060911+0.416795500399171i</v>
      </c>
      <c r="AN180" s="147" t="str">
        <f t="shared" si="92"/>
        <v>0.429917157935048i</v>
      </c>
      <c r="AO180" s="147" t="str">
        <f t="shared" si="93"/>
        <v>0.969478637235829-0.211668032611621i</v>
      </c>
      <c r="AP180" s="147" t="str">
        <f t="shared" si="94"/>
        <v>0.151500046832318-0.0694659167331952i</v>
      </c>
      <c r="AQ180" s="147" t="str">
        <f t="shared" si="95"/>
        <v>0.848499953167682+0.0694659167331952i</v>
      </c>
      <c r="AR180" s="147" t="str">
        <f t="shared" si="96"/>
        <v>0.975196224278814-0.0798384248123712i</v>
      </c>
    </row>
    <row r="181" spans="7:44">
      <c r="G181" s="585">
        <v>10174.75</v>
      </c>
      <c r="H181" s="573">
        <f t="shared" si="88"/>
        <v>10.17475</v>
      </c>
      <c r="I181" s="574">
        <f t="shared" si="66"/>
        <v>28.756464949668743</v>
      </c>
      <c r="J181" s="575">
        <f t="shared" si="67"/>
        <v>1.5360145252359954</v>
      </c>
      <c r="K181" s="575">
        <f t="shared" si="68"/>
        <v>1.0000989010996517</v>
      </c>
      <c r="L181" s="576">
        <f t="shared" si="69"/>
        <v>1.4063637449109332E-2</v>
      </c>
      <c r="M181" s="575">
        <f t="shared" si="70"/>
        <v>1.0002275990072478</v>
      </c>
      <c r="N181" s="576">
        <f t="shared" si="71"/>
        <v>-2.1333347035720335E-2</v>
      </c>
      <c r="O181" s="574">
        <f t="shared" si="72"/>
        <v>421936.94156693999</v>
      </c>
      <c r="P181" s="577">
        <f t="shared" si="73"/>
        <v>1.5707939567725036</v>
      </c>
      <c r="Q181" s="586">
        <f t="shared" si="100"/>
        <v>17.047478434894629</v>
      </c>
      <c r="R181" s="587">
        <f t="shared" si="101"/>
        <v>1.5121029319274781</v>
      </c>
      <c r="S181" s="574">
        <f t="shared" si="76"/>
        <v>1.000660693823306</v>
      </c>
      <c r="T181" s="577">
        <f t="shared" si="77"/>
        <v>3.6340893348079384E-2</v>
      </c>
      <c r="U181" s="578">
        <f t="shared" si="89"/>
        <v>0.97062349794150093</v>
      </c>
      <c r="V181" s="579">
        <f t="shared" si="90"/>
        <v>-0.2983053726740123</v>
      </c>
      <c r="W181" s="580">
        <f t="shared" si="78"/>
        <v>-7.5904394959913457</v>
      </c>
      <c r="X181" s="581">
        <f t="shared" si="79"/>
        <v>-110.96024006299805</v>
      </c>
      <c r="Y181" s="584">
        <f t="shared" si="80"/>
        <v>69.039759937001946</v>
      </c>
      <c r="AA181" s="147">
        <f t="shared" si="81"/>
        <v>10174.75</v>
      </c>
      <c r="AB181" s="147">
        <f t="shared" si="82"/>
        <v>103525537.5625</v>
      </c>
      <c r="AD181" s="583">
        <f t="shared" si="83"/>
        <v>17.227965267130521</v>
      </c>
      <c r="AE181" s="584">
        <f t="shared" si="84"/>
        <v>-5.4449278377191428</v>
      </c>
      <c r="AG181" s="583">
        <f t="shared" si="85"/>
        <v>4.3268384802936959</v>
      </c>
      <c r="AH181" s="584">
        <f t="shared" si="86"/>
        <v>-71.332034465622684</v>
      </c>
      <c r="AJ181" s="147">
        <f t="shared" si="87"/>
        <v>0</v>
      </c>
      <c r="AK181" s="147">
        <f t="shared" si="99"/>
        <v>0</v>
      </c>
      <c r="AM181" s="147" t="str">
        <f t="shared" si="91"/>
        <v>0.0920342505569151+0.419044386477443i</v>
      </c>
      <c r="AN181" s="147" t="str">
        <f t="shared" si="92"/>
        <v>0.432392586635657i</v>
      </c>
      <c r="AO181" s="147" t="str">
        <f t="shared" si="93"/>
        <v>0.969129442615857-0.212848817027627i</v>
      </c>
      <c r="AP181" s="147" t="str">
        <f t="shared" si="94"/>
        <v>0.151327624907181-0.0698407310795738i</v>
      </c>
      <c r="AQ181" s="147" t="str">
        <f t="shared" si="95"/>
        <v>0.848672375092819+0.0698407310795738i</v>
      </c>
      <c r="AR181" s="147" t="str">
        <f t="shared" si="96"/>
        <v>0.974930527172899-0.0802310323369517i</v>
      </c>
    </row>
    <row r="182" spans="7:44">
      <c r="G182" s="585">
        <v>10233</v>
      </c>
      <c r="H182" s="573">
        <f t="shared" si="88"/>
        <v>10.233000000000001</v>
      </c>
      <c r="I182" s="574">
        <f t="shared" si="66"/>
        <v>28.920895939152349</v>
      </c>
      <c r="J182" s="575">
        <f t="shared" si="67"/>
        <v>1.5362123577593967</v>
      </c>
      <c r="K182" s="575">
        <f t="shared" si="68"/>
        <v>1.0001000366933144</v>
      </c>
      <c r="L182" s="576">
        <f t="shared" si="69"/>
        <v>1.4144140452929419E-2</v>
      </c>
      <c r="M182" s="575">
        <f t="shared" si="70"/>
        <v>1.0002302121548594</v>
      </c>
      <c r="N182" s="576">
        <f t="shared" si="71"/>
        <v>-2.1455442145840491E-2</v>
      </c>
      <c r="O182" s="574">
        <f t="shared" si="72"/>
        <v>424352.51215551828</v>
      </c>
      <c r="P182" s="577">
        <f t="shared" si="73"/>
        <v>1.5707939702635427</v>
      </c>
      <c r="Q182" s="586">
        <f t="shared" si="100"/>
        <v>17.144739633758249</v>
      </c>
      <c r="R182" s="587">
        <f t="shared" si="101"/>
        <v>1.5124362760582535</v>
      </c>
      <c r="S182" s="574">
        <f t="shared" si="76"/>
        <v>1.0006682778310012</v>
      </c>
      <c r="T182" s="577">
        <f t="shared" si="77"/>
        <v>3.6548758676387294E-2</v>
      </c>
      <c r="U182" s="578">
        <f t="shared" si="89"/>
        <v>0.97030446938115433</v>
      </c>
      <c r="V182" s="579">
        <f t="shared" si="90"/>
        <v>-0.29996446617386324</v>
      </c>
      <c r="W182" s="580">
        <f t="shared" si="78"/>
        <v>-7.6430227245752933</v>
      </c>
      <c r="X182" s="581">
        <f t="shared" si="79"/>
        <v>-111.06182850644642</v>
      </c>
      <c r="Y182" s="584">
        <f t="shared" si="80"/>
        <v>68.938171493553583</v>
      </c>
      <c r="AA182" s="147">
        <f t="shared" si="81"/>
        <v>10233</v>
      </c>
      <c r="AB182" s="147">
        <f t="shared" si="82"/>
        <v>104714289</v>
      </c>
      <c r="AD182" s="583">
        <f t="shared" si="83"/>
        <v>17.227729785560214</v>
      </c>
      <c r="AE182" s="584">
        <f t="shared" si="84"/>
        <v>-5.4377392048907982</v>
      </c>
      <c r="AG182" s="583">
        <f t="shared" si="85"/>
        <v>4.2802015003732663</v>
      </c>
      <c r="AH182" s="584">
        <f t="shared" si="86"/>
        <v>-71.250693430964077</v>
      </c>
      <c r="AJ182" s="147">
        <f t="shared" si="87"/>
        <v>0</v>
      </c>
      <c r="AK182" s="147">
        <f t="shared" si="99"/>
        <v>0</v>
      </c>
      <c r="AM182" s="147" t="str">
        <f t="shared" si="91"/>
        <v>0.093074345889523+0.421290704758939i</v>
      </c>
      <c r="AN182" s="147" t="str">
        <f t="shared" si="92"/>
        <v>0.434868015336267i</v>
      </c>
      <c r="AO182" s="147" t="str">
        <f t="shared" si="93"/>
        <v>0.968778318711646-0.214028952710059i</v>
      </c>
      <c r="AP182" s="147" t="str">
        <f t="shared" si="94"/>
        <v>0.151154275685079-0.0702151174598232i</v>
      </c>
      <c r="AQ182" s="147" t="str">
        <f t="shared" si="95"/>
        <v>0.848845724314921+0.0702151174598232i</v>
      </c>
      <c r="AR182" s="147" t="str">
        <f t="shared" si="96"/>
        <v>0.974663655763445-0.0806225691111112i</v>
      </c>
    </row>
    <row r="183" spans="7:44">
      <c r="G183" s="585">
        <v>10292.5</v>
      </c>
      <c r="H183" s="573">
        <f t="shared" si="88"/>
        <v>10.2925</v>
      </c>
      <c r="I183" s="574">
        <f t="shared" si="66"/>
        <v>29.088856645881471</v>
      </c>
      <c r="J183" s="575">
        <f t="shared" si="67"/>
        <v>1.5364121265186039</v>
      </c>
      <c r="K183" s="575">
        <f t="shared" si="68"/>
        <v>1.0001012033474266</v>
      </c>
      <c r="L183" s="576">
        <f t="shared" si="69"/>
        <v>1.4226370799728265E-2</v>
      </c>
      <c r="M183" s="575">
        <f t="shared" si="70"/>
        <v>1.0002328967725558</v>
      </c>
      <c r="N183" s="576">
        <f t="shared" si="71"/>
        <v>-2.1580156662156961E-2</v>
      </c>
      <c r="O183" s="574">
        <f t="shared" si="72"/>
        <v>426819.91902282147</v>
      </c>
      <c r="P183" s="577">
        <f t="shared" si="73"/>
        <v>1.5707939838864347</v>
      </c>
      <c r="Q183" s="586">
        <f t="shared" si="100"/>
        <v>17.244089927242634</v>
      </c>
      <c r="R183" s="587">
        <f t="shared" si="101"/>
        <v>1.5127728912558784</v>
      </c>
      <c r="S183" s="574">
        <f t="shared" si="76"/>
        <v>1.000676069223527</v>
      </c>
      <c r="T183" s="577">
        <f t="shared" si="77"/>
        <v>3.6761081371733333E-2</v>
      </c>
      <c r="U183" s="578">
        <f t="shared" si="89"/>
        <v>0.96997702316176182</v>
      </c>
      <c r="V183" s="579">
        <f t="shared" si="90"/>
        <v>-0.30165834194537133</v>
      </c>
      <c r="W183" s="580">
        <f t="shared" si="78"/>
        <v>-7.6964571139802889</v>
      </c>
      <c r="X183" s="581">
        <f t="shared" si="79"/>
        <v>-111.16563985441103</v>
      </c>
      <c r="Y183" s="584">
        <f t="shared" si="80"/>
        <v>68.834360145588974</v>
      </c>
      <c r="AA183" s="147">
        <f t="shared" si="81"/>
        <v>10292.5</v>
      </c>
      <c r="AB183" s="147">
        <f t="shared" si="82"/>
        <v>105935556.25</v>
      </c>
      <c r="AD183" s="583">
        <f t="shared" si="83"/>
        <v>17.22749182237164</v>
      </c>
      <c r="AE183" s="584">
        <f t="shared" si="84"/>
        <v>-5.4306185496111752</v>
      </c>
      <c r="AG183" s="583">
        <f t="shared" si="85"/>
        <v>4.2328684744149507</v>
      </c>
      <c r="AH183" s="584">
        <f t="shared" si="86"/>
        <v>-71.167521568532763</v>
      </c>
      <c r="AJ183" s="147">
        <f t="shared" si="87"/>
        <v>0</v>
      </c>
      <c r="AK183" s="147">
        <f t="shared" si="99"/>
        <v>0</v>
      </c>
      <c r="AM183" s="147" t="str">
        <f t="shared" si="91"/>
        <v>0.094142498391674+0.423582561940317i</v>
      </c>
      <c r="AN183" s="147" t="str">
        <f t="shared" si="92"/>
        <v>0.437396564824443i</v>
      </c>
      <c r="AO183" s="147" t="str">
        <f t="shared" si="93"/>
        <v>0.968417669467362-0.215233739728751i</v>
      </c>
      <c r="AP183" s="147" t="str">
        <f t="shared" si="94"/>
        <v>0.150976250268054-0.0705970936567195i</v>
      </c>
      <c r="AQ183" s="147" t="str">
        <f t="shared" si="95"/>
        <v>0.849023749731946+0.0705970936567195i</v>
      </c>
      <c r="AR183" s="147" t="str">
        <f t="shared" si="96"/>
        <v>0.97438985070126-0.081021398482471i</v>
      </c>
    </row>
    <row r="184" spans="7:44">
      <c r="G184" s="585">
        <v>10352</v>
      </c>
      <c r="H184" s="573">
        <f t="shared" si="88"/>
        <v>10.352</v>
      </c>
      <c r="I184" s="574">
        <f t="shared" si="66"/>
        <v>29.256818500146935</v>
      </c>
      <c r="J184" s="575">
        <f t="shared" si="67"/>
        <v>1.5366096015617643</v>
      </c>
      <c r="K184" s="575">
        <f t="shared" si="68"/>
        <v>1.0001023767640373</v>
      </c>
      <c r="L184" s="576">
        <f t="shared" si="69"/>
        <v>1.4308600954121981E-2</v>
      </c>
      <c r="M184" s="575">
        <f t="shared" si="70"/>
        <v>1.0002355969475016</v>
      </c>
      <c r="N184" s="576">
        <f t="shared" si="71"/>
        <v>-2.17048705070698E-2</v>
      </c>
      <c r="O184" s="574">
        <f t="shared" si="72"/>
        <v>429287.32589012478</v>
      </c>
      <c r="P184" s="577">
        <f t="shared" si="73"/>
        <v>1.5707939973527265</v>
      </c>
      <c r="Q184" s="586">
        <f t="shared" si="100"/>
        <v>17.343442152265371</v>
      </c>
      <c r="R184" s="587">
        <f t="shared" si="101"/>
        <v>1.5131056498782383</v>
      </c>
      <c r="S184" s="574">
        <f t="shared" si="76"/>
        <v>1.0006839057267543</v>
      </c>
      <c r="T184" s="577">
        <f t="shared" si="77"/>
        <v>3.6973400751190134E-2</v>
      </c>
      <c r="U184" s="578">
        <f t="shared" si="89"/>
        <v>0.96964799360249621</v>
      </c>
      <c r="V184" s="579">
        <f t="shared" si="90"/>
        <v>-0.3033513847449868</v>
      </c>
      <c r="W184" s="580">
        <f t="shared" si="78"/>
        <v>-7.7496147022396853</v>
      </c>
      <c r="X184" s="581">
        <f t="shared" si="79"/>
        <v>-111.26949279543544</v>
      </c>
      <c r="Y184" s="584">
        <f t="shared" si="80"/>
        <v>68.73050720456456</v>
      </c>
      <c r="AA184" s="147">
        <f t="shared" si="81"/>
        <v>10352</v>
      </c>
      <c r="AB184" s="147">
        <f t="shared" si="82"/>
        <v>107163904</v>
      </c>
      <c r="AD184" s="583">
        <f t="shared" si="83"/>
        <v>17.227256390260163</v>
      </c>
      <c r="AE184" s="584">
        <f t="shared" si="84"/>
        <v>-5.4237186608588841</v>
      </c>
      <c r="AG184" s="583">
        <f t="shared" si="85"/>
        <v>4.1858400646193514</v>
      </c>
      <c r="AH184" s="584">
        <f t="shared" si="86"/>
        <v>-71.084265984181798</v>
      </c>
      <c r="AJ184" s="147">
        <f t="shared" si="87"/>
        <v>0</v>
      </c>
      <c r="AK184" s="147">
        <f t="shared" si="99"/>
        <v>0</v>
      </c>
      <c r="AM184" s="147" t="str">
        <f t="shared" si="91"/>
        <v>0.095216442547306+0.425871710921549i</v>
      </c>
      <c r="AN184" s="147" t="str">
        <f t="shared" si="92"/>
        <v>0.43992511431262i</v>
      </c>
      <c r="AO184" s="147" t="str">
        <f t="shared" si="93"/>
        <v>0.968055009969073-0.216437842372516i</v>
      </c>
      <c r="AP184" s="147" t="str">
        <f t="shared" si="94"/>
        <v>0.150797259575449-0.0709786184869248i</v>
      </c>
      <c r="AQ184" s="147" t="str">
        <f t="shared" si="95"/>
        <v>0.849202740424551+0.0709786184869248i</v>
      </c>
      <c r="AR184" s="147" t="str">
        <f t="shared" si="96"/>
        <v>0.974114831717861-0.0814191025436287i</v>
      </c>
    </row>
    <row r="185" spans="7:44">
      <c r="G185" s="585">
        <v>10411.5</v>
      </c>
      <c r="H185" s="573">
        <f t="shared" si="88"/>
        <v>10.4115</v>
      </c>
      <c r="I185" s="574">
        <f t="shared" si="66"/>
        <v>29.424781482297721</v>
      </c>
      <c r="J185" s="575">
        <f t="shared" si="67"/>
        <v>1.5368048221524164</v>
      </c>
      <c r="K185" s="575">
        <f t="shared" si="68"/>
        <v>1.0001035569431227</v>
      </c>
      <c r="L185" s="576">
        <f t="shared" si="69"/>
        <v>1.4390830914999198E-2</v>
      </c>
      <c r="M185" s="575">
        <f t="shared" si="70"/>
        <v>1.0002383126795711</v>
      </c>
      <c r="N185" s="576">
        <f t="shared" si="71"/>
        <v>-2.1829583676704973E-2</v>
      </c>
      <c r="O185" s="574">
        <f t="shared" si="72"/>
        <v>431754.73275742814</v>
      </c>
      <c r="P185" s="577">
        <f t="shared" si="73"/>
        <v>1.5707940106651033</v>
      </c>
      <c r="Q185" s="586">
        <f t="shared" si="100"/>
        <v>17.442796275820989</v>
      </c>
      <c r="R185" s="587">
        <f t="shared" si="101"/>
        <v>1.5134346177521329</v>
      </c>
      <c r="S185" s="574">
        <f t="shared" si="76"/>
        <v>1.0006917873396226</v>
      </c>
      <c r="T185" s="577">
        <f t="shared" si="77"/>
        <v>3.7185716795693304E-2</v>
      </c>
      <c r="U185" s="578">
        <f t="shared" si="89"/>
        <v>0.96931738564862846</v>
      </c>
      <c r="V185" s="579">
        <f t="shared" si="90"/>
        <v>-0.30504359089659178</v>
      </c>
      <c r="W185" s="580">
        <f t="shared" si="78"/>
        <v>-7.8024988304539242</v>
      </c>
      <c r="X185" s="581">
        <f t="shared" si="79"/>
        <v>-111.37338559583401</v>
      </c>
      <c r="Y185" s="584">
        <f t="shared" si="80"/>
        <v>68.626614404165991</v>
      </c>
      <c r="AA185" s="147">
        <f t="shared" si="81"/>
        <v>10411.5</v>
      </c>
      <c r="AB185" s="147">
        <f t="shared" si="82"/>
        <v>108399332.25</v>
      </c>
      <c r="AD185" s="583">
        <f t="shared" si="83"/>
        <v>17.227023422821336</v>
      </c>
      <c r="AE185" s="584">
        <f t="shared" si="84"/>
        <v>-5.4170357660976336</v>
      </c>
      <c r="AG185" s="583">
        <f t="shared" si="85"/>
        <v>4.1391129378866731</v>
      </c>
      <c r="AH185" s="584">
        <f t="shared" si="86"/>
        <v>-71.000929138013944</v>
      </c>
      <c r="AJ185" s="147">
        <f t="shared" si="87"/>
        <v>0</v>
      </c>
      <c r="AK185" s="147">
        <f t="shared" si="99"/>
        <v>0</v>
      </c>
      <c r="AM185" s="147" t="str">
        <f t="shared" si="91"/>
        <v>0.096296171490091+0.428158137066824i</v>
      </c>
      <c r="AN185" s="147" t="str">
        <f t="shared" si="92"/>
        <v>0.442453663800796i</v>
      </c>
      <c r="AO185" s="147" t="str">
        <f t="shared" si="93"/>
        <v>0.967690341602848-0.217641256855873i</v>
      </c>
      <c r="AP185" s="147" t="str">
        <f t="shared" si="94"/>
        <v>0.150617304751651-0.0713596895111373i</v>
      </c>
      <c r="AQ185" s="147" t="str">
        <f t="shared" si="95"/>
        <v>0.849382695248349+0.0713596895111373i</v>
      </c>
      <c r="AR185" s="147" t="str">
        <f t="shared" si="96"/>
        <v>0.973838604555676-0.0818156772486793i</v>
      </c>
    </row>
    <row r="186" spans="7:44">
      <c r="G186" s="585">
        <v>10471</v>
      </c>
      <c r="H186" s="573">
        <f t="shared" si="88"/>
        <v>10.471</v>
      </c>
      <c r="I186" s="574">
        <f t="shared" si="66"/>
        <v>29.592745573128816</v>
      </c>
      <c r="J186" s="575">
        <f t="shared" si="67"/>
        <v>1.5369978266633788</v>
      </c>
      <c r="K186" s="575">
        <f t="shared" si="68"/>
        <v>1.0001047438846589</v>
      </c>
      <c r="L186" s="576">
        <f t="shared" si="69"/>
        <v>1.4473060681248567E-2</v>
      </c>
      <c r="M186" s="575">
        <f t="shared" si="70"/>
        <v>1.0002410439686369</v>
      </c>
      <c r="N186" s="576">
        <f t="shared" si="71"/>
        <v>-2.1954296167188581E-2</v>
      </c>
      <c r="O186" s="574">
        <f t="shared" si="72"/>
        <v>434222.13962473156</v>
      </c>
      <c r="P186" s="577">
        <f t="shared" si="73"/>
        <v>1.5707940238261884</v>
      </c>
      <c r="Q186" s="586">
        <f t="shared" si="100"/>
        <v>17.542152265651108</v>
      </c>
      <c r="R186" s="587">
        <f t="shared" si="101"/>
        <v>1.5137598592163575</v>
      </c>
      <c r="S186" s="574">
        <f t="shared" si="76"/>
        <v>1.0006997140610665</v>
      </c>
      <c r="T186" s="577">
        <f t="shared" si="77"/>
        <v>3.7398029486180269E-2</v>
      </c>
      <c r="U186" s="578">
        <f t="shared" si="89"/>
        <v>0.96898520426017487</v>
      </c>
      <c r="V186" s="579">
        <f t="shared" si="90"/>
        <v>-0.30673495674152773</v>
      </c>
      <c r="W186" s="580">
        <f t="shared" si="78"/>
        <v>-7.8551127815241166</v>
      </c>
      <c r="X186" s="581">
        <f t="shared" si="79"/>
        <v>-111.47731655714001</v>
      </c>
      <c r="Y186" s="584">
        <f t="shared" si="80"/>
        <v>68.522683442859986</v>
      </c>
      <c r="AA186" s="147">
        <f t="shared" si="81"/>
        <v>10471</v>
      </c>
      <c r="AB186" s="147">
        <f t="shared" si="82"/>
        <v>109641841</v>
      </c>
      <c r="AD186" s="583">
        <f t="shared" si="83"/>
        <v>17.226792855526448</v>
      </c>
      <c r="AE186" s="584">
        <f t="shared" si="84"/>
        <v>-5.4105661780441201</v>
      </c>
      <c r="AG186" s="583">
        <f t="shared" si="85"/>
        <v>4.0926838172345672</v>
      </c>
      <c r="AH186" s="584">
        <f t="shared" si="86"/>
        <v>-70.917513438097188</v>
      </c>
      <c r="AJ186" s="147">
        <f t="shared" si="87"/>
        <v>0</v>
      </c>
      <c r="AK186" s="147">
        <f t="shared" si="99"/>
        <v>0</v>
      </c>
      <c r="AM186" s="147" t="str">
        <f t="shared" si="91"/>
        <v>0.09738167831672+0.430441825757742i</v>
      </c>
      <c r="AN186" s="147" t="str">
        <f t="shared" si="92"/>
        <v>0.444982213288972i</v>
      </c>
      <c r="AO186" s="147" t="str">
        <f t="shared" si="93"/>
        <v>0.967323665762372-0.218843979396274i</v>
      </c>
      <c r="AP186" s="147" t="str">
        <f t="shared" si="94"/>
        <v>0.150436386947213-0.071740304292957i</v>
      </c>
      <c r="AQ186" s="147" t="str">
        <f t="shared" si="95"/>
        <v>0.849563613052787+0.071740304292957i</v>
      </c>
      <c r="AR186" s="147" t="str">
        <f t="shared" si="96"/>
        <v>0.973561174970995-0.0822111185874062i</v>
      </c>
    </row>
    <row r="187" spans="7:44">
      <c r="G187" s="585">
        <v>10532</v>
      </c>
      <c r="H187" s="573">
        <f t="shared" si="88"/>
        <v>10.532</v>
      </c>
      <c r="I187" s="574">
        <f t="shared" si="66"/>
        <v>29.764945184113547</v>
      </c>
      <c r="J187" s="575">
        <f t="shared" si="67"/>
        <v>1.537193435508134</v>
      </c>
      <c r="K187" s="575">
        <f t="shared" si="68"/>
        <v>1.0001059677693882</v>
      </c>
      <c r="L187" s="576">
        <f t="shared" si="69"/>
        <v>1.4557363263602159E-2</v>
      </c>
      <c r="M187" s="575">
        <f t="shared" si="70"/>
        <v>1.0002438602638262</v>
      </c>
      <c r="N187" s="576">
        <f t="shared" si="71"/>
        <v>-2.2082151960932439E-2</v>
      </c>
      <c r="O187" s="574">
        <f t="shared" si="72"/>
        <v>436751.75002650486</v>
      </c>
      <c r="P187" s="577">
        <f t="shared" si="73"/>
        <v>1.5707940371646891</v>
      </c>
      <c r="Q187" s="586">
        <f t="shared" si="100"/>
        <v>17.644014932769981</v>
      </c>
      <c r="R187" s="587">
        <f t="shared" si="101"/>
        <v>1.5140894973669119</v>
      </c>
      <c r="S187" s="574">
        <f t="shared" si="76"/>
        <v>1.0007078874433983</v>
      </c>
      <c r="T187" s="577">
        <f t="shared" si="77"/>
        <v>3.7615691095567345E-2</v>
      </c>
      <c r="U187" s="578">
        <f t="shared" si="89"/>
        <v>0.96864302032455962</v>
      </c>
      <c r="V187" s="579">
        <f t="shared" si="90"/>
        <v>-0.30846808589987929</v>
      </c>
      <c r="W187" s="580">
        <f t="shared" si="78"/>
        <v>-7.9087760317656643</v>
      </c>
      <c r="X187" s="581">
        <f t="shared" si="79"/>
        <v>-111.58390550084962</v>
      </c>
      <c r="Y187" s="584">
        <f t="shared" si="80"/>
        <v>68.416094499150375</v>
      </c>
      <c r="AA187" s="147">
        <f t="shared" si="81"/>
        <v>10532</v>
      </c>
      <c r="AB187" s="147">
        <f t="shared" si="82"/>
        <v>110923024</v>
      </c>
      <c r="AD187" s="583">
        <f t="shared" si="83"/>
        <v>17.226558901635929</v>
      </c>
      <c r="AE187" s="584">
        <f t="shared" si="84"/>
        <v>-5.4041511590632316</v>
      </c>
      <c r="AG187" s="583">
        <f t="shared" si="85"/>
        <v>4.045390211711859</v>
      </c>
      <c r="AH187" s="584">
        <f t="shared" si="86"/>
        <v>-70.831915428311575</v>
      </c>
      <c r="AJ187" s="147">
        <f t="shared" si="87"/>
        <v>0</v>
      </c>
      <c r="AK187" s="147">
        <f t="shared" si="99"/>
        <v>0</v>
      </c>
      <c r="AM187" s="147" t="str">
        <f t="shared" si="91"/>
        <v>0.098500541807286+0.432780229306103i</v>
      </c>
      <c r="AN187" s="147" t="str">
        <f t="shared" si="92"/>
        <v>0.447574507722229i</v>
      </c>
      <c r="AO187" s="147" t="str">
        <f t="shared" si="93"/>
        <v>0.966945663435087-0.220076300387548i</v>
      </c>
      <c r="AP187" s="147" t="str">
        <f t="shared" si="94"/>
        <v>0.150249909698786-0.0721300382176838i</v>
      </c>
      <c r="AQ187" s="147" t="str">
        <f t="shared" si="95"/>
        <v>0.849750090301214+0.0721300382176838i</v>
      </c>
      <c r="AR187" s="147" t="str">
        <f t="shared" si="96"/>
        <v>0.97327550912916-0.082615348290151i</v>
      </c>
    </row>
    <row r="188" spans="7:44">
      <c r="G188" s="585">
        <v>10593</v>
      </c>
      <c r="H188" s="573">
        <f t="shared" si="88"/>
        <v>10.593</v>
      </c>
      <c r="I188" s="574">
        <f t="shared" si="66"/>
        <v>29.937145920887104</v>
      </c>
      <c r="J188" s="575">
        <f t="shared" si="67"/>
        <v>1.5373867940463573</v>
      </c>
      <c r="K188" s="575">
        <f t="shared" si="68"/>
        <v>1.0001071987617787</v>
      </c>
      <c r="L188" s="576">
        <f t="shared" si="69"/>
        <v>1.4641665639025456E-2</v>
      </c>
      <c r="M188" s="575">
        <f t="shared" si="70"/>
        <v>1.0002466929100138</v>
      </c>
      <c r="N188" s="576">
        <f t="shared" si="71"/>
        <v>-2.2210007032604544E-2</v>
      </c>
      <c r="O188" s="574">
        <f t="shared" si="72"/>
        <v>439281.36042827828</v>
      </c>
      <c r="P188" s="577">
        <f t="shared" si="73"/>
        <v>1.5707940503495701</v>
      </c>
      <c r="Q188" s="586">
        <f t="shared" si="100"/>
        <v>17.745879495100521</v>
      </c>
      <c r="R188" s="587">
        <f t="shared" si="101"/>
        <v>1.5144153511871634</v>
      </c>
      <c r="S188" s="574">
        <f t="shared" si="76"/>
        <v>1.0007161082350677</v>
      </c>
      <c r="T188" s="577">
        <f t="shared" si="77"/>
        <v>3.7833349139125595E-2</v>
      </c>
      <c r="U188" s="578">
        <f t="shared" si="89"/>
        <v>0.96829919322618108</v>
      </c>
      <c r="V188" s="579">
        <f t="shared" si="90"/>
        <v>-0.31020032411768989</v>
      </c>
      <c r="W188" s="580">
        <f t="shared" si="78"/>
        <v>-7.9621621168654002</v>
      </c>
      <c r="X188" s="581">
        <f t="shared" si="79"/>
        <v>-111.69053104789015</v>
      </c>
      <c r="Y188" s="584">
        <f t="shared" si="80"/>
        <v>68.309468952109853</v>
      </c>
      <c r="AA188" s="147">
        <f t="shared" si="81"/>
        <v>10593</v>
      </c>
      <c r="AB188" s="147">
        <f t="shared" si="82"/>
        <v>112211649</v>
      </c>
      <c r="AD188" s="583">
        <f t="shared" si="83"/>
        <v>17.226327338850943</v>
      </c>
      <c r="AE188" s="584">
        <f t="shared" si="84"/>
        <v>-5.3979527531285161</v>
      </c>
      <c r="AG188" s="583">
        <f t="shared" si="85"/>
        <v>3.9984030272589548</v>
      </c>
      <c r="AH188" s="584">
        <f t="shared" si="86"/>
        <v>-70.746239503076353</v>
      </c>
      <c r="AJ188" s="147">
        <f t="shared" si="87"/>
        <v>0</v>
      </c>
      <c r="AK188" s="147">
        <f t="shared" si="99"/>
        <v>0</v>
      </c>
      <c r="AM188" s="147" t="str">
        <f t="shared" si="91"/>
        <v>0.099625463362189+0.435115724577092i</v>
      </c>
      <c r="AN188" s="147" t="str">
        <f t="shared" si="92"/>
        <v>0.450166802155485i</v>
      </c>
      <c r="AO188" s="147" t="str">
        <f t="shared" si="93"/>
        <v>0.966565554131656-0.22130788606615i</v>
      </c>
      <c r="AP188" s="147" t="str">
        <f t="shared" si="94"/>
        <v>0.150062422772968-0.0725192874295153i</v>
      </c>
      <c r="AQ188" s="147" t="str">
        <f t="shared" si="95"/>
        <v>0.849937577227032+0.0725192874295153i</v>
      </c>
      <c r="AR188" s="147" t="str">
        <f t="shared" si="96"/>
        <v>0.972988591770751-0.0830183783407597i</v>
      </c>
    </row>
    <row r="189" spans="7:44">
      <c r="G189" s="585">
        <v>10654</v>
      </c>
      <c r="H189" s="573">
        <f t="shared" si="88"/>
        <v>10.654</v>
      </c>
      <c r="I189" s="574">
        <f t="shared" si="66"/>
        <v>30.109347764133737</v>
      </c>
      <c r="J189" s="575">
        <f t="shared" si="67"/>
        <v>1.5375779408734283</v>
      </c>
      <c r="K189" s="575">
        <f t="shared" si="68"/>
        <v>1.0001084368618041</v>
      </c>
      <c r="L189" s="576">
        <f t="shared" si="69"/>
        <v>1.4725967806320964E-2</v>
      </c>
      <c r="M189" s="575">
        <f t="shared" si="70"/>
        <v>1.0002495419070605</v>
      </c>
      <c r="N189" s="576">
        <f t="shared" si="71"/>
        <v>-2.2337861378030968E-2</v>
      </c>
      <c r="O189" s="574">
        <f t="shared" si="72"/>
        <v>441810.97083005175</v>
      </c>
      <c r="P189" s="577">
        <f t="shared" si="73"/>
        <v>1.5707940633834696</v>
      </c>
      <c r="Q189" s="586">
        <f t="shared" si="100"/>
        <v>17.84774592019243</v>
      </c>
      <c r="R189" s="587">
        <f t="shared" si="101"/>
        <v>1.5147374854047737</v>
      </c>
      <c r="S189" s="574">
        <f t="shared" si="76"/>
        <v>1.0007243764349065</v>
      </c>
      <c r="T189" s="577">
        <f t="shared" si="77"/>
        <v>3.8051003596320028E-2</v>
      </c>
      <c r="U189" s="578">
        <f t="shared" si="89"/>
        <v>0.96795372835673876</v>
      </c>
      <c r="V189" s="579">
        <f t="shared" si="90"/>
        <v>-0.31193166750996137</v>
      </c>
      <c r="W189" s="580">
        <f t="shared" si="78"/>
        <v>-8.01527439244866</v>
      </c>
      <c r="X189" s="581">
        <f t="shared" si="79"/>
        <v>-111.79719147720212</v>
      </c>
      <c r="Y189" s="584">
        <f t="shared" si="80"/>
        <v>68.202808522797881</v>
      </c>
      <c r="AA189" s="147">
        <f t="shared" si="81"/>
        <v>10654</v>
      </c>
      <c r="AB189" s="147">
        <f t="shared" si="82"/>
        <v>113507716</v>
      </c>
      <c r="AD189" s="583">
        <f t="shared" si="83"/>
        <v>17.226098103371633</v>
      </c>
      <c r="AE189" s="584">
        <f t="shared" si="84"/>
        <v>-5.3919672505927378</v>
      </c>
      <c r="AG189" s="583">
        <f t="shared" si="85"/>
        <v>3.951718908232305</v>
      </c>
      <c r="AH189" s="584">
        <f t="shared" si="86"/>
        <v>-70.660488096167327</v>
      </c>
      <c r="AJ189" s="147">
        <f t="shared" si="87"/>
        <v>0</v>
      </c>
      <c r="AK189" s="147">
        <f t="shared" si="99"/>
        <v>0</v>
      </c>
      <c r="AM189" s="147" t="str">
        <f t="shared" si="91"/>
        <v>0.100756435421973+0.437448295876215i</v>
      </c>
      <c r="AN189" s="147" t="str">
        <f t="shared" si="92"/>
        <v>0.452759096588741i</v>
      </c>
      <c r="AO189" s="147" t="str">
        <f t="shared" si="93"/>
        <v>0.966183339378748-0.222538732365866i</v>
      </c>
      <c r="AP189" s="147" t="str">
        <f t="shared" si="94"/>
        <v>0.149873927429671-0.0729080493127025i</v>
      </c>
      <c r="AQ189" s="147" t="str">
        <f t="shared" si="95"/>
        <v>0.850126072570329+0.0729080493127025i</v>
      </c>
      <c r="AR189" s="147" t="str">
        <f t="shared" si="96"/>
        <v>0.972700429142143-0.0834202045350343i</v>
      </c>
    </row>
    <row r="190" spans="7:44">
      <c r="G190" s="585">
        <v>10715</v>
      </c>
      <c r="H190" s="573">
        <f t="shared" si="88"/>
        <v>10.715</v>
      </c>
      <c r="I190" s="574">
        <f t="shared" si="66"/>
        <v>30.281550694976925</v>
      </c>
      <c r="J190" s="575">
        <f t="shared" si="67"/>
        <v>1.5377669137074546</v>
      </c>
      <c r="K190" s="575">
        <f t="shared" si="68"/>
        <v>1.0001096820694377</v>
      </c>
      <c r="L190" s="576">
        <f t="shared" si="69"/>
        <v>1.4810269764291213E-2</v>
      </c>
      <c r="M190" s="575">
        <f t="shared" si="70"/>
        <v>1.0002524072548267</v>
      </c>
      <c r="N190" s="576">
        <f t="shared" si="71"/>
        <v>-2.2465714993037938E-2</v>
      </c>
      <c r="O190" s="574">
        <f t="shared" si="72"/>
        <v>444340.58123182529</v>
      </c>
      <c r="P190" s="577">
        <f t="shared" si="73"/>
        <v>1.5707940762689663</v>
      </c>
      <c r="Q190" s="586">
        <f t="shared" si="100"/>
        <v>17.949614176331465</v>
      </c>
      <c r="R190" s="587">
        <f t="shared" si="101"/>
        <v>1.5150559632811542</v>
      </c>
      <c r="S190" s="574">
        <f t="shared" si="76"/>
        <v>1.0007326920417396</v>
      </c>
      <c r="T190" s="577">
        <f t="shared" si="77"/>
        <v>3.8268654446617721E-2</v>
      </c>
      <c r="U190" s="578">
        <f t="shared" si="89"/>
        <v>0.96760663112334777</v>
      </c>
      <c r="V190" s="579">
        <f t="shared" si="90"/>
        <v>-0.31366211221115309</v>
      </c>
      <c r="W190" s="580">
        <f t="shared" si="78"/>
        <v>-8.0681161555496566</v>
      </c>
      <c r="X190" s="581">
        <f t="shared" si="79"/>
        <v>-111.90388510258359</v>
      </c>
      <c r="Y190" s="584">
        <f t="shared" si="80"/>
        <v>68.096114897416413</v>
      </c>
      <c r="AA190" s="147">
        <f t="shared" si="81"/>
        <v>10715</v>
      </c>
      <c r="AB190" s="147">
        <f t="shared" si="82"/>
        <v>114811225</v>
      </c>
      <c r="AD190" s="583">
        <f t="shared" si="83"/>
        <v>17.225871133204016</v>
      </c>
      <c r="AE190" s="584">
        <f t="shared" si="84"/>
        <v>-5.3861910258153189</v>
      </c>
      <c r="AG190" s="583">
        <f t="shared" si="85"/>
        <v>3.9053345555545627</v>
      </c>
      <c r="AH190" s="584">
        <f t="shared" si="86"/>
        <v>-70.57466358998154</v>
      </c>
      <c r="AJ190" s="147">
        <f t="shared" si="87"/>
        <v>0</v>
      </c>
      <c r="AK190" s="147">
        <f t="shared" si="99"/>
        <v>0</v>
      </c>
      <c r="AM190" s="147" t="str">
        <f t="shared" si="91"/>
        <v>0.101893450386521+0.439777927528623i</v>
      </c>
      <c r="AN190" s="147" t="str">
        <f t="shared" si="92"/>
        <v>0.455351391021998i</v>
      </c>
      <c r="AO190" s="147" t="str">
        <f t="shared" si="93"/>
        <v>0.965799020711408-0.223768835223781i</v>
      </c>
      <c r="AP190" s="147" t="str">
        <f t="shared" si="94"/>
        <v>0.14968442493558-0.0732963212547705i</v>
      </c>
      <c r="AQ190" s="147" t="str">
        <f t="shared" si="95"/>
        <v>0.85031557506442+0.0732963212547705i</v>
      </c>
      <c r="AR190" s="147" t="str">
        <f t="shared" si="96"/>
        <v>0.972411027503863-0.0838208227083279i</v>
      </c>
    </row>
    <row r="191" spans="7:44">
      <c r="G191" s="585">
        <v>10777.5</v>
      </c>
      <c r="H191" s="573">
        <f t="shared" si="88"/>
        <v>10.7775</v>
      </c>
      <c r="I191" s="574">
        <f t="shared" si="66"/>
        <v>30.457989232871235</v>
      </c>
      <c r="J191" s="575">
        <f t="shared" si="67"/>
        <v>1.5379583171204707</v>
      </c>
      <c r="K191" s="575">
        <f t="shared" si="68"/>
        <v>1.0001109652688265</v>
      </c>
      <c r="L191" s="576">
        <f t="shared" si="69"/>
        <v>1.489664450286622E-2</v>
      </c>
      <c r="M191" s="575">
        <f t="shared" si="70"/>
        <v>1.0002553600205808</v>
      </c>
      <c r="N191" s="576">
        <f t="shared" si="71"/>
        <v>-2.2596711787451221E-2</v>
      </c>
      <c r="O191" s="574">
        <f t="shared" si="72"/>
        <v>446932.39516806876</v>
      </c>
      <c r="P191" s="577">
        <f t="shared" si="73"/>
        <v>1.5707940893200327</v>
      </c>
      <c r="Q191" s="586">
        <f t="shared" si="100"/>
        <v>18.053989256317255</v>
      </c>
      <c r="R191" s="587">
        <f t="shared" si="101"/>
        <v>1.515378544921699</v>
      </c>
      <c r="S191" s="574">
        <f t="shared" si="76"/>
        <v>1.0007412612994178</v>
      </c>
      <c r="T191" s="577">
        <f t="shared" si="77"/>
        <v>3.8491653604507244E-2</v>
      </c>
      <c r="U191" s="578">
        <f t="shared" si="89"/>
        <v>0.96724931131464265</v>
      </c>
      <c r="V191" s="579">
        <f t="shared" si="90"/>
        <v>-0.31543417269835988</v>
      </c>
      <c r="W191" s="580">
        <f t="shared" si="78"/>
        <v>-8.1219801215263949</v>
      </c>
      <c r="X191" s="581">
        <f t="shared" si="79"/>
        <v>-112.0132350446918</v>
      </c>
      <c r="Y191" s="584">
        <f t="shared" si="80"/>
        <v>67.986764955308203</v>
      </c>
      <c r="AA191" s="147">
        <f t="shared" si="81"/>
        <v>10777.5</v>
      </c>
      <c r="AB191" s="147">
        <f t="shared" si="82"/>
        <v>116154506.25</v>
      </c>
      <c r="AD191" s="583">
        <f t="shared" si="83"/>
        <v>17.225640868365101</v>
      </c>
      <c r="AE191" s="584">
        <f t="shared" si="84"/>
        <v>-5.3804861176102428</v>
      </c>
      <c r="AG191" s="583">
        <f t="shared" si="85"/>
        <v>3.8581171263284952</v>
      </c>
      <c r="AH191" s="584">
        <f t="shared" si="86"/>
        <v>-70.486655266145107</v>
      </c>
      <c r="AJ191" s="147">
        <f t="shared" si="87"/>
        <v>0</v>
      </c>
      <c r="AK191" s="147">
        <f t="shared" si="99"/>
        <v>0</v>
      </c>
      <c r="AM191" s="147" t="str">
        <f t="shared" si="91"/>
        <v>0.103064684371149+0.442161779869962i</v>
      </c>
      <c r="AN191" s="147" t="str">
        <f t="shared" si="92"/>
        <v>0.458007430400334i</v>
      </c>
      <c r="AO191" s="147" t="str">
        <f t="shared" si="93"/>
        <v>0.96540307104511-0.225028411178968i</v>
      </c>
      <c r="AP191" s="147" t="str">
        <f t="shared" si="94"/>
        <v>0.149489219271475-0.073693629978327i</v>
      </c>
      <c r="AQ191" s="147" t="str">
        <f t="shared" si="95"/>
        <v>0.850510780728525+0.073693629978327i</v>
      </c>
      <c r="AR191" s="147" t="str">
        <f t="shared" si="96"/>
        <v>0.972113230907557-0.0842300348905322i</v>
      </c>
    </row>
    <row r="192" spans="7:44">
      <c r="G192" s="585">
        <v>10840</v>
      </c>
      <c r="H192" s="573">
        <f t="shared" si="88"/>
        <v>10.84</v>
      </c>
      <c r="I192" s="574">
        <f t="shared" si="66"/>
        <v>30.634428873748789</v>
      </c>
      <c r="J192" s="575">
        <f t="shared" si="67"/>
        <v>1.5381475157563427</v>
      </c>
      <c r="K192" s="575">
        <f t="shared" si="68"/>
        <v>1.0001122559296196</v>
      </c>
      <c r="L192" s="576">
        <f t="shared" si="69"/>
        <v>1.498301901914968E-2</v>
      </c>
      <c r="M192" s="575">
        <f t="shared" si="70"/>
        <v>1.0002583299507755</v>
      </c>
      <c r="N192" s="576">
        <f t="shared" si="71"/>
        <v>-2.2727707806210692E-2</v>
      </c>
      <c r="O192" s="574">
        <f t="shared" si="72"/>
        <v>449524.20910431229</v>
      </c>
      <c r="P192" s="577">
        <f t="shared" si="73"/>
        <v>1.5707941022206029</v>
      </c>
      <c r="Q192" s="586">
        <f t="shared" si="100"/>
        <v>18.158366193384012</v>
      </c>
      <c r="R192" s="587">
        <f t="shared" si="101"/>
        <v>1.5156974181024789</v>
      </c>
      <c r="S192" s="574">
        <f t="shared" si="76"/>
        <v>1.0007498803217287</v>
      </c>
      <c r="T192" s="577">
        <f t="shared" si="77"/>
        <v>3.8714648932296862E-2</v>
      </c>
      <c r="U192" s="578">
        <f t="shared" si="89"/>
        <v>0.96689028941568766</v>
      </c>
      <c r="V192" s="579">
        <f t="shared" si="90"/>
        <v>-0.31720528160021028</v>
      </c>
      <c r="W192" s="580">
        <f t="shared" si="78"/>
        <v>-8.1755669322020825</v>
      </c>
      <c r="X192" s="581">
        <f t="shared" si="79"/>
        <v>-112.12261635986647</v>
      </c>
      <c r="Y192" s="584">
        <f t="shared" si="80"/>
        <v>67.87738364013353</v>
      </c>
      <c r="AA192" s="147">
        <f t="shared" si="81"/>
        <v>10840</v>
      </c>
      <c r="AB192" s="147">
        <f t="shared" si="82"/>
        <v>117505600</v>
      </c>
      <c r="AD192" s="583">
        <f t="shared" si="83"/>
        <v>17.22541285540688</v>
      </c>
      <c r="AE192" s="584">
        <f t="shared" si="84"/>
        <v>-5.3749934604270724</v>
      </c>
      <c r="AG192" s="583">
        <f t="shared" si="85"/>
        <v>3.8112075520830251</v>
      </c>
      <c r="AH192" s="584">
        <f t="shared" si="86"/>
        <v>-70.398575108002873</v>
      </c>
      <c r="AJ192" s="147">
        <f t="shared" si="87"/>
        <v>0</v>
      </c>
      <c r="AK192" s="147">
        <f t="shared" si="99"/>
        <v>0</v>
      </c>
      <c r="AM192" s="147" t="str">
        <f t="shared" si="91"/>
        <v>0.104242245822764+0.444542512962882i</v>
      </c>
      <c r="AN192" s="147" t="str">
        <f t="shared" si="92"/>
        <v>0.46066346977867i</v>
      </c>
      <c r="AO192" s="147" t="str">
        <f t="shared" si="93"/>
        <v>0.965004916010524-0.226287198055553i</v>
      </c>
      <c r="AP192" s="147" t="str">
        <f t="shared" si="94"/>
        <v>0.149292959029539-0.074090418827147i</v>
      </c>
      <c r="AQ192" s="147" t="str">
        <f t="shared" si="95"/>
        <v>0.850707040970461+0.074090418827147i</v>
      </c>
      <c r="AR192" s="147" t="str">
        <f t="shared" si="96"/>
        <v>0.971814146967803-0.0846379701863679i</v>
      </c>
    </row>
    <row r="193" spans="7:44">
      <c r="G193" s="585">
        <v>10902.5</v>
      </c>
      <c r="H193" s="573">
        <f t="shared" si="88"/>
        <v>10.9025</v>
      </c>
      <c r="I193" s="574">
        <f t="shared" si="66"/>
        <v>30.810869598660751</v>
      </c>
      <c r="J193" s="575">
        <f t="shared" si="67"/>
        <v>1.5383345474788659</v>
      </c>
      <c r="K193" s="575">
        <f t="shared" si="68"/>
        <v>1.000113554051788</v>
      </c>
      <c r="L193" s="576">
        <f t="shared" si="69"/>
        <v>1.5069393311853649E-2</v>
      </c>
      <c r="M193" s="575">
        <f t="shared" si="70"/>
        <v>1.0002613170452579</v>
      </c>
      <c r="N193" s="576">
        <f t="shared" si="71"/>
        <v>-2.2858703044827504E-2</v>
      </c>
      <c r="O193" s="574">
        <f t="shared" si="72"/>
        <v>452116.023040556</v>
      </c>
      <c r="P193" s="577">
        <f t="shared" si="73"/>
        <v>1.5707941149732645</v>
      </c>
      <c r="Q193" s="586">
        <f t="shared" si="100"/>
        <v>18.262744955690447</v>
      </c>
      <c r="R193" s="587">
        <f t="shared" si="101"/>
        <v>1.5160126463439989</v>
      </c>
      <c r="S193" s="574">
        <f t="shared" si="76"/>
        <v>1.0007585491073865</v>
      </c>
      <c r="T193" s="577">
        <f t="shared" si="77"/>
        <v>3.8937640407908078E-2</v>
      </c>
      <c r="U193" s="578">
        <f t="shared" si="89"/>
        <v>0.9665295712913532</v>
      </c>
      <c r="V193" s="579">
        <f t="shared" si="90"/>
        <v>-0.31897543482278007</v>
      </c>
      <c r="W193" s="580">
        <f t="shared" si="78"/>
        <v>-8.2288799511636039</v>
      </c>
      <c r="X193" s="581">
        <f t="shared" si="79"/>
        <v>-112.23202734222173</v>
      </c>
      <c r="Y193" s="584">
        <f t="shared" si="80"/>
        <v>67.767972657778273</v>
      </c>
      <c r="AA193" s="147">
        <f t="shared" si="81"/>
        <v>10902.5</v>
      </c>
      <c r="AB193" s="147">
        <f t="shared" si="82"/>
        <v>118864506.25</v>
      </c>
      <c r="AD193" s="583">
        <f t="shared" si="83"/>
        <v>17.225187033155976</v>
      </c>
      <c r="AE193" s="584">
        <f t="shared" si="84"/>
        <v>-5.3697094136922079</v>
      </c>
      <c r="AG193" s="583">
        <f t="shared" si="85"/>
        <v>3.7646024608238871</v>
      </c>
      <c r="AH193" s="584">
        <f t="shared" si="86"/>
        <v>-70.310425519371748</v>
      </c>
      <c r="AJ193" s="147">
        <f t="shared" si="87"/>
        <v>0</v>
      </c>
      <c r="AK193" s="147">
        <f t="shared" si="99"/>
        <v>0</v>
      </c>
      <c r="AM193" s="147" t="str">
        <f t="shared" si="91"/>
        <v>0.105426126434211+0.446920110012405i</v>
      </c>
      <c r="AN193" s="147" t="str">
        <f t="shared" si="92"/>
        <v>0.463319509157007i</v>
      </c>
      <c r="AO193" s="147" t="str">
        <f t="shared" si="93"/>
        <v>0.964604557286094-0.227545191494375i</v>
      </c>
      <c r="AP193" s="147" t="str">
        <f t="shared" si="94"/>
        <v>0.149095645594298-0.0744866850020675i</v>
      </c>
      <c r="AQ193" s="147" t="str">
        <f t="shared" si="95"/>
        <v>0.850904354405702+0.0744866850020675i</v>
      </c>
      <c r="AR193" s="147" t="str">
        <f t="shared" si="96"/>
        <v>0.97151378246273-0.0850446242457066i</v>
      </c>
    </row>
    <row r="194" spans="7:44">
      <c r="G194" s="585">
        <v>10965</v>
      </c>
      <c r="H194" s="573">
        <f t="shared" si="88"/>
        <v>10.965</v>
      </c>
      <c r="I194" s="574">
        <f t="shared" si="66"/>
        <v>30.987311389089761</v>
      </c>
      <c r="J194" s="575">
        <f t="shared" si="67"/>
        <v>1.5385194492900645</v>
      </c>
      <c r="K194" s="575">
        <f t="shared" si="68"/>
        <v>1.0001148596353027</v>
      </c>
      <c r="L194" s="576">
        <f t="shared" si="69"/>
        <v>1.515576737969021E-2</v>
      </c>
      <c r="M194" s="575">
        <f t="shared" si="70"/>
        <v>1.000264321303874</v>
      </c>
      <c r="N194" s="576">
        <f t="shared" si="71"/>
        <v>-2.298969749881298E-2</v>
      </c>
      <c r="O194" s="574">
        <f t="shared" si="72"/>
        <v>454707.83697679965</v>
      </c>
      <c r="P194" s="577">
        <f t="shared" si="73"/>
        <v>1.5707941275805468</v>
      </c>
      <c r="Q194" s="586">
        <f t="shared" si="100"/>
        <v>18.367125512118534</v>
      </c>
      <c r="R194" s="587">
        <f t="shared" si="101"/>
        <v>1.5163242917257489</v>
      </c>
      <c r="S194" s="574">
        <f t="shared" si="76"/>
        <v>1.000767267655098</v>
      </c>
      <c r="T194" s="577">
        <f t="shared" si="77"/>
        <v>3.9160628009264696E-2</v>
      </c>
      <c r="U194" s="578">
        <f t="shared" si="89"/>
        <v>0.96616716282254678</v>
      </c>
      <c r="V194" s="579">
        <f t="shared" si="90"/>
        <v>-0.32074462829378636</v>
      </c>
      <c r="W194" s="580">
        <f t="shared" si="78"/>
        <v>-8.281922483160745</v>
      </c>
      <c r="X194" s="581">
        <f t="shared" si="79"/>
        <v>-112.34146632029663</v>
      </c>
      <c r="Y194" s="584">
        <f t="shared" si="80"/>
        <v>67.658533679703368</v>
      </c>
      <c r="AA194" s="147">
        <f t="shared" si="81"/>
        <v>10965</v>
      </c>
      <c r="AB194" s="147">
        <f t="shared" si="82"/>
        <v>120231225</v>
      </c>
      <c r="AD194" s="583">
        <f t="shared" si="83"/>
        <v>17.224963342173034</v>
      </c>
      <c r="AE194" s="584">
        <f t="shared" si="84"/>
        <v>-5.3646304193929364</v>
      </c>
      <c r="AG194" s="583">
        <f t="shared" si="85"/>
        <v>3.7182985374277178</v>
      </c>
      <c r="AH194" s="584">
        <f t="shared" si="86"/>
        <v>-70.222208853452756</v>
      </c>
      <c r="AJ194" s="147">
        <f t="shared" si="87"/>
        <v>0</v>
      </c>
      <c r="AK194" s="147">
        <f t="shared" si="99"/>
        <v>0</v>
      </c>
      <c r="AM194" s="147" t="str">
        <f t="shared" si="91"/>
        <v>0.106616317853755+0.449294554245673i</v>
      </c>
      <c r="AN194" s="147" t="str">
        <f t="shared" si="92"/>
        <v>0.465975548535343i</v>
      </c>
      <c r="AO194" s="147" t="str">
        <f t="shared" si="93"/>
        <v>0.964201996559472-0.228802387139995i</v>
      </c>
      <c r="AP194" s="147" t="str">
        <f t="shared" si="94"/>
        <v>0.148897280357707-0.0748824257076122i</v>
      </c>
      <c r="AQ194" s="147" t="str">
        <f t="shared" si="95"/>
        <v>0.851102719642293+0.0748824257076122i</v>
      </c>
      <c r="AR194" s="147" t="str">
        <f t="shared" si="96"/>
        <v>0.971212144184764-0.0854499927621103i</v>
      </c>
    </row>
    <row r="195" spans="7:44">
      <c r="G195" s="585">
        <v>11028.75</v>
      </c>
      <c r="H195" s="573">
        <f t="shared" si="88"/>
        <v>11.02875</v>
      </c>
      <c r="I195" s="574">
        <f t="shared" si="66"/>
        <v>31.167283094256156</v>
      </c>
      <c r="J195" s="575">
        <f t="shared" si="67"/>
        <v>1.5387058924037695</v>
      </c>
      <c r="K195" s="575">
        <f t="shared" si="68"/>
        <v>1.0001161990171361</v>
      </c>
      <c r="L195" s="576">
        <f t="shared" si="69"/>
        <v>1.524386869588946E-2</v>
      </c>
      <c r="M195" s="575">
        <f t="shared" si="70"/>
        <v>1.0002674033299932</v>
      </c>
      <c r="N195" s="576">
        <f t="shared" si="71"/>
        <v>-2.312331102889606E-2</v>
      </c>
      <c r="O195" s="574">
        <f t="shared" si="72"/>
        <v>457351.4871917683</v>
      </c>
      <c r="P195" s="577">
        <f t="shared" si="73"/>
        <v>1.5707941402927685</v>
      </c>
      <c r="Q195" s="586">
        <f t="shared" si="100"/>
        <v>18.473595496440254</v>
      </c>
      <c r="R195" s="587">
        <f t="shared" si="101"/>
        <v>1.5166385418742208</v>
      </c>
      <c r="S195" s="574">
        <f t="shared" si="76"/>
        <v>1.0007762118372825</v>
      </c>
      <c r="T195" s="577">
        <f t="shared" si="77"/>
        <v>3.9388071348499233E-2</v>
      </c>
      <c r="U195" s="578">
        <f t="shared" si="89"/>
        <v>0.9657957709068512</v>
      </c>
      <c r="V195" s="579">
        <f t="shared" si="90"/>
        <v>-0.32254821269750827</v>
      </c>
      <c r="W195" s="580">
        <f t="shared" si="78"/>
        <v>-8.3357505774652481</v>
      </c>
      <c r="X195" s="581">
        <f t="shared" si="79"/>
        <v>-112.45312122061388</v>
      </c>
      <c r="Y195" s="584">
        <f t="shared" si="80"/>
        <v>67.54687877938612</v>
      </c>
      <c r="AA195" s="147">
        <f t="shared" si="81"/>
        <v>11028.75</v>
      </c>
      <c r="AB195" s="147">
        <f t="shared" si="82"/>
        <v>121633326.5625</v>
      </c>
      <c r="AD195" s="583">
        <f t="shared" si="83"/>
        <v>17.224737313106001</v>
      </c>
      <c r="AE195" s="584">
        <f t="shared" si="84"/>
        <v>-5.359657483941616</v>
      </c>
      <c r="AG195" s="583">
        <f t="shared" si="85"/>
        <v>3.6713754186143643</v>
      </c>
      <c r="AH195" s="584">
        <f t="shared" si="86"/>
        <v>-70.132161140327398</v>
      </c>
      <c r="AJ195" s="147">
        <f t="shared" si="87"/>
        <v>0</v>
      </c>
      <c r="AK195" s="147">
        <f t="shared" si="99"/>
        <v>0</v>
      </c>
      <c r="AM195" s="147" t="str">
        <f t="shared" si="91"/>
        <v>0.107836805788475+0.451713221960891i</v>
      </c>
      <c r="AN195" s="147" t="str">
        <f t="shared" si="92"/>
        <v>0.468684708701246i</v>
      </c>
      <c r="AO195" s="147" t="str">
        <f t="shared" si="93"/>
        <v>0.96378911787546-0.230083900298982i</v>
      </c>
      <c r="AP195" s="147" t="str">
        <f t="shared" si="94"/>
        <v>0.148693865701921-0.0752855369934818i</v>
      </c>
      <c r="AQ195" s="147" t="str">
        <f t="shared" si="95"/>
        <v>0.851306134298079+0.0752855369934818i</v>
      </c>
      <c r="AR195" s="147" t="str">
        <f t="shared" si="96"/>
        <v>0.970903167959171-0.0858621398619984i</v>
      </c>
    </row>
    <row r="196" spans="7:44">
      <c r="G196" s="585">
        <v>11092.5</v>
      </c>
      <c r="H196" s="573">
        <f t="shared" si="88"/>
        <v>11.092499999999999</v>
      </c>
      <c r="I196" s="574">
        <f t="shared" si="66"/>
        <v>31.347255870389368</v>
      </c>
      <c r="J196" s="575">
        <f t="shared" si="67"/>
        <v>1.5388901946866822</v>
      </c>
      <c r="K196" s="575">
        <f t="shared" si="68"/>
        <v>1.0001175461616927</v>
      </c>
      <c r="L196" s="576">
        <f t="shared" si="69"/>
        <v>1.5331969775430014E-2</v>
      </c>
      <c r="M196" s="575">
        <f t="shared" si="70"/>
        <v>1.0002705032133514</v>
      </c>
      <c r="N196" s="576">
        <f t="shared" si="71"/>
        <v>-2.3256923733215761E-2</v>
      </c>
      <c r="O196" s="574">
        <f t="shared" si="72"/>
        <v>459995.13740673702</v>
      </c>
      <c r="P196" s="577">
        <f t="shared" si="73"/>
        <v>1.5707941528588727</v>
      </c>
      <c r="Q196" s="586">
        <f t="shared" si="100"/>
        <v>18.580067284179734</v>
      </c>
      <c r="R196" s="587">
        <f t="shared" si="101"/>
        <v>1.5169491904756891</v>
      </c>
      <c r="S196" s="574">
        <f t="shared" si="76"/>
        <v>1.0007852077891664</v>
      </c>
      <c r="T196" s="577">
        <f t="shared" si="77"/>
        <v>3.9615510610571135E-2</v>
      </c>
      <c r="U196" s="578">
        <f t="shared" si="89"/>
        <v>0.96542263276603169</v>
      </c>
      <c r="V196" s="579">
        <f t="shared" si="90"/>
        <v>-0.32435079008627937</v>
      </c>
      <c r="W196" s="580">
        <f t="shared" si="78"/>
        <v>-8.3893040212061472</v>
      </c>
      <c r="X196" s="581">
        <f t="shared" si="79"/>
        <v>-112.56480184036919</v>
      </c>
      <c r="Y196" s="584">
        <f t="shared" si="80"/>
        <v>67.435198159630815</v>
      </c>
      <c r="AA196" s="147">
        <f t="shared" si="81"/>
        <v>11092.5</v>
      </c>
      <c r="AB196" s="147">
        <f t="shared" si="82"/>
        <v>123043556.25</v>
      </c>
      <c r="AD196" s="583">
        <f t="shared" si="83"/>
        <v>17.224513381753479</v>
      </c>
      <c r="AE196" s="584">
        <f t="shared" si="84"/>
        <v>-5.3548906599574089</v>
      </c>
      <c r="AG196" s="583">
        <f t="shared" si="85"/>
        <v>3.624758842981513</v>
      </c>
      <c r="AH196" s="584">
        <f t="shared" si="86"/>
        <v>-70.042048430586277</v>
      </c>
      <c r="AJ196" s="147">
        <f t="shared" si="87"/>
        <v>0</v>
      </c>
      <c r="AK196" s="147">
        <f t="shared" si="99"/>
        <v>0</v>
      </c>
      <c r="AM196" s="147" t="str">
        <f t="shared" si="91"/>
        <v>0.109063841794496+0.454128574306899i</v>
      </c>
      <c r="AN196" s="147" t="str">
        <f t="shared" si="92"/>
        <v>0.47139386886715i</v>
      </c>
      <c r="AO196" s="147" t="str">
        <f t="shared" si="93"/>
        <v>0.963373951804374-0.231364574292401i</v>
      </c>
      <c r="AP196" s="147" t="str">
        <f t="shared" si="94"/>
        <v>0.148489359700917-0.0756880957178165i</v>
      </c>
      <c r="AQ196" s="147" t="str">
        <f t="shared" si="95"/>
        <v>0.851510640299083+0.0756880957178165i</v>
      </c>
      <c r="AR196" s="147" t="str">
        <f t="shared" si="96"/>
        <v>0.970592880819296-0.0862729405714524i</v>
      </c>
    </row>
    <row r="197" spans="7:44">
      <c r="G197" s="585">
        <v>11156.25</v>
      </c>
      <c r="H197" s="573">
        <f t="shared" si="88"/>
        <v>11.15625</v>
      </c>
      <c r="I197" s="574">
        <f t="shared" si="66"/>
        <v>31.527229699148595</v>
      </c>
      <c r="J197" s="575">
        <f t="shared" si="67"/>
        <v>1.5390723927891015</v>
      </c>
      <c r="K197" s="575">
        <f t="shared" si="68"/>
        <v>1.0001189010689406</v>
      </c>
      <c r="L197" s="576">
        <f t="shared" si="69"/>
        <v>1.5420070616945189E-2</v>
      </c>
      <c r="M197" s="575">
        <f t="shared" si="70"/>
        <v>1.0002736209537826</v>
      </c>
      <c r="N197" s="576">
        <f t="shared" si="71"/>
        <v>-2.3390535607009173E-2</v>
      </c>
      <c r="O197" s="574">
        <f t="shared" si="72"/>
        <v>462638.78762170579</v>
      </c>
      <c r="P197" s="577">
        <f t="shared" si="73"/>
        <v>1.5707941652813644</v>
      </c>
      <c r="Q197" s="586">
        <f t="shared" si="100"/>
        <v>18.686540844510542</v>
      </c>
      <c r="R197" s="587">
        <f t="shared" si="101"/>
        <v>1.5172562990331651</v>
      </c>
      <c r="S197" s="574">
        <f t="shared" si="76"/>
        <v>1.0007942555093536</v>
      </c>
      <c r="T197" s="577">
        <f t="shared" si="77"/>
        <v>3.9842945772060413E-2</v>
      </c>
      <c r="U197" s="578">
        <f t="shared" si="89"/>
        <v>0.96504775469093707</v>
      </c>
      <c r="V197" s="579">
        <f t="shared" si="90"/>
        <v>-0.32615235620840555</v>
      </c>
      <c r="W197" s="580">
        <f t="shared" si="78"/>
        <v>-8.4425861407991416</v>
      </c>
      <c r="X197" s="581">
        <f t="shared" si="79"/>
        <v>-112.67650651060997</v>
      </c>
      <c r="Y197" s="584">
        <f t="shared" si="80"/>
        <v>67.323493489390032</v>
      </c>
      <c r="AA197" s="147">
        <f t="shared" si="81"/>
        <v>11156.25</v>
      </c>
      <c r="AB197" s="147">
        <f t="shared" si="82"/>
        <v>124461914.0625</v>
      </c>
      <c r="AD197" s="583">
        <f t="shared" si="83"/>
        <v>17.224291490243633</v>
      </c>
      <c r="AE197" s="584">
        <f t="shared" si="84"/>
        <v>-5.3503264223790268</v>
      </c>
      <c r="AG197" s="583">
        <f t="shared" si="85"/>
        <v>3.5784454671683403</v>
      </c>
      <c r="AH197" s="584">
        <f t="shared" si="86"/>
        <v>-69.951873067546401</v>
      </c>
      <c r="AJ197" s="147">
        <f t="shared" si="87"/>
        <v>0</v>
      </c>
      <c r="AK197" s="147">
        <f t="shared" si="99"/>
        <v>0</v>
      </c>
      <c r="AM197" s="147" t="str">
        <f t="shared" si="91"/>
        <v>0.110297416865932+0.456540593556111i</v>
      </c>
      <c r="AN197" s="147" t="str">
        <f t="shared" si="92"/>
        <v>0.474103029033053i</v>
      </c>
      <c r="AO197" s="147" t="str">
        <f t="shared" si="93"/>
        <v>0.962956500166723-0.232644404510317i</v>
      </c>
      <c r="AP197" s="147" t="str">
        <f t="shared" si="94"/>
        <v>0.148283763855678-0.0760900989260185i</v>
      </c>
      <c r="AQ197" s="147" t="str">
        <f t="shared" si="95"/>
        <v>0.851716236144322+0.0760900989260185i</v>
      </c>
      <c r="AR197" s="147" t="str">
        <f t="shared" si="96"/>
        <v>0.970281290017163-0.0866823904610416i</v>
      </c>
    </row>
    <row r="198" spans="7:44">
      <c r="G198" s="585">
        <v>11220</v>
      </c>
      <c r="H198" s="573">
        <f t="shared" si="88"/>
        <v>11.22</v>
      </c>
      <c r="I198" s="574">
        <f t="shared" si="66"/>
        <v>31.707204562609345</v>
      </c>
      <c r="J198" s="575">
        <f t="shared" si="67"/>
        <v>1.5392525225297617</v>
      </c>
      <c r="K198" s="575">
        <f t="shared" si="68"/>
        <v>1.0001202637388489</v>
      </c>
      <c r="L198" s="576">
        <f t="shared" si="69"/>
        <v>1.5508171219068318E-2</v>
      </c>
      <c r="M198" s="575">
        <f t="shared" si="70"/>
        <v>1.0002767565511199</v>
      </c>
      <c r="N198" s="576">
        <f t="shared" si="71"/>
        <v>-2.3524146645513576E-2</v>
      </c>
      <c r="O198" s="574">
        <f t="shared" si="72"/>
        <v>465282.43783667468</v>
      </c>
      <c r="P198" s="577">
        <f t="shared" si="73"/>
        <v>1.5707941775626912</v>
      </c>
      <c r="Q198" s="586">
        <f t="shared" si="100"/>
        <v>18.793016147304343</v>
      </c>
      <c r="R198" s="587">
        <f t="shared" si="101"/>
        <v>1.5175599276585385</v>
      </c>
      <c r="S198" s="574">
        <f t="shared" si="76"/>
        <v>1.0008033549964404</v>
      </c>
      <c r="T198" s="577">
        <f t="shared" si="77"/>
        <v>4.007037680954964E-2</v>
      </c>
      <c r="U198" s="578">
        <f t="shared" si="89"/>
        <v>0.96467114298869483</v>
      </c>
      <c r="V198" s="579">
        <f t="shared" si="90"/>
        <v>-0.32795290683580797</v>
      </c>
      <c r="W198" s="580">
        <f t="shared" si="78"/>
        <v>-8.4956002046201142</v>
      </c>
      <c r="X198" s="581">
        <f t="shared" si="79"/>
        <v>-112.78823359579388</v>
      </c>
      <c r="Y198" s="584">
        <f t="shared" si="80"/>
        <v>67.211766404206116</v>
      </c>
      <c r="AA198" s="147">
        <f t="shared" si="81"/>
        <v>11220</v>
      </c>
      <c r="AB198" s="147">
        <f t="shared" si="82"/>
        <v>125888400</v>
      </c>
      <c r="AD198" s="583">
        <f t="shared" si="83"/>
        <v>17.224071582340162</v>
      </c>
      <c r="AE198" s="584">
        <f t="shared" si="84"/>
        <v>-5.3459613258473899</v>
      </c>
      <c r="AG198" s="583">
        <f t="shared" si="85"/>
        <v>3.5324320039777279</v>
      </c>
      <c r="AH198" s="584">
        <f t="shared" si="86"/>
        <v>-69.861637345526574</v>
      </c>
      <c r="AJ198" s="147">
        <f t="shared" si="87"/>
        <v>0</v>
      </c>
      <c r="AK198" s="147">
        <f t="shared" si="99"/>
        <v>0</v>
      </c>
      <c r="AM198" s="147" t="str">
        <f t="shared" si="91"/>
        <v>0.111537521948904+0.458949262005405i</v>
      </c>
      <c r="AN198" s="147" t="str">
        <f t="shared" si="92"/>
        <v>0.476812189198956i</v>
      </c>
      <c r="AO198" s="147" t="str">
        <f t="shared" si="93"/>
        <v>0.962536764792946-0.233923386346911i</v>
      </c>
      <c r="AP198" s="147" t="str">
        <f t="shared" si="94"/>
        <v>0.148077079675183-0.0764915436675675i</v>
      </c>
      <c r="AQ198" s="147" t="str">
        <f t="shared" si="95"/>
        <v>0.851922920324817+0.0764915436675675i</v>
      </c>
      <c r="AR198" s="147" t="str">
        <f t="shared" si="96"/>
        <v>0.969968402818834-0.0870904851486905i</v>
      </c>
    </row>
    <row r="199" spans="7:44">
      <c r="G199" s="585">
        <v>11285.5</v>
      </c>
      <c r="H199" s="573">
        <f t="shared" si="88"/>
        <v>11.285500000000001</v>
      </c>
      <c r="I199" s="574">
        <f t="shared" si="66"/>
        <v>31.892120971802729</v>
      </c>
      <c r="J199" s="575">
        <f t="shared" si="67"/>
        <v>1.5394354794928833</v>
      </c>
      <c r="K199" s="575">
        <f t="shared" si="68"/>
        <v>1.0001216719005726</v>
      </c>
      <c r="L199" s="576">
        <f t="shared" si="69"/>
        <v>1.5598690018316848E-2</v>
      </c>
      <c r="M199" s="575">
        <f t="shared" si="70"/>
        <v>1.0002799968224201</v>
      </c>
      <c r="N199" s="576">
        <f t="shared" si="71"/>
        <v>-2.3661424563012325E-2</v>
      </c>
      <c r="O199" s="574">
        <f t="shared" si="72"/>
        <v>467998.65884185844</v>
      </c>
      <c r="P199" s="577">
        <f t="shared" si="73"/>
        <v>1.5707941900366365</v>
      </c>
      <c r="Q199" s="586">
        <f t="shared" si="100"/>
        <v>18.902416085465862</v>
      </c>
      <c r="R199" s="587">
        <f t="shared" si="101"/>
        <v>1.5178683284047543</v>
      </c>
      <c r="S199" s="574">
        <f t="shared" si="76"/>
        <v>1.0008127581898667</v>
      </c>
      <c r="T199" s="577">
        <f t="shared" si="77"/>
        <v>4.0304046732012919E-2</v>
      </c>
      <c r="U199" s="578">
        <f t="shared" si="89"/>
        <v>0.96428239390727744</v>
      </c>
      <c r="V199" s="579">
        <f t="shared" si="90"/>
        <v>-0.32980182223232024</v>
      </c>
      <c r="W199" s="580">
        <f t="shared" si="78"/>
        <v>-8.5497937374313189</v>
      </c>
      <c r="X199" s="581">
        <f t="shared" si="79"/>
        <v>-112.9030493606747</v>
      </c>
      <c r="Y199" s="584">
        <f t="shared" si="80"/>
        <v>67.0969506393253</v>
      </c>
      <c r="AA199" s="147">
        <f t="shared" si="81"/>
        <v>11285.5</v>
      </c>
      <c r="AB199" s="147">
        <f t="shared" si="82"/>
        <v>127362510.25</v>
      </c>
      <c r="AD199" s="583">
        <f t="shared" si="83"/>
        <v>17.223847646344037</v>
      </c>
      <c r="AE199" s="584">
        <f t="shared" si="84"/>
        <v>-5.341680279746357</v>
      </c>
      <c r="AG199" s="583">
        <f t="shared" si="85"/>
        <v>3.4854644040469083</v>
      </c>
      <c r="AH199" s="584">
        <f t="shared" si="86"/>
        <v>-69.768864058472545</v>
      </c>
      <c r="AJ199" s="147">
        <f t="shared" si="87"/>
        <v>0</v>
      </c>
      <c r="AK199" s="147">
        <f t="shared" si="99"/>
        <v>0</v>
      </c>
      <c r="AM199" s="147" t="str">
        <f t="shared" si="91"/>
        <v>0.112818460919817+0.461420542147094i</v>
      </c>
      <c r="AN199" s="147" t="str">
        <f t="shared" si="92"/>
        <v>0.479595718467453i</v>
      </c>
      <c r="AO199" s="147" t="str">
        <f t="shared" si="93"/>
        <v>0.962103130573313-0.235236589017784i</v>
      </c>
      <c r="AP199" s="147" t="str">
        <f t="shared" si="94"/>
        <v>0.147863589846697-0.0769034236911823i</v>
      </c>
      <c r="AQ199" s="147" t="str">
        <f t="shared" si="95"/>
        <v>0.852136410153303+0.0769034236911823i</v>
      </c>
      <c r="AR199" s="147" t="str">
        <f t="shared" si="96"/>
        <v>0.969645583946206-0.0875083663648214i</v>
      </c>
    </row>
    <row r="200" spans="7:44">
      <c r="G200" s="585">
        <v>11351</v>
      </c>
      <c r="H200" s="573">
        <f t="shared" si="88"/>
        <v>11.351000000000001</v>
      </c>
      <c r="I200" s="574">
        <f t="shared" si="66"/>
        <v>32.077038436220903</v>
      </c>
      <c r="J200" s="575">
        <f t="shared" si="67"/>
        <v>1.5396163270442131</v>
      </c>
      <c r="K200" s="575">
        <f t="shared" si="68"/>
        <v>1.000123088256923</v>
      </c>
      <c r="L200" s="576">
        <f t="shared" si="69"/>
        <v>1.568920856192486E-2</v>
      </c>
      <c r="M200" s="575">
        <f t="shared" si="70"/>
        <v>1.0002832559441013</v>
      </c>
      <c r="N200" s="576">
        <f t="shared" si="71"/>
        <v>-2.379870158854059E-2</v>
      </c>
      <c r="O200" s="574">
        <f t="shared" si="72"/>
        <v>470714.8798470422</v>
      </c>
      <c r="P200" s="577">
        <f t="shared" si="73"/>
        <v>1.5707942023666221</v>
      </c>
      <c r="Q200" s="586">
        <f t="shared" si="100"/>
        <v>19.011817800764838</v>
      </c>
      <c r="R200" s="587">
        <f t="shared" si="101"/>
        <v>1.5181731798535798</v>
      </c>
      <c r="S200" s="574">
        <f t="shared" si="76"/>
        <v>1.0008222160282749</v>
      </c>
      <c r="T200" s="577">
        <f t="shared" si="77"/>
        <v>4.0537712250841018E-2</v>
      </c>
      <c r="U200" s="578">
        <f t="shared" si="89"/>
        <v>0.96389182826355135</v>
      </c>
      <c r="V200" s="579">
        <f t="shared" si="90"/>
        <v>-0.33164965664370655</v>
      </c>
      <c r="W200" s="580">
        <f t="shared" si="78"/>
        <v>-8.6037111083796791</v>
      </c>
      <c r="X200" s="581">
        <f t="shared" si="79"/>
        <v>-113.01788539202093</v>
      </c>
      <c r="Y200" s="584">
        <f t="shared" si="80"/>
        <v>66.982114607979071</v>
      </c>
      <c r="AA200" s="147">
        <f t="shared" si="81"/>
        <v>11351</v>
      </c>
      <c r="AB200" s="147">
        <f t="shared" si="82"/>
        <v>128845201</v>
      </c>
      <c r="AD200" s="583">
        <f t="shared" si="83"/>
        <v>17.223625689059812</v>
      </c>
      <c r="AE200" s="584">
        <f t="shared" si="84"/>
        <v>-5.3376023328482782</v>
      </c>
      <c r="AG200" s="583">
        <f t="shared" si="85"/>
        <v>3.4388065497178477</v>
      </c>
      <c r="AH200" s="584">
        <f t="shared" si="86"/>
        <v>-69.676031810451931</v>
      </c>
      <c r="AJ200" s="147">
        <f t="shared" si="87"/>
        <v>0</v>
      </c>
      <c r="AK200" s="147">
        <f t="shared" si="99"/>
        <v>0</v>
      </c>
      <c r="AM200" s="147" t="str">
        <f t="shared" si="91"/>
        <v>0.114106273800075+0.463888247188493i</v>
      </c>
      <c r="AN200" s="147" t="str">
        <f t="shared" si="92"/>
        <v>0.482379247735949i</v>
      </c>
      <c r="AO200" s="147" t="str">
        <f t="shared" si="93"/>
        <v>0.96166708946489-0.236548886245902i</v>
      </c>
      <c r="AP200" s="147" t="str">
        <f t="shared" si="94"/>
        <v>0.147648954366654-0.0773147078647488i</v>
      </c>
      <c r="AQ200" s="147" t="str">
        <f t="shared" si="95"/>
        <v>0.852351045633346+0.0773147078647488i</v>
      </c>
      <c r="AR200" s="147" t="str">
        <f t="shared" si="96"/>
        <v>0.969321412121255-0.0879248077293244i</v>
      </c>
    </row>
    <row r="201" spans="7:44">
      <c r="G201" s="585">
        <v>11416.5</v>
      </c>
      <c r="H201" s="573">
        <f t="shared" si="88"/>
        <v>11.416499999999999</v>
      </c>
      <c r="I201" s="574">
        <f t="shared" si="66"/>
        <v>32.261956937719006</v>
      </c>
      <c r="J201" s="575">
        <f t="shared" si="67"/>
        <v>1.539795101443884</v>
      </c>
      <c r="K201" s="575">
        <f t="shared" si="68"/>
        <v>1.0001245128078655</v>
      </c>
      <c r="L201" s="576">
        <f t="shared" si="69"/>
        <v>1.5779726848410097E-2</v>
      </c>
      <c r="M201" s="575">
        <f t="shared" si="70"/>
        <v>1.000286533915979</v>
      </c>
      <c r="N201" s="576">
        <f t="shared" si="71"/>
        <v>-2.3935977716933149E-2</v>
      </c>
      <c r="O201" s="574">
        <f t="shared" si="72"/>
        <v>473431.10085222614</v>
      </c>
      <c r="P201" s="577">
        <f t="shared" si="73"/>
        <v>1.5707942145551257</v>
      </c>
      <c r="Q201" s="586">
        <f t="shared" si="100"/>
        <v>19.121221262697681</v>
      </c>
      <c r="R201" s="587">
        <f t="shared" si="101"/>
        <v>1.5184745428705524</v>
      </c>
      <c r="S201" s="574">
        <f t="shared" si="76"/>
        <v>1.0008317285101163</v>
      </c>
      <c r="T201" s="577">
        <f t="shared" si="77"/>
        <v>4.0771373340643055E-2</v>
      </c>
      <c r="U201" s="578">
        <f t="shared" si="89"/>
        <v>0.96349945295036388</v>
      </c>
      <c r="V201" s="579">
        <f t="shared" si="90"/>
        <v>-0.33349640556222099</v>
      </c>
      <c r="W201" s="580">
        <f t="shared" si="78"/>
        <v>-8.6573556796845388</v>
      </c>
      <c r="X201" s="581">
        <f t="shared" si="79"/>
        <v>-113.13274002024799</v>
      </c>
      <c r="Y201" s="584">
        <f t="shared" si="80"/>
        <v>66.867259979752006</v>
      </c>
      <c r="AA201" s="147">
        <f t="shared" si="81"/>
        <v>11416.5</v>
      </c>
      <c r="AB201" s="147">
        <f t="shared" si="82"/>
        <v>130336472.25</v>
      </c>
      <c r="AD201" s="583">
        <f t="shared" si="83"/>
        <v>17.223405654528669</v>
      </c>
      <c r="AE201" s="584">
        <f t="shared" si="84"/>
        <v>-5.3337239965018775</v>
      </c>
      <c r="AG201" s="583">
        <f t="shared" si="85"/>
        <v>3.3924550525440229</v>
      </c>
      <c r="AH201" s="584">
        <f t="shared" si="86"/>
        <v>-69.583142937081121</v>
      </c>
      <c r="AJ201" s="147">
        <f t="shared" si="87"/>
        <v>0</v>
      </c>
      <c r="AK201" s="147">
        <f t="shared" si="99"/>
        <v>0</v>
      </c>
      <c r="AM201" s="147" t="str">
        <f t="shared" si="91"/>
        <v>0.115400950611665+0.46635235800975i</v>
      </c>
      <c r="AN201" s="147" t="str">
        <f t="shared" si="92"/>
        <v>0.485162777004446i</v>
      </c>
      <c r="AO201" s="147" t="str">
        <f t="shared" si="93"/>
        <v>0.961228643485723-0.237860273049364i</v>
      </c>
      <c r="AP201" s="147" t="str">
        <f t="shared" si="94"/>
        <v>0.147433174898056-0.077725393001625i</v>
      </c>
      <c r="AQ201" s="147" t="str">
        <f t="shared" si="95"/>
        <v>0.852566825101944+0.077725393001625i</v>
      </c>
      <c r="AR201" s="147" t="str">
        <f t="shared" si="96"/>
        <v>0.968995895268923-0.0883398046454984i</v>
      </c>
    </row>
    <row r="202" spans="7:44">
      <c r="G202" s="585">
        <v>11482</v>
      </c>
      <c r="H202" s="573">
        <f t="shared" si="88"/>
        <v>11.481999999999999</v>
      </c>
      <c r="I202" s="574">
        <f t="shared" si="66"/>
        <v>32.446876458565725</v>
      </c>
      <c r="J202" s="575">
        <f t="shared" si="67"/>
        <v>1.5399718381259584</v>
      </c>
      <c r="K202" s="575">
        <f t="shared" si="68"/>
        <v>1.0001259455533649</v>
      </c>
      <c r="L202" s="576">
        <f t="shared" si="69"/>
        <v>1.5870244876290324E-2</v>
      </c>
      <c r="M202" s="575">
        <f t="shared" si="70"/>
        <v>1.000289830737868</v>
      </c>
      <c r="N202" s="576">
        <f t="shared" si="71"/>
        <v>-2.4073252943024984E-2</v>
      </c>
      <c r="O202" s="574">
        <f t="shared" si="72"/>
        <v>476147.32185741013</v>
      </c>
      <c r="P202" s="577">
        <f t="shared" si="73"/>
        <v>1.5707942266045687</v>
      </c>
      <c r="Q202" s="586">
        <f t="shared" si="100"/>
        <v>19.23062644145449</v>
      </c>
      <c r="R202" s="587">
        <f t="shared" si="101"/>
        <v>1.5187724769386939</v>
      </c>
      <c r="S202" s="574">
        <f t="shared" si="76"/>
        <v>1.000841295633832</v>
      </c>
      <c r="T202" s="577">
        <f t="shared" si="77"/>
        <v>4.100502997603106E-2</v>
      </c>
      <c r="U202" s="578">
        <f t="shared" si="89"/>
        <v>0.96310527487750264</v>
      </c>
      <c r="V202" s="579">
        <f t="shared" si="90"/>
        <v>-0.3353420645066143</v>
      </c>
      <c r="W202" s="580">
        <f t="shared" si="78"/>
        <v>-8.7107307546206965</v>
      </c>
      <c r="X202" s="581">
        <f t="shared" si="79"/>
        <v>-113.24761160916847</v>
      </c>
      <c r="Y202" s="584">
        <f t="shared" si="80"/>
        <v>66.752388390831527</v>
      </c>
      <c r="AA202" s="147">
        <f t="shared" si="81"/>
        <v>11482</v>
      </c>
      <c r="AB202" s="147">
        <f t="shared" si="82"/>
        <v>131836324</v>
      </c>
      <c r="AD202" s="583">
        <f t="shared" si="83"/>
        <v>17.223187488379935</v>
      </c>
      <c r="AE202" s="584">
        <f t="shared" si="84"/>
        <v>-5.330041861265201</v>
      </c>
      <c r="AG202" s="583">
        <f t="shared" si="85"/>
        <v>3.3464065811790529</v>
      </c>
      <c r="AH202" s="584">
        <f t="shared" si="86"/>
        <v>-69.490199725127994</v>
      </c>
      <c r="AJ202" s="147">
        <f t="shared" si="87"/>
        <v>0</v>
      </c>
      <c r="AK202" s="147">
        <f t="shared" si="99"/>
        <v>0</v>
      </c>
      <c r="AM202" s="147" t="str">
        <f t="shared" si="91"/>
        <v>0.116702481323392+0.46881285551886i</v>
      </c>
      <c r="AN202" s="147" t="str">
        <f t="shared" si="92"/>
        <v>0.487946306272942i</v>
      </c>
      <c r="AO202" s="147" t="str">
        <f t="shared" si="93"/>
        <v>0.960787794664892-0.239170744450952i</v>
      </c>
      <c r="AP202" s="147" t="str">
        <f t="shared" si="94"/>
        <v>0.147216253112768-0.07813547591981i</v>
      </c>
      <c r="AQ202" s="147" t="str">
        <f t="shared" si="95"/>
        <v>0.852783746887232+0.07813547591981i</v>
      </c>
      <c r="AR202" s="147" t="str">
        <f t="shared" si="96"/>
        <v>0.96866904132818-0.0887533525694317i</v>
      </c>
    </row>
    <row r="203" spans="7:44">
      <c r="G203" s="585">
        <v>11548.75</v>
      </c>
      <c r="H203" s="573">
        <f t="shared" si="88"/>
        <v>11.54875</v>
      </c>
      <c r="I203" s="574">
        <f t="shared" si="66"/>
        <v>32.635326008675769</v>
      </c>
      <c r="J203" s="575">
        <f t="shared" si="67"/>
        <v>1.5401498870770149</v>
      </c>
      <c r="K203" s="575">
        <f t="shared" si="68"/>
        <v>1.0001274140719254</v>
      </c>
      <c r="L203" s="576">
        <f t="shared" si="69"/>
        <v>1.5962490079861186E-2</v>
      </c>
      <c r="M203" s="575">
        <f t="shared" si="70"/>
        <v>1.0002932098690558</v>
      </c>
      <c r="N203" s="576">
        <f t="shared" si="71"/>
        <v>-2.4213146991698291E-2</v>
      </c>
      <c r="O203" s="574">
        <f t="shared" si="72"/>
        <v>478915.37914131902</v>
      </c>
      <c r="P203" s="577">
        <f t="shared" si="73"/>
        <v>1.570794238743346</v>
      </c>
      <c r="Q203" s="586">
        <f t="shared" si="100"/>
        <v>19.342121241421758</v>
      </c>
      <c r="R203" s="587">
        <f t="shared" si="101"/>
        <v>1.5190726292297245</v>
      </c>
      <c r="S203" s="574">
        <f t="shared" si="76"/>
        <v>1.0008511015506232</v>
      </c>
      <c r="T203" s="577">
        <f t="shared" si="77"/>
        <v>4.1243141098494751E-2</v>
      </c>
      <c r="U203" s="578">
        <f t="shared" si="89"/>
        <v>0.96270172680002042</v>
      </c>
      <c r="V203" s="579">
        <f t="shared" si="90"/>
        <v>-0.33722181996374972</v>
      </c>
      <c r="W203" s="580">
        <f t="shared" si="78"/>
        <v>-8.7648505379684369</v>
      </c>
      <c r="X203" s="581">
        <f t="shared" si="79"/>
        <v>-113.36469119306389</v>
      </c>
      <c r="Y203" s="584">
        <f t="shared" si="80"/>
        <v>66.635308806936109</v>
      </c>
      <c r="AA203" s="147">
        <f t="shared" si="81"/>
        <v>11548.75</v>
      </c>
      <c r="AB203" s="147">
        <f t="shared" si="82"/>
        <v>133373626.5625</v>
      </c>
      <c r="AD203" s="583">
        <f t="shared" si="83"/>
        <v>17.222967026265113</v>
      </c>
      <c r="AE203" s="584">
        <f t="shared" si="84"/>
        <v>-5.3264878596468987</v>
      </c>
      <c r="AG203" s="583">
        <f t="shared" si="85"/>
        <v>3.2997876865162179</v>
      </c>
      <c r="AH203" s="584">
        <f t="shared" si="86"/>
        <v>-69.395429201974466</v>
      </c>
      <c r="AJ203" s="147">
        <f t="shared" si="87"/>
        <v>0</v>
      </c>
      <c r="AK203" s="147">
        <f t="shared" si="99"/>
        <v>0</v>
      </c>
      <c r="AM203" s="147" t="str">
        <f t="shared" si="91"/>
        <v>0.11803589131407+0.471316571944837i</v>
      </c>
      <c r="AN203" s="147" t="str">
        <f t="shared" si="92"/>
        <v>0.490782956329006i</v>
      </c>
      <c r="AO203" s="147" t="str">
        <f t="shared" si="93"/>
        <v>0.960336062748032-0.240505277927668i</v>
      </c>
      <c r="AP203" s="147" t="str">
        <f t="shared" si="94"/>
        <v>0.146994018114322-0.0785527619908062i</v>
      </c>
      <c r="AQ203" s="147" t="str">
        <f t="shared" si="95"/>
        <v>0.853005981885678+0.0785527619908062i</v>
      </c>
      <c r="AR203" s="147" t="str">
        <f t="shared" si="96"/>
        <v>0.968334582343288-0.0891732972447941i</v>
      </c>
    </row>
    <row r="204" spans="7:44">
      <c r="G204" s="585">
        <v>11615.5</v>
      </c>
      <c r="H204" s="573">
        <f t="shared" si="88"/>
        <v>11.615500000000001</v>
      </c>
      <c r="I204" s="574">
        <f t="shared" si="66"/>
        <v>32.823776581492616</v>
      </c>
      <c r="J204" s="575">
        <f t="shared" si="67"/>
        <v>1.5403258915749578</v>
      </c>
      <c r="K204" s="575">
        <f t="shared" si="68"/>
        <v>1.0001288911007229</v>
      </c>
      <c r="L204" s="576">
        <f t="shared" si="69"/>
        <v>1.6054735011754452E-2</v>
      </c>
      <c r="M204" s="575">
        <f t="shared" si="70"/>
        <v>1.0002966085761944</v>
      </c>
      <c r="N204" s="576">
        <f t="shared" si="71"/>
        <v>-2.43530400924735E-2</v>
      </c>
      <c r="O204" s="574">
        <f t="shared" si="72"/>
        <v>481683.43642522802</v>
      </c>
      <c r="P204" s="577">
        <f t="shared" si="73"/>
        <v>1.5707942507426091</v>
      </c>
      <c r="Q204" s="586">
        <f t="shared" si="100"/>
        <v>19.453617763973376</v>
      </c>
      <c r="R204" s="587">
        <f t="shared" si="101"/>
        <v>1.5193693409597695</v>
      </c>
      <c r="S204" s="574">
        <f t="shared" si="76"/>
        <v>1.0008609642114619</v>
      </c>
      <c r="T204" s="577">
        <f t="shared" si="77"/>
        <v>4.1481247541679964E-2</v>
      </c>
      <c r="U204" s="578">
        <f t="shared" si="89"/>
        <v>0.9622963210400326</v>
      </c>
      <c r="V204" s="579">
        <f t="shared" si="90"/>
        <v>-0.33910043413526286</v>
      </c>
      <c r="W204" s="580">
        <f t="shared" si="78"/>
        <v>-8.8186971861852204</v>
      </c>
      <c r="X204" s="581">
        <f t="shared" si="79"/>
        <v>-113.48178506235769</v>
      </c>
      <c r="Y204" s="584">
        <f t="shared" si="80"/>
        <v>66.518214937642313</v>
      </c>
      <c r="AA204" s="147">
        <f t="shared" si="81"/>
        <v>11615.5</v>
      </c>
      <c r="AB204" s="147">
        <f t="shared" si="82"/>
        <v>134919840.25</v>
      </c>
      <c r="AD204" s="583">
        <f t="shared" si="83"/>
        <v>17.22274839532264</v>
      </c>
      <c r="AE204" s="584">
        <f t="shared" si="84"/>
        <v>-5.3231307115559749</v>
      </c>
      <c r="AG204" s="583">
        <f t="shared" si="85"/>
        <v>3.2534766839181617</v>
      </c>
      <c r="AH204" s="584">
        <f t="shared" si="86"/>
        <v>-69.300606892390874</v>
      </c>
      <c r="AJ204" s="147">
        <f t="shared" si="87"/>
        <v>0</v>
      </c>
      <c r="AK204" s="147">
        <f t="shared" si="99"/>
        <v>0</v>
      </c>
      <c r="AM204" s="147" t="str">
        <f t="shared" si="91"/>
        <v>0.119376398097868+0.473816495885186i</v>
      </c>
      <c r="AN204" s="147" t="str">
        <f t="shared" si="92"/>
        <v>0.493619606385069i</v>
      </c>
      <c r="AO204" s="147" t="str">
        <f t="shared" si="93"/>
        <v>0.959881839692496-0.241838850308436i</v>
      </c>
      <c r="AP204" s="147" t="str">
        <f t="shared" si="94"/>
        <v>0.146770600317022-0.0789694159808643i</v>
      </c>
      <c r="AQ204" s="147" t="str">
        <f t="shared" si="95"/>
        <v>0.853229399682978+0.0789694159808643i</v>
      </c>
      <c r="AR204" s="147" t="str">
        <f t="shared" si="96"/>
        <v>0.96799875143892-0.0895917277343466i</v>
      </c>
    </row>
    <row r="205" spans="7:44">
      <c r="G205" s="585">
        <v>11682.25</v>
      </c>
      <c r="H205" s="573">
        <f t="shared" si="88"/>
        <v>11.68225</v>
      </c>
      <c r="I205" s="574">
        <f t="shared" ref="I205:I268" si="102">SQRT(1+(G205/pole1)^2)</f>
        <v>33.01222815950188</v>
      </c>
      <c r="J205" s="575">
        <f t="shared" ref="J205:J268" si="103">ATAN(G205/pole1)</f>
        <v>1.5404998866213062</v>
      </c>
      <c r="K205" s="575">
        <f t="shared" ref="K205:K268" si="104">SQRT(1+(G205/Zero1)^2)</f>
        <v>1.0001303766397192</v>
      </c>
      <c r="L205" s="576">
        <f t="shared" ref="L205:L268" si="105">ATAN(G205/Zero1)</f>
        <v>1.6146979670401473E-2</v>
      </c>
      <c r="M205" s="575">
        <f t="shared" ref="M205:M268" si="106">SQRT(1+(G205/z_RHP)^2)</f>
        <v>1.0003000268590838</v>
      </c>
      <c r="N205" s="576">
        <f t="shared" ref="N205:N268" si="107">-ATAN(G205/z_RHP)</f>
        <v>-2.4492932239884864E-2</v>
      </c>
      <c r="O205" s="574">
        <f t="shared" ref="O205:O268" si="108">SQRT(1+(G205/Pole2)^2)</f>
        <v>484451.49370913714</v>
      </c>
      <c r="P205" s="577">
        <f t="shared" ref="P205:P268" si="109">ATAN(G205/Pole2)</f>
        <v>1.5707942626047497</v>
      </c>
      <c r="Q205" s="586">
        <f t="shared" si="100"/>
        <v>19.565115979659652</v>
      </c>
      <c r="R205" s="587">
        <f t="shared" si="101"/>
        <v>1.5196626708976213</v>
      </c>
      <c r="S205" s="574">
        <f t="shared" ref="S205:S268" si="110">SQRT(1+(G205/pole4)^2)</f>
        <v>1.0008708836146709</v>
      </c>
      <c r="T205" s="577">
        <f t="shared" ref="T205:T268" si="111">ATAN(G205/pole4)</f>
        <v>4.171934927872667E-2</v>
      </c>
      <c r="U205" s="578">
        <f t="shared" si="89"/>
        <v>0.96188906496280258</v>
      </c>
      <c r="V205" s="579">
        <f t="shared" si="90"/>
        <v>-0.34097790236367925</v>
      </c>
      <c r="W205" s="580">
        <f t="shared" ref="W205:W268" si="112">20*LOG10(((K205*Q205*M205*U205)/(I205*O205*S205))*Adc)</f>
        <v>-8.872274014922537</v>
      </c>
      <c r="X205" s="581">
        <f t="shared" ref="X205:X268" si="113">((L205+R205+N205+V205)-(J205+P205+T205))*radconv</f>
        <v>-113.59889158680654</v>
      </c>
      <c r="Y205" s="584">
        <f t="shared" ref="Y205:Y268" si="114">IF(X205&gt;0,X205,X205+180)</f>
        <v>66.401108413193455</v>
      </c>
      <c r="AA205" s="147">
        <f t="shared" ref="AA205:AA268" si="115">IF(W205&lt;0,G205,1000000000)</f>
        <v>11682.25</v>
      </c>
      <c r="AB205" s="147">
        <f t="shared" ref="AB205:AB268" si="116">G205^2</f>
        <v>136474965.0625</v>
      </c>
      <c r="AD205" s="583">
        <f t="shared" ref="AD205:AD268" si="117">20*LOG10((Q205/(O205*S205))*Aea)</f>
        <v>17.222531542761686</v>
      </c>
      <c r="AE205" s="584">
        <f t="shared" ref="AE205:AE268" si="118">(R205-(P205+T205))*radconv</f>
        <v>-5.3199670483867214</v>
      </c>
      <c r="AG205" s="583">
        <f t="shared" ref="AG205:AG268" si="119">20*LOG10((K205*M205/(I205*U205))*Acs*Am)</f>
        <v>3.2074702224702683</v>
      </c>
      <c r="AH205" s="584">
        <f t="shared" ref="AH205:AH268" si="120">(L205+N205-(J205+V205))*radconv</f>
        <v>-69.205735068446842</v>
      </c>
      <c r="AJ205" s="147">
        <f t="shared" ref="AJ205:AJ268" si="121">SUM((W206&lt;0)*(W205&gt;0))*G205</f>
        <v>0</v>
      </c>
      <c r="AK205" s="147">
        <f t="shared" si="99"/>
        <v>0</v>
      </c>
      <c r="AM205" s="147" t="str">
        <f t="shared" si="91"/>
        <v>0.120723990888296+0.476312607224074i</v>
      </c>
      <c r="AN205" s="147" t="str">
        <f t="shared" si="92"/>
        <v>0.496456256441132i</v>
      </c>
      <c r="AO205" s="147" t="str">
        <f t="shared" si="93"/>
        <v>0.959425127681019-0.243171456340809i</v>
      </c>
      <c r="AP205" s="147" t="str">
        <f t="shared" si="94"/>
        <v>0.146546001518617-0.0793854345373457i</v>
      </c>
      <c r="AQ205" s="147" t="str">
        <f t="shared" si="95"/>
        <v>0.853453998481383+0.0793854345373457i</v>
      </c>
      <c r="AR205" s="147" t="str">
        <f t="shared" si="96"/>
        <v>0.967661557059626-0.0900086393982002i</v>
      </c>
    </row>
    <row r="206" spans="7:44">
      <c r="G206" s="585">
        <v>11749</v>
      </c>
      <c r="H206" s="573">
        <f t="shared" ref="H206:H269" si="122">G206/1000</f>
        <v>11.749000000000001</v>
      </c>
      <c r="I206" s="574">
        <f t="shared" si="102"/>
        <v>33.200680725586743</v>
      </c>
      <c r="J206" s="575">
        <f t="shared" si="103"/>
        <v>1.5406719064233756</v>
      </c>
      <c r="K206" s="575">
        <f t="shared" si="104"/>
        <v>1.0001318706888769</v>
      </c>
      <c r="L206" s="576">
        <f t="shared" si="105"/>
        <v>1.6239224054233645E-2</v>
      </c>
      <c r="M206" s="575">
        <f t="shared" si="106"/>
        <v>1.0003034647175235</v>
      </c>
      <c r="N206" s="576">
        <f t="shared" si="107"/>
        <v>-2.4632823428466861E-2</v>
      </c>
      <c r="O206" s="574">
        <f t="shared" si="108"/>
        <v>487219.55099304632</v>
      </c>
      <c r="P206" s="577">
        <f t="shared" si="109"/>
        <v>1.5707942743321046</v>
      </c>
      <c r="Q206" s="586">
        <f t="shared" si="100"/>
        <v>19.676615859697971</v>
      </c>
      <c r="R206" s="587">
        <f t="shared" si="101"/>
        <v>1.5199526764823488</v>
      </c>
      <c r="S206" s="574">
        <f t="shared" si="110"/>
        <v>1.000880859758563</v>
      </c>
      <c r="T206" s="577">
        <f t="shared" si="111"/>
        <v>4.1957446282778067E-2</v>
      </c>
      <c r="U206" s="578">
        <f t="shared" ref="U206:U269" si="123">IMABS(IMPRODUCT(AO206, AR206))</f>
        <v>0.96147996595051821</v>
      </c>
      <c r="V206" s="579">
        <f t="shared" ref="V206:V269" si="124">IMARGUMENT(IMPRODUCT(AO206, AR206))</f>
        <v>-0.34285422002029337</v>
      </c>
      <c r="W206" s="580">
        <f t="shared" si="112"/>
        <v>-8.9255842818927498</v>
      </c>
      <c r="X206" s="581">
        <f t="shared" si="113"/>
        <v>-113.71600916849559</v>
      </c>
      <c r="Y206" s="584">
        <f t="shared" si="114"/>
        <v>66.283990831504411</v>
      </c>
      <c r="AA206" s="147">
        <f t="shared" si="115"/>
        <v>11749</v>
      </c>
      <c r="AB206" s="147">
        <f t="shared" si="116"/>
        <v>138039001</v>
      </c>
      <c r="AD206" s="583">
        <f t="shared" si="117"/>
        <v>17.222316417283892</v>
      </c>
      <c r="AE206" s="584">
        <f t="shared" si="118"/>
        <v>-5.3169935777180104</v>
      </c>
      <c r="AG206" s="583">
        <f t="shared" si="119"/>
        <v>3.1617650074417156</v>
      </c>
      <c r="AH206" s="584">
        <f t="shared" si="120"/>
        <v>-69.110815955059223</v>
      </c>
      <c r="AJ206" s="147">
        <f t="shared" si="121"/>
        <v>0</v>
      </c>
      <c r="AK206" s="147">
        <f t="shared" si="99"/>
        <v>0</v>
      </c>
      <c r="AM206" s="147" t="str">
        <f t="shared" ref="AM206:AM269" si="125">IMSUB(1,IMEXP(COMPLEX(0,-2*Pi*G206*Tsw)))</f>
        <v>0.122078658841842+0.478804885876346i</v>
      </c>
      <c r="AN206" s="147" t="str">
        <f t="shared" ref="AN206:AN269" si="126">COMPLEX(0, 2*Pi*G206*Tsw)</f>
        <v>0.499292906497195i</v>
      </c>
      <c r="AO206" s="147" t="str">
        <f t="shared" ref="AO206:AO269" si="127">IMDIV(AM206, AN206)</f>
        <v>0.958965928908177-0.244503090777493i</v>
      </c>
      <c r="AP206" s="147" t="str">
        <f t="shared" ref="AP206:AP269" si="128">IMDIV(IMEXP(COMPLEX(0,-2*Pi*G206*Tsw)),6)</f>
        <v>0.14632022352636-0.0798008143127243i</v>
      </c>
      <c r="AQ206" s="147" t="str">
        <f t="shared" ref="AQ206:AQ269" si="129">IMSUB(1, AP206)</f>
        <v>0.85367977647364+0.0798008143127243i</v>
      </c>
      <c r="AR206" s="147" t="str">
        <f t="shared" ref="AR206:AR269" si="130">IMDIV(0.833, AQ206)</f>
        <v>0.967323007663312-0.0904240276533593i</v>
      </c>
    </row>
    <row r="207" spans="7:44">
      <c r="G207" s="585">
        <v>11817.5</v>
      </c>
      <c r="H207" s="573">
        <f t="shared" si="122"/>
        <v>11.817500000000001</v>
      </c>
      <c r="I207" s="574">
        <f t="shared" si="102"/>
        <v>33.394075005379847</v>
      </c>
      <c r="J207" s="575">
        <f t="shared" si="103"/>
        <v>1.5408464175671104</v>
      </c>
      <c r="K207" s="575">
        <f t="shared" si="104"/>
        <v>1.0001334127555774</v>
      </c>
      <c r="L207" s="576">
        <f t="shared" si="105"/>
        <v>1.6333886542789618E-2</v>
      </c>
      <c r="M207" s="575">
        <f t="shared" si="106"/>
        <v>1.0003070130589748</v>
      </c>
      <c r="N207" s="576">
        <f t="shared" si="107"/>
        <v>-2.4776381173702646E-2</v>
      </c>
      <c r="O207" s="574">
        <f t="shared" si="108"/>
        <v>490060.17906717031</v>
      </c>
      <c r="P207" s="577">
        <f t="shared" si="109"/>
        <v>1.570794286229181</v>
      </c>
      <c r="Q207" s="586">
        <f t="shared" si="100"/>
        <v>19.791040658439432</v>
      </c>
      <c r="R207" s="587">
        <f t="shared" si="101"/>
        <v>1.5202468878566258</v>
      </c>
      <c r="S207" s="574">
        <f t="shared" si="110"/>
        <v>1.0008911564390777</v>
      </c>
      <c r="T207" s="577">
        <f t="shared" si="111"/>
        <v>4.2201780581467611E-2</v>
      </c>
      <c r="U207" s="578">
        <f t="shared" si="123"/>
        <v>0.96105823321218309</v>
      </c>
      <c r="V207" s="579">
        <f t="shared" si="124"/>
        <v>-0.34477852848720991</v>
      </c>
      <c r="W207" s="580">
        <f t="shared" si="112"/>
        <v>-8.9800184169525501</v>
      </c>
      <c r="X207" s="581">
        <f t="shared" si="113"/>
        <v>-113.83620710185518</v>
      </c>
      <c r="Y207" s="584">
        <f t="shared" si="114"/>
        <v>66.16379289814482</v>
      </c>
      <c r="AA207" s="147">
        <f t="shared" si="115"/>
        <v>11817.5</v>
      </c>
      <c r="AB207" s="147">
        <f t="shared" si="116"/>
        <v>139653306.25</v>
      </c>
      <c r="AD207" s="583">
        <f t="shared" si="117"/>
        <v>17.222097395130657</v>
      </c>
      <c r="AE207" s="584">
        <f t="shared" si="118"/>
        <v>-5.3141365134413974</v>
      </c>
      <c r="AG207" s="583">
        <f t="shared" si="119"/>
        <v>3.1151713276641075</v>
      </c>
      <c r="AH207" s="584">
        <f t="shared" si="120"/>
        <v>-69.013361445172222</v>
      </c>
      <c r="AJ207" s="147">
        <f t="shared" si="121"/>
        <v>0</v>
      </c>
      <c r="AK207" s="147">
        <f t="shared" si="99"/>
        <v>0</v>
      </c>
      <c r="AM207" s="147" t="str">
        <f t="shared" si="125"/>
        <v>0.123476186833736+0.481358499408156i</v>
      </c>
      <c r="AN207" s="147" t="str">
        <f t="shared" si="126"/>
        <v>0.502203925655852i</v>
      </c>
      <c r="AO207" s="147" t="str">
        <f t="shared" si="127"/>
        <v>0.958492108120276-0.245868621342381i</v>
      </c>
      <c r="AP207" s="147" t="str">
        <f t="shared" si="128"/>
        <v>0.146087302194377-0.080226416568026i</v>
      </c>
      <c r="AQ207" s="147" t="str">
        <f t="shared" si="129"/>
        <v>0.853912697805623+0.080226416568026i</v>
      </c>
      <c r="AR207" s="147" t="str">
        <f t="shared" si="130"/>
        <v>0.966974182554142-0.0908487176493233i</v>
      </c>
    </row>
    <row r="208" spans="7:44">
      <c r="G208" s="585">
        <v>11886</v>
      </c>
      <c r="H208" s="573">
        <f t="shared" si="122"/>
        <v>11.885999999999999</v>
      </c>
      <c r="I208" s="574">
        <f t="shared" si="102"/>
        <v>33.587470290449254</v>
      </c>
      <c r="J208" s="575">
        <f t="shared" si="103"/>
        <v>1.5410189190599415</v>
      </c>
      <c r="K208" s="575">
        <f t="shared" si="104"/>
        <v>1.0001349637844326</v>
      </c>
      <c r="L208" s="576">
        <f t="shared" si="105"/>
        <v>1.6428548738584976E-2</v>
      </c>
      <c r="M208" s="575">
        <f t="shared" si="106"/>
        <v>1.000310582015433</v>
      </c>
      <c r="N208" s="576">
        <f t="shared" si="107"/>
        <v>-2.4919937897512422E-2</v>
      </c>
      <c r="O208" s="574">
        <f t="shared" si="108"/>
        <v>492900.80714129441</v>
      </c>
      <c r="P208" s="577">
        <f t="shared" si="109"/>
        <v>1.5707942979891298</v>
      </c>
      <c r="Q208" s="586">
        <f t="shared" si="100"/>
        <v>19.905467150604455</v>
      </c>
      <c r="R208" s="587">
        <f t="shared" si="101"/>
        <v>1.5205377167102012</v>
      </c>
      <c r="S208" s="574">
        <f t="shared" si="110"/>
        <v>1.0009015128708119</v>
      </c>
      <c r="T208" s="577">
        <f t="shared" si="111"/>
        <v>4.244610983843853E-2</v>
      </c>
      <c r="U208" s="578">
        <f t="shared" si="123"/>
        <v>0.96063457544452613</v>
      </c>
      <c r="V208" s="579">
        <f t="shared" si="124"/>
        <v>-0.34670161547815853</v>
      </c>
      <c r="W208" s="580">
        <f t="shared" si="112"/>
        <v>-9.0341785998506055</v>
      </c>
      <c r="X208" s="581">
        <f t="shared" si="113"/>
        <v>-113.95641337096679</v>
      </c>
      <c r="Y208" s="584">
        <f t="shared" si="114"/>
        <v>66.043586629033214</v>
      </c>
      <c r="AA208" s="147">
        <f t="shared" si="115"/>
        <v>11886</v>
      </c>
      <c r="AB208" s="147">
        <f t="shared" si="116"/>
        <v>141276996</v>
      </c>
      <c r="AD208" s="583">
        <f t="shared" si="117"/>
        <v>17.221880086952375</v>
      </c>
      <c r="AE208" s="584">
        <f t="shared" si="118"/>
        <v>-5.3114729565992871</v>
      </c>
      <c r="AG208" s="583">
        <f t="shared" si="119"/>
        <v>3.0688880427751668</v>
      </c>
      <c r="AH208" s="584">
        <f t="shared" si="120"/>
        <v>-68.91586173443838</v>
      </c>
      <c r="AJ208" s="147">
        <f t="shared" si="121"/>
        <v>0</v>
      </c>
      <c r="AK208" s="147">
        <f t="shared" si="99"/>
        <v>0</v>
      </c>
      <c r="AM208" s="147" t="str">
        <f t="shared" si="125"/>
        <v>0.124881142511701+0.483908033895258i</v>
      </c>
      <c r="AN208" s="147" t="str">
        <f t="shared" si="126"/>
        <v>0.505114944814509i</v>
      </c>
      <c r="AO208" s="147" t="str">
        <f t="shared" si="127"/>
        <v>0.958015673190904-0.247233117518549i</v>
      </c>
      <c r="AP208" s="147" t="str">
        <f t="shared" si="128"/>
        <v>0.145853142914716-0.080651338982543i</v>
      </c>
      <c r="AQ208" s="147" t="str">
        <f t="shared" si="129"/>
        <v>0.854146857085284+0.080651338982543i</v>
      </c>
      <c r="AR208" s="147" t="str">
        <f t="shared" si="130"/>
        <v>0.9666239485362-0.0912717937148052i</v>
      </c>
    </row>
    <row r="209" spans="7:44">
      <c r="G209" s="585">
        <v>11954.5</v>
      </c>
      <c r="H209" s="573">
        <f t="shared" si="122"/>
        <v>11.954499999999999</v>
      </c>
      <c r="I209" s="574">
        <f t="shared" si="102"/>
        <v>33.780866563529358</v>
      </c>
      <c r="J209" s="575">
        <f t="shared" si="103"/>
        <v>1.5411894454074129</v>
      </c>
      <c r="K209" s="575">
        <f t="shared" si="104"/>
        <v>1.0001365237754007</v>
      </c>
      <c r="L209" s="576">
        <f t="shared" si="105"/>
        <v>1.6523210639924568E-2</v>
      </c>
      <c r="M209" s="575">
        <f t="shared" si="106"/>
        <v>1.0003141715866775</v>
      </c>
      <c r="N209" s="576">
        <f t="shared" si="107"/>
        <v>-2.5063493593990165E-2</v>
      </c>
      <c r="O209" s="574">
        <f t="shared" si="108"/>
        <v>495741.43521541863</v>
      </c>
      <c r="P209" s="577">
        <f t="shared" si="109"/>
        <v>1.5707943096143082</v>
      </c>
      <c r="Q209" s="586">
        <f t="shared" si="100"/>
        <v>20.019895307156034</v>
      </c>
      <c r="R209" s="587">
        <f t="shared" si="101"/>
        <v>1.5208252209940951</v>
      </c>
      <c r="S209" s="574">
        <f t="shared" si="110"/>
        <v>1.0009119290519106</v>
      </c>
      <c r="T209" s="577">
        <f t="shared" si="111"/>
        <v>4.2690434024676448E-2</v>
      </c>
      <c r="U209" s="578">
        <f t="shared" si="123"/>
        <v>0.96020900067906068</v>
      </c>
      <c r="V209" s="579">
        <f t="shared" si="124"/>
        <v>-0.34862347608557587</v>
      </c>
      <c r="W209" s="580">
        <f t="shared" si="112"/>
        <v>-9.0880681696007919</v>
      </c>
      <c r="X209" s="581">
        <f t="shared" si="113"/>
        <v>-114.07662634955231</v>
      </c>
      <c r="Y209" s="584">
        <f t="shared" si="114"/>
        <v>65.923373650447687</v>
      </c>
      <c r="AA209" s="147">
        <f t="shared" si="115"/>
        <v>11954.5</v>
      </c>
      <c r="AB209" s="147">
        <f t="shared" si="116"/>
        <v>142910070.25</v>
      </c>
      <c r="AD209" s="583">
        <f t="shared" si="117"/>
        <v>17.221664441886297</v>
      </c>
      <c r="AE209" s="584">
        <f t="shared" si="118"/>
        <v>-5.3089995853154717</v>
      </c>
      <c r="AG209" s="583">
        <f t="shared" si="119"/>
        <v>3.0229117683360043</v>
      </c>
      <c r="AH209" s="584">
        <f t="shared" si="120"/>
        <v>-68.818319080821141</v>
      </c>
      <c r="AJ209" s="147">
        <f t="shared" si="121"/>
        <v>0</v>
      </c>
      <c r="AK209" s="147">
        <f t="shared" si="99"/>
        <v>0</v>
      </c>
      <c r="AM209" s="147" t="str">
        <f t="shared" si="125"/>
        <v>0.126293513970106+0.486453467732828i</v>
      </c>
      <c r="AN209" s="147" t="str">
        <f t="shared" si="126"/>
        <v>0.508025963973166i</v>
      </c>
      <c r="AO209" s="147" t="str">
        <f t="shared" si="127"/>
        <v>0.957536626530613-0.248596573652241i</v>
      </c>
      <c r="AP209" s="147" t="str">
        <f t="shared" si="128"/>
        <v>0.145617747671649-0.0810755779554713i</v>
      </c>
      <c r="AQ209" s="147" t="str">
        <f t="shared" si="129"/>
        <v>0.854382252328351+0.0810755779554713i</v>
      </c>
      <c r="AR209" s="147" t="str">
        <f t="shared" si="130"/>
        <v>0.966272314791143-0.0916932510835389i</v>
      </c>
    </row>
    <row r="210" spans="7:44">
      <c r="G210" s="585">
        <v>12023</v>
      </c>
      <c r="H210" s="573">
        <f t="shared" si="122"/>
        <v>12.023</v>
      </c>
      <c r="I210" s="574">
        <f t="shared" si="102"/>
        <v>33.974263807747612</v>
      </c>
      <c r="J210" s="575">
        <f t="shared" si="103"/>
        <v>1.5413580303298473</v>
      </c>
      <c r="K210" s="575">
        <f t="shared" si="104"/>
        <v>1.0001380927284398</v>
      </c>
      <c r="L210" s="576">
        <f t="shared" si="105"/>
        <v>1.6617872245113265E-2</v>
      </c>
      <c r="M210" s="575">
        <f t="shared" si="106"/>
        <v>1.0003177817724862</v>
      </c>
      <c r="N210" s="576">
        <f t="shared" si="107"/>
        <v>-2.5207048257230105E-2</v>
      </c>
      <c r="O210" s="574">
        <f t="shared" si="108"/>
        <v>498582.06328954292</v>
      </c>
      <c r="P210" s="577">
        <f t="shared" si="109"/>
        <v>1.5707943211070197</v>
      </c>
      <c r="Q210" s="586">
        <f t="shared" si="100"/>
        <v>20.134325099716865</v>
      </c>
      <c r="R210" s="587">
        <f t="shared" si="101"/>
        <v>1.5211094573441382</v>
      </c>
      <c r="S210" s="574">
        <f t="shared" si="110"/>
        <v>1.0009224049805088</v>
      </c>
      <c r="T210" s="577">
        <f t="shared" si="111"/>
        <v>4.2934753111170586E-2</v>
      </c>
      <c r="U210" s="578">
        <f t="shared" si="123"/>
        <v>0.95978151696456748</v>
      </c>
      <c r="V210" s="579">
        <f t="shared" si="124"/>
        <v>-0.35054410543400655</v>
      </c>
      <c r="W210" s="580">
        <f t="shared" si="112"/>
        <v>-9.1416904066496425</v>
      </c>
      <c r="X210" s="581">
        <f t="shared" si="113"/>
        <v>-114.19684444353538</v>
      </c>
      <c r="Y210" s="584">
        <f t="shared" si="114"/>
        <v>65.803155556464617</v>
      </c>
      <c r="AA210" s="147">
        <f t="shared" si="115"/>
        <v>12023</v>
      </c>
      <c r="AB210" s="147">
        <f t="shared" si="116"/>
        <v>144552529</v>
      </c>
      <c r="AD210" s="583">
        <f t="shared" si="117"/>
        <v>17.221450410511963</v>
      </c>
      <c r="AE210" s="584">
        <f t="shared" si="118"/>
        <v>-5.3067131530656502</v>
      </c>
      <c r="AG210" s="583">
        <f t="shared" si="119"/>
        <v>2.9772391767562283</v>
      </c>
      <c r="AH210" s="584">
        <f t="shared" si="120"/>
        <v>-68.720735695454451</v>
      </c>
      <c r="AJ210" s="147">
        <f t="shared" si="121"/>
        <v>0</v>
      </c>
      <c r="AK210" s="147">
        <f t="shared" si="99"/>
        <v>0</v>
      </c>
      <c r="AM210" s="147" t="str">
        <f t="shared" si="125"/>
        <v>0.127713289240476+0.488994779350794i</v>
      </c>
      <c r="AN210" s="147" t="str">
        <f t="shared" si="126"/>
        <v>0.510936983131822i</v>
      </c>
      <c r="AO210" s="147" t="str">
        <f t="shared" si="127"/>
        <v>0.957054970563039-0.249958984095551i</v>
      </c>
      <c r="AP210" s="147" t="str">
        <f t="shared" si="128"/>
        <v>0.145381118459921-0.081499129891799i</v>
      </c>
      <c r="AQ210" s="147" t="str">
        <f t="shared" si="129"/>
        <v>0.854618881540079+0.081499129891799i</v>
      </c>
      <c r="AR210" s="147" t="str">
        <f t="shared" si="130"/>
        <v>0.965919290513452-0.0921130850522384i</v>
      </c>
    </row>
    <row r="211" spans="7:44">
      <c r="G211" s="585">
        <v>12093</v>
      </c>
      <c r="H211" s="573">
        <f t="shared" si="122"/>
        <v>12.093</v>
      </c>
      <c r="I211" s="574">
        <f t="shared" si="102"/>
        <v>34.171897014227831</v>
      </c>
      <c r="J211" s="575">
        <f t="shared" si="103"/>
        <v>1.5415283355249991</v>
      </c>
      <c r="K211" s="575">
        <f t="shared" si="104"/>
        <v>1.000139705296665</v>
      </c>
      <c r="L211" s="576">
        <f t="shared" si="105"/>
        <v>1.6714606424453972E-2</v>
      </c>
      <c r="M211" s="575">
        <f t="shared" si="106"/>
        <v>1.0003214923098538</v>
      </c>
      <c r="N211" s="576">
        <f t="shared" si="107"/>
        <v>-2.5353745379672294E-2</v>
      </c>
      <c r="O211" s="574">
        <f t="shared" si="108"/>
        <v>501484.89489813708</v>
      </c>
      <c r="P211" s="577">
        <f t="shared" si="109"/>
        <v>1.5707943327168892</v>
      </c>
      <c r="Q211" s="586">
        <f t="shared" si="100"/>
        <v>20.251262315438083</v>
      </c>
      <c r="R211" s="587">
        <f t="shared" si="101"/>
        <v>1.5213965993892042</v>
      </c>
      <c r="S211" s="574">
        <f t="shared" si="110"/>
        <v>1.0009331720313843</v>
      </c>
      <c r="T211" s="577">
        <f t="shared" si="111"/>
        <v>4.3184416951991766E-2</v>
      </c>
      <c r="U211" s="578">
        <f t="shared" si="123"/>
        <v>0.9593427085768349</v>
      </c>
      <c r="V211" s="579">
        <f t="shared" si="124"/>
        <v>-0.35250551532252522</v>
      </c>
      <c r="W211" s="580">
        <f t="shared" si="112"/>
        <v>-9.1962140293214318</v>
      </c>
      <c r="X211" s="581">
        <f t="shared" si="113"/>
        <v>-114.31969870913578</v>
      </c>
      <c r="Y211" s="584">
        <f t="shared" si="114"/>
        <v>65.680301290864222</v>
      </c>
      <c r="AA211" s="147">
        <f t="shared" si="115"/>
        <v>12093</v>
      </c>
      <c r="AB211" s="147">
        <f t="shared" si="116"/>
        <v>146240649</v>
      </c>
      <c r="AD211" s="583">
        <f t="shared" si="117"/>
        <v>17.221233309431959</v>
      </c>
      <c r="AE211" s="584">
        <f t="shared" si="118"/>
        <v>-5.3045664753327566</v>
      </c>
      <c r="AG211" s="583">
        <f t="shared" si="119"/>
        <v>2.9308767814357872</v>
      </c>
      <c r="AH211" s="584">
        <f t="shared" si="120"/>
        <v>-68.620975621516237</v>
      </c>
      <c r="AJ211" s="147">
        <f t="shared" si="121"/>
        <v>0</v>
      </c>
      <c r="AK211" s="147">
        <f t="shared" si="99"/>
        <v>0</v>
      </c>
      <c r="AM211" s="147" t="str">
        <f t="shared" si="125"/>
        <v>0.129171790737893+0.491587459109111i</v>
      </c>
      <c r="AN211" s="147" t="str">
        <f t="shared" si="126"/>
        <v>0.513911747235559i</v>
      </c>
      <c r="AO211" s="147" t="str">
        <f t="shared" si="127"/>
        <v>0.956560074280195-0.251350142184404i</v>
      </c>
      <c r="AP211" s="147" t="str">
        <f t="shared" si="128"/>
        <v>0.145138034877018-0.0819312431848518i</v>
      </c>
      <c r="AQ211" s="147" t="str">
        <f t="shared" si="129"/>
        <v>0.854861965122982+0.0819312431848518i</v>
      </c>
      <c r="AR211" s="147" t="str">
        <f t="shared" si="130"/>
        <v>0.965557108817597-0.0925404305243785i</v>
      </c>
    </row>
    <row r="212" spans="7:44">
      <c r="G212" s="585">
        <v>12163</v>
      </c>
      <c r="H212" s="573">
        <f t="shared" si="122"/>
        <v>12.163</v>
      </c>
      <c r="I212" s="574">
        <f t="shared" si="102"/>
        <v>34.3695312004266</v>
      </c>
      <c r="J212" s="575">
        <f t="shared" si="103"/>
        <v>1.5416966821222671</v>
      </c>
      <c r="K212" s="575">
        <f t="shared" si="104"/>
        <v>1.0001413272236688</v>
      </c>
      <c r="L212" s="576">
        <f t="shared" si="105"/>
        <v>1.6811340290952641E-2</v>
      </c>
      <c r="M212" s="575">
        <f t="shared" si="106"/>
        <v>1.0003252243740257</v>
      </c>
      <c r="N212" s="576">
        <f t="shared" si="107"/>
        <v>-2.5500441410661212E-2</v>
      </c>
      <c r="O212" s="574">
        <f t="shared" si="108"/>
        <v>504387.7265067313</v>
      </c>
      <c r="P212" s="577">
        <f t="shared" si="109"/>
        <v>1.5707943441931254</v>
      </c>
      <c r="Q212" s="586">
        <f t="shared" si="100"/>
        <v>20.368201181714653</v>
      </c>
      <c r="R212" s="587">
        <f t="shared" si="101"/>
        <v>1.521680444350856</v>
      </c>
      <c r="S212" s="574">
        <f t="shared" si="110"/>
        <v>1.0009440014711151</v>
      </c>
      <c r="T212" s="577">
        <f t="shared" si="111"/>
        <v>4.3434075406035173E-2</v>
      </c>
      <c r="U212" s="578">
        <f t="shared" si="123"/>
        <v>0.95890192376892491</v>
      </c>
      <c r="V212" s="579">
        <f t="shared" si="124"/>
        <v>-0.35446562924652802</v>
      </c>
      <c r="W212" s="580">
        <f t="shared" si="112"/>
        <v>-9.2504652281284319</v>
      </c>
      <c r="X212" s="581">
        <f t="shared" si="113"/>
        <v>-114.44255505010346</v>
      </c>
      <c r="Y212" s="584">
        <f t="shared" si="114"/>
        <v>65.557444949896535</v>
      </c>
      <c r="AA212" s="147">
        <f t="shared" si="115"/>
        <v>12163</v>
      </c>
      <c r="AB212" s="147">
        <f t="shared" si="116"/>
        <v>147938569</v>
      </c>
      <c r="AD212" s="583">
        <f t="shared" si="117"/>
        <v>17.221017793542817</v>
      </c>
      <c r="AE212" s="584">
        <f t="shared" si="118"/>
        <v>-5.3026083902681673</v>
      </c>
      <c r="AG212" s="583">
        <f t="shared" si="119"/>
        <v>2.8848246647398117</v>
      </c>
      <c r="AH212" s="584">
        <f t="shared" si="120"/>
        <v>-68.521177536871477</v>
      </c>
      <c r="AJ212" s="147">
        <f t="shared" si="121"/>
        <v>0</v>
      </c>
      <c r="AK212" s="147">
        <f t="shared" si="99"/>
        <v>0</v>
      </c>
      <c r="AM212" s="147" t="str">
        <f t="shared" si="125"/>
        <v>0.130637998381316+0.494175788704338i</v>
      </c>
      <c r="AN212" s="147" t="str">
        <f t="shared" si="126"/>
        <v>0.516886511339296i</v>
      </c>
      <c r="AO212" s="147" t="str">
        <f t="shared" si="127"/>
        <v>0.956062458321629-0.252740196378548i</v>
      </c>
      <c r="AP212" s="147" t="str">
        <f t="shared" si="128"/>
        <v>0.144893666936447-0.082362631450723i</v>
      </c>
      <c r="AQ212" s="147" t="str">
        <f t="shared" si="129"/>
        <v>0.855106333063553+0.082362631450723i</v>
      </c>
      <c r="AR212" s="147" t="str">
        <f t="shared" si="130"/>
        <v>0.96519349447531-0.0929660709906087i</v>
      </c>
    </row>
    <row r="213" spans="7:44">
      <c r="G213" s="585">
        <v>12233</v>
      </c>
      <c r="H213" s="573">
        <f t="shared" si="122"/>
        <v>12.233000000000001</v>
      </c>
      <c r="I213" s="574">
        <f t="shared" si="102"/>
        <v>34.567166349539612</v>
      </c>
      <c r="J213" s="575">
        <f t="shared" si="103"/>
        <v>1.5418631037064299</v>
      </c>
      <c r="K213" s="575">
        <f t="shared" si="104"/>
        <v>1.0001429585094055</v>
      </c>
      <c r="L213" s="576">
        <f t="shared" si="105"/>
        <v>1.690807384280045E-2</v>
      </c>
      <c r="M213" s="575">
        <f t="shared" si="106"/>
        <v>1.0003289779647611</v>
      </c>
      <c r="N213" s="576">
        <f t="shared" si="107"/>
        <v>-2.5647136343895392E-2</v>
      </c>
      <c r="O213" s="574">
        <f t="shared" si="108"/>
        <v>507290.55811532564</v>
      </c>
      <c r="P213" s="577">
        <f t="shared" si="109"/>
        <v>1.5707943555380222</v>
      </c>
      <c r="Q213" s="586">
        <f t="shared" si="100"/>
        <v>20.485141670280125</v>
      </c>
      <c r="R213" s="587">
        <f t="shared" si="101"/>
        <v>1.5219610486476725</v>
      </c>
      <c r="S213" s="574">
        <f t="shared" si="110"/>
        <v>1.0009548932976764</v>
      </c>
      <c r="T213" s="577">
        <f t="shared" si="111"/>
        <v>4.3683728442354047E-2</v>
      </c>
      <c r="U213" s="578">
        <f t="shared" si="123"/>
        <v>0.95845917118340451</v>
      </c>
      <c r="V213" s="579">
        <f t="shared" si="124"/>
        <v>-0.35642444210741003</v>
      </c>
      <c r="W213" s="580">
        <f t="shared" si="112"/>
        <v>-9.3044473228080289</v>
      </c>
      <c r="X213" s="581">
        <f t="shared" si="113"/>
        <v>-114.56541186413041</v>
      </c>
      <c r="Y213" s="584">
        <f t="shared" si="114"/>
        <v>65.434588135869589</v>
      </c>
      <c r="AA213" s="147">
        <f t="shared" si="115"/>
        <v>12233</v>
      </c>
      <c r="AB213" s="147">
        <f t="shared" si="116"/>
        <v>149646289</v>
      </c>
      <c r="AD213" s="583">
        <f t="shared" si="117"/>
        <v>17.220803814463849</v>
      </c>
      <c r="AE213" s="584">
        <f t="shared" si="118"/>
        <v>-5.300835663683733</v>
      </c>
      <c r="AG213" s="583">
        <f t="shared" si="119"/>
        <v>2.839079451394324</v>
      </c>
      <c r="AH213" s="584">
        <f t="shared" si="120"/>
        <v>-68.421343657657417</v>
      </c>
      <c r="AJ213" s="147">
        <f t="shared" si="121"/>
        <v>0</v>
      </c>
      <c r="AK213" s="147">
        <f t="shared" si="99"/>
        <v>0</v>
      </c>
      <c r="AM213" s="147" t="str">
        <f t="shared" si="125"/>
        <v>0.132111899195957+0.496759745231789i</v>
      </c>
      <c r="AN213" s="147" t="str">
        <f t="shared" si="126"/>
        <v>0.519861275443033i</v>
      </c>
      <c r="AO213" s="147" t="str">
        <f t="shared" si="127"/>
        <v>0.955562125315919-0.254129140670017i</v>
      </c>
      <c r="AP213" s="147" t="str">
        <f t="shared" si="128"/>
        <v>0.144648016800674-0.0827932908719648i</v>
      </c>
      <c r="AQ213" s="147" t="str">
        <f t="shared" si="129"/>
        <v>0.855351983199326+0.0827932908719648i</v>
      </c>
      <c r="AR213" s="147" t="str">
        <f t="shared" si="130"/>
        <v>0.96482845733667-0.0933900016353957i</v>
      </c>
    </row>
    <row r="214" spans="7:44">
      <c r="G214" s="585">
        <v>12303</v>
      </c>
      <c r="H214" s="573">
        <f t="shared" si="122"/>
        <v>12.303000000000001</v>
      </c>
      <c r="I214" s="574">
        <f t="shared" si="102"/>
        <v>34.764802445144582</v>
      </c>
      <c r="J214" s="575">
        <f t="shared" si="103"/>
        <v>1.5420276330989884</v>
      </c>
      <c r="K214" s="575">
        <f t="shared" si="104"/>
        <v>1.0001445991538296</v>
      </c>
      <c r="L214" s="576">
        <f t="shared" si="105"/>
        <v>1.7004807078188588E-2</v>
      </c>
      <c r="M214" s="575">
        <f t="shared" si="106"/>
        <v>1.0003327530818173</v>
      </c>
      <c r="N214" s="576">
        <f t="shared" si="107"/>
        <v>-2.579383017307366E-2</v>
      </c>
      <c r="O214" s="574">
        <f t="shared" si="108"/>
        <v>510193.38972392009</v>
      </c>
      <c r="P214" s="577">
        <f t="shared" si="109"/>
        <v>1.5707943667538218</v>
      </c>
      <c r="Q214" s="586">
        <f t="shared" si="100"/>
        <v>20.602083753509437</v>
      </c>
      <c r="R214" s="587">
        <f t="shared" si="101"/>
        <v>1.5222384674193219</v>
      </c>
      <c r="S214" s="574">
        <f t="shared" si="110"/>
        <v>1.0009658475090317</v>
      </c>
      <c r="T214" s="577">
        <f t="shared" si="111"/>
        <v>4.3933376030005696E-2</v>
      </c>
      <c r="U214" s="578">
        <f t="shared" si="123"/>
        <v>0.95801445947999331</v>
      </c>
      <c r="V214" s="579">
        <f t="shared" si="124"/>
        <v>-0.35838194884176783</v>
      </c>
      <c r="W214" s="580">
        <f t="shared" si="112"/>
        <v>-9.3581635748882466</v>
      </c>
      <c r="X214" s="581">
        <f t="shared" si="113"/>
        <v>-114.68826758046636</v>
      </c>
      <c r="Y214" s="584">
        <f t="shared" si="114"/>
        <v>65.311732419533641</v>
      </c>
      <c r="AA214" s="147">
        <f t="shared" si="115"/>
        <v>12303</v>
      </c>
      <c r="AB214" s="147">
        <f t="shared" si="116"/>
        <v>151363809</v>
      </c>
      <c r="AD214" s="583">
        <f t="shared" si="117"/>
        <v>17.220591325184714</v>
      </c>
      <c r="AE214" s="584">
        <f t="shared" si="118"/>
        <v>-5.2992451346647442</v>
      </c>
      <c r="AG214" s="583">
        <f t="shared" si="119"/>
        <v>2.793637822679746</v>
      </c>
      <c r="AH214" s="584">
        <f t="shared" si="120"/>
        <v>-68.321476154261745</v>
      </c>
      <c r="AJ214" s="147">
        <f t="shared" si="121"/>
        <v>0</v>
      </c>
      <c r="AK214" s="147">
        <f t="shared" si="99"/>
        <v>0</v>
      </c>
      <c r="AM214" s="147" t="str">
        <f t="shared" si="125"/>
        <v>0.133593480138953+0.499339305825477i</v>
      </c>
      <c r="AN214" s="147" t="str">
        <f t="shared" si="126"/>
        <v>0.52283603954677i</v>
      </c>
      <c r="AO214" s="147" t="str">
        <f t="shared" si="127"/>
        <v>0.955059077905835-0.255516969057376i</v>
      </c>
      <c r="AP214" s="147" t="str">
        <f t="shared" si="128"/>
        <v>0.144401086643508-0.0832232176375795i</v>
      </c>
      <c r="AQ214" s="147" t="str">
        <f t="shared" si="129"/>
        <v>0.855598913356492+0.0832232176375795i</v>
      </c>
      <c r="AR214" s="147" t="str">
        <f t="shared" si="130"/>
        <v>0.964462007263553-0.0938122177116747i</v>
      </c>
    </row>
    <row r="215" spans="7:44">
      <c r="G215" s="585">
        <v>12374.5</v>
      </c>
      <c r="H215" s="573">
        <f t="shared" si="122"/>
        <v>12.374499999999999</v>
      </c>
      <c r="I215" s="574">
        <f t="shared" si="102"/>
        <v>34.966674560386338</v>
      </c>
      <c r="J215" s="575">
        <f t="shared" si="103"/>
        <v>1.5421937680257061</v>
      </c>
      <c r="K215" s="575">
        <f t="shared" si="104"/>
        <v>1.0001462846165228</v>
      </c>
      <c r="L215" s="576">
        <f t="shared" si="105"/>
        <v>1.7103612840035861E-2</v>
      </c>
      <c r="M215" s="575">
        <f t="shared" si="106"/>
        <v>1.0003366313171664</v>
      </c>
      <c r="N215" s="576">
        <f t="shared" si="107"/>
        <v>-2.5943666295100358E-2</v>
      </c>
      <c r="O215" s="574">
        <f t="shared" si="108"/>
        <v>513158.42486698437</v>
      </c>
      <c r="P215" s="577">
        <f t="shared" si="109"/>
        <v>1.5707943780789611</v>
      </c>
      <c r="Q215" s="586">
        <f t="shared" ref="Q215:Q278" si="131">SQRT(1+(G215/Zero2)^2)</f>
        <v>20.721533356737673</v>
      </c>
      <c r="R215" s="587">
        <f t="shared" ref="R215:R278" si="132">ATAN(G215/Zero2)</f>
        <v>1.5225185982627247</v>
      </c>
      <c r="S215" s="574">
        <f t="shared" si="110"/>
        <v>1.0009771008557</v>
      </c>
      <c r="T215" s="577">
        <f t="shared" si="111"/>
        <v>4.4188367551599064E-2</v>
      </c>
      <c r="U215" s="578">
        <f t="shared" si="123"/>
        <v>0.95755820472214381</v>
      </c>
      <c r="V215" s="579">
        <f t="shared" si="124"/>
        <v>-0.36038004851214034</v>
      </c>
      <c r="W215" s="580">
        <f t="shared" si="112"/>
        <v>-9.4127597726487213</v>
      </c>
      <c r="X215" s="581">
        <f t="shared" si="113"/>
        <v>-114.81375318500768</v>
      </c>
      <c r="Y215" s="584">
        <f t="shared" si="114"/>
        <v>65.186246814992316</v>
      </c>
      <c r="AA215" s="147">
        <f t="shared" si="115"/>
        <v>12374.5</v>
      </c>
      <c r="AB215" s="147">
        <f t="shared" si="116"/>
        <v>153128250.25</v>
      </c>
      <c r="AD215" s="583">
        <f t="shared" si="117"/>
        <v>17.220375773097285</v>
      </c>
      <c r="AE215" s="584">
        <f t="shared" si="118"/>
        <v>-5.2978054065062716</v>
      </c>
      <c r="AG215" s="583">
        <f t="shared" si="119"/>
        <v>2.7475324643346601</v>
      </c>
      <c r="AH215" s="584">
        <f t="shared" si="120"/>
        <v>-68.219436130382277</v>
      </c>
      <c r="AJ215" s="147">
        <f t="shared" si="121"/>
        <v>0</v>
      </c>
      <c r="AK215" s="147">
        <f t="shared" ref="AK215:AK278" si="133">IF(AJ215&gt;0,Y215,0)</f>
        <v>0</v>
      </c>
      <c r="AM215" s="147" t="str">
        <f t="shared" si="125"/>
        <v>0.135114724365614+0.501969580742531i</v>
      </c>
      <c r="AN215" s="147" t="str">
        <f t="shared" si="126"/>
        <v>0.525874548595587i</v>
      </c>
      <c r="AO215" s="147" t="str">
        <f t="shared" si="127"/>
        <v>0.954542451394734-0.256933378362681i</v>
      </c>
      <c r="AP215" s="147" t="str">
        <f t="shared" si="128"/>
        <v>0.144147545939064-0.0836615967904218i</v>
      </c>
      <c r="AQ215" s="147" t="str">
        <f t="shared" si="129"/>
        <v>0.855852454060936+0.0836615967904218i</v>
      </c>
      <c r="AR215" s="147" t="str">
        <f t="shared" si="130"/>
        <v>0.964086256279847-0.0942417063377716i</v>
      </c>
    </row>
    <row r="216" spans="7:44">
      <c r="G216" s="585">
        <v>12446</v>
      </c>
      <c r="H216" s="573">
        <f t="shared" si="122"/>
        <v>12.446</v>
      </c>
      <c r="I216" s="574">
        <f t="shared" si="102"/>
        <v>35.168547629657056</v>
      </c>
      <c r="J216" s="575">
        <f t="shared" si="103"/>
        <v>1.5423579956749909</v>
      </c>
      <c r="K216" s="575">
        <f t="shared" si="104"/>
        <v>1.0001479798431896</v>
      </c>
      <c r="L216" s="576">
        <f t="shared" si="105"/>
        <v>1.7202418267900969E-2</v>
      </c>
      <c r="M216" s="575">
        <f t="shared" si="106"/>
        <v>1.0003405320107623</v>
      </c>
      <c r="N216" s="576">
        <f t="shared" si="107"/>
        <v>-2.6093501251959278E-2</v>
      </c>
      <c r="O216" s="574">
        <f t="shared" si="108"/>
        <v>516123.46001004876</v>
      </c>
      <c r="P216" s="577">
        <f t="shared" si="109"/>
        <v>1.5707943892739786</v>
      </c>
      <c r="Q216" s="586">
        <f t="shared" si="131"/>
        <v>20.840984567412967</v>
      </c>
      <c r="R216" s="587">
        <f t="shared" si="132"/>
        <v>1.5227955179580173</v>
      </c>
      <c r="S216" s="574">
        <f t="shared" si="110"/>
        <v>1.0009884192851106</v>
      </c>
      <c r="T216" s="577">
        <f t="shared" si="111"/>
        <v>4.4443353323264122E-2</v>
      </c>
      <c r="U216" s="578">
        <f t="shared" si="123"/>
        <v>0.95709992430077562</v>
      </c>
      <c r="V216" s="579">
        <f t="shared" si="124"/>
        <v>-0.36237677491315928</v>
      </c>
      <c r="W216" s="580">
        <f t="shared" si="112"/>
        <v>-9.4670853109867483</v>
      </c>
      <c r="X216" s="581">
        <f t="shared" si="113"/>
        <v>-114.93923442877231</v>
      </c>
      <c r="Y216" s="584">
        <f t="shared" si="114"/>
        <v>65.060765571227691</v>
      </c>
      <c r="AA216" s="147">
        <f t="shared" si="115"/>
        <v>12446</v>
      </c>
      <c r="AB216" s="147">
        <f t="shared" si="116"/>
        <v>154902916</v>
      </c>
      <c r="AD216" s="583">
        <f t="shared" si="117"/>
        <v>17.220161680373224</v>
      </c>
      <c r="AE216" s="584">
        <f t="shared" si="118"/>
        <v>-5.2965493266800845</v>
      </c>
      <c r="AG216" s="583">
        <f t="shared" si="119"/>
        <v>2.70173701660871</v>
      </c>
      <c r="AH216" s="584">
        <f t="shared" si="120"/>
        <v>-68.117365462470175</v>
      </c>
      <c r="AJ216" s="147">
        <f t="shared" si="121"/>
        <v>0</v>
      </c>
      <c r="AK216" s="147">
        <f t="shared" si="133"/>
        <v>0</v>
      </c>
      <c r="AM216" s="147" t="str">
        <f t="shared" si="125"/>
        <v>0.136643953671647+0.504595221210303i</v>
      </c>
      <c r="AN216" s="147" t="str">
        <f t="shared" si="126"/>
        <v>0.528913057644403i</v>
      </c>
      <c r="AO216" s="147" t="str">
        <f t="shared" si="127"/>
        <v>0.954022998520015-0.258348610790991i</v>
      </c>
      <c r="AP216" s="147" t="str">
        <f t="shared" si="128"/>
        <v>0.143892674388059-0.0840992035350505i</v>
      </c>
      <c r="AQ216" s="147" t="str">
        <f t="shared" si="129"/>
        <v>0.856107325611941+0.0840992035350505i</v>
      </c>
      <c r="AR216" s="147" t="str">
        <f t="shared" si="130"/>
        <v>0.963709051992405-0.0946693963331616i</v>
      </c>
    </row>
    <row r="217" spans="7:44">
      <c r="G217" s="585">
        <v>12517.5</v>
      </c>
      <c r="H217" s="573">
        <f t="shared" si="122"/>
        <v>12.5175</v>
      </c>
      <c r="I217" s="574">
        <f t="shared" si="102"/>
        <v>35.370421636621664</v>
      </c>
      <c r="J217" s="575">
        <f t="shared" si="103"/>
        <v>1.5425203486948322</v>
      </c>
      <c r="K217" s="575">
        <f t="shared" si="104"/>
        <v>1.0001496848337803</v>
      </c>
      <c r="L217" s="576">
        <f t="shared" si="105"/>
        <v>1.7301223359856434E-2</v>
      </c>
      <c r="M217" s="575">
        <f t="shared" si="106"/>
        <v>1.0003444551623422</v>
      </c>
      <c r="N217" s="576">
        <f t="shared" si="107"/>
        <v>-2.6243335036936342E-2</v>
      </c>
      <c r="O217" s="574">
        <f t="shared" si="108"/>
        <v>519088.49515311327</v>
      </c>
      <c r="P217" s="577">
        <f t="shared" si="109"/>
        <v>1.5707944003411043</v>
      </c>
      <c r="Q217" s="586">
        <f t="shared" si="131"/>
        <v>20.960437358053323</v>
      </c>
      <c r="R217" s="587">
        <f t="shared" si="132"/>
        <v>1.5230692813630198</v>
      </c>
      <c r="S217" s="574">
        <f t="shared" si="110"/>
        <v>1.0009998027950555</v>
      </c>
      <c r="T217" s="577">
        <f t="shared" si="111"/>
        <v>4.4698333312039269E-2</v>
      </c>
      <c r="U217" s="578">
        <f t="shared" si="123"/>
        <v>0.95663962749699338</v>
      </c>
      <c r="V217" s="579">
        <f t="shared" si="124"/>
        <v>-0.36437212276288122</v>
      </c>
      <c r="W217" s="580">
        <f t="shared" si="112"/>
        <v>-9.5211434860388984</v>
      </c>
      <c r="X217" s="581">
        <f t="shared" si="113"/>
        <v>-115.0647097345625</v>
      </c>
      <c r="Y217" s="584">
        <f t="shared" si="114"/>
        <v>64.935290265437501</v>
      </c>
      <c r="AA217" s="147">
        <f t="shared" si="115"/>
        <v>12517.5</v>
      </c>
      <c r="AB217" s="147">
        <f t="shared" si="116"/>
        <v>156687806.25</v>
      </c>
      <c r="AD217" s="583">
        <f t="shared" si="117"/>
        <v>17.219949001049258</v>
      </c>
      <c r="AE217" s="584">
        <f t="shared" si="118"/>
        <v>-5.2954737503037723</v>
      </c>
      <c r="AG217" s="583">
        <f t="shared" si="119"/>
        <v>2.6562481173917885</v>
      </c>
      <c r="AH217" s="584">
        <f t="shared" si="120"/>
        <v>-68.015266323476254</v>
      </c>
      <c r="AJ217" s="147">
        <f t="shared" si="121"/>
        <v>0</v>
      </c>
      <c r="AK217" s="147">
        <f t="shared" si="133"/>
        <v>0</v>
      </c>
      <c r="AM217" s="147" t="str">
        <f t="shared" si="125"/>
        <v>0.138181153938396+0.507216202987488i</v>
      </c>
      <c r="AN217" s="147" t="str">
        <f t="shared" si="126"/>
        <v>0.53195156669322i</v>
      </c>
      <c r="AO217" s="147" t="str">
        <f t="shared" si="127"/>
        <v>0.953500722143757-0.259762659968038i</v>
      </c>
      <c r="AP217" s="147" t="str">
        <f t="shared" si="128"/>
        <v>0.143636474343601-0.084536033831248i</v>
      </c>
      <c r="AQ217" s="147" t="str">
        <f t="shared" si="129"/>
        <v>0.856363525656399+0.084536033831248i</v>
      </c>
      <c r="AR217" s="147" t="str">
        <f t="shared" si="130"/>
        <v>0.963330404945308-0.0950952828598181i</v>
      </c>
    </row>
    <row r="218" spans="7:44">
      <c r="G218" s="585">
        <v>12589</v>
      </c>
      <c r="H218" s="573">
        <f t="shared" si="122"/>
        <v>12.589</v>
      </c>
      <c r="I218" s="574">
        <f t="shared" si="102"/>
        <v>35.572296565315824</v>
      </c>
      <c r="J218" s="575">
        <f t="shared" si="103"/>
        <v>1.5426808589925034</v>
      </c>
      <c r="K218" s="575">
        <f t="shared" si="104"/>
        <v>1.0001513995882454</v>
      </c>
      <c r="L218" s="576">
        <f t="shared" si="105"/>
        <v>1.7400028113974821E-2</v>
      </c>
      <c r="M218" s="575">
        <f t="shared" si="106"/>
        <v>1.0003484007716419</v>
      </c>
      <c r="N218" s="576">
        <f t="shared" si="107"/>
        <v>-2.63931676433178E-2</v>
      </c>
      <c r="O218" s="574">
        <f t="shared" si="108"/>
        <v>522053.53029617778</v>
      </c>
      <c r="P218" s="577">
        <f t="shared" si="109"/>
        <v>1.5707944112825172</v>
      </c>
      <c r="Q218" s="586">
        <f t="shared" si="131"/>
        <v>21.079891701799323</v>
      </c>
      <c r="R218" s="587">
        <f t="shared" si="132"/>
        <v>1.5233399420940086</v>
      </c>
      <c r="S218" s="574">
        <f t="shared" si="110"/>
        <v>1.0010112513833143</v>
      </c>
      <c r="T218" s="577">
        <f t="shared" si="111"/>
        <v>4.4953307484967439E-2</v>
      </c>
      <c r="U218" s="578">
        <f t="shared" si="123"/>
        <v>0.95617732360872687</v>
      </c>
      <c r="V218" s="579">
        <f t="shared" si="124"/>
        <v>-0.36636608681783978</v>
      </c>
      <c r="W218" s="580">
        <f t="shared" si="112"/>
        <v>-9.5749375361845619</v>
      </c>
      <c r="X218" s="581">
        <f t="shared" si="113"/>
        <v>-115.19017755607783</v>
      </c>
      <c r="Y218" s="584">
        <f t="shared" si="114"/>
        <v>64.809822443922172</v>
      </c>
      <c r="AA218" s="147">
        <f t="shared" si="115"/>
        <v>12589</v>
      </c>
      <c r="AB218" s="147">
        <f t="shared" si="116"/>
        <v>158482921</v>
      </c>
      <c r="AD218" s="583">
        <f t="shared" si="117"/>
        <v>17.219737690461983</v>
      </c>
      <c r="AE218" s="584">
        <f t="shared" si="118"/>
        <v>-5.2945756036275728</v>
      </c>
      <c r="AG218" s="583">
        <f t="shared" si="119"/>
        <v>2.6110624607400417</v>
      </c>
      <c r="AH218" s="584">
        <f t="shared" si="120"/>
        <v>-67.913140841706891</v>
      </c>
      <c r="AJ218" s="147">
        <f t="shared" si="121"/>
        <v>0</v>
      </c>
      <c r="AK218" s="147">
        <f t="shared" si="133"/>
        <v>0</v>
      </c>
      <c r="AM218" s="147" t="str">
        <f t="shared" si="125"/>
        <v>0.139726310973613+0.509832501875794i</v>
      </c>
      <c r="AN218" s="147" t="str">
        <f t="shared" si="126"/>
        <v>0.534990075742037i</v>
      </c>
      <c r="AO218" s="147" t="str">
        <f t="shared" si="127"/>
        <v>0.952975625143421-0.261175519526808i</v>
      </c>
      <c r="AP218" s="147" t="str">
        <f t="shared" si="128"/>
        <v>0.143378948171065-0.0849720836459657i</v>
      </c>
      <c r="AQ218" s="147" t="str">
        <f t="shared" si="129"/>
        <v>0.856621051828935+0.0849720836459657i</v>
      </c>
      <c r="AR218" s="147" t="str">
        <f t="shared" si="130"/>
        <v>0.962950325693077-0.0955193611539238i</v>
      </c>
    </row>
    <row r="219" spans="7:44">
      <c r="G219" s="585">
        <v>12662.25</v>
      </c>
      <c r="H219" s="573">
        <f t="shared" si="122"/>
        <v>12.66225</v>
      </c>
      <c r="I219" s="574">
        <f t="shared" si="102"/>
        <v>35.779113428302217</v>
      </c>
      <c r="J219" s="575">
        <f t="shared" si="103"/>
        <v>1.5428434195385277</v>
      </c>
      <c r="K219" s="575">
        <f t="shared" si="104"/>
        <v>1.0001531664374355</v>
      </c>
      <c r="L219" s="576">
        <f t="shared" si="105"/>
        <v>1.7501250813914515E-2</v>
      </c>
      <c r="M219" s="575">
        <f t="shared" si="106"/>
        <v>1.0003524662404637</v>
      </c>
      <c r="N219" s="576">
        <f t="shared" si="107"/>
        <v>-2.6546666252086504E-2</v>
      </c>
      <c r="O219" s="574">
        <f t="shared" si="108"/>
        <v>525091.13622945722</v>
      </c>
      <c r="P219" s="577">
        <f t="shared" si="109"/>
        <v>1.5707944223635875</v>
      </c>
      <c r="Q219" s="586">
        <f t="shared" si="131"/>
        <v>21.202271336405374</v>
      </c>
      <c r="R219" s="587">
        <f t="shared" si="132"/>
        <v>1.5236140646609648</v>
      </c>
      <c r="S219" s="574">
        <f t="shared" si="110"/>
        <v>1.0010230476664861</v>
      </c>
      <c r="T219" s="577">
        <f t="shared" si="111"/>
        <v>4.5214516218946899E-2</v>
      </c>
      <c r="U219" s="578">
        <f t="shared" si="123"/>
        <v>0.95570163295595245</v>
      </c>
      <c r="V219" s="579">
        <f t="shared" si="124"/>
        <v>-0.36840741373454539</v>
      </c>
      <c r="W219" s="580">
        <f t="shared" si="112"/>
        <v>-9.6297776492868525</v>
      </c>
      <c r="X219" s="581">
        <f t="shared" si="113"/>
        <v>-115.31870692207869</v>
      </c>
      <c r="Y219" s="584">
        <f t="shared" si="114"/>
        <v>64.68129307792131</v>
      </c>
      <c r="AA219" s="147">
        <f t="shared" si="115"/>
        <v>12662.25</v>
      </c>
      <c r="AB219" s="147">
        <f t="shared" si="116"/>
        <v>160332575.0625</v>
      </c>
      <c r="AD219" s="583">
        <f t="shared" si="117"/>
        <v>17.219522581961389</v>
      </c>
      <c r="AE219" s="584">
        <f t="shared" si="118"/>
        <v>-5.2938363303983706</v>
      </c>
      <c r="AG219" s="583">
        <f t="shared" si="119"/>
        <v>2.5650819293314453</v>
      </c>
      <c r="AH219" s="584">
        <f t="shared" si="120"/>
        <v>-67.808490646802269</v>
      </c>
      <c r="AJ219" s="147">
        <f t="shared" si="121"/>
        <v>0</v>
      </c>
      <c r="AK219" s="147">
        <f t="shared" si="133"/>
        <v>0</v>
      </c>
      <c r="AM219" s="147" t="str">
        <f t="shared" si="125"/>
        <v>0.141317522893624+0.512507954582618i</v>
      </c>
      <c r="AN219" s="147" t="str">
        <f t="shared" si="126"/>
        <v>0.538102953893447i</v>
      </c>
      <c r="AO219" s="147" t="str">
        <f t="shared" si="127"/>
        <v>0.952434754119753-0.262621719266026i</v>
      </c>
      <c r="AP219" s="147" t="str">
        <f t="shared" si="128"/>
        <v>0.143113746184396-0.0854179924304363i</v>
      </c>
      <c r="AQ219" s="147" t="str">
        <f t="shared" si="129"/>
        <v>0.856886253815604+0.0854179924304363i</v>
      </c>
      <c r="AR219" s="147" t="str">
        <f t="shared" si="130"/>
        <v>0.96255946963155-0.0959519389238863i</v>
      </c>
    </row>
    <row r="220" spans="7:44">
      <c r="G220" s="585">
        <v>12735.5</v>
      </c>
      <c r="H220" s="573">
        <f t="shared" si="122"/>
        <v>12.7355</v>
      </c>
      <c r="I220" s="574">
        <f t="shared" si="102"/>
        <v>35.985931225917149</v>
      </c>
      <c r="J220" s="575">
        <f t="shared" si="103"/>
        <v>1.5430041115577535</v>
      </c>
      <c r="K220" s="575">
        <f t="shared" si="104"/>
        <v>1.0001549435341937</v>
      </c>
      <c r="L220" s="576">
        <f t="shared" si="105"/>
        <v>1.7602473155182E-2</v>
      </c>
      <c r="M220" s="575">
        <f t="shared" si="106"/>
        <v>1.0003565552792213</v>
      </c>
      <c r="N220" s="576">
        <f t="shared" si="107"/>
        <v>-2.6700163609595779E-2</v>
      </c>
      <c r="O220" s="574">
        <f t="shared" si="108"/>
        <v>528128.74216273671</v>
      </c>
      <c r="P220" s="577">
        <f t="shared" si="109"/>
        <v>1.570794433317189</v>
      </c>
      <c r="Q220" s="586">
        <f t="shared" si="131"/>
        <v>21.324652545931045</v>
      </c>
      <c r="R220" s="587">
        <f t="shared" si="132"/>
        <v>1.5238850408942402</v>
      </c>
      <c r="S220" s="574">
        <f t="shared" si="110"/>
        <v>1.0010349122478508</v>
      </c>
      <c r="T220" s="577">
        <f t="shared" si="111"/>
        <v>4.5475718778891346E-2</v>
      </c>
      <c r="U220" s="578">
        <f t="shared" si="123"/>
        <v>0.95522385557572731</v>
      </c>
      <c r="V220" s="579">
        <f t="shared" si="124"/>
        <v>-0.37044727727203725</v>
      </c>
      <c r="W220" s="580">
        <f t="shared" si="112"/>
        <v>-9.6843472507549357</v>
      </c>
      <c r="X220" s="581">
        <f t="shared" si="113"/>
        <v>-115.44722524337713</v>
      </c>
      <c r="Y220" s="584">
        <f t="shared" si="114"/>
        <v>64.552774756622867</v>
      </c>
      <c r="AA220" s="147">
        <f t="shared" si="115"/>
        <v>12735.5</v>
      </c>
      <c r="AB220" s="147">
        <f t="shared" si="116"/>
        <v>162192960.25</v>
      </c>
      <c r="AD220" s="583">
        <f t="shared" si="117"/>
        <v>17.219308819113209</v>
      </c>
      <c r="AE220" s="584">
        <f t="shared" si="118"/>
        <v>-5.2932769677606863</v>
      </c>
      <c r="AG220" s="583">
        <f t="shared" si="119"/>
        <v>2.5194128170283476</v>
      </c>
      <c r="AH220" s="584">
        <f t="shared" si="120"/>
        <v>-67.703817187509458</v>
      </c>
      <c r="AJ220" s="147">
        <f t="shared" si="121"/>
        <v>0</v>
      </c>
      <c r="AK220" s="147">
        <f t="shared" si="133"/>
        <v>0</v>
      </c>
      <c r="AM220" s="147" t="str">
        <f t="shared" si="125"/>
        <v>0.142917055449038+0.51517844108605i</v>
      </c>
      <c r="AN220" s="147" t="str">
        <f t="shared" si="126"/>
        <v>0.541215832044858i</v>
      </c>
      <c r="AO220" s="147" t="str">
        <f t="shared" si="127"/>
        <v>0.951890928873178-0.264066656936216i</v>
      </c>
      <c r="AP220" s="147" t="str">
        <f t="shared" si="128"/>
        <v>0.14284715742516-0.0858630735143417i</v>
      </c>
      <c r="AQ220" s="147" t="str">
        <f t="shared" si="129"/>
        <v>0.85715284257484+0.0858630735143417i</v>
      </c>
      <c r="AR220" s="147" t="str">
        <f t="shared" si="130"/>
        <v>0.962167132856105-0.096382608979441i</v>
      </c>
    </row>
    <row r="221" spans="7:44">
      <c r="G221" s="585">
        <v>12808.75</v>
      </c>
      <c r="H221" s="573">
        <f t="shared" si="122"/>
        <v>12.80875</v>
      </c>
      <c r="I221" s="574">
        <f t="shared" si="102"/>
        <v>36.192749942138242</v>
      </c>
      <c r="J221" s="575">
        <f t="shared" si="103"/>
        <v>1.5431629670741631</v>
      </c>
      <c r="K221" s="575">
        <f t="shared" si="104"/>
        <v>1.0001567308784651</v>
      </c>
      <c r="L221" s="576">
        <f t="shared" si="105"/>
        <v>1.770369513570496E-2</v>
      </c>
      <c r="M221" s="575">
        <f t="shared" si="106"/>
        <v>1.0003606678876256</v>
      </c>
      <c r="N221" s="576">
        <f t="shared" si="107"/>
        <v>-2.6853659708627763E-2</v>
      </c>
      <c r="O221" s="574">
        <f t="shared" si="108"/>
        <v>531166.34809601633</v>
      </c>
      <c r="P221" s="577">
        <f t="shared" si="109"/>
        <v>1.5707944441455088</v>
      </c>
      <c r="Q221" s="586">
        <f t="shared" si="131"/>
        <v>21.447035303415884</v>
      </c>
      <c r="R221" s="587">
        <f t="shared" si="132"/>
        <v>1.524152924615265</v>
      </c>
      <c r="S221" s="574">
        <f t="shared" si="110"/>
        <v>1.0010468451249799</v>
      </c>
      <c r="T221" s="577">
        <f t="shared" si="111"/>
        <v>4.5736915129378899E-2</v>
      </c>
      <c r="U221" s="578">
        <f t="shared" si="123"/>
        <v>0.95474400151743277</v>
      </c>
      <c r="V221" s="579">
        <f t="shared" si="124"/>
        <v>-0.37248567191821996</v>
      </c>
      <c r="W221" s="580">
        <f t="shared" si="112"/>
        <v>-9.7386496425508753</v>
      </c>
      <c r="X221" s="581">
        <f t="shared" si="113"/>
        <v>-115.57573095305244</v>
      </c>
      <c r="Y221" s="584">
        <f t="shared" si="114"/>
        <v>64.424269046947558</v>
      </c>
      <c r="AA221" s="147">
        <f t="shared" si="115"/>
        <v>12808.75</v>
      </c>
      <c r="AB221" s="147">
        <f t="shared" si="116"/>
        <v>164064076.5625</v>
      </c>
      <c r="AD221" s="583">
        <f t="shared" si="117"/>
        <v>17.219096357856692</v>
      </c>
      <c r="AE221" s="584">
        <f t="shared" si="118"/>
        <v>-5.2928944300694436</v>
      </c>
      <c r="AG221" s="583">
        <f t="shared" si="119"/>
        <v>2.4740517443384231</v>
      </c>
      <c r="AH221" s="584">
        <f t="shared" si="120"/>
        <v>-67.599122614192467</v>
      </c>
      <c r="AJ221" s="147">
        <f t="shared" si="121"/>
        <v>0</v>
      </c>
      <c r="AK221" s="147">
        <f t="shared" si="133"/>
        <v>0</v>
      </c>
      <c r="AM221" s="147" t="str">
        <f t="shared" si="125"/>
        <v>0.144524893140379+0.517843935509068i</v>
      </c>
      <c r="AN221" s="147" t="str">
        <f t="shared" si="126"/>
        <v>0.544328710196268i</v>
      </c>
      <c r="AO221" s="147" t="str">
        <f t="shared" si="127"/>
        <v>0.951344152547731-0.265510325715261i</v>
      </c>
      <c r="AP221" s="147" t="str">
        <f t="shared" si="128"/>
        <v>0.142579184476604-0.0863073225848447i</v>
      </c>
      <c r="AQ221" s="147" t="str">
        <f t="shared" si="129"/>
        <v>0.857420815523396+0.0863073225848447i</v>
      </c>
      <c r="AR221" s="147" t="str">
        <f t="shared" si="130"/>
        <v>0.961773326745508-0.0968113664400054i</v>
      </c>
    </row>
    <row r="222" spans="7:44">
      <c r="G222" s="585">
        <v>12882</v>
      </c>
      <c r="H222" s="573">
        <f t="shared" si="122"/>
        <v>12.882</v>
      </c>
      <c r="I222" s="574">
        <f t="shared" si="102"/>
        <v>36.399569561307239</v>
      </c>
      <c r="J222" s="575">
        <f t="shared" si="103"/>
        <v>1.5433200173842829</v>
      </c>
      <c r="K222" s="575">
        <f t="shared" si="104"/>
        <v>1.0001585284701953</v>
      </c>
      <c r="L222" s="576">
        <f t="shared" si="105"/>
        <v>1.7804916753411112E-2</v>
      </c>
      <c r="M222" s="575">
        <f t="shared" si="106"/>
        <v>1.0003648040653859</v>
      </c>
      <c r="N222" s="576">
        <f t="shared" si="107"/>
        <v>-2.7007154541964975E-2</v>
      </c>
      <c r="O222" s="574">
        <f t="shared" si="108"/>
        <v>534203.95402929606</v>
      </c>
      <c r="P222" s="577">
        <f t="shared" si="109"/>
        <v>1.5707944548506843</v>
      </c>
      <c r="Q222" s="586">
        <f t="shared" si="131"/>
        <v>21.569419582510992</v>
      </c>
      <c r="R222" s="587">
        <f t="shared" si="132"/>
        <v>1.5244177684257425</v>
      </c>
      <c r="S222" s="574">
        <f t="shared" si="110"/>
        <v>1.0010588462954308</v>
      </c>
      <c r="T222" s="577">
        <f t="shared" si="111"/>
        <v>4.59981052349928E-2</v>
      </c>
      <c r="U222" s="578">
        <f t="shared" si="123"/>
        <v>0.95426208084692088</v>
      </c>
      <c r="V222" s="579">
        <f t="shared" si="124"/>
        <v>-0.37452259220353851</v>
      </c>
      <c r="W222" s="580">
        <f t="shared" si="112"/>
        <v>-9.7926880686387729</v>
      </c>
      <c r="X222" s="581">
        <f t="shared" si="113"/>
        <v>-115.70422251482407</v>
      </c>
      <c r="Y222" s="584">
        <f t="shared" si="114"/>
        <v>64.295777485175932</v>
      </c>
      <c r="AA222" s="147">
        <f t="shared" si="115"/>
        <v>12882</v>
      </c>
      <c r="AB222" s="147">
        <f t="shared" si="116"/>
        <v>165945924</v>
      </c>
      <c r="AD222" s="583">
        <f t="shared" si="117"/>
        <v>17.218885155378917</v>
      </c>
      <c r="AE222" s="584">
        <f t="shared" si="118"/>
        <v>-5.292685701562295</v>
      </c>
      <c r="AG222" s="583">
        <f t="shared" si="119"/>
        <v>2.4289953882199464</v>
      </c>
      <c r="AH222" s="584">
        <f t="shared" si="120"/>
        <v>-67.49440903309781</v>
      </c>
      <c r="AJ222" s="147">
        <f t="shared" si="121"/>
        <v>0</v>
      </c>
      <c r="AK222" s="147">
        <f t="shared" si="133"/>
        <v>0</v>
      </c>
      <c r="AM222" s="147" t="str">
        <f t="shared" si="125"/>
        <v>0.146141020387696+0.520504412023025i</v>
      </c>
      <c r="AN222" s="147" t="str">
        <f t="shared" si="126"/>
        <v>0.547441588347678i</v>
      </c>
      <c r="AO222" s="147" t="str">
        <f t="shared" si="127"/>
        <v>0.950794428304294-0.26695271878921i</v>
      </c>
      <c r="AP222" s="147" t="str">
        <f t="shared" si="128"/>
        <v>0.142309829935384-0.0867507353371708i</v>
      </c>
      <c r="AQ222" s="147" t="str">
        <f t="shared" si="129"/>
        <v>0.857690170064616+0.0867507353371708i</v>
      </c>
      <c r="AR222" s="147" t="str">
        <f t="shared" si="130"/>
        <v>0.961378062687359-0.0972382065062841i</v>
      </c>
    </row>
    <row r="223" spans="7:44">
      <c r="G223" s="585">
        <v>12957.25</v>
      </c>
      <c r="H223" s="573">
        <f t="shared" si="122"/>
        <v>12.95725</v>
      </c>
      <c r="I223" s="574">
        <f t="shared" si="102"/>
        <v>36.612037056721142</v>
      </c>
      <c r="J223" s="575">
        <f t="shared" si="103"/>
        <v>1.5434795080837163</v>
      </c>
      <c r="K223" s="575">
        <f t="shared" si="104"/>
        <v>1.0001603858138393</v>
      </c>
      <c r="L223" s="576">
        <f t="shared" si="105"/>
        <v>1.790890172130459E-2</v>
      </c>
      <c r="M223" s="575">
        <f t="shared" si="106"/>
        <v>1.0003690777194596</v>
      </c>
      <c r="N223" s="576">
        <f t="shared" si="107"/>
        <v>-2.7164839034925062E-2</v>
      </c>
      <c r="O223" s="574">
        <f t="shared" si="108"/>
        <v>537324.49800853559</v>
      </c>
      <c r="P223" s="577">
        <f t="shared" si="109"/>
        <v>1.5707944657221116</v>
      </c>
      <c r="Q223" s="586">
        <f t="shared" si="131"/>
        <v>21.695146969325609</v>
      </c>
      <c r="R223" s="587">
        <f t="shared" si="132"/>
        <v>1.5246867319416639</v>
      </c>
      <c r="S223" s="574">
        <f t="shared" si="110"/>
        <v>1.0010712462560845</v>
      </c>
      <c r="T223" s="577">
        <f t="shared" si="111"/>
        <v>4.6266420270892221E-2</v>
      </c>
      <c r="U223" s="578">
        <f t="shared" si="123"/>
        <v>0.95376486050504194</v>
      </c>
      <c r="V223" s="579">
        <f t="shared" si="124"/>
        <v>-0.37661358706357845</v>
      </c>
      <c r="W223" s="580">
        <f t="shared" si="112"/>
        <v>-9.8479304204739169</v>
      </c>
      <c r="X223" s="581">
        <f t="shared" si="113"/>
        <v>-115.83620606325454</v>
      </c>
      <c r="Y223" s="584">
        <f t="shared" si="114"/>
        <v>64.163793936745463</v>
      </c>
      <c r="AA223" s="147">
        <f t="shared" si="115"/>
        <v>12957.25</v>
      </c>
      <c r="AB223" s="147">
        <f t="shared" si="116"/>
        <v>167890327.5625</v>
      </c>
      <c r="AD223" s="583">
        <f t="shared" si="117"/>
        <v>17.218669453369998</v>
      </c>
      <c r="AE223" s="584">
        <f t="shared" si="118"/>
        <v>-5.2926491692808018</v>
      </c>
      <c r="AG223" s="583">
        <f t="shared" si="119"/>
        <v>2.3830227009338167</v>
      </c>
      <c r="AH223" s="584">
        <f t="shared" si="120"/>
        <v>-67.38681875260832</v>
      </c>
      <c r="AJ223" s="147">
        <f t="shared" si="121"/>
        <v>0</v>
      </c>
      <c r="AK223" s="147">
        <f t="shared" si="133"/>
        <v>0</v>
      </c>
      <c r="AM223" s="147" t="str">
        <f t="shared" si="125"/>
        <v>0.147809889669638+0.523232277153394i</v>
      </c>
      <c r="AN223" s="147" t="str">
        <f t="shared" si="126"/>
        <v>0.550639459759195i</v>
      </c>
      <c r="AO223" s="147" t="str">
        <f t="shared" si="127"/>
        <v>0.950226628113818-0.268433159029827i</v>
      </c>
      <c r="AP223" s="147" t="str">
        <f t="shared" si="128"/>
        <v>0.14203168505506-0.0872053795255657i</v>
      </c>
      <c r="AQ223" s="147" t="str">
        <f t="shared" si="129"/>
        <v>0.85796831494494+0.0872053795255657i</v>
      </c>
      <c r="AR223" s="147" t="str">
        <f t="shared" si="130"/>
        <v>0.960970500209142-0.097674699314495i</v>
      </c>
    </row>
    <row r="224" spans="7:44">
      <c r="G224" s="585">
        <v>13032.5</v>
      </c>
      <c r="H224" s="573">
        <f t="shared" si="122"/>
        <v>13.032500000000001</v>
      </c>
      <c r="I224" s="574">
        <f t="shared" si="102"/>
        <v>36.824505472698966</v>
      </c>
      <c r="J224" s="575">
        <f t="shared" si="103"/>
        <v>1.5436371583422419</v>
      </c>
      <c r="K224" s="575">
        <f t="shared" si="104"/>
        <v>1.0001622539720509</v>
      </c>
      <c r="L224" s="576">
        <f t="shared" si="105"/>
        <v>1.8012886301864723E-2</v>
      </c>
      <c r="M224" s="575">
        <f t="shared" si="106"/>
        <v>1.0003733762468963</v>
      </c>
      <c r="N224" s="576">
        <f t="shared" si="107"/>
        <v>-2.7322522176689543E-2</v>
      </c>
      <c r="O224" s="574">
        <f t="shared" si="108"/>
        <v>540445.04198777524</v>
      </c>
      <c r="P224" s="577">
        <f t="shared" si="109"/>
        <v>1.5707944764679951</v>
      </c>
      <c r="Q224" s="586">
        <f t="shared" si="131"/>
        <v>21.820875907511105</v>
      </c>
      <c r="R224" s="587">
        <f t="shared" si="132"/>
        <v>1.5249525960137704</v>
      </c>
      <c r="S224" s="574">
        <f t="shared" si="110"/>
        <v>1.0010837182850301</v>
      </c>
      <c r="T224" s="577">
        <f t="shared" si="111"/>
        <v>4.6534728640487091E-2</v>
      </c>
      <c r="U224" s="578">
        <f t="shared" si="123"/>
        <v>0.95326548074505857</v>
      </c>
      <c r="V224" s="579">
        <f t="shared" si="124"/>
        <v>-0.37870301438832921</v>
      </c>
      <c r="W224" s="580">
        <f t="shared" si="112"/>
        <v>-9.9029009534587829</v>
      </c>
      <c r="X224" s="581">
        <f t="shared" si="113"/>
        <v>-115.96817148971218</v>
      </c>
      <c r="Y224" s="584">
        <f t="shared" si="114"/>
        <v>64.031828510287824</v>
      </c>
      <c r="AA224" s="147">
        <f t="shared" si="115"/>
        <v>13032.5</v>
      </c>
      <c r="AB224" s="147">
        <f t="shared" si="116"/>
        <v>169846056.25</v>
      </c>
      <c r="AD224" s="583">
        <f t="shared" si="117"/>
        <v>17.218454992083323</v>
      </c>
      <c r="AE224" s="584">
        <f t="shared" si="118"/>
        <v>-5.2927898329046954</v>
      </c>
      <c r="AG224" s="583">
        <f t="shared" si="119"/>
        <v>2.3373646650413855</v>
      </c>
      <c r="AH224" s="584">
        <f t="shared" si="120"/>
        <v>-67.279212780553436</v>
      </c>
      <c r="AJ224" s="147">
        <f t="shared" si="121"/>
        <v>0</v>
      </c>
      <c r="AK224" s="147">
        <f t="shared" si="133"/>
        <v>0</v>
      </c>
      <c r="AM224" s="147" t="str">
        <f t="shared" si="125"/>
        <v>0.149487473765388+0.52595479151541i</v>
      </c>
      <c r="AN224" s="147" t="str">
        <f t="shared" si="126"/>
        <v>0.553837331170712i</v>
      </c>
      <c r="AO224" s="147" t="str">
        <f t="shared" si="127"/>
        <v>0.949655723646574-0.269912238399312i</v>
      </c>
      <c r="AP224" s="147" t="str">
        <f t="shared" si="128"/>
        <v>0.141752087705769-0.087659131919235i</v>
      </c>
      <c r="AQ224" s="147" t="str">
        <f t="shared" si="129"/>
        <v>0.858247912294231+0.087659131919235i</v>
      </c>
      <c r="AR224" s="147" t="str">
        <f t="shared" si="130"/>
        <v>0.96056142347139-0.0981091585897618i</v>
      </c>
    </row>
    <row r="225" spans="7:44">
      <c r="G225" s="585">
        <v>13107.75</v>
      </c>
      <c r="H225" s="573">
        <f t="shared" si="122"/>
        <v>13.107749999999999</v>
      </c>
      <c r="I225" s="574">
        <f t="shared" si="102"/>
        <v>37.036974793397825</v>
      </c>
      <c r="J225" s="575">
        <f t="shared" si="103"/>
        <v>1.5437929998260236</v>
      </c>
      <c r="K225" s="575">
        <f t="shared" si="104"/>
        <v>1.0001641329447697</v>
      </c>
      <c r="L225" s="576">
        <f t="shared" si="105"/>
        <v>1.8116870492844956E-2</v>
      </c>
      <c r="M225" s="575">
        <f t="shared" si="106"/>
        <v>1.0003776996473759</v>
      </c>
      <c r="N225" s="576">
        <f t="shared" si="107"/>
        <v>-2.7480203959434638E-2</v>
      </c>
      <c r="O225" s="574">
        <f t="shared" si="108"/>
        <v>543565.58596701478</v>
      </c>
      <c r="P225" s="577">
        <f t="shared" si="109"/>
        <v>1.5707944870904971</v>
      </c>
      <c r="Q225" s="586">
        <f t="shared" si="131"/>
        <v>21.946606370404741</v>
      </c>
      <c r="R225" s="587">
        <f t="shared" si="132"/>
        <v>1.5252154138735941</v>
      </c>
      <c r="S225" s="574">
        <f t="shared" si="110"/>
        <v>1.0010962623795743</v>
      </c>
      <c r="T225" s="577">
        <f t="shared" si="111"/>
        <v>4.6803030305396599E-2</v>
      </c>
      <c r="U225" s="578">
        <f t="shared" si="123"/>
        <v>0.95276395253094126</v>
      </c>
      <c r="V225" s="579">
        <f t="shared" si="124"/>
        <v>-0.38079086838831755</v>
      </c>
      <c r="W225" s="580">
        <f t="shared" si="112"/>
        <v>-9.9576030020389812</v>
      </c>
      <c r="X225" s="581">
        <f t="shared" si="113"/>
        <v>-116.1001172244853</v>
      </c>
      <c r="Y225" s="584">
        <f t="shared" si="114"/>
        <v>63.899882775514698</v>
      </c>
      <c r="AA225" s="147">
        <f t="shared" si="115"/>
        <v>13107.75</v>
      </c>
      <c r="AB225" s="147">
        <f t="shared" si="116"/>
        <v>171813110.0625</v>
      </c>
      <c r="AD225" s="583">
        <f t="shared" si="117"/>
        <v>17.21824172894323</v>
      </c>
      <c r="AE225" s="584">
        <f t="shared" si="118"/>
        <v>-5.2931046404166766</v>
      </c>
      <c r="AG225" s="583">
        <f t="shared" si="119"/>
        <v>2.2920178555701374</v>
      </c>
      <c r="AH225" s="584">
        <f t="shared" si="120"/>
        <v>-67.171593262663521</v>
      </c>
      <c r="AJ225" s="147">
        <f t="shared" si="121"/>
        <v>0</v>
      </c>
      <c r="AK225" s="147">
        <f t="shared" si="133"/>
        <v>0</v>
      </c>
      <c r="AM225" s="147" t="str">
        <f t="shared" si="125"/>
        <v>0.151173755519344+0.528671927267626i</v>
      </c>
      <c r="AN225" s="147" t="str">
        <f t="shared" si="126"/>
        <v>0.557035202582229i</v>
      </c>
      <c r="AO225" s="147" t="str">
        <f t="shared" si="127"/>
        <v>0.949081718384906-0.271389949537395i</v>
      </c>
      <c r="AP225" s="147" t="str">
        <f t="shared" si="128"/>
        <v>0.141471040746776-0.0881119878779377i</v>
      </c>
      <c r="AQ225" s="147" t="str">
        <f t="shared" si="129"/>
        <v>0.858528959253224+0.0881119878779377i</v>
      </c>
      <c r="AR225" s="147" t="str">
        <f t="shared" si="130"/>
        <v>0.960150844844896-0.0985415793959397i</v>
      </c>
    </row>
    <row r="226" spans="7:44">
      <c r="G226" s="585">
        <v>13183</v>
      </c>
      <c r="H226" s="573">
        <f t="shared" si="122"/>
        <v>13.183</v>
      </c>
      <c r="I226" s="574">
        <f t="shared" si="102"/>
        <v>37.249445003336241</v>
      </c>
      <c r="J226" s="575">
        <f t="shared" si="103"/>
        <v>1.5439470634790888</v>
      </c>
      <c r="K226" s="575">
        <f t="shared" si="104"/>
        <v>1.0001660227319344</v>
      </c>
      <c r="L226" s="576">
        <f t="shared" si="105"/>
        <v>1.8220854291998791E-2</v>
      </c>
      <c r="M226" s="575">
        <f t="shared" si="106"/>
        <v>1.0003820479205756</v>
      </c>
      <c r="N226" s="576">
        <f t="shared" si="107"/>
        <v>-2.763788437533695E-2</v>
      </c>
      <c r="O226" s="574">
        <f t="shared" si="108"/>
        <v>546686.12994625454</v>
      </c>
      <c r="P226" s="577">
        <f t="shared" si="109"/>
        <v>1.5707944975917301</v>
      </c>
      <c r="Q226" s="586">
        <f t="shared" si="131"/>
        <v>22.072338331950974</v>
      </c>
      <c r="R226" s="587">
        <f t="shared" si="132"/>
        <v>1.5254752375414695</v>
      </c>
      <c r="S226" s="574">
        <f t="shared" si="110"/>
        <v>1.0011088785370084</v>
      </c>
      <c r="T226" s="577">
        <f t="shared" si="111"/>
        <v>4.7071325227245671E-2</v>
      </c>
      <c r="U226" s="578">
        <f t="shared" si="123"/>
        <v>0.95226028684268871</v>
      </c>
      <c r="V226" s="579">
        <f t="shared" si="124"/>
        <v>-0.38287714332157974</v>
      </c>
      <c r="W226" s="580">
        <f t="shared" si="112"/>
        <v>-10.012039841787635</v>
      </c>
      <c r="X226" s="581">
        <f t="shared" si="113"/>
        <v>-116.23204172860294</v>
      </c>
      <c r="Y226" s="584">
        <f t="shared" si="114"/>
        <v>63.767958271397063</v>
      </c>
      <c r="AA226" s="147">
        <f t="shared" si="115"/>
        <v>13183</v>
      </c>
      <c r="AB226" s="147">
        <f t="shared" si="116"/>
        <v>173791489</v>
      </c>
      <c r="AD226" s="583">
        <f t="shared" si="117"/>
        <v>17.218029622584766</v>
      </c>
      <c r="AE226" s="584">
        <f t="shared" si="118"/>
        <v>-5.2935906091934344</v>
      </c>
      <c r="AG226" s="583">
        <f t="shared" si="119"/>
        <v>2.2469789048994686</v>
      </c>
      <c r="AH226" s="584">
        <f t="shared" si="120"/>
        <v>-67.06396230057149</v>
      </c>
      <c r="AJ226" s="147">
        <f t="shared" si="121"/>
        <v>0</v>
      </c>
      <c r="AK226" s="147">
        <f t="shared" si="133"/>
        <v>0</v>
      </c>
      <c r="AM226" s="147" t="str">
        <f t="shared" si="125"/>
        <v>0.152868717686961+0.531383656623599i</v>
      </c>
      <c r="AN226" s="147" t="str">
        <f t="shared" si="126"/>
        <v>0.560233073993747i</v>
      </c>
      <c r="AO226" s="147" t="str">
        <f t="shared" si="127"/>
        <v>0.948504615829822-0.272866285093099i</v>
      </c>
      <c r="AP226" s="147" t="str">
        <f t="shared" si="128"/>
        <v>0.141188547052173-0.0885639427705998i</v>
      </c>
      <c r="AQ226" s="147" t="str">
        <f t="shared" si="129"/>
        <v>0.858811452947827+0.0885639427705998i</v>
      </c>
      <c r="AR226" s="147" t="str">
        <f t="shared" si="130"/>
        <v>0.959738776707321-0.0989719568867886i</v>
      </c>
    </row>
    <row r="227" spans="7:44">
      <c r="G227" s="585">
        <v>13259.75</v>
      </c>
      <c r="H227" s="573">
        <f t="shared" si="122"/>
        <v>13.25975</v>
      </c>
      <c r="I227" s="574">
        <f t="shared" si="102"/>
        <v>37.466151400168783</v>
      </c>
      <c r="J227" s="575">
        <f t="shared" si="103"/>
        <v>1.5441023981828443</v>
      </c>
      <c r="K227" s="575">
        <f t="shared" si="104"/>
        <v>1.0001679613291616</v>
      </c>
      <c r="L227" s="576">
        <f t="shared" si="105"/>
        <v>1.8326910451963749E-2</v>
      </c>
      <c r="M227" s="575">
        <f t="shared" si="106"/>
        <v>1.0003865084913457</v>
      </c>
      <c r="N227" s="576">
        <f t="shared" si="107"/>
        <v>-2.7798706506357899E-2</v>
      </c>
      <c r="O227" s="574">
        <f t="shared" si="108"/>
        <v>549868.87745996437</v>
      </c>
      <c r="P227" s="577">
        <f t="shared" si="109"/>
        <v>1.5707945081795121</v>
      </c>
      <c r="Q227" s="586">
        <f t="shared" si="131"/>
        <v>22.200578095802182</v>
      </c>
      <c r="R227" s="587">
        <f t="shared" si="132"/>
        <v>1.5257372088202785</v>
      </c>
      <c r="S227" s="574">
        <f t="shared" si="110"/>
        <v>1.001121820408394</v>
      </c>
      <c r="T227" s="577">
        <f t="shared" si="111"/>
        <v>4.7344961234820092E-2</v>
      </c>
      <c r="U227" s="578">
        <f t="shared" si="123"/>
        <v>0.95174439089859142</v>
      </c>
      <c r="V227" s="579">
        <f t="shared" si="124"/>
        <v>-0.38500337263095991</v>
      </c>
      <c r="W227" s="580">
        <f t="shared" si="112"/>
        <v>-10.067291946555169</v>
      </c>
      <c r="X227" s="581">
        <f t="shared" si="113"/>
        <v>-116.36657252276335</v>
      </c>
      <c r="Y227" s="584">
        <f t="shared" si="114"/>
        <v>63.633427477236651</v>
      </c>
      <c r="AA227" s="147">
        <f t="shared" si="115"/>
        <v>13259.75</v>
      </c>
      <c r="AB227" s="147">
        <f t="shared" si="116"/>
        <v>175820970.0625</v>
      </c>
      <c r="AD227" s="583">
        <f t="shared" si="117"/>
        <v>17.217814438117909</v>
      </c>
      <c r="AE227" s="584">
        <f t="shared" si="118"/>
        <v>-5.2942595555568399</v>
      </c>
      <c r="AG227" s="583">
        <f t="shared" si="119"/>
        <v>2.2013558592540323</v>
      </c>
      <c r="AH227" s="584">
        <f t="shared" si="120"/>
        <v>-66.954176216681091</v>
      </c>
      <c r="AJ227" s="147">
        <f t="shared" si="121"/>
        <v>0</v>
      </c>
      <c r="AK227" s="147">
        <f t="shared" si="133"/>
        <v>0</v>
      </c>
      <c r="AM227" s="147" t="str">
        <f t="shared" si="125"/>
        <v>0.154606390187212+0.534143842506589i</v>
      </c>
      <c r="AN227" s="147" t="str">
        <f t="shared" si="126"/>
        <v>0.563494690350344i</v>
      </c>
      <c r="AO227" s="147" t="str">
        <f t="shared" si="127"/>
        <v>0.947912822700234-0.27437062466567i</v>
      </c>
      <c r="AP227" s="147" t="str">
        <f t="shared" si="128"/>
        <v>0.140898934968798-0.0890239737510982i</v>
      </c>
      <c r="AQ227" s="147" t="str">
        <f t="shared" si="129"/>
        <v>0.859101065031202+0.0890239737510982i</v>
      </c>
      <c r="AR227" s="147" t="str">
        <f t="shared" si="130"/>
        <v>0.959316973084358-0.0994088035820827i</v>
      </c>
    </row>
    <row r="228" spans="7:44">
      <c r="G228" s="585">
        <v>13336.5</v>
      </c>
      <c r="H228" s="573">
        <f t="shared" si="122"/>
        <v>13.336499999999999</v>
      </c>
      <c r="I228" s="574">
        <f t="shared" si="102"/>
        <v>37.682858690619604</v>
      </c>
      <c r="J228" s="575">
        <f t="shared" si="103"/>
        <v>1.5442559462868142</v>
      </c>
      <c r="K228" s="575">
        <f t="shared" si="104"/>
        <v>1.0001699111761433</v>
      </c>
      <c r="L228" s="576">
        <f t="shared" si="105"/>
        <v>1.8432966199605303E-2</v>
      </c>
      <c r="M228" s="575">
        <f t="shared" si="106"/>
        <v>1.0003909949356391</v>
      </c>
      <c r="N228" s="576">
        <f t="shared" si="107"/>
        <v>-2.7959527199063177E-2</v>
      </c>
      <c r="O228" s="574">
        <f t="shared" si="108"/>
        <v>553051.62497367407</v>
      </c>
      <c r="P228" s="577">
        <f t="shared" si="109"/>
        <v>1.5707945186454313</v>
      </c>
      <c r="Q228" s="586">
        <f t="shared" si="131"/>
        <v>22.328819365754896</v>
      </c>
      <c r="R228" s="587">
        <f t="shared" si="132"/>
        <v>1.5259961709536052</v>
      </c>
      <c r="S228" s="574">
        <f t="shared" si="110"/>
        <v>1.0011348372385012</v>
      </c>
      <c r="T228" s="577">
        <f t="shared" si="111"/>
        <v>4.7618590147210774E-2</v>
      </c>
      <c r="U228" s="578">
        <f t="shared" si="123"/>
        <v>0.95122629453646557</v>
      </c>
      <c r="V228" s="579">
        <f t="shared" si="124"/>
        <v>-0.38712794737895068</v>
      </c>
      <c r="W228" s="580">
        <f t="shared" si="112"/>
        <v>-10.12227486555598</v>
      </c>
      <c r="X228" s="581">
        <f t="shared" si="113"/>
        <v>-116.50107809195654</v>
      </c>
      <c r="Y228" s="584">
        <f t="shared" si="114"/>
        <v>63.498921908043457</v>
      </c>
      <c r="AA228" s="147">
        <f t="shared" si="115"/>
        <v>13336.5</v>
      </c>
      <c r="AB228" s="147">
        <f t="shared" si="116"/>
        <v>177862232.25</v>
      </c>
      <c r="AD228" s="583">
        <f t="shared" si="117"/>
        <v>17.217600373763883</v>
      </c>
      <c r="AE228" s="584">
        <f t="shared" si="118"/>
        <v>-5.2951004997502285</v>
      </c>
      <c r="AG228" s="583">
        <f t="shared" si="119"/>
        <v>2.1560461685742851</v>
      </c>
      <c r="AH228" s="584">
        <f t="shared" si="120"/>
        <v>-66.84438250876282</v>
      </c>
      <c r="AJ228" s="147">
        <f t="shared" si="121"/>
        <v>0</v>
      </c>
      <c r="AK228" s="147">
        <f t="shared" si="133"/>
        <v>0</v>
      </c>
      <c r="AM228" s="147" t="str">
        <f t="shared" si="125"/>
        <v>0.15635305609613+0.536898346096968i</v>
      </c>
      <c r="AN228" s="147" t="str">
        <f t="shared" si="126"/>
        <v>0.566756306706941i</v>
      </c>
      <c r="AO228" s="147" t="str">
        <f t="shared" si="127"/>
        <v>0.947317814982142-0.27587351785214i</v>
      </c>
      <c r="AP228" s="147" t="str">
        <f t="shared" si="128"/>
        <v>0.140607823983978-0.089483057682828i</v>
      </c>
      <c r="AQ228" s="147" t="str">
        <f t="shared" si="129"/>
        <v>0.859392176016022+0.089483057682828i</v>
      </c>
      <c r="AR228" s="147" t="str">
        <f t="shared" si="130"/>
        <v>0.958893646003323-0.0998435147906361i</v>
      </c>
    </row>
    <row r="229" spans="7:44">
      <c r="G229" s="585">
        <v>13413.25</v>
      </c>
      <c r="H229" s="573">
        <f t="shared" si="122"/>
        <v>13.41325</v>
      </c>
      <c r="I229" s="574">
        <f t="shared" si="102"/>
        <v>37.89956685935973</v>
      </c>
      <c r="J229" s="575">
        <f t="shared" si="103"/>
        <v>1.5444077384308084</v>
      </c>
      <c r="K229" s="575">
        <f t="shared" si="104"/>
        <v>1.0001718722728139</v>
      </c>
      <c r="L229" s="576">
        <f t="shared" si="105"/>
        <v>1.8539021532540077E-2</v>
      </c>
      <c r="M229" s="575">
        <f t="shared" si="106"/>
        <v>1.0003955072531077</v>
      </c>
      <c r="N229" s="576">
        <f t="shared" si="107"/>
        <v>-2.8120346445153491E-2</v>
      </c>
      <c r="O229" s="574">
        <f t="shared" si="108"/>
        <v>556234.37248738389</v>
      </c>
      <c r="P229" s="577">
        <f t="shared" si="109"/>
        <v>1.5707945289915795</v>
      </c>
      <c r="Q229" s="586">
        <f t="shared" si="131"/>
        <v>22.457062116007279</v>
      </c>
      <c r="R229" s="587">
        <f t="shared" si="132"/>
        <v>1.5262521754582734</v>
      </c>
      <c r="S229" s="574">
        <f t="shared" si="110"/>
        <v>1.0011479290244061</v>
      </c>
      <c r="T229" s="577">
        <f t="shared" si="111"/>
        <v>4.7892211923720555E-2</v>
      </c>
      <c r="U229" s="578">
        <f t="shared" si="123"/>
        <v>0.9507060094538704</v>
      </c>
      <c r="V229" s="579">
        <f t="shared" si="124"/>
        <v>-0.38925086162618472</v>
      </c>
      <c r="W229" s="580">
        <f t="shared" si="112"/>
        <v>-10.176991893491154</v>
      </c>
      <c r="X229" s="581">
        <f t="shared" si="113"/>
        <v>-116.63555689716611</v>
      </c>
      <c r="Y229" s="584">
        <f t="shared" si="114"/>
        <v>63.364443102833889</v>
      </c>
      <c r="AA229" s="147">
        <f t="shared" si="115"/>
        <v>13413.25</v>
      </c>
      <c r="AB229" s="147">
        <f t="shared" si="116"/>
        <v>179915275.5625</v>
      </c>
      <c r="AD229" s="583">
        <f t="shared" si="117"/>
        <v>17.21738738926781</v>
      </c>
      <c r="AE229" s="584">
        <f t="shared" si="118"/>
        <v>-5.2961104878650636</v>
      </c>
      <c r="AG229" s="583">
        <f t="shared" si="119"/>
        <v>2.1110464359058598</v>
      </c>
      <c r="AH229" s="584">
        <f t="shared" si="120"/>
        <v>-66.734583272310189</v>
      </c>
      <c r="AJ229" s="147">
        <f t="shared" si="121"/>
        <v>0</v>
      </c>
      <c r="AK229" s="147">
        <f t="shared" si="133"/>
        <v>0</v>
      </c>
      <c r="AM229" s="147" t="str">
        <f t="shared" si="125"/>
        <v>0.158108696832452+0.539647138091964i</v>
      </c>
      <c r="AN229" s="147" t="str">
        <f t="shared" si="126"/>
        <v>0.570017923063538i</v>
      </c>
      <c r="AO229" s="147" t="str">
        <f t="shared" si="127"/>
        <v>0.946719596449972-0.277374956883291i</v>
      </c>
      <c r="AP229" s="147" t="str">
        <f t="shared" si="128"/>
        <v>0.140315217194591-0.089941189681994i</v>
      </c>
      <c r="AQ229" s="147" t="str">
        <f t="shared" si="129"/>
        <v>0.859684782805409+0.089941189681994i</v>
      </c>
      <c r="AR229" s="147" t="str">
        <f t="shared" si="130"/>
        <v>0.958468808614165-0.100276085658427i</v>
      </c>
    </row>
    <row r="230" spans="7:44">
      <c r="G230" s="585">
        <v>13490</v>
      </c>
      <c r="H230" s="573">
        <f t="shared" si="122"/>
        <v>13.49</v>
      </c>
      <c r="I230" s="574">
        <f t="shared" si="102"/>
        <v>38.116275891408769</v>
      </c>
      <c r="J230" s="575">
        <f t="shared" si="103"/>
        <v>1.5445578045581572</v>
      </c>
      <c r="K230" s="575">
        <f t="shared" si="104"/>
        <v>1.0001738446191073</v>
      </c>
      <c r="L230" s="576">
        <f t="shared" si="105"/>
        <v>1.8645076448384756E-2</v>
      </c>
      <c r="M230" s="575">
        <f t="shared" si="106"/>
        <v>1.000400045443401</v>
      </c>
      <c r="N230" s="576">
        <f t="shared" si="107"/>
        <v>-2.8281164236329991E-2</v>
      </c>
      <c r="O230" s="574">
        <f t="shared" si="108"/>
        <v>559417.12000109383</v>
      </c>
      <c r="P230" s="577">
        <f t="shared" si="109"/>
        <v>1.5707945392200009</v>
      </c>
      <c r="Q230" s="586">
        <f t="shared" si="131"/>
        <v>22.585306321343246</v>
      </c>
      <c r="R230" s="587">
        <f t="shared" si="132"/>
        <v>1.5265052726825843</v>
      </c>
      <c r="S230" s="574">
        <f t="shared" si="110"/>
        <v>1.001161095763168</v>
      </c>
      <c r="T230" s="577">
        <f t="shared" si="111"/>
        <v>4.8165826523658674E-2</v>
      </c>
      <c r="U230" s="578">
        <f t="shared" si="123"/>
        <v>0.95018354736318322</v>
      </c>
      <c r="V230" s="579">
        <f t="shared" si="124"/>
        <v>-0.39137210948479412</v>
      </c>
      <c r="W230" s="580">
        <f t="shared" si="112"/>
        <v>-10.23144626699894</v>
      </c>
      <c r="X230" s="581">
        <f t="shared" si="113"/>
        <v>-116.77000742937024</v>
      </c>
      <c r="Y230" s="584">
        <f t="shared" si="114"/>
        <v>63.229992570629761</v>
      </c>
      <c r="AA230" s="147">
        <f t="shared" si="115"/>
        <v>13490</v>
      </c>
      <c r="AB230" s="147">
        <f t="shared" si="116"/>
        <v>181980100</v>
      </c>
      <c r="AD230" s="583">
        <f t="shared" si="117"/>
        <v>17.217175445516176</v>
      </c>
      <c r="AE230" s="584">
        <f t="shared" si="118"/>
        <v>-5.2972866329419066</v>
      </c>
      <c r="AG230" s="583">
        <f t="shared" si="119"/>
        <v>2.0663533209066443</v>
      </c>
      <c r="AH230" s="584">
        <f t="shared" si="120"/>
        <v>-66.624780559960712</v>
      </c>
      <c r="AJ230" s="147">
        <f t="shared" si="121"/>
        <v>0</v>
      </c>
      <c r="AK230" s="147">
        <f t="shared" si="133"/>
        <v>0</v>
      </c>
      <c r="AM230" s="147" t="str">
        <f t="shared" si="125"/>
        <v>0.159873293719441+0.542390189249565i</v>
      </c>
      <c r="AN230" s="147" t="str">
        <f t="shared" si="126"/>
        <v>0.573279539420135i</v>
      </c>
      <c r="AO230" s="147" t="str">
        <f t="shared" si="127"/>
        <v>0.946118170898242-0.278874934000175i</v>
      </c>
      <c r="AP230" s="147" t="str">
        <f t="shared" si="128"/>
        <v>0.140021117713426-0.0903983648749275i</v>
      </c>
      <c r="AQ230" s="147" t="str">
        <f t="shared" si="129"/>
        <v>0.859978882286574+0.0903983648749275i</v>
      </c>
      <c r="AR230" s="147" t="str">
        <f t="shared" si="130"/>
        <v>0.958042474071019-0.100706511427905i</v>
      </c>
    </row>
    <row r="231" spans="7:44">
      <c r="G231" s="585">
        <v>13568.5</v>
      </c>
      <c r="H231" s="573">
        <f t="shared" si="122"/>
        <v>13.5685</v>
      </c>
      <c r="I231" s="574">
        <f t="shared" si="102"/>
        <v>38.337927049546295</v>
      </c>
      <c r="J231" s="575">
        <f t="shared" si="103"/>
        <v>1.5447095373915489</v>
      </c>
      <c r="K231" s="575">
        <f t="shared" si="104"/>
        <v>1.0001758735747024</v>
      </c>
      <c r="L231" s="576">
        <f t="shared" si="105"/>
        <v>1.8753549120545051E-2</v>
      </c>
      <c r="M231" s="575">
        <f t="shared" si="106"/>
        <v>1.000404713874431</v>
      </c>
      <c r="N231" s="576">
        <f t="shared" si="107"/>
        <v>-2.8445647368977353E-2</v>
      </c>
      <c r="O231" s="574">
        <f t="shared" si="108"/>
        <v>562672.43830501859</v>
      </c>
      <c r="P231" s="577">
        <f t="shared" si="109"/>
        <v>1.570794549561942</v>
      </c>
      <c r="Q231" s="586">
        <f t="shared" si="131"/>
        <v>22.716476141196111</v>
      </c>
      <c r="R231" s="587">
        <f t="shared" si="132"/>
        <v>1.5267611846716016</v>
      </c>
      <c r="S231" s="574">
        <f t="shared" si="110"/>
        <v>1.001174640253522</v>
      </c>
      <c r="T231" s="577">
        <f t="shared" si="111"/>
        <v>4.8445672426680284E-2</v>
      </c>
      <c r="U231" s="578">
        <f t="shared" si="123"/>
        <v>0.94964693264711997</v>
      </c>
      <c r="V231" s="579">
        <f t="shared" si="124"/>
        <v>-0.39353999465980288</v>
      </c>
      <c r="W231" s="580">
        <f t="shared" si="112"/>
        <v>-10.286873879330988</v>
      </c>
      <c r="X231" s="581">
        <f t="shared" si="113"/>
        <v>-116.90749281929494</v>
      </c>
      <c r="Y231" s="584">
        <f t="shared" si="114"/>
        <v>63.092507180705056</v>
      </c>
      <c r="AA231" s="147">
        <f t="shared" si="115"/>
        <v>13568.5</v>
      </c>
      <c r="AB231" s="147">
        <f t="shared" si="116"/>
        <v>184104192.25</v>
      </c>
      <c r="AD231" s="583">
        <f t="shared" si="117"/>
        <v>17.216959706168197</v>
      </c>
      <c r="AE231" s="584">
        <f t="shared" si="118"/>
        <v>-5.298658537752722</v>
      </c>
      <c r="AG231" s="583">
        <f t="shared" si="119"/>
        <v>2.0209549052281193</v>
      </c>
      <c r="AH231" s="584">
        <f t="shared" si="120"/>
        <v>-66.512472702796813</v>
      </c>
      <c r="AJ231" s="147">
        <f t="shared" si="121"/>
        <v>0</v>
      </c>
      <c r="AK231" s="147">
        <f t="shared" si="133"/>
        <v>0</v>
      </c>
      <c r="AM231" s="147" t="str">
        <f t="shared" si="125"/>
        <v>0.161687370944184+0.545189816454348i</v>
      </c>
      <c r="AN231" s="147" t="str">
        <f t="shared" si="126"/>
        <v>0.576615524879326i</v>
      </c>
      <c r="AO231" s="147" t="str">
        <f t="shared" si="127"/>
        <v>0.945499718496905-0.280407592178552i</v>
      </c>
      <c r="AP231" s="147" t="str">
        <f t="shared" si="128"/>
        <v>0.139718771509303-0.090864969409058i</v>
      </c>
      <c r="AQ231" s="147" t="str">
        <f t="shared" si="129"/>
        <v>0.860281228490697+0.090864969409058i</v>
      </c>
      <c r="AR231" s="147" t="str">
        <f t="shared" si="130"/>
        <v>0.957604883510465-0.101144527585242i</v>
      </c>
    </row>
    <row r="232" spans="7:44">
      <c r="G232" s="585">
        <v>13647</v>
      </c>
      <c r="H232" s="573">
        <f t="shared" si="122"/>
        <v>13.647</v>
      </c>
      <c r="I232" s="574">
        <f t="shared" si="102"/>
        <v>38.559579080184839</v>
      </c>
      <c r="J232" s="575">
        <f t="shared" si="103"/>
        <v>1.5448595258166509</v>
      </c>
      <c r="K232" s="575">
        <f t="shared" si="104"/>
        <v>1.0001779142986398</v>
      </c>
      <c r="L232" s="576">
        <f t="shared" si="105"/>
        <v>1.8862021351334853E-2</v>
      </c>
      <c r="M232" s="575">
        <f t="shared" si="106"/>
        <v>1.0004094093708584</v>
      </c>
      <c r="N232" s="576">
        <f t="shared" si="107"/>
        <v>-2.8610128962046906E-2</v>
      </c>
      <c r="O232" s="574">
        <f t="shared" si="108"/>
        <v>565927.75660894345</v>
      </c>
      <c r="P232" s="577">
        <f t="shared" si="109"/>
        <v>1.5707945597849058</v>
      </c>
      <c r="Q232" s="586">
        <f t="shared" si="131"/>
        <v>22.847647431690195</v>
      </c>
      <c r="R232" s="587">
        <f t="shared" si="132"/>
        <v>1.5270141582295622</v>
      </c>
      <c r="S232" s="574">
        <f t="shared" si="110"/>
        <v>1.0011882631474709</v>
      </c>
      <c r="T232" s="577">
        <f t="shared" si="111"/>
        <v>4.8725510736043767E-2</v>
      </c>
      <c r="U232" s="578">
        <f t="shared" si="123"/>
        <v>0.9491080653431534</v>
      </c>
      <c r="V232" s="579">
        <f t="shared" si="124"/>
        <v>-0.39570612429383067</v>
      </c>
      <c r="W232" s="580">
        <f t="shared" si="112"/>
        <v>-10.342033391724389</v>
      </c>
      <c r="X232" s="581">
        <f t="shared" si="113"/>
        <v>-117.04494553177177</v>
      </c>
      <c r="Y232" s="584">
        <f t="shared" si="114"/>
        <v>62.955054468228226</v>
      </c>
      <c r="AA232" s="147">
        <f t="shared" si="115"/>
        <v>13647</v>
      </c>
      <c r="AB232" s="147">
        <f t="shared" si="116"/>
        <v>186240609</v>
      </c>
      <c r="AD232" s="583">
        <f t="shared" si="117"/>
        <v>17.216744976289156</v>
      </c>
      <c r="AE232" s="584">
        <f t="shared" si="118"/>
        <v>-5.3001983603602225</v>
      </c>
      <c r="AG232" s="583">
        <f t="shared" si="119"/>
        <v>1.9758703565247187</v>
      </c>
      <c r="AH232" s="584">
        <f t="shared" si="120"/>
        <v>-66.400165420566466</v>
      </c>
      <c r="AJ232" s="147">
        <f t="shared" si="121"/>
        <v>0</v>
      </c>
      <c r="AK232" s="147">
        <f t="shared" si="133"/>
        <v>0</v>
      </c>
      <c r="AM232" s="147" t="str">
        <f t="shared" si="125"/>
        <v>0.163510777573009+0.547983376356881i</v>
      </c>
      <c r="AN232" s="147" t="str">
        <f t="shared" si="126"/>
        <v>0.579951510338516i</v>
      </c>
      <c r="AO232" s="147" t="str">
        <f t="shared" si="127"/>
        <v>0.944877919254016-0.281938704629924i</v>
      </c>
      <c r="AP232" s="147" t="str">
        <f t="shared" si="128"/>
        <v>0.139414870404498-0.0913305627261468i</v>
      </c>
      <c r="AQ232" s="147" t="str">
        <f t="shared" si="129"/>
        <v>0.860585129595502+0.0913305627261468i</v>
      </c>
      <c r="AR232" s="147" t="str">
        <f t="shared" si="130"/>
        <v>0.957165754588838-0.101580289947474i</v>
      </c>
    </row>
    <row r="233" spans="7:44">
      <c r="G233" s="585">
        <v>13725.5</v>
      </c>
      <c r="H233" s="573">
        <f t="shared" si="122"/>
        <v>13.7255</v>
      </c>
      <c r="I233" s="574">
        <f t="shared" si="102"/>
        <v>38.781231968364217</v>
      </c>
      <c r="J233" s="575">
        <f t="shared" si="103"/>
        <v>1.5450077997369851</v>
      </c>
      <c r="K233" s="575">
        <f t="shared" si="104"/>
        <v>1.0001799667908471</v>
      </c>
      <c r="L233" s="576">
        <f t="shared" si="105"/>
        <v>1.8970493138204259E-2</v>
      </c>
      <c r="M233" s="575">
        <f t="shared" si="106"/>
        <v>1.0004141319323019</v>
      </c>
      <c r="N233" s="576">
        <f t="shared" si="107"/>
        <v>-2.877460900666054E-2</v>
      </c>
      <c r="O233" s="574">
        <f t="shared" si="108"/>
        <v>569183.07491286856</v>
      </c>
      <c r="P233" s="577">
        <f t="shared" si="109"/>
        <v>1.5707945698909336</v>
      </c>
      <c r="Q233" s="586">
        <f t="shared" si="131"/>
        <v>22.978820167640674</v>
      </c>
      <c r="R233" s="587">
        <f t="shared" si="132"/>
        <v>1.5272642436451946</v>
      </c>
      <c r="S233" s="574">
        <f t="shared" si="110"/>
        <v>1.0012019644418142</v>
      </c>
      <c r="T233" s="577">
        <f t="shared" si="111"/>
        <v>4.9005341408232005E-2</v>
      </c>
      <c r="U233" s="578">
        <f t="shared" si="123"/>
        <v>0.94856695802720536</v>
      </c>
      <c r="V233" s="579">
        <f t="shared" si="124"/>
        <v>-0.3978704922542699</v>
      </c>
      <c r="W233" s="580">
        <f t="shared" si="112"/>
        <v>-10.396928087323122</v>
      </c>
      <c r="X233" s="581">
        <f t="shared" si="113"/>
        <v>-117.18236404470288</v>
      </c>
      <c r="Y233" s="584">
        <f t="shared" si="114"/>
        <v>62.817635955297121</v>
      </c>
      <c r="AA233" s="147">
        <f t="shared" si="115"/>
        <v>13725.5</v>
      </c>
      <c r="AB233" s="147">
        <f t="shared" si="116"/>
        <v>188389350.25</v>
      </c>
      <c r="AD233" s="583">
        <f t="shared" si="117"/>
        <v>17.216531217487969</v>
      </c>
      <c r="AE233" s="584">
        <f t="shared" si="118"/>
        <v>-5.3019032170560951</v>
      </c>
      <c r="AG233" s="583">
        <f t="shared" si="119"/>
        <v>1.9310962762714625</v>
      </c>
      <c r="AH233" s="584">
        <f t="shared" si="120"/>
        <v>-66.287860777625269</v>
      </c>
      <c r="AJ233" s="147">
        <f t="shared" si="121"/>
        <v>0</v>
      </c>
      <c r="AK233" s="147">
        <f t="shared" si="133"/>
        <v>0</v>
      </c>
      <c r="AM233" s="147" t="str">
        <f t="shared" si="125"/>
        <v>0.165343493313609+0.550770837868229i</v>
      </c>
      <c r="AN233" s="147" t="str">
        <f t="shared" si="126"/>
        <v>0.583287495797707i</v>
      </c>
      <c r="AO233" s="147" t="str">
        <f t="shared" si="127"/>
        <v>0.944252777294655-0.283468263086087i</v>
      </c>
      <c r="AP233" s="147" t="str">
        <f t="shared" si="128"/>
        <v>0.139109417781065-0.0917951396447048i</v>
      </c>
      <c r="AQ233" s="147" t="str">
        <f t="shared" si="129"/>
        <v>0.860890582218935+0.0917951396447048i</v>
      </c>
      <c r="AR233" s="147" t="str">
        <f t="shared" si="130"/>
        <v>0.956725101389101-0.102013793735837i</v>
      </c>
    </row>
    <row r="234" spans="7:44">
      <c r="G234" s="585">
        <v>13804</v>
      </c>
      <c r="H234" s="573">
        <f t="shared" si="122"/>
        <v>13.804</v>
      </c>
      <c r="I234" s="574">
        <f t="shared" si="102"/>
        <v>39.00288569946423</v>
      </c>
      <c r="J234" s="575">
        <f t="shared" si="103"/>
        <v>1.5451543883766115</v>
      </c>
      <c r="K234" s="575">
        <f t="shared" si="104"/>
        <v>1.0001820310512524</v>
      </c>
      <c r="L234" s="576">
        <f t="shared" si="105"/>
        <v>1.9078964478603425E-2</v>
      </c>
      <c r="M234" s="575">
        <f t="shared" si="106"/>
        <v>1.0004188815583783</v>
      </c>
      <c r="N234" s="576">
        <f t="shared" si="107"/>
        <v>-2.8939087493940675E-2</v>
      </c>
      <c r="O234" s="574">
        <f t="shared" si="108"/>
        <v>572438.39321679354</v>
      </c>
      <c r="P234" s="577">
        <f t="shared" si="109"/>
        <v>1.5707945798820204</v>
      </c>
      <c r="Q234" s="586">
        <f t="shared" si="131"/>
        <v>23.109994324434243</v>
      </c>
      <c r="R234" s="587">
        <f t="shared" si="132"/>
        <v>1.5275114900669211</v>
      </c>
      <c r="S234" s="574">
        <f t="shared" si="110"/>
        <v>1.0012157441333336</v>
      </c>
      <c r="T234" s="577">
        <f t="shared" si="111"/>
        <v>4.9285164399735043E-2</v>
      </c>
      <c r="U234" s="578">
        <f t="shared" si="123"/>
        <v>0.94802362328861223</v>
      </c>
      <c r="V234" s="579">
        <f t="shared" si="124"/>
        <v>-0.40003309246492158</v>
      </c>
      <c r="W234" s="580">
        <f t="shared" si="112"/>
        <v>-10.451561191349953</v>
      </c>
      <c r="X234" s="581">
        <f t="shared" si="113"/>
        <v>-117.31974686562461</v>
      </c>
      <c r="Y234" s="584">
        <f t="shared" si="114"/>
        <v>62.680253134375391</v>
      </c>
      <c r="AA234" s="147">
        <f t="shared" si="115"/>
        <v>13804</v>
      </c>
      <c r="AB234" s="147">
        <f t="shared" si="116"/>
        <v>190550416</v>
      </c>
      <c r="AD234" s="583">
        <f t="shared" si="117"/>
        <v>17.216318392461879</v>
      </c>
      <c r="AE234" s="584">
        <f t="shared" si="118"/>
        <v>-5.3037702894645387</v>
      </c>
      <c r="AG234" s="583">
        <f t="shared" si="119"/>
        <v>1.8866293224670969</v>
      </c>
      <c r="AH234" s="584">
        <f t="shared" si="120"/>
        <v>-66.175560796166508</v>
      </c>
      <c r="AJ234" s="147">
        <f t="shared" si="121"/>
        <v>0</v>
      </c>
      <c r="AK234" s="147">
        <f t="shared" si="133"/>
        <v>0</v>
      </c>
      <c r="AM234" s="147" t="str">
        <f t="shared" si="125"/>
        <v>0.167185497770079+0.553552169967319i</v>
      </c>
      <c r="AN234" s="147" t="str">
        <f t="shared" si="126"/>
        <v>0.586623481256897i</v>
      </c>
      <c r="AO234" s="147" t="str">
        <f t="shared" si="127"/>
        <v>0.943624296765756-0.284996259290317i</v>
      </c>
      <c r="AP234" s="147" t="str">
        <f t="shared" si="128"/>
        <v>0.13880241703832-0.0922586949945532i</v>
      </c>
      <c r="AQ234" s="147" t="str">
        <f t="shared" si="129"/>
        <v>0.86119758296168+0.0922586949945532i</v>
      </c>
      <c r="AR234" s="147" t="str">
        <f t="shared" si="130"/>
        <v>0.956282937995263-0.102445034276096i</v>
      </c>
    </row>
    <row r="235" spans="7:44">
      <c r="G235" s="585">
        <v>13884.25</v>
      </c>
      <c r="H235" s="573">
        <f t="shared" si="122"/>
        <v>13.88425</v>
      </c>
      <c r="I235" s="574">
        <f t="shared" si="102"/>
        <v>39.229481612217732</v>
      </c>
      <c r="J235" s="575">
        <f t="shared" si="103"/>
        <v>1.5453025326031393</v>
      </c>
      <c r="K235" s="575">
        <f t="shared" si="104"/>
        <v>1.0001841534947702</v>
      </c>
      <c r="L235" s="576">
        <f t="shared" si="105"/>
        <v>1.9189853505737018E-2</v>
      </c>
      <c r="M235" s="575">
        <f t="shared" si="106"/>
        <v>1.0004237650438228</v>
      </c>
      <c r="N235" s="576">
        <f t="shared" si="107"/>
        <v>-2.9107231080048871E-2</v>
      </c>
      <c r="O235" s="574">
        <f t="shared" si="108"/>
        <v>575766.28231093334</v>
      </c>
      <c r="P235" s="577">
        <f t="shared" si="109"/>
        <v>1.5707945899790554</v>
      </c>
      <c r="Q235" s="586">
        <f t="shared" si="131"/>
        <v>23.244094189528109</v>
      </c>
      <c r="R235" s="587">
        <f t="shared" si="132"/>
        <v>1.5277613637390173</v>
      </c>
      <c r="S235" s="574">
        <f t="shared" si="110"/>
        <v>1.0012299120502755</v>
      </c>
      <c r="T235" s="577">
        <f t="shared" si="111"/>
        <v>4.9571217498670987E-2</v>
      </c>
      <c r="U235" s="578">
        <f t="shared" si="123"/>
        <v>0.94746588665562981</v>
      </c>
      <c r="V235" s="579">
        <f t="shared" si="124"/>
        <v>-0.40224206993807665</v>
      </c>
      <c r="W235" s="580">
        <f t="shared" si="112"/>
        <v>-10.507145126137873</v>
      </c>
      <c r="X235" s="581">
        <f t="shared" si="113"/>
        <v>-117.46015394254333</v>
      </c>
      <c r="Y235" s="584">
        <f t="shared" si="114"/>
        <v>62.539846057456671</v>
      </c>
      <c r="AA235" s="147">
        <f t="shared" si="115"/>
        <v>13884.25</v>
      </c>
      <c r="AB235" s="147">
        <f t="shared" si="116"/>
        <v>192772398.0625</v>
      </c>
      <c r="AD235" s="583">
        <f t="shared" si="117"/>
        <v>17.216101750416009</v>
      </c>
      <c r="AE235" s="584">
        <f t="shared" si="118"/>
        <v>-5.3058437964475189</v>
      </c>
      <c r="AG235" s="583">
        <f t="shared" si="119"/>
        <v>1.8414851176515876</v>
      </c>
      <c r="AH235" s="584">
        <f t="shared" si="120"/>
        <v>-66.060764193310476</v>
      </c>
      <c r="AJ235" s="147">
        <f t="shared" si="121"/>
        <v>0</v>
      </c>
      <c r="AK235" s="147">
        <f t="shared" si="133"/>
        <v>0</v>
      </c>
      <c r="AM235" s="147" t="str">
        <f t="shared" si="125"/>
        <v>0.169078146306182+0.556389138152453i</v>
      </c>
      <c r="AN235" s="147" t="str">
        <f t="shared" si="126"/>
        <v>0.590033835818681i</v>
      </c>
      <c r="AO235" s="147" t="str">
        <f t="shared" si="127"/>
        <v>0.942978358826583-0.286556695636926i</v>
      </c>
      <c r="AP235" s="147" t="str">
        <f t="shared" si="128"/>
        <v>0.138486975615636-0.0927315230254088i</v>
      </c>
      <c r="AQ235" s="147" t="str">
        <f t="shared" si="129"/>
        <v>0.861513024384364+0.0927315230254088i</v>
      </c>
      <c r="AR235" s="147" t="str">
        <f t="shared" si="130"/>
        <v>0.955829371053057-0.102883544208177i</v>
      </c>
    </row>
    <row r="236" spans="7:44">
      <c r="G236" s="585">
        <v>13964.5</v>
      </c>
      <c r="H236" s="573">
        <f t="shared" si="122"/>
        <v>13.964499999999999</v>
      </c>
      <c r="I236" s="574">
        <f t="shared" si="102"/>
        <v>39.456078376040416</v>
      </c>
      <c r="J236" s="575">
        <f t="shared" si="103"/>
        <v>1.5454489752444669</v>
      </c>
      <c r="K236" s="575">
        <f t="shared" si="104"/>
        <v>1.0001862882368766</v>
      </c>
      <c r="L236" s="576">
        <f t="shared" si="105"/>
        <v>1.9300742060883364E-2</v>
      </c>
      <c r="M236" s="575">
        <f t="shared" si="106"/>
        <v>1.0004286768132371</v>
      </c>
      <c r="N236" s="576">
        <f t="shared" si="107"/>
        <v>-2.9275373019853505E-2</v>
      </c>
      <c r="O236" s="574">
        <f t="shared" si="108"/>
        <v>579094.17140507349</v>
      </c>
      <c r="P236" s="577">
        <f t="shared" si="109"/>
        <v>1.5707945999600408</v>
      </c>
      <c r="Q236" s="586">
        <f t="shared" si="131"/>
        <v>23.378195489260506</v>
      </c>
      <c r="R236" s="587">
        <f t="shared" si="132"/>
        <v>1.5280083707907486</v>
      </c>
      <c r="S236" s="574">
        <f t="shared" si="110"/>
        <v>1.0012441618919095</v>
      </c>
      <c r="T236" s="577">
        <f t="shared" si="111"/>
        <v>4.9857262478720021E-2</v>
      </c>
      <c r="U236" s="578">
        <f t="shared" si="123"/>
        <v>0.9469058488282579</v>
      </c>
      <c r="V236" s="579">
        <f t="shared" si="124"/>
        <v>-0.40444918730456619</v>
      </c>
      <c r="W236" s="580">
        <f t="shared" si="112"/>
        <v>-10.562462312842392</v>
      </c>
      <c r="X236" s="581">
        <f t="shared" si="113"/>
        <v>-117.60052065568807</v>
      </c>
      <c r="Y236" s="584">
        <f t="shared" si="114"/>
        <v>62.399479344311928</v>
      </c>
      <c r="AA236" s="147">
        <f t="shared" si="115"/>
        <v>13964.5</v>
      </c>
      <c r="AB236" s="147">
        <f t="shared" si="116"/>
        <v>195007260.25</v>
      </c>
      <c r="AD236" s="583">
        <f t="shared" si="117"/>
        <v>17.215886008728521</v>
      </c>
      <c r="AE236" s="584">
        <f t="shared" si="118"/>
        <v>-5.3080810768519644</v>
      </c>
      <c r="AG236" s="583">
        <f t="shared" si="119"/>
        <v>1.7966549975541444</v>
      </c>
      <c r="AH236" s="584">
        <f t="shared" si="120"/>
        <v>-65.945976605782022</v>
      </c>
      <c r="AJ236" s="147">
        <f t="shared" si="121"/>
        <v>0</v>
      </c>
      <c r="AK236" s="147">
        <f t="shared" si="133"/>
        <v>0</v>
      </c>
      <c r="AM236" s="147" t="str">
        <f t="shared" si="125"/>
        <v>0.170980458884692+0.55921963524984i</v>
      </c>
      <c r="AN236" s="147" t="str">
        <f t="shared" si="126"/>
        <v>0.593444190380465i</v>
      </c>
      <c r="AO236" s="147" t="str">
        <f t="shared" si="127"/>
        <v>0.942328940639417-0.28811548188731i</v>
      </c>
      <c r="AP236" s="147" t="str">
        <f t="shared" si="128"/>
        <v>0.138169923519218-0.09320327254164i</v>
      </c>
      <c r="AQ236" s="147" t="str">
        <f t="shared" si="129"/>
        <v>0.861830076480782+0.09320327254164i</v>
      </c>
      <c r="AR236" s="147" t="str">
        <f t="shared" si="130"/>
        <v>0.955374255598388-0.103319679312432i</v>
      </c>
    </row>
    <row r="237" spans="7:44">
      <c r="G237" s="585">
        <v>14044.75</v>
      </c>
      <c r="H237" s="573">
        <f t="shared" si="122"/>
        <v>14.044750000000001</v>
      </c>
      <c r="I237" s="574">
        <f t="shared" si="102"/>
        <v>39.68267597635289</v>
      </c>
      <c r="J237" s="575">
        <f t="shared" si="103"/>
        <v>1.5455937454436379</v>
      </c>
      <c r="K237" s="575">
        <f t="shared" si="104"/>
        <v>1.0001884352774926</v>
      </c>
      <c r="L237" s="576">
        <f t="shared" si="105"/>
        <v>1.9411630141318463E-2</v>
      </c>
      <c r="M237" s="575">
        <f t="shared" si="106"/>
        <v>1.0004336168662047</v>
      </c>
      <c r="N237" s="576">
        <f t="shared" si="107"/>
        <v>-2.9443513303871575E-2</v>
      </c>
      <c r="O237" s="574">
        <f t="shared" si="108"/>
        <v>582422.06049921352</v>
      </c>
      <c r="P237" s="577">
        <f t="shared" si="109"/>
        <v>1.5707946098269658</v>
      </c>
      <c r="Q237" s="586">
        <f t="shared" si="131"/>
        <v>23.512298199084245</v>
      </c>
      <c r="R237" s="587">
        <f t="shared" si="132"/>
        <v>1.5282525602411365</v>
      </c>
      <c r="S237" s="574">
        <f t="shared" si="110"/>
        <v>1.0012584936547377</v>
      </c>
      <c r="T237" s="577">
        <f t="shared" si="111"/>
        <v>5.0143299293420394E-2</v>
      </c>
      <c r="U237" s="578">
        <f t="shared" si="123"/>
        <v>0.94634352329567972</v>
      </c>
      <c r="V237" s="579">
        <f t="shared" si="124"/>
        <v>-0.40665443825547559</v>
      </c>
      <c r="W237" s="580">
        <f t="shared" si="112"/>
        <v>-10.617516017996405</v>
      </c>
      <c r="X237" s="581">
        <f t="shared" si="113"/>
        <v>-117.74084550183963</v>
      </c>
      <c r="Y237" s="584">
        <f t="shared" si="114"/>
        <v>62.25915449816037</v>
      </c>
      <c r="AA237" s="147">
        <f t="shared" si="115"/>
        <v>14044.75</v>
      </c>
      <c r="AB237" s="147">
        <f t="shared" si="116"/>
        <v>197255002.5625</v>
      </c>
      <c r="AD237" s="583">
        <f t="shared" si="117"/>
        <v>17.215671130839009</v>
      </c>
      <c r="AE237" s="584">
        <f t="shared" si="118"/>
        <v>-5.3104793195467046</v>
      </c>
      <c r="AG237" s="583">
        <f t="shared" si="119"/>
        <v>1.7521355666294709</v>
      </c>
      <c r="AH237" s="584">
        <f t="shared" si="120"/>
        <v>-65.831200064441447</v>
      </c>
      <c r="AJ237" s="147">
        <f t="shared" si="121"/>
        <v>0</v>
      </c>
      <c r="AK237" s="147">
        <f t="shared" si="133"/>
        <v>0</v>
      </c>
      <c r="AM237" s="147" t="str">
        <f t="shared" si="125"/>
        <v>0.172892413380748+0.562043628339364i</v>
      </c>
      <c r="AN237" s="147" t="str">
        <f t="shared" si="126"/>
        <v>0.596854544942249i</v>
      </c>
      <c r="AO237" s="147" t="str">
        <f t="shared" si="127"/>
        <v>0.941676046705394-0.289672609257716i</v>
      </c>
      <c r="AP237" s="147" t="str">
        <f t="shared" si="128"/>
        <v>0.137851264436542-0.0936739380565607i</v>
      </c>
      <c r="AQ237" s="147" t="str">
        <f t="shared" si="129"/>
        <v>0.862148735563458+0.0936739380565607i</v>
      </c>
      <c r="AR237" s="147" t="str">
        <f t="shared" si="130"/>
        <v>0.954917606676044-0.103753434931886i</v>
      </c>
    </row>
    <row r="238" spans="7:44">
      <c r="G238" s="585">
        <v>14125</v>
      </c>
      <c r="H238" s="573">
        <f t="shared" si="122"/>
        <v>14.125</v>
      </c>
      <c r="I238" s="574">
        <f t="shared" si="102"/>
        <v>39.909274398906838</v>
      </c>
      <c r="J238" s="575">
        <f t="shared" si="103"/>
        <v>1.5457368716821023</v>
      </c>
      <c r="K238" s="575">
        <f t="shared" si="104"/>
        <v>1.0001905946165393</v>
      </c>
      <c r="L238" s="576">
        <f t="shared" si="105"/>
        <v>1.9522517744318384E-2</v>
      </c>
      <c r="M238" s="575">
        <f t="shared" si="106"/>
        <v>1.0004385852023063</v>
      </c>
      <c r="N238" s="576">
        <f t="shared" si="107"/>
        <v>-2.9611651922620639E-2</v>
      </c>
      <c r="O238" s="574">
        <f t="shared" si="108"/>
        <v>585749.94959335355</v>
      </c>
      <c r="P238" s="577">
        <f t="shared" si="109"/>
        <v>1.5707946195817748</v>
      </c>
      <c r="Q238" s="586">
        <f t="shared" si="131"/>
        <v>23.646402295008734</v>
      </c>
      <c r="R238" s="587">
        <f t="shared" si="132"/>
        <v>1.5284939799985728</v>
      </c>
      <c r="S238" s="574">
        <f t="shared" si="110"/>
        <v>1.0012729073352429</v>
      </c>
      <c r="T238" s="577">
        <f t="shared" si="111"/>
        <v>5.0429327896318349E-2</v>
      </c>
      <c r="U238" s="578">
        <f t="shared" si="123"/>
        <v>0.94577892355869431</v>
      </c>
      <c r="V238" s="579">
        <f t="shared" si="124"/>
        <v>-0.40885781654348768</v>
      </c>
      <c r="W238" s="580">
        <f t="shared" si="112"/>
        <v>-10.672309450463667</v>
      </c>
      <c r="X238" s="581">
        <f t="shared" si="113"/>
        <v>-117.8811270070339</v>
      </c>
      <c r="Y238" s="584">
        <f t="shared" si="114"/>
        <v>62.118872992966104</v>
      </c>
      <c r="AA238" s="147">
        <f t="shared" si="115"/>
        <v>14125</v>
      </c>
      <c r="AB238" s="147">
        <f t="shared" si="116"/>
        <v>199515625</v>
      </c>
      <c r="AD238" s="583">
        <f t="shared" si="117"/>
        <v>17.215457081222876</v>
      </c>
      <c r="AE238" s="584">
        <f t="shared" si="118"/>
        <v>-5.3130357770329191</v>
      </c>
      <c r="AG238" s="583">
        <f t="shared" si="119"/>
        <v>1.7079234856595518</v>
      </c>
      <c r="AH238" s="584">
        <f t="shared" si="120"/>
        <v>-65.716436558713298</v>
      </c>
      <c r="AJ238" s="147">
        <f t="shared" si="121"/>
        <v>0</v>
      </c>
      <c r="AK238" s="147">
        <f t="shared" si="133"/>
        <v>0</v>
      </c>
      <c r="AM238" s="147" t="str">
        <f t="shared" si="125"/>
        <v>0.174813987557352+0.564861084576554i</v>
      </c>
      <c r="AN238" s="147" t="str">
        <f t="shared" si="126"/>
        <v>0.600264899504033i</v>
      </c>
      <c r="AO238" s="147" t="str">
        <f t="shared" si="127"/>
        <v>0.941019681549377-0.291228068977199i</v>
      </c>
      <c r="AP238" s="147" t="str">
        <f t="shared" si="128"/>
        <v>0.137531002073775-0.0941435140960923i</v>
      </c>
      <c r="AQ238" s="147" t="str">
        <f t="shared" si="129"/>
        <v>0.862468997926225+0.0941435140960923i</v>
      </c>
      <c r="AR238" s="147" t="str">
        <f t="shared" si="130"/>
        <v>0.954459439328128-0.104184806522428i</v>
      </c>
    </row>
    <row r="239" spans="7:44">
      <c r="G239" s="585">
        <v>14207.25</v>
      </c>
      <c r="H239" s="573">
        <f t="shared" si="122"/>
        <v>14.20725</v>
      </c>
      <c r="I239" s="574">
        <f t="shared" si="102"/>
        <v>40.141520972837718</v>
      </c>
      <c r="J239" s="575">
        <f t="shared" si="103"/>
        <v>1.5458818881256453</v>
      </c>
      <c r="K239" s="575">
        <f t="shared" si="104"/>
        <v>1.0001928205328101</v>
      </c>
      <c r="L239" s="576">
        <f t="shared" si="105"/>
        <v>1.9636168403005638E-2</v>
      </c>
      <c r="M239" s="575">
        <f t="shared" si="106"/>
        <v>1.0004437067086587</v>
      </c>
      <c r="N239" s="576">
        <f t="shared" si="107"/>
        <v>-2.9783979173970198E-2</v>
      </c>
      <c r="O239" s="574">
        <f t="shared" si="108"/>
        <v>589160.77673345373</v>
      </c>
      <c r="P239" s="577">
        <f t="shared" si="109"/>
        <v>1.5707946294653399</v>
      </c>
      <c r="Q239" s="586">
        <f t="shared" si="131"/>
        <v>23.78384996290287</v>
      </c>
      <c r="R239" s="587">
        <f t="shared" si="132"/>
        <v>1.5287385913457576</v>
      </c>
      <c r="S239" s="574">
        <f t="shared" si="110"/>
        <v>1.0012877652369576</v>
      </c>
      <c r="T239" s="577">
        <f t="shared" si="111"/>
        <v>5.0722476367985166E-2</v>
      </c>
      <c r="U239" s="578">
        <f t="shared" si="123"/>
        <v>0.94519790701004947</v>
      </c>
      <c r="V239" s="579">
        <f t="shared" si="124"/>
        <v>-0.41111415796364148</v>
      </c>
      <c r="W239" s="580">
        <f t="shared" si="112"/>
        <v>-10.728201666160293</v>
      </c>
      <c r="X239" s="581">
        <f t="shared" si="113"/>
        <v>-118.02485813767335</v>
      </c>
      <c r="Y239" s="584">
        <f t="shared" si="114"/>
        <v>61.975141862326652</v>
      </c>
      <c r="AA239" s="147">
        <f t="shared" si="115"/>
        <v>14207.25</v>
      </c>
      <c r="AB239" s="147">
        <f t="shared" si="116"/>
        <v>201845952.5625</v>
      </c>
      <c r="AD239" s="583">
        <f t="shared" si="117"/>
        <v>17.215238520414641</v>
      </c>
      <c r="AE239" s="584">
        <f t="shared" si="118"/>
        <v>-5.3158173157051856</v>
      </c>
      <c r="AG239" s="583">
        <f t="shared" si="119"/>
        <v>1.662925045182351</v>
      </c>
      <c r="AH239" s="584">
        <f t="shared" si="120"/>
        <v>-65.598828469354316</v>
      </c>
      <c r="AJ239" s="147">
        <f t="shared" si="121"/>
        <v>0</v>
      </c>
      <c r="AK239" s="147">
        <f t="shared" si="133"/>
        <v>0</v>
      </c>
      <c r="AM239" s="147" t="str">
        <f t="shared" si="125"/>
        <v>0.176793410330601+0.567741940255323i</v>
      </c>
      <c r="AN239" s="147" t="str">
        <f t="shared" si="126"/>
        <v>0.603760247325924i</v>
      </c>
      <c r="AO239" s="147" t="str">
        <f t="shared" si="127"/>
        <v>0.940343361077303-0.292820554373405i</v>
      </c>
      <c r="AP239" s="147" t="str">
        <f t="shared" si="128"/>
        <v>0.137201098278233-0.0946236567092205i</v>
      </c>
      <c r="AQ239" s="147" t="str">
        <f t="shared" si="129"/>
        <v>0.862798901721767+0.0946236567092205i</v>
      </c>
      <c r="AR239" s="147" t="str">
        <f t="shared" si="130"/>
        <v>0.953988293553548-0.104624450278839i</v>
      </c>
    </row>
    <row r="240" spans="7:44">
      <c r="G240" s="585">
        <v>14289.5</v>
      </c>
      <c r="H240" s="573">
        <f t="shared" si="122"/>
        <v>14.2895</v>
      </c>
      <c r="I240" s="574">
        <f t="shared" si="102"/>
        <v>40.373768381223499</v>
      </c>
      <c r="J240" s="575">
        <f t="shared" si="103"/>
        <v>1.5460252361773457</v>
      </c>
      <c r="K240" s="575">
        <f t="shared" si="104"/>
        <v>1.000195059367986</v>
      </c>
      <c r="L240" s="576">
        <f t="shared" si="105"/>
        <v>1.9749818554369906E-2</v>
      </c>
      <c r="M240" s="575">
        <f t="shared" si="106"/>
        <v>1.0004488579245645</v>
      </c>
      <c r="N240" s="576">
        <f t="shared" si="107"/>
        <v>-2.995630465584399E-2</v>
      </c>
      <c r="O240" s="574">
        <f t="shared" si="108"/>
        <v>592571.6038735538</v>
      </c>
      <c r="P240" s="577">
        <f t="shared" si="109"/>
        <v>1.5707946392351257</v>
      </c>
      <c r="Q240" s="586">
        <f t="shared" si="131"/>
        <v>23.921299037542983</v>
      </c>
      <c r="R240" s="587">
        <f t="shared" si="132"/>
        <v>1.5289803916890858</v>
      </c>
      <c r="S240" s="574">
        <f t="shared" si="110"/>
        <v>1.0013027091828064</v>
      </c>
      <c r="T240" s="577">
        <f t="shared" si="111"/>
        <v>5.1015616114651802E-2</v>
      </c>
      <c r="U240" s="578">
        <f t="shared" si="123"/>
        <v>0.94461453024024888</v>
      </c>
      <c r="V240" s="579">
        <f t="shared" si="124"/>
        <v>-0.41336851912592509</v>
      </c>
      <c r="W240" s="580">
        <f t="shared" si="112"/>
        <v>-10.783827119891335</v>
      </c>
      <c r="X240" s="581">
        <f t="shared" si="113"/>
        <v>-118.16854069599968</v>
      </c>
      <c r="Y240" s="584">
        <f t="shared" si="114"/>
        <v>61.831459304000319</v>
      </c>
      <c r="AA240" s="147">
        <f t="shared" si="115"/>
        <v>14289.5</v>
      </c>
      <c r="AB240" s="147">
        <f t="shared" si="116"/>
        <v>204189810.25</v>
      </c>
      <c r="AD240" s="583">
        <f t="shared" si="117"/>
        <v>17.215020757301399</v>
      </c>
      <c r="AE240" s="584">
        <f t="shared" si="118"/>
        <v>-5.3187594066100523</v>
      </c>
      <c r="AG240" s="583">
        <f t="shared" si="119"/>
        <v>1.6182425382938501</v>
      </c>
      <c r="AH240" s="584">
        <f t="shared" si="120"/>
        <v>-65.481238176286482</v>
      </c>
      <c r="AJ240" s="147">
        <f t="shared" si="121"/>
        <v>0</v>
      </c>
      <c r="AK240" s="147">
        <f t="shared" si="133"/>
        <v>0</v>
      </c>
      <c r="AM240" s="147" t="str">
        <f t="shared" si="125"/>
        <v>0.178782890584225+0.570615859578753i</v>
      </c>
      <c r="AN240" s="147" t="str">
        <f t="shared" si="126"/>
        <v>0.607255595147815i</v>
      </c>
      <c r="AO240" s="147" t="str">
        <f t="shared" si="127"/>
        <v>0.939663403907965-0.294411269344841i</v>
      </c>
      <c r="AP240" s="147" t="str">
        <f t="shared" si="128"/>
        <v>0.136869518235962-0.0951026432631255i</v>
      </c>
      <c r="AQ240" s="147" t="str">
        <f t="shared" si="129"/>
        <v>0.863130481764038+0.0951026432631255i</v>
      </c>
      <c r="AR240" s="147" t="str">
        <f t="shared" si="130"/>
        <v>0.953515584708939-0.10506158039173i</v>
      </c>
    </row>
    <row r="241" spans="7:44">
      <c r="G241" s="585">
        <v>14371.75</v>
      </c>
      <c r="H241" s="573">
        <f t="shared" si="122"/>
        <v>14.37175</v>
      </c>
      <c r="I241" s="574">
        <f t="shared" si="102"/>
        <v>40.606016609746099</v>
      </c>
      <c r="J241" s="575">
        <f t="shared" si="103"/>
        <v>1.5461669444586232</v>
      </c>
      <c r="K241" s="575">
        <f t="shared" si="104"/>
        <v>1.0001973111219806</v>
      </c>
      <c r="L241" s="576">
        <f t="shared" si="105"/>
        <v>1.9863468195478715E-2</v>
      </c>
      <c r="M241" s="575">
        <f t="shared" si="106"/>
        <v>1.0004540388495649</v>
      </c>
      <c r="N241" s="576">
        <f t="shared" si="107"/>
        <v>-3.0128628358034652E-2</v>
      </c>
      <c r="O241" s="574">
        <f t="shared" si="108"/>
        <v>595982.43101365387</v>
      </c>
      <c r="P241" s="577">
        <f t="shared" si="109"/>
        <v>1.5707946488930862</v>
      </c>
      <c r="Q241" s="586">
        <f t="shared" si="131"/>
        <v>24.058749494818592</v>
      </c>
      <c r="R241" s="587">
        <f t="shared" si="132"/>
        <v>1.5292194291788217</v>
      </c>
      <c r="S241" s="574">
        <f t="shared" si="110"/>
        <v>1.0013177391689365</v>
      </c>
      <c r="T241" s="577">
        <f t="shared" si="111"/>
        <v>5.1308747086330507E-2</v>
      </c>
      <c r="U241" s="578">
        <f t="shared" si="123"/>
        <v>0.9440288078177973</v>
      </c>
      <c r="V241" s="579">
        <f t="shared" si="124"/>
        <v>-0.41562089350549353</v>
      </c>
      <c r="W241" s="580">
        <f t="shared" si="112"/>
        <v>-10.839189086398724</v>
      </c>
      <c r="X241" s="581">
        <f t="shared" si="113"/>
        <v>-118.3121731860775</v>
      </c>
      <c r="Y241" s="584">
        <f t="shared" si="114"/>
        <v>61.687826813922499</v>
      </c>
      <c r="AA241" s="147">
        <f t="shared" si="115"/>
        <v>14371.75</v>
      </c>
      <c r="AB241" s="147">
        <f t="shared" si="116"/>
        <v>206547198.0625</v>
      </c>
      <c r="AD241" s="583">
        <f t="shared" si="117"/>
        <v>17.214803756798311</v>
      </c>
      <c r="AE241" s="584">
        <f t="shared" si="118"/>
        <v>-5.3218592881884579</v>
      </c>
      <c r="AG241" s="583">
        <f t="shared" si="119"/>
        <v>1.5738725457968088</v>
      </c>
      <c r="AH241" s="584">
        <f t="shared" si="120"/>
        <v>-65.363667692825601</v>
      </c>
      <c r="AJ241" s="147">
        <f t="shared" si="121"/>
        <v>0</v>
      </c>
      <c r="AK241" s="147">
        <f t="shared" si="133"/>
        <v>0</v>
      </c>
      <c r="AM241" s="147" t="str">
        <f t="shared" si="125"/>
        <v>0.18078240401186+0.573482807434898i</v>
      </c>
      <c r="AN241" s="147" t="str">
        <f t="shared" si="126"/>
        <v>0.610750942969705i</v>
      </c>
      <c r="AO241" s="147" t="str">
        <f t="shared" si="127"/>
        <v>0.938979814990387-0.296000204490601i</v>
      </c>
      <c r="AP241" s="147" t="str">
        <f t="shared" si="128"/>
        <v>0.136536265998023-0.0955804679058163i</v>
      </c>
      <c r="AQ241" s="147" t="str">
        <f t="shared" si="129"/>
        <v>0.863463734001977+0.0955804679058163i</v>
      </c>
      <c r="AR241" s="147" t="str">
        <f t="shared" si="130"/>
        <v>0.953041328974233-0.105496192335427i</v>
      </c>
    </row>
    <row r="242" spans="7:44">
      <c r="G242" s="585">
        <v>14454</v>
      </c>
      <c r="H242" s="573">
        <f t="shared" si="122"/>
        <v>14.454000000000001</v>
      </c>
      <c r="I242" s="574">
        <f t="shared" si="102"/>
        <v>40.838265644413134</v>
      </c>
      <c r="J242" s="575">
        <f t="shared" si="103"/>
        <v>1.5463070409400799</v>
      </c>
      <c r="K242" s="575">
        <f t="shared" si="104"/>
        <v>1.0001995757947062</v>
      </c>
      <c r="L242" s="576">
        <f t="shared" si="105"/>
        <v>1.9977117323399664E-2</v>
      </c>
      <c r="M242" s="575">
        <f t="shared" si="106"/>
        <v>1.0004592494831983</v>
      </c>
      <c r="N242" s="576">
        <f t="shared" si="107"/>
        <v>-3.0300950270335442E-2</v>
      </c>
      <c r="O242" s="574">
        <f t="shared" si="108"/>
        <v>599393.25815375417</v>
      </c>
      <c r="P242" s="577">
        <f t="shared" si="109"/>
        <v>1.5707946584411299</v>
      </c>
      <c r="Q242" s="586">
        <f t="shared" si="131"/>
        <v>24.196201311166849</v>
      </c>
      <c r="R242" s="587">
        <f t="shared" si="132"/>
        <v>1.5294557508723963</v>
      </c>
      <c r="S242" s="574">
        <f t="shared" si="110"/>
        <v>1.001332855191474</v>
      </c>
      <c r="T242" s="577">
        <f t="shared" si="111"/>
        <v>5.1601869233042545E-2</v>
      </c>
      <c r="U242" s="578">
        <f t="shared" si="123"/>
        <v>0.94344075432061081</v>
      </c>
      <c r="V242" s="579">
        <f t="shared" si="124"/>
        <v>-0.41787127464538021</v>
      </c>
      <c r="W242" s="580">
        <f t="shared" si="112"/>
        <v>-10.894290782415965</v>
      </c>
      <c r="X242" s="581">
        <f t="shared" si="113"/>
        <v>-118.45575414118407</v>
      </c>
      <c r="Y242" s="584">
        <f t="shared" si="114"/>
        <v>61.544245858815927</v>
      </c>
      <c r="AA242" s="147">
        <f t="shared" si="115"/>
        <v>14454</v>
      </c>
      <c r="AB242" s="147">
        <f t="shared" si="116"/>
        <v>208918116</v>
      </c>
      <c r="AD242" s="583">
        <f t="shared" si="117"/>
        <v>17.214587484816494</v>
      </c>
      <c r="AE242" s="584">
        <f t="shared" si="118"/>
        <v>-5.3251142614939857</v>
      </c>
      <c r="AG242" s="583">
        <f t="shared" si="119"/>
        <v>1.5298117052048801</v>
      </c>
      <c r="AH242" s="584">
        <f t="shared" si="120"/>
        <v>-65.246118991109284</v>
      </c>
      <c r="AJ242" s="147">
        <f t="shared" si="121"/>
        <v>0</v>
      </c>
      <c r="AK242" s="147">
        <f t="shared" si="133"/>
        <v>0</v>
      </c>
      <c r="AM242" s="147" t="str">
        <f t="shared" si="125"/>
        <v>0.182791926184563+0.576342748796983i</v>
      </c>
      <c r="AN242" s="147" t="str">
        <f t="shared" si="126"/>
        <v>0.614246290791596i</v>
      </c>
      <c r="AO242" s="147" t="str">
        <f t="shared" si="127"/>
        <v>0.938292599299598-0.297587350424199i</v>
      </c>
      <c r="AP242" s="147" t="str">
        <f t="shared" si="128"/>
        <v>0.136201345635906-0.0960571247994972i</v>
      </c>
      <c r="AQ242" s="147" t="str">
        <f t="shared" si="129"/>
        <v>0.863798654364094+0.0960571247994972i</v>
      </c>
      <c r="AR242" s="147" t="str">
        <f t="shared" si="130"/>
        <v>0.952565542522175-0.105928281707169i</v>
      </c>
    </row>
    <row r="243" spans="7:44">
      <c r="G243" s="585">
        <v>14622.5</v>
      </c>
      <c r="H243" s="573">
        <f t="shared" si="122"/>
        <v>14.6225</v>
      </c>
      <c r="I243" s="574">
        <f t="shared" si="102"/>
        <v>41.314060959730696</v>
      </c>
      <c r="J243" s="575">
        <f t="shared" si="103"/>
        <v>1.5465891283692879</v>
      </c>
      <c r="K243" s="575">
        <f t="shared" si="104"/>
        <v>1.0002042556179835</v>
      </c>
      <c r="L243" s="576">
        <f t="shared" si="105"/>
        <v>2.0209940973580458E-2</v>
      </c>
      <c r="M243" s="575">
        <f t="shared" si="106"/>
        <v>1.0004700169262037</v>
      </c>
      <c r="N243" s="576">
        <f t="shared" si="107"/>
        <v>-3.0653968859474898E-2</v>
      </c>
      <c r="O243" s="574">
        <f t="shared" si="108"/>
        <v>606380.78852587461</v>
      </c>
      <c r="P243" s="577">
        <f t="shared" si="109"/>
        <v>1.570794677666133</v>
      </c>
      <c r="Q243" s="586">
        <f t="shared" si="131"/>
        <v>24.477793678251398</v>
      </c>
      <c r="R243" s="587">
        <f t="shared" si="132"/>
        <v>1.5299315990184654</v>
      </c>
      <c r="S243" s="574">
        <f t="shared" si="110"/>
        <v>1.0013640910171371</v>
      </c>
      <c r="T243" s="577">
        <f t="shared" si="111"/>
        <v>5.2202340937996285E-2</v>
      </c>
      <c r="U243" s="578">
        <f t="shared" si="123"/>
        <v>0.94222883106624833</v>
      </c>
      <c r="V243" s="579">
        <f t="shared" si="124"/>
        <v>-0.42247522668713139</v>
      </c>
      <c r="W243" s="580">
        <f t="shared" si="112"/>
        <v>-11.006374385337367</v>
      </c>
      <c r="X243" s="581">
        <f t="shared" si="113"/>
        <v>-118.74973174992498</v>
      </c>
      <c r="Y243" s="584">
        <f t="shared" si="114"/>
        <v>61.250268250075024</v>
      </c>
      <c r="AA243" s="147">
        <f t="shared" si="115"/>
        <v>14622.5</v>
      </c>
      <c r="AB243" s="147">
        <f t="shared" si="116"/>
        <v>213817506.25</v>
      </c>
      <c r="AD243" s="583">
        <f t="shared" si="117"/>
        <v>17.214146559487546</v>
      </c>
      <c r="AE243" s="584">
        <f t="shared" si="118"/>
        <v>-5.3322557669656847</v>
      </c>
      <c r="AG243" s="583">
        <f t="shared" si="119"/>
        <v>1.4404987786317338</v>
      </c>
      <c r="AH243" s="584">
        <f t="shared" si="120"/>
        <v>-65.005381051629698</v>
      </c>
      <c r="AJ243" s="147">
        <f t="shared" si="121"/>
        <v>0</v>
      </c>
      <c r="AK243" s="147">
        <f t="shared" si="133"/>
        <v>0</v>
      </c>
      <c r="AM243" s="147" t="str">
        <f t="shared" si="125"/>
        <v>0.186939849390607+0.582179690036531i</v>
      </c>
      <c r="AN243" s="147" t="str">
        <f t="shared" si="126"/>
        <v>0.621406972955591i</v>
      </c>
      <c r="AO243" s="147" t="str">
        <f t="shared" si="127"/>
        <v>0.936873442645029-0.300833201953733i</v>
      </c>
      <c r="AP243" s="147" t="str">
        <f t="shared" si="128"/>
        <v>0.135510025101565-0.0970299483394218i</v>
      </c>
      <c r="AQ243" s="147" t="str">
        <f t="shared" si="129"/>
        <v>0.864489974898435+0.0970299483394218i</v>
      </c>
      <c r="AR243" s="147" t="str">
        <f t="shared" si="130"/>
        <v>0.951586119111499-0.10680557861732i</v>
      </c>
    </row>
    <row r="244" spans="7:44">
      <c r="G244" s="585">
        <v>14706.75</v>
      </c>
      <c r="H244" s="573">
        <f t="shared" si="122"/>
        <v>14.70675</v>
      </c>
      <c r="I244" s="574">
        <f t="shared" si="102"/>
        <v>41.551959829026124</v>
      </c>
      <c r="J244" s="575">
        <f t="shared" si="103"/>
        <v>1.5467277495233858</v>
      </c>
      <c r="K244" s="575">
        <f t="shared" si="104"/>
        <v>1.0002066158612009</v>
      </c>
      <c r="L244" s="576">
        <f t="shared" si="105"/>
        <v>2.0326351978504374E-2</v>
      </c>
      <c r="M244" s="575">
        <f t="shared" si="106"/>
        <v>1.0004754474022122</v>
      </c>
      <c r="N244" s="576">
        <f t="shared" si="107"/>
        <v>-3.0830475293570456E-2</v>
      </c>
      <c r="O244" s="574">
        <f t="shared" si="108"/>
        <v>609874.55371193483</v>
      </c>
      <c r="P244" s="577">
        <f t="shared" si="109"/>
        <v>1.5707946871134344</v>
      </c>
      <c r="Q244" s="586">
        <f t="shared" si="131"/>
        <v>24.618591904586346</v>
      </c>
      <c r="R244" s="587">
        <f t="shared" si="132"/>
        <v>1.5301654409305228</v>
      </c>
      <c r="S244" s="574">
        <f t="shared" si="110"/>
        <v>1.0013798443204127</v>
      </c>
      <c r="T244" s="577">
        <f t="shared" si="111"/>
        <v>5.2502562688560087E-2</v>
      </c>
      <c r="U244" s="578">
        <f t="shared" si="123"/>
        <v>0.94161926288851761</v>
      </c>
      <c r="V244" s="579">
        <f t="shared" si="124"/>
        <v>-0.42477403871463326</v>
      </c>
      <c r="W244" s="580">
        <f t="shared" si="112"/>
        <v>-11.062019817337614</v>
      </c>
      <c r="X244" s="581">
        <f t="shared" si="113"/>
        <v>-118.89663342458489</v>
      </c>
      <c r="Y244" s="584">
        <f t="shared" si="114"/>
        <v>61.103366575415109</v>
      </c>
      <c r="AA244" s="147">
        <f t="shared" si="115"/>
        <v>14706.75</v>
      </c>
      <c r="AB244" s="147">
        <f t="shared" si="116"/>
        <v>216288495.5625</v>
      </c>
      <c r="AD244" s="583">
        <f t="shared" si="117"/>
        <v>17.213927105776897</v>
      </c>
      <c r="AE244" s="584">
        <f t="shared" si="118"/>
        <v>-5.3360595928517007</v>
      </c>
      <c r="AG244" s="583">
        <f t="shared" si="119"/>
        <v>1.3963149851455126</v>
      </c>
      <c r="AH244" s="584">
        <f t="shared" si="120"/>
        <v>-64.885054445963036</v>
      </c>
      <c r="AJ244" s="147">
        <f t="shared" si="121"/>
        <v>0</v>
      </c>
      <c r="AK244" s="147">
        <f t="shared" si="133"/>
        <v>0</v>
      </c>
      <c r="AM244" s="147" t="str">
        <f t="shared" si="125"/>
        <v>0.189029458038027+0.585086985045731i</v>
      </c>
      <c r="AN244" s="147" t="str">
        <f t="shared" si="126"/>
        <v>0.624987314037589i</v>
      </c>
      <c r="AO244" s="147" t="str">
        <f t="shared" si="127"/>
        <v>0.936158177781096-0.302453271918185i</v>
      </c>
      <c r="AP244" s="147" t="str">
        <f t="shared" si="128"/>
        <v>0.135161756993662-0.0975144975076218i</v>
      </c>
      <c r="AQ244" s="147" t="str">
        <f t="shared" si="129"/>
        <v>0.864838243006338+0.0975144975076218i</v>
      </c>
      <c r="AR244" s="147" t="str">
        <f t="shared" si="130"/>
        <v>0.951094067144333-0.107240239189307i</v>
      </c>
    </row>
    <row r="245" spans="7:44">
      <c r="G245" s="585">
        <v>14791</v>
      </c>
      <c r="H245" s="573">
        <f t="shared" si="122"/>
        <v>14.791</v>
      </c>
      <c r="I245" s="574">
        <f t="shared" si="102"/>
        <v>41.789859487685909</v>
      </c>
      <c r="J245" s="575">
        <f t="shared" si="103"/>
        <v>1.5468647924060492</v>
      </c>
      <c r="K245" s="575">
        <f t="shared" si="104"/>
        <v>1.0002089896586761</v>
      </c>
      <c r="L245" s="576">
        <f t="shared" si="105"/>
        <v>2.0442762432449E-2</v>
      </c>
      <c r="M245" s="575">
        <f t="shared" si="106"/>
        <v>1.0004809090472153</v>
      </c>
      <c r="N245" s="576">
        <f t="shared" si="107"/>
        <v>-3.1006979806060674E-2</v>
      </c>
      <c r="O245" s="574">
        <f t="shared" si="108"/>
        <v>613368.31889799517</v>
      </c>
      <c r="P245" s="577">
        <f t="shared" si="109"/>
        <v>1.5707946964531114</v>
      </c>
      <c r="Q245" s="586">
        <f t="shared" si="131"/>
        <v>24.759391461805368</v>
      </c>
      <c r="R245" s="587">
        <f t="shared" si="132"/>
        <v>1.5303966232713455</v>
      </c>
      <c r="S245" s="574">
        <f t="shared" si="110"/>
        <v>1.0013956878783132</v>
      </c>
      <c r="T245" s="577">
        <f t="shared" si="111"/>
        <v>5.2802774966279775E-2</v>
      </c>
      <c r="U245" s="578">
        <f t="shared" si="123"/>
        <v>0.94100731127389725</v>
      </c>
      <c r="V245" s="579">
        <f t="shared" si="124"/>
        <v>-0.4270707325300942</v>
      </c>
      <c r="W245" s="580">
        <f t="shared" si="112"/>
        <v>-11.117405313363726</v>
      </c>
      <c r="X245" s="581">
        <f t="shared" si="113"/>
        <v>-119.04347506109811</v>
      </c>
      <c r="Y245" s="584">
        <f t="shared" si="114"/>
        <v>60.956524938901893</v>
      </c>
      <c r="AA245" s="147">
        <f t="shared" si="115"/>
        <v>14791</v>
      </c>
      <c r="AB245" s="147">
        <f t="shared" si="116"/>
        <v>218773681</v>
      </c>
      <c r="AD245" s="583">
        <f t="shared" si="117"/>
        <v>17.213708280854291</v>
      </c>
      <c r="AE245" s="584">
        <f t="shared" si="118"/>
        <v>-5.3400152520245525</v>
      </c>
      <c r="AG245" s="583">
        <f t="shared" si="119"/>
        <v>1.3524417791371712</v>
      </c>
      <c r="AH245" s="584">
        <f t="shared" si="120"/>
        <v>-64.76475869808327</v>
      </c>
      <c r="AJ245" s="147">
        <f t="shared" si="121"/>
        <v>0</v>
      </c>
      <c r="AK245" s="147">
        <f t="shared" si="133"/>
        <v>0</v>
      </c>
      <c r="AM245" s="147" t="str">
        <f t="shared" si="125"/>
        <v>0.191129462377798+0.58798677992517i</v>
      </c>
      <c r="AN245" s="147" t="str">
        <f t="shared" si="126"/>
        <v>0.628567655119586i</v>
      </c>
      <c r="AO245" s="147" t="str">
        <f t="shared" si="127"/>
        <v>0.93543912916312-0.304071424644711i</v>
      </c>
      <c r="AP245" s="147" t="str">
        <f t="shared" si="128"/>
        <v>0.134811756270367-0.097997796654195i</v>
      </c>
      <c r="AQ245" s="147" t="str">
        <f t="shared" si="129"/>
        <v>0.865188243729633+0.097997796654195i</v>
      </c>
      <c r="AR245" s="147" t="str">
        <f t="shared" si="130"/>
        <v>0.950600478124924-0.107672235527715i</v>
      </c>
    </row>
    <row r="246" spans="7:44">
      <c r="G246" s="585">
        <v>14877.25</v>
      </c>
      <c r="H246" s="573">
        <f t="shared" si="122"/>
        <v>14.87725</v>
      </c>
      <c r="I246" s="574">
        <f t="shared" si="102"/>
        <v>42.033407419688402</v>
      </c>
      <c r="J246" s="575">
        <f t="shared" si="103"/>
        <v>1.547003481590606</v>
      </c>
      <c r="K246" s="575">
        <f t="shared" si="104"/>
        <v>1.0002114338480472</v>
      </c>
      <c r="L246" s="576">
        <f t="shared" si="105"/>
        <v>2.0561935765262249E-2</v>
      </c>
      <c r="M246" s="575">
        <f t="shared" si="106"/>
        <v>1.0004865326326318</v>
      </c>
      <c r="N246" s="576">
        <f t="shared" si="107"/>
        <v>-3.1187672334630163E-2</v>
      </c>
      <c r="O246" s="574">
        <f t="shared" si="108"/>
        <v>616945.02213001554</v>
      </c>
      <c r="P246" s="577">
        <f t="shared" si="109"/>
        <v>1.5707947059049241</v>
      </c>
      <c r="Q246" s="586">
        <f t="shared" si="131"/>
        <v>24.903534796828442</v>
      </c>
      <c r="R246" s="587">
        <f t="shared" si="132"/>
        <v>1.5306305856700413</v>
      </c>
      <c r="S246" s="574">
        <f t="shared" si="110"/>
        <v>1.0014120010338103</v>
      </c>
      <c r="T246" s="577">
        <f t="shared" si="111"/>
        <v>5.3110104076099382E-2</v>
      </c>
      <c r="U246" s="578">
        <f t="shared" si="123"/>
        <v>0.94037838003676022</v>
      </c>
      <c r="V246" s="579">
        <f t="shared" si="124"/>
        <v>-0.42941974617379475</v>
      </c>
      <c r="W246" s="580">
        <f t="shared" si="112"/>
        <v>-11.173839633869676</v>
      </c>
      <c r="X246" s="581">
        <f t="shared" si="113"/>
        <v>-119.19373886874071</v>
      </c>
      <c r="Y246" s="584">
        <f t="shared" si="114"/>
        <v>60.806261131259291</v>
      </c>
      <c r="AA246" s="147">
        <f t="shared" si="115"/>
        <v>14877.25</v>
      </c>
      <c r="AB246" s="147">
        <f t="shared" si="116"/>
        <v>221332567.5625</v>
      </c>
      <c r="AD246" s="583">
        <f t="shared" si="117"/>
        <v>17.213484879512823</v>
      </c>
      <c r="AE246" s="584">
        <f t="shared" si="118"/>
        <v>-5.3442193964824733</v>
      </c>
      <c r="AG246" s="583">
        <f t="shared" si="119"/>
        <v>1.3078453365671008</v>
      </c>
      <c r="AH246" s="584">
        <f t="shared" si="120"/>
        <v>-64.641641225354988</v>
      </c>
      <c r="AJ246" s="147">
        <f t="shared" si="121"/>
        <v>0</v>
      </c>
      <c r="AK246" s="147">
        <f t="shared" si="133"/>
        <v>0</v>
      </c>
      <c r="AM246" s="147" t="str">
        <f t="shared" si="125"/>
        <v>0.193290059139952+0.590947604545088i</v>
      </c>
      <c r="AN246" s="147" t="str">
        <f t="shared" si="126"/>
        <v>0.63223298946169i</v>
      </c>
      <c r="AO246" s="147" t="str">
        <f t="shared" si="127"/>
        <v>0.934699097318926-0.305725993995548i</v>
      </c>
      <c r="AP246" s="147" t="str">
        <f t="shared" si="128"/>
        <v>0.134451656810008-0.0984912674241813i</v>
      </c>
      <c r="AQ246" s="147" t="str">
        <f t="shared" si="129"/>
        <v>0.865548343189992+0.0984912674241813i</v>
      </c>
      <c r="AR246" s="147" t="str">
        <f t="shared" si="130"/>
        <v>0.95009359773025-0.108111722872898i</v>
      </c>
    </row>
    <row r="247" spans="7:44">
      <c r="G247" s="585">
        <v>14963.5</v>
      </c>
      <c r="H247" s="573">
        <f t="shared" si="122"/>
        <v>14.9635</v>
      </c>
      <c r="I247" s="574">
        <f t="shared" si="102"/>
        <v>42.276956150875279</v>
      </c>
      <c r="J247" s="575">
        <f t="shared" si="103"/>
        <v>1.5471405728588132</v>
      </c>
      <c r="K247" s="575">
        <f t="shared" si="104"/>
        <v>1.0002138922426349</v>
      </c>
      <c r="L247" s="576">
        <f t="shared" si="105"/>
        <v>2.0681108513943166E-2</v>
      </c>
      <c r="M247" s="575">
        <f t="shared" si="106"/>
        <v>1.0004921888833551</v>
      </c>
      <c r="N247" s="576">
        <f t="shared" si="107"/>
        <v>-3.13683628260202E-2</v>
      </c>
      <c r="O247" s="574">
        <f t="shared" si="108"/>
        <v>620521.7253620358</v>
      </c>
      <c r="P247" s="577">
        <f t="shared" si="109"/>
        <v>1.5707947152477757</v>
      </c>
      <c r="Q247" s="586">
        <f t="shared" si="131"/>
        <v>25.047679479341685</v>
      </c>
      <c r="R247" s="587">
        <f t="shared" si="132"/>
        <v>1.5308618552621096</v>
      </c>
      <c r="S247" s="574">
        <f t="shared" si="110"/>
        <v>1.0014284087707674</v>
      </c>
      <c r="T247" s="577">
        <f t="shared" si="111"/>
        <v>5.3417423144179639E-2</v>
      </c>
      <c r="U247" s="578">
        <f t="shared" si="123"/>
        <v>0.93974698417424141</v>
      </c>
      <c r="V247" s="579">
        <f t="shared" si="124"/>
        <v>-0.43176652599191551</v>
      </c>
      <c r="W247" s="580">
        <f t="shared" si="112"/>
        <v>-11.23000817523698</v>
      </c>
      <c r="X247" s="581">
        <f t="shared" si="113"/>
        <v>-119.34393675535155</v>
      </c>
      <c r="Y247" s="584">
        <f t="shared" si="114"/>
        <v>60.65606324464845</v>
      </c>
      <c r="AA247" s="147">
        <f t="shared" si="115"/>
        <v>14963.5</v>
      </c>
      <c r="AB247" s="147">
        <f t="shared" si="116"/>
        <v>223906332.25</v>
      </c>
      <c r="AD247" s="583">
        <f t="shared" si="117"/>
        <v>17.213262070853041</v>
      </c>
      <c r="AE247" s="584">
        <f t="shared" si="118"/>
        <v>-5.3485772458030958</v>
      </c>
      <c r="AG247" s="583">
        <f t="shared" si="119"/>
        <v>1.2635674108906059</v>
      </c>
      <c r="AH247" s="584">
        <f t="shared" si="120"/>
        <v>-64.518560104288326</v>
      </c>
      <c r="AJ247" s="147">
        <f t="shared" si="121"/>
        <v>0</v>
      </c>
      <c r="AK247" s="147">
        <f t="shared" si="133"/>
        <v>0</v>
      </c>
      <c r="AM247" s="147" t="str">
        <f t="shared" si="125"/>
        <v>0.195461493776524+0.593900489984389i</v>
      </c>
      <c r="AN247" s="147" t="str">
        <f t="shared" si="126"/>
        <v>0.635898323803795i</v>
      </c>
      <c r="AO247" s="147" t="str">
        <f t="shared" si="127"/>
        <v>0.933955111615667-0.307378532793292i</v>
      </c>
      <c r="AP247" s="147" t="str">
        <f t="shared" si="128"/>
        <v>0.134089751037246-0.0989834149973982i</v>
      </c>
      <c r="AQ247" s="147" t="str">
        <f t="shared" si="129"/>
        <v>0.865910248962754+0.0989834149973982i</v>
      </c>
      <c r="AR247" s="147" t="str">
        <f t="shared" si="130"/>
        <v>0.949585143170769-0.108548409508292i</v>
      </c>
    </row>
    <row r="248" spans="7:44">
      <c r="G248" s="585">
        <v>15049.75</v>
      </c>
      <c r="H248" s="573">
        <f t="shared" si="122"/>
        <v>15.04975</v>
      </c>
      <c r="I248" s="574">
        <f t="shared" si="102"/>
        <v>42.520505667513845</v>
      </c>
      <c r="J248" s="575">
        <f t="shared" si="103"/>
        <v>1.5472760936631724</v>
      </c>
      <c r="K248" s="575">
        <f t="shared" si="104"/>
        <v>1.0002163648423346</v>
      </c>
      <c r="L248" s="576">
        <f t="shared" si="105"/>
        <v>2.0800280675111055E-2</v>
      </c>
      <c r="M248" s="575">
        <f t="shared" si="106"/>
        <v>1.0004978777988318</v>
      </c>
      <c r="N248" s="576">
        <f t="shared" si="107"/>
        <v>-3.1549051268466674E-2</v>
      </c>
      <c r="O248" s="574">
        <f t="shared" si="108"/>
        <v>624098.42859405617</v>
      </c>
      <c r="P248" s="577">
        <f t="shared" si="109"/>
        <v>1.5707947244835396</v>
      </c>
      <c r="Q248" s="586">
        <f t="shared" si="131"/>
        <v>25.191825486214547</v>
      </c>
      <c r="R248" s="587">
        <f t="shared" si="132"/>
        <v>1.5310904782467958</v>
      </c>
      <c r="S248" s="574">
        <f t="shared" si="110"/>
        <v>1.001444911084536</v>
      </c>
      <c r="T248" s="577">
        <f t="shared" si="111"/>
        <v>5.372473211296603E-2</v>
      </c>
      <c r="U248" s="578">
        <f t="shared" si="123"/>
        <v>0.93911314054594741</v>
      </c>
      <c r="V248" s="579">
        <f t="shared" si="124"/>
        <v>-0.43411106509870373</v>
      </c>
      <c r="W248" s="580">
        <f t="shared" si="112"/>
        <v>-11.285914209355317</v>
      </c>
      <c r="X248" s="581">
        <f t="shared" si="113"/>
        <v>-119.4940672486261</v>
      </c>
      <c r="Y248" s="584">
        <f t="shared" si="114"/>
        <v>60.505932751373905</v>
      </c>
      <c r="AA248" s="147">
        <f t="shared" si="115"/>
        <v>15049.75</v>
      </c>
      <c r="AB248" s="147">
        <f t="shared" si="116"/>
        <v>226494975.0625</v>
      </c>
      <c r="AD248" s="583">
        <f t="shared" si="117"/>
        <v>17.213039822751423</v>
      </c>
      <c r="AE248" s="584">
        <f t="shared" si="118"/>
        <v>-5.3530861497743176</v>
      </c>
      <c r="AG248" s="583">
        <f t="shared" si="119"/>
        <v>1.2196045527696315</v>
      </c>
      <c r="AH248" s="584">
        <f t="shared" si="120"/>
        <v>-64.395517301839988</v>
      </c>
      <c r="AJ248" s="147">
        <f t="shared" si="121"/>
        <v>0</v>
      </c>
      <c r="AK248" s="147">
        <f t="shared" si="133"/>
        <v>0</v>
      </c>
      <c r="AM248" s="147" t="str">
        <f t="shared" si="125"/>
        <v>0.197643737115026+0.596845396572059i</v>
      </c>
      <c r="AN248" s="147" t="str">
        <f t="shared" si="126"/>
        <v>0.639563658145899i</v>
      </c>
      <c r="AO248" s="147" t="str">
        <f t="shared" si="127"/>
        <v>0.933207178003702-0.309029030336084i</v>
      </c>
      <c r="AP248" s="147" t="str">
        <f t="shared" si="128"/>
        <v>0.133726043814162-0.0994742327620098i</v>
      </c>
      <c r="AQ248" s="147" t="str">
        <f t="shared" si="129"/>
        <v>0.866273956185838+0.0994742327620098i</v>
      </c>
      <c r="AR248" s="147" t="str">
        <f t="shared" si="130"/>
        <v>0.949075133001175-0.108982291357887i</v>
      </c>
    </row>
    <row r="249" spans="7:44">
      <c r="G249" s="585">
        <v>15136</v>
      </c>
      <c r="H249" s="573">
        <f t="shared" si="122"/>
        <v>15.135999999999999</v>
      </c>
      <c r="I249" s="574">
        <f t="shared" si="102"/>
        <v>42.764055956184215</v>
      </c>
      <c r="J249" s="575">
        <f t="shared" si="103"/>
        <v>1.5474100708310281</v>
      </c>
      <c r="K249" s="575">
        <f t="shared" si="104"/>
        <v>1.0002188516470405</v>
      </c>
      <c r="L249" s="576">
        <f t="shared" si="105"/>
        <v>2.0919452245385318E-2</v>
      </c>
      <c r="M249" s="575">
        <f t="shared" si="106"/>
        <v>1.0005035993785045</v>
      </c>
      <c r="N249" s="576">
        <f t="shared" si="107"/>
        <v>-3.1729737650206306E-2</v>
      </c>
      <c r="O249" s="574">
        <f t="shared" si="108"/>
        <v>627675.13182607654</v>
      </c>
      <c r="P249" s="577">
        <f t="shared" si="109"/>
        <v>1.5707947336140466</v>
      </c>
      <c r="Q249" s="586">
        <f t="shared" si="131"/>
        <v>25.335972794842672</v>
      </c>
      <c r="R249" s="587">
        <f t="shared" si="132"/>
        <v>1.5313164997730768</v>
      </c>
      <c r="S249" s="574">
        <f t="shared" si="110"/>
        <v>1.0014615079704403</v>
      </c>
      <c r="T249" s="577">
        <f t="shared" si="111"/>
        <v>5.4032030924915486E-2</v>
      </c>
      <c r="U249" s="578">
        <f t="shared" si="123"/>
        <v>0.93847686601467462</v>
      </c>
      <c r="V249" s="579">
        <f t="shared" si="124"/>
        <v>-0.43645335669001345</v>
      </c>
      <c r="W249" s="580">
        <f t="shared" si="112"/>
        <v>-11.341560949850308</v>
      </c>
      <c r="X249" s="581">
        <f t="shared" si="113"/>
        <v>-119.64412890529094</v>
      </c>
      <c r="Y249" s="584">
        <f t="shared" si="114"/>
        <v>60.355871094709059</v>
      </c>
      <c r="AA249" s="147">
        <f t="shared" si="115"/>
        <v>15136</v>
      </c>
      <c r="AB249" s="147">
        <f t="shared" si="116"/>
        <v>229098496</v>
      </c>
      <c r="AD249" s="583">
        <f t="shared" si="117"/>
        <v>17.212818103998405</v>
      </c>
      <c r="AE249" s="584">
        <f t="shared" si="118"/>
        <v>-5.3577435183582232</v>
      </c>
      <c r="AG249" s="583">
        <f t="shared" si="119"/>
        <v>1.1759533699390088</v>
      </c>
      <c r="AH249" s="584">
        <f t="shared" si="120"/>
        <v>-64.272514744472176</v>
      </c>
      <c r="AJ249" s="147">
        <f t="shared" si="121"/>
        <v>0</v>
      </c>
      <c r="AK249" s="147">
        <f t="shared" si="133"/>
        <v>0</v>
      </c>
      <c r="AM249" s="147" t="str">
        <f t="shared" si="125"/>
        <v>0.199836759837759+0.599782284744277i</v>
      </c>
      <c r="AN249" s="147" t="str">
        <f t="shared" si="126"/>
        <v>0.643228992488003i</v>
      </c>
      <c r="AO249" s="147" t="str">
        <f t="shared" si="127"/>
        <v>0.932455302464408-0.310677475940244i</v>
      </c>
      <c r="AP249" s="147" t="str">
        <f t="shared" si="128"/>
        <v>0.13336054002704-0.0999637141240462i</v>
      </c>
      <c r="AQ249" s="147" t="str">
        <f t="shared" si="129"/>
        <v>0.86663945997296+0.0999637141240462i</v>
      </c>
      <c r="AR249" s="147" t="str">
        <f t="shared" si="130"/>
        <v>0.948563585757399-0.109413364489648i</v>
      </c>
    </row>
    <row r="250" spans="7:44">
      <c r="G250" s="585">
        <v>15224</v>
      </c>
      <c r="H250" s="573">
        <f t="shared" si="122"/>
        <v>15.224</v>
      </c>
      <c r="I250" s="574">
        <f t="shared" si="102"/>
        <v>43.012548626994196</v>
      </c>
      <c r="J250" s="575">
        <f t="shared" si="103"/>
        <v>1.5475452026446301</v>
      </c>
      <c r="K250" s="575">
        <f t="shared" si="104"/>
        <v>1.0002214035488002</v>
      </c>
      <c r="L250" s="576">
        <f t="shared" si="105"/>
        <v>2.1041041177042589E-2</v>
      </c>
      <c r="M250" s="575">
        <f t="shared" si="106"/>
        <v>1.0005094707126654</v>
      </c>
      <c r="N250" s="576">
        <f t="shared" si="107"/>
        <v>-3.1914087996391928E-2</v>
      </c>
      <c r="O250" s="574">
        <f t="shared" si="108"/>
        <v>631324.40584831196</v>
      </c>
      <c r="P250" s="577">
        <f t="shared" si="109"/>
        <v>1.5707947428231845</v>
      </c>
      <c r="Q250" s="586">
        <f t="shared" si="131"/>
        <v>25.48304615019244</v>
      </c>
      <c r="R250" s="587">
        <f t="shared" si="132"/>
        <v>1.5315444718574989</v>
      </c>
      <c r="S250" s="574">
        <f t="shared" si="110"/>
        <v>1.0014785390697605</v>
      </c>
      <c r="T250" s="577">
        <f t="shared" si="111"/>
        <v>5.4345554257479223E-2</v>
      </c>
      <c r="U250" s="578">
        <f t="shared" si="123"/>
        <v>0.93782519367730544</v>
      </c>
      <c r="V250" s="579">
        <f t="shared" si="124"/>
        <v>-0.43884084968245385</v>
      </c>
      <c r="W250" s="580">
        <f t="shared" si="112"/>
        <v>-11.398072791231517</v>
      </c>
      <c r="X250" s="581">
        <f t="shared" si="113"/>
        <v>-119.79716287741114</v>
      </c>
      <c r="Y250" s="584">
        <f t="shared" si="114"/>
        <v>60.202837122588861</v>
      </c>
      <c r="AA250" s="147">
        <f t="shared" si="115"/>
        <v>15224</v>
      </c>
      <c r="AB250" s="147">
        <f t="shared" si="116"/>
        <v>231770176</v>
      </c>
      <c r="AD250" s="583">
        <f t="shared" si="117"/>
        <v>17.212592400709571</v>
      </c>
      <c r="AE250" s="584">
        <f t="shared" si="118"/>
        <v>-5.362645771459154</v>
      </c>
      <c r="AG250" s="583">
        <f t="shared" si="119"/>
        <v>1.1317342744657775</v>
      </c>
      <c r="AH250" s="584">
        <f t="shared" si="120"/>
        <v>-64.147059919011014</v>
      </c>
      <c r="AJ250" s="147">
        <f t="shared" si="121"/>
        <v>0</v>
      </c>
      <c r="AK250" s="147">
        <f t="shared" si="133"/>
        <v>0</v>
      </c>
      <c r="AM250" s="147" t="str">
        <f t="shared" si="125"/>
        <v>0.202085357773579+0.60277045690767i</v>
      </c>
      <c r="AN250" s="147" t="str">
        <f t="shared" si="126"/>
        <v>0.646968695932701i</v>
      </c>
      <c r="AO250" s="147" t="str">
        <f t="shared" si="127"/>
        <v>0.931684115007585-0.312357242389051i</v>
      </c>
      <c r="AP250" s="147" t="str">
        <f t="shared" si="128"/>
        <v>0.132985773704403-0.100461742817945i</v>
      </c>
      <c r="AQ250" s="147" t="str">
        <f t="shared" si="129"/>
        <v>0.867014226295597+0.100461742817945i</v>
      </c>
      <c r="AR250" s="147" t="str">
        <f t="shared" si="130"/>
        <v>0.948040094335317-0.109850285323627i</v>
      </c>
    </row>
    <row r="251" spans="7:44">
      <c r="G251" s="585">
        <v>15312</v>
      </c>
      <c r="H251" s="573">
        <f t="shared" si="122"/>
        <v>15.311999999999999</v>
      </c>
      <c r="I251" s="574">
        <f t="shared" si="102"/>
        <v>43.261042074216292</v>
      </c>
      <c r="J251" s="575">
        <f t="shared" si="103"/>
        <v>1.5476787820537443</v>
      </c>
      <c r="K251" s="575">
        <f t="shared" si="104"/>
        <v>1.0002239702376261</v>
      </c>
      <c r="L251" s="576">
        <f t="shared" si="105"/>
        <v>2.1162629486475255E-2</v>
      </c>
      <c r="M251" s="575">
        <f t="shared" si="106"/>
        <v>1.000515376048791</v>
      </c>
      <c r="N251" s="576">
        <f t="shared" si="107"/>
        <v>-3.2098436172662601E-2</v>
      </c>
      <c r="O251" s="574">
        <f t="shared" si="108"/>
        <v>634973.67987054749</v>
      </c>
      <c r="P251" s="577">
        <f t="shared" si="109"/>
        <v>1.5707947519264702</v>
      </c>
      <c r="Q251" s="586">
        <f t="shared" si="131"/>
        <v>25.630120814729015</v>
      </c>
      <c r="R251" s="587">
        <f t="shared" si="132"/>
        <v>1.531769827585219</v>
      </c>
      <c r="S251" s="574">
        <f t="shared" si="110"/>
        <v>1.0014956686079426</v>
      </c>
      <c r="T251" s="577">
        <f t="shared" si="111"/>
        <v>5.4659066895880619E-2</v>
      </c>
      <c r="U251" s="578">
        <f t="shared" si="123"/>
        <v>0.93717102626090953</v>
      </c>
      <c r="V251" s="579">
        <f t="shared" si="124"/>
        <v>-0.44122598897989201</v>
      </c>
      <c r="W251" s="580">
        <f t="shared" si="112"/>
        <v>-11.454321289167396</v>
      </c>
      <c r="X251" s="581">
        <f t="shared" si="113"/>
        <v>-119.9501222452414</v>
      </c>
      <c r="Y251" s="584">
        <f t="shared" si="114"/>
        <v>60.049877754758597</v>
      </c>
      <c r="AA251" s="147">
        <f t="shared" si="115"/>
        <v>15312</v>
      </c>
      <c r="AB251" s="147">
        <f t="shared" si="116"/>
        <v>234457344</v>
      </c>
      <c r="AD251" s="583">
        <f t="shared" si="117"/>
        <v>17.212367185606464</v>
      </c>
      <c r="AE251" s="584">
        <f t="shared" si="118"/>
        <v>-5.3676973119617335</v>
      </c>
      <c r="AG251" s="583">
        <f t="shared" si="119"/>
        <v>1.0878326719942986</v>
      </c>
      <c r="AH251" s="584">
        <f t="shared" si="120"/>
        <v>-64.021650915438428</v>
      </c>
      <c r="AJ251" s="147">
        <f t="shared" si="121"/>
        <v>0</v>
      </c>
      <c r="AK251" s="147">
        <f t="shared" si="133"/>
        <v>0</v>
      </c>
      <c r="AM251" s="147" t="str">
        <f t="shared" si="125"/>
        <v>0.204345114837351+0.605750199105879i</v>
      </c>
      <c r="AN251" s="147" t="str">
        <f t="shared" si="126"/>
        <v>0.650708399377399i</v>
      </c>
      <c r="AO251" s="147" t="str">
        <f t="shared" si="127"/>
        <v>0.930908836716206-0.314034850376712i</v>
      </c>
      <c r="AP251" s="147" t="str">
        <f t="shared" si="128"/>
        <v>0.132609147527108-0.100958366517647i</v>
      </c>
      <c r="AQ251" s="147" t="str">
        <f t="shared" si="129"/>
        <v>0.867390852472892+0.100958366517647i</v>
      </c>
      <c r="AR251" s="147" t="str">
        <f t="shared" si="130"/>
        <v>0.947515041750321-0.110284274492049i</v>
      </c>
    </row>
    <row r="252" spans="7:44">
      <c r="G252" s="585">
        <v>15400</v>
      </c>
      <c r="H252" s="573">
        <f t="shared" si="122"/>
        <v>15.4</v>
      </c>
      <c r="I252" s="574">
        <f t="shared" si="102"/>
        <v>43.509536284547664</v>
      </c>
      <c r="J252" s="575">
        <f t="shared" si="103"/>
        <v>1.5478108356521125</v>
      </c>
      <c r="K252" s="575">
        <f t="shared" si="104"/>
        <v>1.0002265517134037</v>
      </c>
      <c r="L252" s="576">
        <f t="shared" si="105"/>
        <v>2.1284217170093066E-2</v>
      </c>
      <c r="M252" s="575">
        <f t="shared" si="106"/>
        <v>1.0005213153862795</v>
      </c>
      <c r="N252" s="576">
        <f t="shared" si="107"/>
        <v>-3.2282782166526997E-2</v>
      </c>
      <c r="O252" s="574">
        <f t="shared" si="108"/>
        <v>638622.95389278291</v>
      </c>
      <c r="P252" s="577">
        <f t="shared" si="109"/>
        <v>1.5707947609257185</v>
      </c>
      <c r="Q252" s="586">
        <f t="shared" si="131"/>
        <v>25.777196766043261</v>
      </c>
      <c r="R252" s="587">
        <f t="shared" si="132"/>
        <v>1.5319926117172842</v>
      </c>
      <c r="S252" s="574">
        <f t="shared" si="110"/>
        <v>1.0015128965799358</v>
      </c>
      <c r="T252" s="577">
        <f t="shared" si="111"/>
        <v>5.4972568779039568E-2</v>
      </c>
      <c r="U252" s="578">
        <f t="shared" si="123"/>
        <v>0.93651438167937617</v>
      </c>
      <c r="V252" s="579">
        <f t="shared" si="124"/>
        <v>-0.44360876761762835</v>
      </c>
      <c r="W252" s="580">
        <f t="shared" si="112"/>
        <v>-11.510309677848646</v>
      </c>
      <c r="X252" s="581">
        <f t="shared" si="113"/>
        <v>-120.1030055649184</v>
      </c>
      <c r="Y252" s="584">
        <f t="shared" si="114"/>
        <v>59.896994435081595</v>
      </c>
      <c r="AA252" s="147">
        <f t="shared" si="115"/>
        <v>15400</v>
      </c>
      <c r="AB252" s="147">
        <f t="shared" si="116"/>
        <v>237160000</v>
      </c>
      <c r="AD252" s="583">
        <f t="shared" si="117"/>
        <v>17.212142428287301</v>
      </c>
      <c r="AE252" s="584">
        <f t="shared" si="118"/>
        <v>-5.3728955718512097</v>
      </c>
      <c r="AG252" s="583">
        <f t="shared" si="119"/>
        <v>1.0442451350309003</v>
      </c>
      <c r="AH252" s="584">
        <f t="shared" si="120"/>
        <v>-63.896289656001464</v>
      </c>
      <c r="AJ252" s="147">
        <f t="shared" si="121"/>
        <v>0</v>
      </c>
      <c r="AK252" s="147">
        <f t="shared" si="133"/>
        <v>0</v>
      </c>
      <c r="AM252" s="147" t="str">
        <f t="shared" si="125"/>
        <v>0.206615999425547+0.608721469666116i</v>
      </c>
      <c r="AN252" s="147" t="str">
        <f t="shared" si="126"/>
        <v>0.654448102822096i</v>
      </c>
      <c r="AO252" s="147" t="str">
        <f t="shared" si="127"/>
        <v>0.930129474042634-0.315710288615067i</v>
      </c>
      <c r="AP252" s="147" t="str">
        <f t="shared" si="128"/>
        <v>0.132230666762409-0.101453578277686i</v>
      </c>
      <c r="AQ252" s="147" t="str">
        <f t="shared" si="129"/>
        <v>0.867769333237591+0.101453578277686i</v>
      </c>
      <c r="AR252" s="147" t="str">
        <f t="shared" si="130"/>
        <v>0.94698844762129-0.110715328277804i</v>
      </c>
    </row>
    <row r="253" spans="7:44">
      <c r="G253" s="585">
        <v>15488</v>
      </c>
      <c r="H253" s="573">
        <f t="shared" si="122"/>
        <v>15.488</v>
      </c>
      <c r="I253" s="574">
        <f t="shared" si="102"/>
        <v>43.758031244987642</v>
      </c>
      <c r="J253" s="575">
        <f t="shared" si="103"/>
        <v>1.5479413894296052</v>
      </c>
      <c r="K253" s="575">
        <f t="shared" si="104"/>
        <v>1.000229147976019</v>
      </c>
      <c r="L253" s="576">
        <f t="shared" si="105"/>
        <v>2.1405804224305883E-2</v>
      </c>
      <c r="M253" s="575">
        <f t="shared" si="106"/>
        <v>1.0005272887245249</v>
      </c>
      <c r="N253" s="576">
        <f t="shared" si="107"/>
        <v>-3.246712596549467E-2</v>
      </c>
      <c r="O253" s="574">
        <f t="shared" si="108"/>
        <v>642272.22791501856</v>
      </c>
      <c r="P253" s="577">
        <f t="shared" si="109"/>
        <v>1.5707947698227023</v>
      </c>
      <c r="Q253" s="586">
        <f t="shared" si="131"/>
        <v>25.924273982234396</v>
      </c>
      <c r="R253" s="587">
        <f t="shared" si="132"/>
        <v>1.5322128679999978</v>
      </c>
      <c r="S253" s="574">
        <f t="shared" si="110"/>
        <v>1.0015302229806604</v>
      </c>
      <c r="T253" s="577">
        <f t="shared" si="111"/>
        <v>5.5286059845888601E-2</v>
      </c>
      <c r="U253" s="578">
        <f t="shared" si="123"/>
        <v>0.93585527784564637</v>
      </c>
      <c r="V253" s="579">
        <f t="shared" si="124"/>
        <v>-0.44598917871899046</v>
      </c>
      <c r="W253" s="580">
        <f t="shared" si="112"/>
        <v>-11.566041133918965</v>
      </c>
      <c r="X253" s="581">
        <f t="shared" si="113"/>
        <v>-120.25581142116178</v>
      </c>
      <c r="Y253" s="584">
        <f t="shared" si="114"/>
        <v>59.744188578838219</v>
      </c>
      <c r="AA253" s="147">
        <f t="shared" si="115"/>
        <v>15488</v>
      </c>
      <c r="AB253" s="147">
        <f t="shared" si="116"/>
        <v>239878144</v>
      </c>
      <c r="AD253" s="583">
        <f t="shared" si="117"/>
        <v>17.211918099213214</v>
      </c>
      <c r="AE253" s="584">
        <f t="shared" si="118"/>
        <v>-5.3782380412517075</v>
      </c>
      <c r="AG253" s="583">
        <f t="shared" si="119"/>
        <v>1.0009682925132655</v>
      </c>
      <c r="AH253" s="584">
        <f t="shared" si="120"/>
        <v>-63.770978023304394</v>
      </c>
      <c r="AJ253" s="147">
        <f t="shared" si="121"/>
        <v>0</v>
      </c>
      <c r="AK253" s="147">
        <f t="shared" si="133"/>
        <v>0</v>
      </c>
      <c r="AM253" s="147" t="str">
        <f t="shared" si="125"/>
        <v>0.208897979779018+0.611684227034081i</v>
      </c>
      <c r="AN253" s="147" t="str">
        <f t="shared" si="126"/>
        <v>0.658187806266794i</v>
      </c>
      <c r="AO253" s="147" t="str">
        <f t="shared" si="127"/>
        <v>0.929346033472606-0.317383545836068i</v>
      </c>
      <c r="AP253" s="147" t="str">
        <f t="shared" si="128"/>
        <v>0.131850336703497-0.101947371172347i</v>
      </c>
      <c r="AQ253" s="147" t="str">
        <f t="shared" si="129"/>
        <v>0.868149663296503+0.101947371172347i</v>
      </c>
      <c r="AR253" s="147" t="str">
        <f t="shared" si="130"/>
        <v>0.946460331541429-0.111143443116907i</v>
      </c>
    </row>
    <row r="254" spans="7:44">
      <c r="G254" s="585">
        <v>15578.25</v>
      </c>
      <c r="H254" s="573">
        <f t="shared" si="122"/>
        <v>15.578250000000001</v>
      </c>
      <c r="I254" s="574">
        <f t="shared" si="102"/>
        <v>44.012880535570048</v>
      </c>
      <c r="J254" s="575">
        <f t="shared" si="103"/>
        <v>1.5480737500038082</v>
      </c>
      <c r="K254" s="575">
        <f t="shared" si="104"/>
        <v>1.0002318259790082</v>
      </c>
      <c r="L254" s="576">
        <f t="shared" si="105"/>
        <v>2.1530499380917049E-2</v>
      </c>
      <c r="M254" s="575">
        <f t="shared" si="106"/>
        <v>1.0005334501054082</v>
      </c>
      <c r="N254" s="576">
        <f t="shared" si="107"/>
        <v>-3.2656180807354759E-2</v>
      </c>
      <c r="O254" s="574">
        <f t="shared" si="108"/>
        <v>646014.80723895913</v>
      </c>
      <c r="P254" s="577">
        <f t="shared" si="109"/>
        <v>1.5707947788427619</v>
      </c>
      <c r="Q254" s="586">
        <f t="shared" si="131"/>
        <v>26.075112986810606</v>
      </c>
      <c r="R254" s="587">
        <f t="shared" si="132"/>
        <v>1.5324361749971458</v>
      </c>
      <c r="S254" s="574">
        <f t="shared" si="110"/>
        <v>1.0015480946164677</v>
      </c>
      <c r="T254" s="577">
        <f t="shared" si="111"/>
        <v>5.5607555010701075E-2</v>
      </c>
      <c r="U254" s="578">
        <f t="shared" si="123"/>
        <v>0.93517678631350309</v>
      </c>
      <c r="V254" s="579">
        <f t="shared" si="124"/>
        <v>-0.448427986382677</v>
      </c>
      <c r="W254" s="580">
        <f t="shared" si="112"/>
        <v>-11.622933939806551</v>
      </c>
      <c r="X254" s="581">
        <f t="shared" si="113"/>
        <v>-120.4124423325421</v>
      </c>
      <c r="Y254" s="584">
        <f t="shared" si="114"/>
        <v>59.587557667457901</v>
      </c>
      <c r="AA254" s="147">
        <f t="shared" si="115"/>
        <v>15578.25</v>
      </c>
      <c r="AB254" s="147">
        <f t="shared" si="116"/>
        <v>242681873.0625</v>
      </c>
      <c r="AD254" s="583">
        <f t="shared" si="117"/>
        <v>17.211688449197752</v>
      </c>
      <c r="AE254" s="584">
        <f t="shared" si="118"/>
        <v>-5.3838643256747796</v>
      </c>
      <c r="AG254" s="583">
        <f t="shared" si="119"/>
        <v>0.95690417850637055</v>
      </c>
      <c r="AH254" s="584">
        <f t="shared" si="120"/>
        <v>-63.642515877595521</v>
      </c>
      <c r="AJ254" s="147">
        <f t="shared" si="121"/>
        <v>0</v>
      </c>
      <c r="AK254" s="147">
        <f t="shared" si="133"/>
        <v>0</v>
      </c>
      <c r="AM254" s="147" t="str">
        <f t="shared" si="125"/>
        <v>0.211249797728686+0.614713850841968i</v>
      </c>
      <c r="AN254" s="147" t="str">
        <f t="shared" si="126"/>
        <v>0.662023127129112i</v>
      </c>
      <c r="AO254" s="147" t="str">
        <f t="shared" si="127"/>
        <v>0.928538332954768-0.319097308042362i</v>
      </c>
      <c r="AP254" s="147" t="str">
        <f t="shared" si="128"/>
        <v>0.131458367045219-0.102452308473661i</v>
      </c>
      <c r="AQ254" s="147" t="str">
        <f t="shared" si="129"/>
        <v>0.868541632954781+0.102452308473661i</v>
      </c>
      <c r="AR254" s="147" t="str">
        <f t="shared" si="130"/>
        <v>0.945917152171085-0.1115794478787i</v>
      </c>
    </row>
    <row r="255" spans="7:44">
      <c r="G255" s="585">
        <v>15668.5</v>
      </c>
      <c r="H255" s="573">
        <f t="shared" si="122"/>
        <v>15.6685</v>
      </c>
      <c r="I255" s="574">
        <f t="shared" si="102"/>
        <v>44.267730588350084</v>
      </c>
      <c r="J255" s="575">
        <f t="shared" si="103"/>
        <v>1.5482045865762781</v>
      </c>
      <c r="K255" s="575">
        <f t="shared" si="104"/>
        <v>1.0002345195344007</v>
      </c>
      <c r="L255" s="576">
        <f t="shared" si="105"/>
        <v>2.1655193867877943E-2</v>
      </c>
      <c r="M255" s="575">
        <f t="shared" si="106"/>
        <v>1.0005396472466497</v>
      </c>
      <c r="N255" s="576">
        <f t="shared" si="107"/>
        <v>-3.2845233314036548E-2</v>
      </c>
      <c r="O255" s="574">
        <f t="shared" si="108"/>
        <v>649757.38656289957</v>
      </c>
      <c r="P255" s="577">
        <f t="shared" si="109"/>
        <v>1.5707947877589108</v>
      </c>
      <c r="Q255" s="586">
        <f t="shared" si="131"/>
        <v>26.225953276691794</v>
      </c>
      <c r="R255" s="587">
        <f t="shared" si="132"/>
        <v>1.5326569132755239</v>
      </c>
      <c r="S255" s="574">
        <f t="shared" si="110"/>
        <v>1.0015660697677249</v>
      </c>
      <c r="T255" s="577">
        <f t="shared" si="111"/>
        <v>5.5929038668964488E-2</v>
      </c>
      <c r="U255" s="578">
        <f t="shared" si="123"/>
        <v>0.93449574631945598</v>
      </c>
      <c r="V255" s="579">
        <f t="shared" si="124"/>
        <v>-0.45086428952804403</v>
      </c>
      <c r="W255" s="580">
        <f t="shared" si="112"/>
        <v>-11.679563094196009</v>
      </c>
      <c r="X255" s="581">
        <f t="shared" si="113"/>
        <v>-120.56898884281188</v>
      </c>
      <c r="Y255" s="584">
        <f t="shared" si="114"/>
        <v>59.431011157188124</v>
      </c>
      <c r="AA255" s="147">
        <f t="shared" si="115"/>
        <v>15668.5</v>
      </c>
      <c r="AB255" s="147">
        <f t="shared" si="116"/>
        <v>245501892.25</v>
      </c>
      <c r="AD255" s="583">
        <f t="shared" si="117"/>
        <v>17.211459189334487</v>
      </c>
      <c r="AE255" s="584">
        <f t="shared" si="118"/>
        <v>-5.389637121611953</v>
      </c>
      <c r="AG255" s="583">
        <f t="shared" si="119"/>
        <v>0.91315984453590071</v>
      </c>
      <c r="AH255" s="584">
        <f t="shared" si="120"/>
        <v>-63.514109815921117</v>
      </c>
      <c r="AJ255" s="147">
        <f t="shared" si="121"/>
        <v>0</v>
      </c>
      <c r="AK255" s="147">
        <f t="shared" si="133"/>
        <v>0</v>
      </c>
      <c r="AM255" s="147" t="str">
        <f t="shared" si="125"/>
        <v>0.213613217932032+0.617734432413142i</v>
      </c>
      <c r="AN255" s="147" t="str">
        <f t="shared" si="126"/>
        <v>0.66585844799143i</v>
      </c>
      <c r="AO255" s="147" t="str">
        <f t="shared" si="127"/>
        <v>0.927726357270896-0.320808752335273i</v>
      </c>
      <c r="AP255" s="147" t="str">
        <f t="shared" si="128"/>
        <v>0.131064463677995-0.102955738735524i</v>
      </c>
      <c r="AQ255" s="147" t="str">
        <f t="shared" si="129"/>
        <v>0.868935536322005+0.102955738735524i</v>
      </c>
      <c r="AR255" s="147" t="str">
        <f t="shared" si="130"/>
        <v>0.945372413682178-0.112012354383404i</v>
      </c>
    </row>
    <row r="256" spans="7:44">
      <c r="G256" s="585">
        <v>15758.75</v>
      </c>
      <c r="H256" s="573">
        <f t="shared" si="122"/>
        <v>15.758749999999999</v>
      </c>
      <c r="I256" s="574">
        <f t="shared" si="102"/>
        <v>44.522581390239147</v>
      </c>
      <c r="J256" s="575">
        <f t="shared" si="103"/>
        <v>1.5483339253130182</v>
      </c>
      <c r="K256" s="575">
        <f t="shared" si="104"/>
        <v>1.0002372286420707</v>
      </c>
      <c r="L256" s="576">
        <f t="shared" si="105"/>
        <v>2.1779887681316317E-2</v>
      </c>
      <c r="M256" s="575">
        <f t="shared" si="106"/>
        <v>1.0005458801475855</v>
      </c>
      <c r="N256" s="576">
        <f t="shared" si="107"/>
        <v>-3.3034283472069763E-2</v>
      </c>
      <c r="O256" s="574">
        <f t="shared" si="108"/>
        <v>653499.96588684013</v>
      </c>
      <c r="P256" s="577">
        <f t="shared" si="109"/>
        <v>1.5707947965729345</v>
      </c>
      <c r="Q256" s="586">
        <f t="shared" si="131"/>
        <v>26.376794829827247</v>
      </c>
      <c r="R256" s="587">
        <f t="shared" si="132"/>
        <v>1.5328751268827985</v>
      </c>
      <c r="S256" s="574">
        <f t="shared" si="110"/>
        <v>1.001584148428859</v>
      </c>
      <c r="T256" s="577">
        <f t="shared" si="111"/>
        <v>5.6250510754848382E-2</v>
      </c>
      <c r="U256" s="578">
        <f t="shared" si="123"/>
        <v>0.93381217717552989</v>
      </c>
      <c r="V256" s="579">
        <f t="shared" si="124"/>
        <v>-0.4532980810250094</v>
      </c>
      <c r="W256" s="580">
        <f t="shared" si="112"/>
        <v>-11.735931843607235</v>
      </c>
      <c r="X256" s="581">
        <f t="shared" si="113"/>
        <v>-120.72544951468414</v>
      </c>
      <c r="Y256" s="584">
        <f t="shared" si="114"/>
        <v>59.274550485315856</v>
      </c>
      <c r="AA256" s="147">
        <f t="shared" si="115"/>
        <v>15758.75</v>
      </c>
      <c r="AB256" s="147">
        <f t="shared" si="116"/>
        <v>248338201.5625</v>
      </c>
      <c r="AD256" s="583">
        <f t="shared" si="117"/>
        <v>17.211230290400742</v>
      </c>
      <c r="AE256" s="584">
        <f t="shared" si="118"/>
        <v>-5.39555390164832</v>
      </c>
      <c r="AG256" s="583">
        <f t="shared" si="119"/>
        <v>0.86973183097651685</v>
      </c>
      <c r="AH256" s="584">
        <f t="shared" si="120"/>
        <v>-63.385761745456456</v>
      </c>
      <c r="AJ256" s="147">
        <f t="shared" si="121"/>
        <v>0</v>
      </c>
      <c r="AK256" s="147">
        <f t="shared" si="133"/>
        <v>0</v>
      </c>
      <c r="AM256" s="147" t="str">
        <f t="shared" si="125"/>
        <v>0.21598820562393+0.62074592731585i</v>
      </c>
      <c r="AN256" s="147" t="str">
        <f t="shared" si="126"/>
        <v>0.669693768853748i</v>
      </c>
      <c r="AO256" s="147" t="str">
        <f t="shared" si="127"/>
        <v>0.926910113525952-0.322517866626737i</v>
      </c>
      <c r="AP256" s="147" t="str">
        <f t="shared" si="128"/>
        <v>0.130668632396012-0.103457654552642i</v>
      </c>
      <c r="AQ256" s="147" t="str">
        <f t="shared" si="129"/>
        <v>0.869331367603988+0.103457654552642i</v>
      </c>
      <c r="AR256" s="147" t="str">
        <f t="shared" si="130"/>
        <v>0.944826137116765-0.112442159283342i</v>
      </c>
    </row>
    <row r="257" spans="7:44">
      <c r="G257" s="585">
        <v>15849</v>
      </c>
      <c r="H257" s="573">
        <f t="shared" si="122"/>
        <v>15.849</v>
      </c>
      <c r="I257" s="574">
        <f t="shared" si="102"/>
        <v>44.777432928446594</v>
      </c>
      <c r="J257" s="575">
        <f t="shared" si="103"/>
        <v>1.5484617917845385</v>
      </c>
      <c r="K257" s="575">
        <f t="shared" si="104"/>
        <v>1.0002399533018922</v>
      </c>
      <c r="L257" s="576">
        <f t="shared" si="105"/>
        <v>2.1904580817360037E-2</v>
      </c>
      <c r="M257" s="575">
        <f t="shared" si="106"/>
        <v>1.0005521488075468</v>
      </c>
      <c r="N257" s="576">
        <f t="shared" si="107"/>
        <v>-3.3223331267985122E-2</v>
      </c>
      <c r="O257" s="574">
        <f t="shared" si="108"/>
        <v>657242.54521078081</v>
      </c>
      <c r="P257" s="577">
        <f t="shared" si="109"/>
        <v>1.5707948052865779</v>
      </c>
      <c r="Q257" s="586">
        <f t="shared" si="131"/>
        <v>26.527637624667594</v>
      </c>
      <c r="R257" s="587">
        <f t="shared" si="132"/>
        <v>1.5330908588657464</v>
      </c>
      <c r="S257" s="574">
        <f t="shared" si="110"/>
        <v>1.0016023305942652</v>
      </c>
      <c r="T257" s="577">
        <f t="shared" si="111"/>
        <v>5.6571971202536556E-2</v>
      </c>
      <c r="U257" s="578">
        <f t="shared" si="123"/>
        <v>0.9331260981878402</v>
      </c>
      <c r="V257" s="579">
        <f t="shared" si="124"/>
        <v>-0.45572935384029284</v>
      </c>
      <c r="W257" s="580">
        <f t="shared" si="112"/>
        <v>-11.792043376536686</v>
      </c>
      <c r="X257" s="581">
        <f t="shared" si="113"/>
        <v>-120.88182293964444</v>
      </c>
      <c r="Y257" s="584">
        <f t="shared" si="114"/>
        <v>59.118177060355563</v>
      </c>
      <c r="AA257" s="147">
        <f t="shared" si="115"/>
        <v>15849</v>
      </c>
      <c r="AB257" s="147">
        <f t="shared" si="116"/>
        <v>251190801</v>
      </c>
      <c r="AD257" s="583">
        <f t="shared" si="117"/>
        <v>17.211001724005591</v>
      </c>
      <c r="AE257" s="584">
        <f t="shared" si="118"/>
        <v>-5.4016121957142502</v>
      </c>
      <c r="AG257" s="583">
        <f t="shared" si="119"/>
        <v>0.82661673516824752</v>
      </c>
      <c r="AH257" s="584">
        <f t="shared" si="120"/>
        <v>-63.25747353371122</v>
      </c>
      <c r="AJ257" s="147">
        <f t="shared" si="121"/>
        <v>0</v>
      </c>
      <c r="AK257" s="147">
        <f t="shared" si="133"/>
        <v>0</v>
      </c>
      <c r="AM257" s="147" t="str">
        <f t="shared" si="125"/>
        <v>0.218374725869097+0.623748291252001i</v>
      </c>
      <c r="AN257" s="147" t="str">
        <f t="shared" si="126"/>
        <v>0.673529089716065i</v>
      </c>
      <c r="AO257" s="147" t="str">
        <f t="shared" si="127"/>
        <v>0.926089608861512-0.324224638851391i</v>
      </c>
      <c r="AP257" s="147" t="str">
        <f t="shared" si="128"/>
        <v>0.130270879021817-0.103958048542i</v>
      </c>
      <c r="AQ257" s="147" t="str">
        <f t="shared" si="129"/>
        <v>0.869729120978183+0.103958048542i</v>
      </c>
      <c r="AR257" s="147" t="str">
        <f t="shared" si="130"/>
        <v>0.944278343482712-0.112868859396738i</v>
      </c>
    </row>
    <row r="258" spans="7:44">
      <c r="G258" s="585">
        <v>15941.25</v>
      </c>
      <c r="H258" s="573">
        <f t="shared" si="122"/>
        <v>15.94125</v>
      </c>
      <c r="I258" s="574">
        <f t="shared" si="102"/>
        <v>45.037932894132638</v>
      </c>
      <c r="J258" s="575">
        <f t="shared" si="103"/>
        <v>1.5485909963120612</v>
      </c>
      <c r="K258" s="575">
        <f t="shared" si="104"/>
        <v>1.0002427544147932</v>
      </c>
      <c r="L258" s="576">
        <f t="shared" si="105"/>
        <v>2.2032036532087493E-2</v>
      </c>
      <c r="M258" s="575">
        <f t="shared" si="106"/>
        <v>1.0005585933409527</v>
      </c>
      <c r="N258" s="576">
        <f t="shared" si="107"/>
        <v>-3.3416566033501613E-2</v>
      </c>
      <c r="O258" s="574">
        <f t="shared" si="108"/>
        <v>661068.06258068141</v>
      </c>
      <c r="P258" s="577">
        <f t="shared" si="109"/>
        <v>1.5707948140913544</v>
      </c>
      <c r="Q258" s="586">
        <f t="shared" si="131"/>
        <v>26.681824457484687</v>
      </c>
      <c r="R258" s="587">
        <f t="shared" si="132"/>
        <v>1.53330885068629</v>
      </c>
      <c r="S258" s="574">
        <f t="shared" si="110"/>
        <v>1.0016210226529483</v>
      </c>
      <c r="T258" s="577">
        <f t="shared" si="111"/>
        <v>5.6900543331032616E-2</v>
      </c>
      <c r="U258" s="578">
        <f t="shared" si="123"/>
        <v>0.93242224143645402</v>
      </c>
      <c r="V258" s="579">
        <f t="shared" si="124"/>
        <v>-0.45821189503257936</v>
      </c>
      <c r="W258" s="580">
        <f t="shared" si="112"/>
        <v>-11.849135808828926</v>
      </c>
      <c r="X258" s="581">
        <f t="shared" si="113"/>
        <v>-121.04157009814347</v>
      </c>
      <c r="Y258" s="584">
        <f t="shared" si="114"/>
        <v>58.958429901856533</v>
      </c>
      <c r="AA258" s="147">
        <f t="shared" si="115"/>
        <v>15941.25</v>
      </c>
      <c r="AB258" s="147">
        <f t="shared" si="116"/>
        <v>254123451.5625</v>
      </c>
      <c r="AD258" s="583">
        <f t="shared" si="117"/>
        <v>17.210768407384126</v>
      </c>
      <c r="AE258" s="584">
        <f t="shared" si="118"/>
        <v>-5.4079484851409516</v>
      </c>
      <c r="AG258" s="583">
        <f t="shared" si="119"/>
        <v>0.78286609216212122</v>
      </c>
      <c r="AH258" s="584">
        <f t="shared" si="120"/>
        <v>-63.126406136887688</v>
      </c>
      <c r="AJ258" s="147">
        <f t="shared" si="121"/>
        <v>0</v>
      </c>
      <c r="AK258" s="147">
        <f t="shared" si="133"/>
        <v>0</v>
      </c>
      <c r="AM258" s="147" t="str">
        <f t="shared" si="125"/>
        <v>0.220826015178698+0.626807706858884i</v>
      </c>
      <c r="AN258" s="147" t="str">
        <f t="shared" si="126"/>
        <v>0.67744940383849i</v>
      </c>
      <c r="AO258" s="147" t="str">
        <f t="shared" si="127"/>
        <v>0.925246525138755-0.325966801251101i</v>
      </c>
      <c r="AP258" s="147" t="str">
        <f t="shared" si="128"/>
        <v>0.12986233080355-0.104467951143147i</v>
      </c>
      <c r="AQ258" s="147" t="str">
        <f t="shared" si="129"/>
        <v>0.87013766919645+0.104467951143147i</v>
      </c>
      <c r="AR258" s="147" t="str">
        <f t="shared" si="130"/>
        <v>0.943716864341934-0.113301803573313i</v>
      </c>
    </row>
    <row r="259" spans="7:44">
      <c r="G259" s="585">
        <v>16033.5</v>
      </c>
      <c r="H259" s="573">
        <f t="shared" si="122"/>
        <v>16.0335</v>
      </c>
      <c r="I259" s="574">
        <f t="shared" si="102"/>
        <v>45.298433603025913</v>
      </c>
      <c r="J259" s="575">
        <f t="shared" si="103"/>
        <v>1.5487187147915906</v>
      </c>
      <c r="K259" s="575">
        <f t="shared" si="104"/>
        <v>1.000245571776506</v>
      </c>
      <c r="L259" s="576">
        <f t="shared" si="105"/>
        <v>2.2159491530884059E-2</v>
      </c>
      <c r="M259" s="575">
        <f t="shared" si="106"/>
        <v>1.0005650752344086</v>
      </c>
      <c r="N259" s="576">
        <f t="shared" si="107"/>
        <v>-3.3609798302593683E-2</v>
      </c>
      <c r="O259" s="574">
        <f t="shared" si="108"/>
        <v>664893.57995058212</v>
      </c>
      <c r="P259" s="577">
        <f t="shared" si="109"/>
        <v>1.5707948227948128</v>
      </c>
      <c r="Q259" s="586">
        <f t="shared" si="131"/>
        <v>26.836012543663767</v>
      </c>
      <c r="R259" s="587">
        <f t="shared" si="132"/>
        <v>1.5335243375441108</v>
      </c>
      <c r="S259" s="574">
        <f t="shared" si="110"/>
        <v>1.0016398228422372</v>
      </c>
      <c r="T259" s="577">
        <f t="shared" si="111"/>
        <v>5.7229103160788282E-2</v>
      </c>
      <c r="U259" s="578">
        <f t="shared" si="123"/>
        <v>0.93171580313462399</v>
      </c>
      <c r="V259" s="579">
        <f t="shared" si="124"/>
        <v>-0.4606917901239308</v>
      </c>
      <c r="W259" s="580">
        <f t="shared" si="112"/>
        <v>-11.905966054919494</v>
      </c>
      <c r="X259" s="581">
        <f t="shared" si="113"/>
        <v>-121.20122321325451</v>
      </c>
      <c r="Y259" s="584">
        <f t="shared" si="114"/>
        <v>58.798776786745492</v>
      </c>
      <c r="AA259" s="147">
        <f t="shared" si="115"/>
        <v>16033.5</v>
      </c>
      <c r="AB259" s="147">
        <f t="shared" si="116"/>
        <v>257073122.25</v>
      </c>
      <c r="AD259" s="583">
        <f t="shared" si="117"/>
        <v>17.210535380758579</v>
      </c>
      <c r="AE259" s="584">
        <f t="shared" si="118"/>
        <v>-5.414427587888663</v>
      </c>
      <c r="AG259" s="583">
        <f t="shared" si="119"/>
        <v>0.73943537704993934</v>
      </c>
      <c r="AH259" s="584">
        <f t="shared" si="120"/>
        <v>-62.995405104187036</v>
      </c>
      <c r="AJ259" s="147">
        <f t="shared" si="121"/>
        <v>0</v>
      </c>
      <c r="AK259" s="147">
        <f t="shared" si="133"/>
        <v>0</v>
      </c>
      <c r="AM259" s="147" t="str">
        <f t="shared" si="125"/>
        <v>0.223289279491045+0.629857489156445i</v>
      </c>
      <c r="AN259" s="147" t="str">
        <f t="shared" si="126"/>
        <v>0.681369717960915i</v>
      </c>
      <c r="AO259" s="147" t="str">
        <f t="shared" si="127"/>
        <v>0.924399004759667-0.327706491211946i</v>
      </c>
      <c r="AP259" s="147" t="str">
        <f t="shared" si="128"/>
        <v>0.129451786751492-0.104976248192741i</v>
      </c>
      <c r="AQ259" s="147" t="str">
        <f t="shared" si="129"/>
        <v>0.870548213248508+0.104976248192741i</v>
      </c>
      <c r="AR259" s="147" t="str">
        <f t="shared" si="130"/>
        <v>0.943153844418527-0.1137314976343i</v>
      </c>
    </row>
    <row r="260" spans="7:44">
      <c r="G260" s="585">
        <v>16125.75</v>
      </c>
      <c r="H260" s="573">
        <f t="shared" si="122"/>
        <v>16.12575</v>
      </c>
      <c r="I260" s="574">
        <f t="shared" si="102"/>
        <v>45.558935042377698</v>
      </c>
      <c r="J260" s="575">
        <f t="shared" si="103"/>
        <v>1.5488449727101454</v>
      </c>
      <c r="K260" s="575">
        <f t="shared" si="104"/>
        <v>1.0002484053868932</v>
      </c>
      <c r="L260" s="576">
        <f t="shared" si="105"/>
        <v>2.228694580961485E-2</v>
      </c>
      <c r="M260" s="575">
        <f t="shared" si="106"/>
        <v>1.0005715944871887</v>
      </c>
      <c r="N260" s="576">
        <f t="shared" si="107"/>
        <v>-3.3803028060879883E-2</v>
      </c>
      <c r="O260" s="574">
        <f t="shared" si="108"/>
        <v>668719.09732048283</v>
      </c>
      <c r="P260" s="577">
        <f t="shared" si="109"/>
        <v>1.5707948313986921</v>
      </c>
      <c r="Q260" s="586">
        <f t="shared" si="131"/>
        <v>26.990201861724422</v>
      </c>
      <c r="R260" s="587">
        <f t="shared" si="132"/>
        <v>1.5337373623499908</v>
      </c>
      <c r="S260" s="574">
        <f t="shared" si="110"/>
        <v>1.0016587311560436</v>
      </c>
      <c r="T260" s="577">
        <f t="shared" si="111"/>
        <v>5.7557650621560957E-2</v>
      </c>
      <c r="U260" s="578">
        <f t="shared" si="123"/>
        <v>0.93100680387366019</v>
      </c>
      <c r="V260" s="579">
        <f t="shared" si="124"/>
        <v>-0.46316903191555681</v>
      </c>
      <c r="W260" s="580">
        <f t="shared" si="112"/>
        <v>-11.962537340570947</v>
      </c>
      <c r="X260" s="581">
        <f t="shared" si="113"/>
        <v>-121.36078086969719</v>
      </c>
      <c r="Y260" s="584">
        <f t="shared" si="114"/>
        <v>58.639219130302806</v>
      </c>
      <c r="AA260" s="147">
        <f t="shared" si="115"/>
        <v>16125.75</v>
      </c>
      <c r="AB260" s="147">
        <f t="shared" si="116"/>
        <v>260039813.0625</v>
      </c>
      <c r="AD260" s="583">
        <f t="shared" si="117"/>
        <v>17.21030261632378</v>
      </c>
      <c r="AE260" s="584">
        <f t="shared" si="118"/>
        <v>-5.4210470414256937</v>
      </c>
      <c r="AG260" s="583">
        <f t="shared" si="119"/>
        <v>0.69632113218753755</v>
      </c>
      <c r="AH260" s="584">
        <f t="shared" si="120"/>
        <v>-62.864472307781092</v>
      </c>
      <c r="AJ260" s="147">
        <f t="shared" si="121"/>
        <v>0</v>
      </c>
      <c r="AK260" s="147">
        <f t="shared" si="133"/>
        <v>0</v>
      </c>
      <c r="AM260" s="147" t="str">
        <f t="shared" si="125"/>
        <v>0.225764480948618+0.632897591273056i</v>
      </c>
      <c r="AN260" s="147" t="str">
        <f t="shared" si="126"/>
        <v>0.685290032083339i</v>
      </c>
      <c r="AO260" s="147" t="str">
        <f t="shared" si="127"/>
        <v>0.923547055469338-0.329443695922842i</v>
      </c>
      <c r="AP260" s="147" t="str">
        <f t="shared" si="128"/>
        <v>0.12903925317523-0.105482931878843i</v>
      </c>
      <c r="AQ260" s="147" t="str">
        <f t="shared" si="129"/>
        <v>0.87096074682477+0.105482931878843i</v>
      </c>
      <c r="AR260" s="147" t="str">
        <f t="shared" si="130"/>
        <v>0.942589306028131-0.114157938713046i</v>
      </c>
    </row>
    <row r="261" spans="7:44">
      <c r="G261" s="585">
        <v>16218</v>
      </c>
      <c r="H261" s="573">
        <f t="shared" si="122"/>
        <v>16.218</v>
      </c>
      <c r="I261" s="574">
        <f t="shared" si="102"/>
        <v>45.819437199729165</v>
      </c>
      <c r="J261" s="575">
        <f t="shared" si="103"/>
        <v>1.5489697949753174</v>
      </c>
      <c r="K261" s="575">
        <f t="shared" si="104"/>
        <v>1.0002512552458163</v>
      </c>
      <c r="L261" s="576">
        <f t="shared" si="105"/>
        <v>2.2414399364145115E-2</v>
      </c>
      <c r="M261" s="575">
        <f t="shared" si="106"/>
        <v>1.0005781510985627</v>
      </c>
      <c r="N261" s="576">
        <f t="shared" si="107"/>
        <v>-3.3996255293979934E-2</v>
      </c>
      <c r="O261" s="574">
        <f t="shared" si="108"/>
        <v>672544.61469038343</v>
      </c>
      <c r="P261" s="577">
        <f t="shared" si="109"/>
        <v>1.5707948399046916</v>
      </c>
      <c r="Q261" s="586">
        <f t="shared" si="131"/>
        <v>27.144392390674149</v>
      </c>
      <c r="R261" s="587">
        <f t="shared" si="132"/>
        <v>1.5339479670406191</v>
      </c>
      <c r="S261" s="574">
        <f t="shared" si="110"/>
        <v>1.0016777475882443</v>
      </c>
      <c r="T261" s="577">
        <f t="shared" si="111"/>
        <v>5.788618564312404E-2</v>
      </c>
      <c r="U261" s="578">
        <f t="shared" si="123"/>
        <v>0.93029526423317277</v>
      </c>
      <c r="V261" s="579">
        <f t="shared" si="124"/>
        <v>-0.46564361331357729</v>
      </c>
      <c r="W261" s="580">
        <f t="shared" si="112"/>
        <v>-12.018852833821395</v>
      </c>
      <c r="X261" s="581">
        <f t="shared" si="113"/>
        <v>-121.52024168081329</v>
      </c>
      <c r="Y261" s="584">
        <f t="shared" si="114"/>
        <v>58.479758319186715</v>
      </c>
      <c r="AA261" s="147">
        <f t="shared" si="115"/>
        <v>16218</v>
      </c>
      <c r="AB261" s="147">
        <f t="shared" si="116"/>
        <v>263023524</v>
      </c>
      <c r="AD261" s="583">
        <f t="shared" si="117"/>
        <v>17.210070087065603</v>
      </c>
      <c r="AE261" s="584">
        <f t="shared" si="118"/>
        <v>-5.4278044390304343</v>
      </c>
      <c r="AG261" s="583">
        <f t="shared" si="119"/>
        <v>0.65351995667515839</v>
      </c>
      <c r="AH261" s="584">
        <f t="shared" si="120"/>
        <v>-62.733609580632127</v>
      </c>
      <c r="AJ261" s="147">
        <f t="shared" si="121"/>
        <v>0</v>
      </c>
      <c r="AK261" s="147">
        <f t="shared" si="133"/>
        <v>0</v>
      </c>
      <c r="AM261" s="147" t="str">
        <f t="shared" si="125"/>
        <v>0.228251581510432+0.635927966485868i</v>
      </c>
      <c r="AN261" s="147" t="str">
        <f t="shared" si="126"/>
        <v>0.689210346205764i</v>
      </c>
      <c r="AO261" s="147" t="str">
        <f t="shared" si="127"/>
        <v>0.922690685052501-0.331178402597989i</v>
      </c>
      <c r="AP261" s="147" t="str">
        <f t="shared" si="128"/>
        <v>0.128624736414928-0.105987994414311i</v>
      </c>
      <c r="AQ261" s="147" t="str">
        <f t="shared" si="129"/>
        <v>0.871375263585072+0.105987994414311i</v>
      </c>
      <c r="AR261" s="147" t="str">
        <f t="shared" si="130"/>
        <v>0.942023271442863-0.114581124119883i</v>
      </c>
    </row>
    <row r="262" spans="7:44">
      <c r="G262" s="585">
        <v>16312.5</v>
      </c>
      <c r="H262" s="573">
        <f t="shared" si="122"/>
        <v>16.3125</v>
      </c>
      <c r="I262" s="574">
        <f t="shared" si="102"/>
        <v>46.086293799989917</v>
      </c>
      <c r="J262" s="575">
        <f t="shared" si="103"/>
        <v>1.5490961985258151</v>
      </c>
      <c r="K262" s="575">
        <f t="shared" si="104"/>
        <v>1.0002541914611764</v>
      </c>
      <c r="L262" s="576">
        <f t="shared" si="105"/>
        <v>2.2544960786723574E-2</v>
      </c>
      <c r="M262" s="575">
        <f t="shared" si="106"/>
        <v>1.0005849063630035</v>
      </c>
      <c r="N262" s="576">
        <f t="shared" si="107"/>
        <v>-3.4194192753071041E-2</v>
      </c>
      <c r="O262" s="574">
        <f t="shared" si="108"/>
        <v>676463.43736198917</v>
      </c>
      <c r="P262" s="577">
        <f t="shared" si="109"/>
        <v>1.5707948485184005</v>
      </c>
      <c r="Q262" s="586">
        <f t="shared" si="131"/>
        <v>27.302344898337289</v>
      </c>
      <c r="R262" s="587">
        <f t="shared" si="132"/>
        <v>1.5341612418966655</v>
      </c>
      <c r="S262" s="574">
        <f t="shared" si="110"/>
        <v>1.001697339935532</v>
      </c>
      <c r="T262" s="577">
        <f t="shared" si="111"/>
        <v>5.8222720742599078E-2</v>
      </c>
      <c r="U262" s="578">
        <f t="shared" si="123"/>
        <v>0.92956375738990127</v>
      </c>
      <c r="V262" s="579">
        <f t="shared" si="124"/>
        <v>-0.46817578453387304</v>
      </c>
      <c r="W262" s="580">
        <f t="shared" si="112"/>
        <v>-12.076279901222675</v>
      </c>
      <c r="X262" s="581">
        <f t="shared" si="113"/>
        <v>-121.68348994267811</v>
      </c>
      <c r="Y262" s="584">
        <f t="shared" si="114"/>
        <v>58.316510057321892</v>
      </c>
      <c r="AA262" s="147">
        <f t="shared" si="115"/>
        <v>16312.5</v>
      </c>
      <c r="AB262" s="147">
        <f t="shared" si="116"/>
        <v>266097656.25</v>
      </c>
      <c r="AD262" s="583">
        <f t="shared" si="117"/>
        <v>17.209832102778201</v>
      </c>
      <c r="AE262" s="584">
        <f t="shared" si="118"/>
        <v>-5.4348672242978866</v>
      </c>
      <c r="AG262" s="583">
        <f t="shared" si="119"/>
        <v>0.60999596960115521</v>
      </c>
      <c r="AH262" s="584">
        <f t="shared" si="120"/>
        <v>-62.599629609043077</v>
      </c>
      <c r="AJ262" s="147">
        <f t="shared" si="121"/>
        <v>0</v>
      </c>
      <c r="AK262" s="147">
        <f t="shared" si="133"/>
        <v>0</v>
      </c>
      <c r="AM262" s="147" t="str">
        <f t="shared" si="125"/>
        <v>0.230811641081126+0.639022118947138i</v>
      </c>
      <c r="AN262" s="147" t="str">
        <f t="shared" si="126"/>
        <v>0.693226277745808i</v>
      </c>
      <c r="AO262" s="147" t="str">
        <f t="shared" si="127"/>
        <v>0.921808851541335-0.332952815683308i</v>
      </c>
      <c r="AP262" s="147" t="str">
        <f t="shared" si="128"/>
        <v>0.128198059819812-0.10650368649119i</v>
      </c>
      <c r="AQ262" s="147" t="str">
        <f t="shared" si="129"/>
        <v>0.871801940180188+0.10650368649119i</v>
      </c>
      <c r="AR262" s="147" t="str">
        <f t="shared" si="130"/>
        <v>0.941441902991207-0.115011252745229i</v>
      </c>
    </row>
    <row r="263" spans="7:44">
      <c r="G263" s="585">
        <v>16407</v>
      </c>
      <c r="H263" s="573">
        <f t="shared" si="122"/>
        <v>16.407</v>
      </c>
      <c r="I263" s="574">
        <f t="shared" si="102"/>
        <v>46.353151128132403</v>
      </c>
      <c r="J263" s="575">
        <f t="shared" si="103"/>
        <v>1.5492211466556087</v>
      </c>
      <c r="K263" s="575">
        <f t="shared" si="104"/>
        <v>1.0002571447270543</v>
      </c>
      <c r="L263" s="576">
        <f t="shared" si="105"/>
        <v>2.2675521440560654E-2</v>
      </c>
      <c r="M263" s="575">
        <f t="shared" si="106"/>
        <v>1.0005917008290677</v>
      </c>
      <c r="N263" s="576">
        <f t="shared" si="107"/>
        <v>-3.4392127531748889E-2</v>
      </c>
      <c r="O263" s="574">
        <f t="shared" si="108"/>
        <v>680382.26003359491</v>
      </c>
      <c r="P263" s="577">
        <f t="shared" si="109"/>
        <v>1.5707948570328838</v>
      </c>
      <c r="Q263" s="586">
        <f t="shared" si="131"/>
        <v>27.460298633592682</v>
      </c>
      <c r="R263" s="587">
        <f t="shared" si="132"/>
        <v>1.5343720632156841</v>
      </c>
      <c r="S263" s="574">
        <f t="shared" si="110"/>
        <v>1.0017170457264812</v>
      </c>
      <c r="T263" s="577">
        <f t="shared" si="111"/>
        <v>5.8559242639540113E-2</v>
      </c>
      <c r="U263" s="578">
        <f t="shared" si="123"/>
        <v>0.92882962840988592</v>
      </c>
      <c r="V263" s="579">
        <f t="shared" si="124"/>
        <v>-0.47070514926940615</v>
      </c>
      <c r="W263" s="580">
        <f t="shared" si="112"/>
        <v>-12.133445096366021</v>
      </c>
      <c r="X263" s="581">
        <f t="shared" si="113"/>
        <v>-121.8466337209981</v>
      </c>
      <c r="Y263" s="584">
        <f t="shared" si="114"/>
        <v>58.153366279001901</v>
      </c>
      <c r="AA263" s="147">
        <f t="shared" si="115"/>
        <v>16407</v>
      </c>
      <c r="AB263" s="147">
        <f t="shared" si="116"/>
        <v>269189649</v>
      </c>
      <c r="AD263" s="583">
        <f t="shared" si="117"/>
        <v>17.209594310322345</v>
      </c>
      <c r="AE263" s="584">
        <f t="shared" si="118"/>
        <v>-5.4420698247473789</v>
      </c>
      <c r="AG263" s="583">
        <f t="shared" si="119"/>
        <v>0.56679346215045601</v>
      </c>
      <c r="AH263" s="584">
        <f t="shared" si="120"/>
        <v>-62.465726938191786</v>
      </c>
      <c r="AJ263" s="147">
        <f t="shared" si="121"/>
        <v>0</v>
      </c>
      <c r="AK263" s="147">
        <f t="shared" si="133"/>
        <v>0</v>
      </c>
      <c r="AM263" s="147" t="str">
        <f t="shared" si="125"/>
        <v>0.233384105878964+0.642105965461312i</v>
      </c>
      <c r="AN263" s="147" t="str">
        <f t="shared" si="126"/>
        <v>0.697242209285853i</v>
      </c>
      <c r="AO263" s="147" t="str">
        <f t="shared" si="127"/>
        <v>0.920922395273496-0.334724580311921i</v>
      </c>
      <c r="AP263" s="147" t="str">
        <f t="shared" si="128"/>
        <v>0.127769315686839-0.107017660910219i</v>
      </c>
      <c r="AQ263" s="147" t="str">
        <f t="shared" si="129"/>
        <v>0.872230684313161+0.107017660910219i</v>
      </c>
      <c r="AR263" s="147" t="str">
        <f t="shared" si="130"/>
        <v>0.940859011636613-0.11543795979952i</v>
      </c>
    </row>
    <row r="264" spans="7:44">
      <c r="G264" s="585">
        <v>16501.5</v>
      </c>
      <c r="H264" s="573">
        <f t="shared" si="122"/>
        <v>16.5015</v>
      </c>
      <c r="I264" s="574">
        <f t="shared" si="102"/>
        <v>46.620009171657223</v>
      </c>
      <c r="J264" s="575">
        <f t="shared" si="103"/>
        <v>1.5493446643537261</v>
      </c>
      <c r="K264" s="575">
        <f t="shared" si="104"/>
        <v>1.000260115043299</v>
      </c>
      <c r="L264" s="576">
        <f t="shared" si="105"/>
        <v>2.2806081321212097E-2</v>
      </c>
      <c r="M264" s="575">
        <f t="shared" si="106"/>
        <v>1.0005985344959571</v>
      </c>
      <c r="N264" s="576">
        <f t="shared" si="107"/>
        <v>-3.4590059614558785E-2</v>
      </c>
      <c r="O264" s="574">
        <f t="shared" si="108"/>
        <v>684301.08270520077</v>
      </c>
      <c r="P264" s="577">
        <f t="shared" si="109"/>
        <v>1.5707948654498465</v>
      </c>
      <c r="Q264" s="586">
        <f t="shared" si="131"/>
        <v>27.618253575377871</v>
      </c>
      <c r="R264" s="587">
        <f t="shared" si="132"/>
        <v>1.5345804730757462</v>
      </c>
      <c r="S264" s="574">
        <f t="shared" si="110"/>
        <v>1.0017368649543972</v>
      </c>
      <c r="T264" s="577">
        <f t="shared" si="111"/>
        <v>5.8895751258508371E-2</v>
      </c>
      <c r="U264" s="578">
        <f t="shared" si="123"/>
        <v>0.92809289936888439</v>
      </c>
      <c r="V264" s="579">
        <f t="shared" si="124"/>
        <v>-0.47323170023555539</v>
      </c>
      <c r="W264" s="580">
        <f t="shared" si="112"/>
        <v>-12.190351644912798</v>
      </c>
      <c r="X264" s="581">
        <f t="shared" si="113"/>
        <v>-122.00967161440953</v>
      </c>
      <c r="Y264" s="584">
        <f t="shared" si="114"/>
        <v>57.990328385590473</v>
      </c>
      <c r="AA264" s="147">
        <f t="shared" si="115"/>
        <v>16501.5</v>
      </c>
      <c r="AB264" s="147">
        <f t="shared" si="116"/>
        <v>272299502.25</v>
      </c>
      <c r="AD264" s="583">
        <f t="shared" si="117"/>
        <v>17.209356683069338</v>
      </c>
      <c r="AE264" s="584">
        <f t="shared" si="118"/>
        <v>-5.4494098252583978</v>
      </c>
      <c r="AG264" s="583">
        <f t="shared" si="119"/>
        <v>0.5239089554099684</v>
      </c>
      <c r="AH264" s="584">
        <f t="shared" si="120"/>
        <v>-62.331903416591302</v>
      </c>
      <c r="AJ264" s="147">
        <f t="shared" si="121"/>
        <v>0</v>
      </c>
      <c r="AK264" s="147">
        <f t="shared" si="133"/>
        <v>0</v>
      </c>
      <c r="AM264" s="147" t="str">
        <f t="shared" si="125"/>
        <v>0.235968934416043+0.645179456293086i</v>
      </c>
      <c r="AN264" s="147" t="str">
        <f t="shared" si="126"/>
        <v>0.701258140825898i</v>
      </c>
      <c r="AO264" s="147" t="str">
        <f t="shared" si="127"/>
        <v>0.920031324746168-0.336493682822895i</v>
      </c>
      <c r="AP264" s="147" t="str">
        <f t="shared" si="128"/>
        <v>0.127338510930659-0.107529909382181i</v>
      </c>
      <c r="AQ264" s="147" t="str">
        <f t="shared" si="129"/>
        <v>0.872661489069341+0.107529909382181i</v>
      </c>
      <c r="AR264" s="147" t="str">
        <f t="shared" si="130"/>
        <v>0.940274621168928-0.115861242962018i</v>
      </c>
    </row>
    <row r="265" spans="7:44">
      <c r="G265" s="585">
        <v>16596</v>
      </c>
      <c r="H265" s="573">
        <f t="shared" si="122"/>
        <v>16.596</v>
      </c>
      <c r="I265" s="574">
        <f t="shared" si="102"/>
        <v>46.886867918349537</v>
      </c>
      <c r="J265" s="575">
        <f t="shared" si="103"/>
        <v>1.5494667760404668</v>
      </c>
      <c r="K265" s="575">
        <f t="shared" si="104"/>
        <v>1.0002631024097588</v>
      </c>
      <c r="L265" s="576">
        <f t="shared" si="105"/>
        <v>2.2936640424233785E-2</v>
      </c>
      <c r="M265" s="575">
        <f t="shared" si="106"/>
        <v>1.0006054073628685</v>
      </c>
      <c r="N265" s="576">
        <f t="shared" si="107"/>
        <v>-3.4787988986047319E-2</v>
      </c>
      <c r="O265" s="574">
        <f t="shared" si="108"/>
        <v>688219.90537680662</v>
      </c>
      <c r="P265" s="577">
        <f t="shared" si="109"/>
        <v>1.5707948737709545</v>
      </c>
      <c r="Q265" s="586">
        <f t="shared" si="131"/>
        <v>27.776209703109345</v>
      </c>
      <c r="R265" s="587">
        <f t="shared" si="132"/>
        <v>1.5347865125986226</v>
      </c>
      <c r="S265" s="574">
        <f t="shared" si="110"/>
        <v>1.0017567976125472</v>
      </c>
      <c r="T265" s="577">
        <f t="shared" si="111"/>
        <v>5.923224652408305E-2</v>
      </c>
      <c r="U265" s="578">
        <f t="shared" si="123"/>
        <v>0.92735359232407022</v>
      </c>
      <c r="V265" s="579">
        <f t="shared" si="124"/>
        <v>-0.47575543026226602</v>
      </c>
      <c r="W265" s="580">
        <f t="shared" si="112"/>
        <v>-12.247002714598098</v>
      </c>
      <c r="X265" s="581">
        <f t="shared" si="113"/>
        <v>-122.17260225031815</v>
      </c>
      <c r="Y265" s="584">
        <f t="shared" si="114"/>
        <v>57.82739774968185</v>
      </c>
      <c r="AA265" s="147">
        <f t="shared" si="115"/>
        <v>16596</v>
      </c>
      <c r="AB265" s="147">
        <f t="shared" si="116"/>
        <v>275427216</v>
      </c>
      <c r="AD265" s="583">
        <f t="shared" si="117"/>
        <v>17.20911919514942</v>
      </c>
      <c r="AE265" s="584">
        <f t="shared" si="118"/>
        <v>-5.4568848655011628</v>
      </c>
      <c r="AG265" s="583">
        <f t="shared" si="119"/>
        <v>0.48133902748960278</v>
      </c>
      <c r="AH265" s="584">
        <f t="shared" si="120"/>
        <v>-62.198160853604797</v>
      </c>
      <c r="AJ265" s="147">
        <f t="shared" si="121"/>
        <v>0</v>
      </c>
      <c r="AK265" s="147">
        <f t="shared" si="133"/>
        <v>0</v>
      </c>
      <c r="AM265" s="147" t="str">
        <f t="shared" si="125"/>
        <v>0.238566085005064+0.648242541874169i</v>
      </c>
      <c r="AN265" s="147" t="str">
        <f t="shared" si="126"/>
        <v>0.705274072365942i</v>
      </c>
      <c r="AO265" s="147" t="str">
        <f t="shared" si="127"/>
        <v>0.919135648499806-0.338260109583726i</v>
      </c>
      <c r="AP265" s="147" t="str">
        <f t="shared" si="128"/>
        <v>0.126905652499156-0.108040423645695i</v>
      </c>
      <c r="AQ265" s="147" t="str">
        <f t="shared" si="129"/>
        <v>0.873094347500844+0.108040423645695i</v>
      </c>
      <c r="AR265" s="147" t="str">
        <f t="shared" si="130"/>
        <v>0.939688755323432-0.116281100102004i</v>
      </c>
    </row>
    <row r="266" spans="7:44">
      <c r="G266" s="585">
        <v>16692.5</v>
      </c>
      <c r="H266" s="573">
        <f t="shared" si="122"/>
        <v>16.692499999999999</v>
      </c>
      <c r="I266" s="574">
        <f t="shared" si="102"/>
        <v>47.159375182446894</v>
      </c>
      <c r="J266" s="575">
        <f t="shared" si="103"/>
        <v>1.5495900459414826</v>
      </c>
      <c r="K266" s="575">
        <f t="shared" si="104"/>
        <v>1.0002661705960567</v>
      </c>
      <c r="L266" s="576">
        <f t="shared" si="105"/>
        <v>2.3069961875766043E-2</v>
      </c>
      <c r="M266" s="575">
        <f t="shared" si="106"/>
        <v>1.0006124661396874</v>
      </c>
      <c r="N266" s="576">
        <f t="shared" si="107"/>
        <v>-3.4990104524882097E-2</v>
      </c>
      <c r="O266" s="574">
        <f t="shared" si="108"/>
        <v>692221.6660943724</v>
      </c>
      <c r="P266" s="577">
        <f t="shared" si="109"/>
        <v>1.570794882170943</v>
      </c>
      <c r="Q266" s="586">
        <f t="shared" si="131"/>
        <v>27.937510020626846</v>
      </c>
      <c r="R266" s="587">
        <f t="shared" si="132"/>
        <v>1.5349945083945242</v>
      </c>
      <c r="S266" s="574">
        <f t="shared" si="110"/>
        <v>1.0017772691754563</v>
      </c>
      <c r="T266" s="577">
        <f t="shared" si="111"/>
        <v>5.957584952391632E-2</v>
      </c>
      <c r="U266" s="578">
        <f t="shared" si="123"/>
        <v>0.92659600104875373</v>
      </c>
      <c r="V266" s="579">
        <f t="shared" si="124"/>
        <v>-0.47832965410775208</v>
      </c>
      <c r="W266" s="580">
        <f t="shared" si="112"/>
        <v>-12.304592335146747</v>
      </c>
      <c r="X266" s="581">
        <f t="shared" si="113"/>
        <v>-122.33886907004427</v>
      </c>
      <c r="Y266" s="584">
        <f t="shared" si="114"/>
        <v>57.661130929955732</v>
      </c>
      <c r="AA266" s="147">
        <f t="shared" si="115"/>
        <v>16692.5</v>
      </c>
      <c r="AB266" s="147">
        <f t="shared" si="116"/>
        <v>278639556.25</v>
      </c>
      <c r="AD266" s="583">
        <f t="shared" si="117"/>
        <v>17.208876798698537</v>
      </c>
      <c r="AE266" s="584">
        <f t="shared" si="118"/>
        <v>-5.4646550672507788</v>
      </c>
      <c r="AG266" s="583">
        <f t="shared" si="119"/>
        <v>0.43818928664155093</v>
      </c>
      <c r="AH266" s="584">
        <f t="shared" si="120"/>
        <v>-62.061673147507634</v>
      </c>
      <c r="AJ266" s="147">
        <f t="shared" si="121"/>
        <v>0</v>
      </c>
      <c r="AK266" s="147">
        <f t="shared" si="133"/>
        <v>0</v>
      </c>
      <c r="AM266" s="147" t="str">
        <f t="shared" si="125"/>
        <v>0.241230874200784+0.651359665418341i</v>
      </c>
      <c r="AN266" s="147" t="str">
        <f t="shared" si="126"/>
        <v>0.709374997166094i</v>
      </c>
      <c r="AO266" s="147" t="str">
        <f t="shared" si="127"/>
        <v>0.918216272099355-0.340061145606323i</v>
      </c>
      <c r="AP266" s="147" t="str">
        <f t="shared" si="128"/>
        <v>0.126461520966536-0.10855994423639i</v>
      </c>
      <c r="AQ266" s="147" t="str">
        <f t="shared" si="129"/>
        <v>0.873538479033464+0.10855994423639i</v>
      </c>
      <c r="AR266" s="147" t="str">
        <f t="shared" si="130"/>
        <v>0.939088992263333-0.116706305537812i</v>
      </c>
    </row>
    <row r="267" spans="7:44">
      <c r="G267" s="585">
        <v>16789</v>
      </c>
      <c r="H267" s="573">
        <f t="shared" si="122"/>
        <v>16.789000000000001</v>
      </c>
      <c r="I267" s="574">
        <f t="shared" si="102"/>
        <v>47.431883154918879</v>
      </c>
      <c r="J267" s="575">
        <f t="shared" si="103"/>
        <v>1.5497118994118169</v>
      </c>
      <c r="K267" s="575">
        <f t="shared" si="104"/>
        <v>1.0002692565615858</v>
      </c>
      <c r="L267" s="576">
        <f t="shared" si="105"/>
        <v>2.3203282507038698E-2</v>
      </c>
      <c r="M267" s="575">
        <f t="shared" si="106"/>
        <v>1.0006195657916392</v>
      </c>
      <c r="N267" s="576">
        <f t="shared" si="107"/>
        <v>-3.5192217203850254E-2</v>
      </c>
      <c r="O267" s="574">
        <f t="shared" si="108"/>
        <v>696223.42681193817</v>
      </c>
      <c r="P267" s="577">
        <f t="shared" si="109"/>
        <v>1.5707948904743687</v>
      </c>
      <c r="Q267" s="586">
        <f t="shared" si="131"/>
        <v>28.098811532907575</v>
      </c>
      <c r="R267" s="587">
        <f t="shared" si="132"/>
        <v>1.5352001161952884</v>
      </c>
      <c r="S267" s="574">
        <f t="shared" si="110"/>
        <v>1.0017978590063747</v>
      </c>
      <c r="T267" s="577">
        <f t="shared" si="111"/>
        <v>5.9919438440251098E-2</v>
      </c>
      <c r="U267" s="578">
        <f t="shared" si="123"/>
        <v>0.92583576791591315</v>
      </c>
      <c r="V267" s="579">
        <f t="shared" si="124"/>
        <v>-0.48090092159765485</v>
      </c>
      <c r="W267" s="580">
        <f t="shared" si="112"/>
        <v>-12.361922045868003</v>
      </c>
      <c r="X267" s="581">
        <f t="shared" si="113"/>
        <v>-122.5050212402969</v>
      </c>
      <c r="Y267" s="584">
        <f t="shared" si="114"/>
        <v>57.494978759703102</v>
      </c>
      <c r="AA267" s="147">
        <f t="shared" si="115"/>
        <v>16789</v>
      </c>
      <c r="AB267" s="147">
        <f t="shared" si="116"/>
        <v>281870521</v>
      </c>
      <c r="AD267" s="583">
        <f t="shared" si="117"/>
        <v>17.208634495327601</v>
      </c>
      <c r="AE267" s="584">
        <f t="shared" si="118"/>
        <v>-5.4725612785857649</v>
      </c>
      <c r="AG267" s="583">
        <f t="shared" si="119"/>
        <v>0.39536054527268794</v>
      </c>
      <c r="AH267" s="584">
        <f t="shared" si="120"/>
        <v>-61.925273555747353</v>
      </c>
      <c r="AJ267" s="147">
        <f t="shared" si="121"/>
        <v>0</v>
      </c>
      <c r="AK267" s="147">
        <f t="shared" si="133"/>
        <v>0</v>
      </c>
      <c r="AM267" s="147" t="str">
        <f t="shared" si="125"/>
        <v>0.243908424042293+0.654465834681835i</v>
      </c>
      <c r="AN267" s="147" t="str">
        <f t="shared" si="126"/>
        <v>0.713475921966245i</v>
      </c>
      <c r="AO267" s="147" t="str">
        <f t="shared" si="127"/>
        <v>0.917292111103363-0.341859362780055i</v>
      </c>
      <c r="AP267" s="147" t="str">
        <f t="shared" si="128"/>
        <v>0.126015262659618-0.109077639113639i</v>
      </c>
      <c r="AQ267" s="147" t="str">
        <f t="shared" si="129"/>
        <v>0.873984737340382+0.109077639113639i</v>
      </c>
      <c r="AR267" s="147" t="str">
        <f t="shared" si="130"/>
        <v>0.938487740558831-0.117127934509207i</v>
      </c>
    </row>
    <row r="268" spans="7:44">
      <c r="G268" s="585">
        <v>16885.5</v>
      </c>
      <c r="H268" s="573">
        <f t="shared" si="122"/>
        <v>16.8855</v>
      </c>
      <c r="I268" s="574">
        <f t="shared" si="102"/>
        <v>47.704391823625869</v>
      </c>
      <c r="J268" s="575">
        <f t="shared" si="103"/>
        <v>1.549832360721662</v>
      </c>
      <c r="K268" s="575">
        <f t="shared" si="104"/>
        <v>1.0002723603061816</v>
      </c>
      <c r="L268" s="576">
        <f t="shared" si="105"/>
        <v>2.3336602313319982E-2</v>
      </c>
      <c r="M268" s="575">
        <f t="shared" si="106"/>
        <v>1.000626706317854</v>
      </c>
      <c r="N268" s="576">
        <f t="shared" si="107"/>
        <v>-3.5394327006500421E-2</v>
      </c>
      <c r="O268" s="574">
        <f t="shared" si="108"/>
        <v>700225.18752950418</v>
      </c>
      <c r="P268" s="577">
        <f t="shared" si="109"/>
        <v>1.5707948986828866</v>
      </c>
      <c r="Q268" s="586">
        <f t="shared" si="131"/>
        <v>28.260114219493332</v>
      </c>
      <c r="R268" s="587">
        <f t="shared" si="132"/>
        <v>1.5354033768738773</v>
      </c>
      <c r="S268" s="574">
        <f t="shared" si="110"/>
        <v>1.0018185670980106</v>
      </c>
      <c r="T268" s="577">
        <f t="shared" si="111"/>
        <v>6.0263013192834586E-2</v>
      </c>
      <c r="U268" s="578">
        <f t="shared" si="123"/>
        <v>0.92507291634387911</v>
      </c>
      <c r="V268" s="579">
        <f t="shared" si="124"/>
        <v>-0.4834692254650434</v>
      </c>
      <c r="W268" s="580">
        <f t="shared" si="112"/>
        <v>-12.418995041385871</v>
      </c>
      <c r="X268" s="581">
        <f t="shared" si="113"/>
        <v>-122.67105738826814</v>
      </c>
      <c r="Y268" s="584">
        <f t="shared" si="114"/>
        <v>57.328942611731861</v>
      </c>
      <c r="AA268" s="147">
        <f t="shared" si="115"/>
        <v>16885.5</v>
      </c>
      <c r="AB268" s="147">
        <f t="shared" si="116"/>
        <v>285120110.25</v>
      </c>
      <c r="AD268" s="583">
        <f t="shared" si="117"/>
        <v>17.20839225977673</v>
      </c>
      <c r="AE268" s="584">
        <f t="shared" si="118"/>
        <v>-5.4806011531545602</v>
      </c>
      <c r="AG268" s="583">
        <f t="shared" si="119"/>
        <v>0.35284933547354908</v>
      </c>
      <c r="AH268" s="584">
        <f t="shared" si="120"/>
        <v>-61.788963884596484</v>
      </c>
      <c r="AJ268" s="147">
        <f t="shared" si="121"/>
        <v>0</v>
      </c>
      <c r="AK268" s="147">
        <f t="shared" si="133"/>
        <v>0</v>
      </c>
      <c r="AM268" s="147" t="str">
        <f t="shared" si="125"/>
        <v>0.246598689499737+0.657560997426464i</v>
      </c>
      <c r="AN268" s="147" t="str">
        <f t="shared" si="126"/>
        <v>0.717576846766397i</v>
      </c>
      <c r="AO268" s="147" t="str">
        <f t="shared" si="127"/>
        <v>0.916363174745142-0.343654746681112i</v>
      </c>
      <c r="AP268" s="147" t="str">
        <f t="shared" si="128"/>
        <v>0.125566885083377-0.109593499571077i</v>
      </c>
      <c r="AQ268" s="147" t="str">
        <f t="shared" si="129"/>
        <v>0.874433114916623+0.109593499571077i</v>
      </c>
      <c r="AR268" s="147" t="str">
        <f t="shared" si="130"/>
        <v>0.937885025297668-0.117545985352442i</v>
      </c>
    </row>
    <row r="269" spans="7:44">
      <c r="G269" s="585">
        <v>16982</v>
      </c>
      <c r="H269" s="573">
        <f t="shared" si="122"/>
        <v>16.981999999999999</v>
      </c>
      <c r="I269" s="574">
        <f t="shared" ref="I269:I332" si="134">SQRT(1+(G269/pole1)^2)</f>
        <v>47.976901176704018</v>
      </c>
      <c r="J269" s="575">
        <f t="shared" ref="J269:J332" si="135">ATAN(G269/pole1)</f>
        <v>1.5499514535899555</v>
      </c>
      <c r="K269" s="575">
        <f t="shared" ref="K269:K332" si="136">SQRT(1+(G269/Zero1)^2)</f>
        <v>1.0002754818296788</v>
      </c>
      <c r="L269" s="576">
        <f t="shared" ref="L269:L332" si="137">ATAN(G269/Zero1)</f>
        <v>2.34699212898783E-2</v>
      </c>
      <c r="M269" s="575">
        <f t="shared" ref="M269:M332" si="138">SQRT(1+(G269/z_RHP)^2)</f>
        <v>1.000633887717457</v>
      </c>
      <c r="N269" s="576">
        <f t="shared" ref="N269:N332" si="139">-ATAN(G269/z_RHP)</f>
        <v>-3.5596433916382633E-2</v>
      </c>
      <c r="O269" s="574">
        <f t="shared" ref="O269:O332" si="140">SQRT(1+(G269/Pole2)^2)</f>
        <v>704226.94824707008</v>
      </c>
      <c r="P269" s="577">
        <f t="shared" ref="P269:P332" si="141">ATAN(G269/Pole2)</f>
        <v>1.5707949067981151</v>
      </c>
      <c r="Q269" s="586">
        <f t="shared" si="131"/>
        <v>28.421418060390177</v>
      </c>
      <c r="R269" s="587">
        <f t="shared" si="132"/>
        <v>1.5356043303761513</v>
      </c>
      <c r="S269" s="574">
        <f t="shared" ref="S269:S332" si="142">SQRT(1+(G269/pole4)^2)</f>
        <v>1.0018393934430303</v>
      </c>
      <c r="T269" s="577">
        <f t="shared" ref="T269:T332" si="143">ATAN(G269/pole4)</f>
        <v>6.0606573701433998E-2</v>
      </c>
      <c r="U269" s="578">
        <f t="shared" si="123"/>
        <v>0.92430746972465405</v>
      </c>
      <c r="V269" s="579">
        <f t="shared" si="124"/>
        <v>-0.4860345585663276</v>
      </c>
      <c r="W269" s="580">
        <f t="shared" ref="W269:W332" si="144">20*LOG10(((K269*Q269*M269*U269)/(I269*O269*S269))*Adc)</f>
        <v>-12.475814458925951</v>
      </c>
      <c r="X269" s="581">
        <f t="shared" ref="X269:X332" si="145">((L269+R269+N269+V269)-(J269+P269+T269))*radconv</f>
        <v>-122.83697616975047</v>
      </c>
      <c r="Y269" s="584">
        <f t="shared" ref="Y269:Y332" si="146">IF(X269&gt;0,X269,X269+180)</f>
        <v>57.163023830249529</v>
      </c>
      <c r="AA269" s="147">
        <f t="shared" ref="AA269:AA332" si="147">IF(W269&lt;0,G269,1000000000)</f>
        <v>16982</v>
      </c>
      <c r="AB269" s="147">
        <f t="shared" ref="AB269:AB332" si="148">G269^2</f>
        <v>288388324</v>
      </c>
      <c r="AD269" s="583">
        <f t="shared" ref="AD269:AD332" si="149">20*LOG10((Q269/(O269*S269))*Aea)</f>
        <v>17.208150067505088</v>
      </c>
      <c r="AE269" s="584">
        <f t="shared" ref="AE269:AE332" si="150">(R269-(P269+T269))*radconv</f>
        <v>-5.4887723977236869</v>
      </c>
      <c r="AG269" s="583">
        <f t="shared" ref="AG269:AG332" si="151">20*LOG10((K269*M269/(I269*U269))*Acs*Am)</f>
        <v>0.31065224592657181</v>
      </c>
      <c r="AH269" s="584">
        <f t="shared" ref="AH269:AH332" si="152">(L269+N269-(J269+V269))*radconv</f>
        <v>-61.652745901676276</v>
      </c>
      <c r="AJ269" s="147">
        <f t="shared" ref="AJ269:AJ332" si="153">SUM((W270&lt;0)*(W269&gt;0))*G269</f>
        <v>0</v>
      </c>
      <c r="AK269" s="147">
        <f t="shared" si="133"/>
        <v>0</v>
      </c>
      <c r="AM269" s="147" t="str">
        <f t="shared" si="125"/>
        <v>0.249301625329411+0.660645101599139i</v>
      </c>
      <c r="AN269" s="147" t="str">
        <f t="shared" si="126"/>
        <v>0.721677771566548i</v>
      </c>
      <c r="AO269" s="147" t="str">
        <f t="shared" si="127"/>
        <v>0.91542947230462-0.34544728291721i</v>
      </c>
      <c r="AP269" s="147" t="str">
        <f t="shared" si="128"/>
        <v>0.125116395778432-0.11010751693319i</v>
      </c>
      <c r="AQ269" s="147" t="str">
        <f t="shared" si="129"/>
        <v>0.874883604221568+0.11010751693319i</v>
      </c>
      <c r="AR269" s="147" t="str">
        <f t="shared" si="130"/>
        <v>0.937280871501251-0.117960456604743i</v>
      </c>
    </row>
    <row r="270" spans="7:44">
      <c r="G270" s="585">
        <v>17081</v>
      </c>
      <c r="H270" s="573">
        <f t="shared" ref="H270:H333" si="154">G270/1000</f>
        <v>17.081</v>
      </c>
      <c r="I270" s="574">
        <f t="shared" si="134"/>
        <v>48.256471056625053</v>
      </c>
      <c r="J270" s="575">
        <f t="shared" si="135"/>
        <v>1.5500722339835817</v>
      </c>
      <c r="K270" s="575">
        <f t="shared" si="136"/>
        <v>1.0002787026972431</v>
      </c>
      <c r="L270" s="576">
        <f t="shared" si="137"/>
        <v>2.3606693258729092E-2</v>
      </c>
      <c r="M270" s="575">
        <f t="shared" si="138"/>
        <v>1.0006412976382073</v>
      </c>
      <c r="N270" s="576">
        <f t="shared" si="139"/>
        <v>-3.5803773733179861E-2</v>
      </c>
      <c r="O270" s="574">
        <f t="shared" si="140"/>
        <v>708332.38152208587</v>
      </c>
      <c r="P270" s="577">
        <f t="shared" si="141"/>
        <v>1.5707949150282936</v>
      </c>
      <c r="Q270" s="586">
        <f t="shared" si="131"/>
        <v>28.586901936342819</v>
      </c>
      <c r="R270" s="587">
        <f t="shared" si="132"/>
        <v>1.535808133239732</v>
      </c>
      <c r="S270" s="574">
        <f t="shared" si="142"/>
        <v>1.0018608822113431</v>
      </c>
      <c r="T270" s="577">
        <f t="shared" si="143"/>
        <v>6.0959019854981165E-2</v>
      </c>
      <c r="U270" s="578">
        <f t="shared" ref="U270:U333" si="155">IMABS(IMPRODUCT(AO270, AR270))</f>
        <v>0.92351952060971565</v>
      </c>
      <c r="V270" s="579">
        <f t="shared" ref="V270:V333" si="156">IMARGUMENT(IMPRODUCT(AO270, AR270))</f>
        <v>-0.48866325650915376</v>
      </c>
      <c r="W270" s="580">
        <f t="shared" si="144"/>
        <v>-12.533845594146889</v>
      </c>
      <c r="X270" s="581">
        <f t="shared" si="145"/>
        <v>-123.00707001906538</v>
      </c>
      <c r="Y270" s="584">
        <f t="shared" si="146"/>
        <v>56.992929980934619</v>
      </c>
      <c r="AA270" s="147">
        <f t="shared" si="147"/>
        <v>17081</v>
      </c>
      <c r="AB270" s="147">
        <f t="shared" si="148"/>
        <v>291760561</v>
      </c>
      <c r="AD270" s="583">
        <f t="shared" si="149"/>
        <v>17.207901620807743</v>
      </c>
      <c r="AE270" s="584">
        <f t="shared" si="150"/>
        <v>-5.4972895024559296</v>
      </c>
      <c r="AG270" s="583">
        <f t="shared" si="151"/>
        <v>0.26768488265450818</v>
      </c>
      <c r="AH270" s="584">
        <f t="shared" si="152"/>
        <v>-61.51309605043739</v>
      </c>
      <c r="AJ270" s="147">
        <f t="shared" si="153"/>
        <v>0</v>
      </c>
      <c r="AK270" s="147">
        <f t="shared" si="133"/>
        <v>0</v>
      </c>
      <c r="AM270" s="147" t="str">
        <f t="shared" ref="AM270:AM333" si="157">IMSUB(1,IMEXP(COMPLEX(0,-2*Pi*G270*Tsw)))</f>
        <v>0.252087704751632+0.663797558459142i</v>
      </c>
      <c r="AN270" s="147" t="str">
        <f t="shared" ref="AN270:AN333" si="158">COMPLEX(0, 2*Pi*G270*Tsw)</f>
        <v>0.725884937941833i</v>
      </c>
      <c r="AO270" s="147" t="str">
        <f t="shared" ref="AO270:AO333" si="159">IMDIV(AM270, AN270)</f>
        <v>0.914466637565545-0.347283283582656i</v>
      </c>
      <c r="AP270" s="147" t="str">
        <f t="shared" ref="AP270:AP333" si="160">IMDIV(IMEXP(COMPLEX(0,-2*Pi*G270*Tsw)),6)</f>
        <v>0.124652049208061-0.110632926409857i</v>
      </c>
      <c r="AQ270" s="147" t="str">
        <f t="shared" ref="AQ270:AQ333" si="161">IMSUB(1, AP270)</f>
        <v>0.875347950791939+0.110632926409857i</v>
      </c>
      <c r="AR270" s="147" t="str">
        <f t="shared" ref="AR270:AR333" si="162">IMDIV(0.833, AQ270)</f>
        <v>0.936659597287344-0.118381944236033i</v>
      </c>
    </row>
    <row r="271" spans="7:44">
      <c r="G271" s="585">
        <v>17180</v>
      </c>
      <c r="H271" s="573">
        <f t="shared" si="154"/>
        <v>17.18</v>
      </c>
      <c r="I271" s="574">
        <f t="shared" si="134"/>
        <v>48.536041632397122</v>
      </c>
      <c r="J271" s="575">
        <f t="shared" si="135"/>
        <v>1.5501916229739874</v>
      </c>
      <c r="K271" s="575">
        <f t="shared" si="136"/>
        <v>1.0002819422764719</v>
      </c>
      <c r="L271" s="576">
        <f t="shared" si="137"/>
        <v>2.3743464344220904E-2</v>
      </c>
      <c r="M271" s="575">
        <f t="shared" si="138"/>
        <v>1.0006487505756885</v>
      </c>
      <c r="N271" s="576">
        <f t="shared" si="139"/>
        <v>-3.601111047031267E-2</v>
      </c>
      <c r="O271" s="574">
        <f t="shared" si="140"/>
        <v>712437.81479710178</v>
      </c>
      <c r="P271" s="577">
        <f t="shared" si="141"/>
        <v>1.5707949231636193</v>
      </c>
      <c r="Q271" s="586">
        <f t="shared" si="131"/>
        <v>28.75238698600193</v>
      </c>
      <c r="R271" s="587">
        <f t="shared" si="132"/>
        <v>1.5360095901271074</v>
      </c>
      <c r="S271" s="574">
        <f t="shared" si="142"/>
        <v>1.0018824954237548</v>
      </c>
      <c r="T271" s="577">
        <f t="shared" si="143"/>
        <v>6.1311450845943881E-2</v>
      </c>
      <c r="U271" s="578">
        <f t="shared" si="155"/>
        <v>0.92272889003320924</v>
      </c>
      <c r="V271" s="579">
        <f t="shared" si="156"/>
        <v>-0.49128881293154042</v>
      </c>
      <c r="W271" s="580">
        <f t="shared" si="144"/>
        <v>-12.59161635198199</v>
      </c>
      <c r="X271" s="581">
        <f t="shared" si="145"/>
        <v>-123.17703756549517</v>
      </c>
      <c r="Y271" s="584">
        <f t="shared" si="146"/>
        <v>56.822962434504831</v>
      </c>
      <c r="AA271" s="147">
        <f t="shared" si="147"/>
        <v>17180</v>
      </c>
      <c r="AB271" s="147">
        <f t="shared" si="148"/>
        <v>295152400</v>
      </c>
      <c r="AD271" s="583">
        <f t="shared" si="149"/>
        <v>17.207653169552945</v>
      </c>
      <c r="AE271" s="584">
        <f t="shared" si="150"/>
        <v>-5.5059401475369638</v>
      </c>
      <c r="AG271" s="583">
        <f t="shared" si="151"/>
        <v>0.22504102972587964</v>
      </c>
      <c r="AH271" s="584">
        <f t="shared" si="152"/>
        <v>-61.373546347689903</v>
      </c>
      <c r="AJ271" s="147">
        <f t="shared" si="153"/>
        <v>0</v>
      </c>
      <c r="AK271" s="147">
        <f t="shared" si="133"/>
        <v>0</v>
      </c>
      <c r="AM271" s="147" t="str">
        <f t="shared" si="157"/>
        <v>0.254887022388115+0.666938265954467i</v>
      </c>
      <c r="AN271" s="147" t="str">
        <f t="shared" si="158"/>
        <v>0.730092104317118i</v>
      </c>
      <c r="AO271" s="147" t="str">
        <f t="shared" si="159"/>
        <v>0.91349880653521-0.349116256539331i</v>
      </c>
      <c r="AP271" s="147" t="str">
        <f t="shared" si="160"/>
        <v>0.124185496268647-0.111156377659078i</v>
      </c>
      <c r="AQ271" s="147" t="str">
        <f t="shared" si="161"/>
        <v>0.875814503731353+0.111156377659078i</v>
      </c>
      <c r="AR271" s="147" t="str">
        <f t="shared" si="162"/>
        <v>0.936036862167059-0.118799661926785i</v>
      </c>
    </row>
    <row r="272" spans="7:44">
      <c r="G272" s="585">
        <v>17279</v>
      </c>
      <c r="H272" s="573">
        <f t="shared" si="154"/>
        <v>17.279</v>
      </c>
      <c r="I272" s="574">
        <f t="shared" si="134"/>
        <v>48.815612892064671</v>
      </c>
      <c r="J272" s="575">
        <f t="shared" si="135"/>
        <v>1.5503096444638007</v>
      </c>
      <c r="K272" s="575">
        <f t="shared" si="136"/>
        <v>1.0002852005671832</v>
      </c>
      <c r="L272" s="576">
        <f t="shared" si="137"/>
        <v>2.3880234541245379E-2</v>
      </c>
      <c r="M272" s="575">
        <f t="shared" si="138"/>
        <v>1.000656246528939</v>
      </c>
      <c r="N272" s="576">
        <f t="shared" si="139"/>
        <v>-3.6218444110023881E-2</v>
      </c>
      <c r="O272" s="574">
        <f t="shared" si="140"/>
        <v>716543.2480721178</v>
      </c>
      <c r="P272" s="577">
        <f t="shared" si="141"/>
        <v>1.5707949312057221</v>
      </c>
      <c r="Q272" s="586">
        <f t="shared" si="131"/>
        <v>28.917873189217609</v>
      </c>
      <c r="R272" s="587">
        <f t="shared" si="132"/>
        <v>1.5362087412972241</v>
      </c>
      <c r="S272" s="574">
        <f t="shared" si="142"/>
        <v>1.0019042330722125</v>
      </c>
      <c r="T272" s="577">
        <f t="shared" si="143"/>
        <v>6.1663866587757042E-2</v>
      </c>
      <c r="U272" s="578">
        <f t="shared" si="155"/>
        <v>0.92193560315640322</v>
      </c>
      <c r="V272" s="579">
        <f t="shared" si="156"/>
        <v>-0.49391122052268743</v>
      </c>
      <c r="W272" s="580">
        <f t="shared" si="144"/>
        <v>-12.649129940065855</v>
      </c>
      <c r="X272" s="581">
        <f t="shared" si="145"/>
        <v>-123.34687744742266</v>
      </c>
      <c r="Y272" s="584">
        <f t="shared" si="146"/>
        <v>56.653122552577344</v>
      </c>
      <c r="AA272" s="147">
        <f t="shared" si="147"/>
        <v>17279</v>
      </c>
      <c r="AB272" s="147">
        <f t="shared" si="148"/>
        <v>298563841</v>
      </c>
      <c r="AD272" s="583">
        <f t="shared" si="149"/>
        <v>17.207404689445404</v>
      </c>
      <c r="AE272" s="584">
        <f t="shared" si="150"/>
        <v>-5.5147220214326413</v>
      </c>
      <c r="AG272" s="583">
        <f t="shared" si="151"/>
        <v>0.18271718117850155</v>
      </c>
      <c r="AH272" s="584">
        <f t="shared" si="152"/>
        <v>-61.234098581106785</v>
      </c>
      <c r="AJ272" s="147">
        <f t="shared" si="153"/>
        <v>0</v>
      </c>
      <c r="AK272" s="147">
        <f t="shared" si="133"/>
        <v>0</v>
      </c>
      <c r="AM272" s="147" t="str">
        <f t="shared" si="157"/>
        <v>0.257699528690314+0.670067168493889i</v>
      </c>
      <c r="AN272" s="147" t="str">
        <f t="shared" si="158"/>
        <v>0.734299270692403i</v>
      </c>
      <c r="AO272" s="147" t="str">
        <f t="shared" si="159"/>
        <v>0.912525989385844-0.350946186351673i</v>
      </c>
      <c r="AP272" s="147" t="str">
        <f t="shared" si="160"/>
        <v>0.123716745218281-0.111677861415648i</v>
      </c>
      <c r="AQ272" s="147" t="str">
        <f t="shared" si="161"/>
        <v>0.876283254781719+0.111677861415648i</v>
      </c>
      <c r="AR272" s="147" t="str">
        <f t="shared" si="162"/>
        <v>0.935412692928441-0.119213608747234i</v>
      </c>
    </row>
    <row r="273" spans="7:44">
      <c r="G273" s="585">
        <v>17378</v>
      </c>
      <c r="H273" s="573">
        <f t="shared" si="154"/>
        <v>17.378</v>
      </c>
      <c r="I273" s="574">
        <f t="shared" si="134"/>
        <v>49.095184823944415</v>
      </c>
      <c r="J273" s="575">
        <f t="shared" si="135"/>
        <v>1.5504263218113521</v>
      </c>
      <c r="K273" s="575">
        <f t="shared" si="136"/>
        <v>1.000288477569194</v>
      </c>
      <c r="L273" s="576">
        <f t="shared" si="137"/>
        <v>2.4017003844694355E-2</v>
      </c>
      <c r="M273" s="575">
        <f t="shared" si="138"/>
        <v>1.0006637854969926</v>
      </c>
      <c r="N273" s="576">
        <f t="shared" si="139"/>
        <v>-3.6425774634557893E-2</v>
      </c>
      <c r="O273" s="574">
        <f t="shared" si="140"/>
        <v>720648.68134713382</v>
      </c>
      <c r="P273" s="577">
        <f t="shared" si="141"/>
        <v>1.5707949391561957</v>
      </c>
      <c r="Q273" s="586">
        <f t="shared" si="131"/>
        <v>29.083360526298414</v>
      </c>
      <c r="R273" s="587">
        <f t="shared" si="132"/>
        <v>1.5364056260934589</v>
      </c>
      <c r="S273" s="574">
        <f t="shared" si="142"/>
        <v>1.0019260951486166</v>
      </c>
      <c r="T273" s="577">
        <f t="shared" si="143"/>
        <v>6.2016266993878182E-2</v>
      </c>
      <c r="U273" s="578">
        <f t="shared" si="155"/>
        <v>0.92113968510477628</v>
      </c>
      <c r="V273" s="579">
        <f t="shared" si="156"/>
        <v>-0.4965304721068835</v>
      </c>
      <c r="W273" s="580">
        <f t="shared" si="144"/>
        <v>-12.706389508099816</v>
      </c>
      <c r="X273" s="581">
        <f t="shared" si="145"/>
        <v>-123.51658833224241</v>
      </c>
      <c r="Y273" s="584">
        <f t="shared" si="146"/>
        <v>56.483411667757593</v>
      </c>
      <c r="AA273" s="147">
        <f t="shared" si="147"/>
        <v>17378</v>
      </c>
      <c r="AB273" s="147">
        <f t="shared" si="148"/>
        <v>301994884</v>
      </c>
      <c r="AD273" s="583">
        <f t="shared" si="149"/>
        <v>17.207156156883837</v>
      </c>
      <c r="AE273" s="584">
        <f t="shared" si="150"/>
        <v>-5.5236328650662916</v>
      </c>
      <c r="AG273" s="583">
        <f t="shared" si="151"/>
        <v>0.14070988826866848</v>
      </c>
      <c r="AH273" s="584">
        <f t="shared" si="152"/>
        <v>-61.094754499435105</v>
      </c>
      <c r="AJ273" s="147">
        <f t="shared" si="153"/>
        <v>0</v>
      </c>
      <c r="AK273" s="147">
        <f t="shared" si="133"/>
        <v>0</v>
      </c>
      <c r="AM273" s="147" t="str">
        <f t="shared" si="157"/>
        <v>0.26052517387624+0.673184210695137i</v>
      </c>
      <c r="AN273" s="147" t="str">
        <f t="shared" si="158"/>
        <v>0.738506437067688i</v>
      </c>
      <c r="AO273" s="147" t="str">
        <f t="shared" si="159"/>
        <v>0.911548196340821-0.352773057619756i</v>
      </c>
      <c r="AP273" s="147" t="str">
        <f t="shared" si="160"/>
        <v>0.12324580435396-0.112197368449189i</v>
      </c>
      <c r="AQ273" s="147" t="str">
        <f t="shared" si="161"/>
        <v>0.87675419564604+0.112197368449189i</v>
      </c>
      <c r="AR273" s="147" t="str">
        <f t="shared" si="162"/>
        <v>0.93478711627858-0.119623783983584i</v>
      </c>
    </row>
    <row r="274" spans="7:44">
      <c r="G274" s="585">
        <v>17479.25</v>
      </c>
      <c r="H274" s="573">
        <f t="shared" si="154"/>
        <v>17.47925</v>
      </c>
      <c r="I274" s="574">
        <f t="shared" si="134"/>
        <v>49.381111346770162</v>
      </c>
      <c r="J274" s="575">
        <f t="shared" si="135"/>
        <v>1.5505442843938018</v>
      </c>
      <c r="K274" s="575">
        <f t="shared" si="136"/>
        <v>1.0002918484023491</v>
      </c>
      <c r="L274" s="576">
        <f t="shared" si="137"/>
        <v>2.4156880611811007E-2</v>
      </c>
      <c r="M274" s="575">
        <f t="shared" si="138"/>
        <v>1.0006715402965418</v>
      </c>
      <c r="N274" s="576">
        <f t="shared" si="139"/>
        <v>-3.6637813975783806E-2</v>
      </c>
      <c r="O274" s="574">
        <f t="shared" si="140"/>
        <v>724847.41992385476</v>
      </c>
      <c r="P274" s="577">
        <f t="shared" si="141"/>
        <v>1.5707949471942075</v>
      </c>
      <c r="Q274" s="586">
        <f t="shared" si="131"/>
        <v>29.252610091979193</v>
      </c>
      <c r="R274" s="587">
        <f t="shared" si="132"/>
        <v>1.5366046813929064</v>
      </c>
      <c r="S274" s="574">
        <f t="shared" si="142"/>
        <v>1.0019485827838484</v>
      </c>
      <c r="T274" s="577">
        <f t="shared" si="143"/>
        <v>6.2376660547508678E-2</v>
      </c>
      <c r="U274" s="578">
        <f t="shared" si="155"/>
        <v>0.92032298259917933</v>
      </c>
      <c r="V274" s="579">
        <f t="shared" si="156"/>
        <v>-0.49920598038573294</v>
      </c>
      <c r="W274" s="580">
        <f t="shared" si="144"/>
        <v>-12.764690907776735</v>
      </c>
      <c r="X274" s="581">
        <f t="shared" si="145"/>
        <v>-123.69002149550388</v>
      </c>
      <c r="Y274" s="584">
        <f t="shared" si="146"/>
        <v>56.309978504496115</v>
      </c>
      <c r="AA274" s="147">
        <f t="shared" si="147"/>
        <v>17479.25</v>
      </c>
      <c r="AB274" s="147">
        <f t="shared" si="148"/>
        <v>305524180.5625</v>
      </c>
      <c r="AD274" s="583">
        <f t="shared" si="149"/>
        <v>17.206901897704917</v>
      </c>
      <c r="AE274" s="584">
        <f t="shared" si="150"/>
        <v>-5.5328773266597002</v>
      </c>
      <c r="AG274" s="583">
        <f t="shared" si="151"/>
        <v>9.8071777603906118E-2</v>
      </c>
      <c r="AH274" s="584">
        <f t="shared" si="152"/>
        <v>-60.952352535892096</v>
      </c>
      <c r="AJ274" s="147">
        <f t="shared" si="153"/>
        <v>0</v>
      </c>
      <c r="AK274" s="147">
        <f t="shared" si="133"/>
        <v>0</v>
      </c>
      <c r="AM274" s="147" t="str">
        <f t="shared" si="157"/>
        <v>0.263428576338668+0.67635976953506i</v>
      </c>
      <c r="AN274" s="147" t="str">
        <f t="shared" si="158"/>
        <v>0.742809220860593i</v>
      </c>
      <c r="AO274" s="147" t="str">
        <f t="shared" si="159"/>
        <v>0.910543044621139-0.35463826907462i</v>
      </c>
      <c r="AP274" s="147" t="str">
        <f t="shared" si="160"/>
        <v>0.122761903943555-0.112726628255843i</v>
      </c>
      <c r="AQ274" s="147" t="str">
        <f t="shared" si="161"/>
        <v>0.877238096056445+0.112726628255843i</v>
      </c>
      <c r="AR274" s="147" t="str">
        <f t="shared" si="162"/>
        <v>0.934145893969897-0.120039379730142i</v>
      </c>
    </row>
    <row r="275" spans="7:44">
      <c r="G275" s="585">
        <v>17580.5</v>
      </c>
      <c r="H275" s="573">
        <f t="shared" si="154"/>
        <v>17.580500000000001</v>
      </c>
      <c r="I275" s="574">
        <f t="shared" si="134"/>
        <v>49.667038548830867</v>
      </c>
      <c r="J275" s="575">
        <f t="shared" si="135"/>
        <v>1.5506608887848947</v>
      </c>
      <c r="K275" s="575">
        <f t="shared" si="136"/>
        <v>1.000295238806592</v>
      </c>
      <c r="L275" s="576">
        <f t="shared" si="137"/>
        <v>2.4296756433466758E-2</v>
      </c>
      <c r="M275" s="575">
        <f t="shared" si="138"/>
        <v>1.0006793400862675</v>
      </c>
      <c r="N275" s="576">
        <f t="shared" si="139"/>
        <v>-3.6849850021063862E-2</v>
      </c>
      <c r="O275" s="574">
        <f t="shared" si="140"/>
        <v>729046.15850057581</v>
      </c>
      <c r="P275" s="577">
        <f t="shared" si="141"/>
        <v>1.5707949551396341</v>
      </c>
      <c r="Q275" s="586">
        <f t="shared" si="131"/>
        <v>29.42186080340127</v>
      </c>
      <c r="R275" s="587">
        <f t="shared" si="132"/>
        <v>1.5368014465491389</v>
      </c>
      <c r="S275" s="574">
        <f t="shared" si="142"/>
        <v>1.0019712005498311</v>
      </c>
      <c r="T275" s="577">
        <f t="shared" si="143"/>
        <v>6.2737037877422838E-2</v>
      </c>
      <c r="U275" s="578">
        <f t="shared" si="155"/>
        <v>0.91950358099755181</v>
      </c>
      <c r="V275" s="579">
        <f t="shared" si="156"/>
        <v>-0.50187817282158576</v>
      </c>
      <c r="W275" s="580">
        <f t="shared" si="144"/>
        <v>-12.82273309389687</v>
      </c>
      <c r="X275" s="581">
        <f t="shared" si="145"/>
        <v>-123.86331700233607</v>
      </c>
      <c r="Y275" s="584">
        <f t="shared" si="146"/>
        <v>56.136682997663925</v>
      </c>
      <c r="AA275" s="147">
        <f t="shared" si="147"/>
        <v>17580.5</v>
      </c>
      <c r="AB275" s="147">
        <f t="shared" si="148"/>
        <v>309073980.25</v>
      </c>
      <c r="AD275" s="583">
        <f t="shared" si="149"/>
        <v>17.206647535848983</v>
      </c>
      <c r="AE275" s="584">
        <f t="shared" si="150"/>
        <v>-5.5422520689387405</v>
      </c>
      <c r="AG275" s="583">
        <f t="shared" si="151"/>
        <v>5.5757656116671134E-2</v>
      </c>
      <c r="AH275" s="584">
        <f t="shared" si="152"/>
        <v>-60.810062602853066</v>
      </c>
      <c r="AJ275" s="147">
        <f t="shared" si="153"/>
        <v>0</v>
      </c>
      <c r="AK275" s="147">
        <f t="shared" si="133"/>
        <v>0</v>
      </c>
      <c r="AM275" s="147" t="str">
        <f t="shared" si="157"/>
        <v>0.266345615625365+0.67952280630445i</v>
      </c>
      <c r="AN275" s="147" t="str">
        <f t="shared" si="158"/>
        <v>0.747112004653498i</v>
      </c>
      <c r="AO275" s="147" t="str">
        <f t="shared" si="159"/>
        <v>0.909532710051427-0.356500248913673i</v>
      </c>
      <c r="AP275" s="147" t="str">
        <f t="shared" si="160"/>
        <v>0.122275730729106-0.113253801050742i</v>
      </c>
      <c r="AQ275" s="147" t="str">
        <f t="shared" si="161"/>
        <v>0.877724269270894+0.113253801050742i</v>
      </c>
      <c r="AR275" s="147" t="str">
        <f t="shared" si="162"/>
        <v>0.933503255787359-0.120451029682685i</v>
      </c>
    </row>
    <row r="276" spans="7:44">
      <c r="G276" s="585">
        <v>17681.75</v>
      </c>
      <c r="H276" s="573">
        <f t="shared" si="154"/>
        <v>17.681750000000001</v>
      </c>
      <c r="I276" s="574">
        <f t="shared" si="134"/>
        <v>49.952966418462879</v>
      </c>
      <c r="J276" s="575">
        <f t="shared" si="135"/>
        <v>1.5507761583040571</v>
      </c>
      <c r="K276" s="575">
        <f t="shared" si="136"/>
        <v>1.0002986487817243</v>
      </c>
      <c r="L276" s="576">
        <f t="shared" si="137"/>
        <v>2.4436631304197848E-2</v>
      </c>
      <c r="M276" s="575">
        <f t="shared" si="138"/>
        <v>1.0006871848651178</v>
      </c>
      <c r="N276" s="576">
        <f t="shared" si="139"/>
        <v>-3.7061882751409397E-2</v>
      </c>
      <c r="O276" s="574">
        <f t="shared" si="140"/>
        <v>733244.89707729698</v>
      </c>
      <c r="P276" s="577">
        <f t="shared" si="141"/>
        <v>1.5707949629940656</v>
      </c>
      <c r="Q276" s="586">
        <f t="shared" si="131"/>
        <v>29.591112640904942</v>
      </c>
      <c r="R276" s="587">
        <f t="shared" si="132"/>
        <v>1.5369959608434796</v>
      </c>
      <c r="S276" s="574">
        <f t="shared" si="142"/>
        <v>1.0019939484377527</v>
      </c>
      <c r="T276" s="577">
        <f t="shared" si="143"/>
        <v>6.3097398891116777E-2</v>
      </c>
      <c r="U276" s="578">
        <f t="shared" si="155"/>
        <v>0.91868150705089791</v>
      </c>
      <c r="V276" s="579">
        <f t="shared" si="156"/>
        <v>-0.5045470421739896</v>
      </c>
      <c r="W276" s="580">
        <f t="shared" si="144"/>
        <v>-12.880519256351562</v>
      </c>
      <c r="X276" s="581">
        <f t="shared" si="145"/>
        <v>-124.03647351735847</v>
      </c>
      <c r="Y276" s="584">
        <f t="shared" si="146"/>
        <v>55.963526482641527</v>
      </c>
      <c r="AA276" s="147">
        <f t="shared" si="147"/>
        <v>17681.75</v>
      </c>
      <c r="AB276" s="147">
        <f t="shared" si="148"/>
        <v>312644283.0625</v>
      </c>
      <c r="AD276" s="583">
        <f t="shared" si="149"/>
        <v>17.206393048171464</v>
      </c>
      <c r="AE276" s="584">
        <f t="shared" si="150"/>
        <v>-5.5517548360404101</v>
      </c>
      <c r="AG276" s="583">
        <f t="shared" si="151"/>
        <v>1.3764011970761837E-2</v>
      </c>
      <c r="AH276" s="584">
        <f t="shared" si="152"/>
        <v>-60.667886450495175</v>
      </c>
      <c r="AJ276" s="147">
        <f t="shared" si="153"/>
        <v>0</v>
      </c>
      <c r="AK276" s="147">
        <f t="shared" si="133"/>
        <v>0</v>
      </c>
      <c r="AM276" s="147" t="str">
        <f t="shared" si="157"/>
        <v>0.269276237730498+0.682673262443099i</v>
      </c>
      <c r="AN276" s="147" t="str">
        <f t="shared" si="158"/>
        <v>0.751414788446403i</v>
      </c>
      <c r="AO276" s="147" t="str">
        <f t="shared" si="159"/>
        <v>0.908517203733199-0.358358980779768i</v>
      </c>
      <c r="AP276" s="147" t="str">
        <f t="shared" si="160"/>
        <v>0.121787293711584-0.11377887707385i</v>
      </c>
      <c r="AQ276" s="147" t="str">
        <f t="shared" si="161"/>
        <v>0.878212706288416+0.11377887707385i</v>
      </c>
      <c r="AR276" s="147" t="str">
        <f t="shared" si="162"/>
        <v>0.932859230026148-0.120858733767277i</v>
      </c>
    </row>
    <row r="277" spans="7:44">
      <c r="G277" s="585">
        <v>17783</v>
      </c>
      <c r="H277" s="573">
        <f t="shared" si="154"/>
        <v>17.783000000000001</v>
      </c>
      <c r="I277" s="574">
        <f t="shared" si="134"/>
        <v>50.238894944268004</v>
      </c>
      <c r="J277" s="575">
        <f t="shared" si="135"/>
        <v>1.5508901157399799</v>
      </c>
      <c r="K277" s="575">
        <f t="shared" si="136"/>
        <v>1.0003020783275451</v>
      </c>
      <c r="L277" s="576">
        <f t="shared" si="137"/>
        <v>2.4576505218540726E-2</v>
      </c>
      <c r="M277" s="575">
        <f t="shared" si="138"/>
        <v>1.0006950746320349</v>
      </c>
      <c r="N277" s="576">
        <f t="shared" si="139"/>
        <v>-3.7273912147833509E-2</v>
      </c>
      <c r="O277" s="574">
        <f t="shared" si="140"/>
        <v>737443.63565401803</v>
      </c>
      <c r="P277" s="577">
        <f t="shared" si="141"/>
        <v>1.5707949707590565</v>
      </c>
      <c r="Q277" s="586">
        <f t="shared" si="131"/>
        <v>29.760365585277608</v>
      </c>
      <c r="R277" s="587">
        <f t="shared" si="132"/>
        <v>1.5371882626643412</v>
      </c>
      <c r="S277" s="574">
        <f t="shared" si="142"/>
        <v>1.0020168264387508</v>
      </c>
      <c r="T277" s="577">
        <f t="shared" si="143"/>
        <v>6.3457743496111912E-2</v>
      </c>
      <c r="U277" s="578">
        <f t="shared" si="155"/>
        <v>0.91785678746396782</v>
      </c>
      <c r="V277" s="579">
        <f t="shared" si="156"/>
        <v>-0.50721258134840974</v>
      </c>
      <c r="W277" s="580">
        <f t="shared" si="144"/>
        <v>-12.938052527291619</v>
      </c>
      <c r="X277" s="581">
        <f t="shared" si="145"/>
        <v>-124.20948973430141</v>
      </c>
      <c r="Y277" s="584">
        <f t="shared" si="146"/>
        <v>55.790510265698586</v>
      </c>
      <c r="AA277" s="147">
        <f t="shared" si="147"/>
        <v>17783</v>
      </c>
      <c r="AB277" s="147">
        <f t="shared" si="148"/>
        <v>316235089</v>
      </c>
      <c r="AD277" s="583">
        <f t="shared" si="149"/>
        <v>17.206138412189244</v>
      </c>
      <c r="AE277" s="584">
        <f t="shared" si="150"/>
        <v>-5.5613834232610957</v>
      </c>
      <c r="AG277" s="583">
        <f t="shared" si="151"/>
        <v>-2.7912609530912721E-2</v>
      </c>
      <c r="AH277" s="584">
        <f t="shared" si="152"/>
        <v>-60.525825790226286</v>
      </c>
      <c r="AJ277" s="147">
        <f t="shared" si="153"/>
        <v>0</v>
      </c>
      <c r="AK277" s="147">
        <f t="shared" si="133"/>
        <v>0</v>
      </c>
      <c r="AM277" s="147" t="str">
        <f t="shared" si="157"/>
        <v>0.272220388396765+0.685811079623715i</v>
      </c>
      <c r="AN277" s="147" t="str">
        <f t="shared" si="158"/>
        <v>0.755717572239308i</v>
      </c>
      <c r="AO277" s="147" t="str">
        <f t="shared" si="159"/>
        <v>0.907496536823341-0.360214448355533i</v>
      </c>
      <c r="AP277" s="147" t="str">
        <f t="shared" si="160"/>
        <v>0.121296601933872-0.114301846603952i</v>
      </c>
      <c r="AQ277" s="147" t="str">
        <f t="shared" si="161"/>
        <v>0.878703398066128+0.114301846603952i</v>
      </c>
      <c r="AR277" s="147" t="str">
        <f t="shared" si="162"/>
        <v>0.932213844885028-0.12126249213857i</v>
      </c>
    </row>
    <row r="278" spans="7:44">
      <c r="G278" s="585">
        <v>17886.5</v>
      </c>
      <c r="H278" s="573">
        <f t="shared" si="154"/>
        <v>17.886500000000002</v>
      </c>
      <c r="I278" s="574">
        <f t="shared" si="134"/>
        <v>50.531178103922727</v>
      </c>
      <c r="J278" s="575">
        <f t="shared" si="135"/>
        <v>1.551005272608559</v>
      </c>
      <c r="K278" s="575">
        <f t="shared" si="136"/>
        <v>1.0003056043131633</v>
      </c>
      <c r="L278" s="576">
        <f t="shared" si="137"/>
        <v>2.4719486447898651E-2</v>
      </c>
      <c r="M278" s="575">
        <f t="shared" si="138"/>
        <v>1.0007031862247744</v>
      </c>
      <c r="N278" s="576">
        <f t="shared" si="139"/>
        <v>-3.7490649842979291E-2</v>
      </c>
      <c r="O278" s="574">
        <f t="shared" si="140"/>
        <v>741735.6795324441</v>
      </c>
      <c r="P278" s="577">
        <f t="shared" si="141"/>
        <v>1.5707949786057402</v>
      </c>
      <c r="Q278" s="586">
        <f t="shared" si="131"/>
        <v>29.933380830679784</v>
      </c>
      <c r="R278" s="587">
        <f t="shared" si="132"/>
        <v>1.5373825901531473</v>
      </c>
      <c r="S278" s="574">
        <f t="shared" si="142"/>
        <v>1.002040347312797</v>
      </c>
      <c r="T278" s="577">
        <f t="shared" si="143"/>
        <v>6.3826078703023495E-2</v>
      </c>
      <c r="U278" s="578">
        <f t="shared" si="155"/>
        <v>0.91701103404925788</v>
      </c>
      <c r="V278" s="579">
        <f t="shared" si="156"/>
        <v>-0.50993390548567585</v>
      </c>
      <c r="W278" s="580">
        <f t="shared" si="144"/>
        <v>-12.996606133938986</v>
      </c>
      <c r="X278" s="581">
        <f t="shared" si="145"/>
        <v>-124.38620441644072</v>
      </c>
      <c r="Y278" s="584">
        <f t="shared" si="146"/>
        <v>55.613795583559281</v>
      </c>
      <c r="AA278" s="147">
        <f t="shared" si="147"/>
        <v>17886.5</v>
      </c>
      <c r="AB278" s="147">
        <f t="shared" si="148"/>
        <v>319926882.25</v>
      </c>
      <c r="AD278" s="583">
        <f t="shared" si="149"/>
        <v>17.205877941603614</v>
      </c>
      <c r="AE278" s="584">
        <f t="shared" si="150"/>
        <v>-5.5713537807045039</v>
      </c>
      <c r="AG278" s="583">
        <f t="shared" si="151"/>
        <v>-7.0191248514854074E-2</v>
      </c>
      <c r="AH278" s="584">
        <f t="shared" si="152"/>
        <v>-60.380729339061027</v>
      </c>
      <c r="AJ278" s="147">
        <f t="shared" si="153"/>
        <v>0</v>
      </c>
      <c r="AK278" s="147">
        <f t="shared" si="133"/>
        <v>0</v>
      </c>
      <c r="AM278" s="147" t="str">
        <f t="shared" si="157"/>
        <v>0.275243890730034+0.68900550221015i</v>
      </c>
      <c r="AN278" s="147" t="str">
        <f t="shared" si="158"/>
        <v>0.760115973449833i</v>
      </c>
      <c r="AO278" s="147" t="str">
        <f t="shared" si="159"/>
        <v>0.906447866215804-0.362107757689689i</v>
      </c>
      <c r="AP278" s="147" t="str">
        <f t="shared" si="160"/>
        <v>0.120792684878328-0.114834250368358i</v>
      </c>
      <c r="AQ278" s="147" t="str">
        <f t="shared" si="161"/>
        <v>0.879207315121672+0.114834250368358i</v>
      </c>
      <c r="AR278" s="147" t="str">
        <f t="shared" si="162"/>
        <v>0.931552742082288-0.12167114510507i</v>
      </c>
    </row>
    <row r="279" spans="7:44">
      <c r="G279" s="585">
        <v>17990</v>
      </c>
      <c r="H279" s="573">
        <f t="shared" si="154"/>
        <v>17.989999999999998</v>
      </c>
      <c r="I279" s="574">
        <f t="shared" si="134"/>
        <v>50.823461925969248</v>
      </c>
      <c r="J279" s="575">
        <f t="shared" si="135"/>
        <v>1.5511191049529747</v>
      </c>
      <c r="K279" s="575">
        <f t="shared" si="136"/>
        <v>1.0003091507485165</v>
      </c>
      <c r="L279" s="576">
        <f t="shared" si="137"/>
        <v>2.4862466666345649E-2</v>
      </c>
      <c r="M279" s="575">
        <f t="shared" si="138"/>
        <v>1.0007113448250113</v>
      </c>
      <c r="N279" s="576">
        <f t="shared" si="139"/>
        <v>-3.7707384014267584E-2</v>
      </c>
      <c r="O279" s="574">
        <f t="shared" si="140"/>
        <v>746027.7234108703</v>
      </c>
      <c r="P279" s="577">
        <f t="shared" si="141"/>
        <v>1.5707949863621371</v>
      </c>
      <c r="Q279" s="586">
        <f t="shared" ref="Q279:Q342" si="163">SQRT(1+(G279/Zero2)^2)</f>
        <v>30.10639719346926</v>
      </c>
      <c r="R279" s="587">
        <f t="shared" ref="R279:R342" si="164">ATAN(G279/Zero2)</f>
        <v>1.5375746841148441</v>
      </c>
      <c r="S279" s="574">
        <f t="shared" si="142"/>
        <v>1.002064004128091</v>
      </c>
      <c r="T279" s="577">
        <f t="shared" si="143"/>
        <v>6.4194396568523063E-2</v>
      </c>
      <c r="U279" s="578">
        <f t="shared" si="155"/>
        <v>0.91616257237814458</v>
      </c>
      <c r="V279" s="579">
        <f t="shared" si="156"/>
        <v>-0.51265173526536778</v>
      </c>
      <c r="W279" s="580">
        <f t="shared" si="144"/>
        <v>-13.054901924160898</v>
      </c>
      <c r="X279" s="581">
        <f t="shared" si="145"/>
        <v>-124.56276982592712</v>
      </c>
      <c r="Y279" s="584">
        <f t="shared" si="146"/>
        <v>55.43723017407288</v>
      </c>
      <c r="AA279" s="147">
        <f t="shared" si="147"/>
        <v>17990</v>
      </c>
      <c r="AB279" s="147">
        <f t="shared" si="148"/>
        <v>323640100</v>
      </c>
      <c r="AD279" s="583">
        <f t="shared" si="149"/>
        <v>17.205617270559355</v>
      </c>
      <c r="AE279" s="584">
        <f t="shared" si="150"/>
        <v>-5.5814511110620524</v>
      </c>
      <c r="AG279" s="583">
        <f t="shared" si="151"/>
        <v>-0.1121457413125149</v>
      </c>
      <c r="AH279" s="584">
        <f t="shared" si="152"/>
        <v>-60.235757066211363</v>
      </c>
      <c r="AJ279" s="147">
        <f t="shared" si="153"/>
        <v>0</v>
      </c>
      <c r="AK279" s="147">
        <f t="shared" ref="AK279:AK342" si="165">IF(AJ279&gt;0,Y279,0)</f>
        <v>0</v>
      </c>
      <c r="AM279" s="147" t="str">
        <f t="shared" si="157"/>
        <v>0.27828141412398+0.692186595363648i</v>
      </c>
      <c r="AN279" s="147" t="str">
        <f t="shared" si="158"/>
        <v>0.764514374660358i</v>
      </c>
      <c r="AO279" s="147" t="str">
        <f t="shared" si="159"/>
        <v>0.905393826860558-0.363997621689728i</v>
      </c>
      <c r="AP279" s="147" t="str">
        <f t="shared" si="160"/>
        <v>0.120286430979337-0.115364432560608i</v>
      </c>
      <c r="AQ279" s="147" t="str">
        <f t="shared" si="161"/>
        <v>0.879713569020663+0.115364432560608i</v>
      </c>
      <c r="AR279" s="147" t="str">
        <f t="shared" si="162"/>
        <v>0.930890278081809-0.122075676093808i</v>
      </c>
    </row>
    <row r="280" spans="7:44">
      <c r="G280" s="585">
        <v>18093.5</v>
      </c>
      <c r="H280" s="573">
        <f t="shared" si="154"/>
        <v>18.093499999999999</v>
      </c>
      <c r="I280" s="574">
        <f t="shared" si="134"/>
        <v>51.115746399044745</v>
      </c>
      <c r="J280" s="575">
        <f t="shared" si="135"/>
        <v>1.5512316354914994</v>
      </c>
      <c r="K280" s="575">
        <f t="shared" si="136"/>
        <v>1.0003127176333877</v>
      </c>
      <c r="L280" s="576">
        <f t="shared" si="137"/>
        <v>2.5005445868046518E-2</v>
      </c>
      <c r="M280" s="575">
        <f t="shared" si="138"/>
        <v>1.0007195504315962</v>
      </c>
      <c r="N280" s="576">
        <f t="shared" si="139"/>
        <v>-3.7924114641423187E-2</v>
      </c>
      <c r="O280" s="574">
        <f t="shared" si="140"/>
        <v>750319.76728929637</v>
      </c>
      <c r="P280" s="577">
        <f t="shared" si="141"/>
        <v>1.5707949940297963</v>
      </c>
      <c r="Q280" s="586">
        <f t="shared" si="163"/>
        <v>30.279414654491802</v>
      </c>
      <c r="R280" s="587">
        <f t="shared" si="164"/>
        <v>1.5377645828224495</v>
      </c>
      <c r="S280" s="574">
        <f t="shared" si="142"/>
        <v>1.0020877968750046</v>
      </c>
      <c r="T280" s="577">
        <f t="shared" si="143"/>
        <v>6.4562696993911775E-2</v>
      </c>
      <c r="U280" s="578">
        <f t="shared" si="155"/>
        <v>0.91531143081436506</v>
      </c>
      <c r="V280" s="579">
        <f t="shared" si="156"/>
        <v>-0.51536606357881765</v>
      </c>
      <c r="W280" s="580">
        <f t="shared" si="144"/>
        <v>-13.112943065022737</v>
      </c>
      <c r="X280" s="581">
        <f t="shared" si="145"/>
        <v>-124.73918465784905</v>
      </c>
      <c r="Y280" s="584">
        <f t="shared" si="146"/>
        <v>55.260815342150948</v>
      </c>
      <c r="AA280" s="147">
        <f t="shared" si="147"/>
        <v>18093.5</v>
      </c>
      <c r="AB280" s="147">
        <f t="shared" si="148"/>
        <v>327374742.25</v>
      </c>
      <c r="AD280" s="583">
        <f t="shared" si="149"/>
        <v>17.205356377041749</v>
      </c>
      <c r="AE280" s="584">
        <f t="shared" si="150"/>
        <v>-5.5916732158851072</v>
      </c>
      <c r="AG280" s="583">
        <f t="shared" si="151"/>
        <v>-0.1537796011924441</v>
      </c>
      <c r="AH280" s="584">
        <f t="shared" si="152"/>
        <v>-60.090910679807749</v>
      </c>
      <c r="AJ280" s="147">
        <f t="shared" si="153"/>
        <v>0</v>
      </c>
      <c r="AK280" s="147">
        <f t="shared" si="165"/>
        <v>0</v>
      </c>
      <c r="AM280" s="147" t="str">
        <f t="shared" si="157"/>
        <v>0.281332899814976+0.695354297543093i</v>
      </c>
      <c r="AN280" s="147" t="str">
        <f t="shared" si="158"/>
        <v>0.768912775870883i</v>
      </c>
      <c r="AO280" s="147" t="str">
        <f t="shared" si="159"/>
        <v>0.904334430853387-0.365884023056235i</v>
      </c>
      <c r="AP280" s="147" t="str">
        <f t="shared" si="160"/>
        <v>0.119777850030837-0.115892382923849i</v>
      </c>
      <c r="AQ280" s="147" t="str">
        <f t="shared" si="161"/>
        <v>0.880222149969163+0.115892382923849i</v>
      </c>
      <c r="AR280" s="147" t="str">
        <f t="shared" si="162"/>
        <v>0.93022648267967-0.122476085997602i</v>
      </c>
    </row>
    <row r="281" spans="7:44">
      <c r="G281" s="585">
        <v>18197</v>
      </c>
      <c r="H281" s="573">
        <f t="shared" si="154"/>
        <v>18.196999999999999</v>
      </c>
      <c r="I281" s="574">
        <f t="shared" si="134"/>
        <v>51.408031512044815</v>
      </c>
      <c r="J281" s="575">
        <f t="shared" si="135"/>
        <v>1.5513428864258716</v>
      </c>
      <c r="K281" s="575">
        <f t="shared" si="136"/>
        <v>1.0003163049675576</v>
      </c>
      <c r="L281" s="576">
        <f t="shared" si="137"/>
        <v>2.5148424047166294E-2</v>
      </c>
      <c r="M281" s="575">
        <f t="shared" si="138"/>
        <v>1.0007278030433724</v>
      </c>
      <c r="N281" s="576">
        <f t="shared" si="139"/>
        <v>-3.8140841704172944E-2</v>
      </c>
      <c r="O281" s="574">
        <f t="shared" si="140"/>
        <v>754611.81116772268</v>
      </c>
      <c r="P281" s="577">
        <f t="shared" si="141"/>
        <v>1.5707950016102319</v>
      </c>
      <c r="Q281" s="586">
        <f t="shared" si="163"/>
        <v>30.452433195028366</v>
      </c>
      <c r="R281" s="587">
        <f t="shared" si="164"/>
        <v>1.5379523236798156</v>
      </c>
      <c r="S281" s="574">
        <f t="shared" si="142"/>
        <v>1.0021117255438559</v>
      </c>
      <c r="T281" s="577">
        <f t="shared" si="143"/>
        <v>6.4930979880519088E-2</v>
      </c>
      <c r="U281" s="578">
        <f t="shared" si="155"/>
        <v>0.91445763766360477</v>
      </c>
      <c r="V281" s="579">
        <f t="shared" si="156"/>
        <v>-0.51807688347437919</v>
      </c>
      <c r="W281" s="580">
        <f t="shared" si="144"/>
        <v>-13.170732666157344</v>
      </c>
      <c r="X281" s="581">
        <f t="shared" si="145"/>
        <v>-124.91544763649568</v>
      </c>
      <c r="Y281" s="584">
        <f t="shared" si="146"/>
        <v>55.084552363504315</v>
      </c>
      <c r="AA281" s="147">
        <f t="shared" si="147"/>
        <v>18197</v>
      </c>
      <c r="AB281" s="147">
        <f t="shared" si="148"/>
        <v>331130809</v>
      </c>
      <c r="AD281" s="583">
        <f t="shared" si="149"/>
        <v>17.205095239665315</v>
      </c>
      <c r="AE281" s="584">
        <f t="shared" si="150"/>
        <v>-5.6020179465241515</v>
      </c>
      <c r="AG281" s="583">
        <f t="shared" si="151"/>
        <v>-0.19509628446484012</v>
      </c>
      <c r="AH281" s="584">
        <f t="shared" si="152"/>
        <v>-59.946191849388818</v>
      </c>
      <c r="AJ281" s="147">
        <f t="shared" si="153"/>
        <v>0</v>
      </c>
      <c r="AK281" s="147">
        <f t="shared" si="165"/>
        <v>0</v>
      </c>
      <c r="AM281" s="147" t="str">
        <f t="shared" si="157"/>
        <v>0.284398288769276+0.698508547466428i</v>
      </c>
      <c r="AN281" s="147" t="str">
        <f t="shared" si="158"/>
        <v>0.773311177081408i</v>
      </c>
      <c r="AO281" s="147" t="str">
        <f t="shared" si="159"/>
        <v>0.903269690349884-0.367766944534072i</v>
      </c>
      <c r="AP281" s="147" t="str">
        <f t="shared" si="160"/>
        <v>0.119266951871787-0.116418091244405i</v>
      </c>
      <c r="AQ281" s="147" t="str">
        <f t="shared" si="161"/>
        <v>0.880733048128213+0.116418091244405i</v>
      </c>
      <c r="AR281" s="147" t="str">
        <f t="shared" si="162"/>
        <v>0.929561385558511-0.122872375950031i</v>
      </c>
    </row>
    <row r="282" spans="7:44">
      <c r="G282" s="585">
        <v>18303</v>
      </c>
      <c r="H282" s="573">
        <f t="shared" si="154"/>
        <v>18.303000000000001</v>
      </c>
      <c r="I282" s="574">
        <f t="shared" si="134"/>
        <v>51.707377303887064</v>
      </c>
      <c r="J282" s="575">
        <f t="shared" si="135"/>
        <v>1.5514555209113279</v>
      </c>
      <c r="K282" s="575">
        <f t="shared" si="136"/>
        <v>1.0003200001482624</v>
      </c>
      <c r="L282" s="576">
        <f t="shared" si="137"/>
        <v>2.5294854739465928E-2</v>
      </c>
      <c r="M282" s="575">
        <f t="shared" si="138"/>
        <v>1.0007363037143728</v>
      </c>
      <c r="N282" s="576">
        <f t="shared" si="139"/>
        <v>-3.8362800004357683E-2</v>
      </c>
      <c r="O282" s="574">
        <f t="shared" si="140"/>
        <v>759007.52760359889</v>
      </c>
      <c r="P282" s="577">
        <f t="shared" si="141"/>
        <v>1.5707950092849068</v>
      </c>
      <c r="Q282" s="586">
        <f t="shared" si="163"/>
        <v>30.629632027192624</v>
      </c>
      <c r="R282" s="587">
        <f t="shared" si="164"/>
        <v>1.5381424008721734</v>
      </c>
      <c r="S282" s="574">
        <f t="shared" si="142"/>
        <v>1.0021363730760007</v>
      </c>
      <c r="T282" s="577">
        <f t="shared" si="143"/>
        <v>6.5308140206596157E-2</v>
      </c>
      <c r="U282" s="578">
        <f t="shared" si="155"/>
        <v>0.91358050257014745</v>
      </c>
      <c r="V282" s="579">
        <f t="shared" si="156"/>
        <v>-0.5208495384542895</v>
      </c>
      <c r="W282" s="580">
        <f t="shared" si="144"/>
        <v>-13.229660614694234</v>
      </c>
      <c r="X282" s="581">
        <f t="shared" si="145"/>
        <v>-125.09580947261604</v>
      </c>
      <c r="Y282" s="584">
        <f t="shared" si="146"/>
        <v>54.90419052738396</v>
      </c>
      <c r="AA282" s="147">
        <f t="shared" si="147"/>
        <v>18303</v>
      </c>
      <c r="AB282" s="147">
        <f t="shared" si="148"/>
        <v>334999809</v>
      </c>
      <c r="AD282" s="583">
        <f t="shared" si="149"/>
        <v>17.20482752015138</v>
      </c>
      <c r="AE282" s="584">
        <f t="shared" si="150"/>
        <v>-5.6127374602430846</v>
      </c>
      <c r="AG282" s="583">
        <f t="shared" si="151"/>
        <v>-0.23708574708211116</v>
      </c>
      <c r="AH282" s="584">
        <f t="shared" si="152"/>
        <v>-59.79811131463763</v>
      </c>
      <c r="AJ282" s="147">
        <f t="shared" si="153"/>
        <v>0</v>
      </c>
      <c r="AK282" s="147">
        <f t="shared" si="165"/>
        <v>0</v>
      </c>
      <c r="AM282" s="147" t="str">
        <f t="shared" si="157"/>
        <v>0.28755207003038+0.701724979662263i</v>
      </c>
      <c r="AN282" s="147" t="str">
        <f t="shared" si="158"/>
        <v>0.777815819867067i</v>
      </c>
      <c r="AO282" s="147" t="str">
        <f t="shared" si="159"/>
        <v>0.902173704543823-0.369691722237694i</v>
      </c>
      <c r="AP282" s="147" t="str">
        <f t="shared" si="160"/>
        <v>0.118741321661603-0.116954163277044i</v>
      </c>
      <c r="AQ282" s="147" t="str">
        <f t="shared" si="161"/>
        <v>0.881258678338397+0.116954163277044i</v>
      </c>
      <c r="AR282" s="147" t="str">
        <f t="shared" si="162"/>
        <v>0.928878904920149-0.123273969131817i</v>
      </c>
    </row>
    <row r="283" spans="7:44">
      <c r="G283" s="585">
        <v>18409</v>
      </c>
      <c r="H283" s="573">
        <f t="shared" si="154"/>
        <v>18.408999999999999</v>
      </c>
      <c r="I283" s="574">
        <f t="shared" si="134"/>
        <v>52.006723744164766</v>
      </c>
      <c r="J283" s="575">
        <f t="shared" si="135"/>
        <v>1.5515668587684459</v>
      </c>
      <c r="K283" s="575">
        <f t="shared" si="136"/>
        <v>1.0003237167776178</v>
      </c>
      <c r="L283" s="576">
        <f t="shared" si="137"/>
        <v>2.5441284346800298E-2</v>
      </c>
      <c r="M283" s="575">
        <f t="shared" si="138"/>
        <v>1.0007448536862955</v>
      </c>
      <c r="N283" s="576">
        <f t="shared" si="139"/>
        <v>-3.8584754522827468E-2</v>
      </c>
      <c r="O283" s="574">
        <f t="shared" si="140"/>
        <v>763403.24403947499</v>
      </c>
      <c r="P283" s="577">
        <f t="shared" si="141"/>
        <v>1.5707950168711993</v>
      </c>
      <c r="Q283" s="586">
        <f t="shared" si="163"/>
        <v>30.806831953254715</v>
      </c>
      <c r="R283" s="587">
        <f t="shared" si="164"/>
        <v>1.5383302914352197</v>
      </c>
      <c r="S283" s="574">
        <f t="shared" si="142"/>
        <v>1.0021611631549321</v>
      </c>
      <c r="T283" s="577">
        <f t="shared" si="143"/>
        <v>6.5685281926976799E-2</v>
      </c>
      <c r="U283" s="578">
        <f t="shared" si="155"/>
        <v>0.91270064614850932</v>
      </c>
      <c r="V283" s="579">
        <f t="shared" si="156"/>
        <v>-0.52361849922355097</v>
      </c>
      <c r="W283" s="580">
        <f t="shared" si="144"/>
        <v>-13.288331148231538</v>
      </c>
      <c r="X283" s="581">
        <f t="shared" si="145"/>
        <v>-125.27600941375273</v>
      </c>
      <c r="Y283" s="584">
        <f t="shared" si="146"/>
        <v>54.723990586247268</v>
      </c>
      <c r="AA283" s="147">
        <f t="shared" si="147"/>
        <v>18409</v>
      </c>
      <c r="AB283" s="147">
        <f t="shared" si="148"/>
        <v>338891281</v>
      </c>
      <c r="AD283" s="583">
        <f t="shared" si="149"/>
        <v>17.20455950138383</v>
      </c>
      <c r="AE283" s="584">
        <f t="shared" si="150"/>
        <v>-5.6235811875012356</v>
      </c>
      <c r="AG283" s="583">
        <f t="shared" si="151"/>
        <v>-0.27874968603656147</v>
      </c>
      <c r="AH283" s="584">
        <f t="shared" si="152"/>
        <v>-59.650167996721656</v>
      </c>
      <c r="AJ283" s="147">
        <f t="shared" si="153"/>
        <v>0</v>
      </c>
      <c r="AK283" s="147">
        <f t="shared" si="165"/>
        <v>0</v>
      </c>
      <c r="AM283" s="147" t="str">
        <f t="shared" si="157"/>
        <v>0.290720308122664+0.704927172614584i</v>
      </c>
      <c r="AN283" s="147" t="str">
        <f t="shared" si="158"/>
        <v>0.782320462652726i</v>
      </c>
      <c r="AO283" s="147" t="str">
        <f t="shared" si="159"/>
        <v>0.901072138934327-0.371612813420318i</v>
      </c>
      <c r="AP283" s="147" t="str">
        <f t="shared" si="160"/>
        <v>0.118213281979556-0.117487862102431i</v>
      </c>
      <c r="AQ283" s="147" t="str">
        <f t="shared" si="161"/>
        <v>0.881786718020444+0.117487862102431i</v>
      </c>
      <c r="AR283" s="147" t="str">
        <f t="shared" si="162"/>
        <v>0.928195121565004-0.123671244097884i</v>
      </c>
    </row>
    <row r="284" spans="7:44">
      <c r="G284" s="585">
        <v>18515</v>
      </c>
      <c r="H284" s="573">
        <f t="shared" si="154"/>
        <v>18.515000000000001</v>
      </c>
      <c r="I284" s="574">
        <f t="shared" si="134"/>
        <v>52.306070821744974</v>
      </c>
      <c r="J284" s="575">
        <f t="shared" si="135"/>
        <v>1.5516769222562112</v>
      </c>
      <c r="K284" s="575">
        <f t="shared" si="136"/>
        <v>1.0003274548553844</v>
      </c>
      <c r="L284" s="576">
        <f t="shared" si="137"/>
        <v>2.5587712862902151E-2</v>
      </c>
      <c r="M284" s="575">
        <f t="shared" si="138"/>
        <v>1.000753452957877</v>
      </c>
      <c r="N284" s="576">
        <f t="shared" si="139"/>
        <v>-3.8806705237810851E-2</v>
      </c>
      <c r="O284" s="574">
        <f t="shared" si="140"/>
        <v>767798.96047535131</v>
      </c>
      <c r="P284" s="577">
        <f t="shared" si="141"/>
        <v>1.5707950243706275</v>
      </c>
      <c r="Q284" s="586">
        <f t="shared" si="163"/>
        <v>30.984032954446395</v>
      </c>
      <c r="R284" s="587">
        <f t="shared" si="164"/>
        <v>1.5385160328722751</v>
      </c>
      <c r="S284" s="574">
        <f t="shared" si="142"/>
        <v>1.0021860957700719</v>
      </c>
      <c r="T284" s="577">
        <f t="shared" si="143"/>
        <v>6.6062404935759503E-2</v>
      </c>
      <c r="U284" s="578">
        <f t="shared" si="155"/>
        <v>0.91181809860408158</v>
      </c>
      <c r="V284" s="579">
        <f t="shared" si="156"/>
        <v>-0.52638375882265442</v>
      </c>
      <c r="W284" s="580">
        <f t="shared" si="144"/>
        <v>-13.346747428435808</v>
      </c>
      <c r="X284" s="581">
        <f t="shared" si="145"/>
        <v>-125.45604618085018</v>
      </c>
      <c r="Y284" s="584">
        <f t="shared" si="146"/>
        <v>54.54395381914982</v>
      </c>
      <c r="AA284" s="147">
        <f t="shared" si="147"/>
        <v>18515</v>
      </c>
      <c r="AB284" s="147">
        <f t="shared" si="148"/>
        <v>342805225</v>
      </c>
      <c r="AD284" s="583">
        <f t="shared" si="149"/>
        <v>17.204291162305982</v>
      </c>
      <c r="AE284" s="584">
        <f t="shared" si="150"/>
        <v>-5.6345469735358966</v>
      </c>
      <c r="AG284" s="583">
        <f t="shared" si="151"/>
        <v>-0.32009163667114782</v>
      </c>
      <c r="AH284" s="584">
        <f t="shared" si="152"/>
        <v>-59.502363568848999</v>
      </c>
      <c r="AJ284" s="147">
        <f t="shared" si="153"/>
        <v>0</v>
      </c>
      <c r="AK284" s="147">
        <f t="shared" si="165"/>
        <v>0</v>
      </c>
      <c r="AM284" s="147" t="str">
        <f t="shared" si="157"/>
        <v>0.293902938756962+0.70811506134522i</v>
      </c>
      <c r="AN284" s="147" t="str">
        <f t="shared" si="158"/>
        <v>0.786825105438384i</v>
      </c>
      <c r="AO284" s="147" t="str">
        <f t="shared" si="159"/>
        <v>0.899965006773252-0.373530199691852i</v>
      </c>
      <c r="AP284" s="147" t="str">
        <f t="shared" si="160"/>
        <v>0.117682843540506-0.11801917689087i</v>
      </c>
      <c r="AQ284" s="147" t="str">
        <f t="shared" si="161"/>
        <v>0.882317156459494+0.11801917689087i</v>
      </c>
      <c r="AR284" s="147" t="str">
        <f t="shared" si="162"/>
        <v>0.927510066996203-0.124064202836243i</v>
      </c>
    </row>
    <row r="285" spans="7:44">
      <c r="G285" s="585">
        <v>18621</v>
      </c>
      <c r="H285" s="573">
        <f t="shared" si="154"/>
        <v>18.620999999999999</v>
      </c>
      <c r="I285" s="574">
        <f t="shared" si="134"/>
        <v>52.605418525748121</v>
      </c>
      <c r="J285" s="575">
        <f t="shared" si="135"/>
        <v>1.551785733127081</v>
      </c>
      <c r="K285" s="575">
        <f t="shared" si="136"/>
        <v>1.0003312143813219</v>
      </c>
      <c r="L285" s="576">
        <f t="shared" si="137"/>
        <v>2.5734140281504524E-2</v>
      </c>
      <c r="M285" s="575">
        <f t="shared" si="138"/>
        <v>1.0007621015278465</v>
      </c>
      <c r="N285" s="576">
        <f t="shared" si="139"/>
        <v>-3.9028652127538643E-2</v>
      </c>
      <c r="O285" s="574">
        <f t="shared" si="140"/>
        <v>772194.67691122752</v>
      </c>
      <c r="P285" s="577">
        <f t="shared" si="141"/>
        <v>1.5707950317846746</v>
      </c>
      <c r="Q285" s="586">
        <f t="shared" si="163"/>
        <v>31.161235012426218</v>
      </c>
      <c r="R285" s="587">
        <f t="shared" si="164"/>
        <v>1.5386996618341917</v>
      </c>
      <c r="S285" s="574">
        <f t="shared" si="142"/>
        <v>1.0022111709107822</v>
      </c>
      <c r="T285" s="577">
        <f t="shared" si="143"/>
        <v>6.6439509127074609E-2</v>
      </c>
      <c r="U285" s="578">
        <f t="shared" si="155"/>
        <v>0.91093289007035794</v>
      </c>
      <c r="V285" s="579">
        <f t="shared" si="156"/>
        <v>-0.52914531046209756</v>
      </c>
      <c r="W285" s="580">
        <f t="shared" si="144"/>
        <v>-13.404912559420971</v>
      </c>
      <c r="X285" s="581">
        <f t="shared" si="145"/>
        <v>-125.63591852441422</v>
      </c>
      <c r="Y285" s="584">
        <f t="shared" si="146"/>
        <v>54.364081475585778</v>
      </c>
      <c r="AA285" s="147">
        <f t="shared" si="147"/>
        <v>18621</v>
      </c>
      <c r="AB285" s="147">
        <f t="shared" si="148"/>
        <v>346741641</v>
      </c>
      <c r="AD285" s="583">
        <f t="shared" si="149"/>
        <v>17.20402248246436</v>
      </c>
      <c r="AE285" s="584">
        <f t="shared" si="150"/>
        <v>-5.6456327124270409</v>
      </c>
      <c r="AG285" s="583">
        <f t="shared" si="151"/>
        <v>-0.36111507711198687</v>
      </c>
      <c r="AH285" s="584">
        <f t="shared" si="152"/>
        <v>-59.354699665465269</v>
      </c>
      <c r="AJ285" s="147">
        <f t="shared" si="153"/>
        <v>0</v>
      </c>
      <c r="AK285" s="147">
        <f t="shared" si="165"/>
        <v>0</v>
      </c>
      <c r="AM285" s="147" t="str">
        <f t="shared" si="157"/>
        <v>0.297099897352058+0.711288581166261i</v>
      </c>
      <c r="AN285" s="147" t="str">
        <f t="shared" si="158"/>
        <v>0.791329748224043i</v>
      </c>
      <c r="AO285" s="147" t="str">
        <f t="shared" si="159"/>
        <v>0.898852321377509-0.375443862711885i</v>
      </c>
      <c r="AP285" s="147" t="str">
        <f t="shared" si="160"/>
        <v>0.11715001710799-0.118548096861044i</v>
      </c>
      <c r="AQ285" s="147" t="str">
        <f t="shared" si="161"/>
        <v>0.88284998289201+0.118548096861044i</v>
      </c>
      <c r="AR285" s="147" t="str">
        <f t="shared" si="162"/>
        <v>0.92682377258357-0.124452847589617i</v>
      </c>
    </row>
    <row r="286" spans="7:44">
      <c r="G286" s="585">
        <v>18729.5</v>
      </c>
      <c r="H286" s="573">
        <f t="shared" si="154"/>
        <v>18.729500000000002</v>
      </c>
      <c r="I286" s="574">
        <f t="shared" si="134"/>
        <v>52.911826954770618</v>
      </c>
      <c r="J286" s="575">
        <f t="shared" si="135"/>
        <v>1.5518958352009591</v>
      </c>
      <c r="K286" s="575">
        <f t="shared" si="136"/>
        <v>1.000335084787987</v>
      </c>
      <c r="L286" s="576">
        <f t="shared" si="137"/>
        <v>2.5884020033788212E-2</v>
      </c>
      <c r="M286" s="575">
        <f t="shared" si="138"/>
        <v>1.0007710051283343</v>
      </c>
      <c r="N286" s="576">
        <f t="shared" si="139"/>
        <v>-3.9255829629355095E-2</v>
      </c>
      <c r="O286" s="574">
        <f t="shared" si="140"/>
        <v>776694.06590455386</v>
      </c>
      <c r="P286" s="577">
        <f t="shared" si="141"/>
        <v>1.5707950392866692</v>
      </c>
      <c r="Q286" s="586">
        <f t="shared" si="163"/>
        <v>31.342617439985396</v>
      </c>
      <c r="R286" s="587">
        <f t="shared" si="164"/>
        <v>1.5388854712578035</v>
      </c>
      <c r="S286" s="574">
        <f t="shared" si="142"/>
        <v>1.0022369850425428</v>
      </c>
      <c r="T286" s="577">
        <f t="shared" si="143"/>
        <v>6.6825487686279578E-2</v>
      </c>
      <c r="U286" s="578">
        <f t="shared" si="155"/>
        <v>0.91002407948442299</v>
      </c>
      <c r="V286" s="579">
        <f t="shared" si="156"/>
        <v>-0.53196814595853803</v>
      </c>
      <c r="W286" s="580">
        <f t="shared" si="144"/>
        <v>-13.464192586504968</v>
      </c>
      <c r="X286" s="581">
        <f t="shared" si="145"/>
        <v>-125.81986158028401</v>
      </c>
      <c r="Y286" s="584">
        <f t="shared" si="146"/>
        <v>54.180138419715988</v>
      </c>
      <c r="AA286" s="147">
        <f t="shared" si="147"/>
        <v>18729.5</v>
      </c>
      <c r="AB286" s="147">
        <f t="shared" si="148"/>
        <v>350794170.25</v>
      </c>
      <c r="AD286" s="583">
        <f t="shared" si="149"/>
        <v>17.203747092182727</v>
      </c>
      <c r="AE286" s="584">
        <f t="shared" si="150"/>
        <v>-5.6571019889310383</v>
      </c>
      <c r="AG286" s="583">
        <f t="shared" si="151"/>
        <v>-0.40277975643325503</v>
      </c>
      <c r="AH286" s="584">
        <f t="shared" si="152"/>
        <v>-59.203700324049898</v>
      </c>
      <c r="AJ286" s="147">
        <f t="shared" si="153"/>
        <v>0</v>
      </c>
      <c r="AK286" s="147">
        <f t="shared" si="165"/>
        <v>0</v>
      </c>
      <c r="AM286" s="147" t="str">
        <f t="shared" si="157"/>
        <v>0.300387027030207+0.714521999697957i</v>
      </c>
      <c r="AN286" s="147" t="str">
        <f t="shared" si="158"/>
        <v>0.795940632584835i</v>
      </c>
      <c r="AO286" s="147" t="str">
        <f t="shared" si="159"/>
        <v>0.897707656132004-0.377398784196622i</v>
      </c>
      <c r="AP286" s="147" t="str">
        <f t="shared" si="160"/>
        <v>0.116602162161632-0.11908699994966i</v>
      </c>
      <c r="AQ286" s="147" t="str">
        <f t="shared" si="161"/>
        <v>0.883397837838368+0.11908699994966i</v>
      </c>
      <c r="AR286" s="147" t="str">
        <f t="shared" si="162"/>
        <v>0.926120040532522-0.12484619329627i</v>
      </c>
    </row>
    <row r="287" spans="7:44">
      <c r="G287" s="585">
        <v>18838</v>
      </c>
      <c r="H287" s="573">
        <f t="shared" si="154"/>
        <v>18.838000000000001</v>
      </c>
      <c r="I287" s="574">
        <f t="shared" si="134"/>
        <v>53.218236017828886</v>
      </c>
      <c r="J287" s="575">
        <f t="shared" si="135"/>
        <v>1.5520046694297878</v>
      </c>
      <c r="K287" s="575">
        <f t="shared" si="136"/>
        <v>1.0003389776659455</v>
      </c>
      <c r="L287" s="576">
        <f t="shared" si="137"/>
        <v>2.6033898622907007E-2</v>
      </c>
      <c r="M287" s="575">
        <f t="shared" si="138"/>
        <v>1.0007799603773102</v>
      </c>
      <c r="N287" s="576">
        <f t="shared" si="139"/>
        <v>-3.94830030772046E-2</v>
      </c>
      <c r="O287" s="574">
        <f t="shared" si="140"/>
        <v>781193.45489788009</v>
      </c>
      <c r="P287" s="577">
        <f t="shared" si="141"/>
        <v>1.5707950467022465</v>
      </c>
      <c r="Q287" s="586">
        <f t="shared" si="163"/>
        <v>31.524000937200427</v>
      </c>
      <c r="R287" s="587">
        <f t="shared" si="164"/>
        <v>1.5390691424589138</v>
      </c>
      <c r="S287" s="574">
        <f t="shared" si="142"/>
        <v>1.002262948479312</v>
      </c>
      <c r="T287" s="577">
        <f t="shared" si="143"/>
        <v>6.7211446305575254E-2</v>
      </c>
      <c r="U287" s="578">
        <f t="shared" si="155"/>
        <v>0.90911254455938384</v>
      </c>
      <c r="V287" s="579">
        <f t="shared" si="156"/>
        <v>-0.53478708267661601</v>
      </c>
      <c r="W287" s="580">
        <f t="shared" si="144"/>
        <v>-13.523215880199649</v>
      </c>
      <c r="X287" s="581">
        <f t="shared" si="145"/>
        <v>-126.00362980850799</v>
      </c>
      <c r="Y287" s="584">
        <f t="shared" si="146"/>
        <v>53.996370191492005</v>
      </c>
      <c r="AA287" s="147">
        <f t="shared" si="147"/>
        <v>18838</v>
      </c>
      <c r="AB287" s="147">
        <f t="shared" si="148"/>
        <v>354870244</v>
      </c>
      <c r="AD287" s="583">
        <f t="shared" si="149"/>
        <v>17.203471303358359</v>
      </c>
      <c r="AE287" s="584">
        <f t="shared" si="150"/>
        <v>-5.6686926291361894</v>
      </c>
      <c r="AG287" s="583">
        <f t="shared" si="151"/>
        <v>-0.44411792037087999</v>
      </c>
      <c r="AH287" s="584">
        <f t="shared" si="152"/>
        <v>-59.052851558378997</v>
      </c>
      <c r="AJ287" s="147">
        <f t="shared" si="153"/>
        <v>0</v>
      </c>
      <c r="AK287" s="147">
        <f t="shared" si="165"/>
        <v>0</v>
      </c>
      <c r="AM287" s="147" t="str">
        <f t="shared" si="157"/>
        <v>0.303689030631923+0.717740227336944i</v>
      </c>
      <c r="AN287" s="147" t="str">
        <f t="shared" si="158"/>
        <v>0.800551516945627i</v>
      </c>
      <c r="AO287" s="147" t="str">
        <f t="shared" si="159"/>
        <v>0.896557201059795-0.379349766009561i</v>
      </c>
      <c r="AP287" s="147" t="str">
        <f t="shared" si="160"/>
        <v>0.116051828228013-0.119623371222824i</v>
      </c>
      <c r="AQ287" s="147" t="str">
        <f t="shared" si="161"/>
        <v>0.883948171771987+0.119623371222824i</v>
      </c>
      <c r="AR287" s="147" t="str">
        <f t="shared" si="162"/>
        <v>0.925415075537327-0.125235024689609i</v>
      </c>
    </row>
    <row r="288" spans="7:44">
      <c r="G288" s="585">
        <v>18946.5</v>
      </c>
      <c r="H288" s="573">
        <f t="shared" si="154"/>
        <v>18.9465</v>
      </c>
      <c r="I288" s="574">
        <f t="shared" si="134"/>
        <v>53.524645704034057</v>
      </c>
      <c r="J288" s="575">
        <f t="shared" si="135"/>
        <v>1.5521122575848618</v>
      </c>
      <c r="K288" s="575">
        <f t="shared" si="136"/>
        <v>1.000342893014935</v>
      </c>
      <c r="L288" s="576">
        <f t="shared" si="137"/>
        <v>2.6183776042140894E-2</v>
      </c>
      <c r="M288" s="575">
        <f t="shared" si="138"/>
        <v>1.0007889672733878</v>
      </c>
      <c r="N288" s="576">
        <f t="shared" si="139"/>
        <v>-3.9710172447748472E-2</v>
      </c>
      <c r="O288" s="574">
        <f t="shared" si="140"/>
        <v>785692.84389120655</v>
      </c>
      <c r="P288" s="577">
        <f t="shared" si="141"/>
        <v>1.5707950540328908</v>
      </c>
      <c r="Q288" s="586">
        <f t="shared" si="163"/>
        <v>31.705385485713105</v>
      </c>
      <c r="R288" s="587">
        <f t="shared" si="164"/>
        <v>1.539250712122938</v>
      </c>
      <c r="S288" s="574">
        <f t="shared" si="142"/>
        <v>1.0022890612094868</v>
      </c>
      <c r="T288" s="577">
        <f t="shared" si="143"/>
        <v>6.7597384871527777E-2</v>
      </c>
      <c r="U288" s="578">
        <f t="shared" si="155"/>
        <v>0.90819831736468637</v>
      </c>
      <c r="V288" s="579">
        <f t="shared" si="156"/>
        <v>-0.53760211388359413</v>
      </c>
      <c r="W288" s="580">
        <f t="shared" si="144"/>
        <v>-13.581985590674995</v>
      </c>
      <c r="X288" s="581">
        <f t="shared" si="145"/>
        <v>-126.18722196144618</v>
      </c>
      <c r="Y288" s="584">
        <f t="shared" si="146"/>
        <v>53.812778038553816</v>
      </c>
      <c r="AA288" s="147">
        <f t="shared" si="147"/>
        <v>18946.5</v>
      </c>
      <c r="AB288" s="147">
        <f t="shared" si="148"/>
        <v>358969862.25</v>
      </c>
      <c r="AD288" s="583">
        <f t="shared" si="149"/>
        <v>17.20319509588942</v>
      </c>
      <c r="AE288" s="584">
        <f t="shared" si="150"/>
        <v>-5.6804025247087724</v>
      </c>
      <c r="AG288" s="583">
        <f t="shared" si="151"/>
        <v>-0.48513312100532058</v>
      </c>
      <c r="AH288" s="584">
        <f t="shared" si="152"/>
        <v>-58.902155000661068</v>
      </c>
      <c r="AJ288" s="147">
        <f t="shared" si="153"/>
        <v>0</v>
      </c>
      <c r="AK288" s="147">
        <f t="shared" si="165"/>
        <v>0</v>
      </c>
      <c r="AM288" s="147" t="str">
        <f t="shared" si="157"/>
        <v>0.307005837955893+0.720943195663005i</v>
      </c>
      <c r="AN288" s="147" t="str">
        <f t="shared" si="158"/>
        <v>0.805162401306419i</v>
      </c>
      <c r="AO288" s="147" t="str">
        <f t="shared" si="159"/>
        <v>0.895400970652922-0.381296788645073i</v>
      </c>
      <c r="AP288" s="147" t="str">
        <f t="shared" si="160"/>
        <v>0.115499027007351-0.120157199277168i</v>
      </c>
      <c r="AQ288" s="147" t="str">
        <f t="shared" si="161"/>
        <v>0.884500972992649+0.120157199277168i</v>
      </c>
      <c r="AR288" s="147" t="str">
        <f t="shared" si="162"/>
        <v>0.924708910792969-0.1256193449868i</v>
      </c>
    </row>
    <row r="289" spans="7:44">
      <c r="G289" s="585">
        <v>19055</v>
      </c>
      <c r="H289" s="573">
        <f t="shared" si="154"/>
        <v>19.055</v>
      </c>
      <c r="I289" s="574">
        <f t="shared" si="134"/>
        <v>53.831056002745164</v>
      </c>
      <c r="J289" s="575">
        <f t="shared" si="135"/>
        <v>1.5522186209418971</v>
      </c>
      <c r="K289" s="575">
        <f t="shared" si="136"/>
        <v>1.0003468308346917</v>
      </c>
      <c r="L289" s="576">
        <f t="shared" si="137"/>
        <v>2.6333652284770193E-2</v>
      </c>
      <c r="M289" s="575">
        <f t="shared" si="138"/>
        <v>1.0007980258151723</v>
      </c>
      <c r="N289" s="576">
        <f t="shared" si="139"/>
        <v>-3.993733771765054E-2</v>
      </c>
      <c r="O289" s="574">
        <f t="shared" si="140"/>
        <v>790192.23288453277</v>
      </c>
      <c r="P289" s="577">
        <f t="shared" si="141"/>
        <v>1.570795061280053</v>
      </c>
      <c r="Q289" s="586">
        <f t="shared" si="163"/>
        <v>31.886771067582846</v>
      </c>
      <c r="R289" s="587">
        <f t="shared" si="164"/>
        <v>1.5394302161011246</v>
      </c>
      <c r="S289" s="574">
        <f t="shared" si="142"/>
        <v>1.002315323221399</v>
      </c>
      <c r="T289" s="577">
        <f t="shared" si="143"/>
        <v>6.7983303270738954E-2</v>
      </c>
      <c r="U289" s="578">
        <f t="shared" si="155"/>
        <v>0.9072814298823455</v>
      </c>
      <c r="V289" s="579">
        <f t="shared" si="156"/>
        <v>-0.5404132330300393</v>
      </c>
      <c r="W289" s="580">
        <f t="shared" si="144"/>
        <v>-13.640504810567753</v>
      </c>
      <c r="X289" s="581">
        <f t="shared" si="145"/>
        <v>-126.37063682136102</v>
      </c>
      <c r="Y289" s="584">
        <f t="shared" si="146"/>
        <v>53.629363178638982</v>
      </c>
      <c r="AA289" s="147">
        <f t="shared" si="147"/>
        <v>19055</v>
      </c>
      <c r="AB289" s="147">
        <f t="shared" si="148"/>
        <v>363093025</v>
      </c>
      <c r="AD289" s="583">
        <f t="shared" si="149"/>
        <v>17.202918450251012</v>
      </c>
      <c r="AE289" s="584">
        <f t="shared" si="150"/>
        <v>-5.692229615109424</v>
      </c>
      <c r="AG289" s="583">
        <f t="shared" si="151"/>
        <v>-0.52582885306257221</v>
      </c>
      <c r="AH289" s="584">
        <f t="shared" si="152"/>
        <v>-58.751612244207671</v>
      </c>
      <c r="AJ289" s="147">
        <f t="shared" si="153"/>
        <v>0</v>
      </c>
      <c r="AK289" s="147">
        <f t="shared" si="165"/>
        <v>0</v>
      </c>
      <c r="AM289" s="147" t="str">
        <f t="shared" si="157"/>
        <v>0.310337378486074+0.724130836580337i</v>
      </c>
      <c r="AN289" s="147" t="str">
        <f t="shared" si="158"/>
        <v>0.809773285667211i</v>
      </c>
      <c r="AO289" s="147" t="str">
        <f t="shared" si="159"/>
        <v>0.894238979473978-0.383239832653126i</v>
      </c>
      <c r="AP289" s="147" t="str">
        <f t="shared" si="160"/>
        <v>0.114943770252321-0.120688472763389i</v>
      </c>
      <c r="AQ289" s="147" t="str">
        <f t="shared" si="161"/>
        <v>0.885056229747679+0.120688472763389i</v>
      </c>
      <c r="AR289" s="147" t="str">
        <f t="shared" si="162"/>
        <v>0.924001579339338-0.125999157672972i</v>
      </c>
    </row>
    <row r="290" spans="7:44">
      <c r="G290" s="585">
        <v>19165.75</v>
      </c>
      <c r="H290" s="573">
        <f t="shared" si="154"/>
        <v>19.165749999999999</v>
      </c>
      <c r="I290" s="574">
        <f t="shared" si="134"/>
        <v>54.143821052966238</v>
      </c>
      <c r="J290" s="575">
        <f t="shared" si="135"/>
        <v>1.5523259484218768</v>
      </c>
      <c r="K290" s="575">
        <f t="shared" si="136"/>
        <v>1.0003508734886035</v>
      </c>
      <c r="L290" s="576">
        <f t="shared" si="137"/>
        <v>2.6486635339645983E-2</v>
      </c>
      <c r="M290" s="575">
        <f t="shared" si="138"/>
        <v>1.0008073254687482</v>
      </c>
      <c r="N290" s="576">
        <f t="shared" si="139"/>
        <v>-4.0169209534771703E-2</v>
      </c>
      <c r="O290" s="574">
        <f t="shared" si="140"/>
        <v>794784.92717956414</v>
      </c>
      <c r="P290" s="577">
        <f t="shared" si="141"/>
        <v>1.5707950685928778</v>
      </c>
      <c r="Q290" s="586">
        <f t="shared" si="163"/>
        <v>32.071919149127162</v>
      </c>
      <c r="R290" s="587">
        <f t="shared" si="164"/>
        <v>1.5396113485105309</v>
      </c>
      <c r="S290" s="574">
        <f t="shared" si="142"/>
        <v>1.0023422837824518</v>
      </c>
      <c r="T290" s="577">
        <f t="shared" si="143"/>
        <v>6.837720366995792E-2</v>
      </c>
      <c r="U290" s="578">
        <f t="shared" si="155"/>
        <v>0.90634281811203532</v>
      </c>
      <c r="V290" s="579">
        <f t="shared" si="156"/>
        <v>-0.54327860607297151</v>
      </c>
      <c r="W290" s="580">
        <f t="shared" si="144"/>
        <v>-13.699982379355367</v>
      </c>
      <c r="X290" s="581">
        <f t="shared" si="145"/>
        <v>-126.55767113524732</v>
      </c>
      <c r="Y290" s="584">
        <f t="shared" si="146"/>
        <v>53.442328864752682</v>
      </c>
      <c r="AA290" s="147">
        <f t="shared" si="147"/>
        <v>19165.75</v>
      </c>
      <c r="AB290" s="147">
        <f t="shared" si="148"/>
        <v>367325973.0625</v>
      </c>
      <c r="AD290" s="583">
        <f t="shared" si="149"/>
        <v>17.202635596134265</v>
      </c>
      <c r="AE290" s="584">
        <f t="shared" si="150"/>
        <v>-5.7044207419491038</v>
      </c>
      <c r="AG290" s="583">
        <f t="shared" si="151"/>
        <v>-0.56704260174934196</v>
      </c>
      <c r="AH290" s="584">
        <f t="shared" si="152"/>
        <v>-58.598107866697973</v>
      </c>
      <c r="AJ290" s="147">
        <f t="shared" si="153"/>
        <v>0</v>
      </c>
      <c r="AK290" s="147">
        <f t="shared" si="165"/>
        <v>0</v>
      </c>
      <c r="AM290" s="147" t="str">
        <f t="shared" si="157"/>
        <v>0.313753127373033+0.727368702797767i</v>
      </c>
      <c r="AN290" s="147" t="str">
        <f t="shared" si="158"/>
        <v>0.814479787445623i</v>
      </c>
      <c r="AO290" s="147" t="str">
        <f t="shared" si="159"/>
        <v>0.893046965694441-0.385219046818863i</v>
      </c>
      <c r="AP290" s="147" t="str">
        <f t="shared" si="160"/>
        <v>0.114374478771161-0.121228117132961i</v>
      </c>
      <c r="AQ290" s="147" t="str">
        <f t="shared" si="161"/>
        <v>0.885625521228839+0.121228117132961i</v>
      </c>
      <c r="AR290" s="147" t="str">
        <f t="shared" si="162"/>
        <v>0.923278410616318-0.126382201760882i</v>
      </c>
    </row>
    <row r="291" spans="7:44">
      <c r="G291" s="585">
        <v>19276.5</v>
      </c>
      <c r="H291" s="573">
        <f t="shared" si="154"/>
        <v>19.276499999999999</v>
      </c>
      <c r="I291" s="574">
        <f t="shared" si="134"/>
        <v>54.456586719715943</v>
      </c>
      <c r="J291" s="575">
        <f t="shared" si="135"/>
        <v>1.5524320430549265</v>
      </c>
      <c r="K291" s="575">
        <f t="shared" si="136"/>
        <v>1.0003549395543527</v>
      </c>
      <c r="L291" s="576">
        <f t="shared" si="137"/>
        <v>2.6639617154465202E-2</v>
      </c>
      <c r="M291" s="575">
        <f t="shared" si="138"/>
        <v>1.0008166789292676</v>
      </c>
      <c r="N291" s="576">
        <f t="shared" si="139"/>
        <v>-4.0401077030290687E-2</v>
      </c>
      <c r="O291" s="574">
        <f t="shared" si="140"/>
        <v>799377.62147459551</v>
      </c>
      <c r="P291" s="577">
        <f t="shared" si="141"/>
        <v>1.5707950758216731</v>
      </c>
      <c r="Q291" s="586">
        <f t="shared" si="163"/>
        <v>32.257068270838147</v>
      </c>
      <c r="R291" s="587">
        <f t="shared" si="164"/>
        <v>1.5397904015981345</v>
      </c>
      <c r="S291" s="574">
        <f t="shared" si="142"/>
        <v>1.0023693998560719</v>
      </c>
      <c r="T291" s="577">
        <f t="shared" si="143"/>
        <v>6.8771082818718618E-2</v>
      </c>
      <c r="U291" s="578">
        <f t="shared" si="155"/>
        <v>0.90540150162382405</v>
      </c>
      <c r="V291" s="579">
        <f t="shared" si="156"/>
        <v>-0.54613988991231022</v>
      </c>
      <c r="W291" s="580">
        <f t="shared" si="144"/>
        <v>-13.759205294588003</v>
      </c>
      <c r="X291" s="581">
        <f t="shared" si="145"/>
        <v>-126.74451825552794</v>
      </c>
      <c r="Y291" s="584">
        <f t="shared" si="146"/>
        <v>53.255481744472064</v>
      </c>
      <c r="AA291" s="147">
        <f t="shared" si="147"/>
        <v>19276.5</v>
      </c>
      <c r="AB291" s="147">
        <f t="shared" si="148"/>
        <v>371583452.25</v>
      </c>
      <c r="AD291" s="583">
        <f t="shared" si="149"/>
        <v>17.202352246132932</v>
      </c>
      <c r="AE291" s="584">
        <f t="shared" si="150"/>
        <v>-5.7167297827763592</v>
      </c>
      <c r="AG291" s="583">
        <f t="shared" si="151"/>
        <v>-0.60793067532647316</v>
      </c>
      <c r="AH291" s="584">
        <f t="shared" si="152"/>
        <v>-58.444766969810523</v>
      </c>
      <c r="AJ291" s="147">
        <f t="shared" si="153"/>
        <v>0</v>
      </c>
      <c r="AK291" s="147">
        <f t="shared" si="165"/>
        <v>0</v>
      </c>
      <c r="AM291" s="147" t="str">
        <f t="shared" si="157"/>
        <v>0.317184077395513+0.730590456985159i</v>
      </c>
      <c r="AN291" s="147" t="str">
        <f t="shared" si="158"/>
        <v>0.819186289224035i</v>
      </c>
      <c r="AO291" s="147" t="str">
        <f t="shared" si="159"/>
        <v>0.891848980623446-0.387194074861729i</v>
      </c>
      <c r="AP291" s="147" t="str">
        <f t="shared" si="160"/>
        <v>0.113802653767414-0.121765076164193i</v>
      </c>
      <c r="AQ291" s="147" t="str">
        <f t="shared" si="161"/>
        <v>0.886197346232586+0.121765076164193i</v>
      </c>
      <c r="AR291" s="147" t="str">
        <f t="shared" si="162"/>
        <v>0.92255409535348-0.126760557525775i</v>
      </c>
    </row>
    <row r="292" spans="7:44">
      <c r="G292" s="585">
        <v>19387.25</v>
      </c>
      <c r="H292" s="573">
        <f t="shared" si="154"/>
        <v>19.387250000000002</v>
      </c>
      <c r="I292" s="574">
        <f t="shared" si="134"/>
        <v>54.76935299243204</v>
      </c>
      <c r="J292" s="575">
        <f t="shared" si="135"/>
        <v>1.5525369259595516</v>
      </c>
      <c r="K292" s="575">
        <f t="shared" si="136"/>
        <v>1.0003590290316537</v>
      </c>
      <c r="L292" s="576">
        <f t="shared" si="137"/>
        <v>2.6792597722082416E-2</v>
      </c>
      <c r="M292" s="575">
        <f t="shared" si="138"/>
        <v>1.0008260861952216</v>
      </c>
      <c r="N292" s="576">
        <f t="shared" si="139"/>
        <v>-4.0632940179397441E-2</v>
      </c>
      <c r="O292" s="574">
        <f t="shared" si="140"/>
        <v>803970.31576962699</v>
      </c>
      <c r="P292" s="577">
        <f t="shared" si="141"/>
        <v>1.5707950829678792</v>
      </c>
      <c r="Q292" s="586">
        <f t="shared" si="163"/>
        <v>32.442218414906968</v>
      </c>
      <c r="R292" s="587">
        <f t="shared" si="164"/>
        <v>1.5399674109528858</v>
      </c>
      <c r="S292" s="574">
        <f t="shared" si="142"/>
        <v>1.0023966714296388</v>
      </c>
      <c r="T292" s="577">
        <f t="shared" si="143"/>
        <v>6.9164940596537175E-2</v>
      </c>
      <c r="U292" s="578">
        <f t="shared" si="155"/>
        <v>0.90445751413578679</v>
      </c>
      <c r="V292" s="579">
        <f t="shared" si="156"/>
        <v>-0.54899707816793619</v>
      </c>
      <c r="W292" s="580">
        <f t="shared" si="144"/>
        <v>-13.818176668327599</v>
      </c>
      <c r="X292" s="581">
        <f t="shared" si="145"/>
        <v>-126.93117697972077</v>
      </c>
      <c r="Y292" s="584">
        <f t="shared" si="146"/>
        <v>53.068823020279225</v>
      </c>
      <c r="AA292" s="147">
        <f t="shared" si="147"/>
        <v>19387.25</v>
      </c>
      <c r="AB292" s="147">
        <f t="shared" si="148"/>
        <v>375865462.5625</v>
      </c>
      <c r="AD292" s="583">
        <f t="shared" si="149"/>
        <v>17.202068381218485</v>
      </c>
      <c r="AE292" s="584">
        <f t="shared" si="150"/>
        <v>-5.7291546916738181</v>
      </c>
      <c r="AG292" s="583">
        <f t="shared" si="151"/>
        <v>-0.64849661376863499</v>
      </c>
      <c r="AH292" s="584">
        <f t="shared" si="152"/>
        <v>-58.291591128088321</v>
      </c>
      <c r="AJ292" s="147">
        <f t="shared" si="153"/>
        <v>0</v>
      </c>
      <c r="AK292" s="147">
        <f t="shared" si="165"/>
        <v>0</v>
      </c>
      <c r="AM292" s="147" t="str">
        <f t="shared" si="157"/>
        <v>0.320630152554137+0.733796027777055i</v>
      </c>
      <c r="AN292" s="147" t="str">
        <f t="shared" si="158"/>
        <v>0.823892791002447i</v>
      </c>
      <c r="AO292" s="147" t="str">
        <f t="shared" si="159"/>
        <v>0.890645039974474-0.389164896277366i</v>
      </c>
      <c r="AP292" s="147" t="str">
        <f t="shared" si="160"/>
        <v>0.113228307907644-0.122299337962842i</v>
      </c>
      <c r="AQ292" s="147" t="str">
        <f t="shared" si="161"/>
        <v>0.886771692092356+0.122299337962842i</v>
      </c>
      <c r="AR292" s="147" t="str">
        <f t="shared" si="162"/>
        <v>0.921828668175758-0.127134229518596i</v>
      </c>
    </row>
    <row r="293" spans="7:44">
      <c r="G293" s="585">
        <v>19498</v>
      </c>
      <c r="H293" s="573">
        <f t="shared" si="154"/>
        <v>19.498000000000001</v>
      </c>
      <c r="I293" s="574">
        <f t="shared" si="134"/>
        <v>55.082119860792176</v>
      </c>
      <c r="J293" s="575">
        <f t="shared" si="135"/>
        <v>1.5526406177747056</v>
      </c>
      <c r="K293" s="575">
        <f t="shared" si="136"/>
        <v>1.0003631419202195</v>
      </c>
      <c r="L293" s="576">
        <f t="shared" si="137"/>
        <v>2.6945577035352542E-2</v>
      </c>
      <c r="M293" s="575">
        <f t="shared" si="138"/>
        <v>1.0008355472650934</v>
      </c>
      <c r="N293" s="576">
        <f t="shared" si="139"/>
        <v>-4.0864798957284718E-2</v>
      </c>
      <c r="O293" s="574">
        <f t="shared" si="140"/>
        <v>808563.01006465848</v>
      </c>
      <c r="P293" s="577">
        <f t="shared" si="141"/>
        <v>1.5707950900329033</v>
      </c>
      <c r="Q293" s="586">
        <f t="shared" si="163"/>
        <v>32.627369563928951</v>
      </c>
      <c r="R293" s="587">
        <f t="shared" si="164"/>
        <v>1.5401424113564253</v>
      </c>
      <c r="S293" s="574">
        <f t="shared" si="142"/>
        <v>1.0024240984904615</v>
      </c>
      <c r="T293" s="577">
        <f t="shared" si="143"/>
        <v>6.9558776882969256E-2</v>
      </c>
      <c r="U293" s="578">
        <f t="shared" si="155"/>
        <v>0.90351088926222567</v>
      </c>
      <c r="V293" s="579">
        <f t="shared" si="156"/>
        <v>-0.55185016465486225</v>
      </c>
      <c r="W293" s="580">
        <f t="shared" si="144"/>
        <v>-13.876899555763194</v>
      </c>
      <c r="X293" s="581">
        <f t="shared" si="145"/>
        <v>-127.11764613530353</v>
      </c>
      <c r="Y293" s="584">
        <f t="shared" si="146"/>
        <v>52.882353864696469</v>
      </c>
      <c r="AA293" s="147">
        <f t="shared" si="147"/>
        <v>19498</v>
      </c>
      <c r="AB293" s="147">
        <f t="shared" si="148"/>
        <v>380172004</v>
      </c>
      <c r="AD293" s="583">
        <f t="shared" si="149"/>
        <v>17.201783982908164</v>
      </c>
      <c r="AE293" s="584">
        <f t="shared" si="150"/>
        <v>-5.7416934689799826</v>
      </c>
      <c r="AG293" s="583">
        <f t="shared" si="151"/>
        <v>-0.6887439001797413</v>
      </c>
      <c r="AH293" s="584">
        <f t="shared" si="152"/>
        <v>-58.138581877417991</v>
      </c>
      <c r="AJ293" s="147">
        <f t="shared" si="153"/>
        <v>0</v>
      </c>
      <c r="AK293" s="147">
        <f t="shared" si="165"/>
        <v>0</v>
      </c>
      <c r="AM293" s="147" t="str">
        <f t="shared" si="157"/>
        <v>0.324091276514485+0.736985344166478i</v>
      </c>
      <c r="AN293" s="147" t="str">
        <f t="shared" si="158"/>
        <v>0.828599292780859i</v>
      </c>
      <c r="AO293" s="147" t="str">
        <f t="shared" si="159"/>
        <v>0.889435159536625-0.391131490622932i</v>
      </c>
      <c r="AP293" s="147" t="str">
        <f t="shared" si="160"/>
        <v>0.112651453914253-0.122830890694413i</v>
      </c>
      <c r="AQ293" s="147" t="str">
        <f t="shared" si="161"/>
        <v>0.887348546085747+0.122830890694413i</v>
      </c>
      <c r="AR293" s="147" t="str">
        <f t="shared" si="162"/>
        <v>0.921102163530869-0.127503222568096i</v>
      </c>
    </row>
    <row r="294" spans="7:44">
      <c r="G294" s="585">
        <v>19611.75</v>
      </c>
      <c r="H294" s="573">
        <f t="shared" si="154"/>
        <v>19.611750000000001</v>
      </c>
      <c r="I294" s="574">
        <f t="shared" si="134"/>
        <v>55.40335957884745</v>
      </c>
      <c r="J294" s="575">
        <f t="shared" si="135"/>
        <v>1.5527458996610035</v>
      </c>
      <c r="K294" s="575">
        <f t="shared" si="136"/>
        <v>1.0003673905896575</v>
      </c>
      <c r="L294" s="576">
        <f t="shared" si="137"/>
        <v>2.7102698944506943E-2</v>
      </c>
      <c r="M294" s="575">
        <f t="shared" si="138"/>
        <v>1.0008453206249857</v>
      </c>
      <c r="N294" s="576">
        <f t="shared" si="139"/>
        <v>-4.1102933757632194E-2</v>
      </c>
      <c r="O294" s="574">
        <f t="shared" si="140"/>
        <v>813280.11142862984</v>
      </c>
      <c r="P294" s="577">
        <f t="shared" si="141"/>
        <v>1.5707950972062397</v>
      </c>
      <c r="Q294" s="586">
        <f t="shared" si="163"/>
        <v>32.817537122251395</v>
      </c>
      <c r="R294" s="587">
        <f t="shared" si="164"/>
        <v>1.540320096566177</v>
      </c>
      <c r="S294" s="574">
        <f t="shared" si="142"/>
        <v>1.0024524303451594</v>
      </c>
      <c r="T294" s="577">
        <f t="shared" si="143"/>
        <v>6.9963258921969709E-2</v>
      </c>
      <c r="U294" s="578">
        <f t="shared" si="155"/>
        <v>0.90253591186079796</v>
      </c>
      <c r="V294" s="579">
        <f t="shared" si="156"/>
        <v>-0.55477625942332442</v>
      </c>
      <c r="W294" s="580">
        <f t="shared" si="144"/>
        <v>-13.936957607333669</v>
      </c>
      <c r="X294" s="581">
        <f t="shared" si="145"/>
        <v>-127.30896783283072</v>
      </c>
      <c r="Y294" s="584">
        <f t="shared" si="146"/>
        <v>52.691032167169283</v>
      </c>
      <c r="AA294" s="147">
        <f t="shared" si="147"/>
        <v>19611.75</v>
      </c>
      <c r="AB294" s="147">
        <f t="shared" si="148"/>
        <v>384620738.0625</v>
      </c>
      <c r="AD294" s="583">
        <f t="shared" si="149"/>
        <v>17.201491306684943</v>
      </c>
      <c r="AE294" s="584">
        <f t="shared" si="150"/>
        <v>-5.7546883811196272</v>
      </c>
      <c r="AG294" s="583">
        <f t="shared" si="151"/>
        <v>-0.72975328996605071</v>
      </c>
      <c r="AH294" s="584">
        <f t="shared" si="152"/>
        <v>-57.981602901045989</v>
      </c>
      <c r="AJ294" s="147">
        <f t="shared" si="153"/>
        <v>0</v>
      </c>
      <c r="AK294" s="147">
        <f t="shared" si="165"/>
        <v>0</v>
      </c>
      <c r="AM294" s="147" t="str">
        <f t="shared" si="157"/>
        <v>0.327661740778182+0.740244057852933i</v>
      </c>
      <c r="AN294" s="147" t="str">
        <f t="shared" si="158"/>
        <v>0.833433284449432i</v>
      </c>
      <c r="AO294" s="147" t="str">
        <f t="shared" si="159"/>
        <v>0.888186339164436-0.393146934363962i</v>
      </c>
      <c r="AP294" s="147" t="str">
        <f t="shared" si="160"/>
        <v>0.11205637653697-0.123374009642156i</v>
      </c>
      <c r="AQ294" s="147" t="str">
        <f t="shared" si="161"/>
        <v>0.88794362346303+0.123374009642156i</v>
      </c>
      <c r="AR294" s="147" t="str">
        <f t="shared" si="162"/>
        <v>0.920354893653955-0.127877345501987i</v>
      </c>
    </row>
    <row r="295" spans="7:44">
      <c r="G295" s="585">
        <v>19725.5</v>
      </c>
      <c r="H295" s="573">
        <f t="shared" si="154"/>
        <v>19.7255</v>
      </c>
      <c r="I295" s="574">
        <f t="shared" si="134"/>
        <v>55.724599903928464</v>
      </c>
      <c r="J295" s="575">
        <f t="shared" si="135"/>
        <v>1.5528499676936138</v>
      </c>
      <c r="K295" s="575">
        <f t="shared" si="136"/>
        <v>1.0003716639552496</v>
      </c>
      <c r="L295" s="576">
        <f t="shared" si="137"/>
        <v>2.7259819515160391E-2</v>
      </c>
      <c r="M295" s="575">
        <f t="shared" si="138"/>
        <v>1.0008551507398871</v>
      </c>
      <c r="N295" s="576">
        <f t="shared" si="139"/>
        <v>-4.1341063893698682E-2</v>
      </c>
      <c r="O295" s="574">
        <f t="shared" si="140"/>
        <v>817997.21279260132</v>
      </c>
      <c r="P295" s="577">
        <f t="shared" si="141"/>
        <v>1.5707951042968435</v>
      </c>
      <c r="Q295" s="586">
        <f t="shared" si="163"/>
        <v>33.007705704751437</v>
      </c>
      <c r="R295" s="587">
        <f t="shared" si="164"/>
        <v>1.5404957343719601</v>
      </c>
      <c r="S295" s="574">
        <f t="shared" si="142"/>
        <v>1.0024809261975229</v>
      </c>
      <c r="T295" s="577">
        <f t="shared" si="143"/>
        <v>7.0367718032066984E-2</v>
      </c>
      <c r="U295" s="578">
        <f t="shared" si="155"/>
        <v>0.90155822379050865</v>
      </c>
      <c r="V295" s="579">
        <f t="shared" si="156"/>
        <v>-0.55769801459779711</v>
      </c>
      <c r="W295" s="580">
        <f t="shared" si="144"/>
        <v>-13.996759882791057</v>
      </c>
      <c r="X295" s="581">
        <f t="shared" si="145"/>
        <v>-127.5000871398276</v>
      </c>
      <c r="Y295" s="584">
        <f t="shared" si="146"/>
        <v>52.499912860172401</v>
      </c>
      <c r="AA295" s="147">
        <f t="shared" si="147"/>
        <v>19725.5</v>
      </c>
      <c r="AB295" s="147">
        <f t="shared" si="148"/>
        <v>389095350.25</v>
      </c>
      <c r="AD295" s="583">
        <f t="shared" si="149"/>
        <v>17.201198029943427</v>
      </c>
      <c r="AE295" s="584">
        <f t="shared" si="150"/>
        <v>-5.7677992823961688</v>
      </c>
      <c r="AG295" s="583">
        <f t="shared" si="151"/>
        <v>-0.77043379998500428</v>
      </c>
      <c r="AH295" s="584">
        <f t="shared" si="152"/>
        <v>-57.824802825848174</v>
      </c>
      <c r="AJ295" s="147">
        <f t="shared" si="153"/>
        <v>0</v>
      </c>
      <c r="AK295" s="147">
        <f t="shared" si="165"/>
        <v>0</v>
      </c>
      <c r="AM295" s="147" t="str">
        <f t="shared" si="157"/>
        <v>0.331247915859053+0.74348547393822i</v>
      </c>
      <c r="AN295" s="147" t="str">
        <f t="shared" si="158"/>
        <v>0.838267276118004i</v>
      </c>
      <c r="AO295" s="147" t="str">
        <f t="shared" si="159"/>
        <v>0.886931286857914-0.395157875413024i</v>
      </c>
      <c r="AP295" s="147" t="str">
        <f t="shared" si="160"/>
        <v>0.111458680690158-0.12391424565637i</v>
      </c>
      <c r="AQ295" s="147" t="str">
        <f t="shared" si="161"/>
        <v>0.888541319309842+0.12391424565637i</v>
      </c>
      <c r="AR295" s="147" t="str">
        <f t="shared" si="162"/>
        <v>0.919606560225705-0.128246543784287i</v>
      </c>
    </row>
    <row r="296" spans="7:44">
      <c r="G296" s="585">
        <v>19839.25</v>
      </c>
      <c r="H296" s="573">
        <f t="shared" si="154"/>
        <v>19.83925</v>
      </c>
      <c r="I296" s="574">
        <f t="shared" si="134"/>
        <v>56.045840825597267</v>
      </c>
      <c r="J296" s="575">
        <f t="shared" si="135"/>
        <v>1.5529528427427912</v>
      </c>
      <c r="K296" s="575">
        <f t="shared" si="136"/>
        <v>1.0003759620166794</v>
      </c>
      <c r="L296" s="576">
        <f t="shared" si="137"/>
        <v>2.7416938739572457E-2</v>
      </c>
      <c r="M296" s="575">
        <f t="shared" si="138"/>
        <v>1.0008650376081258</v>
      </c>
      <c r="N296" s="576">
        <f t="shared" si="139"/>
        <v>-4.1579189338615222E-2</v>
      </c>
      <c r="O296" s="574">
        <f t="shared" si="140"/>
        <v>822714.3141565728</v>
      </c>
      <c r="P296" s="577">
        <f t="shared" si="141"/>
        <v>1.5707951113061385</v>
      </c>
      <c r="Q296" s="586">
        <f t="shared" si="163"/>
        <v>33.197875293828588</v>
      </c>
      <c r="R296" s="587">
        <f t="shared" si="164"/>
        <v>1.5406693599476833</v>
      </c>
      <c r="S296" s="574">
        <f t="shared" si="142"/>
        <v>1.0025095860335675</v>
      </c>
      <c r="T296" s="577">
        <f t="shared" si="143"/>
        <v>7.0772154082893363E-2</v>
      </c>
      <c r="U296" s="578">
        <f t="shared" si="155"/>
        <v>0.90057786111604921</v>
      </c>
      <c r="V296" s="579">
        <f t="shared" si="156"/>
        <v>-0.56061542411303389</v>
      </c>
      <c r="W296" s="580">
        <f t="shared" si="144"/>
        <v>-14.056309513598029</v>
      </c>
      <c r="X296" s="581">
        <f t="shared" si="145"/>
        <v>-127.69100288075823</v>
      </c>
      <c r="Y296" s="584">
        <f t="shared" si="146"/>
        <v>52.308997119241766</v>
      </c>
      <c r="AA296" s="147">
        <f t="shared" si="147"/>
        <v>19839.25</v>
      </c>
      <c r="AB296" s="147">
        <f t="shared" si="148"/>
        <v>393595840.5625</v>
      </c>
      <c r="AD296" s="583">
        <f t="shared" si="149"/>
        <v>17.200904134336568</v>
      </c>
      <c r="AE296" s="584">
        <f t="shared" si="150"/>
        <v>-5.7810241501051198</v>
      </c>
      <c r="AG296" s="583">
        <f t="shared" si="151"/>
        <v>-0.81078902504729067</v>
      </c>
      <c r="AH296" s="584">
        <f t="shared" si="152"/>
        <v>-57.668183194019129</v>
      </c>
      <c r="AJ296" s="147">
        <f t="shared" si="153"/>
        <v>0</v>
      </c>
      <c r="AK296" s="147">
        <f t="shared" si="165"/>
        <v>0</v>
      </c>
      <c r="AM296" s="147" t="str">
        <f t="shared" si="157"/>
        <v>0.334849717957403+0.746709516678777i</v>
      </c>
      <c r="AN296" s="147" t="str">
        <f t="shared" si="158"/>
        <v>0.843101267786576i</v>
      </c>
      <c r="AO296" s="147" t="str">
        <f t="shared" si="159"/>
        <v>0.885670019971789-0.397164291825223i</v>
      </c>
      <c r="AP296" s="147" t="str">
        <f t="shared" si="160"/>
        <v>0.110858380340433-0.12445158611313i</v>
      </c>
      <c r="AQ296" s="147" t="str">
        <f t="shared" si="161"/>
        <v>0.889141619659567+0.12445158611313i</v>
      </c>
      <c r="AR296" s="147" t="str">
        <f t="shared" si="162"/>
        <v>0.918857199972209-0.128610823539893i</v>
      </c>
    </row>
    <row r="297" spans="7:44">
      <c r="G297" s="585">
        <v>19953</v>
      </c>
      <c r="H297" s="573">
        <f t="shared" si="154"/>
        <v>19.952999999999999</v>
      </c>
      <c r="I297" s="574">
        <f t="shared" si="134"/>
        <v>56.367082333653855</v>
      </c>
      <c r="J297" s="575">
        <f t="shared" si="135"/>
        <v>1.5530545452031272</v>
      </c>
      <c r="K297" s="575">
        <f t="shared" si="136"/>
        <v>1.0003802847736285</v>
      </c>
      <c r="L297" s="576">
        <f t="shared" si="137"/>
        <v>2.757405661000311E-2</v>
      </c>
      <c r="M297" s="575">
        <f t="shared" si="138"/>
        <v>1.00087498122802</v>
      </c>
      <c r="N297" s="576">
        <f t="shared" si="139"/>
        <v>-4.181731006551604E-2</v>
      </c>
      <c r="O297" s="574">
        <f t="shared" si="140"/>
        <v>827431.4155205444</v>
      </c>
      <c r="P297" s="577">
        <f t="shared" si="141"/>
        <v>1.5707951182355149</v>
      </c>
      <c r="Q297" s="586">
        <f t="shared" si="163"/>
        <v>33.388045872283229</v>
      </c>
      <c r="R297" s="587">
        <f t="shared" si="164"/>
        <v>1.5408410076663777</v>
      </c>
      <c r="S297" s="574">
        <f t="shared" si="142"/>
        <v>1.0025384098392294</v>
      </c>
      <c r="T297" s="577">
        <f t="shared" si="143"/>
        <v>7.1176566944126149E-2</v>
      </c>
      <c r="U297" s="578">
        <f t="shared" si="155"/>
        <v>0.89959485977725107</v>
      </c>
      <c r="V297" s="579">
        <f t="shared" si="156"/>
        <v>-0.56352848211631745</v>
      </c>
      <c r="W297" s="580">
        <f t="shared" si="144"/>
        <v>-14.115609573598697</v>
      </c>
      <c r="X297" s="581">
        <f t="shared" si="145"/>
        <v>-127.88171391089794</v>
      </c>
      <c r="Y297" s="584">
        <f t="shared" si="146"/>
        <v>52.118286089102057</v>
      </c>
      <c r="AA297" s="147">
        <f t="shared" si="147"/>
        <v>19953</v>
      </c>
      <c r="AB297" s="147">
        <f t="shared" si="148"/>
        <v>398122209</v>
      </c>
      <c r="AD297" s="583">
        <f t="shared" si="149"/>
        <v>17.200609602046562</v>
      </c>
      <c r="AE297" s="584">
        <f t="shared" si="150"/>
        <v>-5.7943610074295968</v>
      </c>
      <c r="AG297" s="583">
        <f t="shared" si="151"/>
        <v>-0.85082250214875965</v>
      </c>
      <c r="AH297" s="584">
        <f t="shared" si="152"/>
        <v>-57.511745508323003</v>
      </c>
      <c r="AJ297" s="147">
        <f t="shared" si="153"/>
        <v>0</v>
      </c>
      <c r="AK297" s="147">
        <f t="shared" si="165"/>
        <v>0</v>
      </c>
      <c r="AM297" s="147" t="str">
        <f t="shared" si="157"/>
        <v>0.338467062908374+0.749916110737012i</v>
      </c>
      <c r="AN297" s="147" t="str">
        <f t="shared" si="158"/>
        <v>0.847935259455149i</v>
      </c>
      <c r="AO297" s="147" t="str">
        <f t="shared" si="159"/>
        <v>0.884402555943811-0.399166161725437i</v>
      </c>
      <c r="AP297" s="147" t="str">
        <f t="shared" si="160"/>
        <v>0.110255489515271-0.124986018456169i</v>
      </c>
      <c r="AQ297" s="147" t="str">
        <f t="shared" si="161"/>
        <v>0.889744510484729+0.124986018456169i</v>
      </c>
      <c r="AR297" s="147" t="str">
        <f t="shared" si="162"/>
        <v>0.918106849413293-0.128970191187793i</v>
      </c>
    </row>
    <row r="298" spans="7:44">
      <c r="G298" s="585">
        <v>20069</v>
      </c>
      <c r="H298" s="573">
        <f t="shared" si="154"/>
        <v>20.068999999999999</v>
      </c>
      <c r="I298" s="574">
        <f t="shared" si="134"/>
        <v>56.694678662910036</v>
      </c>
      <c r="J298" s="575">
        <f t="shared" si="135"/>
        <v>1.5531570724118819</v>
      </c>
      <c r="K298" s="575">
        <f t="shared" si="136"/>
        <v>1.0003847184684027</v>
      </c>
      <c r="L298" s="576">
        <f t="shared" si="137"/>
        <v>2.7734280903999591E-2</v>
      </c>
      <c r="M298" s="575">
        <f t="shared" si="138"/>
        <v>1.0008851799797451</v>
      </c>
      <c r="N298" s="576">
        <f t="shared" si="139"/>
        <v>-4.2060135985958161E-2</v>
      </c>
      <c r="O298" s="574">
        <f t="shared" si="140"/>
        <v>832241.8221862209</v>
      </c>
      <c r="P298" s="577">
        <f t="shared" si="141"/>
        <v>1.5707951252210592</v>
      </c>
      <c r="Q298" s="586">
        <f t="shared" si="163"/>
        <v>33.581979068077352</v>
      </c>
      <c r="R298" s="587">
        <f t="shared" si="164"/>
        <v>1.5410140485094215</v>
      </c>
      <c r="S298" s="574">
        <f t="shared" si="142"/>
        <v>1.0025679726381682</v>
      </c>
      <c r="T298" s="577">
        <f t="shared" si="143"/>
        <v>7.1588955163410309E-2</v>
      </c>
      <c r="U298" s="578">
        <f t="shared" si="155"/>
        <v>0.89858973411015686</v>
      </c>
      <c r="V298" s="579">
        <f t="shared" si="156"/>
        <v>-0.56649467372600704</v>
      </c>
      <c r="W298" s="580">
        <f t="shared" si="144"/>
        <v>-14.175828705233606</v>
      </c>
      <c r="X298" s="581">
        <f t="shared" si="145"/>
        <v>-128.07598526724371</v>
      </c>
      <c r="Y298" s="584">
        <f t="shared" si="146"/>
        <v>51.924014732756291</v>
      </c>
      <c r="AA298" s="147">
        <f t="shared" si="147"/>
        <v>20069</v>
      </c>
      <c r="AB298" s="147">
        <f t="shared" si="148"/>
        <v>402764761</v>
      </c>
      <c r="AD298" s="583">
        <f t="shared" si="149"/>
        <v>17.200308570206513</v>
      </c>
      <c r="AE298" s="584">
        <f t="shared" si="150"/>
        <v>-5.8080750021835765</v>
      </c>
      <c r="AG298" s="583">
        <f t="shared" si="151"/>
        <v>-0.89132010072100121</v>
      </c>
      <c r="AH298" s="584">
        <f t="shared" si="152"/>
        <v>-57.35240234860175</v>
      </c>
      <c r="AJ298" s="147">
        <f t="shared" si="153"/>
        <v>0</v>
      </c>
      <c r="AK298" s="147">
        <f t="shared" si="165"/>
        <v>0</v>
      </c>
      <c r="AM298" s="147" t="str">
        <f t="shared" si="157"/>
        <v>0.342171879163911+0.753168084452109i</v>
      </c>
      <c r="AN298" s="147" t="str">
        <f t="shared" si="158"/>
        <v>0.852864868541341i</v>
      </c>
      <c r="AO298" s="147" t="str">
        <f t="shared" si="159"/>
        <v>0.883103657136512-0.401202924150375i</v>
      </c>
      <c r="AP298" s="147" t="str">
        <f t="shared" si="160"/>
        <v>0.109638020139348-0.125528014075351i</v>
      </c>
      <c r="AQ298" s="147" t="str">
        <f t="shared" si="161"/>
        <v>0.890361979860652+0.125528014075351i</v>
      </c>
      <c r="AR298" s="147" t="str">
        <f t="shared" si="162"/>
        <v>0.917340674514958-0.129331615350902i</v>
      </c>
    </row>
    <row r="299" spans="7:44">
      <c r="G299" s="585">
        <v>20185</v>
      </c>
      <c r="H299" s="573">
        <f t="shared" si="154"/>
        <v>20.184999999999999</v>
      </c>
      <c r="I299" s="574">
        <f t="shared" si="134"/>
        <v>57.022275581283246</v>
      </c>
      <c r="J299" s="575">
        <f t="shared" si="135"/>
        <v>1.5532584215698764</v>
      </c>
      <c r="K299" s="575">
        <f t="shared" si="136"/>
        <v>1.0003891778446499</v>
      </c>
      <c r="L299" s="576">
        <f t="shared" si="137"/>
        <v>2.7894503773664352E-2</v>
      </c>
      <c r="M299" s="575">
        <f t="shared" si="138"/>
        <v>1.0008954377468873</v>
      </c>
      <c r="N299" s="576">
        <f t="shared" si="139"/>
        <v>-4.2302956943471158E-2</v>
      </c>
      <c r="O299" s="574">
        <f t="shared" si="140"/>
        <v>837052.22885189741</v>
      </c>
      <c r="P299" s="577">
        <f t="shared" si="141"/>
        <v>1.5707951321263138</v>
      </c>
      <c r="Q299" s="586">
        <f t="shared" si="163"/>
        <v>33.775913257873881</v>
      </c>
      <c r="R299" s="587">
        <f t="shared" si="164"/>
        <v>1.5411851022292886</v>
      </c>
      <c r="S299" s="574">
        <f t="shared" si="142"/>
        <v>1.0025977059277984</v>
      </c>
      <c r="T299" s="577">
        <f t="shared" si="143"/>
        <v>7.200131899304188E-2</v>
      </c>
      <c r="U299" s="578">
        <f t="shared" si="155"/>
        <v>0.89758193944426068</v>
      </c>
      <c r="V299" s="579">
        <f t="shared" si="156"/>
        <v>-0.56945632834960958</v>
      </c>
      <c r="W299" s="580">
        <f t="shared" si="144"/>
        <v>-14.235794574532818</v>
      </c>
      <c r="X299" s="581">
        <f t="shared" si="145"/>
        <v>-128.27004142509844</v>
      </c>
      <c r="Y299" s="584">
        <f t="shared" si="146"/>
        <v>51.729958574901559</v>
      </c>
      <c r="AA299" s="147">
        <f t="shared" si="147"/>
        <v>20185</v>
      </c>
      <c r="AB299" s="147">
        <f t="shared" si="148"/>
        <v>407434225</v>
      </c>
      <c r="AD299" s="583">
        <f t="shared" si="149"/>
        <v>17.20000684042575</v>
      </c>
      <c r="AE299" s="584">
        <f t="shared" si="150"/>
        <v>-5.8219014486846632</v>
      </c>
      <c r="AG299" s="583">
        <f t="shared" si="151"/>
        <v>-0.93149034821730303</v>
      </c>
      <c r="AH299" s="584">
        <f t="shared" si="152"/>
        <v>-57.193251438951904</v>
      </c>
      <c r="AJ299" s="147">
        <f t="shared" si="153"/>
        <v>0</v>
      </c>
      <c r="AK299" s="147">
        <f t="shared" si="165"/>
        <v>0</v>
      </c>
      <c r="AM299" s="147" t="str">
        <f t="shared" si="157"/>
        <v>0.345892681298331+0.7564017554322i</v>
      </c>
      <c r="AN299" s="147" t="str">
        <f t="shared" si="158"/>
        <v>0.857794477627534i</v>
      </c>
      <c r="AO299" s="147" t="str">
        <f t="shared" si="159"/>
        <v>0.881798350490943-0.403234912697261i</v>
      </c>
      <c r="AP299" s="147" t="str">
        <f t="shared" si="160"/>
        <v>0.109017886450278-0.1260669592387i</v>
      </c>
      <c r="AQ299" s="147" t="str">
        <f t="shared" si="161"/>
        <v>0.890982113549722+0.1260669592387i</v>
      </c>
      <c r="AR299" s="147" t="str">
        <f t="shared" si="162"/>
        <v>0.916573545791852-0.129687945559598i</v>
      </c>
    </row>
    <row r="300" spans="7:44">
      <c r="G300" s="585">
        <v>20301</v>
      </c>
      <c r="H300" s="573">
        <f t="shared" si="154"/>
        <v>20.300999999999998</v>
      </c>
      <c r="I300" s="574">
        <f t="shared" si="134"/>
        <v>57.349873078677938</v>
      </c>
      <c r="J300" s="575">
        <f t="shared" si="135"/>
        <v>1.5533586128630139</v>
      </c>
      <c r="K300" s="575">
        <f t="shared" si="136"/>
        <v>1.0003936629020262</v>
      </c>
      <c r="L300" s="576">
        <f t="shared" si="137"/>
        <v>2.8054725210790214E-2</v>
      </c>
      <c r="M300" s="575">
        <f t="shared" si="138"/>
        <v>1.0009057545276321</v>
      </c>
      <c r="N300" s="576">
        <f t="shared" si="139"/>
        <v>-4.2545772909573627E-2</v>
      </c>
      <c r="O300" s="574">
        <f t="shared" si="140"/>
        <v>841862.63551757403</v>
      </c>
      <c r="P300" s="577">
        <f t="shared" si="141"/>
        <v>1.5707951389526551</v>
      </c>
      <c r="Q300" s="586">
        <f t="shared" si="163"/>
        <v>33.969848424648511</v>
      </c>
      <c r="R300" s="587">
        <f t="shared" si="164"/>
        <v>1.5413542028495697</v>
      </c>
      <c r="S300" s="574">
        <f t="shared" si="142"/>
        <v>1.0026276096929523</v>
      </c>
      <c r="T300" s="577">
        <f t="shared" si="143"/>
        <v>7.2413658294957009E-2</v>
      </c>
      <c r="U300" s="578">
        <f t="shared" si="155"/>
        <v>0.89657151347888475</v>
      </c>
      <c r="V300" s="579">
        <f t="shared" si="156"/>
        <v>-0.57241344045519815</v>
      </c>
      <c r="W300" s="580">
        <f t="shared" si="144"/>
        <v>-14.295510264744173</v>
      </c>
      <c r="X300" s="581">
        <f t="shared" si="145"/>
        <v>-128.46388126567166</v>
      </c>
      <c r="Y300" s="584">
        <f t="shared" si="146"/>
        <v>51.53611873432834</v>
      </c>
      <c r="AA300" s="147">
        <f t="shared" si="147"/>
        <v>20301</v>
      </c>
      <c r="AB300" s="147">
        <f t="shared" si="148"/>
        <v>412130601</v>
      </c>
      <c r="AD300" s="583">
        <f t="shared" si="149"/>
        <v>17.199704395395692</v>
      </c>
      <c r="AE300" s="584">
        <f t="shared" si="150"/>
        <v>-5.8358383896930874</v>
      </c>
      <c r="AG300" s="583">
        <f t="shared" si="151"/>
        <v>-0.9713368181347265</v>
      </c>
      <c r="AH300" s="584">
        <f t="shared" si="152"/>
        <v>-57.03429425173497</v>
      </c>
      <c r="AJ300" s="147">
        <f t="shared" si="153"/>
        <v>0</v>
      </c>
      <c r="AK300" s="147">
        <f t="shared" si="165"/>
        <v>0</v>
      </c>
      <c r="AM300" s="147" t="str">
        <f t="shared" si="157"/>
        <v>0.349629378892433+0.759617045095854i</v>
      </c>
      <c r="AN300" s="147" t="str">
        <f t="shared" si="158"/>
        <v>0.862724086713726i</v>
      </c>
      <c r="AO300" s="147" t="str">
        <f t="shared" si="159"/>
        <v>0.880486654765111-0.405262104393347i</v>
      </c>
      <c r="AP300" s="147" t="str">
        <f t="shared" si="160"/>
        <v>0.108395103517928-0.126602840849309i</v>
      </c>
      <c r="AQ300" s="147" t="str">
        <f t="shared" si="161"/>
        <v>0.891604896482072+0.126602840849309i</v>
      </c>
      <c r="AR300" s="147" t="str">
        <f t="shared" si="162"/>
        <v>0.915805501297769-0.130039189541457i</v>
      </c>
    </row>
    <row r="301" spans="7:44">
      <c r="G301" s="585">
        <v>20417</v>
      </c>
      <c r="H301" s="573">
        <f t="shared" si="154"/>
        <v>20.417000000000002</v>
      </c>
      <c r="I301" s="574">
        <f t="shared" si="134"/>
        <v>57.677471145227898</v>
      </c>
      <c r="J301" s="575">
        <f t="shared" si="135"/>
        <v>1.5534576660186825</v>
      </c>
      <c r="K301" s="575">
        <f t="shared" si="136"/>
        <v>1.0003981736401866</v>
      </c>
      <c r="L301" s="576">
        <f t="shared" si="137"/>
        <v>2.8214945207170442E-2</v>
      </c>
      <c r="M301" s="575">
        <f t="shared" si="138"/>
        <v>1.0009161303201548</v>
      </c>
      <c r="N301" s="576">
        <f t="shared" si="139"/>
        <v>-4.2788583855787703E-2</v>
      </c>
      <c r="O301" s="574">
        <f t="shared" si="140"/>
        <v>846673.04218325065</v>
      </c>
      <c r="P301" s="577">
        <f t="shared" si="141"/>
        <v>1.5707951457014282</v>
      </c>
      <c r="Q301" s="586">
        <f t="shared" si="163"/>
        <v>34.163784551763413</v>
      </c>
      <c r="R301" s="587">
        <f t="shared" si="164"/>
        <v>1.5415213836217465</v>
      </c>
      <c r="S301" s="574">
        <f t="shared" si="142"/>
        <v>1.0026576839183765</v>
      </c>
      <c r="T301" s="577">
        <f t="shared" si="143"/>
        <v>7.2825972931141694E-2</v>
      </c>
      <c r="U301" s="578">
        <f t="shared" si="155"/>
        <v>0.89555849376870422</v>
      </c>
      <c r="V301" s="579">
        <f t="shared" si="156"/>
        <v>-0.57536600473536026</v>
      </c>
      <c r="W301" s="580">
        <f t="shared" si="144"/>
        <v>-14.354978802397421</v>
      </c>
      <c r="X301" s="581">
        <f t="shared" si="145"/>
        <v>-128.65750370100562</v>
      </c>
      <c r="Y301" s="584">
        <f t="shared" si="146"/>
        <v>51.342496298994377</v>
      </c>
      <c r="AA301" s="147">
        <f t="shared" si="147"/>
        <v>20417</v>
      </c>
      <c r="AB301" s="147">
        <f t="shared" si="148"/>
        <v>416853889</v>
      </c>
      <c r="AD301" s="583">
        <f t="shared" si="149"/>
        <v>17.199401218306527</v>
      </c>
      <c r="AE301" s="584">
        <f t="shared" si="150"/>
        <v>-5.8498839122087407</v>
      </c>
      <c r="AG301" s="583">
        <f t="shared" si="151"/>
        <v>-1.010863026839568</v>
      </c>
      <c r="AH301" s="584">
        <f t="shared" si="152"/>
        <v>-56.875532220177909</v>
      </c>
      <c r="AJ301" s="147">
        <f t="shared" si="153"/>
        <v>0</v>
      </c>
      <c r="AK301" s="147">
        <f t="shared" si="165"/>
        <v>0</v>
      </c>
      <c r="AM301" s="147" t="str">
        <f t="shared" si="157"/>
        <v>0.353381881140742+0.762813875308331i</v>
      </c>
      <c r="AN301" s="147" t="str">
        <f t="shared" si="158"/>
        <v>0.867653695799918i</v>
      </c>
      <c r="AO301" s="147" t="str">
        <f t="shared" si="159"/>
        <v>0.879168588805547-0.407284476342774i</v>
      </c>
      <c r="AP301" s="147" t="str">
        <f t="shared" si="160"/>
        <v>0.107769686476543-0.127135645884722i</v>
      </c>
      <c r="AQ301" s="147" t="str">
        <f t="shared" si="161"/>
        <v>0.892230313523457+0.127135645884722i</v>
      </c>
      <c r="AR301" s="147" t="str">
        <f t="shared" si="162"/>
        <v>0.915036578854521-0.130385355325363i</v>
      </c>
    </row>
    <row r="302" spans="7:44">
      <c r="G302" s="585">
        <v>20536</v>
      </c>
      <c r="H302" s="573">
        <f t="shared" si="154"/>
        <v>20.536000000000001</v>
      </c>
      <c r="I302" s="574">
        <f t="shared" si="134"/>
        <v>58.013542156887283</v>
      </c>
      <c r="J302" s="575">
        <f t="shared" si="135"/>
        <v>1.5535581184299627</v>
      </c>
      <c r="K302" s="575">
        <f t="shared" si="136"/>
        <v>1.0004028277206138</v>
      </c>
      <c r="L302" s="576">
        <f t="shared" si="137"/>
        <v>2.8379307318427367E-2</v>
      </c>
      <c r="M302" s="575">
        <f t="shared" si="138"/>
        <v>1.0009268357709784</v>
      </c>
      <c r="N302" s="576">
        <f t="shared" si="139"/>
        <v>-4.3037669149290629E-2</v>
      </c>
      <c r="O302" s="574">
        <f t="shared" si="140"/>
        <v>851607.85591786716</v>
      </c>
      <c r="P302" s="577">
        <f t="shared" si="141"/>
        <v>1.5707951525455128</v>
      </c>
      <c r="Q302" s="586">
        <f t="shared" si="163"/>
        <v>34.362737249246941</v>
      </c>
      <c r="R302" s="587">
        <f t="shared" si="164"/>
        <v>1.5416909271265824</v>
      </c>
      <c r="S302" s="574">
        <f t="shared" si="142"/>
        <v>1.002688713039376</v>
      </c>
      <c r="T302" s="577">
        <f t="shared" si="143"/>
        <v>7.3248925101445705E-2</v>
      </c>
      <c r="U302" s="578">
        <f t="shared" si="155"/>
        <v>0.8945166192467805</v>
      </c>
      <c r="V302" s="579">
        <f t="shared" si="156"/>
        <v>-0.57839019733872321</v>
      </c>
      <c r="W302" s="580">
        <f t="shared" si="144"/>
        <v>-14.415731610072406</v>
      </c>
      <c r="X302" s="581">
        <f t="shared" si="145"/>
        <v>-128.85590659297807</v>
      </c>
      <c r="Y302" s="584">
        <f t="shared" si="146"/>
        <v>51.144093407021927</v>
      </c>
      <c r="AA302" s="147">
        <f t="shared" si="147"/>
        <v>20536</v>
      </c>
      <c r="AB302" s="147">
        <f t="shared" si="148"/>
        <v>421727296</v>
      </c>
      <c r="AD302" s="583">
        <f t="shared" si="149"/>
        <v>17.199089422617991</v>
      </c>
      <c r="AE302" s="584">
        <f t="shared" si="150"/>
        <v>-5.8644035513858528</v>
      </c>
      <c r="AG302" s="583">
        <f t="shared" si="151"/>
        <v>-1.0510822993689082</v>
      </c>
      <c r="AH302" s="584">
        <f t="shared" si="152"/>
        <v>-56.712868527362538</v>
      </c>
      <c r="AJ302" s="147">
        <f t="shared" si="153"/>
        <v>0</v>
      </c>
      <c r="AK302" s="147">
        <f t="shared" si="165"/>
        <v>0</v>
      </c>
      <c r="AM302" s="147" t="str">
        <f t="shared" si="157"/>
        <v>0.357247758335197+0.766074119021698i</v>
      </c>
      <c r="AN302" s="147" t="str">
        <f t="shared" si="158"/>
        <v>0.872710794776271i</v>
      </c>
      <c r="AO302" s="147" t="str">
        <f t="shared" si="159"/>
        <v>0.877809835293821-0.40935411876827i</v>
      </c>
      <c r="AP302" s="147" t="str">
        <f t="shared" si="160"/>
        <v>0.107125373610801-0.12767901983695i</v>
      </c>
      <c r="AQ302" s="147" t="str">
        <f t="shared" si="161"/>
        <v>0.892874626389199+0.12767901983695i</v>
      </c>
      <c r="AR302" s="147" t="str">
        <f t="shared" si="162"/>
        <v>0.914246897578462-0.13073520550567i</v>
      </c>
    </row>
    <row r="303" spans="7:44">
      <c r="G303" s="585">
        <v>20655</v>
      </c>
      <c r="H303" s="573">
        <f t="shared" si="154"/>
        <v>20.655000000000001</v>
      </c>
      <c r="I303" s="574">
        <f t="shared" si="134"/>
        <v>58.349613747199847</v>
      </c>
      <c r="J303" s="575">
        <f t="shared" si="135"/>
        <v>1.5536574137068426</v>
      </c>
      <c r="K303" s="575">
        <f t="shared" si="136"/>
        <v>1.0004075088265749</v>
      </c>
      <c r="L303" s="576">
        <f t="shared" si="137"/>
        <v>2.8543667895958344E-2</v>
      </c>
      <c r="M303" s="575">
        <f t="shared" si="138"/>
        <v>1.0009376033214588</v>
      </c>
      <c r="N303" s="576">
        <f t="shared" si="139"/>
        <v>-4.3286749099194784E-2</v>
      </c>
      <c r="O303" s="574">
        <f t="shared" si="140"/>
        <v>856542.66965248389</v>
      </c>
      <c r="P303" s="577">
        <f t="shared" si="141"/>
        <v>1.5707951593107357</v>
      </c>
      <c r="Q303" s="586">
        <f t="shared" si="163"/>
        <v>34.561690923115378</v>
      </c>
      <c r="R303" s="587">
        <f t="shared" si="164"/>
        <v>1.5418585186886855</v>
      </c>
      <c r="S303" s="574">
        <f t="shared" si="142"/>
        <v>1.0027199215187739</v>
      </c>
      <c r="T303" s="577">
        <f t="shared" si="143"/>
        <v>7.3671851019623702E-2</v>
      </c>
      <c r="U303" s="578">
        <f t="shared" si="155"/>
        <v>0.89347209467552513</v>
      </c>
      <c r="V303" s="579">
        <f t="shared" si="156"/>
        <v>-0.58140959324630881</v>
      </c>
      <c r="W303" s="580">
        <f t="shared" si="144"/>
        <v>-14.476230591158373</v>
      </c>
      <c r="X303" s="581">
        <f t="shared" si="145"/>
        <v>-129.05407846674552</v>
      </c>
      <c r="Y303" s="584">
        <f t="shared" si="146"/>
        <v>50.945921533254477</v>
      </c>
      <c r="AA303" s="147">
        <f t="shared" si="147"/>
        <v>20655</v>
      </c>
      <c r="AB303" s="147">
        <f t="shared" si="148"/>
        <v>426629025</v>
      </c>
      <c r="AD303" s="583">
        <f t="shared" si="149"/>
        <v>17.198776822215883</v>
      </c>
      <c r="AE303" s="584">
        <f t="shared" si="150"/>
        <v>-5.8790335199890702</v>
      </c>
      <c r="AG303" s="583">
        <f t="shared" si="151"/>
        <v>-1.0909718490680533</v>
      </c>
      <c r="AH303" s="584">
        <f t="shared" si="152"/>
        <v>-56.550413147763962</v>
      </c>
      <c r="AJ303" s="147">
        <f t="shared" si="153"/>
        <v>0</v>
      </c>
      <c r="AK303" s="147">
        <f t="shared" si="165"/>
        <v>0</v>
      </c>
      <c r="AM303" s="147" t="str">
        <f t="shared" si="157"/>
        <v>0.361130073401173+0.769314771005737i</v>
      </c>
      <c r="AN303" s="147" t="str">
        <f t="shared" si="158"/>
        <v>0.877767893752624i</v>
      </c>
      <c r="AO303" s="147" t="str">
        <f t="shared" si="159"/>
        <v>0.876444418258192-0.411418640362059i</v>
      </c>
      <c r="AP303" s="147" t="str">
        <f t="shared" si="160"/>
        <v>0.106478321099804-0.128219128500956i</v>
      </c>
      <c r="AQ303" s="147" t="str">
        <f t="shared" si="161"/>
        <v>0.893521678900196+0.128219128500956i</v>
      </c>
      <c r="AR303" s="147" t="str">
        <f t="shared" si="162"/>
        <v>0.913456372232822-0.13107972949856i</v>
      </c>
    </row>
    <row r="304" spans="7:44">
      <c r="G304" s="585">
        <v>20774</v>
      </c>
      <c r="H304" s="573">
        <f t="shared" si="154"/>
        <v>20.774000000000001</v>
      </c>
      <c r="I304" s="574">
        <f t="shared" si="134"/>
        <v>58.685685906224379</v>
      </c>
      <c r="J304" s="575">
        <f t="shared" si="135"/>
        <v>1.553755571726845</v>
      </c>
      <c r="K304" s="575">
        <f t="shared" si="136"/>
        <v>1.000412216957691</v>
      </c>
      <c r="L304" s="576">
        <f t="shared" si="137"/>
        <v>2.8708026930904757E-2</v>
      </c>
      <c r="M304" s="575">
        <f t="shared" si="138"/>
        <v>1.0009484329695921</v>
      </c>
      <c r="N304" s="576">
        <f t="shared" si="139"/>
        <v>-4.3535823674766876E-2</v>
      </c>
      <c r="O304" s="574">
        <f t="shared" si="140"/>
        <v>861477.48338710039</v>
      </c>
      <c r="P304" s="577">
        <f t="shared" si="141"/>
        <v>1.5707951659984518</v>
      </c>
      <c r="Q304" s="586">
        <f t="shared" si="163"/>
        <v>34.76064555660362</v>
      </c>
      <c r="R304" s="587">
        <f t="shared" si="164"/>
        <v>1.5420241918147426</v>
      </c>
      <c r="S304" s="574">
        <f t="shared" si="142"/>
        <v>1.0027513093398237</v>
      </c>
      <c r="T304" s="577">
        <f t="shared" si="143"/>
        <v>7.409475053683949E-2</v>
      </c>
      <c r="U304" s="578">
        <f t="shared" si="155"/>
        <v>0.89242496010974759</v>
      </c>
      <c r="V304" s="579">
        <f t="shared" si="156"/>
        <v>-0.58442418745554703</v>
      </c>
      <c r="W304" s="580">
        <f t="shared" si="144"/>
        <v>-14.536478835605228</v>
      </c>
      <c r="X304" s="581">
        <f t="shared" si="145"/>
        <v>-129.25201824508486</v>
      </c>
      <c r="Y304" s="584">
        <f t="shared" si="146"/>
        <v>50.747981754915145</v>
      </c>
      <c r="AA304" s="147">
        <f t="shared" si="147"/>
        <v>20774</v>
      </c>
      <c r="AB304" s="147">
        <f t="shared" si="148"/>
        <v>431559076</v>
      </c>
      <c r="AD304" s="583">
        <f t="shared" si="149"/>
        <v>17.198463400480016</v>
      </c>
      <c r="AE304" s="584">
        <f t="shared" si="150"/>
        <v>-5.8937718897765938</v>
      </c>
      <c r="AG304" s="583">
        <f t="shared" si="151"/>
        <v>-1.1305352930537866</v>
      </c>
      <c r="AH304" s="584">
        <f t="shared" si="152"/>
        <v>-56.388167505653158</v>
      </c>
      <c r="AJ304" s="147">
        <f t="shared" si="153"/>
        <v>0</v>
      </c>
      <c r="AK304" s="147">
        <f t="shared" si="165"/>
        <v>0</v>
      </c>
      <c r="AM304" s="147" t="str">
        <f t="shared" si="157"/>
        <v>0.365028727051583+0.772535748383379i</v>
      </c>
      <c r="AN304" s="147" t="str">
        <f t="shared" si="158"/>
        <v>0.882824992728976i</v>
      </c>
      <c r="AO304" s="147" t="str">
        <f t="shared" si="159"/>
        <v>0.875072358333816-0.413478016660144i</v>
      </c>
      <c r="AP304" s="147" t="str">
        <f t="shared" si="160"/>
        <v>0.105828545491403-0.128755958063897i</v>
      </c>
      <c r="AQ304" s="147" t="str">
        <f t="shared" si="161"/>
        <v>0.894171454508597+0.128755958063897i</v>
      </c>
      <c r="AR304" s="147" t="str">
        <f t="shared" si="162"/>
        <v>0.912665042875924-0.131418936932511i</v>
      </c>
    </row>
    <row r="305" spans="7:44">
      <c r="G305" s="585">
        <v>20893</v>
      </c>
      <c r="H305" s="573">
        <f t="shared" si="154"/>
        <v>20.893000000000001</v>
      </c>
      <c r="I305" s="574">
        <f t="shared" si="134"/>
        <v>59.021758624246068</v>
      </c>
      <c r="J305" s="575">
        <f t="shared" si="135"/>
        <v>1.5538526119148472</v>
      </c>
      <c r="K305" s="575">
        <f t="shared" si="136"/>
        <v>1.0004169521135802</v>
      </c>
      <c r="L305" s="576">
        <f t="shared" si="137"/>
        <v>2.8872384414408495E-2</v>
      </c>
      <c r="M305" s="575">
        <f t="shared" si="138"/>
        <v>1.0009593247133626</v>
      </c>
      <c r="N305" s="576">
        <f t="shared" si="139"/>
        <v>-4.3784892845277597E-2</v>
      </c>
      <c r="O305" s="574">
        <f t="shared" si="140"/>
        <v>866412.29712171713</v>
      </c>
      <c r="P305" s="577">
        <f t="shared" si="141"/>
        <v>1.5707951726099856</v>
      </c>
      <c r="Q305" s="586">
        <f t="shared" si="163"/>
        <v>34.959601133328128</v>
      </c>
      <c r="R305" s="587">
        <f t="shared" si="164"/>
        <v>1.5421879792491191</v>
      </c>
      <c r="S305" s="574">
        <f t="shared" si="142"/>
        <v>1.0027828764856848</v>
      </c>
      <c r="T305" s="577">
        <f t="shared" si="143"/>
        <v>7.4517623504313235E-2</v>
      </c>
      <c r="U305" s="578">
        <f t="shared" si="155"/>
        <v>0.89137525543405116</v>
      </c>
      <c r="V305" s="579">
        <f t="shared" si="156"/>
        <v>-0.58743397520625262</v>
      </c>
      <c r="W305" s="580">
        <f t="shared" si="144"/>
        <v>-14.596479376198083</v>
      </c>
      <c r="X305" s="581">
        <f t="shared" si="145"/>
        <v>-129.44972488240535</v>
      </c>
      <c r="Y305" s="584">
        <f t="shared" si="146"/>
        <v>50.550275117594651</v>
      </c>
      <c r="AA305" s="147">
        <f t="shared" si="147"/>
        <v>20893</v>
      </c>
      <c r="AB305" s="147">
        <f t="shared" si="148"/>
        <v>436517449</v>
      </c>
      <c r="AD305" s="583">
        <f t="shared" si="149"/>
        <v>17.198149141271585</v>
      </c>
      <c r="AE305" s="584">
        <f t="shared" si="150"/>
        <v>-5.9086167761859087</v>
      </c>
      <c r="AG305" s="583">
        <f t="shared" si="151"/>
        <v>-1.1697761906140305</v>
      </c>
      <c r="AH305" s="584">
        <f t="shared" si="152"/>
        <v>-56.226132985479019</v>
      </c>
      <c r="AJ305" s="147">
        <f t="shared" si="153"/>
        <v>0</v>
      </c>
      <c r="AK305" s="147">
        <f t="shared" si="165"/>
        <v>0</v>
      </c>
      <c r="AM305" s="147" t="str">
        <f t="shared" si="157"/>
        <v>0.3689436195815+0.775736968780721i</v>
      </c>
      <c r="AN305" s="147" t="str">
        <f t="shared" si="158"/>
        <v>0.887882091705329i</v>
      </c>
      <c r="AO305" s="147" t="str">
        <f t="shared" si="159"/>
        <v>0.873693676252424-0.41553222328528i</v>
      </c>
      <c r="AP305" s="147" t="str">
        <f t="shared" si="160"/>
        <v>0.105176063403083-0.129289494796787i</v>
      </c>
      <c r="AQ305" s="147" t="str">
        <f t="shared" si="161"/>
        <v>0.894823936596917+0.129289494796787i</v>
      </c>
      <c r="AR305" s="147" t="str">
        <f t="shared" si="162"/>
        <v>0.911872949300337-0.131752837750701i</v>
      </c>
    </row>
    <row r="306" spans="7:44">
      <c r="G306" s="585">
        <v>21014.75</v>
      </c>
      <c r="H306" s="573">
        <f t="shared" si="154"/>
        <v>21.014749999999999</v>
      </c>
      <c r="I306" s="574">
        <f t="shared" si="134"/>
        <v>59.365598297231166</v>
      </c>
      <c r="J306" s="575">
        <f t="shared" si="135"/>
        <v>1.5539507575463107</v>
      </c>
      <c r="K306" s="575">
        <f t="shared" si="136"/>
        <v>1.0004218246637129</v>
      </c>
      <c r="L306" s="576">
        <f t="shared" si="137"/>
        <v>2.9040538460178459E-2</v>
      </c>
      <c r="M306" s="575">
        <f t="shared" si="138"/>
        <v>1.0009705324196729</v>
      </c>
      <c r="N306" s="576">
        <f t="shared" si="139"/>
        <v>-4.4039712190038764E-2</v>
      </c>
      <c r="O306" s="574">
        <f t="shared" si="140"/>
        <v>871461.15066952875</v>
      </c>
      <c r="P306" s="577">
        <f t="shared" si="141"/>
        <v>1.5707951792968133</v>
      </c>
      <c r="Q306" s="586">
        <f t="shared" si="163"/>
        <v>35.16315538244686</v>
      </c>
      <c r="R306" s="587">
        <f t="shared" si="164"/>
        <v>1.5423536334989587</v>
      </c>
      <c r="S306" s="574">
        <f t="shared" si="142"/>
        <v>1.0028153586955366</v>
      </c>
      <c r="T306" s="577">
        <f t="shared" si="143"/>
        <v>7.4950241113993885E-2</v>
      </c>
      <c r="U306" s="578">
        <f t="shared" si="155"/>
        <v>0.89029867440579746</v>
      </c>
      <c r="V306" s="579">
        <f t="shared" si="156"/>
        <v>-0.5905083378113094</v>
      </c>
      <c r="W306" s="580">
        <f t="shared" si="144"/>
        <v>-14.657613231878905</v>
      </c>
      <c r="X306" s="581">
        <f t="shared" si="145"/>
        <v>-129.65175802785225</v>
      </c>
      <c r="Y306" s="584">
        <f t="shared" si="146"/>
        <v>50.348241972147747</v>
      </c>
      <c r="AA306" s="147">
        <f t="shared" si="147"/>
        <v>21014.75</v>
      </c>
      <c r="AB306" s="147">
        <f t="shared" si="148"/>
        <v>441619717.5625</v>
      </c>
      <c r="AD306" s="583">
        <f t="shared" si="149"/>
        <v>17.197826736700939</v>
      </c>
      <c r="AE306" s="584">
        <f t="shared" si="150"/>
        <v>-5.9239130331339238</v>
      </c>
      <c r="AG306" s="583">
        <f t="shared" si="151"/>
        <v>-1.209593755066674</v>
      </c>
      <c r="AH306" s="584">
        <f t="shared" si="152"/>
        <v>-56.060573869650177</v>
      </c>
      <c r="AJ306" s="147">
        <f t="shared" si="153"/>
        <v>0</v>
      </c>
      <c r="AK306" s="147">
        <f t="shared" si="165"/>
        <v>0</v>
      </c>
      <c r="AM306" s="147" t="str">
        <f t="shared" si="157"/>
        <v>0.372965684016683+0.778991634473268i</v>
      </c>
      <c r="AN306" s="147" t="str">
        <f t="shared" si="158"/>
        <v>0.893056056414328i</v>
      </c>
      <c r="AO306" s="147" t="str">
        <f t="shared" si="159"/>
        <v>0.872276302118105-0.417628525486028i</v>
      </c>
      <c r="AP306" s="147" t="str">
        <f t="shared" si="160"/>
        <v>0.104505719330553-0.129831939078878i</v>
      </c>
      <c r="AQ306" s="147" t="str">
        <f t="shared" si="161"/>
        <v>0.895494280669447+0.129831939078878i</v>
      </c>
      <c r="AR306" s="147" t="str">
        <f t="shared" si="162"/>
        <v>0.911061801346665-0.132088973478542i</v>
      </c>
    </row>
    <row r="307" spans="7:44">
      <c r="G307" s="585">
        <v>21136.5</v>
      </c>
      <c r="H307" s="573">
        <f t="shared" si="154"/>
        <v>21.136500000000002</v>
      </c>
      <c r="I307" s="574">
        <f t="shared" si="134"/>
        <v>59.709438535473275</v>
      </c>
      <c r="J307" s="575">
        <f t="shared" si="135"/>
        <v>1.5540477728241653</v>
      </c>
      <c r="K307" s="575">
        <f t="shared" si="136"/>
        <v>1.00042672550128</v>
      </c>
      <c r="L307" s="576">
        <f t="shared" si="137"/>
        <v>2.9208690863214721E-2</v>
      </c>
      <c r="M307" s="575">
        <f t="shared" si="138"/>
        <v>1.0009818051204433</v>
      </c>
      <c r="N307" s="576">
        <f t="shared" si="139"/>
        <v>-4.4294525811975898E-2</v>
      </c>
      <c r="O307" s="574">
        <f t="shared" si="140"/>
        <v>876510.00421734049</v>
      </c>
      <c r="P307" s="577">
        <f t="shared" si="141"/>
        <v>1.5707951859066065</v>
      </c>
      <c r="Q307" s="586">
        <f t="shared" si="163"/>
        <v>35.366710585382044</v>
      </c>
      <c r="R307" s="587">
        <f t="shared" si="164"/>
        <v>1.542517380887505</v>
      </c>
      <c r="S307" s="574">
        <f t="shared" si="142"/>
        <v>1.0028480285781225</v>
      </c>
      <c r="T307" s="577">
        <f t="shared" si="143"/>
        <v>7.5382830617776689E-2</v>
      </c>
      <c r="U307" s="578">
        <f t="shared" si="155"/>
        <v>0.88921948701618114</v>
      </c>
      <c r="V307" s="579">
        <f t="shared" si="156"/>
        <v>-0.59357765993302924</v>
      </c>
      <c r="W307" s="580">
        <f t="shared" si="144"/>
        <v>-14.718494047910951</v>
      </c>
      <c r="X307" s="581">
        <f t="shared" si="145"/>
        <v>-129.85354501695502</v>
      </c>
      <c r="Y307" s="584">
        <f t="shared" si="146"/>
        <v>50.146454983044976</v>
      </c>
      <c r="AA307" s="147">
        <f t="shared" si="147"/>
        <v>21136.5</v>
      </c>
      <c r="AB307" s="147">
        <f t="shared" si="148"/>
        <v>446751632.25</v>
      </c>
      <c r="AD307" s="583">
        <f t="shared" si="149"/>
        <v>17.19750342280047</v>
      </c>
      <c r="AE307" s="584">
        <f t="shared" si="150"/>
        <v>-5.9393169304231908</v>
      </c>
      <c r="AG307" s="583">
        <f t="shared" si="151"/>
        <v>-1.2490810508528103</v>
      </c>
      <c r="AH307" s="584">
        <f t="shared" si="152"/>
        <v>-55.895238553980406</v>
      </c>
      <c r="AJ307" s="147">
        <f t="shared" si="153"/>
        <v>0</v>
      </c>
      <c r="AK307" s="147">
        <f t="shared" si="165"/>
        <v>0</v>
      </c>
      <c r="AM307" s="147" t="str">
        <f t="shared" si="157"/>
        <v>0.377004534067134+0.782225446675759i</v>
      </c>
      <c r="AN307" s="147" t="str">
        <f t="shared" si="158"/>
        <v>0.898230021123327i</v>
      </c>
      <c r="AO307" s="147" t="str">
        <f t="shared" si="159"/>
        <v>0.870852040435597-0.419719364974744i</v>
      </c>
      <c r="AP307" s="147" t="str">
        <f t="shared" si="160"/>
        <v>0.103832577655478-0.130370907779293i</v>
      </c>
      <c r="AQ307" s="147" t="str">
        <f t="shared" si="161"/>
        <v>0.896167422344522+0.130370907779293i</v>
      </c>
      <c r="AR307" s="147" t="str">
        <f t="shared" si="162"/>
        <v>0.910249936853261-0.132419576537544i</v>
      </c>
    </row>
    <row r="308" spans="7:44">
      <c r="G308" s="585">
        <v>21258.25</v>
      </c>
      <c r="H308" s="573">
        <f t="shared" si="154"/>
        <v>21.25825</v>
      </c>
      <c r="I308" s="574">
        <f t="shared" si="134"/>
        <v>60.053279329263106</v>
      </c>
      <c r="J308" s="575">
        <f t="shared" si="135"/>
        <v>1.5541436771624115</v>
      </c>
      <c r="K308" s="575">
        <f t="shared" si="136"/>
        <v>1.000431654625866</v>
      </c>
      <c r="L308" s="576">
        <f t="shared" si="137"/>
        <v>2.9376841614032399E-2</v>
      </c>
      <c r="M308" s="575">
        <f t="shared" si="138"/>
        <v>1.000993142813478</v>
      </c>
      <c r="N308" s="576">
        <f t="shared" si="139"/>
        <v>-4.4549333678192825E-2</v>
      </c>
      <c r="O308" s="574">
        <f t="shared" si="140"/>
        <v>881558.85776515224</v>
      </c>
      <c r="P308" s="577">
        <f t="shared" si="141"/>
        <v>1.5707951924406884</v>
      </c>
      <c r="Q308" s="586">
        <f t="shared" si="163"/>
        <v>35.570266725758692</v>
      </c>
      <c r="R308" s="587">
        <f t="shared" si="164"/>
        <v>1.5426792541427923</v>
      </c>
      <c r="S308" s="574">
        <f t="shared" si="142"/>
        <v>1.0028808861151022</v>
      </c>
      <c r="T308" s="577">
        <f t="shared" si="143"/>
        <v>7.5815391856512163E-2</v>
      </c>
      <c r="U308" s="578">
        <f t="shared" si="155"/>
        <v>0.88813773541072782</v>
      </c>
      <c r="V308" s="579">
        <f t="shared" si="156"/>
        <v>-0.59664193725058701</v>
      </c>
      <c r="W308" s="580">
        <f t="shared" si="144"/>
        <v>-14.779124895022047</v>
      </c>
      <c r="X308" s="581">
        <f t="shared" si="145"/>
        <v>-130.05508482892654</v>
      </c>
      <c r="Y308" s="584">
        <f t="shared" si="146"/>
        <v>49.944915171073461</v>
      </c>
      <c r="AA308" s="147">
        <f t="shared" si="147"/>
        <v>21258.25</v>
      </c>
      <c r="AB308" s="147">
        <f t="shared" si="148"/>
        <v>451913193.0625</v>
      </c>
      <c r="AD308" s="583">
        <f t="shared" si="149"/>
        <v>17.19717918374722</v>
      </c>
      <c r="AE308" s="584">
        <f t="shared" si="150"/>
        <v>-5.9548265838327206</v>
      </c>
      <c r="AG308" s="583">
        <f t="shared" si="151"/>
        <v>-1.288241710077431</v>
      </c>
      <c r="AH308" s="584">
        <f t="shared" si="152"/>
        <v>-55.730128397033674</v>
      </c>
      <c r="AJ308" s="147">
        <f t="shared" si="153"/>
        <v>0</v>
      </c>
      <c r="AK308" s="147">
        <f t="shared" si="165"/>
        <v>0</v>
      </c>
      <c r="AM308" s="147" t="str">
        <f t="shared" si="157"/>
        <v>0.381060061613439+0.785438318819524i</v>
      </c>
      <c r="AN308" s="147" t="str">
        <f t="shared" si="158"/>
        <v>0.903403985832327i</v>
      </c>
      <c r="AO308" s="147" t="str">
        <f t="shared" si="159"/>
        <v>0.869420913718774-0.421804715929341i</v>
      </c>
      <c r="AP308" s="147" t="str">
        <f t="shared" si="160"/>
        <v>0.10315665639776-0.130906386469921i</v>
      </c>
      <c r="AQ308" s="147" t="str">
        <f t="shared" si="161"/>
        <v>0.89684334360224+0.130906386469921i</v>
      </c>
      <c r="AR308" s="147" t="str">
        <f t="shared" si="162"/>
        <v>0.909437397559006-0.132744658567549i</v>
      </c>
    </row>
    <row r="309" spans="7:44">
      <c r="G309" s="585">
        <v>21380</v>
      </c>
      <c r="H309" s="573">
        <f t="shared" si="154"/>
        <v>21.38</v>
      </c>
      <c r="I309" s="574">
        <f t="shared" si="134"/>
        <v>60.397120669112468</v>
      </c>
      <c r="J309" s="575">
        <f t="shared" si="135"/>
        <v>1.5542384895330372</v>
      </c>
      <c r="K309" s="575">
        <f t="shared" si="136"/>
        <v>1.0004366120370527</v>
      </c>
      <c r="L309" s="576">
        <f t="shared" si="137"/>
        <v>2.9544990703147166E-2</v>
      </c>
      <c r="M309" s="575">
        <f t="shared" si="138"/>
        <v>1.0010045454965684</v>
      </c>
      <c r="N309" s="576">
        <f t="shared" si="139"/>
        <v>-4.4804135755797829E-2</v>
      </c>
      <c r="O309" s="574">
        <f t="shared" si="140"/>
        <v>886607.71131296409</v>
      </c>
      <c r="P309" s="577">
        <f t="shared" si="141"/>
        <v>1.570795198900353</v>
      </c>
      <c r="Q309" s="586">
        <f t="shared" si="163"/>
        <v>35.773823787574429</v>
      </c>
      <c r="R309" s="587">
        <f t="shared" si="164"/>
        <v>1.5428392852483483</v>
      </c>
      <c r="S309" s="574">
        <f t="shared" si="142"/>
        <v>1.0029139312880313</v>
      </c>
      <c r="T309" s="577">
        <f t="shared" si="143"/>
        <v>7.624792467111402E-2</v>
      </c>
      <c r="U309" s="578">
        <f t="shared" si="155"/>
        <v>0.88705346153825115</v>
      </c>
      <c r="V309" s="579">
        <f t="shared" si="156"/>
        <v>-0.59970116570148002</v>
      </c>
      <c r="W309" s="580">
        <f t="shared" si="144"/>
        <v>-14.839508786961277</v>
      </c>
      <c r="X309" s="581">
        <f t="shared" si="145"/>
        <v>-130.25637647511417</v>
      </c>
      <c r="Y309" s="584">
        <f t="shared" si="146"/>
        <v>49.743623524885834</v>
      </c>
      <c r="AA309" s="147">
        <f t="shared" si="147"/>
        <v>21380</v>
      </c>
      <c r="AB309" s="147">
        <f t="shared" si="148"/>
        <v>457104400</v>
      </c>
      <c r="AD309" s="583">
        <f t="shared" si="149"/>
        <v>17.196854004177883</v>
      </c>
      <c r="AE309" s="584">
        <f t="shared" si="150"/>
        <v>-5.9704401518005117</v>
      </c>
      <c r="AG309" s="583">
        <f t="shared" si="151"/>
        <v>-1.3270793069277607</v>
      </c>
      <c r="AH309" s="584">
        <f t="shared" si="152"/>
        <v>-55.565244717247921</v>
      </c>
      <c r="AJ309" s="147">
        <f t="shared" si="153"/>
        <v>0</v>
      </c>
      <c r="AK309" s="147">
        <f t="shared" si="165"/>
        <v>0</v>
      </c>
      <c r="AM309" s="147" t="str">
        <f t="shared" si="157"/>
        <v>0.385132158089729+0.788630164896452i</v>
      </c>
      <c r="AN309" s="147" t="str">
        <f t="shared" si="158"/>
        <v>0.908577950541326i</v>
      </c>
      <c r="AO309" s="147" t="str">
        <f t="shared" si="159"/>
        <v>0.867982944585647-0.423884552624537i</v>
      </c>
      <c r="AP309" s="147" t="str">
        <f t="shared" si="160"/>
        <v>0.102477973651712-0.131438360816075i</v>
      </c>
      <c r="AQ309" s="147" t="str">
        <f t="shared" si="161"/>
        <v>0.897522026348288+0.131438360816075i</v>
      </c>
      <c r="AR309" s="147" t="str">
        <f t="shared" si="162"/>
        <v>0.908624224903117-0.13306423153196i</v>
      </c>
    </row>
    <row r="310" spans="7:44">
      <c r="G310" s="585">
        <v>21504.5</v>
      </c>
      <c r="H310" s="573">
        <f t="shared" si="154"/>
        <v>21.5045</v>
      </c>
      <c r="I310" s="574">
        <f t="shared" si="134"/>
        <v>60.748729000835112</v>
      </c>
      <c r="J310" s="575">
        <f t="shared" si="135"/>
        <v>1.5543343335305109</v>
      </c>
      <c r="K310" s="575">
        <f t="shared" si="136"/>
        <v>1.0004417106743733</v>
      </c>
      <c r="L310" s="576">
        <f t="shared" si="137"/>
        <v>2.9716936092660708E-2</v>
      </c>
      <c r="M310" s="575">
        <f t="shared" si="138"/>
        <v>1.001016272941371</v>
      </c>
      <c r="N310" s="576">
        <f t="shared" si="139"/>
        <v>-4.5064687095992054E-2</v>
      </c>
      <c r="O310" s="574">
        <f t="shared" si="140"/>
        <v>891770.60467397072</v>
      </c>
      <c r="P310" s="577">
        <f t="shared" si="141"/>
        <v>1.5707952054302825</v>
      </c>
      <c r="Q310" s="586">
        <f t="shared" si="163"/>
        <v>35.981979584100458</v>
      </c>
      <c r="R310" s="587">
        <f t="shared" si="164"/>
        <v>1.5430010585525802</v>
      </c>
      <c r="S310" s="574">
        <f t="shared" si="142"/>
        <v>1.0029479168829352</v>
      </c>
      <c r="T310" s="577">
        <f t="shared" si="143"/>
        <v>7.6690197660639128E-2</v>
      </c>
      <c r="U310" s="578">
        <f t="shared" si="155"/>
        <v>0.88594213201176741</v>
      </c>
      <c r="V310" s="579">
        <f t="shared" si="156"/>
        <v>-0.6028242685894476</v>
      </c>
      <c r="W310" s="580">
        <f t="shared" si="144"/>
        <v>-14.901004282667657</v>
      </c>
      <c r="X310" s="581">
        <f t="shared" si="145"/>
        <v>-130.46195711563482</v>
      </c>
      <c r="Y310" s="584">
        <f t="shared" si="146"/>
        <v>49.538042884365183</v>
      </c>
      <c r="AA310" s="147">
        <f t="shared" si="147"/>
        <v>21504.5</v>
      </c>
      <c r="AB310" s="147">
        <f t="shared" si="148"/>
        <v>462443520.25</v>
      </c>
      <c r="AD310" s="583">
        <f t="shared" si="149"/>
        <v>17.196520491526538</v>
      </c>
      <c r="AE310" s="584">
        <f t="shared" si="150"/>
        <v>-5.9865119740783248</v>
      </c>
      <c r="AG310" s="583">
        <f t="shared" si="151"/>
        <v>-1.3664637132807469</v>
      </c>
      <c r="AH310" s="584">
        <f t="shared" si="152"/>
        <v>-55.396872306150513</v>
      </c>
      <c r="AJ310" s="147">
        <f t="shared" si="153"/>
        <v>0</v>
      </c>
      <c r="AK310" s="147">
        <f t="shared" si="165"/>
        <v>0</v>
      </c>
      <c r="AM310" s="147" t="str">
        <f t="shared" si="157"/>
        <v>0.389313253049492+0.791872273222775i</v>
      </c>
      <c r="AN310" s="147" t="str">
        <f t="shared" si="158"/>
        <v>0.913868780982972i</v>
      </c>
      <c r="AO310" s="147" t="str">
        <f t="shared" si="159"/>
        <v>0.866505443342779-0.426005637954653i</v>
      </c>
      <c r="AP310" s="147" t="str">
        <f t="shared" si="160"/>
        <v>0.101781124491751-0.131978712203796i</v>
      </c>
      <c r="AQ310" s="147" t="str">
        <f t="shared" si="161"/>
        <v>0.898218875508249+0.131978712203796i</v>
      </c>
      <c r="AR310" s="147" t="str">
        <f t="shared" si="162"/>
        <v>0.907792072776059-0.133385338452174i</v>
      </c>
    </row>
    <row r="311" spans="7:44">
      <c r="G311" s="585">
        <v>21629</v>
      </c>
      <c r="H311" s="573">
        <f t="shared" si="154"/>
        <v>21.629000000000001</v>
      </c>
      <c r="I311" s="574">
        <f t="shared" si="134"/>
        <v>61.100337884177328</v>
      </c>
      <c r="J311" s="575">
        <f t="shared" si="135"/>
        <v>1.5544290744383533</v>
      </c>
      <c r="K311" s="575">
        <f t="shared" si="136"/>
        <v>1.0004468388896679</v>
      </c>
      <c r="L311" s="576">
        <f t="shared" si="137"/>
        <v>2.9888879724499478E-2</v>
      </c>
      <c r="M311" s="575">
        <f t="shared" si="138"/>
        <v>1.0010280683405712</v>
      </c>
      <c r="N311" s="576">
        <f t="shared" si="139"/>
        <v>-4.5325232313572078E-2</v>
      </c>
      <c r="O311" s="574">
        <f t="shared" si="140"/>
        <v>896933.49803497747</v>
      </c>
      <c r="P311" s="577">
        <f t="shared" si="141"/>
        <v>1.5707952118850375</v>
      </c>
      <c r="Q311" s="586">
        <f t="shared" si="163"/>
        <v>36.190136311464073</v>
      </c>
      <c r="R311" s="587">
        <f t="shared" si="164"/>
        <v>1.5431609709007608</v>
      </c>
      <c r="S311" s="574">
        <f t="shared" si="142"/>
        <v>1.0029820986465474</v>
      </c>
      <c r="T311" s="577">
        <f t="shared" si="143"/>
        <v>7.7132440591219542E-2</v>
      </c>
      <c r="U311" s="578">
        <f t="shared" si="155"/>
        <v>0.88482825307056834</v>
      </c>
      <c r="V311" s="579">
        <f t="shared" si="156"/>
        <v>-0.6059420841812122</v>
      </c>
      <c r="W311" s="580">
        <f t="shared" si="144"/>
        <v>-14.962247738494707</v>
      </c>
      <c r="X311" s="581">
        <f t="shared" si="145"/>
        <v>-130.66727626229462</v>
      </c>
      <c r="Y311" s="584">
        <f t="shared" si="146"/>
        <v>49.332723737705379</v>
      </c>
      <c r="AA311" s="147">
        <f t="shared" si="147"/>
        <v>21629</v>
      </c>
      <c r="AB311" s="147">
        <f t="shared" si="148"/>
        <v>467813641</v>
      </c>
      <c r="AD311" s="583">
        <f t="shared" si="149"/>
        <v>17.196185964303744</v>
      </c>
      <c r="AE311" s="584">
        <f t="shared" si="150"/>
        <v>-6.0026886947260047</v>
      </c>
      <c r="AG311" s="583">
        <f t="shared" si="151"/>
        <v>-1.4055176777156952</v>
      </c>
      <c r="AH311" s="584">
        <f t="shared" si="152"/>
        <v>-55.228739382337949</v>
      </c>
      <c r="AJ311" s="147">
        <f t="shared" si="153"/>
        <v>0</v>
      </c>
      <c r="AK311" s="147">
        <f t="shared" si="165"/>
        <v>0</v>
      </c>
      <c r="AM311" s="147" t="str">
        <f t="shared" si="157"/>
        <v>0.393511442854331+0.795092214809933i</v>
      </c>
      <c r="AN311" s="147" t="str">
        <f t="shared" si="158"/>
        <v>0.919159611424618i</v>
      </c>
      <c r="AO311" s="147" t="str">
        <f t="shared" si="159"/>
        <v>0.86502083525799-0.428120903010982i</v>
      </c>
      <c r="AP311" s="147" t="str">
        <f t="shared" si="160"/>
        <v>0.101081426190945-0.132515369134989i</v>
      </c>
      <c r="AQ311" s="147" t="str">
        <f t="shared" si="161"/>
        <v>0.898918573809055+0.132515369134989i</v>
      </c>
      <c r="AR311" s="147" t="str">
        <f t="shared" si="162"/>
        <v>0.906959345028663-0.133700710941624i</v>
      </c>
    </row>
    <row r="312" spans="7:44">
      <c r="G312" s="585">
        <v>21753.5</v>
      </c>
      <c r="H312" s="573">
        <f t="shared" si="154"/>
        <v>21.753499999999999</v>
      </c>
      <c r="I312" s="574">
        <f t="shared" si="134"/>
        <v>61.451947309670523</v>
      </c>
      <c r="J312" s="575">
        <f t="shared" si="135"/>
        <v>1.5545227311894831</v>
      </c>
      <c r="K312" s="575">
        <f t="shared" si="136"/>
        <v>1.0004519966824821</v>
      </c>
      <c r="L312" s="576">
        <f t="shared" si="137"/>
        <v>3.0060821588523679E-2</v>
      </c>
      <c r="M312" s="575">
        <f t="shared" si="138"/>
        <v>1.0010399316917671</v>
      </c>
      <c r="N312" s="576">
        <f t="shared" si="139"/>
        <v>-4.5585771373381358E-2</v>
      </c>
      <c r="O312" s="574">
        <f t="shared" si="140"/>
        <v>902096.39139598433</v>
      </c>
      <c r="P312" s="577">
        <f t="shared" si="141"/>
        <v>1.5707952182659084</v>
      </c>
      <c r="Q312" s="586">
        <f t="shared" si="163"/>
        <v>36.398293953695294</v>
      </c>
      <c r="R312" s="587">
        <f t="shared" si="164"/>
        <v>1.5433190542124195</v>
      </c>
      <c r="S312" s="574">
        <f t="shared" si="142"/>
        <v>1.0030164765588121</v>
      </c>
      <c r="T312" s="577">
        <f t="shared" si="143"/>
        <v>7.7574653292950629E-2</v>
      </c>
      <c r="U312" s="578">
        <f t="shared" si="155"/>
        <v>0.88371186891693065</v>
      </c>
      <c r="V312" s="579">
        <f t="shared" si="156"/>
        <v>-0.60905460895847119</v>
      </c>
      <c r="W312" s="580">
        <f t="shared" si="144"/>
        <v>-15.023242200759251</v>
      </c>
      <c r="X312" s="581">
        <f t="shared" si="145"/>
        <v>-130.8723329583373</v>
      </c>
      <c r="Y312" s="584">
        <f t="shared" si="146"/>
        <v>49.127667041662704</v>
      </c>
      <c r="AA312" s="147">
        <f t="shared" si="147"/>
        <v>21753.5</v>
      </c>
      <c r="AB312" s="147">
        <f t="shared" si="148"/>
        <v>473214762.25</v>
      </c>
      <c r="AD312" s="583">
        <f t="shared" si="149"/>
        <v>17.195850407473781</v>
      </c>
      <c r="AE312" s="584">
        <f t="shared" si="150"/>
        <v>-6.0189684752283554</v>
      </c>
      <c r="AG312" s="583">
        <f t="shared" si="151"/>
        <v>-1.4442448424572789</v>
      </c>
      <c r="AH312" s="584">
        <f t="shared" si="152"/>
        <v>-55.060847230737096</v>
      </c>
      <c r="AJ312" s="147">
        <f t="shared" si="153"/>
        <v>0</v>
      </c>
      <c r="AK312" s="147">
        <f t="shared" si="165"/>
        <v>0</v>
      </c>
      <c r="AM312" s="147" t="str">
        <f t="shared" si="157"/>
        <v>0.39772660998507+0.798289899522676i</v>
      </c>
      <c r="AN312" s="147" t="str">
        <f t="shared" si="158"/>
        <v>0.924450441866264i</v>
      </c>
      <c r="AO312" s="147" t="str">
        <f t="shared" si="159"/>
        <v>0.863529144851835-0.43023032060231i</v>
      </c>
      <c r="AP312" s="147" t="str">
        <f t="shared" si="160"/>
        <v>0.100378898335822-0.133048316587113i</v>
      </c>
      <c r="AQ312" s="147" t="str">
        <f t="shared" si="161"/>
        <v>0.899621101664178+0.133048316587113i</v>
      </c>
      <c r="AR312" s="147" t="str">
        <f t="shared" si="162"/>
        <v>0.906126084987649-0.134010362807476i</v>
      </c>
    </row>
    <row r="313" spans="7:44">
      <c r="G313" s="585">
        <v>21878</v>
      </c>
      <c r="H313" s="573">
        <f t="shared" si="154"/>
        <v>21.878</v>
      </c>
      <c r="I313" s="574">
        <f t="shared" si="134"/>
        <v>61.803557268061567</v>
      </c>
      <c r="J313" s="575">
        <f t="shared" si="135"/>
        <v>1.5546153222860464</v>
      </c>
      <c r="K313" s="575">
        <f t="shared" si="136"/>
        <v>1.0004571840523582</v>
      </c>
      <c r="L313" s="576">
        <f t="shared" si="137"/>
        <v>3.0232761674594159E-2</v>
      </c>
      <c r="M313" s="575">
        <f t="shared" si="138"/>
        <v>1.0010518629925425</v>
      </c>
      <c r="N313" s="576">
        <f t="shared" si="139"/>
        <v>-4.5846304240268344E-2</v>
      </c>
      <c r="O313" s="574">
        <f t="shared" si="140"/>
        <v>907259.2847569912</v>
      </c>
      <c r="P313" s="577">
        <f t="shared" si="141"/>
        <v>1.5707952245741568</v>
      </c>
      <c r="Q313" s="586">
        <f t="shared" si="163"/>
        <v>36.606452495187298</v>
      </c>
      <c r="R313" s="587">
        <f t="shared" si="164"/>
        <v>1.5434753396814282</v>
      </c>
      <c r="S313" s="574">
        <f t="shared" si="142"/>
        <v>1.0030510505995613</v>
      </c>
      <c r="T313" s="577">
        <f t="shared" si="143"/>
        <v>7.8016835595998216E-2</v>
      </c>
      <c r="U313" s="578">
        <f t="shared" si="155"/>
        <v>0.88259302352773328</v>
      </c>
      <c r="V313" s="579">
        <f t="shared" si="156"/>
        <v>-0.61216183967705085</v>
      </c>
      <c r="W313" s="580">
        <f t="shared" si="144"/>
        <v>-15.083990659113809</v>
      </c>
      <c r="X313" s="581">
        <f t="shared" si="145"/>
        <v>-131.07712627961158</v>
      </c>
      <c r="Y313" s="584">
        <f t="shared" si="146"/>
        <v>48.922873720388424</v>
      </c>
      <c r="AA313" s="147">
        <f t="shared" si="147"/>
        <v>21878</v>
      </c>
      <c r="AB313" s="147">
        <f t="shared" si="148"/>
        <v>478646884</v>
      </c>
      <c r="AD313" s="583">
        <f t="shared" si="149"/>
        <v>17.195513806438942</v>
      </c>
      <c r="AE313" s="584">
        <f t="shared" si="150"/>
        <v>-6.0353495186496628</v>
      </c>
      <c r="AG313" s="583">
        <f t="shared" si="151"/>
        <v>-1.48264879182411</v>
      </c>
      <c r="AH313" s="584">
        <f t="shared" si="152"/>
        <v>-54.893197095887182</v>
      </c>
      <c r="AJ313" s="147">
        <f t="shared" si="153"/>
        <v>0</v>
      </c>
      <c r="AK313" s="147">
        <f t="shared" si="165"/>
        <v>0</v>
      </c>
      <c r="AM313" s="147" t="str">
        <f t="shared" si="157"/>
        <v>0.401958636447287+0.801465237848787i</v>
      </c>
      <c r="AN313" s="147" t="str">
        <f t="shared" si="158"/>
        <v>0.929741272307911i</v>
      </c>
      <c r="AO313" s="147" t="str">
        <f t="shared" si="159"/>
        <v>0.862030396756828-0.432333863645204i</v>
      </c>
      <c r="AP313" s="147" t="str">
        <f t="shared" si="160"/>
        <v>0.0996735605921188-0.133577539641464i</v>
      </c>
      <c r="AQ313" s="147" t="str">
        <f t="shared" si="161"/>
        <v>0.900326439407881+0.133577539641464i</v>
      </c>
      <c r="AR313" s="147" t="str">
        <f t="shared" si="162"/>
        <v>0.905292335644129-0.134314308187092i</v>
      </c>
    </row>
    <row r="314" spans="7:44">
      <c r="G314" s="585">
        <v>22005.25</v>
      </c>
      <c r="H314" s="573">
        <f t="shared" si="154"/>
        <v>22.00525</v>
      </c>
      <c r="I314" s="574">
        <f t="shared" si="134"/>
        <v>62.162934252748158</v>
      </c>
      <c r="J314" s="575">
        <f t="shared" si="135"/>
        <v>1.5547088761674701</v>
      </c>
      <c r="K314" s="575">
        <f t="shared" si="136"/>
        <v>1.0004625165664547</v>
      </c>
      <c r="L314" s="576">
        <f t="shared" si="137"/>
        <v>3.0408497786202134E-2</v>
      </c>
      <c r="M314" s="575">
        <f t="shared" si="138"/>
        <v>1.0010641280510741</v>
      </c>
      <c r="N314" s="576">
        <f t="shared" si="139"/>
        <v>-4.6112585412987829E-2</v>
      </c>
      <c r="O314" s="574">
        <f t="shared" si="140"/>
        <v>912536.21793119295</v>
      </c>
      <c r="P314" s="577">
        <f t="shared" si="141"/>
        <v>1.5707952309479809</v>
      </c>
      <c r="Q314" s="586">
        <f t="shared" si="163"/>
        <v>36.819209829507713</v>
      </c>
      <c r="R314" s="587">
        <f t="shared" si="164"/>
        <v>1.5436332511251383</v>
      </c>
      <c r="S314" s="574">
        <f t="shared" si="142"/>
        <v>1.0030865909773923</v>
      </c>
      <c r="T314" s="577">
        <f t="shared" si="143"/>
        <v>7.8468753388023699E-2</v>
      </c>
      <c r="U314" s="578">
        <f t="shared" si="155"/>
        <v>0.88144696684402402</v>
      </c>
      <c r="V314" s="579">
        <f t="shared" si="156"/>
        <v>-0.61533223015772232</v>
      </c>
      <c r="W314" s="580">
        <f t="shared" si="144"/>
        <v>-15.1458297904973</v>
      </c>
      <c r="X314" s="581">
        <f t="shared" si="145"/>
        <v>-131.28617005432321</v>
      </c>
      <c r="Y314" s="584">
        <f t="shared" si="146"/>
        <v>48.713829945676792</v>
      </c>
      <c r="AA314" s="147">
        <f t="shared" si="147"/>
        <v>22005.25</v>
      </c>
      <c r="AB314" s="147">
        <f t="shared" si="148"/>
        <v>484231027.5625</v>
      </c>
      <c r="AD314" s="583">
        <f t="shared" si="149"/>
        <v>17.195168676631734</v>
      </c>
      <c r="AE314" s="584">
        <f t="shared" si="150"/>
        <v>-6.0521952067706621</v>
      </c>
      <c r="AG314" s="583">
        <f t="shared" si="151"/>
        <v>-1.5215706899820272</v>
      </c>
      <c r="AH314" s="584">
        <f t="shared" si="152"/>
        <v>-54.722095194160836</v>
      </c>
      <c r="AJ314" s="147">
        <f t="shared" si="153"/>
        <v>0</v>
      </c>
      <c r="AK314" s="147">
        <f t="shared" si="165"/>
        <v>0</v>
      </c>
      <c r="AM314" s="147" t="str">
        <f t="shared" si="157"/>
        <v>0.406301440117835+0.80468752941365i</v>
      </c>
      <c r="AN314" s="147" t="str">
        <f t="shared" si="158"/>
        <v>0.935148968482204i</v>
      </c>
      <c r="AO314" s="147" t="str">
        <f t="shared" si="159"/>
        <v>0.860491276293338-0.434477771789968i</v>
      </c>
      <c r="AP314" s="147" t="str">
        <f t="shared" si="160"/>
        <v>0.0989497599803608-0.134114588235608i</v>
      </c>
      <c r="AQ314" s="147" t="str">
        <f t="shared" si="161"/>
        <v>0.901050240019639+0.134114588235608i</v>
      </c>
      <c r="AR314" s="147" t="str">
        <f t="shared" si="162"/>
        <v>0.904439708916704-0.134619085327199i</v>
      </c>
    </row>
    <row r="315" spans="7:44">
      <c r="G315" s="585">
        <v>22132.5</v>
      </c>
      <c r="H315" s="573">
        <f t="shared" si="154"/>
        <v>22.1325</v>
      </c>
      <c r="I315" s="574">
        <f t="shared" si="134"/>
        <v>62.522311775250579</v>
      </c>
      <c r="J315" s="575">
        <f t="shared" si="135"/>
        <v>1.5548013545564459</v>
      </c>
      <c r="K315" s="575">
        <f t="shared" si="136"/>
        <v>1.000467879977686</v>
      </c>
      <c r="L315" s="576">
        <f t="shared" si="137"/>
        <v>3.0584232019028806E-2</v>
      </c>
      <c r="M315" s="575">
        <f t="shared" si="138"/>
        <v>1.0010764640889791</v>
      </c>
      <c r="N315" s="576">
        <f t="shared" si="139"/>
        <v>-4.6378860041942471E-2</v>
      </c>
      <c r="O315" s="574">
        <f t="shared" si="140"/>
        <v>917813.15110539482</v>
      </c>
      <c r="P315" s="577">
        <f t="shared" si="141"/>
        <v>1.5707952372485126</v>
      </c>
      <c r="Q315" s="586">
        <f t="shared" si="163"/>
        <v>37.031968071403128</v>
      </c>
      <c r="R315" s="587">
        <f t="shared" si="164"/>
        <v>1.5437893480884679</v>
      </c>
      <c r="S315" s="574">
        <f t="shared" si="142"/>
        <v>1.0031223362007466</v>
      </c>
      <c r="T315" s="577">
        <f t="shared" si="143"/>
        <v>7.8920639065089213E-2</v>
      </c>
      <c r="U315" s="578">
        <f t="shared" si="155"/>
        <v>0.88029843116092488</v>
      </c>
      <c r="V315" s="579">
        <f t="shared" si="156"/>
        <v>-0.61849708413655879</v>
      </c>
      <c r="W315" s="580">
        <f t="shared" si="144"/>
        <v>-15.207418070220339</v>
      </c>
      <c r="X315" s="581">
        <f t="shared" si="145"/>
        <v>-131.49493684020089</v>
      </c>
      <c r="Y315" s="584">
        <f t="shared" si="146"/>
        <v>48.505063159799107</v>
      </c>
      <c r="AA315" s="147">
        <f t="shared" si="147"/>
        <v>22132.5</v>
      </c>
      <c r="AB315" s="147">
        <f t="shared" si="148"/>
        <v>489847556.25</v>
      </c>
      <c r="AD315" s="583">
        <f t="shared" si="149"/>
        <v>17.19482242648159</v>
      </c>
      <c r="AE315" s="584">
        <f t="shared" si="150"/>
        <v>-6.0691430127085653</v>
      </c>
      <c r="AG315" s="583">
        <f t="shared" si="151"/>
        <v>-1.5601623283839912</v>
      </c>
      <c r="AH315" s="584">
        <f t="shared" si="152"/>
        <v>-54.551248622161154</v>
      </c>
      <c r="AJ315" s="147">
        <f t="shared" si="153"/>
        <v>0</v>
      </c>
      <c r="AK315" s="147">
        <f t="shared" si="165"/>
        <v>0</v>
      </c>
      <c r="AM315" s="147" t="str">
        <f t="shared" si="157"/>
        <v>0.410661605378687+0.80788628941527i</v>
      </c>
      <c r="AN315" s="147" t="str">
        <f t="shared" si="158"/>
        <v>0.940556664656497i</v>
      </c>
      <c r="AO315" s="147" t="str">
        <f t="shared" si="159"/>
        <v>0.858944835301678-0.436615486137314i</v>
      </c>
      <c r="AP315" s="147" t="str">
        <f t="shared" si="160"/>
        <v>0.0982230657702188-0.134647714902545i</v>
      </c>
      <c r="AQ315" s="147" t="str">
        <f t="shared" si="161"/>
        <v>0.901776934229781+0.134647714902545i</v>
      </c>
      <c r="AR315" s="147" t="str">
        <f t="shared" si="162"/>
        <v>0.903586660766852-0.134917931996779i</v>
      </c>
    </row>
    <row r="316" spans="7:44">
      <c r="G316" s="585">
        <v>22259.75</v>
      </c>
      <c r="H316" s="573">
        <f t="shared" si="154"/>
        <v>22.25975</v>
      </c>
      <c r="I316" s="574">
        <f t="shared" si="134"/>
        <v>62.881689826347746</v>
      </c>
      <c r="J316" s="575">
        <f t="shared" si="135"/>
        <v>1.5548927758911681</v>
      </c>
      <c r="K316" s="575">
        <f t="shared" si="136"/>
        <v>1.0004732742855555</v>
      </c>
      <c r="L316" s="576">
        <f t="shared" si="137"/>
        <v>3.0759964362250244E-2</v>
      </c>
      <c r="M316" s="575">
        <f t="shared" si="138"/>
        <v>1.0010888711036334</v>
      </c>
      <c r="N316" s="576">
        <f t="shared" si="139"/>
        <v>-4.6645128089615996E-2</v>
      </c>
      <c r="O316" s="574">
        <f t="shared" si="140"/>
        <v>923090.08427959669</v>
      </c>
      <c r="P316" s="577">
        <f t="shared" si="141"/>
        <v>1.5707952434770092</v>
      </c>
      <c r="Q316" s="586">
        <f t="shared" si="163"/>
        <v>37.244727205320146</v>
      </c>
      <c r="R316" s="587">
        <f t="shared" si="164"/>
        <v>1.5439436616592015</v>
      </c>
      <c r="S316" s="574">
        <f t="shared" si="142"/>
        <v>1.0031582862477268</v>
      </c>
      <c r="T316" s="577">
        <f t="shared" si="143"/>
        <v>7.9372492446086962E-2</v>
      </c>
      <c r="U316" s="578">
        <f t="shared" si="155"/>
        <v>0.87914746268876631</v>
      </c>
      <c r="V316" s="579">
        <f t="shared" si="156"/>
        <v>-0.62165639902339087</v>
      </c>
      <c r="W316" s="580">
        <f t="shared" si="144"/>
        <v>-15.268758515447189</v>
      </c>
      <c r="X316" s="581">
        <f t="shared" si="145"/>
        <v>-131.70342575223668</v>
      </c>
      <c r="Y316" s="584">
        <f t="shared" si="146"/>
        <v>48.296574247763317</v>
      </c>
      <c r="AA316" s="147">
        <f t="shared" si="147"/>
        <v>22259.75</v>
      </c>
      <c r="AB316" s="147">
        <f t="shared" si="148"/>
        <v>495496470.0625</v>
      </c>
      <c r="AD316" s="583">
        <f t="shared" si="149"/>
        <v>17.194475041726662</v>
      </c>
      <c r="AE316" s="584">
        <f t="shared" si="150"/>
        <v>-6.0861911449598791</v>
      </c>
      <c r="AG316" s="583">
        <f t="shared" si="151"/>
        <v>-1.5984273547923575</v>
      </c>
      <c r="AH316" s="584">
        <f t="shared" si="152"/>
        <v>-54.380658583195284</v>
      </c>
      <c r="AJ316" s="147">
        <f t="shared" si="153"/>
        <v>0</v>
      </c>
      <c r="AK316" s="147">
        <f t="shared" si="165"/>
        <v>0</v>
      </c>
      <c r="AM316" s="147" t="str">
        <f t="shared" si="157"/>
        <v>0.415039004725066+0.811061424311969i</v>
      </c>
      <c r="AN316" s="147" t="str">
        <f t="shared" si="158"/>
        <v>0.94596436083079i</v>
      </c>
      <c r="AO316" s="147" t="str">
        <f t="shared" si="159"/>
        <v>0.857391100442364-0.438746978121416i</v>
      </c>
      <c r="AP316" s="147" t="str">
        <f t="shared" si="160"/>
        <v>0.097493499212489-0.135176904051995i</v>
      </c>
      <c r="AQ316" s="147" t="str">
        <f t="shared" si="161"/>
        <v>0.902506500787511+0.135176904051995i</v>
      </c>
      <c r="AR316" s="147" t="str">
        <f t="shared" si="162"/>
        <v>0.902733235999858-0.135210864321553i</v>
      </c>
    </row>
    <row r="317" spans="7:44">
      <c r="G317" s="585">
        <v>22387</v>
      </c>
      <c r="H317" s="573">
        <f t="shared" si="154"/>
        <v>22.387</v>
      </c>
      <c r="I317" s="574">
        <f t="shared" si="134"/>
        <v>63.24106839702818</v>
      </c>
      <c r="J317" s="575">
        <f t="shared" si="135"/>
        <v>1.5549831581907896</v>
      </c>
      <c r="K317" s="575">
        <f t="shared" si="136"/>
        <v>1.0004786994895631</v>
      </c>
      <c r="L317" s="576">
        <f t="shared" si="137"/>
        <v>3.0935694805043223E-2</v>
      </c>
      <c r="M317" s="575">
        <f t="shared" si="138"/>
        <v>1.0011013490923986</v>
      </c>
      <c r="N317" s="576">
        <f t="shared" si="139"/>
        <v>-4.691138951849768E-2</v>
      </c>
      <c r="O317" s="574">
        <f t="shared" si="140"/>
        <v>928367.01745379867</v>
      </c>
      <c r="P317" s="577">
        <f t="shared" si="141"/>
        <v>1.5707952496346991</v>
      </c>
      <c r="Q317" s="586">
        <f t="shared" si="163"/>
        <v>37.457487216058674</v>
      </c>
      <c r="R317" s="587">
        <f t="shared" si="164"/>
        <v>1.5440962222191481</v>
      </c>
      <c r="S317" s="574">
        <f t="shared" si="142"/>
        <v>1.0031944410963134</v>
      </c>
      <c r="T317" s="577">
        <f t="shared" si="143"/>
        <v>7.982431334998781E-2</v>
      </c>
      <c r="U317" s="578">
        <f t="shared" si="155"/>
        <v>0.87799410738165529</v>
      </c>
      <c r="V317" s="579">
        <f t="shared" si="156"/>
        <v>-0.62481017251770998</v>
      </c>
      <c r="W317" s="580">
        <f t="shared" si="144"/>
        <v>-15.329854087112322</v>
      </c>
      <c r="X317" s="581">
        <f t="shared" si="145"/>
        <v>-131.91163593846215</v>
      </c>
      <c r="Y317" s="584">
        <f t="shared" si="146"/>
        <v>48.088364061537845</v>
      </c>
      <c r="AA317" s="147">
        <f t="shared" si="147"/>
        <v>22387</v>
      </c>
      <c r="AB317" s="147">
        <f t="shared" si="148"/>
        <v>501177769</v>
      </c>
      <c r="AD317" s="583">
        <f t="shared" si="149"/>
        <v>17.194126508521784</v>
      </c>
      <c r="AE317" s="584">
        <f t="shared" si="150"/>
        <v>-6.1033378524733264</v>
      </c>
      <c r="AG317" s="583">
        <f t="shared" si="151"/>
        <v>-1.6363693591668542</v>
      </c>
      <c r="AH317" s="584">
        <f t="shared" si="152"/>
        <v>-54.210326239964978</v>
      </c>
      <c r="AJ317" s="147">
        <f t="shared" si="153"/>
        <v>0</v>
      </c>
      <c r="AK317" s="147">
        <f t="shared" si="165"/>
        <v>0</v>
      </c>
      <c r="AM317" s="147" t="str">
        <f t="shared" si="157"/>
        <v>0.419433510148216+0.814212841252936i</v>
      </c>
      <c r="AN317" s="147" t="str">
        <f t="shared" si="158"/>
        <v>0.951372057005083i</v>
      </c>
      <c r="AO317" s="147" t="str">
        <f t="shared" si="159"/>
        <v>0.85583009849593-0.440872219296194i</v>
      </c>
      <c r="AP317" s="147" t="str">
        <f t="shared" si="160"/>
        <v>0.096761081641964-0.135702140208823i</v>
      </c>
      <c r="AQ317" s="147" t="str">
        <f t="shared" si="161"/>
        <v>0.903238918358036+0.135702140208823i</v>
      </c>
      <c r="AR317" s="147" t="str">
        <f t="shared" si="162"/>
        <v>0.901879479047594-0.135497898761559i</v>
      </c>
    </row>
    <row r="318" spans="7:44">
      <c r="G318" s="585">
        <v>22517.5</v>
      </c>
      <c r="H318" s="573">
        <f t="shared" si="154"/>
        <v>22.517499999999998</v>
      </c>
      <c r="I318" s="574">
        <f t="shared" si="134"/>
        <v>63.609626125684031</v>
      </c>
      <c r="J318" s="575">
        <f t="shared" si="135"/>
        <v>1.5550747881448361</v>
      </c>
      <c r="K318" s="575">
        <f t="shared" si="136"/>
        <v>1.000484295344106</v>
      </c>
      <c r="L318" s="576">
        <f t="shared" si="137"/>
        <v>3.1115911466488785E-2</v>
      </c>
      <c r="M318" s="575">
        <f t="shared" si="138"/>
        <v>1.001114219485955</v>
      </c>
      <c r="N318" s="576">
        <f t="shared" si="139"/>
        <v>-4.7184444423703009E-2</v>
      </c>
      <c r="O318" s="574">
        <f t="shared" si="140"/>
        <v>933778.72495268553</v>
      </c>
      <c r="P318" s="577">
        <f t="shared" si="141"/>
        <v>1.5707952558773728</v>
      </c>
      <c r="Q318" s="586">
        <f t="shared" si="163"/>
        <v>37.675682071129913</v>
      </c>
      <c r="R318" s="587">
        <f t="shared" si="164"/>
        <v>1.5442508895778491</v>
      </c>
      <c r="S318" s="574">
        <f t="shared" si="142"/>
        <v>1.0032317320409194</v>
      </c>
      <c r="T318" s="577">
        <f t="shared" si="143"/>
        <v>8.0287639962606017E-2</v>
      </c>
      <c r="U318" s="578">
        <f t="shared" si="155"/>
        <v>0.87680886387203349</v>
      </c>
      <c r="V318" s="579">
        <f t="shared" si="156"/>
        <v>-0.62803873665465959</v>
      </c>
      <c r="W318" s="580">
        <f t="shared" si="144"/>
        <v>-15.392258765485378</v>
      </c>
      <c r="X318" s="581">
        <f t="shared" si="145"/>
        <v>-132.124873517065</v>
      </c>
      <c r="Y318" s="584">
        <f t="shared" si="146"/>
        <v>47.875126482935002</v>
      </c>
      <c r="AA318" s="147">
        <f t="shared" si="147"/>
        <v>22517.5</v>
      </c>
      <c r="AB318" s="147">
        <f t="shared" si="148"/>
        <v>507037806.25</v>
      </c>
      <c r="AD318" s="583">
        <f t="shared" si="149"/>
        <v>17.193767866782789</v>
      </c>
      <c r="AE318" s="584">
        <f t="shared" si="150"/>
        <v>-6.1210230827295042</v>
      </c>
      <c r="AG318" s="583">
        <f t="shared" si="151"/>
        <v>-1.6749486110895251</v>
      </c>
      <c r="AH318" s="584">
        <f t="shared" si="152"/>
        <v>-54.03591239001986</v>
      </c>
      <c r="AJ318" s="147">
        <f t="shared" si="153"/>
        <v>0</v>
      </c>
      <c r="AK318" s="147">
        <f t="shared" si="165"/>
        <v>0</v>
      </c>
      <c r="AM318" s="147" t="str">
        <f t="shared" si="157"/>
        <v>0.423957884831618+0.817420015385198i</v>
      </c>
      <c r="AN318" s="147" t="str">
        <f t="shared" si="158"/>
        <v>0.956917867227049i</v>
      </c>
      <c r="AO318" s="147" t="str">
        <f t="shared" si="159"/>
        <v>0.854221708446006-0.443045217726115i</v>
      </c>
      <c r="AP318" s="147" t="str">
        <f t="shared" si="160"/>
        <v>0.0960070191947303-0.136236669230866i</v>
      </c>
      <c r="AQ318" s="147" t="str">
        <f t="shared" si="161"/>
        <v>0.90399298080527+0.136236669230866i</v>
      </c>
      <c r="AR318" s="147" t="str">
        <f t="shared" si="162"/>
        <v>0.901003618034348-0.135786155968395i</v>
      </c>
    </row>
    <row r="319" spans="7:44">
      <c r="G319" s="585">
        <v>22648</v>
      </c>
      <c r="H319" s="573">
        <f t="shared" si="154"/>
        <v>22.648</v>
      </c>
      <c r="I319" s="574">
        <f t="shared" si="134"/>
        <v>63.978184382256195</v>
      </c>
      <c r="J319" s="575">
        <f t="shared" si="135"/>
        <v>1.5551653623967758</v>
      </c>
      <c r="K319" s="575">
        <f t="shared" si="136"/>
        <v>1.0004899236920588</v>
      </c>
      <c r="L319" s="576">
        <f t="shared" si="137"/>
        <v>3.1296126106136551E-2</v>
      </c>
      <c r="M319" s="575">
        <f t="shared" si="138"/>
        <v>1.0011271645196456</v>
      </c>
      <c r="N319" s="576">
        <f t="shared" si="139"/>
        <v>-4.7457492287815595E-2</v>
      </c>
      <c r="O319" s="574">
        <f t="shared" si="140"/>
        <v>939190.43245157239</v>
      </c>
      <c r="P319" s="577">
        <f t="shared" si="141"/>
        <v>1.5707952620481047</v>
      </c>
      <c r="Q319" s="586">
        <f t="shared" si="163"/>
        <v>37.893877817099295</v>
      </c>
      <c r="R319" s="587">
        <f t="shared" si="164"/>
        <v>1.5444037757680331</v>
      </c>
      <c r="S319" s="574">
        <f t="shared" si="142"/>
        <v>1.0032692383347994</v>
      </c>
      <c r="T319" s="577">
        <f t="shared" si="143"/>
        <v>8.0750932032598657E-2</v>
      </c>
      <c r="U319" s="578">
        <f t="shared" si="155"/>
        <v>0.87562120710976898</v>
      </c>
      <c r="V319" s="579">
        <f t="shared" si="156"/>
        <v>-0.63126146875044165</v>
      </c>
      <c r="W319" s="580">
        <f t="shared" si="144"/>
        <v>-15.454412034262168</v>
      </c>
      <c r="X319" s="581">
        <f t="shared" si="145"/>
        <v>-132.33781623963313</v>
      </c>
      <c r="Y319" s="584">
        <f t="shared" si="146"/>
        <v>47.662183760366872</v>
      </c>
      <c r="AA319" s="147">
        <f t="shared" si="147"/>
        <v>22648</v>
      </c>
      <c r="AB319" s="147">
        <f t="shared" si="148"/>
        <v>512931904</v>
      </c>
      <c r="AD319" s="583">
        <f t="shared" si="149"/>
        <v>17.193407988971128</v>
      </c>
      <c r="AE319" s="584">
        <f t="shared" si="150"/>
        <v>-6.1388083831558049</v>
      </c>
      <c r="AG319" s="583">
        <f t="shared" si="151"/>
        <v>-1.7131955968311374</v>
      </c>
      <c r="AH319" s="584">
        <f t="shared" si="152"/>
        <v>-53.861771916560336</v>
      </c>
      <c r="AJ319" s="147">
        <f t="shared" si="153"/>
        <v>0</v>
      </c>
      <c r="AK319" s="147">
        <f t="shared" si="165"/>
        <v>0</v>
      </c>
      <c r="AM319" s="147" t="str">
        <f t="shared" si="157"/>
        <v>0.428499976227254+0.820602049002896i</v>
      </c>
      <c r="AN319" s="147" t="str">
        <f t="shared" si="158"/>
        <v>0.962463677449016i</v>
      </c>
      <c r="AO319" s="147" t="str">
        <f t="shared" si="159"/>
        <v>0.852605732798021-0.445211581763773i</v>
      </c>
      <c r="AP319" s="147" t="str">
        <f t="shared" si="160"/>
        <v>0.0952500039621243-0.136767008167149i</v>
      </c>
      <c r="AQ319" s="147" t="str">
        <f t="shared" si="161"/>
        <v>0.904749996037876+0.136767008167149i</v>
      </c>
      <c r="AR319" s="147" t="str">
        <f t="shared" si="162"/>
        <v>0.900127501093684-0.136068246291986i</v>
      </c>
    </row>
    <row r="320" spans="7:44">
      <c r="G320" s="585">
        <v>22778.5</v>
      </c>
      <c r="H320" s="573">
        <f t="shared" si="154"/>
        <v>22.778500000000001</v>
      </c>
      <c r="I320" s="574">
        <f t="shared" si="134"/>
        <v>64.34674315767343</v>
      </c>
      <c r="J320" s="575">
        <f t="shared" si="135"/>
        <v>1.5552548990853416</v>
      </c>
      <c r="K320" s="575">
        <f t="shared" si="136"/>
        <v>1.0004955845328731</v>
      </c>
      <c r="L320" s="576">
        <f t="shared" si="137"/>
        <v>3.1476338712314963E-2</v>
      </c>
      <c r="M320" s="575">
        <f t="shared" si="138"/>
        <v>1.0011401841905745</v>
      </c>
      <c r="N320" s="576">
        <f t="shared" si="139"/>
        <v>-4.7730533070395112E-2</v>
      </c>
      <c r="O320" s="574">
        <f t="shared" si="140"/>
        <v>944602.13995045936</v>
      </c>
      <c r="P320" s="577">
        <f t="shared" si="141"/>
        <v>1.5707952681481312</v>
      </c>
      <c r="Q320" s="586">
        <f t="shared" si="163"/>
        <v>38.11207443866536</v>
      </c>
      <c r="R320" s="587">
        <f t="shared" si="164"/>
        <v>1.5445549113747605</v>
      </c>
      <c r="S320" s="574">
        <f t="shared" si="142"/>
        <v>1.0033069599538023</v>
      </c>
      <c r="T320" s="577">
        <f t="shared" si="143"/>
        <v>8.1214189364969255E-2</v>
      </c>
      <c r="U320" s="578">
        <f t="shared" si="155"/>
        <v>0.87443118580553514</v>
      </c>
      <c r="V320" s="579">
        <f t="shared" si="156"/>
        <v>-0.6344783672568326</v>
      </c>
      <c r="W320" s="580">
        <f t="shared" si="144"/>
        <v>-15.516316911391241</v>
      </c>
      <c r="X320" s="581">
        <f t="shared" si="145"/>
        <v>-132.55046329158773</v>
      </c>
      <c r="Y320" s="584">
        <f t="shared" si="146"/>
        <v>47.449536708412268</v>
      </c>
      <c r="AA320" s="147">
        <f t="shared" si="147"/>
        <v>22778.5</v>
      </c>
      <c r="AB320" s="147">
        <f t="shared" si="148"/>
        <v>518860062.25</v>
      </c>
      <c r="AD320" s="583">
        <f t="shared" si="149"/>
        <v>17.193046861428677</v>
      </c>
      <c r="AE320" s="584">
        <f t="shared" si="150"/>
        <v>-6.1566919902556956</v>
      </c>
      <c r="AG320" s="583">
        <f t="shared" si="151"/>
        <v>-1.7511140073124585</v>
      </c>
      <c r="AH320" s="584">
        <f t="shared" si="152"/>
        <v>-53.687905945917606</v>
      </c>
      <c r="AJ320" s="147">
        <f t="shared" si="153"/>
        <v>0</v>
      </c>
      <c r="AK320" s="147">
        <f t="shared" si="165"/>
        <v>0</v>
      </c>
      <c r="AM320" s="147" t="str">
        <f t="shared" si="157"/>
        <v>0.433059644638867+0.823758844239619i</v>
      </c>
      <c r="AN320" s="147" t="str">
        <f t="shared" si="158"/>
        <v>0.968009487670982i</v>
      </c>
      <c r="AO320" s="147" t="str">
        <f t="shared" si="159"/>
        <v>0.850982200826948-0.44737128112329i</v>
      </c>
      <c r="AP320" s="147" t="str">
        <f t="shared" si="160"/>
        <v>0.0944900592268555-0.137293140706603i</v>
      </c>
      <c r="AQ320" s="147" t="str">
        <f t="shared" si="161"/>
        <v>0.905509940773145+0.137293140706603i</v>
      </c>
      <c r="AR320" s="147" t="str">
        <f t="shared" si="162"/>
        <v>0.899251174916085-0.13634418853858i</v>
      </c>
    </row>
    <row r="321" spans="7:44">
      <c r="G321" s="585">
        <v>22909</v>
      </c>
      <c r="H321" s="573">
        <f t="shared" si="154"/>
        <v>22.908999999999999</v>
      </c>
      <c r="I321" s="574">
        <f t="shared" si="134"/>
        <v>64.715302443071124</v>
      </c>
      <c r="J321" s="575">
        <f t="shared" si="135"/>
        <v>1.5553434159361266</v>
      </c>
      <c r="K321" s="575">
        <f t="shared" si="136"/>
        <v>1.0005012778659974</v>
      </c>
      <c r="L321" s="576">
        <f t="shared" si="137"/>
        <v>3.165654927335327E-2</v>
      </c>
      <c r="M321" s="575">
        <f t="shared" si="138"/>
        <v>1.0011532784958299</v>
      </c>
      <c r="N321" s="576">
        <f t="shared" si="139"/>
        <v>-4.8003566731007571E-2</v>
      </c>
      <c r="O321" s="574">
        <f t="shared" si="140"/>
        <v>950013.84744934633</v>
      </c>
      <c r="P321" s="577">
        <f t="shared" si="141"/>
        <v>1.5707952741786608</v>
      </c>
      <c r="Q321" s="586">
        <f t="shared" si="163"/>
        <v>38.330271920874999</v>
      </c>
      <c r="R321" s="587">
        <f t="shared" si="164"/>
        <v>1.5447043262869864</v>
      </c>
      <c r="S321" s="574">
        <f t="shared" si="142"/>
        <v>1.0033448968736423</v>
      </c>
      <c r="T321" s="577">
        <f t="shared" si="143"/>
        <v>8.1677411764810193E-2</v>
      </c>
      <c r="U321" s="578">
        <f t="shared" si="155"/>
        <v>0.87323884837639398</v>
      </c>
      <c r="V321" s="579">
        <f t="shared" si="156"/>
        <v>-0.63768943093507457</v>
      </c>
      <c r="W321" s="580">
        <f t="shared" si="144"/>
        <v>-15.577976358286154</v>
      </c>
      <c r="X321" s="581">
        <f t="shared" si="145"/>
        <v>-132.76281389229797</v>
      </c>
      <c r="Y321" s="584">
        <f t="shared" si="146"/>
        <v>47.23718610770203</v>
      </c>
      <c r="AA321" s="147">
        <f t="shared" si="147"/>
        <v>22909</v>
      </c>
      <c r="AB321" s="147">
        <f t="shared" si="148"/>
        <v>524822281</v>
      </c>
      <c r="AD321" s="583">
        <f t="shared" si="149"/>
        <v>17.192684470899106</v>
      </c>
      <c r="AE321" s="584">
        <f t="shared" si="150"/>
        <v>-6.1746721804200932</v>
      </c>
      <c r="AG321" s="583">
        <f t="shared" si="151"/>
        <v>-1.7887074749565122</v>
      </c>
      <c r="AH321" s="584">
        <f t="shared" si="152"/>
        <v>-53.514315563020915</v>
      </c>
      <c r="AJ321" s="147">
        <f t="shared" si="153"/>
        <v>0</v>
      </c>
      <c r="AK321" s="147">
        <f t="shared" si="165"/>
        <v>0</v>
      </c>
      <c r="AM321" s="147" t="str">
        <f t="shared" si="157"/>
        <v>0.437636749829607+0.826890304005188i</v>
      </c>
      <c r="AN321" s="147" t="str">
        <f t="shared" si="158"/>
        <v>0.973555297892949i</v>
      </c>
      <c r="AO321" s="147" t="str">
        <f t="shared" si="159"/>
        <v>0.849351141938023-0.449524285653601i</v>
      </c>
      <c r="AP321" s="147" t="str">
        <f t="shared" si="160"/>
        <v>0.0937272083617322-0.137815050667531i</v>
      </c>
      <c r="AQ321" s="147" t="str">
        <f t="shared" si="161"/>
        <v>0.906272791638268+0.137815050667531i</v>
      </c>
      <c r="AR321" s="147" t="str">
        <f t="shared" si="162"/>
        <v>0.898374685772758-0.136614001855214i</v>
      </c>
    </row>
    <row r="322" spans="7:44">
      <c r="G322" s="585">
        <v>23042.25</v>
      </c>
      <c r="H322" s="573">
        <f t="shared" si="154"/>
        <v>23.042249999999999</v>
      </c>
      <c r="I322" s="574">
        <f t="shared" si="134"/>
        <v>65.091628820660958</v>
      </c>
      <c r="J322" s="575">
        <f t="shared" si="135"/>
        <v>1.5554327637830785</v>
      </c>
      <c r="K322" s="575">
        <f t="shared" si="136"/>
        <v>1.0005071246995785</v>
      </c>
      <c r="L322" s="576">
        <f t="shared" si="137"/>
        <v>3.1840555252584397E-2</v>
      </c>
      <c r="M322" s="575">
        <f t="shared" si="138"/>
        <v>1.0011667257417072</v>
      </c>
      <c r="N322" s="576">
        <f t="shared" si="139"/>
        <v>-4.8282346583831015E-2</v>
      </c>
      <c r="O322" s="574">
        <f t="shared" si="140"/>
        <v>955539.59476142831</v>
      </c>
      <c r="P322" s="577">
        <f t="shared" si="141"/>
        <v>1.5707952802657883</v>
      </c>
      <c r="Q322" s="586">
        <f t="shared" si="163"/>
        <v>38.553068307173923</v>
      </c>
      <c r="R322" s="587">
        <f t="shared" si="164"/>
        <v>1.5448551446735155</v>
      </c>
      <c r="S322" s="574">
        <f t="shared" si="142"/>
        <v>1.0033838553592409</v>
      </c>
      <c r="T322" s="577">
        <f t="shared" si="143"/>
        <v>8.2150359309312609E-2</v>
      </c>
      <c r="U322" s="578">
        <f t="shared" si="155"/>
        <v>0.87201904521271034</v>
      </c>
      <c r="V322" s="579">
        <f t="shared" si="156"/>
        <v>-0.64096213918139977</v>
      </c>
      <c r="W322" s="580">
        <f t="shared" si="144"/>
        <v>-15.64068491909326</v>
      </c>
      <c r="X322" s="581">
        <f t="shared" si="145"/>
        <v>-132.97933265011804</v>
      </c>
      <c r="Y322" s="584">
        <f t="shared" si="146"/>
        <v>47.020667349881961</v>
      </c>
      <c r="AA322" s="147">
        <f t="shared" si="147"/>
        <v>23042.25</v>
      </c>
      <c r="AB322" s="147">
        <f t="shared" si="148"/>
        <v>530945285.0625</v>
      </c>
      <c r="AD322" s="583">
        <f t="shared" si="149"/>
        <v>17.192313127229053</v>
      </c>
      <c r="AE322" s="584">
        <f t="shared" si="150"/>
        <v>-6.1931291704178735</v>
      </c>
      <c r="AG322" s="583">
        <f t="shared" si="151"/>
        <v>-1.8267615705582263</v>
      </c>
      <c r="AH322" s="584">
        <f t="shared" si="152"/>
        <v>-53.337352590230481</v>
      </c>
      <c r="AJ322" s="147">
        <f t="shared" si="153"/>
        <v>0</v>
      </c>
      <c r="AK322" s="147">
        <f t="shared" si="165"/>
        <v>0</v>
      </c>
      <c r="AM322" s="147" t="str">
        <f t="shared" si="157"/>
        <v>0.442328152964437+0.830061510385793i</v>
      </c>
      <c r="AN322" s="147" t="str">
        <f t="shared" si="158"/>
        <v>0.979217973847562i</v>
      </c>
      <c r="AO322" s="147" t="str">
        <f t="shared" si="159"/>
        <v>0.847677976257216-0.451715720889428i</v>
      </c>
      <c r="AP322" s="147" t="str">
        <f t="shared" si="160"/>
        <v>0.0929453078392605-0.138343585064299i</v>
      </c>
      <c r="AQ322" s="147" t="str">
        <f t="shared" si="161"/>
        <v>0.90705469216074+0.138343585064299i</v>
      </c>
      <c r="AR322" s="147" t="str">
        <f t="shared" si="162"/>
        <v>0.897479606038718-0.136883197115404i</v>
      </c>
    </row>
    <row r="323" spans="7:44">
      <c r="G323" s="585">
        <v>23175.5</v>
      </c>
      <c r="H323" s="573">
        <f t="shared" si="154"/>
        <v>23.1755</v>
      </c>
      <c r="I323" s="574">
        <f t="shared" si="134"/>
        <v>65.467955711905816</v>
      </c>
      <c r="J323" s="575">
        <f t="shared" si="135"/>
        <v>1.5555210844412553</v>
      </c>
      <c r="K323" s="575">
        <f t="shared" si="136"/>
        <v>1.0005130054081333</v>
      </c>
      <c r="L323" s="576">
        <f t="shared" si="137"/>
        <v>3.2024559074984096E-2</v>
      </c>
      <c r="M323" s="575">
        <f t="shared" si="138"/>
        <v>1.0011802507943728</v>
      </c>
      <c r="N323" s="576">
        <f t="shared" si="139"/>
        <v>-4.8561118926185087E-2</v>
      </c>
      <c r="O323" s="574">
        <f t="shared" si="140"/>
        <v>961065.34207351028</v>
      </c>
      <c r="P323" s="577">
        <f t="shared" si="141"/>
        <v>1.5707952862829186</v>
      </c>
      <c r="Q323" s="586">
        <f t="shared" si="163"/>
        <v>38.7758655603308</v>
      </c>
      <c r="R323" s="587">
        <f t="shared" si="164"/>
        <v>1.5450042299275077</v>
      </c>
      <c r="S323" s="574">
        <f t="shared" si="142"/>
        <v>1.0034230382636611</v>
      </c>
      <c r="T323" s="577">
        <f t="shared" si="143"/>
        <v>8.2623270023106654E-2</v>
      </c>
      <c r="U323" s="578">
        <f t="shared" si="155"/>
        <v>0.87079692835751998</v>
      </c>
      <c r="V323" s="579">
        <f t="shared" si="156"/>
        <v>-0.64422876246013527</v>
      </c>
      <c r="W323" s="580">
        <f t="shared" si="144"/>
        <v>-15.703143662526866</v>
      </c>
      <c r="X323" s="581">
        <f t="shared" si="145"/>
        <v>-133.19554079157896</v>
      </c>
      <c r="Y323" s="584">
        <f t="shared" si="146"/>
        <v>46.804459208421036</v>
      </c>
      <c r="AA323" s="147">
        <f t="shared" si="147"/>
        <v>23175.5</v>
      </c>
      <c r="AB323" s="147">
        <f t="shared" si="148"/>
        <v>537103800.25</v>
      </c>
      <c r="AD323" s="583">
        <f t="shared" si="149"/>
        <v>17.191940440071669</v>
      </c>
      <c r="AE323" s="584">
        <f t="shared" si="150"/>
        <v>-6.2116833473407693</v>
      </c>
      <c r="AG323" s="583">
        <f t="shared" si="151"/>
        <v>-1.8644843572066774</v>
      </c>
      <c r="AH323" s="584">
        <f t="shared" si="152"/>
        <v>-53.1606791000793</v>
      </c>
      <c r="AJ323" s="147">
        <f t="shared" si="153"/>
        <v>0</v>
      </c>
      <c r="AK323" s="147">
        <f t="shared" si="165"/>
        <v>0</v>
      </c>
      <c r="AM323" s="147" t="str">
        <f t="shared" si="157"/>
        <v>0.447037438300587+0.833206100168994i</v>
      </c>
      <c r="AN323" s="147" t="str">
        <f t="shared" si="158"/>
        <v>0.984880649802175i</v>
      </c>
      <c r="AO323" s="147" t="str">
        <f t="shared" si="159"/>
        <v>0.845997025463292-0.453900113064847i</v>
      </c>
      <c r="AP323" s="147" t="str">
        <f t="shared" si="160"/>
        <v>0.0921604269499022-0.138867683361499i</v>
      </c>
      <c r="AQ323" s="147" t="str">
        <f t="shared" si="161"/>
        <v>0.907839573050098+0.138867683361499i</v>
      </c>
      <c r="AR323" s="147" t="str">
        <f t="shared" si="162"/>
        <v>0.896584452557222-0.137146043817247i</v>
      </c>
    </row>
    <row r="324" spans="7:44">
      <c r="G324" s="585">
        <v>23308.75</v>
      </c>
      <c r="H324" s="573">
        <f t="shared" si="154"/>
        <v>23.30875</v>
      </c>
      <c r="I324" s="574">
        <f t="shared" si="134"/>
        <v>65.844283107998422</v>
      </c>
      <c r="J324" s="575">
        <f t="shared" si="135"/>
        <v>1.5556083955216968</v>
      </c>
      <c r="K324" s="575">
        <f t="shared" si="136"/>
        <v>1.0005189199910651</v>
      </c>
      <c r="L324" s="576">
        <f t="shared" si="137"/>
        <v>3.220856072813072E-2</v>
      </c>
      <c r="M324" s="575">
        <f t="shared" si="138"/>
        <v>1.0011938536506737</v>
      </c>
      <c r="N324" s="576">
        <f t="shared" si="139"/>
        <v>-4.8839883715045995E-2</v>
      </c>
      <c r="O324" s="574">
        <f t="shared" si="140"/>
        <v>966591.08938559226</v>
      </c>
      <c r="P324" s="577">
        <f t="shared" si="141"/>
        <v>1.5707952922312522</v>
      </c>
      <c r="Q324" s="586">
        <f t="shared" si="163"/>
        <v>38.998663665488678</v>
      </c>
      <c r="R324" s="587">
        <f t="shared" si="164"/>
        <v>1.5451516117462689</v>
      </c>
      <c r="S324" s="574">
        <f t="shared" si="142"/>
        <v>1.0034624455606134</v>
      </c>
      <c r="T324" s="577">
        <f t="shared" si="143"/>
        <v>8.3096143698991459E-2</v>
      </c>
      <c r="U324" s="578">
        <f t="shared" si="155"/>
        <v>0.8695725483911203</v>
      </c>
      <c r="V324" s="579">
        <f t="shared" si="156"/>
        <v>-0.647489300433012</v>
      </c>
      <c r="W324" s="580">
        <f t="shared" si="144"/>
        <v>-15.765355567253101</v>
      </c>
      <c r="X324" s="581">
        <f t="shared" si="145"/>
        <v>-133.41143759125097</v>
      </c>
      <c r="Y324" s="584">
        <f t="shared" si="146"/>
        <v>46.588562408749027</v>
      </c>
      <c r="AA324" s="147">
        <f t="shared" si="147"/>
        <v>23308.75</v>
      </c>
      <c r="AB324" s="147">
        <f t="shared" si="148"/>
        <v>543297826.5625</v>
      </c>
      <c r="AD324" s="583">
        <f t="shared" si="149"/>
        <v>17.191566396525722</v>
      </c>
      <c r="AE324" s="584">
        <f t="shared" si="150"/>
        <v>-6.2303329978555482</v>
      </c>
      <c r="AG324" s="583">
        <f t="shared" si="151"/>
        <v>-1.9018795212245341</v>
      </c>
      <c r="AH324" s="584">
        <f t="shared" si="152"/>
        <v>-52.984296119233662</v>
      </c>
      <c r="AJ324" s="147">
        <f t="shared" si="153"/>
        <v>0</v>
      </c>
      <c r="AK324" s="147">
        <f t="shared" si="165"/>
        <v>0</v>
      </c>
      <c r="AM324" s="147" t="str">
        <f t="shared" si="157"/>
        <v>0.451764454830992+0.836323972520961i</v>
      </c>
      <c r="AN324" s="147" t="str">
        <f t="shared" si="158"/>
        <v>0.990543325756788i</v>
      </c>
      <c r="AO324" s="147" t="str">
        <f t="shared" si="159"/>
        <v>0.844308321276102-0.456077430521111i</v>
      </c>
      <c r="AP324" s="147" t="str">
        <f t="shared" si="160"/>
        <v>0.0913725908615013-0.139387328753493i</v>
      </c>
      <c r="AQ324" s="147" t="str">
        <f t="shared" si="161"/>
        <v>0.908627409138499+0.139387328753493i</v>
      </c>
      <c r="AR324" s="147" t="str">
        <f t="shared" si="162"/>
        <v>0.895689273225749-0.137402563396659i</v>
      </c>
    </row>
    <row r="325" spans="7:44">
      <c r="G325" s="585">
        <v>23442</v>
      </c>
      <c r="H325" s="573">
        <f t="shared" si="154"/>
        <v>23.442</v>
      </c>
      <c r="I325" s="574">
        <f t="shared" si="134"/>
        <v>66.220611000331743</v>
      </c>
      <c r="J325" s="575">
        <f t="shared" si="135"/>
        <v>1.5556947142351758</v>
      </c>
      <c r="K325" s="575">
        <f t="shared" si="136"/>
        <v>1.000524868447773</v>
      </c>
      <c r="L325" s="576">
        <f t="shared" si="137"/>
        <v>3.2392560199603494E-2</v>
      </c>
      <c r="M325" s="575">
        <f t="shared" si="138"/>
        <v>1.0012075343074385</v>
      </c>
      <c r="N325" s="576">
        <f t="shared" si="139"/>
        <v>-4.9118640907397003E-2</v>
      </c>
      <c r="O325" s="574">
        <f t="shared" si="140"/>
        <v>972116.83669767436</v>
      </c>
      <c r="P325" s="577">
        <f t="shared" si="141"/>
        <v>1.5707952981119624</v>
      </c>
      <c r="Q325" s="586">
        <f t="shared" si="163"/>
        <v>39.221462608128135</v>
      </c>
      <c r="R325" s="587">
        <f t="shared" si="164"/>
        <v>1.545297319152618</v>
      </c>
      <c r="S325" s="574">
        <f t="shared" si="142"/>
        <v>1.0035020772236629</v>
      </c>
      <c r="T325" s="577">
        <f t="shared" si="143"/>
        <v>8.3568980129864814E-2</v>
      </c>
      <c r="U325" s="578">
        <f t="shared" si="155"/>
        <v>0.86834595556487448</v>
      </c>
      <c r="V325" s="579">
        <f t="shared" si="156"/>
        <v>-0.65074375308580612</v>
      </c>
      <c r="W325" s="580">
        <f t="shared" si="144"/>
        <v>-15.827323556099969</v>
      </c>
      <c r="X325" s="581">
        <f t="shared" si="145"/>
        <v>-133.62702235798685</v>
      </c>
      <c r="Y325" s="584">
        <f t="shared" si="146"/>
        <v>46.372977642013154</v>
      </c>
      <c r="AA325" s="147">
        <f t="shared" si="147"/>
        <v>23442</v>
      </c>
      <c r="AB325" s="147">
        <f t="shared" si="148"/>
        <v>549527364</v>
      </c>
      <c r="AD325" s="583">
        <f t="shared" si="149"/>
        <v>17.191190984070705</v>
      </c>
      <c r="AE325" s="584">
        <f t="shared" si="150"/>
        <v>-6.2490764472783145</v>
      </c>
      <c r="AG325" s="583">
        <f t="shared" si="151"/>
        <v>-1.9389506907393781</v>
      </c>
      <c r="AH325" s="584">
        <f t="shared" si="152"/>
        <v>-52.808204632860132</v>
      </c>
      <c r="AJ325" s="147">
        <f t="shared" si="153"/>
        <v>0</v>
      </c>
      <c r="AK325" s="147">
        <f t="shared" si="165"/>
        <v>0</v>
      </c>
      <c r="AM325" s="147" t="str">
        <f t="shared" si="157"/>
        <v>0.456509050980024+0.839415027464583i</v>
      </c>
      <c r="AN325" s="147" t="str">
        <f t="shared" si="158"/>
        <v>0.996206001711402i</v>
      </c>
      <c r="AO325" s="147" t="str">
        <f t="shared" si="159"/>
        <v>0.842611895554268-0.458247641748572i</v>
      </c>
      <c r="AP325" s="147" t="str">
        <f t="shared" si="160"/>
        <v>0.0905818248366627-0.139902504577431i</v>
      </c>
      <c r="AQ325" s="147" t="str">
        <f t="shared" si="161"/>
        <v>0.909418175163337+0.139902504577431i</v>
      </c>
      <c r="AR325" s="147" t="str">
        <f t="shared" si="162"/>
        <v>0.89479411548114-0.137652777628372i</v>
      </c>
    </row>
    <row r="326" spans="7:44">
      <c r="G326" s="585">
        <v>23578.5</v>
      </c>
      <c r="H326" s="573">
        <f t="shared" si="154"/>
        <v>23.578499999999998</v>
      </c>
      <c r="I326" s="574">
        <f t="shared" si="134"/>
        <v>66.606118127497353</v>
      </c>
      <c r="J326" s="575">
        <f t="shared" si="135"/>
        <v>1.5557821268965186</v>
      </c>
      <c r="K326" s="575">
        <f t="shared" si="136"/>
        <v>1.0005309971112952</v>
      </c>
      <c r="L326" s="576">
        <f t="shared" si="137"/>
        <v>3.258104518794068E-2</v>
      </c>
      <c r="M326" s="575">
        <f t="shared" si="138"/>
        <v>1.0012216293053882</v>
      </c>
      <c r="N326" s="576">
        <f t="shared" si="139"/>
        <v>-4.940418913400995E-2</v>
      </c>
      <c r="O326" s="574">
        <f t="shared" si="140"/>
        <v>977777.35833444144</v>
      </c>
      <c r="P326" s="577">
        <f t="shared" si="141"/>
        <v>1.5707953040671851</v>
      </c>
      <c r="Q326" s="586">
        <f t="shared" si="163"/>
        <v>39.449696524857615</v>
      </c>
      <c r="R326" s="587">
        <f t="shared" si="164"/>
        <v>1.5454448738773929</v>
      </c>
      <c r="S326" s="574">
        <f t="shared" si="142"/>
        <v>1.0035429081262015</v>
      </c>
      <c r="T326" s="577">
        <f t="shared" si="143"/>
        <v>8.4053310321518943E-2</v>
      </c>
      <c r="U326" s="578">
        <f t="shared" si="155"/>
        <v>0.86708720354418223</v>
      </c>
      <c r="V326" s="579">
        <f t="shared" si="156"/>
        <v>-0.65407127319139358</v>
      </c>
      <c r="W326" s="580">
        <f t="shared" si="144"/>
        <v>-15.890553045066845</v>
      </c>
      <c r="X326" s="581">
        <f t="shared" si="145"/>
        <v>-133.84754106110884</v>
      </c>
      <c r="Y326" s="584">
        <f t="shared" si="146"/>
        <v>46.152458938891158</v>
      </c>
      <c r="AA326" s="147">
        <f t="shared" si="147"/>
        <v>23578.5</v>
      </c>
      <c r="AB326" s="147">
        <f t="shared" si="148"/>
        <v>555945662.25</v>
      </c>
      <c r="AD326" s="583">
        <f t="shared" si="149"/>
        <v>17.190804983115161</v>
      </c>
      <c r="AE326" s="584">
        <f t="shared" si="150"/>
        <v>-6.2683726014052112</v>
      </c>
      <c r="AG326" s="583">
        <f t="shared" si="151"/>
        <v>-1.9765938234541163</v>
      </c>
      <c r="AH326" s="584">
        <f t="shared" si="152"/>
        <v>-52.628121464829299</v>
      </c>
      <c r="AJ326" s="147">
        <f t="shared" si="153"/>
        <v>0</v>
      </c>
      <c r="AK326" s="147">
        <f t="shared" si="165"/>
        <v>0</v>
      </c>
      <c r="AM326" s="147" t="str">
        <f t="shared" si="157"/>
        <v>0.461387437953918+0.842553563879565i</v>
      </c>
      <c r="AN326" s="147" t="str">
        <f t="shared" si="158"/>
        <v>1.00200679171369i</v>
      </c>
      <c r="AO326" s="147" t="str">
        <f t="shared" si="159"/>
        <v>0.840866120716189-0.460463383850749i</v>
      </c>
      <c r="AP326" s="147" t="str">
        <f t="shared" si="160"/>
        <v>0.0897687603410137-0.140425593979928i</v>
      </c>
      <c r="AQ326" s="147" t="str">
        <f t="shared" si="161"/>
        <v>0.910231239658986+0.140425593979928i</v>
      </c>
      <c r="AR326" s="147" t="str">
        <f t="shared" si="162"/>
        <v>0.893877196104767-0.137902579848997i</v>
      </c>
    </row>
    <row r="327" spans="7:44">
      <c r="G327" s="585">
        <v>23715</v>
      </c>
      <c r="H327" s="573">
        <f t="shared" si="154"/>
        <v>23.715</v>
      </c>
      <c r="I327" s="574">
        <f t="shared" si="134"/>
        <v>66.991625757741133</v>
      </c>
      <c r="J327" s="575">
        <f t="shared" si="135"/>
        <v>1.5558685335149225</v>
      </c>
      <c r="K327" s="575">
        <f t="shared" si="136"/>
        <v>1.0005371613198368</v>
      </c>
      <c r="L327" s="576">
        <f t="shared" si="137"/>
        <v>3.2769527860499928E-2</v>
      </c>
      <c r="M327" s="575">
        <f t="shared" si="138"/>
        <v>1.0012358059384343</v>
      </c>
      <c r="N327" s="576">
        <f t="shared" si="139"/>
        <v>-4.9689729297672826E-2</v>
      </c>
      <c r="O327" s="574">
        <f t="shared" si="140"/>
        <v>983437.87997120852</v>
      </c>
      <c r="P327" s="577">
        <f t="shared" si="141"/>
        <v>1.5707953099538532</v>
      </c>
      <c r="Q327" s="586">
        <f t="shared" si="163"/>
        <v>39.677931290620307</v>
      </c>
      <c r="R327" s="587">
        <f t="shared" si="164"/>
        <v>1.5455907310814276</v>
      </c>
      <c r="S327" s="574">
        <f t="shared" si="142"/>
        <v>1.0035839744163675</v>
      </c>
      <c r="T327" s="577">
        <f t="shared" si="143"/>
        <v>8.4537600989538608E-2</v>
      </c>
      <c r="U327" s="578">
        <f t="shared" si="155"/>
        <v>0.86582623508643874</v>
      </c>
      <c r="V327" s="579">
        <f t="shared" si="156"/>
        <v>-0.65739240851051783</v>
      </c>
      <c r="W327" s="580">
        <f t="shared" si="144"/>
        <v>-15.95353260985916</v>
      </c>
      <c r="X327" s="581">
        <f t="shared" si="145"/>
        <v>-134.06773096391851</v>
      </c>
      <c r="Y327" s="584">
        <f t="shared" si="146"/>
        <v>45.932269036081493</v>
      </c>
      <c r="AA327" s="147">
        <f t="shared" si="147"/>
        <v>23715</v>
      </c>
      <c r="AB327" s="147">
        <f t="shared" si="148"/>
        <v>562401225</v>
      </c>
      <c r="AD327" s="583">
        <f t="shared" si="149"/>
        <v>17.190417520232387</v>
      </c>
      <c r="AE327" s="584">
        <f t="shared" si="150"/>
        <v>-6.2877637478409421</v>
      </c>
      <c r="AG327" s="583">
        <f t="shared" si="151"/>
        <v>-2.0139044899498142</v>
      </c>
      <c r="AH327" s="584">
        <f t="shared" si="152"/>
        <v>-52.448346146813122</v>
      </c>
      <c r="AJ327" s="147">
        <f t="shared" si="153"/>
        <v>0</v>
      </c>
      <c r="AK327" s="147">
        <f t="shared" si="165"/>
        <v>0</v>
      </c>
      <c r="AM327" s="147" t="str">
        <f t="shared" si="157"/>
        <v>0.466283948739776+0.845663749150449i</v>
      </c>
      <c r="AN327" s="147" t="str">
        <f t="shared" si="158"/>
        <v>1.00780758171598i</v>
      </c>
      <c r="AO327" s="147" t="str">
        <f t="shared" si="159"/>
        <v>0.839112311211778-0.462671602396403i</v>
      </c>
      <c r="AP327" s="147" t="str">
        <f t="shared" si="160"/>
        <v>0.0889526752100373-0.140943958191741i</v>
      </c>
      <c r="AQ327" s="147" t="str">
        <f t="shared" si="161"/>
        <v>0.911047324789963+0.140943958191741i</v>
      </c>
      <c r="AR327" s="147" t="str">
        <f t="shared" si="162"/>
        <v>0.892960398667721-0.138145812705964i</v>
      </c>
    </row>
    <row r="328" spans="7:44">
      <c r="G328" s="585">
        <v>23851.5</v>
      </c>
      <c r="H328" s="573">
        <f t="shared" si="154"/>
        <v>23.851500000000001</v>
      </c>
      <c r="I328" s="574">
        <f t="shared" si="134"/>
        <v>67.377133882427785</v>
      </c>
      <c r="J328" s="575">
        <f t="shared" si="135"/>
        <v>1.5559539513577516</v>
      </c>
      <c r="K328" s="575">
        <f t="shared" si="136"/>
        <v>1.0005433610727403</v>
      </c>
      <c r="L328" s="576">
        <f t="shared" si="137"/>
        <v>3.2958008203932208E-2</v>
      </c>
      <c r="M328" s="575">
        <f t="shared" si="138"/>
        <v>1.001250064203109</v>
      </c>
      <c r="N328" s="576">
        <f t="shared" si="139"/>
        <v>-4.9975261352167115E-2</v>
      </c>
      <c r="O328" s="574">
        <f t="shared" si="140"/>
        <v>989098.40160797548</v>
      </c>
      <c r="P328" s="577">
        <f t="shared" si="141"/>
        <v>1.5707953157731436</v>
      </c>
      <c r="Q328" s="586">
        <f t="shared" si="163"/>
        <v>39.90616689084861</v>
      </c>
      <c r="R328" s="587">
        <f t="shared" si="164"/>
        <v>1.5457349198843864</v>
      </c>
      <c r="S328" s="574">
        <f t="shared" si="142"/>
        <v>1.0036252760652664</v>
      </c>
      <c r="T328" s="577">
        <f t="shared" si="143"/>
        <v>8.5021851911620913E-2</v>
      </c>
      <c r="U328" s="578">
        <f t="shared" si="155"/>
        <v>0.86456310312231088</v>
      </c>
      <c r="V328" s="579">
        <f t="shared" si="156"/>
        <v>-0.66070716006492025</v>
      </c>
      <c r="W328" s="580">
        <f t="shared" si="144"/>
        <v>-16.016265218698006</v>
      </c>
      <c r="X328" s="581">
        <f t="shared" si="145"/>
        <v>-134.28759143131791</v>
      </c>
      <c r="Y328" s="584">
        <f t="shared" si="146"/>
        <v>45.712408568682093</v>
      </c>
      <c r="AA328" s="147">
        <f t="shared" si="147"/>
        <v>23851.5</v>
      </c>
      <c r="AB328" s="147">
        <f t="shared" si="148"/>
        <v>568894052.25</v>
      </c>
      <c r="AD328" s="583">
        <f t="shared" si="149"/>
        <v>17.190028583123972</v>
      </c>
      <c r="AE328" s="584">
        <f t="shared" si="150"/>
        <v>-6.3072482054820309</v>
      </c>
      <c r="AG328" s="583">
        <f t="shared" si="151"/>
        <v>-2.0508864085875826</v>
      </c>
      <c r="AH328" s="584">
        <f t="shared" si="152"/>
        <v>-52.268879607733965</v>
      </c>
      <c r="AJ328" s="147">
        <f t="shared" si="153"/>
        <v>0</v>
      </c>
      <c r="AK328" s="147">
        <f t="shared" si="165"/>
        <v>0</v>
      </c>
      <c r="AM328" s="147" t="str">
        <f t="shared" si="157"/>
        <v>0.471198418574552+0.848745478622387i</v>
      </c>
      <c r="AN328" s="147" t="str">
        <f t="shared" si="158"/>
        <v>1.01360837171826i</v>
      </c>
      <c r="AO328" s="147" t="str">
        <f t="shared" si="159"/>
        <v>0.837350501736288-0.46487226400447i</v>
      </c>
      <c r="AP328" s="147" t="str">
        <f t="shared" si="160"/>
        <v>0.0881335969042413-0.141457579770398i</v>
      </c>
      <c r="AQ328" s="147" t="str">
        <f t="shared" si="161"/>
        <v>0.911866403095759+0.141457579770398i</v>
      </c>
      <c r="AR328" s="147" t="str">
        <f t="shared" si="162"/>
        <v>0.892043772653984-0.13838250066072i</v>
      </c>
    </row>
    <row r="329" spans="7:44">
      <c r="G329" s="585">
        <v>23988</v>
      </c>
      <c r="H329" s="573">
        <f t="shared" si="154"/>
        <v>23.988</v>
      </c>
      <c r="I329" s="574">
        <f t="shared" si="134"/>
        <v>67.762642493118534</v>
      </c>
      <c r="J329" s="575">
        <f t="shared" si="135"/>
        <v>1.5560383972994853</v>
      </c>
      <c r="K329" s="575">
        <f t="shared" si="136"/>
        <v>1.0005495963693454</v>
      </c>
      <c r="L329" s="576">
        <f t="shared" si="137"/>
        <v>3.3146486204889483E-2</v>
      </c>
      <c r="M329" s="575">
        <f t="shared" si="138"/>
        <v>1.0012644040959251</v>
      </c>
      <c r="N329" s="576">
        <f t="shared" si="139"/>
        <v>-5.0260785251282213E-2</v>
      </c>
      <c r="O329" s="574">
        <f t="shared" si="140"/>
        <v>994758.92324474279</v>
      </c>
      <c r="P329" s="577">
        <f t="shared" si="141"/>
        <v>1.5707953215262063</v>
      </c>
      <c r="Q329" s="586">
        <f t="shared" si="163"/>
        <v>40.134403311306251</v>
      </c>
      <c r="R329" s="587">
        <f t="shared" si="164"/>
        <v>1.5458774687438239</v>
      </c>
      <c r="S329" s="574">
        <f t="shared" si="142"/>
        <v>1.0036668130438426</v>
      </c>
      <c r="T329" s="577">
        <f t="shared" si="143"/>
        <v>8.5506062865574009E-2</v>
      </c>
      <c r="U329" s="578">
        <f t="shared" si="155"/>
        <v>0.86329786021091037</v>
      </c>
      <c r="V329" s="579">
        <f t="shared" si="156"/>
        <v>-0.66401552921917595</v>
      </c>
      <c r="W329" s="580">
        <f t="shared" si="144"/>
        <v>-16.078753783953029</v>
      </c>
      <c r="X329" s="581">
        <f t="shared" si="145"/>
        <v>-134.50712186328226</v>
      </c>
      <c r="Y329" s="584">
        <f t="shared" si="146"/>
        <v>45.492878136717735</v>
      </c>
      <c r="AA329" s="147">
        <f t="shared" si="147"/>
        <v>23988</v>
      </c>
      <c r="AB329" s="147">
        <f t="shared" si="148"/>
        <v>575424144</v>
      </c>
      <c r="AD329" s="583">
        <f t="shared" si="149"/>
        <v>17.189638159857122</v>
      </c>
      <c r="AE329" s="584">
        <f t="shared" si="150"/>
        <v>-6.3268243311659544</v>
      </c>
      <c r="AG329" s="583">
        <f t="shared" si="151"/>
        <v>-2.0875432390553583</v>
      </c>
      <c r="AH329" s="584">
        <f t="shared" si="152"/>
        <v>-52.089722734360983</v>
      </c>
      <c r="AJ329" s="147">
        <f t="shared" si="153"/>
        <v>0</v>
      </c>
      <c r="AK329" s="147">
        <f t="shared" si="165"/>
        <v>0</v>
      </c>
      <c r="AM329" s="147" t="str">
        <f t="shared" si="157"/>
        <v>0.476130682090922+0.851798648598058i</v>
      </c>
      <c r="AN329" s="147" t="str">
        <f t="shared" si="158"/>
        <v>1.01940916172055i</v>
      </c>
      <c r="AO329" s="147" t="str">
        <f t="shared" si="159"/>
        <v>0.835580727134529-0.467065335460898i</v>
      </c>
      <c r="AP329" s="147" t="str">
        <f t="shared" si="160"/>
        <v>0.0873115529848463-0.14196644143301i</v>
      </c>
      <c r="AQ329" s="147" t="str">
        <f t="shared" si="161"/>
        <v>0.912688447015154+0.14196644143301i</v>
      </c>
      <c r="AR329" s="147" t="str">
        <f t="shared" si="162"/>
        <v>0.891127367036962-0.138612668513054i</v>
      </c>
    </row>
    <row r="330" spans="7:44">
      <c r="G330" s="585">
        <v>24127.75</v>
      </c>
      <c r="H330" s="573">
        <f t="shared" si="154"/>
        <v>24.127749999999999</v>
      </c>
      <c r="I330" s="574">
        <f t="shared" si="134"/>
        <v>68.157330375141996</v>
      </c>
      <c r="J330" s="575">
        <f t="shared" si="135"/>
        <v>1.55612386419124</v>
      </c>
      <c r="K330" s="575">
        <f t="shared" si="136"/>
        <v>1.0005560169478938</v>
      </c>
      <c r="L330" s="576">
        <f t="shared" si="137"/>
        <v>3.333944933656207E-2</v>
      </c>
      <c r="M330" s="575">
        <f t="shared" si="138"/>
        <v>1.0012791699776675</v>
      </c>
      <c r="N330" s="576">
        <f t="shared" si="139"/>
        <v>-5.055309884127146E-2</v>
      </c>
      <c r="O330" s="574">
        <f t="shared" si="140"/>
        <v>1000554.2192061947</v>
      </c>
      <c r="P330" s="577">
        <f t="shared" si="141"/>
        <v>1.5707953273488089</v>
      </c>
      <c r="Q330" s="586">
        <f t="shared" si="163"/>
        <v>40.368074767479065</v>
      </c>
      <c r="R330" s="587">
        <f t="shared" si="164"/>
        <v>1.5460217416861393</v>
      </c>
      <c r="S330" s="574">
        <f t="shared" si="142"/>
        <v>1.0037095827686018</v>
      </c>
      <c r="T330" s="577">
        <f t="shared" si="143"/>
        <v>8.6001761012972952E-2</v>
      </c>
      <c r="U330" s="578">
        <f t="shared" si="155"/>
        <v>0.86200036002250058</v>
      </c>
      <c r="V330" s="579">
        <f t="shared" si="156"/>
        <v>-0.66739605869674101</v>
      </c>
      <c r="W330" s="580">
        <f t="shared" si="144"/>
        <v>-16.142480327476967</v>
      </c>
      <c r="X330" s="581">
        <f t="shared" si="145"/>
        <v>-134.73153670393896</v>
      </c>
      <c r="Y330" s="584">
        <f t="shared" si="146"/>
        <v>45.268463296061043</v>
      </c>
      <c r="AA330" s="147">
        <f t="shared" si="147"/>
        <v>24127.75</v>
      </c>
      <c r="AB330" s="147">
        <f t="shared" si="148"/>
        <v>582148320.0625</v>
      </c>
      <c r="AD330" s="583">
        <f t="shared" si="149"/>
        <v>17.18923688905203</v>
      </c>
      <c r="AE330" s="584">
        <f t="shared" si="150"/>
        <v>-6.3469598458653271</v>
      </c>
      <c r="AG330" s="583">
        <f t="shared" si="151"/>
        <v>-2.1247398218251252</v>
      </c>
      <c r="AH330" s="584">
        <f t="shared" si="152"/>
        <v>-51.906621916707593</v>
      </c>
      <c r="AJ330" s="147">
        <f t="shared" si="153"/>
        <v>0</v>
      </c>
      <c r="AK330" s="147">
        <f t="shared" si="165"/>
        <v>0</v>
      </c>
      <c r="AM330" s="147" t="str">
        <f t="shared" si="157"/>
        <v>0.481198641357906+0.854894818250244i</v>
      </c>
      <c r="AN330" s="147" t="str">
        <f t="shared" si="158"/>
        <v>1.02534806577051i</v>
      </c>
      <c r="AO330" s="147" t="str">
        <f t="shared" si="159"/>
        <v>0.833760599731393-0.469302725017873i</v>
      </c>
      <c r="AP330" s="147" t="str">
        <f t="shared" si="160"/>
        <v>0.0864668931070157-0.142482469708374i</v>
      </c>
      <c r="AQ330" s="147" t="str">
        <f t="shared" si="161"/>
        <v>0.913533106892984+0.142482469708374i</v>
      </c>
      <c r="AR330" s="147" t="str">
        <f t="shared" si="162"/>
        <v>0.890189421171254-0.138841587983747i</v>
      </c>
    </row>
    <row r="331" spans="7:44">
      <c r="G331" s="585">
        <v>24267.5</v>
      </c>
      <c r="H331" s="573">
        <f t="shared" si="154"/>
        <v>24.267499999999998</v>
      </c>
      <c r="I331" s="574">
        <f t="shared" si="134"/>
        <v>68.552018749293921</v>
      </c>
      <c r="J331" s="575">
        <f t="shared" si="135"/>
        <v>1.5562083469320329</v>
      </c>
      <c r="K331" s="575">
        <f t="shared" si="136"/>
        <v>1.0005624747814363</v>
      </c>
      <c r="L331" s="576">
        <f t="shared" si="137"/>
        <v>3.3532409984572888E-2</v>
      </c>
      <c r="M331" s="575">
        <f t="shared" si="138"/>
        <v>1.0012940214134189</v>
      </c>
      <c r="N331" s="576">
        <f t="shared" si="139"/>
        <v>-5.0845403784904625E-2</v>
      </c>
      <c r="O331" s="574">
        <f t="shared" si="140"/>
        <v>1006349.5151676469</v>
      </c>
      <c r="P331" s="577">
        <f t="shared" si="141"/>
        <v>1.5707953331043498</v>
      </c>
      <c r="Q331" s="586">
        <f t="shared" si="163"/>
        <v>40.601747054228902</v>
      </c>
      <c r="R331" s="587">
        <f t="shared" si="164"/>
        <v>1.546164353984216</v>
      </c>
      <c r="S331" s="574">
        <f t="shared" si="142"/>
        <v>1.0037525991004677</v>
      </c>
      <c r="T331" s="577">
        <f t="shared" si="143"/>
        <v>8.6497416795357981E-2</v>
      </c>
      <c r="U331" s="578">
        <f t="shared" si="155"/>
        <v>0.86070075746192609</v>
      </c>
      <c r="V331" s="579">
        <f t="shared" si="156"/>
        <v>-0.67076990221246779</v>
      </c>
      <c r="W331" s="580">
        <f t="shared" si="144"/>
        <v>-16.205957072358693</v>
      </c>
      <c r="X331" s="581">
        <f t="shared" si="145"/>
        <v>-134.95560444313438</v>
      </c>
      <c r="Y331" s="584">
        <f t="shared" si="146"/>
        <v>45.044395556865624</v>
      </c>
      <c r="AA331" s="147">
        <f t="shared" si="147"/>
        <v>24267.5</v>
      </c>
      <c r="AB331" s="147">
        <f t="shared" si="148"/>
        <v>588911556.25</v>
      </c>
      <c r="AD331" s="583">
        <f t="shared" si="149"/>
        <v>17.188834036284774</v>
      </c>
      <c r="AE331" s="584">
        <f t="shared" si="150"/>
        <v>-6.367188077292111</v>
      </c>
      <c r="AG331" s="583">
        <f t="shared" si="151"/>
        <v>-2.1616032321761312</v>
      </c>
      <c r="AH331" s="584">
        <f t="shared" si="152"/>
        <v>-51.723847435657007</v>
      </c>
      <c r="AJ331" s="147">
        <f t="shared" si="153"/>
        <v>0</v>
      </c>
      <c r="AK331" s="147">
        <f t="shared" si="165"/>
        <v>0</v>
      </c>
      <c r="AM331" s="147" t="str">
        <f t="shared" si="157"/>
        <v>0.486284898996614+0.857960835353853i</v>
      </c>
      <c r="AN331" s="147" t="str">
        <f t="shared" si="158"/>
        <v>1.03128696982047i</v>
      </c>
      <c r="AO331" s="147" t="str">
        <f t="shared" si="159"/>
        <v>0.831932197788953-0.471532088766009i</v>
      </c>
      <c r="AP331" s="147" t="str">
        <f t="shared" si="160"/>
        <v>0.0856191835005643-0.142993472558976i</v>
      </c>
      <c r="AQ331" s="147" t="str">
        <f t="shared" si="161"/>
        <v>0.914380816499436+0.142993472558976i</v>
      </c>
      <c r="AR331" s="147" t="str">
        <f t="shared" si="162"/>
        <v>0.889251808569314-0.139063726832631i</v>
      </c>
    </row>
    <row r="332" spans="7:44">
      <c r="G332" s="585">
        <v>24407.25</v>
      </c>
      <c r="H332" s="573">
        <f t="shared" si="154"/>
        <v>24.407250000000001</v>
      </c>
      <c r="I332" s="574">
        <f t="shared" si="134"/>
        <v>68.946707607122661</v>
      </c>
      <c r="J332" s="575">
        <f t="shared" si="135"/>
        <v>1.5562918624221105</v>
      </c>
      <c r="K332" s="575">
        <f t="shared" si="136"/>
        <v>1.0005689698692519</v>
      </c>
      <c r="L332" s="576">
        <f t="shared" si="137"/>
        <v>3.372536813460085E-2</v>
      </c>
      <c r="M332" s="575">
        <f t="shared" si="138"/>
        <v>1.0013089583993722</v>
      </c>
      <c r="N332" s="576">
        <f t="shared" si="139"/>
        <v>-5.1137700032617216E-2</v>
      </c>
      <c r="O332" s="574">
        <f t="shared" si="140"/>
        <v>1012144.811129099</v>
      </c>
      <c r="P332" s="577">
        <f t="shared" si="141"/>
        <v>1.570795338793981</v>
      </c>
      <c r="Q332" s="586">
        <f t="shared" si="163"/>
        <v>40.835420157297328</v>
      </c>
      <c r="R332" s="587">
        <f t="shared" si="164"/>
        <v>1.546305334140387</v>
      </c>
      <c r="S332" s="574">
        <f t="shared" si="142"/>
        <v>1.0037958620077361</v>
      </c>
      <c r="T332" s="577">
        <f t="shared" si="143"/>
        <v>8.6993029974651206E-2</v>
      </c>
      <c r="U332" s="578">
        <f t="shared" si="155"/>
        <v>0.85939910770895089</v>
      </c>
      <c r="V332" s="579">
        <f t="shared" si="156"/>
        <v>-0.67413706232410864</v>
      </c>
      <c r="W332" s="580">
        <f t="shared" si="144"/>
        <v>-16.269186970600494</v>
      </c>
      <c r="X332" s="581">
        <f t="shared" si="145"/>
        <v>-135.17932454707216</v>
      </c>
      <c r="Y332" s="584">
        <f t="shared" si="146"/>
        <v>44.820675452927844</v>
      </c>
      <c r="AA332" s="147">
        <f t="shared" si="147"/>
        <v>24407.25</v>
      </c>
      <c r="AB332" s="147">
        <f t="shared" si="148"/>
        <v>595713852.5625</v>
      </c>
      <c r="AD332" s="583">
        <f t="shared" si="149"/>
        <v>17.188429589862086</v>
      </c>
      <c r="AE332" s="584">
        <f t="shared" si="150"/>
        <v>-6.3875073788080599</v>
      </c>
      <c r="AG332" s="583">
        <f t="shared" si="151"/>
        <v>-2.1981372145549676</v>
      </c>
      <c r="AH332" s="584">
        <f t="shared" si="152"/>
        <v>-51.541400110954314</v>
      </c>
      <c r="AJ332" s="147">
        <f t="shared" si="153"/>
        <v>0</v>
      </c>
      <c r="AK332" s="147">
        <f t="shared" si="165"/>
        <v>0</v>
      </c>
      <c r="AM332" s="147" t="str">
        <f t="shared" si="157"/>
        <v>0.491389275612308+0.860996591768996i</v>
      </c>
      <c r="AN332" s="147" t="str">
        <f t="shared" si="158"/>
        <v>1.03722587387043i</v>
      </c>
      <c r="AO332" s="147" t="str">
        <f t="shared" si="159"/>
        <v>0.830095559182465-0.473753391610526i</v>
      </c>
      <c r="AP332" s="147" t="str">
        <f t="shared" si="160"/>
        <v>0.0847684540646153-0.143499431961499i</v>
      </c>
      <c r="AQ332" s="147" t="str">
        <f t="shared" si="161"/>
        <v>0.915231545935385+0.143499431961499i</v>
      </c>
      <c r="AR332" s="147" t="str">
        <f t="shared" si="162"/>
        <v>0.888314580120585-0.139279112719112i</v>
      </c>
    </row>
    <row r="333" spans="7:44">
      <c r="G333" s="585">
        <v>24547</v>
      </c>
      <c r="H333" s="573">
        <f t="shared" si="154"/>
        <v>24.547000000000001</v>
      </c>
      <c r="I333" s="574">
        <f t="shared" ref="I333:I396" si="166">SQRT(1+(G333/pole1)^2)</f>
        <v>69.341396940369023</v>
      </c>
      <c r="J333" s="575">
        <f t="shared" ref="J333:J396" si="167">ATAN(G333/pole1)</f>
        <v>1.5563744271769919</v>
      </c>
      <c r="K333" s="575">
        <f t="shared" ref="K333:K396" si="168">SQRT(1+(G333/Zero1)^2)</f>
        <v>1.0005755022106153</v>
      </c>
      <c r="L333" s="576">
        <f t="shared" ref="L333:L396" si="169">ATAN(G333/Zero1)</f>
        <v>3.3918323772325995E-2</v>
      </c>
      <c r="M333" s="575">
        <f t="shared" ref="M333:M396" si="170">SQRT(1+(G333/z_RHP)^2)</f>
        <v>1.0013239809316987</v>
      </c>
      <c r="N333" s="576">
        <f t="shared" ref="N333:N396" si="171">-ATAN(G333/z_RHP)</f>
        <v>-5.142998753485363E-2</v>
      </c>
      <c r="O333" s="574">
        <f t="shared" ref="O333:O396" si="172">SQRT(1+(G333/Pole2)^2)</f>
        <v>1017940.1070905512</v>
      </c>
      <c r="P333" s="577">
        <f t="shared" ref="P333:P396" si="173">ATAN(G333/Pole2)</f>
        <v>1.5707953444188285</v>
      </c>
      <c r="Q333" s="586">
        <f t="shared" si="163"/>
        <v>41.069094062750388</v>
      </c>
      <c r="R333" s="587">
        <f t="shared" si="164"/>
        <v>1.5464447100085603</v>
      </c>
      <c r="S333" s="574">
        <f t="shared" ref="S333:S396" si="174">SQRT(1+(G333/pole4)^2)</f>
        <v>1.003839371458527</v>
      </c>
      <c r="T333" s="577">
        <f t="shared" ref="T333:T396" si="175">ATAN(G333/pole4)</f>
        <v>8.7488600312899317E-2</v>
      </c>
      <c r="U333" s="578">
        <f t="shared" si="155"/>
        <v>0.85809546552654214</v>
      </c>
      <c r="V333" s="579">
        <f t="shared" si="156"/>
        <v>-0.67749754195024148</v>
      </c>
      <c r="W333" s="580">
        <f t="shared" ref="W333:W396" si="176">20*LOG10(((K333*Q333*M333*U333)/(I333*O333*S333))*Adc)</f>
        <v>-16.332172918493161</v>
      </c>
      <c r="X333" s="581">
        <f t="shared" ref="X333:X396" si="177">((L333+R333+N333+V333)-(J333+P333+T333))*radconv</f>
        <v>-135.40269651774463</v>
      </c>
      <c r="Y333" s="584">
        <f t="shared" ref="Y333:Y396" si="178">IF(X333&gt;0,X333,X333+180)</f>
        <v>44.59730348225537</v>
      </c>
      <c r="AA333" s="147">
        <f t="shared" ref="AA333:AA396" si="179">IF(W333&lt;0,G333,1000000000)</f>
        <v>24547</v>
      </c>
      <c r="AB333" s="147">
        <f t="shared" ref="AB333:AB396" si="180">G333^2</f>
        <v>602555209</v>
      </c>
      <c r="AD333" s="583">
        <f t="shared" ref="AD333:AD396" si="181">20*LOG10((Q333/(O333*S333))*Aea)</f>
        <v>17.188023538440934</v>
      </c>
      <c r="AE333" s="584">
        <f t="shared" ref="AE333:AE396" si="182">(R333-(P333+T333))*radconv</f>
        <v>-6.4079161409325822</v>
      </c>
      <c r="AG333" s="583">
        <f t="shared" ref="AG333:AG396" si="183">20*LOG10((K333*M333/(I333*U333))*Acs*Am)</f>
        <v>-2.2343454543703811</v>
      </c>
      <c r="AH333" s="584">
        <f t="shared" ref="AH333:AH396" si="184">(L333+N333-(J333+V333))*radconv</f>
        <v>-51.359280719628003</v>
      </c>
      <c r="AJ333" s="147">
        <f t="shared" ref="AJ333:AJ396" si="185">SUM((W334&lt;0)*(W333&gt;0))*G333</f>
        <v>0</v>
      </c>
      <c r="AK333" s="147">
        <f t="shared" si="165"/>
        <v>0</v>
      </c>
      <c r="AM333" s="147" t="str">
        <f t="shared" si="157"/>
        <v>0.496511591171187+0.864001980423095i</v>
      </c>
      <c r="AN333" s="147" t="str">
        <f t="shared" si="158"/>
        <v>1.04316477792039i</v>
      </c>
      <c r="AO333" s="147" t="str">
        <f t="shared" si="159"/>
        <v>0.828250721947815-0.475966598643229i</v>
      </c>
      <c r="AP333" s="147" t="str">
        <f t="shared" si="160"/>
        <v>0.0839147348048022-0.144000330070516i</v>
      </c>
      <c r="AQ333" s="147" t="str">
        <f t="shared" si="161"/>
        <v>0.916085265195198+0.144000330070516i</v>
      </c>
      <c r="AR333" s="147" t="str">
        <f t="shared" si="162"/>
        <v>0.887377786152195-0.139487773636368i</v>
      </c>
    </row>
    <row r="334" spans="7:44">
      <c r="G334" s="585">
        <v>24690</v>
      </c>
      <c r="H334" s="573">
        <f t="shared" ref="H334:H397" si="186">G334/1000</f>
        <v>24.69</v>
      </c>
      <c r="I334" s="574">
        <f t="shared" si="166"/>
        <v>69.745265579029592</v>
      </c>
      <c r="J334" s="575">
        <f t="shared" si="167"/>
        <v>1.5564579447214142</v>
      </c>
      <c r="K334" s="575">
        <f t="shared" si="168"/>
        <v>1.0005822250292968</v>
      </c>
      <c r="L334" s="576">
        <f t="shared" si="169"/>
        <v>3.4115764134905559E-2</v>
      </c>
      <c r="M334" s="575">
        <f t="shared" si="170"/>
        <v>1.0013394413749082</v>
      </c>
      <c r="N334" s="576">
        <f t="shared" si="171"/>
        <v>-5.1729063316261155E-2</v>
      </c>
      <c r="O334" s="574">
        <f t="shared" si="172"/>
        <v>1023870.1773766885</v>
      </c>
      <c r="P334" s="577">
        <f t="shared" si="173"/>
        <v>1.5707953501085725</v>
      </c>
      <c r="Q334" s="586">
        <f t="shared" si="163"/>
        <v>41.308203061461384</v>
      </c>
      <c r="R334" s="587">
        <f t="shared" si="164"/>
        <v>1.546585694886202</v>
      </c>
      <c r="S334" s="574">
        <f t="shared" si="174"/>
        <v>1.0038841479341163</v>
      </c>
      <c r="T334" s="577">
        <f t="shared" si="175"/>
        <v>8.7995650947553267E-2</v>
      </c>
      <c r="U334" s="578">
        <f t="shared" ref="U334:U397" si="187">IMABS(IMPRODUCT(AO334, AR334))</f>
        <v>0.85675950030074433</v>
      </c>
      <c r="V334" s="579">
        <f t="shared" ref="V334:V397" si="188">IMARGUMENT(IMPRODUCT(AO334, AR334))</f>
        <v>-0.68092926035208468</v>
      </c>
      <c r="W334" s="580">
        <f t="shared" si="176"/>
        <v>-16.396374093954037</v>
      </c>
      <c r="X334" s="581">
        <f t="shared" si="177"/>
        <v>-135.63090233116637</v>
      </c>
      <c r="Y334" s="584">
        <f t="shared" si="178"/>
        <v>44.369097668833632</v>
      </c>
      <c r="AA334" s="147">
        <f t="shared" si="179"/>
        <v>24690</v>
      </c>
      <c r="AB334" s="147">
        <f t="shared" si="180"/>
        <v>609596100</v>
      </c>
      <c r="AD334" s="583">
        <f t="shared" si="181"/>
        <v>17.187606371064966</v>
      </c>
      <c r="AE334" s="584">
        <f t="shared" si="182"/>
        <v>-6.4288904898559247</v>
      </c>
      <c r="AG334" s="583">
        <f t="shared" si="183"/>
        <v>-2.2710623364524292</v>
      </c>
      <c r="AH334" s="584">
        <f t="shared" si="184"/>
        <v>-51.173266221871032</v>
      </c>
      <c r="AJ334" s="147">
        <f t="shared" si="185"/>
        <v>0</v>
      </c>
      <c r="AK334" s="147">
        <f t="shared" si="165"/>
        <v>0</v>
      </c>
      <c r="AM334" s="147" t="str">
        <f t="shared" ref="AM334:AM397" si="189">IMSUB(1,IMEXP(COMPLEX(0,-2*Pi*G334*Tsw)))</f>
        <v>0.501771411447723+0.867045715951129i</v>
      </c>
      <c r="AN334" s="147" t="str">
        <f t="shared" ref="AN334:AN397" si="190">COMPLEX(0, 2*Pi*G334*Tsw)</f>
        <v>1.04924179601802i</v>
      </c>
      <c r="AO334" s="147" t="str">
        <f t="shared" ref="AO334:AO397" si="191">IMDIV(AM334, AN334)</f>
        <v>0.826354534523554-0.478222858974925i</v>
      </c>
      <c r="AP334" s="147" t="str">
        <f t="shared" ref="AP334:AP397" si="192">IMDIV(IMEXP(COMPLEX(0,-2*Pi*G334*Tsw)),6)</f>
        <v>0.0830380980920462-0.144507619325188i</v>
      </c>
      <c r="AQ334" s="147" t="str">
        <f t="shared" ref="AQ334:AQ397" si="193">IMSUB(1, AP334)</f>
        <v>0.916961901907954+0.144507619325188i</v>
      </c>
      <c r="AR334" s="147" t="str">
        <f t="shared" ref="AR334:AR397" si="194">IMDIV(0.833, AQ334)</f>
        <v>0.886419707941874-0.139694355295545i</v>
      </c>
    </row>
    <row r="335" spans="7:44">
      <c r="G335" s="585">
        <v>24833</v>
      </c>
      <c r="H335" s="573">
        <f t="shared" si="186"/>
        <v>24.832999999999998</v>
      </c>
      <c r="I335" s="574">
        <f t="shared" si="166"/>
        <v>70.149134698574301</v>
      </c>
      <c r="J335" s="575">
        <f t="shared" si="167"/>
        <v>1.5565405005964654</v>
      </c>
      <c r="K335" s="575">
        <f t="shared" si="168"/>
        <v>1.0005889868528466</v>
      </c>
      <c r="L335" s="576">
        <f t="shared" si="169"/>
        <v>3.4313201836639648E-2</v>
      </c>
      <c r="M335" s="575">
        <f t="shared" si="170"/>
        <v>1.0013549913814783</v>
      </c>
      <c r="N335" s="576">
        <f t="shared" si="171"/>
        <v>-5.2028129835743737E-2</v>
      </c>
      <c r="O335" s="574">
        <f t="shared" si="172"/>
        <v>1029800.2476628255</v>
      </c>
      <c r="P335" s="577">
        <f t="shared" si="173"/>
        <v>1.5707953557327881</v>
      </c>
      <c r="Q335" s="586">
        <f t="shared" si="163"/>
        <v>41.547312871793899</v>
      </c>
      <c r="R335" s="587">
        <f t="shared" si="164"/>
        <v>1.5467250569965441</v>
      </c>
      <c r="S335" s="574">
        <f t="shared" si="174"/>
        <v>1.0039291824856056</v>
      </c>
      <c r="T335" s="577">
        <f t="shared" si="175"/>
        <v>8.8502656221694759E-2</v>
      </c>
      <c r="U335" s="578">
        <f t="shared" si="187"/>
        <v>0.85542156356524968</v>
      </c>
      <c r="V335" s="579">
        <f t="shared" si="188"/>
        <v>-0.68435399125766239</v>
      </c>
      <c r="W335" s="580">
        <f t="shared" si="176"/>
        <v>-16.460325803315516</v>
      </c>
      <c r="X335" s="581">
        <f t="shared" si="177"/>
        <v>-135.85874268772901</v>
      </c>
      <c r="Y335" s="584">
        <f t="shared" si="178"/>
        <v>44.141257312270994</v>
      </c>
      <c r="AA335" s="147">
        <f t="shared" si="179"/>
        <v>24833</v>
      </c>
      <c r="AB335" s="147">
        <f t="shared" si="180"/>
        <v>616677889</v>
      </c>
      <c r="AD335" s="583">
        <f t="shared" si="181"/>
        <v>17.187187500214609</v>
      </c>
      <c r="AE335" s="584">
        <f t="shared" si="182"/>
        <v>-6.4499552137763594</v>
      </c>
      <c r="AG335" s="583">
        <f t="shared" si="183"/>
        <v>-2.3074457725134163</v>
      </c>
      <c r="AH335" s="584">
        <f t="shared" si="184"/>
        <v>-50.98759660034959</v>
      </c>
      <c r="AJ335" s="147">
        <f t="shared" si="185"/>
        <v>0</v>
      </c>
      <c r="AK335" s="147">
        <f t="shared" si="165"/>
        <v>0</v>
      </c>
      <c r="AM335" s="147" t="str">
        <f t="shared" si="189"/>
        <v>0.507049631323633+0.870057431450266i</v>
      </c>
      <c r="AN335" s="147" t="str">
        <f t="shared" si="190"/>
        <v>1.05531881411566i</v>
      </c>
      <c r="AO335" s="147" t="str">
        <f t="shared" si="191"/>
        <v>0.824449843793754-0.480470569217069i</v>
      </c>
      <c r="AP335" s="147" t="str">
        <f t="shared" si="192"/>
        <v>0.0821583947793945-0.145009571908378i</v>
      </c>
      <c r="AQ335" s="147" t="str">
        <f t="shared" si="193"/>
        <v>0.917841605220606+0.145009571908378i</v>
      </c>
      <c r="AR335" s="147" t="str">
        <f t="shared" si="194"/>
        <v>0.885462189468203-0.139893955891199i</v>
      </c>
    </row>
    <row r="336" spans="7:44">
      <c r="G336" s="585">
        <v>24976</v>
      </c>
      <c r="H336" s="573">
        <f t="shared" si="186"/>
        <v>24.975999999999999</v>
      </c>
      <c r="I336" s="574">
        <f t="shared" si="166"/>
        <v>70.553004290744894</v>
      </c>
      <c r="J336" s="575">
        <f t="shared" si="167"/>
        <v>1.5566221113157863</v>
      </c>
      <c r="K336" s="575">
        <f t="shared" si="168"/>
        <v>1.0005957876804741</v>
      </c>
      <c r="L336" s="576">
        <f t="shared" si="169"/>
        <v>3.4510636862189456E-2</v>
      </c>
      <c r="M336" s="575">
        <f t="shared" si="170"/>
        <v>1.0013706309472368</v>
      </c>
      <c r="N336" s="576">
        <f t="shared" si="171"/>
        <v>-5.2327187040236617E-2</v>
      </c>
      <c r="O336" s="574">
        <f t="shared" si="172"/>
        <v>1035730.3179489628</v>
      </c>
      <c r="P336" s="577">
        <f t="shared" si="173"/>
        <v>1.5707953612926007</v>
      </c>
      <c r="Q336" s="586">
        <f t="shared" si="163"/>
        <v>41.786423479815184</v>
      </c>
      <c r="R336" s="587">
        <f t="shared" si="164"/>
        <v>1.5468628241915621</v>
      </c>
      <c r="S336" s="574">
        <f t="shared" si="174"/>
        <v>1.003974475078266</v>
      </c>
      <c r="T336" s="577">
        <f t="shared" si="175"/>
        <v>8.9009615880789719E-2</v>
      </c>
      <c r="U336" s="578">
        <f t="shared" si="187"/>
        <v>0.85408171262611832</v>
      </c>
      <c r="V336" s="579">
        <f t="shared" si="188"/>
        <v>-0.68777173894082122</v>
      </c>
      <c r="W336" s="580">
        <f t="shared" si="176"/>
        <v>-16.524030977086927</v>
      </c>
      <c r="X336" s="581">
        <f t="shared" si="177"/>
        <v>-136.08621716598648</v>
      </c>
      <c r="Y336" s="584">
        <f t="shared" si="178"/>
        <v>43.913782834013517</v>
      </c>
      <c r="AA336" s="147">
        <f t="shared" si="179"/>
        <v>24976</v>
      </c>
      <c r="AB336" s="147">
        <f t="shared" si="180"/>
        <v>623800576</v>
      </c>
      <c r="AD336" s="583">
        <f t="shared" si="181"/>
        <v>17.186766914800597</v>
      </c>
      <c r="AE336" s="584">
        <f t="shared" si="182"/>
        <v>-6.4711087023739733</v>
      </c>
      <c r="AG336" s="583">
        <f t="shared" si="183"/>
        <v>-2.3434995273677082</v>
      </c>
      <c r="AH336" s="584">
        <f t="shared" si="184"/>
        <v>-50.802272554190687</v>
      </c>
      <c r="AJ336" s="147">
        <f t="shared" si="185"/>
        <v>0</v>
      </c>
      <c r="AK336" s="147">
        <f t="shared" si="165"/>
        <v>0</v>
      </c>
      <c r="AM336" s="147" t="str">
        <f t="shared" si="189"/>
        <v>0.512346055874053+0.873037015697736i</v>
      </c>
      <c r="AN336" s="147" t="str">
        <f t="shared" si="190"/>
        <v>1.06139583221329i</v>
      </c>
      <c r="AO336" s="147" t="str">
        <f t="shared" si="191"/>
        <v>0.822536691026216-0.482709692580643i</v>
      </c>
      <c r="AP336" s="147" t="str">
        <f t="shared" si="192"/>
        <v>0.0812756573543245-0.145506169282956i</v>
      </c>
      <c r="AQ336" s="147" t="str">
        <f t="shared" si="193"/>
        <v>0.918724342645675+0.145506169282956i</v>
      </c>
      <c r="AR336" s="147" t="str">
        <f t="shared" si="194"/>
        <v>0.884505282824091-0.14008660643915i</v>
      </c>
    </row>
    <row r="337" spans="7:44">
      <c r="G337" s="585">
        <v>25119</v>
      </c>
      <c r="H337" s="573">
        <f t="shared" si="186"/>
        <v>25.119</v>
      </c>
      <c r="I337" s="574">
        <f t="shared" si="166"/>
        <v>70.956874347471157</v>
      </c>
      <c r="J337" s="575">
        <f t="shared" si="167"/>
        <v>1.5567027930171011</v>
      </c>
      <c r="K337" s="575">
        <f t="shared" si="168"/>
        <v>1.000602627511384</v>
      </c>
      <c r="L337" s="576">
        <f t="shared" si="169"/>
        <v>3.4708069196217446E-2</v>
      </c>
      <c r="M337" s="575">
        <f t="shared" si="170"/>
        <v>1.0013863600679875</v>
      </c>
      <c r="N337" s="576">
        <f t="shared" si="171"/>
        <v>-5.2626234876685003E-2</v>
      </c>
      <c r="O337" s="574">
        <f t="shared" si="172"/>
        <v>1041660.3882351001</v>
      </c>
      <c r="P337" s="577">
        <f t="shared" si="173"/>
        <v>1.5707953667891104</v>
      </c>
      <c r="Q337" s="586">
        <f t="shared" si="163"/>
        <v>42.025534871909514</v>
      </c>
      <c r="R337" s="587">
        <f t="shared" si="164"/>
        <v>1.5469990236896036</v>
      </c>
      <c r="S337" s="574">
        <f t="shared" si="174"/>
        <v>1.0040200256771759</v>
      </c>
      <c r="T337" s="577">
        <f t="shared" si="175"/>
        <v>8.9516529670443643E-2</v>
      </c>
      <c r="U337" s="578">
        <f t="shared" si="187"/>
        <v>0.85274000432486108</v>
      </c>
      <c r="V337" s="579">
        <f t="shared" si="188"/>
        <v>-0.69118250805322168</v>
      </c>
      <c r="W337" s="580">
        <f t="shared" si="176"/>
        <v>-16.587492490351746</v>
      </c>
      <c r="X337" s="581">
        <f t="shared" si="177"/>
        <v>-136.31332538091254</v>
      </c>
      <c r="Y337" s="584">
        <f t="shared" si="178"/>
        <v>43.686674619087455</v>
      </c>
      <c r="AA337" s="147">
        <f t="shared" si="179"/>
        <v>25119</v>
      </c>
      <c r="AB337" s="147">
        <f t="shared" si="180"/>
        <v>630964161</v>
      </c>
      <c r="AD337" s="583">
        <f t="shared" si="181"/>
        <v>17.186344604068506</v>
      </c>
      <c r="AE337" s="584">
        <f t="shared" si="182"/>
        <v>-6.4923493816396176</v>
      </c>
      <c r="AG337" s="583">
        <f t="shared" si="183"/>
        <v>-2.3792273065317273</v>
      </c>
      <c r="AH337" s="584">
        <f t="shared" si="184"/>
        <v>-50.617294739336252</v>
      </c>
      <c r="AJ337" s="147">
        <f t="shared" si="185"/>
        <v>0</v>
      </c>
      <c r="AK337" s="147">
        <f t="shared" si="165"/>
        <v>0</v>
      </c>
      <c r="AM337" s="147" t="str">
        <f t="shared" si="189"/>
        <v>0.517660489501848+0.875984358657392i</v>
      </c>
      <c r="AN337" s="147" t="str">
        <f t="shared" si="190"/>
        <v>1.06747285031092i</v>
      </c>
      <c r="AO337" s="147" t="str">
        <f t="shared" si="191"/>
        <v>0.8206151176606-0.484940192484587i</v>
      </c>
      <c r="AP337" s="147" t="str">
        <f t="shared" si="192"/>
        <v>0.0803899184163587-0.145997393109565i</v>
      </c>
      <c r="AQ337" s="147" t="str">
        <f t="shared" si="193"/>
        <v>0.919610081583641+0.145997393109565i</v>
      </c>
      <c r="AR337" s="147" t="str">
        <f t="shared" si="194"/>
        <v>0.883549039486952-0.140272338279952i</v>
      </c>
    </row>
    <row r="338" spans="7:44">
      <c r="G338" s="585">
        <v>25265.25</v>
      </c>
      <c r="H338" s="573">
        <f t="shared" si="186"/>
        <v>25.265250000000002</v>
      </c>
      <c r="I338" s="574">
        <f t="shared" si="166"/>
        <v>71.369923741416571</v>
      </c>
      <c r="J338" s="575">
        <f t="shared" si="167"/>
        <v>1.556784363900132</v>
      </c>
      <c r="K338" s="575">
        <f t="shared" si="168"/>
        <v>1.0006096631351757</v>
      </c>
      <c r="L338" s="576">
        <f t="shared" si="169"/>
        <v>3.4909985828789458E-2</v>
      </c>
      <c r="M338" s="575">
        <f t="shared" si="170"/>
        <v>1.0014025392954891</v>
      </c>
      <c r="N338" s="576">
        <f t="shared" si="171"/>
        <v>-5.2932069509759372E-2</v>
      </c>
      <c r="O338" s="574">
        <f t="shared" si="172"/>
        <v>1047725.2328459222</v>
      </c>
      <c r="P338" s="577">
        <f t="shared" si="173"/>
        <v>1.5707953723461836</v>
      </c>
      <c r="Q338" s="586">
        <f t="shared" si="163"/>
        <v>42.270081410962256</v>
      </c>
      <c r="R338" s="587">
        <f t="shared" si="164"/>
        <v>1.5471367248060151</v>
      </c>
      <c r="S338" s="574">
        <f t="shared" si="174"/>
        <v>1.0040668783489242</v>
      </c>
      <c r="T338" s="577">
        <f t="shared" si="175"/>
        <v>9.0034916518046695E-2</v>
      </c>
      <c r="U338" s="578">
        <f t="shared" si="187"/>
        <v>0.8513659402429562</v>
      </c>
      <c r="V338" s="579">
        <f t="shared" si="188"/>
        <v>-0.69466358160567543</v>
      </c>
      <c r="W338" s="580">
        <f t="shared" si="176"/>
        <v>-16.652147220368853</v>
      </c>
      <c r="X338" s="581">
        <f t="shared" si="177"/>
        <v>-136.54521593819572</v>
      </c>
      <c r="Y338" s="584">
        <f t="shared" si="178"/>
        <v>43.454784061804276</v>
      </c>
      <c r="AA338" s="147">
        <f t="shared" si="179"/>
        <v>25265.25</v>
      </c>
      <c r="AB338" s="147">
        <f t="shared" si="180"/>
        <v>638332857.5625</v>
      </c>
      <c r="AD338" s="583">
        <f t="shared" si="181"/>
        <v>17.185910899914962</v>
      </c>
      <c r="AE338" s="584">
        <f t="shared" si="182"/>
        <v>-6.5141613857795182</v>
      </c>
      <c r="AG338" s="583">
        <f t="shared" si="183"/>
        <v>-2.4154337090189686</v>
      </c>
      <c r="AH338" s="584">
        <f t="shared" si="184"/>
        <v>-50.428471646563324</v>
      </c>
      <c r="AJ338" s="147">
        <f t="shared" si="185"/>
        <v>0</v>
      </c>
      <c r="AK338" s="147">
        <f t="shared" si="165"/>
        <v>0</v>
      </c>
      <c r="AM338" s="147" t="str">
        <f t="shared" si="189"/>
        <v>0.523114128840919+0.87896522450484i</v>
      </c>
      <c r="AN338" s="147" t="str">
        <f t="shared" si="190"/>
        <v>1.07368798245623i</v>
      </c>
      <c r="AO338" s="147" t="str">
        <f t="shared" si="191"/>
        <v>0.818641205701184-0.48721242799441i</v>
      </c>
      <c r="AP338" s="147" t="str">
        <f t="shared" si="192"/>
        <v>0.0794809785265135-0.14649420408414i</v>
      </c>
      <c r="AQ338" s="147" t="str">
        <f t="shared" si="193"/>
        <v>0.920519021473487+0.14649420408414i</v>
      </c>
      <c r="AR338" s="147" t="str">
        <f t="shared" si="194"/>
        <v>0.882571802442282-0.140455167932248i</v>
      </c>
    </row>
    <row r="339" spans="7:44">
      <c r="G339" s="585">
        <v>25411.5</v>
      </c>
      <c r="H339" s="573">
        <f t="shared" si="186"/>
        <v>25.4115</v>
      </c>
      <c r="I339" s="574">
        <f t="shared" si="166"/>
        <v>71.782973604778761</v>
      </c>
      <c r="J339" s="575">
        <f t="shared" si="167"/>
        <v>1.5568649960418062</v>
      </c>
      <c r="K339" s="575">
        <f t="shared" si="168"/>
        <v>1.0006167395535754</v>
      </c>
      <c r="L339" s="576">
        <f t="shared" si="169"/>
        <v>3.5111899613661693E-2</v>
      </c>
      <c r="M339" s="575">
        <f t="shared" si="170"/>
        <v>1.0014188121859682</v>
      </c>
      <c r="N339" s="576">
        <f t="shared" si="171"/>
        <v>-5.3237894231913573E-2</v>
      </c>
      <c r="O339" s="574">
        <f t="shared" si="172"/>
        <v>1053790.0774567446</v>
      </c>
      <c r="P339" s="577">
        <f t="shared" si="173"/>
        <v>1.570795377839292</v>
      </c>
      <c r="Q339" s="586">
        <f t="shared" si="163"/>
        <v>42.514628742302605</v>
      </c>
      <c r="R339" s="587">
        <f t="shared" si="164"/>
        <v>1.547272841790696</v>
      </c>
      <c r="S339" s="574">
        <f t="shared" si="174"/>
        <v>1.0041140008132459</v>
      </c>
      <c r="T339" s="577">
        <f t="shared" si="175"/>
        <v>9.0553254849765244E-2</v>
      </c>
      <c r="U339" s="578">
        <f t="shared" si="187"/>
        <v>0.84999005218037049</v>
      </c>
      <c r="V339" s="579">
        <f t="shared" si="188"/>
        <v>-0.69813736680678529</v>
      </c>
      <c r="W339" s="580">
        <f t="shared" si="176"/>
        <v>-16.716552999619861</v>
      </c>
      <c r="X339" s="581">
        <f t="shared" si="177"/>
        <v>-136.77672269373841</v>
      </c>
      <c r="Y339" s="584">
        <f t="shared" si="178"/>
        <v>43.223277306261593</v>
      </c>
      <c r="AA339" s="147">
        <f t="shared" si="179"/>
        <v>25411.5</v>
      </c>
      <c r="AB339" s="147">
        <f t="shared" si="180"/>
        <v>645744332.25</v>
      </c>
      <c r="AD339" s="583">
        <f t="shared" si="181"/>
        <v>17.185475369399644</v>
      </c>
      <c r="AE339" s="584">
        <f t="shared" si="182"/>
        <v>-6.5360613705615238</v>
      </c>
      <c r="AG339" s="583">
        <f t="shared" si="183"/>
        <v>-2.4513068057783802</v>
      </c>
      <c r="AH339" s="584">
        <f t="shared" si="184"/>
        <v>-50.240011954951925</v>
      </c>
      <c r="AJ339" s="147">
        <f t="shared" si="185"/>
        <v>0</v>
      </c>
      <c r="AK339" s="147">
        <f t="shared" si="165"/>
        <v>0</v>
      </c>
      <c r="AM339" s="147" t="str">
        <f t="shared" si="189"/>
        <v>0.528586189204977+0.881912137909278i</v>
      </c>
      <c r="AN339" s="147" t="str">
        <f t="shared" si="190"/>
        <v>1.07990311460154i</v>
      </c>
      <c r="AO339" s="147" t="str">
        <f t="shared" si="191"/>
        <v>0.816658574259862-0.489475566889177i</v>
      </c>
      <c r="AP339" s="147" t="str">
        <f t="shared" si="192"/>
        <v>0.0785689684658372-0.146985356318213i</v>
      </c>
      <c r="AQ339" s="147" t="str">
        <f t="shared" si="193"/>
        <v>0.921431031534163+0.146985356318213i</v>
      </c>
      <c r="AR339" s="147" t="str">
        <f t="shared" si="194"/>
        <v>0.881595366141339-0.140630828120711i</v>
      </c>
    </row>
    <row r="340" spans="7:44">
      <c r="G340" s="585">
        <v>25557.75</v>
      </c>
      <c r="H340" s="573">
        <f t="shared" si="186"/>
        <v>25.557749999999999</v>
      </c>
      <c r="I340" s="574">
        <f t="shared" si="166"/>
        <v>72.196023929500782</v>
      </c>
      <c r="J340" s="575">
        <f t="shared" si="167"/>
        <v>1.5569447055533419</v>
      </c>
      <c r="K340" s="575">
        <f t="shared" si="168"/>
        <v>1.000623856765718</v>
      </c>
      <c r="L340" s="576">
        <f t="shared" si="169"/>
        <v>3.5313810534431014E-2</v>
      </c>
      <c r="M340" s="575">
        <f t="shared" si="170"/>
        <v>1.0014351787348588</v>
      </c>
      <c r="N340" s="576">
        <f t="shared" si="171"/>
        <v>-5.3543708986425326E-2</v>
      </c>
      <c r="O340" s="574">
        <f t="shared" si="172"/>
        <v>1059854.9220675668</v>
      </c>
      <c r="P340" s="577">
        <f t="shared" si="173"/>
        <v>1.5707953832695336</v>
      </c>
      <c r="Q340" s="586">
        <f t="shared" si="163"/>
        <v>42.759176852336886</v>
      </c>
      <c r="R340" s="587">
        <f t="shared" si="164"/>
        <v>1.5474074018184378</v>
      </c>
      <c r="S340" s="574">
        <f t="shared" si="174"/>
        <v>1.0041613930321591</v>
      </c>
      <c r="T340" s="577">
        <f t="shared" si="175"/>
        <v>9.1071544393920401E-2</v>
      </c>
      <c r="U340" s="578">
        <f t="shared" si="187"/>
        <v>0.84861239942521538</v>
      </c>
      <c r="V340" s="579">
        <f t="shared" si="188"/>
        <v>-0.70160386982943235</v>
      </c>
      <c r="W340" s="580">
        <f t="shared" si="176"/>
        <v>-16.780712732353756</v>
      </c>
      <c r="X340" s="581">
        <f t="shared" si="177"/>
        <v>-137.00784534951123</v>
      </c>
      <c r="Y340" s="584">
        <f t="shared" si="178"/>
        <v>42.992154650488771</v>
      </c>
      <c r="AA340" s="147">
        <f t="shared" si="179"/>
        <v>25557.75</v>
      </c>
      <c r="AB340" s="147">
        <f t="shared" si="180"/>
        <v>653198585.0625</v>
      </c>
      <c r="AD340" s="583">
        <f t="shared" si="181"/>
        <v>17.185038002033309</v>
      </c>
      <c r="AE340" s="584">
        <f t="shared" si="182"/>
        <v>-6.5580477634816496</v>
      </c>
      <c r="AG340" s="583">
        <f t="shared" si="183"/>
        <v>-2.4868503765060748</v>
      </c>
      <c r="AH340" s="584">
        <f t="shared" si="184"/>
        <v>-50.05191623161668</v>
      </c>
      <c r="AJ340" s="147">
        <f t="shared" si="185"/>
        <v>0</v>
      </c>
      <c r="AK340" s="147">
        <f t="shared" si="165"/>
        <v>0</v>
      </c>
      <c r="AM340" s="147" t="str">
        <f t="shared" si="189"/>
        <v>0.534076459220678+0.884824985038092i</v>
      </c>
      <c r="AN340" s="147" t="str">
        <f t="shared" si="190"/>
        <v>1.08611824674685i</v>
      </c>
      <c r="AO340" s="147" t="str">
        <f t="shared" si="191"/>
        <v>0.814667268217182-0.491729570716953i</v>
      </c>
      <c r="AP340" s="147" t="str">
        <f t="shared" si="192"/>
        <v>0.0776539234632203-0.147470830839682i</v>
      </c>
      <c r="AQ340" s="147" t="str">
        <f t="shared" si="193"/>
        <v>0.92234607653678+0.147470830839682i</v>
      </c>
      <c r="AR340" s="147" t="str">
        <f t="shared" si="194"/>
        <v>0.880619783658828-0.140799353359476i</v>
      </c>
    </row>
    <row r="341" spans="7:44">
      <c r="G341" s="585">
        <v>25704</v>
      </c>
      <c r="H341" s="573">
        <f t="shared" si="186"/>
        <v>25.704000000000001</v>
      </c>
      <c r="I341" s="574">
        <f t="shared" si="166"/>
        <v>72.609074707709041</v>
      </c>
      <c r="J341" s="575">
        <f t="shared" si="167"/>
        <v>1.5570235081793984</v>
      </c>
      <c r="K341" s="575">
        <f t="shared" si="168"/>
        <v>1.0006310147707322</v>
      </c>
      <c r="L341" s="576">
        <f t="shared" si="169"/>
        <v>3.5515718574695695E-2</v>
      </c>
      <c r="M341" s="575">
        <f t="shared" si="170"/>
        <v>1.0014516389375685</v>
      </c>
      <c r="N341" s="576">
        <f t="shared" si="171"/>
        <v>-5.384951371658353E-2</v>
      </c>
      <c r="O341" s="574">
        <f t="shared" si="172"/>
        <v>1065919.7666783892</v>
      </c>
      <c r="P341" s="577">
        <f t="shared" si="173"/>
        <v>1.5707953886379815</v>
      </c>
      <c r="Q341" s="586">
        <f t="shared" si="163"/>
        <v>43.003725727780534</v>
      </c>
      <c r="R341" s="587">
        <f t="shared" si="164"/>
        <v>1.5475404314461223</v>
      </c>
      <c r="S341" s="574">
        <f t="shared" si="174"/>
        <v>1.0042090549674716</v>
      </c>
      <c r="T341" s="577">
        <f t="shared" si="175"/>
        <v>9.1589784878989278E-2</v>
      </c>
      <c r="U341" s="578">
        <f t="shared" si="187"/>
        <v>0.84723304075110384</v>
      </c>
      <c r="V341" s="579">
        <f t="shared" si="188"/>
        <v>-0.70506309723998895</v>
      </c>
      <c r="W341" s="580">
        <f t="shared" si="176"/>
        <v>-16.844629267815428</v>
      </c>
      <c r="X341" s="581">
        <f t="shared" si="177"/>
        <v>-137.23858364443979</v>
      </c>
      <c r="Y341" s="584">
        <f t="shared" si="178"/>
        <v>42.761416355560215</v>
      </c>
      <c r="AA341" s="147">
        <f t="shared" si="179"/>
        <v>25704</v>
      </c>
      <c r="AB341" s="147">
        <f t="shared" si="180"/>
        <v>660695616</v>
      </c>
      <c r="AD341" s="583">
        <f t="shared" si="181"/>
        <v>17.184598787646259</v>
      </c>
      <c r="AE341" s="584">
        <f t="shared" si="182"/>
        <v>-6.5801190274470267</v>
      </c>
      <c r="AG341" s="583">
        <f t="shared" si="183"/>
        <v>-2.5220681414373831</v>
      </c>
      <c r="AH341" s="584">
        <f t="shared" si="184"/>
        <v>-49.864185000125168</v>
      </c>
      <c r="AJ341" s="147">
        <f t="shared" si="185"/>
        <v>0</v>
      </c>
      <c r="AK341" s="147">
        <f t="shared" si="165"/>
        <v>0</v>
      </c>
      <c r="AM341" s="147" t="str">
        <f t="shared" si="189"/>
        <v>0.539584726811274+0.887703653374565i</v>
      </c>
      <c r="AN341" s="147" t="str">
        <f t="shared" si="190"/>
        <v>1.09233337889215i</v>
      </c>
      <c r="AO341" s="147" t="str">
        <f t="shared" si="191"/>
        <v>0.812667332636927-0.493974401256989i</v>
      </c>
      <c r="AP341" s="147" t="str">
        <f t="shared" si="192"/>
        <v>0.0767358788647877-0.147950608895761i</v>
      </c>
      <c r="AQ341" s="147" t="str">
        <f t="shared" si="193"/>
        <v>0.923264121135212+0.147950608895761i</v>
      </c>
      <c r="AR341" s="147" t="str">
        <f t="shared" si="194"/>
        <v>0.879645107399845-0.140960778473622i</v>
      </c>
    </row>
    <row r="342" spans="7:44">
      <c r="G342" s="585">
        <v>25853.75</v>
      </c>
      <c r="H342" s="573">
        <f t="shared" si="186"/>
        <v>25.853750000000002</v>
      </c>
      <c r="I342" s="574">
        <f t="shared" si="166"/>
        <v>73.032010923664728</v>
      </c>
      <c r="J342" s="575">
        <f t="shared" si="167"/>
        <v>1.5571032730505276</v>
      </c>
      <c r="K342" s="575">
        <f t="shared" si="168"/>
        <v>1.0006383863464294</v>
      </c>
      <c r="L342" s="576">
        <f t="shared" si="169"/>
        <v>3.5722455600387233E-2</v>
      </c>
      <c r="M342" s="575">
        <f t="shared" si="170"/>
        <v>1.0014685900974065</v>
      </c>
      <c r="N342" s="576">
        <f t="shared" si="171"/>
        <v>-5.4162626404247551E-2</v>
      </c>
      <c r="O342" s="574">
        <f t="shared" si="172"/>
        <v>1072129.7528696414</v>
      </c>
      <c r="P342" s="577">
        <f t="shared" si="173"/>
        <v>1.5707953940719708</v>
      </c>
      <c r="Q342" s="586">
        <f t="shared" si="163"/>
        <v>43.254127834489609</v>
      </c>
      <c r="R342" s="587">
        <f t="shared" si="164"/>
        <v>1.5476750860196051</v>
      </c>
      <c r="S342" s="574">
        <f t="shared" si="174"/>
        <v>1.0042581369659485</v>
      </c>
      <c r="T342" s="577">
        <f t="shared" si="175"/>
        <v>9.2120376582795413E-2</v>
      </c>
      <c r="U342" s="578">
        <f t="shared" si="187"/>
        <v>0.84581896498251841</v>
      </c>
      <c r="V342" s="579">
        <f t="shared" si="188"/>
        <v>-0.70859757797511136</v>
      </c>
      <c r="W342" s="580">
        <f t="shared" si="176"/>
        <v>-16.909826352192574</v>
      </c>
      <c r="X342" s="581">
        <f t="shared" si="177"/>
        <v>-137.47444537840988</v>
      </c>
      <c r="Y342" s="584">
        <f t="shared" si="178"/>
        <v>42.525554621590118</v>
      </c>
      <c r="AA342" s="147">
        <f t="shared" si="179"/>
        <v>25853.75</v>
      </c>
      <c r="AB342" s="147">
        <f t="shared" si="180"/>
        <v>668416389.0625</v>
      </c>
      <c r="AD342" s="583">
        <f t="shared" si="181"/>
        <v>17.184147137995463</v>
      </c>
      <c r="AE342" s="584">
        <f t="shared" si="182"/>
        <v>-6.6028048653376432</v>
      </c>
      <c r="AG342" s="583">
        <f t="shared" si="183"/>
        <v>-2.5577949544550544</v>
      </c>
      <c r="AH342" s="584">
        <f t="shared" si="184"/>
        <v>-49.672339237956187</v>
      </c>
      <c r="AJ342" s="147">
        <f t="shared" si="185"/>
        <v>0</v>
      </c>
      <c r="AK342" s="147">
        <f t="shared" si="165"/>
        <v>0</v>
      </c>
      <c r="AM342" s="147" t="str">
        <f t="shared" si="189"/>
        <v>0.54524324275199+0.890615681277438i</v>
      </c>
      <c r="AN342" s="147" t="str">
        <f t="shared" si="190"/>
        <v>1.09869724924265i</v>
      </c>
      <c r="AO342" s="147" t="str">
        <f t="shared" si="191"/>
        <v>0.810610640821531-0.496263409349423i</v>
      </c>
      <c r="AP342" s="147" t="str">
        <f t="shared" si="192"/>
        <v>0.0757927928746683-0.148435946879573i</v>
      </c>
      <c r="AQ342" s="147" t="str">
        <f t="shared" si="193"/>
        <v>0.924207207125332+0.148435946879573i</v>
      </c>
      <c r="AR342" s="147" t="str">
        <f t="shared" si="194"/>
        <v>0.878648098601649-0.141118746407033i</v>
      </c>
    </row>
    <row r="343" spans="7:44">
      <c r="G343" s="585">
        <v>26003.5</v>
      </c>
      <c r="H343" s="573">
        <f t="shared" si="186"/>
        <v>26.003499999999999</v>
      </c>
      <c r="I343" s="574">
        <f t="shared" si="166"/>
        <v>73.454947598930985</v>
      </c>
      <c r="J343" s="575">
        <f t="shared" si="167"/>
        <v>1.5571821193866298</v>
      </c>
      <c r="K343" s="575">
        <f t="shared" si="168"/>
        <v>1.0006458006889778</v>
      </c>
      <c r="L343" s="576">
        <f t="shared" si="169"/>
        <v>3.5929189571254766E-2</v>
      </c>
      <c r="M343" s="575">
        <f t="shared" si="170"/>
        <v>1.0014856394374503</v>
      </c>
      <c r="N343" s="576">
        <f t="shared" si="171"/>
        <v>-5.4475728461715958E-2</v>
      </c>
      <c r="O343" s="574">
        <f t="shared" si="172"/>
        <v>1078339.7390608939</v>
      </c>
      <c r="P343" s="577">
        <f t="shared" si="173"/>
        <v>1.570795399443373</v>
      </c>
      <c r="Q343" s="586">
        <f t="shared" ref="Q343:Q406" si="195">SQRT(1+(G343/Zero2)^2)</f>
        <v>43.504530716447974</v>
      </c>
      <c r="R343" s="587">
        <f t="shared" ref="R343:R406" si="196">ATAN(G343/Zero2)</f>
        <v>1.54780819050896</v>
      </c>
      <c r="S343" s="574">
        <f t="shared" si="174"/>
        <v>1.0043075016630834</v>
      </c>
      <c r="T343" s="577">
        <f t="shared" si="175"/>
        <v>9.2650916275634029E-2</v>
      </c>
      <c r="U343" s="578">
        <f t="shared" si="187"/>
        <v>0.84440322372442678</v>
      </c>
      <c r="V343" s="579">
        <f t="shared" si="188"/>
        <v>-0.71212444587303136</v>
      </c>
      <c r="W343" s="580">
        <f t="shared" si="176"/>
        <v>-16.974774334765577</v>
      </c>
      <c r="X343" s="581">
        <f t="shared" si="177"/>
        <v>-137.7099036964039</v>
      </c>
      <c r="Y343" s="584">
        <f t="shared" si="178"/>
        <v>42.290096303596101</v>
      </c>
      <c r="AA343" s="147">
        <f t="shared" si="179"/>
        <v>26003.5</v>
      </c>
      <c r="AB343" s="147">
        <f t="shared" si="180"/>
        <v>676182012.25</v>
      </c>
      <c r="AD343" s="583">
        <f t="shared" si="181"/>
        <v>17.183693531262886</v>
      </c>
      <c r="AE343" s="584">
        <f t="shared" si="182"/>
        <v>-6.6255765329118788</v>
      </c>
      <c r="AG343" s="583">
        <f t="shared" si="183"/>
        <v>-2.5931878895930911</v>
      </c>
      <c r="AH343" s="584">
        <f t="shared" si="184"/>
        <v>-49.480876597012255</v>
      </c>
      <c r="AJ343" s="147">
        <f t="shared" si="185"/>
        <v>0</v>
      </c>
      <c r="AK343" s="147">
        <f t="shared" ref="AK343:AK406" si="197">IF(AJ343&gt;0,Y343,0)</f>
        <v>0</v>
      </c>
      <c r="AM343" s="147" t="str">
        <f t="shared" si="189"/>
        <v>0.550920175754347+0.893491640394858i</v>
      </c>
      <c r="AN343" s="147" t="str">
        <f t="shared" si="190"/>
        <v>1.10506111959314i</v>
      </c>
      <c r="AO343" s="147" t="str">
        <f t="shared" si="191"/>
        <v>0.808544997695533-0.498542719480696i</v>
      </c>
      <c r="AP343" s="147" t="str">
        <f t="shared" si="192"/>
        <v>0.0748466373742755-0.148915273399143i</v>
      </c>
      <c r="AQ343" s="147" t="str">
        <f t="shared" si="193"/>
        <v>0.925153362625724+0.148915273399143i</v>
      </c>
      <c r="AR343" s="147" t="str">
        <f t="shared" si="194"/>
        <v>0.877652148977258-0.141269345163876i</v>
      </c>
    </row>
    <row r="344" spans="7:44">
      <c r="G344" s="585">
        <v>26153.25</v>
      </c>
      <c r="H344" s="573">
        <f t="shared" si="186"/>
        <v>26.15325</v>
      </c>
      <c r="I344" s="574">
        <f t="shared" si="166"/>
        <v>73.877884725619424</v>
      </c>
      <c r="J344" s="575">
        <f t="shared" si="167"/>
        <v>1.5572600629620412</v>
      </c>
      <c r="K344" s="575">
        <f t="shared" si="168"/>
        <v>1.000653257797427</v>
      </c>
      <c r="L344" s="576">
        <f t="shared" si="169"/>
        <v>3.6135920469695229E-2</v>
      </c>
      <c r="M344" s="575">
        <f t="shared" si="170"/>
        <v>1.0015027869526856</v>
      </c>
      <c r="N344" s="576">
        <f t="shared" si="171"/>
        <v>-5.4788819828144625E-2</v>
      </c>
      <c r="O344" s="574">
        <f t="shared" si="172"/>
        <v>1084549.7252521461</v>
      </c>
      <c r="P344" s="577">
        <f t="shared" si="173"/>
        <v>1.5707954047532633</v>
      </c>
      <c r="Q344" s="586">
        <f t="shared" si="195"/>
        <v>43.754934360345715</v>
      </c>
      <c r="R344" s="587">
        <f t="shared" si="196"/>
        <v>1.547939771522203</v>
      </c>
      <c r="S344" s="574">
        <f t="shared" si="174"/>
        <v>1.0043571490171919</v>
      </c>
      <c r="T344" s="577">
        <f t="shared" si="175"/>
        <v>9.3181403666531798E-2</v>
      </c>
      <c r="U344" s="578">
        <f t="shared" si="187"/>
        <v>0.84298587838741523</v>
      </c>
      <c r="V344" s="579">
        <f t="shared" si="188"/>
        <v>-0.71564370923259568</v>
      </c>
      <c r="W344" s="580">
        <f t="shared" si="176"/>
        <v>-17.039476103565768</v>
      </c>
      <c r="X344" s="581">
        <f t="shared" si="177"/>
        <v>-137.94495843409936</v>
      </c>
      <c r="Y344" s="584">
        <f t="shared" si="178"/>
        <v>42.055041565900638</v>
      </c>
      <c r="AA344" s="147">
        <f t="shared" si="179"/>
        <v>26153.25</v>
      </c>
      <c r="AB344" s="147">
        <f t="shared" si="180"/>
        <v>683992485.5625</v>
      </c>
      <c r="AD344" s="583">
        <f t="shared" si="181"/>
        <v>17.183237957504009</v>
      </c>
      <c r="AE344" s="584">
        <f t="shared" si="182"/>
        <v>-6.6484324890327731</v>
      </c>
      <c r="AG344" s="583">
        <f t="shared" si="183"/>
        <v>-2.6282507550605065</v>
      </c>
      <c r="AH344" s="584">
        <f t="shared" si="184"/>
        <v>-49.28979750312984</v>
      </c>
      <c r="AJ344" s="147">
        <f t="shared" si="185"/>
        <v>0</v>
      </c>
      <c r="AK344" s="147">
        <f t="shared" si="197"/>
        <v>0</v>
      </c>
      <c r="AM344" s="147" t="str">
        <f t="shared" si="189"/>
        <v>0.556615295909904+0.896331414254202i</v>
      </c>
      <c r="AN344" s="147" t="str">
        <f t="shared" si="190"/>
        <v>1.11142498994364i</v>
      </c>
      <c r="AO344" s="147" t="str">
        <f t="shared" si="191"/>
        <v>0.80647045222517-0.500812291379313i</v>
      </c>
      <c r="AP344" s="147" t="str">
        <f t="shared" si="192"/>
        <v>0.0738974506816827-0.149388569042367i</v>
      </c>
      <c r="AQ344" s="147" t="str">
        <f t="shared" si="193"/>
        <v>0.926102549318317+0.149388569042367i</v>
      </c>
      <c r="AR344" s="147" t="str">
        <f t="shared" si="194"/>
        <v>0.876657312612139-0.141412613071903i</v>
      </c>
    </row>
    <row r="345" spans="7:44">
      <c r="G345" s="585">
        <v>26303</v>
      </c>
      <c r="H345" s="573">
        <f t="shared" si="186"/>
        <v>26.303000000000001</v>
      </c>
      <c r="I345" s="574">
        <f t="shared" si="166"/>
        <v>74.300822296021252</v>
      </c>
      <c r="J345" s="575">
        <f t="shared" si="167"/>
        <v>1.5573371191919789</v>
      </c>
      <c r="K345" s="575">
        <f t="shared" si="168"/>
        <v>1.0006607576708209</v>
      </c>
      <c r="L345" s="576">
        <f t="shared" si="169"/>
        <v>3.6342648278107119E-2</v>
      </c>
      <c r="M345" s="575">
        <f t="shared" si="170"/>
        <v>1.0015200326380698</v>
      </c>
      <c r="N345" s="576">
        <f t="shared" si="171"/>
        <v>-5.5101900442701954E-2</v>
      </c>
      <c r="O345" s="574">
        <f t="shared" si="172"/>
        <v>1090759.7114433986</v>
      </c>
      <c r="P345" s="577">
        <f t="shared" si="173"/>
        <v>1.5707954100026926</v>
      </c>
      <c r="Q345" s="586">
        <f t="shared" si="195"/>
        <v>44.005338753175842</v>
      </c>
      <c r="R345" s="587">
        <f t="shared" si="196"/>
        <v>1.5480698550619314</v>
      </c>
      <c r="S345" s="574">
        <f t="shared" si="174"/>
        <v>1.0044070789863595</v>
      </c>
      <c r="T345" s="577">
        <f t="shared" si="175"/>
        <v>9.3711838464690569E-2</v>
      </c>
      <c r="U345" s="578">
        <f t="shared" si="187"/>
        <v>0.84156698981186384</v>
      </c>
      <c r="V345" s="579">
        <f t="shared" si="188"/>
        <v>-0.71915537676303498</v>
      </c>
      <c r="W345" s="580">
        <f t="shared" si="176"/>
        <v>-17.103934491808864</v>
      </c>
      <c r="X345" s="581">
        <f t="shared" si="177"/>
        <v>-138.17960946480787</v>
      </c>
      <c r="Y345" s="584">
        <f t="shared" si="178"/>
        <v>41.820390535192132</v>
      </c>
      <c r="AA345" s="147">
        <f t="shared" si="179"/>
        <v>26303</v>
      </c>
      <c r="AB345" s="147">
        <f t="shared" si="180"/>
        <v>691847809</v>
      </c>
      <c r="AD345" s="583">
        <f t="shared" si="181"/>
        <v>17.182780407080735</v>
      </c>
      <c r="AE345" s="584">
        <f t="shared" si="182"/>
        <v>-6.6713712272599501</v>
      </c>
      <c r="AG345" s="583">
        <f t="shared" si="183"/>
        <v>-2.6629872991365415</v>
      </c>
      <c r="AH345" s="584">
        <f t="shared" si="184"/>
        <v>-49.099102338056767</v>
      </c>
      <c r="AJ345" s="147">
        <f t="shared" si="185"/>
        <v>0</v>
      </c>
      <c r="AK345" s="147">
        <f t="shared" si="197"/>
        <v>0</v>
      </c>
      <c r="AM345" s="147" t="str">
        <f t="shared" si="189"/>
        <v>0.562328372573628+0.899134887848287i</v>
      </c>
      <c r="AN345" s="147" t="str">
        <f t="shared" si="190"/>
        <v>1.11778886029413i</v>
      </c>
      <c r="AO345" s="147" t="str">
        <f t="shared" si="191"/>
        <v>0.804387053572615-0.503072085031926i</v>
      </c>
      <c r="AP345" s="147" t="str">
        <f t="shared" si="192"/>
        <v>0.0729452712377287-0.149855814641381i</v>
      </c>
      <c r="AQ345" s="147" t="str">
        <f t="shared" si="193"/>
        <v>0.927054728762271+0.149855814641381i</v>
      </c>
      <c r="AR345" s="147" t="str">
        <f t="shared" si="194"/>
        <v>0.875663642862731-0.141548588752934i</v>
      </c>
    </row>
    <row r="346" spans="7:44">
      <c r="G346" s="585">
        <v>26456</v>
      </c>
      <c r="H346" s="573">
        <f t="shared" si="186"/>
        <v>26.456</v>
      </c>
      <c r="I346" s="574">
        <f t="shared" si="166"/>
        <v>74.732939262450458</v>
      </c>
      <c r="J346" s="575">
        <f t="shared" si="167"/>
        <v>1.5574149469903935</v>
      </c>
      <c r="K346" s="575">
        <f t="shared" si="168"/>
        <v>1.0006684644789492</v>
      </c>
      <c r="L346" s="576">
        <f t="shared" si="169"/>
        <v>3.6553859457009785E-2</v>
      </c>
      <c r="M346" s="575">
        <f t="shared" si="170"/>
        <v>1.0015377539876205</v>
      </c>
      <c r="N346" s="576">
        <f t="shared" si="171"/>
        <v>-5.5421764627447606E-2</v>
      </c>
      <c r="O346" s="574">
        <f t="shared" si="172"/>
        <v>1097104.4719593357</v>
      </c>
      <c r="P346" s="577">
        <f t="shared" si="173"/>
        <v>1.5707954153046735</v>
      </c>
      <c r="Q346" s="586">
        <f t="shared" si="195"/>
        <v>44.261178392260788</v>
      </c>
      <c r="R346" s="587">
        <f t="shared" si="196"/>
        <v>1.5482012416426039</v>
      </c>
      <c r="S346" s="574">
        <f t="shared" si="174"/>
        <v>1.0044583844156592</v>
      </c>
      <c r="T346" s="577">
        <f t="shared" si="175"/>
        <v>9.425373058381252E-2</v>
      </c>
      <c r="U346" s="578">
        <f t="shared" si="187"/>
        <v>0.84011577617900002</v>
      </c>
      <c r="V346" s="579">
        <f t="shared" si="188"/>
        <v>-0.72273542203396512</v>
      </c>
      <c r="W346" s="580">
        <f t="shared" si="176"/>
        <v>-17.169543340413419</v>
      </c>
      <c r="X346" s="581">
        <f t="shared" si="177"/>
        <v>-138.4189360512166</v>
      </c>
      <c r="Y346" s="584">
        <f t="shared" si="178"/>
        <v>41.581063948783395</v>
      </c>
      <c r="AA346" s="147">
        <f t="shared" si="179"/>
        <v>26456</v>
      </c>
      <c r="AB346" s="147">
        <f t="shared" si="180"/>
        <v>699919936</v>
      </c>
      <c r="AD346" s="583">
        <f t="shared" si="181"/>
        <v>17.182310875319608</v>
      </c>
      <c r="AE346" s="584">
        <f t="shared" si="182"/>
        <v>-6.6948917658878448</v>
      </c>
      <c r="AG346" s="583">
        <f t="shared" si="183"/>
        <v>-2.6981445412624772</v>
      </c>
      <c r="AH346" s="584">
        <f t="shared" si="184"/>
        <v>-48.904665416388688</v>
      </c>
      <c r="AJ346" s="147">
        <f t="shared" si="185"/>
        <v>0</v>
      </c>
      <c r="AK346" s="147">
        <f t="shared" si="197"/>
        <v>0</v>
      </c>
      <c r="AM346" s="147" t="str">
        <f t="shared" si="189"/>
        <v>0.568183743821243+0.901961596133539i</v>
      </c>
      <c r="AN346" s="147" t="str">
        <f t="shared" si="190"/>
        <v>1.1242908446923i</v>
      </c>
      <c r="AO346" s="147" t="str">
        <f t="shared" si="191"/>
        <v>0.802249347125468-0.505370782394609i</v>
      </c>
      <c r="AP346" s="147" t="str">
        <f t="shared" si="192"/>
        <v>0.0719693760297928-0.150326932688923i</v>
      </c>
      <c r="AQ346" s="147" t="str">
        <f t="shared" si="193"/>
        <v>0.928030623970207+0.150326932688923i</v>
      </c>
      <c r="AR346" s="147" t="str">
        <f t="shared" si="194"/>
        <v>0.874649667272857-0.141680024626792i</v>
      </c>
    </row>
    <row r="347" spans="7:44">
      <c r="G347" s="585">
        <v>26609</v>
      </c>
      <c r="H347" s="573">
        <f t="shared" si="186"/>
        <v>26.609000000000002</v>
      </c>
      <c r="I347" s="574">
        <f t="shared" si="166"/>
        <v>75.165056676344776</v>
      </c>
      <c r="J347" s="575">
        <f t="shared" si="167"/>
        <v>1.5574918799386979</v>
      </c>
      <c r="K347" s="575">
        <f t="shared" si="168"/>
        <v>1.0006762159263711</v>
      </c>
      <c r="L347" s="576">
        <f t="shared" si="169"/>
        <v>3.6765067373162347E-2</v>
      </c>
      <c r="M347" s="575">
        <f t="shared" si="170"/>
        <v>1.0015555778039678</v>
      </c>
      <c r="N347" s="576">
        <f t="shared" si="171"/>
        <v>-5.5741617460226232E-2</v>
      </c>
      <c r="O347" s="574">
        <f t="shared" si="172"/>
        <v>1103449.2324752731</v>
      </c>
      <c r="P347" s="577">
        <f t="shared" si="173"/>
        <v>1.5707954205456822</v>
      </c>
      <c r="Q347" s="586">
        <f t="shared" si="195"/>
        <v>44.517018786619303</v>
      </c>
      <c r="R347" s="587">
        <f t="shared" si="196"/>
        <v>1.5483311180617201</v>
      </c>
      <c r="S347" s="574">
        <f t="shared" si="174"/>
        <v>1.0045099847710388</v>
      </c>
      <c r="T347" s="577">
        <f t="shared" si="175"/>
        <v>9.4795567189460209E-2</v>
      </c>
      <c r="U347" s="578">
        <f t="shared" si="187"/>
        <v>0.83866307816979691</v>
      </c>
      <c r="V347" s="579">
        <f t="shared" si="188"/>
        <v>-0.72630755786235324</v>
      </c>
      <c r="W347" s="580">
        <f t="shared" si="176"/>
        <v>-17.234903939631383</v>
      </c>
      <c r="X347" s="581">
        <f t="shared" si="177"/>
        <v>-138.65784106703862</v>
      </c>
      <c r="Y347" s="584">
        <f t="shared" si="178"/>
        <v>41.342158932961382</v>
      </c>
      <c r="AA347" s="147">
        <f t="shared" si="179"/>
        <v>26609</v>
      </c>
      <c r="AB347" s="147">
        <f t="shared" si="180"/>
        <v>708038881</v>
      </c>
      <c r="AD347" s="583">
        <f t="shared" si="181"/>
        <v>17.181839260759112</v>
      </c>
      <c r="AE347" s="584">
        <f t="shared" si="182"/>
        <v>-6.7184956462181775</v>
      </c>
      <c r="AG347" s="583">
        <f t="shared" si="183"/>
        <v>-2.732968868619496</v>
      </c>
      <c r="AH347" s="584">
        <f t="shared" si="184"/>
        <v>-48.710629937784425</v>
      </c>
      <c r="AJ347" s="147">
        <f t="shared" si="185"/>
        <v>0</v>
      </c>
      <c r="AK347" s="147">
        <f t="shared" si="197"/>
        <v>0</v>
      </c>
      <c r="AM347" s="147" t="str">
        <f t="shared" si="189"/>
        <v>0.574057370382708+0.904750173404077i</v>
      </c>
      <c r="AN347" s="147" t="str">
        <f t="shared" si="190"/>
        <v>1.13079282909047i</v>
      </c>
      <c r="AO347" s="147" t="str">
        <f t="shared" si="191"/>
        <v>0.800102503419476-0.507659188858174i</v>
      </c>
      <c r="AP347" s="147" t="str">
        <f t="shared" si="192"/>
        <v>0.0709904382695487-0.150791695567346i</v>
      </c>
      <c r="AQ347" s="147" t="str">
        <f t="shared" si="193"/>
        <v>0.929009561730451+0.150791695567346i</v>
      </c>
      <c r="AR347" s="147" t="str">
        <f t="shared" si="194"/>
        <v>0.873637019772037-0.141803930711374i</v>
      </c>
    </row>
    <row r="348" spans="7:44">
      <c r="G348" s="585">
        <v>26762</v>
      </c>
      <c r="H348" s="573">
        <f t="shared" si="186"/>
        <v>26.762</v>
      </c>
      <c r="I348" s="574">
        <f t="shared" si="166"/>
        <v>75.597174530031012</v>
      </c>
      <c r="J348" s="575">
        <f t="shared" si="167"/>
        <v>1.5575679333810191</v>
      </c>
      <c r="K348" s="575">
        <f t="shared" si="168"/>
        <v>1.0006840120120495</v>
      </c>
      <c r="L348" s="576">
        <f t="shared" si="169"/>
        <v>3.6976272007797392E-2</v>
      </c>
      <c r="M348" s="575">
        <f t="shared" si="170"/>
        <v>1.0015735040816416</v>
      </c>
      <c r="N348" s="576">
        <f t="shared" si="171"/>
        <v>-5.606145887620001E-2</v>
      </c>
      <c r="O348" s="574">
        <f t="shared" si="172"/>
        <v>1109793.9929912107</v>
      </c>
      <c r="P348" s="577">
        <f t="shared" si="173"/>
        <v>1.5707954257267647</v>
      </c>
      <c r="Q348" s="586">
        <f t="shared" si="195"/>
        <v>44.77285992330409</v>
      </c>
      <c r="R348" s="587">
        <f t="shared" si="196"/>
        <v>1.5484595102029619</v>
      </c>
      <c r="S348" s="574">
        <f t="shared" si="174"/>
        <v>1.0045618800070508</v>
      </c>
      <c r="T348" s="577">
        <f t="shared" si="175"/>
        <v>9.5337347972060504E-2</v>
      </c>
      <c r="U348" s="578">
        <f t="shared" si="187"/>
        <v>0.83720895882350599</v>
      </c>
      <c r="V348" s="579">
        <f t="shared" si="188"/>
        <v>-0.72987179482805808</v>
      </c>
      <c r="W348" s="580">
        <f t="shared" si="176"/>
        <v>-17.300019142389012</v>
      </c>
      <c r="X348" s="581">
        <f t="shared" si="177"/>
        <v>-138.89632449426622</v>
      </c>
      <c r="Y348" s="584">
        <f t="shared" si="178"/>
        <v>41.103675505733776</v>
      </c>
      <c r="AA348" s="147">
        <f t="shared" si="179"/>
        <v>26762</v>
      </c>
      <c r="AB348" s="147">
        <f t="shared" si="180"/>
        <v>716204644</v>
      </c>
      <c r="AD348" s="583">
        <f t="shared" si="181"/>
        <v>17.181365554045946</v>
      </c>
      <c r="AE348" s="584">
        <f t="shared" si="182"/>
        <v>-6.7421813675478859</v>
      </c>
      <c r="AG348" s="583">
        <f t="shared" si="183"/>
        <v>-2.7674640932224444</v>
      </c>
      <c r="AH348" s="584">
        <f t="shared" si="184"/>
        <v>-48.51699617257681</v>
      </c>
      <c r="AJ348" s="147">
        <f t="shared" si="185"/>
        <v>0</v>
      </c>
      <c r="AK348" s="147">
        <f t="shared" si="197"/>
        <v>0</v>
      </c>
      <c r="AM348" s="147" t="str">
        <f t="shared" si="189"/>
        <v>0.579949003946622+0.907500501770972i</v>
      </c>
      <c r="AN348" s="147" t="str">
        <f t="shared" si="190"/>
        <v>1.13729481348863i</v>
      </c>
      <c r="AO348" s="147" t="str">
        <f t="shared" si="191"/>
        <v>0.797946575512141-0.509937262588615i</v>
      </c>
      <c r="AP348" s="147" t="str">
        <f t="shared" si="192"/>
        <v>0.0700084993422297-0.151250083628495i</v>
      </c>
      <c r="AQ348" s="147" t="str">
        <f t="shared" si="193"/>
        <v>0.92999150065777+0.151250083628495i</v>
      </c>
      <c r="AR348" s="147" t="str">
        <f t="shared" si="194"/>
        <v>0.872625754923659-0.141920349073331i</v>
      </c>
    </row>
    <row r="349" spans="7:44">
      <c r="G349" s="585">
        <v>26915</v>
      </c>
      <c r="H349" s="573">
        <f t="shared" si="186"/>
        <v>26.914999999999999</v>
      </c>
      <c r="I349" s="574">
        <f t="shared" si="166"/>
        <v>76.029292816010397</v>
      </c>
      <c r="J349" s="575">
        <f t="shared" si="167"/>
        <v>1.5576431223126881</v>
      </c>
      <c r="K349" s="575">
        <f t="shared" si="168"/>
        <v>1.0006918527349407</v>
      </c>
      <c r="L349" s="576">
        <f t="shared" si="169"/>
        <v>3.7187473342149259E-2</v>
      </c>
      <c r="M349" s="575">
        <f t="shared" si="170"/>
        <v>1.0015915328151401</v>
      </c>
      <c r="N349" s="576">
        <f t="shared" si="171"/>
        <v>-5.6381288810545098E-2</v>
      </c>
      <c r="O349" s="574">
        <f t="shared" si="172"/>
        <v>1116138.753507148</v>
      </c>
      <c r="P349" s="577">
        <f t="shared" si="173"/>
        <v>1.5707954308489429</v>
      </c>
      <c r="Q349" s="586">
        <f t="shared" si="195"/>
        <v>45.028701789662023</v>
      </c>
      <c r="R349" s="587">
        <f t="shared" si="196"/>
        <v>1.5485864433619516</v>
      </c>
      <c r="S349" s="574">
        <f t="shared" si="174"/>
        <v>1.0046140700779973</v>
      </c>
      <c r="T349" s="577">
        <f t="shared" si="175"/>
        <v>9.587907262223519E-2</v>
      </c>
      <c r="U349" s="578">
        <f t="shared" si="187"/>
        <v>0.83575348055537557</v>
      </c>
      <c r="V349" s="579">
        <f t="shared" si="188"/>
        <v>-0.73342814393378886</v>
      </c>
      <c r="W349" s="580">
        <f t="shared" si="176"/>
        <v>-17.364891747484947</v>
      </c>
      <c r="X349" s="581">
        <f t="shared" si="177"/>
        <v>-139.13438635283853</v>
      </c>
      <c r="Y349" s="584">
        <f t="shared" si="178"/>
        <v>40.865613647161467</v>
      </c>
      <c r="AA349" s="147">
        <f t="shared" si="179"/>
        <v>26915</v>
      </c>
      <c r="AB349" s="147">
        <f t="shared" si="180"/>
        <v>724417225</v>
      </c>
      <c r="AD349" s="583">
        <f t="shared" si="181"/>
        <v>17.180889746118226</v>
      </c>
      <c r="AE349" s="584">
        <f t="shared" si="182"/>
        <v>-6.7659474628770724</v>
      </c>
      <c r="AG349" s="583">
        <f t="shared" si="183"/>
        <v>-2.8016339671803769</v>
      </c>
      <c r="AH349" s="584">
        <f t="shared" si="184"/>
        <v>-48.323764346887266</v>
      </c>
      <c r="AJ349" s="147">
        <f t="shared" si="185"/>
        <v>0</v>
      </c>
      <c r="AK349" s="147">
        <f t="shared" si="197"/>
        <v>0</v>
      </c>
      <c r="AM349" s="147" t="str">
        <f t="shared" si="189"/>
        <v>0.585858395440351+0.910212464962307i</v>
      </c>
      <c r="AN349" s="147" t="str">
        <f t="shared" si="190"/>
        <v>1.1437967978868i</v>
      </c>
      <c r="AO349" s="147" t="str">
        <f t="shared" si="191"/>
        <v>0.795781616668234-0.512204962037612i</v>
      </c>
      <c r="AP349" s="147" t="str">
        <f t="shared" si="192"/>
        <v>0.0690236007599415-0.151702077493718i</v>
      </c>
      <c r="AQ349" s="147" t="str">
        <f t="shared" si="193"/>
        <v>0.930976399240058+0.151702077493718i</v>
      </c>
      <c r="AR349" s="147" t="str">
        <f t="shared" si="194"/>
        <v>0.871615926507379-0.142029322049104i</v>
      </c>
    </row>
    <row r="350" spans="7:44">
      <c r="G350" s="585">
        <v>27071.75</v>
      </c>
      <c r="H350" s="573">
        <f t="shared" si="186"/>
        <v>27.071750000000002</v>
      </c>
      <c r="I350" s="574">
        <f t="shared" si="166"/>
        <v>76.472002677104257</v>
      </c>
      <c r="J350" s="575">
        <f t="shared" si="167"/>
        <v>1.5577192728782143</v>
      </c>
      <c r="K350" s="575">
        <f t="shared" si="168"/>
        <v>1.0006999319230101</v>
      </c>
      <c r="L350" s="576">
        <f t="shared" si="169"/>
        <v>3.7403847737567296E-2</v>
      </c>
      <c r="M350" s="575">
        <f t="shared" si="170"/>
        <v>1.0016101096769341</v>
      </c>
      <c r="N350" s="576">
        <f t="shared" si="171"/>
        <v>-5.6708945738912164E-2</v>
      </c>
      <c r="O350" s="574">
        <f t="shared" si="172"/>
        <v>1122639.0228592604</v>
      </c>
      <c r="P350" s="577">
        <f t="shared" si="173"/>
        <v>1.5707954360366212</v>
      </c>
      <c r="Q350" s="586">
        <f t="shared" si="195"/>
        <v>45.290815033789286</v>
      </c>
      <c r="R350" s="587">
        <f t="shared" si="196"/>
        <v>1.5487150004147181</v>
      </c>
      <c r="S350" s="574">
        <f t="shared" si="174"/>
        <v>1.0046678450323199</v>
      </c>
      <c r="T350" s="577">
        <f t="shared" si="175"/>
        <v>9.6434016301126538E-2</v>
      </c>
      <c r="U350" s="578">
        <f t="shared" si="187"/>
        <v>0.83426098411069394</v>
      </c>
      <c r="V350" s="579">
        <f t="shared" si="188"/>
        <v>-0.73706349017678219</v>
      </c>
      <c r="W350" s="580">
        <f t="shared" si="176"/>
        <v>-17.43110564855251</v>
      </c>
      <c r="X350" s="581">
        <f t="shared" si="177"/>
        <v>-139.37784592674251</v>
      </c>
      <c r="Y350" s="584">
        <f t="shared" si="178"/>
        <v>40.622154073257491</v>
      </c>
      <c r="AA350" s="147">
        <f t="shared" si="179"/>
        <v>27071.75</v>
      </c>
      <c r="AB350" s="147">
        <f t="shared" si="180"/>
        <v>732879648.0625</v>
      </c>
      <c r="AD350" s="583">
        <f t="shared" si="181"/>
        <v>17.180400087956986</v>
      </c>
      <c r="AE350" s="584">
        <f t="shared" si="182"/>
        <v>-6.7903779142548411</v>
      </c>
      <c r="AG350" s="583">
        <f t="shared" si="183"/>
        <v>-2.8363077895559341</v>
      </c>
      <c r="AH350" s="584">
        <f t="shared" si="184"/>
        <v>-48.126213475352969</v>
      </c>
      <c r="AJ350" s="147">
        <f t="shared" si="185"/>
        <v>0</v>
      </c>
      <c r="AK350" s="147">
        <f t="shared" si="197"/>
        <v>0</v>
      </c>
      <c r="AM350" s="147" t="str">
        <f t="shared" si="189"/>
        <v>0.591930779885075+0.912950990795671i</v>
      </c>
      <c r="AN350" s="147" t="str">
        <f t="shared" si="190"/>
        <v>1.15045814464767i</v>
      </c>
      <c r="AO350" s="147" t="str">
        <f t="shared" si="191"/>
        <v>0.793554285345395-0.514517440411841i</v>
      </c>
      <c r="AP350" s="147" t="str">
        <f t="shared" si="192"/>
        <v>0.0680115366858208-0.152158498465945i</v>
      </c>
      <c r="AQ350" s="147" t="str">
        <f t="shared" si="193"/>
        <v>0.931988463314179+0.152158498465945i</v>
      </c>
      <c r="AR350" s="147" t="str">
        <f t="shared" si="194"/>
        <v>0.870582892475705-0.142133289116249i</v>
      </c>
    </row>
    <row r="351" spans="7:44">
      <c r="G351" s="585">
        <v>27228.5</v>
      </c>
      <c r="H351" s="573">
        <f t="shared" si="186"/>
        <v>27.2285</v>
      </c>
      <c r="I351" s="574">
        <f t="shared" si="166"/>
        <v>76.914712976547321</v>
      </c>
      <c r="J351" s="575">
        <f t="shared" si="167"/>
        <v>1.557794546820225</v>
      </c>
      <c r="K351" s="575">
        <f t="shared" si="168"/>
        <v>1.00070805796097</v>
      </c>
      <c r="L351" s="576">
        <f t="shared" si="169"/>
        <v>3.7620218629070272E-2</v>
      </c>
      <c r="M351" s="575">
        <f t="shared" si="170"/>
        <v>1.0016287940666555</v>
      </c>
      <c r="N351" s="576">
        <f t="shared" si="171"/>
        <v>-5.7036590478225034E-2</v>
      </c>
      <c r="O351" s="574">
        <f t="shared" si="172"/>
        <v>1129139.2922113729</v>
      </c>
      <c r="P351" s="577">
        <f t="shared" si="173"/>
        <v>1.5707954411645701</v>
      </c>
      <c r="Q351" s="586">
        <f t="shared" si="195"/>
        <v>45.552929017820034</v>
      </c>
      <c r="R351" s="587">
        <f t="shared" si="196"/>
        <v>1.5488420780212833</v>
      </c>
      <c r="S351" s="574">
        <f t="shared" si="174"/>
        <v>1.0047219293534753</v>
      </c>
      <c r="T351" s="577">
        <f t="shared" si="175"/>
        <v>9.6988900405495321E-2</v>
      </c>
      <c r="U351" s="578">
        <f t="shared" si="187"/>
        <v>0.8327671919353401</v>
      </c>
      <c r="V351" s="579">
        <f t="shared" si="188"/>
        <v>-0.74069058187611214</v>
      </c>
      <c r="W351" s="580">
        <f t="shared" si="176"/>
        <v>-17.497070693011338</v>
      </c>
      <c r="X351" s="581">
        <f t="shared" si="177"/>
        <v>-139.6208631749152</v>
      </c>
      <c r="Y351" s="584">
        <f t="shared" si="178"/>
        <v>40.3791368250848</v>
      </c>
      <c r="AA351" s="147">
        <f t="shared" si="179"/>
        <v>27228.5</v>
      </c>
      <c r="AB351" s="147">
        <f t="shared" si="180"/>
        <v>741391212.25</v>
      </c>
      <c r="AD351" s="583">
        <f t="shared" si="181"/>
        <v>17.179908205958117</v>
      </c>
      <c r="AE351" s="584">
        <f t="shared" si="182"/>
        <v>-6.8148897148651022</v>
      </c>
      <c r="AG351" s="583">
        <f t="shared" si="183"/>
        <v>-2.8706479030691407</v>
      </c>
      <c r="AH351" s="584">
        <f t="shared" si="184"/>
        <v>-47.929084829883386</v>
      </c>
      <c r="AJ351" s="147">
        <f t="shared" si="185"/>
        <v>0</v>
      </c>
      <c r="AK351" s="147">
        <f t="shared" si="197"/>
        <v>0</v>
      </c>
      <c r="AM351" s="147" t="str">
        <f t="shared" si="189"/>
        <v>0.598021271738977+0.915649005910917i</v>
      </c>
      <c r="AN351" s="147" t="str">
        <f t="shared" si="190"/>
        <v>1.15711949140854i</v>
      </c>
      <c r="AO351" s="147" t="str">
        <f t="shared" si="191"/>
        <v>0.791317588813852-0.516818942364385i</v>
      </c>
      <c r="AP351" s="147" t="str">
        <f t="shared" si="192"/>
        <v>0.0669964547101705-0.15260816765182i</v>
      </c>
      <c r="AQ351" s="147" t="str">
        <f t="shared" si="193"/>
        <v>0.93300354528983+0.15260816765182i</v>
      </c>
      <c r="AR351" s="147" t="str">
        <f t="shared" si="194"/>
        <v>0.869551477924124-0.142229532132925i</v>
      </c>
    </row>
    <row r="352" spans="7:44">
      <c r="G352" s="585">
        <v>27385.25</v>
      </c>
      <c r="H352" s="573">
        <f t="shared" si="186"/>
        <v>27.385249999999999</v>
      </c>
      <c r="I352" s="574">
        <f t="shared" si="166"/>
        <v>77.357423706813734</v>
      </c>
      <c r="J352" s="575">
        <f t="shared" si="167"/>
        <v>1.5578689591884116</v>
      </c>
      <c r="K352" s="575">
        <f t="shared" si="168"/>
        <v>1.0007162308476794</v>
      </c>
      <c r="L352" s="576">
        <f t="shared" si="169"/>
        <v>3.7836585996484387E-2</v>
      </c>
      <c r="M352" s="575">
        <f t="shared" si="170"/>
        <v>1.0016475859782863</v>
      </c>
      <c r="N352" s="576">
        <f t="shared" si="171"/>
        <v>-5.7364222958821764E-2</v>
      </c>
      <c r="O352" s="574">
        <f t="shared" si="172"/>
        <v>1135639.5615634853</v>
      </c>
      <c r="P352" s="577">
        <f t="shared" si="173"/>
        <v>1.5707954462338156</v>
      </c>
      <c r="Q352" s="586">
        <f t="shared" si="195"/>
        <v>45.815043729054999</v>
      </c>
      <c r="R352" s="587">
        <f t="shared" si="196"/>
        <v>1.5489677015699055</v>
      </c>
      <c r="S352" s="574">
        <f t="shared" si="174"/>
        <v>1.0047763229915063</v>
      </c>
      <c r="T352" s="577">
        <f t="shared" si="175"/>
        <v>9.7543724603295801E-2</v>
      </c>
      <c r="U352" s="578">
        <f t="shared" si="187"/>
        <v>0.83127216910838575</v>
      </c>
      <c r="V352" s="579">
        <f t="shared" si="188"/>
        <v>-0.74430943220410795</v>
      </c>
      <c r="W352" s="580">
        <f t="shared" si="176"/>
        <v>-17.562789722300728</v>
      </c>
      <c r="X352" s="581">
        <f t="shared" si="177"/>
        <v>-139.86343823791771</v>
      </c>
      <c r="Y352" s="584">
        <f t="shared" si="178"/>
        <v>40.136561762082295</v>
      </c>
      <c r="AA352" s="147">
        <f t="shared" si="179"/>
        <v>27385.25</v>
      </c>
      <c r="AB352" s="147">
        <f t="shared" si="180"/>
        <v>749951917.5625</v>
      </c>
      <c r="AD352" s="583">
        <f t="shared" si="181"/>
        <v>17.179414091266167</v>
      </c>
      <c r="AE352" s="584">
        <f t="shared" si="182"/>
        <v>-6.8394813911017573</v>
      </c>
      <c r="AG352" s="583">
        <f t="shared" si="183"/>
        <v>-2.9046581551310484</v>
      </c>
      <c r="AH352" s="584">
        <f t="shared" si="184"/>
        <v>-47.732378515208005</v>
      </c>
      <c r="AJ352" s="147">
        <f t="shared" si="185"/>
        <v>0</v>
      </c>
      <c r="AK352" s="147">
        <f t="shared" si="197"/>
        <v>0</v>
      </c>
      <c r="AM352" s="147" t="str">
        <f t="shared" si="189"/>
        <v>0.604129600746357+0.918306390588i</v>
      </c>
      <c r="AN352" s="147" t="str">
        <f t="shared" si="190"/>
        <v>1.1637808381694i</v>
      </c>
      <c r="AO352" s="147" t="str">
        <f t="shared" si="191"/>
        <v>0.789071585018082-0.519109424156389i</v>
      </c>
      <c r="AP352" s="147" t="str">
        <f t="shared" si="192"/>
        <v>0.0659783998756072-0.153051065098i</v>
      </c>
      <c r="AQ352" s="147" t="str">
        <f t="shared" si="193"/>
        <v>0.934021600124393+0.153051065098i</v>
      </c>
      <c r="AR352" s="147" t="str">
        <f t="shared" si="194"/>
        <v>0.868521738146378-0.142318097425548i</v>
      </c>
    </row>
    <row r="353" spans="7:44">
      <c r="G353" s="585">
        <v>27542</v>
      </c>
      <c r="H353" s="573">
        <f t="shared" si="186"/>
        <v>27.542000000000002</v>
      </c>
      <c r="I353" s="574">
        <f t="shared" si="166"/>
        <v>77.800134860548837</v>
      </c>
      <c r="J353" s="575">
        <f t="shared" si="167"/>
        <v>1.5579425246899512</v>
      </c>
      <c r="K353" s="575">
        <f t="shared" si="168"/>
        <v>1.0007244505819899</v>
      </c>
      <c r="L353" s="576">
        <f t="shared" si="169"/>
        <v>3.8052949819637839E-2</v>
      </c>
      <c r="M353" s="575">
        <f t="shared" si="170"/>
        <v>1.0016664854057755</v>
      </c>
      <c r="N353" s="576">
        <f t="shared" si="171"/>
        <v>-5.7691843111056157E-2</v>
      </c>
      <c r="O353" s="574">
        <f t="shared" si="172"/>
        <v>1142139.8309155977</v>
      </c>
      <c r="P353" s="577">
        <f t="shared" si="173"/>
        <v>1.5707954512453597</v>
      </c>
      <c r="Q353" s="586">
        <f t="shared" si="195"/>
        <v>46.077159155083869</v>
      </c>
      <c r="R353" s="587">
        <f t="shared" si="196"/>
        <v>1.5490918958713327</v>
      </c>
      <c r="S353" s="574">
        <f t="shared" si="174"/>
        <v>1.004831025896181</v>
      </c>
      <c r="T353" s="577">
        <f t="shared" si="175"/>
        <v>9.8098488562701522E-2</v>
      </c>
      <c r="U353" s="578">
        <f t="shared" si="187"/>
        <v>0.82977598002116093</v>
      </c>
      <c r="V353" s="579">
        <f t="shared" si="188"/>
        <v>-0.74792005477189638</v>
      </c>
      <c r="W353" s="580">
        <f t="shared" si="176"/>
        <v>-17.628265523850789</v>
      </c>
      <c r="X353" s="581">
        <f t="shared" si="177"/>
        <v>-140.10557129492869</v>
      </c>
      <c r="Y353" s="584">
        <f t="shared" si="178"/>
        <v>39.894428705071306</v>
      </c>
      <c r="AA353" s="147">
        <f t="shared" si="179"/>
        <v>27542</v>
      </c>
      <c r="AB353" s="147">
        <f t="shared" si="180"/>
        <v>758561764</v>
      </c>
      <c r="AD353" s="583">
        <f t="shared" si="181"/>
        <v>17.178917735305927</v>
      </c>
      <c r="AE353" s="584">
        <f t="shared" si="182"/>
        <v>-6.8641515024588298</v>
      </c>
      <c r="AG353" s="583">
        <f t="shared" si="183"/>
        <v>-2.9383423325835216</v>
      </c>
      <c r="AH353" s="584">
        <f t="shared" si="184"/>
        <v>-47.536094591291189</v>
      </c>
      <c r="AJ353" s="147">
        <f t="shared" si="185"/>
        <v>0</v>
      </c>
      <c r="AK353" s="147">
        <f t="shared" si="197"/>
        <v>0</v>
      </c>
      <c r="AM353" s="147" t="str">
        <f t="shared" si="189"/>
        <v>0.610255495860051+0.920923026909799i</v>
      </c>
      <c r="AN353" s="147" t="str">
        <f t="shared" si="190"/>
        <v>1.17044218493027i</v>
      </c>
      <c r="AO353" s="147" t="str">
        <f t="shared" si="191"/>
        <v>0.786816332123798-0.5213888423685i</v>
      </c>
      <c r="AP353" s="147" t="str">
        <f t="shared" si="192"/>
        <v>0.0649574173566582-0.153487171151633i</v>
      </c>
      <c r="AQ353" s="147" t="str">
        <f t="shared" si="193"/>
        <v>0.935042582643342+0.153487171151633i</v>
      </c>
      <c r="AR353" s="147" t="str">
        <f t="shared" si="194"/>
        <v>0.867493727587757-0.142399031563697i</v>
      </c>
    </row>
    <row r="354" spans="7:44">
      <c r="G354" s="585">
        <v>27702.5</v>
      </c>
      <c r="H354" s="573">
        <f t="shared" si="186"/>
        <v>27.702500000000001</v>
      </c>
      <c r="I354" s="574">
        <f t="shared" si="166"/>
        <v>78.253437621490235</v>
      </c>
      <c r="J354" s="575">
        <f t="shared" si="167"/>
        <v>1.5580169876438095</v>
      </c>
      <c r="K354" s="575">
        <f t="shared" si="168"/>
        <v>1.0007329155015978</v>
      </c>
      <c r="L354" s="576">
        <f t="shared" si="169"/>
        <v>3.8274486117281965E-2</v>
      </c>
      <c r="M354" s="575">
        <f t="shared" si="170"/>
        <v>1.0016859483711722</v>
      </c>
      <c r="N354" s="576">
        <f t="shared" si="171"/>
        <v>-5.8027288218955697E-2</v>
      </c>
      <c r="O354" s="574">
        <f t="shared" si="172"/>
        <v>1148795.6091038852</v>
      </c>
      <c r="P354" s="577">
        <f t="shared" si="173"/>
        <v>1.570795456318032</v>
      </c>
      <c r="Q354" s="586">
        <f t="shared" si="195"/>
        <v>46.345546013066837</v>
      </c>
      <c r="R354" s="587">
        <f t="shared" si="196"/>
        <v>1.5492176057069733</v>
      </c>
      <c r="S354" s="574">
        <f t="shared" si="174"/>
        <v>1.0048873578832638</v>
      </c>
      <c r="T354" s="577">
        <f t="shared" si="175"/>
        <v>9.8666461623527615E-2</v>
      </c>
      <c r="U354" s="578">
        <f t="shared" si="187"/>
        <v>0.82824285502145389</v>
      </c>
      <c r="V354" s="579">
        <f t="shared" si="188"/>
        <v>-0.75160854517053377</v>
      </c>
      <c r="W354" s="580">
        <f t="shared" si="176"/>
        <v>-17.695058562462869</v>
      </c>
      <c r="X354" s="581">
        <f t="shared" si="177"/>
        <v>-140.35303924177072</v>
      </c>
      <c r="Y354" s="584">
        <f t="shared" si="178"/>
        <v>39.646960758229284</v>
      </c>
      <c r="AA354" s="147">
        <f t="shared" si="179"/>
        <v>27702.5</v>
      </c>
      <c r="AB354" s="147">
        <f t="shared" si="180"/>
        <v>767428506.25</v>
      </c>
      <c r="AD354" s="583">
        <f t="shared" si="181"/>
        <v>17.17840717379157</v>
      </c>
      <c r="AE354" s="584">
        <f t="shared" si="182"/>
        <v>-6.8894916093674698</v>
      </c>
      <c r="AG354" s="583">
        <f t="shared" si="183"/>
        <v>-2.9724983752580076</v>
      </c>
      <c r="AH354" s="584">
        <f t="shared" si="184"/>
        <v>-47.335552565508735</v>
      </c>
      <c r="AJ354" s="147">
        <f t="shared" si="185"/>
        <v>0</v>
      </c>
      <c r="AK354" s="147">
        <f t="shared" si="197"/>
        <v>0</v>
      </c>
      <c r="AM354" s="147" t="str">
        <f t="shared" si="189"/>
        <v>0.616545861074338+0.923559918652157i</v>
      </c>
      <c r="AN354" s="147" t="str">
        <f t="shared" si="190"/>
        <v>1.17726289405384i</v>
      </c>
      <c r="AO354" s="147" t="str">
        <f t="shared" si="191"/>
        <v>0.78449760314107-0.523711283340713i</v>
      </c>
      <c r="AP354" s="147" t="str">
        <f t="shared" si="192"/>
        <v>0.063909023154277-0.153926653108693i</v>
      </c>
      <c r="AQ354" s="147" t="str">
        <f t="shared" si="193"/>
        <v>0.936090976845723+0.153926653108693i</v>
      </c>
      <c r="AR354" s="147" t="str">
        <f t="shared" si="194"/>
        <v>0.866442971219933-0.142474043622169i</v>
      </c>
    </row>
    <row r="355" spans="7:44">
      <c r="G355" s="585">
        <v>27863</v>
      </c>
      <c r="H355" s="573">
        <f t="shared" si="186"/>
        <v>27.863</v>
      </c>
      <c r="I355" s="574">
        <f t="shared" si="166"/>
        <v>78.706740811327975</v>
      </c>
      <c r="J355" s="575">
        <f t="shared" si="167"/>
        <v>1.5580905928749809</v>
      </c>
      <c r="K355" s="575">
        <f t="shared" si="168"/>
        <v>1.000741429534675</v>
      </c>
      <c r="L355" s="576">
        <f t="shared" si="169"/>
        <v>3.8496018656258506E-2</v>
      </c>
      <c r="M355" s="575">
        <f t="shared" si="170"/>
        <v>1.0017055240453103</v>
      </c>
      <c r="N355" s="576">
        <f t="shared" si="171"/>
        <v>-5.836272025383045E-2</v>
      </c>
      <c r="O355" s="574">
        <f t="shared" si="172"/>
        <v>1155451.387292173</v>
      </c>
      <c r="P355" s="577">
        <f t="shared" si="173"/>
        <v>1.5707954613322637</v>
      </c>
      <c r="Q355" s="586">
        <f t="shared" si="195"/>
        <v>46.613933595012952</v>
      </c>
      <c r="R355" s="587">
        <f t="shared" si="196"/>
        <v>1.5493418679534114</v>
      </c>
      <c r="S355" s="574">
        <f t="shared" si="174"/>
        <v>1.0049440140039703</v>
      </c>
      <c r="T355" s="577">
        <f t="shared" si="175"/>
        <v>9.9234370825862658E-2</v>
      </c>
      <c r="U355" s="578">
        <f t="shared" si="187"/>
        <v>0.82670864171762115</v>
      </c>
      <c r="V355" s="579">
        <f t="shared" si="188"/>
        <v>-0.75528843968931469</v>
      </c>
      <c r="W355" s="580">
        <f t="shared" si="176"/>
        <v>-17.761602343304755</v>
      </c>
      <c r="X355" s="581">
        <f t="shared" si="177"/>
        <v>-140.60004428199335</v>
      </c>
      <c r="Y355" s="584">
        <f t="shared" si="178"/>
        <v>39.399955718006652</v>
      </c>
      <c r="AA355" s="147">
        <f t="shared" si="179"/>
        <v>27863</v>
      </c>
      <c r="AB355" s="147">
        <f t="shared" si="180"/>
        <v>776346769</v>
      </c>
      <c r="AD355" s="583">
        <f t="shared" si="181"/>
        <v>17.177894245152938</v>
      </c>
      <c r="AE355" s="584">
        <f t="shared" si="182"/>
        <v>-6.9149109948575571</v>
      </c>
      <c r="AG355" s="583">
        <f t="shared" si="183"/>
        <v>-3.0063204013244067</v>
      </c>
      <c r="AH355" s="584">
        <f t="shared" si="184"/>
        <v>-47.135453369800459</v>
      </c>
      <c r="AJ355" s="147">
        <f t="shared" si="185"/>
        <v>0</v>
      </c>
      <c r="AK355" s="147">
        <f t="shared" si="197"/>
        <v>0</v>
      </c>
      <c r="AM355" s="147" t="str">
        <f t="shared" si="189"/>
        <v>0.622854065300889+0.92615384463918i</v>
      </c>
      <c r="AN355" s="147" t="str">
        <f t="shared" si="190"/>
        <v>1.18408360317741i</v>
      </c>
      <c r="AO355" s="147" t="str">
        <f t="shared" si="191"/>
        <v>0.782169301351617-0.526022033942115i</v>
      </c>
      <c r="AP355" s="147" t="str">
        <f t="shared" si="192"/>
        <v>0.0628576557831852-0.15435897410653i</v>
      </c>
      <c r="AQ355" s="147" t="str">
        <f t="shared" si="193"/>
        <v>0.937142344216815+0.15435897410653i</v>
      </c>
      <c r="AR355" s="147" t="str">
        <f t="shared" si="194"/>
        <v>0.865394140620031-0.142541154572997i</v>
      </c>
    </row>
    <row r="356" spans="7:44">
      <c r="G356" s="585">
        <v>28023.5</v>
      </c>
      <c r="H356" s="573">
        <f t="shared" si="186"/>
        <v>28.023499999999999</v>
      </c>
      <c r="I356" s="574">
        <f t="shared" si="166"/>
        <v>79.160044422693957</v>
      </c>
      <c r="J356" s="575">
        <f t="shared" si="167"/>
        <v>1.5581633551177005</v>
      </c>
      <c r="K356" s="575">
        <f t="shared" si="168"/>
        <v>1.0007499926799679</v>
      </c>
      <c r="L356" s="576">
        <f t="shared" si="169"/>
        <v>3.8717547414919506E-2</v>
      </c>
      <c r="M356" s="575">
        <f t="shared" si="170"/>
        <v>1.0017252124215827</v>
      </c>
      <c r="N356" s="576">
        <f t="shared" si="171"/>
        <v>-5.8698139140967019E-2</v>
      </c>
      <c r="O356" s="574">
        <f t="shared" si="172"/>
        <v>1162107.1654804603</v>
      </c>
      <c r="P356" s="577">
        <f t="shared" si="173"/>
        <v>1.5707954662890589</v>
      </c>
      <c r="Q356" s="586">
        <f t="shared" si="195"/>
        <v>46.882321888488804</v>
      </c>
      <c r="R356" s="587">
        <f t="shared" si="196"/>
        <v>1.5494647074679162</v>
      </c>
      <c r="S356" s="574">
        <f t="shared" si="174"/>
        <v>1.0050009942034819</v>
      </c>
      <c r="T356" s="577">
        <f t="shared" si="175"/>
        <v>9.9802215814212572E-2</v>
      </c>
      <c r="U356" s="578">
        <f t="shared" si="187"/>
        <v>0.82517340699540009</v>
      </c>
      <c r="V356" s="579">
        <f t="shared" si="188"/>
        <v>-0.75895975432537788</v>
      </c>
      <c r="W356" s="580">
        <f t="shared" si="176"/>
        <v>-17.827899691207417</v>
      </c>
      <c r="X356" s="581">
        <f t="shared" si="177"/>
        <v>-140.84658672880667</v>
      </c>
      <c r="Y356" s="584">
        <f t="shared" si="178"/>
        <v>39.15341327119333</v>
      </c>
      <c r="AA356" s="147">
        <f t="shared" si="179"/>
        <v>28023.5</v>
      </c>
      <c r="AB356" s="147">
        <f t="shared" si="180"/>
        <v>785316552.25</v>
      </c>
      <c r="AD356" s="583">
        <f t="shared" si="181"/>
        <v>17.177378941038043</v>
      </c>
      <c r="AE356" s="584">
        <f t="shared" si="182"/>
        <v>-6.9404082144016845</v>
      </c>
      <c r="AG356" s="583">
        <f t="shared" si="183"/>
        <v>-3.0398122868275808</v>
      </c>
      <c r="AH356" s="584">
        <f t="shared" si="184"/>
        <v>-46.935796928766884</v>
      </c>
      <c r="AJ356" s="147">
        <f t="shared" si="185"/>
        <v>0</v>
      </c>
      <c r="AK356" s="147">
        <f t="shared" si="197"/>
        <v>0</v>
      </c>
      <c r="AM356" s="147" t="str">
        <f t="shared" si="189"/>
        <v>0.629179815070104+0.92870468419652i</v>
      </c>
      <c r="AN356" s="147" t="str">
        <f t="shared" si="190"/>
        <v>1.19090431230098i</v>
      </c>
      <c r="AO356" s="147" t="str">
        <f t="shared" si="191"/>
        <v>0.779831489905468-0.528321048610906i</v>
      </c>
      <c r="AP356" s="147" t="str">
        <f t="shared" si="192"/>
        <v>0.0618033641549827-0.154784114032753i</v>
      </c>
      <c r="AQ356" s="147" t="str">
        <f t="shared" si="193"/>
        <v>0.938196635845017+0.154784114032753i</v>
      </c>
      <c r="AR356" s="147" t="str">
        <f t="shared" si="194"/>
        <v>0.864347291498544-0.14260041511523i</v>
      </c>
    </row>
    <row r="357" spans="7:44">
      <c r="G357" s="585">
        <v>28184</v>
      </c>
      <c r="H357" s="573">
        <f t="shared" si="186"/>
        <v>28.184000000000001</v>
      </c>
      <c r="I357" s="574">
        <f t="shared" si="166"/>
        <v>79.61334844838791</v>
      </c>
      <c r="J357" s="575">
        <f t="shared" si="167"/>
        <v>1.5582352887706628</v>
      </c>
      <c r="K357" s="575">
        <f t="shared" si="168"/>
        <v>1.0007586049362156</v>
      </c>
      <c r="L357" s="576">
        <f t="shared" si="169"/>
        <v>3.8939072371619254E-2</v>
      </c>
      <c r="M357" s="575">
        <f t="shared" si="170"/>
        <v>1.0017450134933441</v>
      </c>
      <c r="N357" s="576">
        <f t="shared" si="171"/>
        <v>-5.9033544805669712E-2</v>
      </c>
      <c r="O357" s="574">
        <f t="shared" si="172"/>
        <v>1168762.943668748</v>
      </c>
      <c r="P357" s="577">
        <f t="shared" si="173"/>
        <v>1.570795471189399</v>
      </c>
      <c r="Q357" s="586">
        <f t="shared" si="195"/>
        <v>47.150710881344004</v>
      </c>
      <c r="R357" s="587">
        <f t="shared" si="196"/>
        <v>1.5495861485419662</v>
      </c>
      <c r="S357" s="574">
        <f t="shared" si="174"/>
        <v>1.0050582984266796</v>
      </c>
      <c r="T357" s="577">
        <f t="shared" si="175"/>
        <v>0.10036999623332928</v>
      </c>
      <c r="U357" s="578">
        <f t="shared" si="187"/>
        <v>0.82363721698714065</v>
      </c>
      <c r="V357" s="579">
        <f t="shared" si="188"/>
        <v>-0.76262250552828326</v>
      </c>
      <c r="W357" s="580">
        <f t="shared" si="176"/>
        <v>-17.89395337727003</v>
      </c>
      <c r="X357" s="581">
        <f t="shared" si="177"/>
        <v>-141.09266693454879</v>
      </c>
      <c r="Y357" s="584">
        <f t="shared" si="178"/>
        <v>38.907333065451212</v>
      </c>
      <c r="AA357" s="147">
        <f t="shared" si="179"/>
        <v>28184</v>
      </c>
      <c r="AB357" s="147">
        <f t="shared" si="180"/>
        <v>794337856</v>
      </c>
      <c r="AD357" s="583">
        <f t="shared" si="181"/>
        <v>17.176861253363793</v>
      </c>
      <c r="AE357" s="584">
        <f t="shared" si="182"/>
        <v>-6.9659818559026672</v>
      </c>
      <c r="AG357" s="583">
        <f t="shared" si="183"/>
        <v>-3.07297784669101</v>
      </c>
      <c r="AH357" s="584">
        <f t="shared" si="184"/>
        <v>-46.73658312186253</v>
      </c>
      <c r="AJ357" s="147">
        <f t="shared" si="185"/>
        <v>0</v>
      </c>
      <c r="AK357" s="147">
        <f t="shared" si="197"/>
        <v>0</v>
      </c>
      <c r="AM357" s="147" t="str">
        <f t="shared" si="189"/>
        <v>0.635522816096124+0.931212318654291i</v>
      </c>
      <c r="AN357" s="147" t="str">
        <f t="shared" si="190"/>
        <v>1.19772502142454i</v>
      </c>
      <c r="AO357" s="147" t="str">
        <f t="shared" si="191"/>
        <v>0.77748423218773-0.530608282141632i</v>
      </c>
      <c r="AP357" s="147" t="str">
        <f t="shared" si="192"/>
        <v>0.0607461973173127-0.155202053109048i</v>
      </c>
      <c r="AQ357" s="147" t="str">
        <f t="shared" si="193"/>
        <v>0.939253802682687+0.155202053109048i</v>
      </c>
      <c r="AR357" s="147" t="str">
        <f t="shared" si="194"/>
        <v>0.863302478653234-0.142651876157884i</v>
      </c>
    </row>
    <row r="358" spans="7:44">
      <c r="G358" s="585">
        <v>28348</v>
      </c>
      <c r="H358" s="573">
        <f t="shared" si="186"/>
        <v>28.347999999999999</v>
      </c>
      <c r="I358" s="574">
        <f t="shared" si="166"/>
        <v>80.07653802925671</v>
      </c>
      <c r="J358" s="575">
        <f t="shared" si="167"/>
        <v>1.5583079498202639</v>
      </c>
      <c r="K358" s="575">
        <f t="shared" si="168"/>
        <v>1.0007674557264201</v>
      </c>
      <c r="L358" s="576">
        <f t="shared" si="169"/>
        <v>3.9165424140867072E-2</v>
      </c>
      <c r="M358" s="575">
        <f t="shared" si="170"/>
        <v>1.0017653627658101</v>
      </c>
      <c r="N358" s="576">
        <f t="shared" si="171"/>
        <v>-5.9376250876807021E-2</v>
      </c>
      <c r="O358" s="574">
        <f t="shared" si="172"/>
        <v>1175563.8634374654</v>
      </c>
      <c r="P358" s="577">
        <f t="shared" si="173"/>
        <v>1.5707954761392826</v>
      </c>
      <c r="Q358" s="586">
        <f t="shared" si="195"/>
        <v>47.424953303737873</v>
      </c>
      <c r="R358" s="587">
        <f t="shared" si="196"/>
        <v>1.5497088180465455</v>
      </c>
      <c r="S358" s="574">
        <f t="shared" si="174"/>
        <v>1.0051171869166524</v>
      </c>
      <c r="T358" s="577">
        <f t="shared" si="175"/>
        <v>0.10095009109088773</v>
      </c>
      <c r="U358" s="578">
        <f t="shared" si="187"/>
        <v>0.82206660876825521</v>
      </c>
      <c r="V358" s="579">
        <f t="shared" si="188"/>
        <v>-0.76635630180932535</v>
      </c>
      <c r="W358" s="580">
        <f t="shared" si="176"/>
        <v>-17.961198624760087</v>
      </c>
      <c r="X358" s="581">
        <f t="shared" si="177"/>
        <v>-141.34363631097995</v>
      </c>
      <c r="Y358" s="584">
        <f t="shared" si="178"/>
        <v>38.656363689020054</v>
      </c>
      <c r="AA358" s="147">
        <f t="shared" si="179"/>
        <v>28348</v>
      </c>
      <c r="AB358" s="147">
        <f t="shared" si="180"/>
        <v>803609104</v>
      </c>
      <c r="AD358" s="583">
        <f t="shared" si="181"/>
        <v>17.176329806319124</v>
      </c>
      <c r="AE358" s="584">
        <f t="shared" si="182"/>
        <v>-6.9921906817080464</v>
      </c>
      <c r="AG358" s="583">
        <f t="shared" si="183"/>
        <v>-3.1065334723002764</v>
      </c>
      <c r="AH358" s="584">
        <f t="shared" si="184"/>
        <v>-46.533482135068695</v>
      </c>
      <c r="AJ358" s="147">
        <f t="shared" si="185"/>
        <v>0</v>
      </c>
      <c r="AK358" s="147">
        <f t="shared" si="197"/>
        <v>0</v>
      </c>
      <c r="AM358" s="147" t="str">
        <f t="shared" si="189"/>
        <v>0.642021650637741+0.933729886738061i</v>
      </c>
      <c r="AN358" s="147" t="str">
        <f t="shared" si="190"/>
        <v>1.2046944687533i</v>
      </c>
      <c r="AO358" s="147" t="str">
        <f t="shared" si="191"/>
        <v>0.775076096849974-0.532933177075303i</v>
      </c>
      <c r="AP358" s="147" t="str">
        <f t="shared" si="192"/>
        <v>0.0596630582270432-0.155621647789677i</v>
      </c>
      <c r="AQ358" s="147" t="str">
        <f t="shared" si="193"/>
        <v>0.940336941772957+0.155621647789677i</v>
      </c>
      <c r="AR358" s="147" t="str">
        <f t="shared" si="194"/>
        <v>0.862237041160272-0.142696456099728i</v>
      </c>
    </row>
    <row r="359" spans="7:44">
      <c r="G359" s="585">
        <v>28512</v>
      </c>
      <c r="H359" s="573">
        <f t="shared" si="186"/>
        <v>28.512</v>
      </c>
      <c r="I359" s="574">
        <f t="shared" si="166"/>
        <v>80.539728028037047</v>
      </c>
      <c r="J359" s="575">
        <f t="shared" si="167"/>
        <v>1.5583797751119806</v>
      </c>
      <c r="K359" s="575">
        <f t="shared" si="168"/>
        <v>1.0007763577901603</v>
      </c>
      <c r="L359" s="576">
        <f t="shared" si="169"/>
        <v>3.9391771894842206E-2</v>
      </c>
      <c r="M359" s="575">
        <f t="shared" si="170"/>
        <v>1.0017858296882769</v>
      </c>
      <c r="N359" s="576">
        <f t="shared" si="171"/>
        <v>-5.9718942984921551E-2</v>
      </c>
      <c r="O359" s="574">
        <f t="shared" si="172"/>
        <v>1182364.783206183</v>
      </c>
      <c r="P359" s="577">
        <f t="shared" si="173"/>
        <v>1.5707954810322231</v>
      </c>
      <c r="Q359" s="586">
        <f t="shared" si="195"/>
        <v>47.699196431567252</v>
      </c>
      <c r="R359" s="587">
        <f t="shared" si="196"/>
        <v>1.5498300769937972</v>
      </c>
      <c r="S359" s="574">
        <f t="shared" si="174"/>
        <v>1.0051764135989567</v>
      </c>
      <c r="T359" s="577">
        <f t="shared" si="175"/>
        <v>0.10153011778328555</v>
      </c>
      <c r="U359" s="578">
        <f t="shared" si="187"/>
        <v>0.82049514034637128</v>
      </c>
      <c r="V359" s="579">
        <f t="shared" si="188"/>
        <v>-0.77008119323886315</v>
      </c>
      <c r="W359" s="580">
        <f t="shared" si="176"/>
        <v>-18.028195151242674</v>
      </c>
      <c r="X359" s="581">
        <f t="shared" si="177"/>
        <v>-141.59412393178161</v>
      </c>
      <c r="Y359" s="584">
        <f t="shared" si="178"/>
        <v>38.40587606821839</v>
      </c>
      <c r="AA359" s="147">
        <f t="shared" si="179"/>
        <v>28512</v>
      </c>
      <c r="AB359" s="147">
        <f t="shared" si="180"/>
        <v>812934144</v>
      </c>
      <c r="AD359" s="583">
        <f t="shared" si="181"/>
        <v>17.175795854383662</v>
      </c>
      <c r="AE359" s="584">
        <f t="shared" si="182"/>
        <v>-7.0184764176565198</v>
      </c>
      <c r="AG359" s="583">
        <f t="shared" si="183"/>
        <v>-3.1397562482119232</v>
      </c>
      <c r="AH359" s="584">
        <f t="shared" si="184"/>
        <v>-46.330842903320196</v>
      </c>
      <c r="AJ359" s="147">
        <f t="shared" si="185"/>
        <v>0</v>
      </c>
      <c r="AK359" s="147">
        <f t="shared" si="197"/>
        <v>0</v>
      </c>
      <c r="AM359" s="147" t="str">
        <f t="shared" si="189"/>
        <v>0.648537873261517+0.936202100760548i</v>
      </c>
      <c r="AN359" s="147" t="str">
        <f t="shared" si="190"/>
        <v>1.21166391608205i</v>
      </c>
      <c r="AO359" s="147" t="str">
        <f t="shared" si="191"/>
        <v>0.772658233305969-0.535245677166473i</v>
      </c>
      <c r="AP359" s="147" t="str">
        <f t="shared" si="192"/>
        <v>0.0585770211230805-0.156033683460091i</v>
      </c>
      <c r="AQ359" s="147" t="str">
        <f t="shared" si="193"/>
        <v>0.94142297887692+0.156033683460091i</v>
      </c>
      <c r="AR359" s="147" t="str">
        <f t="shared" si="194"/>
        <v>0.861173842505499-0.142733000745227i</v>
      </c>
    </row>
    <row r="360" spans="7:44">
      <c r="G360" s="585">
        <v>28676</v>
      </c>
      <c r="H360" s="573">
        <f t="shared" si="186"/>
        <v>28.675999999999998</v>
      </c>
      <c r="I360" s="574">
        <f t="shared" si="166"/>
        <v>81.002918437559828</v>
      </c>
      <c r="J360" s="575">
        <f t="shared" si="167"/>
        <v>1.5584507789821429</v>
      </c>
      <c r="K360" s="575">
        <f t="shared" si="168"/>
        <v>1.0007853111260681</v>
      </c>
      <c r="L360" s="576">
        <f t="shared" si="169"/>
        <v>3.9618115610459033E-2</v>
      </c>
      <c r="M360" s="575">
        <f t="shared" si="170"/>
        <v>1.0018064142535335</v>
      </c>
      <c r="N360" s="576">
        <f t="shared" si="171"/>
        <v>-6.0061621050381521E-2</v>
      </c>
      <c r="O360" s="574">
        <f t="shared" si="172"/>
        <v>1189165.7029749006</v>
      </c>
      <c r="P360" s="577">
        <f t="shared" si="173"/>
        <v>1.5707954858691977</v>
      </c>
      <c r="Q360" s="586">
        <f t="shared" si="195"/>
        <v>47.97344025273415</v>
      </c>
      <c r="R360" s="587">
        <f t="shared" si="196"/>
        <v>1.5499499495707993</v>
      </c>
      <c r="S360" s="574">
        <f t="shared" si="174"/>
        <v>1.0052359784138154</v>
      </c>
      <c r="T360" s="577">
        <f t="shared" si="175"/>
        <v>0.10211007593232797</v>
      </c>
      <c r="U360" s="578">
        <f t="shared" si="187"/>
        <v>0.81892287984545553</v>
      </c>
      <c r="V360" s="579">
        <f t="shared" si="188"/>
        <v>-0.77379719878159658</v>
      </c>
      <c r="W360" s="580">
        <f t="shared" si="176"/>
        <v>-18.094945747719823</v>
      </c>
      <c r="X360" s="581">
        <f t="shared" si="177"/>
        <v>-141.84413029429192</v>
      </c>
      <c r="Y360" s="584">
        <f t="shared" si="178"/>
        <v>38.155869705708085</v>
      </c>
      <c r="AA360" s="147">
        <f t="shared" si="179"/>
        <v>28676</v>
      </c>
      <c r="AB360" s="147">
        <f t="shared" si="180"/>
        <v>822312976</v>
      </c>
      <c r="AD360" s="583">
        <f t="shared" si="181"/>
        <v>17.1752593897472</v>
      </c>
      <c r="AE360" s="584">
        <f t="shared" si="182"/>
        <v>-7.0448376563176405</v>
      </c>
      <c r="AG360" s="583">
        <f t="shared" si="183"/>
        <v>-3.1726500548838201</v>
      </c>
      <c r="AH360" s="584">
        <f t="shared" si="184"/>
        <v>-46.12866515819114</v>
      </c>
      <c r="AJ360" s="147">
        <f t="shared" si="185"/>
        <v>0</v>
      </c>
      <c r="AK360" s="147">
        <f t="shared" si="197"/>
        <v>0</v>
      </c>
      <c r="AM360" s="147" t="str">
        <f t="shared" si="189"/>
        <v>0.655071167454993+0.938628840638907i</v>
      </c>
      <c r="AN360" s="147" t="str">
        <f t="shared" si="190"/>
        <v>1.21863336341081i</v>
      </c>
      <c r="AO360" s="147" t="str">
        <f t="shared" si="191"/>
        <v>0.770230709925581-0.537545735348593i</v>
      </c>
      <c r="AP360" s="147" t="str">
        <f t="shared" si="192"/>
        <v>0.0574881387575012-0.156438140106484i</v>
      </c>
      <c r="AQ360" s="147" t="str">
        <f t="shared" si="193"/>
        <v>0.942511861242499+0.156438140106484i</v>
      </c>
      <c r="AR360" s="147" t="str">
        <f t="shared" si="194"/>
        <v>0.860112938233543-0.142761564996537i</v>
      </c>
    </row>
    <row r="361" spans="7:44">
      <c r="G361" s="585">
        <v>28840</v>
      </c>
      <c r="H361" s="573">
        <f t="shared" si="186"/>
        <v>28.84</v>
      </c>
      <c r="I361" s="574">
        <f t="shared" si="166"/>
        <v>81.466109250819002</v>
      </c>
      <c r="J361" s="575">
        <f t="shared" si="167"/>
        <v>1.5585209754410665</v>
      </c>
      <c r="K361" s="575">
        <f t="shared" si="168"/>
        <v>1.0007943157327672</v>
      </c>
      <c r="L361" s="576">
        <f t="shared" si="169"/>
        <v>3.9844455264634406E-2</v>
      </c>
      <c r="M361" s="575">
        <f t="shared" si="170"/>
        <v>1.0018271164543284</v>
      </c>
      <c r="N361" s="576">
        <f t="shared" si="171"/>
        <v>-6.0404284993574843E-2</v>
      </c>
      <c r="O361" s="574">
        <f t="shared" si="172"/>
        <v>1195966.6227436182</v>
      </c>
      <c r="P361" s="577">
        <f t="shared" si="173"/>
        <v>1.5707954906511608</v>
      </c>
      <c r="Q361" s="586">
        <f t="shared" si="195"/>
        <v>48.247684755415598</v>
      </c>
      <c r="R361" s="587">
        <f t="shared" si="196"/>
        <v>1.5500684594148646</v>
      </c>
      <c r="S361" s="574">
        <f t="shared" si="174"/>
        <v>1.0052958813011241</v>
      </c>
      <c r="T361" s="577">
        <f t="shared" si="175"/>
        <v>0.10268996516009413</v>
      </c>
      <c r="U361" s="578">
        <f t="shared" si="187"/>
        <v>0.81734989457403251</v>
      </c>
      <c r="V361" s="579">
        <f t="shared" si="188"/>
        <v>-0.77750433786287187</v>
      </c>
      <c r="W361" s="580">
        <f t="shared" si="176"/>
        <v>-18.161453152208157</v>
      </c>
      <c r="X361" s="581">
        <f t="shared" si="177"/>
        <v>-142.09365593507752</v>
      </c>
      <c r="Y361" s="584">
        <f t="shared" si="178"/>
        <v>37.906344064922479</v>
      </c>
      <c r="AA361" s="147">
        <f t="shared" si="179"/>
        <v>28840</v>
      </c>
      <c r="AB361" s="147">
        <f t="shared" si="180"/>
        <v>831745600</v>
      </c>
      <c r="AD361" s="583">
        <f t="shared" si="181"/>
        <v>17.174720404855581</v>
      </c>
      <c r="AE361" s="584">
        <f t="shared" si="182"/>
        <v>-7.0712730217745587</v>
      </c>
      <c r="AG361" s="583">
        <f t="shared" si="183"/>
        <v>-3.2052187115748474</v>
      </c>
      <c r="AH361" s="584">
        <f t="shared" si="184"/>
        <v>-45.926948586184238</v>
      </c>
      <c r="AJ361" s="147">
        <f t="shared" si="185"/>
        <v>0</v>
      </c>
      <c r="AK361" s="147">
        <f t="shared" si="197"/>
        <v>0</v>
      </c>
      <c r="AM361" s="147" t="str">
        <f t="shared" si="189"/>
        <v>0.661621215876456+0.941009988499098i</v>
      </c>
      <c r="AN361" s="147" t="str">
        <f t="shared" si="190"/>
        <v>1.22560281073956i</v>
      </c>
      <c r="AO361" s="147" t="str">
        <f t="shared" si="191"/>
        <v>0.767793595325772-0.539833304949111i</v>
      </c>
      <c r="AP361" s="147" t="str">
        <f t="shared" si="192"/>
        <v>0.0563964640205907-0.156834998083183i</v>
      </c>
      <c r="AQ361" s="147" t="str">
        <f t="shared" si="193"/>
        <v>0.943603535979409+0.156834998083183i</v>
      </c>
      <c r="AR361" s="147" t="str">
        <f t="shared" si="194"/>
        <v>0.859054382919156-0.142782203924907i</v>
      </c>
    </row>
    <row r="362" spans="7:44">
      <c r="G362" s="585">
        <v>29008</v>
      </c>
      <c r="H362" s="573">
        <f t="shared" si="186"/>
        <v>29.007999999999999</v>
      </c>
      <c r="I362" s="574">
        <f t="shared" si="166"/>
        <v>81.940597812457327</v>
      </c>
      <c r="J362" s="575">
        <f t="shared" si="167"/>
        <v>1.558592061129946</v>
      </c>
      <c r="K362" s="575">
        <f t="shared" si="168"/>
        <v>1.0008035931243751</v>
      </c>
      <c r="L362" s="576">
        <f t="shared" si="169"/>
        <v>4.0076311162814605E-2</v>
      </c>
      <c r="M362" s="575">
        <f t="shared" si="170"/>
        <v>1.0018484455534942</v>
      </c>
      <c r="N362" s="576">
        <f t="shared" si="171"/>
        <v>-6.0755291867585048E-2</v>
      </c>
      <c r="O362" s="574">
        <f t="shared" si="172"/>
        <v>1202933.4186042557</v>
      </c>
      <c r="P362" s="577">
        <f t="shared" si="173"/>
        <v>1.570795495493692</v>
      </c>
      <c r="Q362" s="586">
        <f t="shared" si="195"/>
        <v>48.528618842979419</v>
      </c>
      <c r="R362" s="587">
        <f t="shared" si="196"/>
        <v>1.5501884708951905</v>
      </c>
      <c r="S362" s="574">
        <f t="shared" si="174"/>
        <v>1.0053575957128049</v>
      </c>
      <c r="T362" s="577">
        <f t="shared" si="175"/>
        <v>0.10328392616951933</v>
      </c>
      <c r="U362" s="578">
        <f t="shared" si="187"/>
        <v>0.81573786180896557</v>
      </c>
      <c r="V362" s="579">
        <f t="shared" si="188"/>
        <v>-0.78129272227056967</v>
      </c>
      <c r="W362" s="580">
        <f t="shared" si="176"/>
        <v>-18.229333334667665</v>
      </c>
      <c r="X362" s="581">
        <f t="shared" si="177"/>
        <v>-142.34876971627602</v>
      </c>
      <c r="Y362" s="584">
        <f t="shared" si="178"/>
        <v>37.651230283723976</v>
      </c>
      <c r="AA362" s="147">
        <f t="shared" si="179"/>
        <v>29008</v>
      </c>
      <c r="AB362" s="147">
        <f t="shared" si="180"/>
        <v>841464064</v>
      </c>
      <c r="AD362" s="583">
        <f t="shared" si="181"/>
        <v>17.174165653145604</v>
      </c>
      <c r="AE362" s="584">
        <f t="shared" si="182"/>
        <v>-7.0984286069817939</v>
      </c>
      <c r="AG362" s="583">
        <f t="shared" si="183"/>
        <v>-3.2382485126294478</v>
      </c>
      <c r="AH362" s="584">
        <f t="shared" si="184"/>
        <v>-45.720789906210918</v>
      </c>
      <c r="AJ362" s="147">
        <f t="shared" si="185"/>
        <v>0</v>
      </c>
      <c r="AK362" s="147">
        <f t="shared" si="197"/>
        <v>0</v>
      </c>
      <c r="AM362" s="147" t="str">
        <f t="shared" si="189"/>
        <v>0.668348061170357+0.943401818670358i</v>
      </c>
      <c r="AN362" s="147" t="str">
        <f t="shared" si="190"/>
        <v>1.23274224458853i</v>
      </c>
      <c r="AO362" s="147" t="str">
        <f t="shared" si="191"/>
        <v>0.765287165919467-0.542163671362979i</v>
      </c>
      <c r="AP362" s="147" t="str">
        <f t="shared" si="192"/>
        <v>0.0552753231382738-0.15723363644506i</v>
      </c>
      <c r="AQ362" s="147" t="str">
        <f t="shared" si="193"/>
        <v>0.944724676861726+0.15723363644506i</v>
      </c>
      <c r="AR362" s="147" t="str">
        <f t="shared" si="194"/>
        <v>0.857972500811008-0.142795186339905i</v>
      </c>
    </row>
    <row r="363" spans="7:44">
      <c r="G363" s="585">
        <v>29176</v>
      </c>
      <c r="H363" s="573">
        <f t="shared" si="186"/>
        <v>29.175999999999998</v>
      </c>
      <c r="I363" s="574">
        <f t="shared" si="166"/>
        <v>82.415086783388105</v>
      </c>
      <c r="J363" s="575">
        <f t="shared" si="167"/>
        <v>1.558662328294883</v>
      </c>
      <c r="K363" s="575">
        <f t="shared" si="168"/>
        <v>1.0008129243153405</v>
      </c>
      <c r="L363" s="576">
        <f t="shared" si="169"/>
        <v>4.0308162749989614E-2</v>
      </c>
      <c r="M363" s="575">
        <f t="shared" si="170"/>
        <v>1.0018698980809602</v>
      </c>
      <c r="N363" s="576">
        <f t="shared" si="171"/>
        <v>-6.1106283752976803E-2</v>
      </c>
      <c r="O363" s="574">
        <f t="shared" si="172"/>
        <v>1209900.2144648933</v>
      </c>
      <c r="P363" s="577">
        <f t="shared" si="173"/>
        <v>1.5707955002804552</v>
      </c>
      <c r="Q363" s="586">
        <f t="shared" si="195"/>
        <v>48.809553621443193</v>
      </c>
      <c r="R363" s="587">
        <f t="shared" si="196"/>
        <v>1.5503071008690352</v>
      </c>
      <c r="S363" s="574">
        <f t="shared" si="174"/>
        <v>1.0054196647606564</v>
      </c>
      <c r="T363" s="577">
        <f t="shared" si="175"/>
        <v>0.10387781405270698</v>
      </c>
      <c r="U363" s="578">
        <f t="shared" si="187"/>
        <v>0.8141252088594485</v>
      </c>
      <c r="V363" s="579">
        <f t="shared" si="188"/>
        <v>-0.78507184514508099</v>
      </c>
      <c r="W363" s="580">
        <f t="shared" si="176"/>
        <v>-18.296963969126303</v>
      </c>
      <c r="X363" s="581">
        <f t="shared" si="177"/>
        <v>-142.60338030243162</v>
      </c>
      <c r="Y363" s="584">
        <f t="shared" si="178"/>
        <v>37.396619697568383</v>
      </c>
      <c r="AA363" s="147">
        <f t="shared" si="179"/>
        <v>29176</v>
      </c>
      <c r="AB363" s="147">
        <f t="shared" si="180"/>
        <v>851238976</v>
      </c>
      <c r="AD363" s="583">
        <f t="shared" si="181"/>
        <v>17.173608241481624</v>
      </c>
      <c r="AE363" s="584">
        <f t="shared" si="182"/>
        <v>-7.1256591536598037</v>
      </c>
      <c r="AG363" s="583">
        <f t="shared" si="183"/>
        <v>-3.2709450313509509</v>
      </c>
      <c r="AH363" s="584">
        <f t="shared" si="184"/>
        <v>-45.515114363252039</v>
      </c>
      <c r="AJ363" s="147">
        <f t="shared" si="185"/>
        <v>0</v>
      </c>
      <c r="AK363" s="147">
        <f t="shared" si="197"/>
        <v>0</v>
      </c>
      <c r="AM363" s="147" t="str">
        <f t="shared" si="189"/>
        <v>0.675091811194455+0.945745562425275i</v>
      </c>
      <c r="AN363" s="147" t="str">
        <f t="shared" si="190"/>
        <v>1.2398816784375i</v>
      </c>
      <c r="AO363" s="147" t="str">
        <f t="shared" si="191"/>
        <v>0.762770818274454-0.544480834691586i</v>
      </c>
      <c r="AP363" s="147" t="str">
        <f t="shared" si="192"/>
        <v>0.0541513648009242-0.157624260404212i</v>
      </c>
      <c r="AQ363" s="147" t="str">
        <f t="shared" si="193"/>
        <v>0.945848635199076+0.157624260404212i</v>
      </c>
      <c r="AR363" s="147" t="str">
        <f t="shared" si="194"/>
        <v>0.85689319648626-0.142799969588284i</v>
      </c>
    </row>
    <row r="364" spans="7:44">
      <c r="G364" s="585">
        <v>29344</v>
      </c>
      <c r="H364" s="573">
        <f t="shared" si="186"/>
        <v>29.344000000000001</v>
      </c>
      <c r="I364" s="574">
        <f t="shared" si="166"/>
        <v>82.889576156582564</v>
      </c>
      <c r="J364" s="575">
        <f t="shared" si="167"/>
        <v>1.5587317909917431</v>
      </c>
      <c r="K364" s="575">
        <f t="shared" si="168"/>
        <v>1.0008223093041584</v>
      </c>
      <c r="L364" s="576">
        <f t="shared" si="169"/>
        <v>4.0540010001353932E-2</v>
      </c>
      <c r="M364" s="575">
        <f t="shared" si="170"/>
        <v>1.0018914740287979</v>
      </c>
      <c r="N364" s="576">
        <f t="shared" si="171"/>
        <v>-6.1457260564234596E-2</v>
      </c>
      <c r="O364" s="574">
        <f t="shared" si="172"/>
        <v>1216867.010325531</v>
      </c>
      <c r="P364" s="577">
        <f t="shared" si="173"/>
        <v>1.5707955050124081</v>
      </c>
      <c r="Q364" s="586">
        <f t="shared" si="195"/>
        <v>49.090489078945282</v>
      </c>
      <c r="R364" s="587">
        <f t="shared" si="196"/>
        <v>1.5504243730513207</v>
      </c>
      <c r="S364" s="574">
        <f t="shared" si="174"/>
        <v>1.0054820883790025</v>
      </c>
      <c r="T364" s="577">
        <f t="shared" si="175"/>
        <v>0.10447162840430663</v>
      </c>
      <c r="U364" s="578">
        <f t="shared" si="187"/>
        <v>0.81251200543163538</v>
      </c>
      <c r="V364" s="579">
        <f t="shared" si="188"/>
        <v>-0.78884172881871895</v>
      </c>
      <c r="W364" s="580">
        <f t="shared" si="176"/>
        <v>-18.36434783439902</v>
      </c>
      <c r="X364" s="581">
        <f t="shared" si="177"/>
        <v>-142.85748839302019</v>
      </c>
      <c r="Y364" s="584">
        <f t="shared" si="178"/>
        <v>37.142511606979809</v>
      </c>
      <c r="AA364" s="147">
        <f t="shared" si="179"/>
        <v>29344</v>
      </c>
      <c r="AB364" s="147">
        <f t="shared" si="180"/>
        <v>861070336</v>
      </c>
      <c r="AD364" s="583">
        <f t="shared" si="181"/>
        <v>17.173048162524502</v>
      </c>
      <c r="AE364" s="584">
        <f t="shared" si="182"/>
        <v>-7.1529632798736325</v>
      </c>
      <c r="AG364" s="583">
        <f t="shared" si="183"/>
        <v>-3.3033121818328044</v>
      </c>
      <c r="AH364" s="584">
        <f t="shared" si="184"/>
        <v>-45.309921479623668</v>
      </c>
      <c r="AJ364" s="147">
        <f t="shared" si="185"/>
        <v>0</v>
      </c>
      <c r="AK364" s="147">
        <f t="shared" si="197"/>
        <v>0</v>
      </c>
      <c r="AM364" s="147" t="str">
        <f t="shared" si="189"/>
        <v>0.68185212221105+0.948041100300186i</v>
      </c>
      <c r="AN364" s="147" t="str">
        <f t="shared" si="190"/>
        <v>1.24702111228647i</v>
      </c>
      <c r="AO364" s="147" t="str">
        <f t="shared" si="191"/>
        <v>0.760244626942931-0.546784746058423i</v>
      </c>
      <c r="AP364" s="147" t="str">
        <f t="shared" si="192"/>
        <v>0.0530246462981583-0.158006850050031i</v>
      </c>
      <c r="AQ364" s="147" t="str">
        <f t="shared" si="193"/>
        <v>0.946975353701842+0.158006850050031i</v>
      </c>
      <c r="AR364" s="147" t="str">
        <f t="shared" si="194"/>
        <v>0.855816525490515-0.1427966133278i</v>
      </c>
    </row>
    <row r="365" spans="7:44">
      <c r="G365" s="585">
        <v>29512</v>
      </c>
      <c r="H365" s="573">
        <f t="shared" si="186"/>
        <v>29.512</v>
      </c>
      <c r="I365" s="574">
        <f t="shared" si="166"/>
        <v>83.364065925171857</v>
      </c>
      <c r="J365" s="575">
        <f t="shared" si="167"/>
        <v>1.5588004629564116</v>
      </c>
      <c r="K365" s="575">
        <f t="shared" si="168"/>
        <v>1.0008317480893152</v>
      </c>
      <c r="L365" s="576">
        <f t="shared" si="169"/>
        <v>4.0771852892104846E-2</v>
      </c>
      <c r="M365" s="575">
        <f t="shared" si="170"/>
        <v>1.0019131733890341</v>
      </c>
      <c r="N365" s="576">
        <f t="shared" si="171"/>
        <v>-6.1808222215865127E-2</v>
      </c>
      <c r="O365" s="574">
        <f t="shared" si="172"/>
        <v>1223833.8061861687</v>
      </c>
      <c r="P365" s="577">
        <f t="shared" si="173"/>
        <v>1.5707955096904866</v>
      </c>
      <c r="Q365" s="586">
        <f t="shared" si="195"/>
        <v>49.371425203893999</v>
      </c>
      <c r="R365" s="587">
        <f t="shared" si="196"/>
        <v>1.5505403106173448</v>
      </c>
      <c r="S365" s="574">
        <f t="shared" si="174"/>
        <v>1.005544866501809</v>
      </c>
      <c r="T365" s="577">
        <f t="shared" si="175"/>
        <v>0.10506536881927553</v>
      </c>
      <c r="U365" s="578">
        <f t="shared" si="187"/>
        <v>0.81089832034336884</v>
      </c>
      <c r="V365" s="579">
        <f t="shared" si="188"/>
        <v>-0.79260239609541261</v>
      </c>
      <c r="W365" s="580">
        <f t="shared" si="176"/>
        <v>-18.431487656553522</v>
      </c>
      <c r="X365" s="581">
        <f t="shared" si="177"/>
        <v>-143.11109472714111</v>
      </c>
      <c r="Y365" s="584">
        <f t="shared" si="178"/>
        <v>36.888905272858892</v>
      </c>
      <c r="AA365" s="147">
        <f t="shared" si="179"/>
        <v>29512</v>
      </c>
      <c r="AB365" s="147">
        <f t="shared" si="180"/>
        <v>870958144</v>
      </c>
      <c r="AD365" s="583">
        <f t="shared" si="181"/>
        <v>17.172485409181441</v>
      </c>
      <c r="AE365" s="584">
        <f t="shared" si="182"/>
        <v>-7.1803396346229453</v>
      </c>
      <c r="AG365" s="583">
        <f t="shared" si="183"/>
        <v>-3.3353538162416769</v>
      </c>
      <c r="AH365" s="584">
        <f t="shared" si="184"/>
        <v>-45.105210732287858</v>
      </c>
      <c r="AJ365" s="147">
        <f t="shared" si="185"/>
        <v>0</v>
      </c>
      <c r="AK365" s="147">
        <f t="shared" si="197"/>
        <v>0</v>
      </c>
      <c r="AM365" s="147" t="str">
        <f t="shared" si="189"/>
        <v>0.688628649638305+0.950288315288542i</v>
      </c>
      <c r="AN365" s="147" t="str">
        <f t="shared" si="190"/>
        <v>1.25416054613544i</v>
      </c>
      <c r="AO365" s="147" t="str">
        <f t="shared" si="191"/>
        <v>0.757708666738682-0.549075357026849i</v>
      </c>
      <c r="AP365" s="147" t="str">
        <f t="shared" si="192"/>
        <v>0.0518952250602825-0.158381385881424i</v>
      </c>
      <c r="AQ365" s="147" t="str">
        <f t="shared" si="193"/>
        <v>0.948104774939717+0.158381385881424i</v>
      </c>
      <c r="AR365" s="147" t="str">
        <f t="shared" si="194"/>
        <v>0.85474254233255-0.14278517733976i</v>
      </c>
    </row>
    <row r="366" spans="7:44">
      <c r="G366" s="585">
        <v>29684</v>
      </c>
      <c r="H366" s="573">
        <f t="shared" si="186"/>
        <v>29.684000000000001</v>
      </c>
      <c r="I366" s="574">
        <f t="shared" si="166"/>
        <v>83.849853471822755</v>
      </c>
      <c r="J366" s="575">
        <f t="shared" si="167"/>
        <v>1.5588699647878212</v>
      </c>
      <c r="K366" s="575">
        <f t="shared" si="168"/>
        <v>1.000841467338748</v>
      </c>
      <c r="L366" s="576">
        <f t="shared" si="169"/>
        <v>4.1009211308201038E-2</v>
      </c>
      <c r="M366" s="575">
        <f t="shared" si="170"/>
        <v>1.0019355172472959</v>
      </c>
      <c r="N366" s="576">
        <f t="shared" si="171"/>
        <v>-6.2167524302706563E-2</v>
      </c>
      <c r="O366" s="574">
        <f t="shared" si="172"/>
        <v>1230966.4781387264</v>
      </c>
      <c r="P366" s="577">
        <f t="shared" si="173"/>
        <v>1.5707955144250898</v>
      </c>
      <c r="Q366" s="586">
        <f t="shared" si="195"/>
        <v>49.659050963843086</v>
      </c>
      <c r="R366" s="587">
        <f t="shared" si="196"/>
        <v>1.5506576495915572</v>
      </c>
      <c r="S366" s="574">
        <f t="shared" si="174"/>
        <v>1.0056095065383106</v>
      </c>
      <c r="T366" s="577">
        <f t="shared" si="175"/>
        <v>0.10567316888998086</v>
      </c>
      <c r="U366" s="578">
        <f t="shared" si="187"/>
        <v>0.80924578611333831</v>
      </c>
      <c r="V366" s="579">
        <f t="shared" si="188"/>
        <v>-0.79644307920121526</v>
      </c>
      <c r="W366" s="580">
        <f t="shared" si="176"/>
        <v>-18.499976010380642</v>
      </c>
      <c r="X366" s="581">
        <f t="shared" si="177"/>
        <v>-143.37022030124436</v>
      </c>
      <c r="Y366" s="584">
        <f t="shared" si="178"/>
        <v>36.629779698755641</v>
      </c>
      <c r="AA366" s="147">
        <f t="shared" si="179"/>
        <v>29684</v>
      </c>
      <c r="AB366" s="147">
        <f t="shared" si="180"/>
        <v>881139856</v>
      </c>
      <c r="AD366" s="583">
        <f t="shared" si="181"/>
        <v>17.171906479135242</v>
      </c>
      <c r="AE366" s="584">
        <f t="shared" si="182"/>
        <v>-7.2084412567722342</v>
      </c>
      <c r="AG366" s="583">
        <f t="shared" si="183"/>
        <v>-3.3678250716133409</v>
      </c>
      <c r="AH366" s="584">
        <f t="shared" si="184"/>
        <v>-44.896124818919489</v>
      </c>
      <c r="AJ366" s="147">
        <f t="shared" si="185"/>
        <v>0</v>
      </c>
      <c r="AK366" s="147">
        <f t="shared" si="197"/>
        <v>0</v>
      </c>
      <c r="AM366" s="147" t="str">
        <f t="shared" si="189"/>
        <v>0.695582962433961+0.952538853401538i</v>
      </c>
      <c r="AN366" s="147" t="str">
        <f t="shared" si="190"/>
        <v>1.26146996650462i</v>
      </c>
      <c r="AO366" s="147" t="str">
        <f t="shared" si="191"/>
        <v>0.755102284393585-0.551406677054181i</v>
      </c>
      <c r="AP366" s="147" t="str">
        <f t="shared" si="192"/>
        <v>0.0507361729276732-0.158756475566923i</v>
      </c>
      <c r="AQ366" s="147" t="str">
        <f t="shared" si="193"/>
        <v>0.949263827072327+0.158756475566923i</v>
      </c>
      <c r="AR366" s="147" t="str">
        <f t="shared" si="194"/>
        <v>0.853645828579643-0.142765161025549i</v>
      </c>
    </row>
    <row r="367" spans="7:44">
      <c r="G367" s="585">
        <v>29856</v>
      </c>
      <c r="H367" s="573">
        <f t="shared" si="186"/>
        <v>29.856000000000002</v>
      </c>
      <c r="I367" s="574">
        <f t="shared" si="166"/>
        <v>84.335641418844574</v>
      </c>
      <c r="J367" s="575">
        <f t="shared" si="167"/>
        <v>1.5589386659343112</v>
      </c>
      <c r="K367" s="575">
        <f t="shared" si="168"/>
        <v>1.0008512429735088</v>
      </c>
      <c r="L367" s="576">
        <f t="shared" si="169"/>
        <v>4.1246565100957887E-2</v>
      </c>
      <c r="M367" s="575">
        <f t="shared" si="170"/>
        <v>1.0019579904476401</v>
      </c>
      <c r="N367" s="576">
        <f t="shared" si="171"/>
        <v>-6.2526810318152243E-2</v>
      </c>
      <c r="O367" s="574">
        <f t="shared" si="172"/>
        <v>1238099.1500912837</v>
      </c>
      <c r="P367" s="577">
        <f t="shared" si="173"/>
        <v>1.570795519105141</v>
      </c>
      <c r="Q367" s="586">
        <f t="shared" si="195"/>
        <v>49.946677399644877</v>
      </c>
      <c r="R367" s="587">
        <f t="shared" si="196"/>
        <v>1.5507736371344756</v>
      </c>
      <c r="S367" s="574">
        <f t="shared" si="174"/>
        <v>1.0056745180201716</v>
      </c>
      <c r="T367" s="577">
        <f t="shared" si="175"/>
        <v>0.10628089060311591</v>
      </c>
      <c r="U367" s="578">
        <f t="shared" si="187"/>
        <v>0.8075928901587649</v>
      </c>
      <c r="V367" s="579">
        <f t="shared" si="188"/>
        <v>-0.80027415166041738</v>
      </c>
      <c r="W367" s="580">
        <f t="shared" si="176"/>
        <v>-18.568214180768198</v>
      </c>
      <c r="X367" s="581">
        <f t="shared" si="177"/>
        <v>-143.62882163269219</v>
      </c>
      <c r="Y367" s="584">
        <f t="shared" si="178"/>
        <v>36.371178367307806</v>
      </c>
      <c r="AA367" s="147">
        <f t="shared" si="179"/>
        <v>29856</v>
      </c>
      <c r="AB367" s="147">
        <f t="shared" si="180"/>
        <v>891380736</v>
      </c>
      <c r="AD367" s="583">
        <f t="shared" si="181"/>
        <v>17.171324731545525</v>
      </c>
      <c r="AE367" s="584">
        <f t="shared" si="182"/>
        <v>-7.2366158175473938</v>
      </c>
      <c r="AG367" s="583">
        <f t="shared" si="183"/>
        <v>-3.3999631039699363</v>
      </c>
      <c r="AH367" s="584">
        <f t="shared" si="184"/>
        <v>-44.687543023248374</v>
      </c>
      <c r="AJ367" s="147">
        <f t="shared" si="185"/>
        <v>0</v>
      </c>
      <c r="AK367" s="147">
        <f t="shared" si="197"/>
        <v>0</v>
      </c>
      <c r="AM367" s="147" t="str">
        <f t="shared" si="189"/>
        <v>0.702553539436875+0.954738499851383i</v>
      </c>
      <c r="AN367" s="147" t="str">
        <f t="shared" si="190"/>
        <v>1.2687793868738i</v>
      </c>
      <c r="AO367" s="147" t="str">
        <f t="shared" si="191"/>
        <v>0.752485821986598-0.553723954459827i</v>
      </c>
      <c r="AP367" s="147" t="str">
        <f t="shared" si="192"/>
        <v>0.0495744100938542-0.159123083308564i</v>
      </c>
      <c r="AQ367" s="147" t="str">
        <f t="shared" si="193"/>
        <v>0.950425589906146+0.159123083308564i</v>
      </c>
      <c r="AR367" s="147" t="str">
        <f t="shared" si="194"/>
        <v>0.85255204451777-0.142736802802294i</v>
      </c>
    </row>
    <row r="368" spans="7:44">
      <c r="G368" s="585">
        <v>30028</v>
      </c>
      <c r="H368" s="573">
        <f t="shared" si="186"/>
        <v>30.027999999999999</v>
      </c>
      <c r="I368" s="574">
        <f t="shared" si="166"/>
        <v>84.821429759358352</v>
      </c>
      <c r="J368" s="575">
        <f t="shared" si="167"/>
        <v>1.5590065801522486</v>
      </c>
      <c r="K368" s="575">
        <f t="shared" si="168"/>
        <v>1.0008610749919455</v>
      </c>
      <c r="L368" s="576">
        <f t="shared" si="169"/>
        <v>4.1483914243767746E-2</v>
      </c>
      <c r="M368" s="575">
        <f t="shared" si="170"/>
        <v>1.0019805929813637</v>
      </c>
      <c r="N368" s="576">
        <f t="shared" si="171"/>
        <v>-6.2886080170528824E-2</v>
      </c>
      <c r="O368" s="574">
        <f t="shared" si="172"/>
        <v>1245231.8220438415</v>
      </c>
      <c r="P368" s="577">
        <f t="shared" si="173"/>
        <v>1.5707955237315776</v>
      </c>
      <c r="Q368" s="586">
        <f t="shared" si="195"/>
        <v>50.234304499690182</v>
      </c>
      <c r="R368" s="587">
        <f t="shared" si="196"/>
        <v>1.5508882964566664</v>
      </c>
      <c r="S368" s="574">
        <f t="shared" si="174"/>
        <v>1.0057399008753609</v>
      </c>
      <c r="T368" s="577">
        <f t="shared" si="175"/>
        <v>0.10688853352502513</v>
      </c>
      <c r="U368" s="578">
        <f t="shared" si="187"/>
        <v>0.8059397034569441</v>
      </c>
      <c r="V368" s="579">
        <f t="shared" si="188"/>
        <v>-0.80409563942339179</v>
      </c>
      <c r="W368" s="580">
        <f t="shared" si="176"/>
        <v>-18.636204929829152</v>
      </c>
      <c r="X368" s="581">
        <f t="shared" si="177"/>
        <v>-143.88689963812487</v>
      </c>
      <c r="Y368" s="584">
        <f t="shared" si="178"/>
        <v>36.113100361875127</v>
      </c>
      <c r="AA368" s="147">
        <f t="shared" si="179"/>
        <v>30028</v>
      </c>
      <c r="AB368" s="147">
        <f t="shared" si="180"/>
        <v>901680784</v>
      </c>
      <c r="AD368" s="583">
        <f t="shared" si="181"/>
        <v>17.170740159551091</v>
      </c>
      <c r="AE368" s="584">
        <f t="shared" si="182"/>
        <v>-7.2648619622879957</v>
      </c>
      <c r="AG368" s="583">
        <f t="shared" si="183"/>
        <v>-3.4317718538147908</v>
      </c>
      <c r="AH368" s="584">
        <f t="shared" si="184"/>
        <v>-44.479464642881432</v>
      </c>
      <c r="AJ368" s="147">
        <f t="shared" si="185"/>
        <v>0</v>
      </c>
      <c r="AK368" s="147">
        <f t="shared" si="197"/>
        <v>0</v>
      </c>
      <c r="AM368" s="147" t="str">
        <f t="shared" si="189"/>
        <v>0.709540008227323+0.956887137116712i</v>
      </c>
      <c r="AN368" s="147" t="str">
        <f t="shared" si="190"/>
        <v>1.27608880724298i</v>
      </c>
      <c r="AO368" s="147" t="str">
        <f t="shared" si="191"/>
        <v>0.749859360638144-0.556027138706985i</v>
      </c>
      <c r="AP368" s="147" t="str">
        <f t="shared" si="192"/>
        <v>0.0484099986287795-0.159481189519452i</v>
      </c>
      <c r="AQ368" s="147" t="str">
        <f t="shared" si="193"/>
        <v>0.951590001371221+0.159481189519452i</v>
      </c>
      <c r="AR368" s="147" t="str">
        <f t="shared" si="194"/>
        <v>0.851461245320148-0.142700167128383i</v>
      </c>
    </row>
    <row r="369" spans="7:44">
      <c r="G369" s="585">
        <v>30200</v>
      </c>
      <c r="H369" s="573">
        <f t="shared" si="186"/>
        <v>30.2</v>
      </c>
      <c r="I369" s="574">
        <f t="shared" si="166"/>
        <v>85.307218486641759</v>
      </c>
      <c r="J369" s="575">
        <f t="shared" si="167"/>
        <v>1.5590737208846828</v>
      </c>
      <c r="K369" s="575">
        <f t="shared" si="168"/>
        <v>1.0008709633923967</v>
      </c>
      <c r="L369" s="576">
        <f t="shared" si="169"/>
        <v>4.1721258710026105E-2</v>
      </c>
      <c r="M369" s="575">
        <f t="shared" si="170"/>
        <v>1.0020033248397144</v>
      </c>
      <c r="N369" s="576">
        <f t="shared" si="171"/>
        <v>-6.3245333768187834E-2</v>
      </c>
      <c r="O369" s="574">
        <f t="shared" si="172"/>
        <v>1252364.4939963995</v>
      </c>
      <c r="P369" s="577">
        <f t="shared" si="173"/>
        <v>1.5707955283053157</v>
      </c>
      <c r="Q369" s="586">
        <f t="shared" si="195"/>
        <v>50.521932252634159</v>
      </c>
      <c r="R369" s="587">
        <f t="shared" si="196"/>
        <v>1.5510016502402746</v>
      </c>
      <c r="S369" s="574">
        <f t="shared" si="174"/>
        <v>1.0058056550314542</v>
      </c>
      <c r="T369" s="577">
        <f t="shared" si="175"/>
        <v>0.10749609722239817</v>
      </c>
      <c r="U369" s="578">
        <f t="shared" si="187"/>
        <v>0.80428629602321644</v>
      </c>
      <c r="V369" s="579">
        <f t="shared" si="188"/>
        <v>-0.80790756891980631</v>
      </c>
      <c r="W369" s="580">
        <f t="shared" si="176"/>
        <v>-18.703950967323657</v>
      </c>
      <c r="X369" s="581">
        <f t="shared" si="177"/>
        <v>-144.14445527398854</v>
      </c>
      <c r="Y369" s="584">
        <f t="shared" si="178"/>
        <v>35.855544726011459</v>
      </c>
      <c r="AA369" s="147">
        <f t="shared" si="179"/>
        <v>30200</v>
      </c>
      <c r="AB369" s="147">
        <f t="shared" si="180"/>
        <v>912040000</v>
      </c>
      <c r="AD369" s="583">
        <f t="shared" si="181"/>
        <v>17.170152756527308</v>
      </c>
      <c r="AE369" s="584">
        <f t="shared" si="182"/>
        <v>-7.2931783666284868</v>
      </c>
      <c r="AG369" s="583">
        <f t="shared" si="183"/>
        <v>-3.463255199107337</v>
      </c>
      <c r="AH369" s="584">
        <f t="shared" si="184"/>
        <v>-44.271888930013532</v>
      </c>
      <c r="AJ369" s="147">
        <f t="shared" si="185"/>
        <v>0</v>
      </c>
      <c r="AK369" s="147">
        <f t="shared" si="197"/>
        <v>0</v>
      </c>
      <c r="AM369" s="147" t="str">
        <f t="shared" si="189"/>
        <v>0.716541995536526+0.958984650401447i</v>
      </c>
      <c r="AN369" s="147" t="str">
        <f t="shared" si="190"/>
        <v>1.28339822761216i</v>
      </c>
      <c r="AO369" s="147" t="str">
        <f t="shared" si="191"/>
        <v>0.747222981744097-0.558316179748585i</v>
      </c>
      <c r="AP369" s="147" t="str">
        <f t="shared" si="192"/>
        <v>0.0472430007439123-0.159830775066908i</v>
      </c>
      <c r="AQ369" s="147" t="str">
        <f t="shared" si="193"/>
        <v>0.952756999256088+0.159830775066908i</v>
      </c>
      <c r="AR369" s="147" t="str">
        <f t="shared" si="194"/>
        <v>0.850373485058709-0.142655318532852i</v>
      </c>
    </row>
    <row r="370" spans="7:44">
      <c r="G370" s="585">
        <v>30375.75</v>
      </c>
      <c r="H370" s="573">
        <f t="shared" si="186"/>
        <v>30.37575</v>
      </c>
      <c r="I370" s="574">
        <f t="shared" si="166"/>
        <v>85.803598930596479</v>
      </c>
      <c r="J370" s="575">
        <f t="shared" si="167"/>
        <v>1.559141540144557</v>
      </c>
      <c r="K370" s="575">
        <f t="shared" si="168"/>
        <v>1.0008811256205383</v>
      </c>
      <c r="L370" s="576">
        <f t="shared" si="169"/>
        <v>4.1963772979332931E-2</v>
      </c>
      <c r="M370" s="575">
        <f t="shared" si="170"/>
        <v>1.0020266858810141</v>
      </c>
      <c r="N370" s="576">
        <f t="shared" si="171"/>
        <v>-6.3612403044253266E-2</v>
      </c>
      <c r="O370" s="574">
        <f t="shared" si="172"/>
        <v>1259652.6747851321</v>
      </c>
      <c r="P370" s="577">
        <f t="shared" si="173"/>
        <v>1.570795532925269</v>
      </c>
      <c r="Q370" s="586">
        <f t="shared" si="195"/>
        <v>50.815831622364939</v>
      </c>
      <c r="R370" s="587">
        <f t="shared" si="196"/>
        <v>1.5511161499179502</v>
      </c>
      <c r="S370" s="574">
        <f t="shared" si="174"/>
        <v>1.0058732262372898</v>
      </c>
      <c r="T370" s="577">
        <f t="shared" si="175"/>
        <v>0.10811682493655458</v>
      </c>
      <c r="U370" s="578">
        <f t="shared" si="187"/>
        <v>0.80259668430445574</v>
      </c>
      <c r="V370" s="579">
        <f t="shared" si="188"/>
        <v>-0.81179276220724506</v>
      </c>
      <c r="W370" s="580">
        <f t="shared" si="176"/>
        <v>-18.772924019314377</v>
      </c>
      <c r="X370" s="581">
        <f t="shared" si="177"/>
        <v>-144.40708768048177</v>
      </c>
      <c r="Y370" s="584">
        <f t="shared" si="178"/>
        <v>35.592912319518234</v>
      </c>
      <c r="AA370" s="147">
        <f t="shared" si="179"/>
        <v>30375.75</v>
      </c>
      <c r="AB370" s="147">
        <f t="shared" si="180"/>
        <v>922686188.0625</v>
      </c>
      <c r="AD370" s="583">
        <f t="shared" si="181"/>
        <v>17.169549615811505</v>
      </c>
      <c r="AE370" s="584">
        <f t="shared" si="182"/>
        <v>-7.3221833613269949</v>
      </c>
      <c r="AG370" s="583">
        <f t="shared" si="183"/>
        <v>-3.4950928015368268</v>
      </c>
      <c r="AH370" s="584">
        <f t="shared" si="184"/>
        <v>-44.060305985373944</v>
      </c>
      <c r="AJ370" s="147">
        <f t="shared" si="185"/>
        <v>0</v>
      </c>
      <c r="AK370" s="147">
        <f t="shared" si="197"/>
        <v>0</v>
      </c>
      <c r="AM370" s="147" t="str">
        <f t="shared" si="189"/>
        <v>0.723712282935502+0.961074969708028i</v>
      </c>
      <c r="AN370" s="147" t="str">
        <f t="shared" si="190"/>
        <v>1.29086701034405i</v>
      </c>
      <c r="AO370" s="147" t="str">
        <f t="shared" si="191"/>
        <v>0.744518964391131-0.560640466551712i</v>
      </c>
      <c r="AP370" s="147" t="str">
        <f t="shared" si="192"/>
        <v>0.046047952844083-0.160179161618005i</v>
      </c>
      <c r="AQ370" s="147" t="str">
        <f t="shared" si="193"/>
        <v>0.953952047155917+0.160179161618005i</v>
      </c>
      <c r="AR370" s="147" t="str">
        <f t="shared" si="194"/>
        <v>0.849265203253585-0.142601075865473i</v>
      </c>
    </row>
    <row r="371" spans="7:44">
      <c r="G371" s="585">
        <v>30551.5</v>
      </c>
      <c r="H371" s="573">
        <f t="shared" si="186"/>
        <v>30.551500000000001</v>
      </c>
      <c r="I371" s="574">
        <f t="shared" si="166"/>
        <v>86.299979764660861</v>
      </c>
      <c r="J371" s="575">
        <f t="shared" si="167"/>
        <v>1.5592085792381392</v>
      </c>
      <c r="K371" s="575">
        <f t="shared" si="168"/>
        <v>1.0008913467124754</v>
      </c>
      <c r="L371" s="576">
        <f t="shared" si="169"/>
        <v>4.2206282309795909E-2</v>
      </c>
      <c r="M371" s="575">
        <f t="shared" si="170"/>
        <v>1.0020501819289371</v>
      </c>
      <c r="N371" s="576">
        <f t="shared" si="171"/>
        <v>-6.3979455155710671E-2</v>
      </c>
      <c r="O371" s="574">
        <f t="shared" si="172"/>
        <v>1266940.8555738647</v>
      </c>
      <c r="P371" s="577">
        <f t="shared" si="173"/>
        <v>1.5707955374920688</v>
      </c>
      <c r="Q371" s="586">
        <f t="shared" si="195"/>
        <v>51.109731650638395</v>
      </c>
      <c r="R371" s="587">
        <f t="shared" si="196"/>
        <v>1.5512293327653524</v>
      </c>
      <c r="S371" s="574">
        <f t="shared" si="174"/>
        <v>1.0059411849568374</v>
      </c>
      <c r="T371" s="577">
        <f t="shared" si="175"/>
        <v>0.10873746902038266</v>
      </c>
      <c r="U371" s="578">
        <f t="shared" si="187"/>
        <v>0.80090698686662287</v>
      </c>
      <c r="V371" s="579">
        <f t="shared" si="188"/>
        <v>-0.8156680331801559</v>
      </c>
      <c r="W371" s="580">
        <f t="shared" si="176"/>
        <v>-18.841647131372667</v>
      </c>
      <c r="X371" s="581">
        <f t="shared" si="177"/>
        <v>-144.66917683361513</v>
      </c>
      <c r="Y371" s="584">
        <f t="shared" si="178"/>
        <v>35.330823166384874</v>
      </c>
      <c r="AA371" s="147">
        <f t="shared" si="179"/>
        <v>30551.5</v>
      </c>
      <c r="AB371" s="147">
        <f t="shared" si="180"/>
        <v>933394152.25</v>
      </c>
      <c r="AD371" s="583">
        <f t="shared" si="181"/>
        <v>17.168943506012788</v>
      </c>
      <c r="AE371" s="584">
        <f t="shared" si="182"/>
        <v>-7.3512590101322743</v>
      </c>
      <c r="AG371" s="583">
        <f t="shared" si="183"/>
        <v>-3.5265986474570465</v>
      </c>
      <c r="AH371" s="584">
        <f t="shared" si="184"/>
        <v>-43.849246146759867</v>
      </c>
      <c r="AJ371" s="147">
        <f t="shared" si="185"/>
        <v>0</v>
      </c>
      <c r="AK371" s="147">
        <f t="shared" si="197"/>
        <v>0</v>
      </c>
      <c r="AM371" s="147" t="str">
        <f t="shared" si="189"/>
        <v>0.73089798234194+0.963111677892217i</v>
      </c>
      <c r="AN371" s="147" t="str">
        <f t="shared" si="190"/>
        <v>1.29833579307593i</v>
      </c>
      <c r="AO371" s="147" t="str">
        <f t="shared" si="191"/>
        <v>0.741804765014201-0.562949882641952i</v>
      </c>
      <c r="AP371" s="147" t="str">
        <f t="shared" si="192"/>
        <v>0.0448503362763433-0.160518612982036i</v>
      </c>
      <c r="AQ371" s="147" t="str">
        <f t="shared" si="193"/>
        <v>0.955149663723657+0.160518612982036i</v>
      </c>
      <c r="AR371" s="147" t="str">
        <f t="shared" si="194"/>
        <v>0.848160205008833-0.142538394625836i</v>
      </c>
    </row>
    <row r="372" spans="7:44">
      <c r="G372" s="585">
        <v>30727.25</v>
      </c>
      <c r="H372" s="573">
        <f t="shared" si="186"/>
        <v>30.727250000000002</v>
      </c>
      <c r="I372" s="574">
        <f t="shared" si="166"/>
        <v>86.796360982141834</v>
      </c>
      <c r="J372" s="575">
        <f t="shared" si="167"/>
        <v>1.5592748515499415</v>
      </c>
      <c r="K372" s="575">
        <f t="shared" si="168"/>
        <v>1.0009016266664041</v>
      </c>
      <c r="L372" s="576">
        <f t="shared" si="169"/>
        <v>4.2448786673042464E-2</v>
      </c>
      <c r="M372" s="575">
        <f t="shared" si="170"/>
        <v>1.0020738129739861</v>
      </c>
      <c r="N372" s="576">
        <f t="shared" si="171"/>
        <v>-6.4346490004867099E-2</v>
      </c>
      <c r="O372" s="574">
        <f t="shared" si="172"/>
        <v>1274229.0363625975</v>
      </c>
      <c r="P372" s="577">
        <f t="shared" si="173"/>
        <v>1.5707955420066275</v>
      </c>
      <c r="Q372" s="586">
        <f t="shared" si="195"/>
        <v>51.403632326158863</v>
      </c>
      <c r="R372" s="587">
        <f t="shared" si="196"/>
        <v>1.551341221366519</v>
      </c>
      <c r="S372" s="574">
        <f t="shared" si="174"/>
        <v>1.0060095311115638</v>
      </c>
      <c r="T372" s="577">
        <f t="shared" si="175"/>
        <v>0.10935802901273639</v>
      </c>
      <c r="U372" s="578">
        <f t="shared" si="187"/>
        <v>0.79921727531977682</v>
      </c>
      <c r="V372" s="579">
        <f t="shared" si="188"/>
        <v>-0.81953341152315962</v>
      </c>
      <c r="W372" s="580">
        <f t="shared" si="176"/>
        <v>-18.910123033425108</v>
      </c>
      <c r="X372" s="581">
        <f t="shared" si="177"/>
        <v>-144.93072387675679</v>
      </c>
      <c r="Y372" s="584">
        <f t="shared" si="178"/>
        <v>35.069276123243213</v>
      </c>
      <c r="AA372" s="147">
        <f t="shared" si="179"/>
        <v>30727.25</v>
      </c>
      <c r="AB372" s="147">
        <f t="shared" si="180"/>
        <v>944163892.5625</v>
      </c>
      <c r="AD372" s="583">
        <f t="shared" si="181"/>
        <v>17.168334420779509</v>
      </c>
      <c r="AE372" s="584">
        <f t="shared" si="182"/>
        <v>-7.3804039927048164</v>
      </c>
      <c r="AG372" s="583">
        <f t="shared" si="183"/>
        <v>-3.5577766799904764</v>
      </c>
      <c r="AH372" s="584">
        <f t="shared" si="184"/>
        <v>-43.638708476272107</v>
      </c>
      <c r="AJ372" s="147">
        <f t="shared" si="185"/>
        <v>0</v>
      </c>
      <c r="AK372" s="147">
        <f t="shared" si="197"/>
        <v>0</v>
      </c>
      <c r="AM372" s="147" t="str">
        <f t="shared" si="189"/>
        <v>0.738098692919889+0.96509466134143i</v>
      </c>
      <c r="AN372" s="147" t="str">
        <f t="shared" si="190"/>
        <v>1.30580457580781i</v>
      </c>
      <c r="AO372" s="147" t="str">
        <f t="shared" si="191"/>
        <v>0.739080471321211-0.565244376221671i</v>
      </c>
      <c r="AP372" s="147" t="str">
        <f t="shared" si="192"/>
        <v>0.0436502178466852-0.160849110223572i</v>
      </c>
      <c r="AQ372" s="147" t="str">
        <f t="shared" si="193"/>
        <v>0.956349782153315+0.160849110223572i</v>
      </c>
      <c r="AR372" s="147" t="str">
        <f t="shared" si="194"/>
        <v>0.847058544513253-0.142467343784461i</v>
      </c>
    </row>
    <row r="373" spans="7:44">
      <c r="G373" s="585">
        <v>30903</v>
      </c>
      <c r="H373" s="573">
        <f t="shared" si="186"/>
        <v>30.902999999999999</v>
      </c>
      <c r="I373" s="574">
        <f t="shared" si="166"/>
        <v>87.292742576498696</v>
      </c>
      <c r="J373" s="575">
        <f t="shared" si="167"/>
        <v>1.5593403701600639</v>
      </c>
      <c r="K373" s="575">
        <f t="shared" si="168"/>
        <v>1.0009119654805112</v>
      </c>
      <c r="L373" s="576">
        <f t="shared" si="169"/>
        <v>4.2691286040703491E-2</v>
      </c>
      <c r="M373" s="575">
        <f t="shared" si="170"/>
        <v>1.0020975790066113</v>
      </c>
      <c r="N373" s="576">
        <f t="shared" si="171"/>
        <v>-6.471350749405741E-2</v>
      </c>
      <c r="O373" s="574">
        <f t="shared" si="172"/>
        <v>1281517.2171513303</v>
      </c>
      <c r="P373" s="577">
        <f t="shared" si="173"/>
        <v>1.5707955464698362</v>
      </c>
      <c r="Q373" s="586">
        <f t="shared" si="195"/>
        <v>51.697533637887567</v>
      </c>
      <c r="R373" s="587">
        <f t="shared" si="196"/>
        <v>1.5514518377920561</v>
      </c>
      <c r="S373" s="574">
        <f t="shared" si="174"/>
        <v>1.0060782646225102</v>
      </c>
      <c r="T373" s="577">
        <f t="shared" si="175"/>
        <v>0.1099785044528538</v>
      </c>
      <c r="U373" s="578">
        <f t="shared" si="187"/>
        <v>0.79752762024418244</v>
      </c>
      <c r="V373" s="579">
        <f t="shared" si="188"/>
        <v>-0.82338892740154179</v>
      </c>
      <c r="W373" s="580">
        <f t="shared" si="176"/>
        <v>-18.978354403875336</v>
      </c>
      <c r="X373" s="581">
        <f t="shared" si="177"/>
        <v>-145.19172999281326</v>
      </c>
      <c r="Y373" s="584">
        <f t="shared" si="178"/>
        <v>34.808270007186735</v>
      </c>
      <c r="AA373" s="147">
        <f t="shared" si="179"/>
        <v>30903</v>
      </c>
      <c r="AB373" s="147">
        <f t="shared" si="180"/>
        <v>954995409</v>
      </c>
      <c r="AD373" s="583">
        <f t="shared" si="181"/>
        <v>17.167722353985521</v>
      </c>
      <c r="AE373" s="584">
        <f t="shared" si="182"/>
        <v>-7.4096170181433649</v>
      </c>
      <c r="AG373" s="583">
        <f t="shared" si="183"/>
        <v>-3.5886307795575432</v>
      </c>
      <c r="AH373" s="584">
        <f t="shared" si="184"/>
        <v>-43.428691991031258</v>
      </c>
      <c r="AJ373" s="147">
        <f t="shared" si="185"/>
        <v>0</v>
      </c>
      <c r="AK373" s="147">
        <f t="shared" si="197"/>
        <v>0</v>
      </c>
      <c r="AM373" s="147" t="str">
        <f t="shared" si="189"/>
        <v>0.745314012996025+0.96702380943998i</v>
      </c>
      <c r="AN373" s="147" t="str">
        <f t="shared" si="190"/>
        <v>1.31327335853969i</v>
      </c>
      <c r="AO373" s="147" t="str">
        <f t="shared" si="191"/>
        <v>0.736346171306843-0.567523896033942i</v>
      </c>
      <c r="AP373" s="147" t="str">
        <f t="shared" si="192"/>
        <v>0.0424476645006625-0.161170634906663i</v>
      </c>
      <c r="AQ373" s="147" t="str">
        <f t="shared" si="193"/>
        <v>0.957552335499337+0.161170634906663i</v>
      </c>
      <c r="AR373" s="147" t="str">
        <f t="shared" si="194"/>
        <v>0.845960274799919-0.14238799232234i</v>
      </c>
    </row>
    <row r="374" spans="7:44">
      <c r="G374" s="585">
        <v>31083</v>
      </c>
      <c r="H374" s="573">
        <f t="shared" si="186"/>
        <v>31.082999999999998</v>
      </c>
      <c r="I374" s="574">
        <f t="shared" si="166"/>
        <v>87.801128092676564</v>
      </c>
      <c r="J374" s="575">
        <f t="shared" si="167"/>
        <v>1.5594067052418397</v>
      </c>
      <c r="K374" s="575">
        <f t="shared" si="168"/>
        <v>1.0009226153191397</v>
      </c>
      <c r="L374" s="576">
        <f t="shared" si="169"/>
        <v>4.2939644338809237E-2</v>
      </c>
      <c r="M374" s="575">
        <f t="shared" si="170"/>
        <v>1.0021220596646916</v>
      </c>
      <c r="N374" s="576">
        <f t="shared" si="171"/>
        <v>-6.5089382131598261E-2</v>
      </c>
      <c r="O374" s="574">
        <f t="shared" si="172"/>
        <v>1288981.641287728</v>
      </c>
      <c r="P374" s="577">
        <f t="shared" si="173"/>
        <v>1.5707955509886571</v>
      </c>
      <c r="Q374" s="586">
        <f t="shared" si="195"/>
        <v>51.998542741911258</v>
      </c>
      <c r="R374" s="587">
        <f t="shared" si="196"/>
        <v>1.5515638329967449</v>
      </c>
      <c r="S374" s="574">
        <f t="shared" si="174"/>
        <v>1.0061490616896382</v>
      </c>
      <c r="T374" s="577">
        <f t="shared" si="175"/>
        <v>0.11061389615273973</v>
      </c>
      <c r="U374" s="578">
        <f t="shared" si="187"/>
        <v>0.79579723700966376</v>
      </c>
      <c r="V374" s="579">
        <f t="shared" si="188"/>
        <v>-0.8273274865852227</v>
      </c>
      <c r="W374" s="580">
        <f t="shared" si="176"/>
        <v>-19.047985023475427</v>
      </c>
      <c r="X374" s="581">
        <f t="shared" si="177"/>
        <v>-145.45848834908963</v>
      </c>
      <c r="Y374" s="584">
        <f t="shared" si="178"/>
        <v>34.541511650910365</v>
      </c>
      <c r="AA374" s="147">
        <f t="shared" si="179"/>
        <v>31083</v>
      </c>
      <c r="AB374" s="147">
        <f t="shared" si="180"/>
        <v>966152889</v>
      </c>
      <c r="AD374" s="583">
        <f t="shared" si="181"/>
        <v>17.167092389390234</v>
      </c>
      <c r="AE374" s="584">
        <f t="shared" si="182"/>
        <v>-7.4396056872737208</v>
      </c>
      <c r="AG374" s="583">
        <f t="shared" si="183"/>
        <v>-3.6198992077734902</v>
      </c>
      <c r="AH374" s="584">
        <f t="shared" si="184"/>
        <v>-43.214136040486686</v>
      </c>
      <c r="AJ374" s="147">
        <f t="shared" si="185"/>
        <v>0</v>
      </c>
      <c r="AK374" s="147">
        <f t="shared" si="197"/>
        <v>0</v>
      </c>
      <c r="AM374" s="147" t="str">
        <f t="shared" si="189"/>
        <v>0.752718537624837+0.968943692051092i</v>
      </c>
      <c r="AN374" s="147" t="str">
        <f t="shared" si="190"/>
        <v>1.3209227519493i</v>
      </c>
      <c r="AO374" s="147" t="str">
        <f t="shared" si="191"/>
        <v>0.733535470277282-0.569842965089398i</v>
      </c>
      <c r="AP374" s="147" t="str">
        <f t="shared" si="192"/>
        <v>0.0412135770625272-0.161490615341849i</v>
      </c>
      <c r="AQ374" s="147" t="str">
        <f t="shared" si="193"/>
        <v>0.958786422937473+0.161490615341849i</v>
      </c>
      <c r="AR374" s="147" t="str">
        <f t="shared" si="194"/>
        <v>0.844839015624649-0.142298189913901i</v>
      </c>
    </row>
    <row r="375" spans="7:44">
      <c r="G375" s="585">
        <v>31263</v>
      </c>
      <c r="H375" s="573">
        <f t="shared" si="186"/>
        <v>31.263000000000002</v>
      </c>
      <c r="I375" s="574">
        <f t="shared" si="166"/>
        <v>88.309513990761147</v>
      </c>
      <c r="J375" s="575">
        <f t="shared" si="167"/>
        <v>1.5594722765597582</v>
      </c>
      <c r="K375" s="575">
        <f t="shared" si="168"/>
        <v>1.0009333268952048</v>
      </c>
      <c r="L375" s="576">
        <f t="shared" si="169"/>
        <v>4.3187997336577209E-2</v>
      </c>
      <c r="M375" s="575">
        <f t="shared" si="170"/>
        <v>1.0021466818973945</v>
      </c>
      <c r="N375" s="576">
        <f t="shared" si="171"/>
        <v>-6.5465238352142421E-2</v>
      </c>
      <c r="O375" s="574">
        <f t="shared" si="172"/>
        <v>1296446.0654241256</v>
      </c>
      <c r="P375" s="577">
        <f t="shared" si="173"/>
        <v>1.5707955554554429</v>
      </c>
      <c r="Q375" s="586">
        <f t="shared" si="195"/>
        <v>52.299552490641219</v>
      </c>
      <c r="R375" s="587">
        <f t="shared" si="196"/>
        <v>1.5516745390274025</v>
      </c>
      <c r="S375" s="574">
        <f t="shared" si="174"/>
        <v>1.0062202649046377</v>
      </c>
      <c r="T375" s="577">
        <f t="shared" si="175"/>
        <v>0.11124919818457193</v>
      </c>
      <c r="U375" s="578">
        <f t="shared" si="187"/>
        <v>0.79406705958321266</v>
      </c>
      <c r="V375" s="579">
        <f t="shared" si="188"/>
        <v>-0.83125576609696006</v>
      </c>
      <c r="W375" s="580">
        <f t="shared" si="176"/>
        <v>-19.117364668810744</v>
      </c>
      <c r="X375" s="581">
        <f t="shared" si="177"/>
        <v>-145.72468193522198</v>
      </c>
      <c r="Y375" s="584">
        <f t="shared" si="178"/>
        <v>34.27531806477802</v>
      </c>
      <c r="AA375" s="147">
        <f t="shared" si="179"/>
        <v>31263</v>
      </c>
      <c r="AB375" s="147">
        <f t="shared" si="180"/>
        <v>977375169</v>
      </c>
      <c r="AD375" s="583">
        <f t="shared" si="181"/>
        <v>17.166459284975932</v>
      </c>
      <c r="AE375" s="584">
        <f t="shared" si="182"/>
        <v>-7.4696630800527997</v>
      </c>
      <c r="AG375" s="583">
        <f t="shared" si="183"/>
        <v>-3.6508358899657312</v>
      </c>
      <c r="AH375" s="584">
        <f t="shared" si="184"/>
        <v>-43.000124559785107</v>
      </c>
      <c r="AJ375" s="147">
        <f t="shared" si="185"/>
        <v>0</v>
      </c>
      <c r="AK375" s="147">
        <f t="shared" si="197"/>
        <v>0</v>
      </c>
      <c r="AM375" s="147" t="str">
        <f t="shared" si="189"/>
        <v>0.760137531417591+0.970806878923688i</v>
      </c>
      <c r="AN375" s="147" t="str">
        <f t="shared" si="190"/>
        <v>1.32857214535891i</v>
      </c>
      <c r="AO375" s="147" t="str">
        <f t="shared" si="191"/>
        <v>0.730714460870642-0.572146220341118i</v>
      </c>
      <c r="AP375" s="147" t="str">
        <f t="shared" si="192"/>
        <v>0.0399770780970682-0.161801146487281i</v>
      </c>
      <c r="AQ375" s="147" t="str">
        <f t="shared" si="193"/>
        <v>0.960022921902932+0.161801146487281i</v>
      </c>
      <c r="AR375" s="147" t="str">
        <f t="shared" si="194"/>
        <v>0.843721422144966-0.142199827008649i</v>
      </c>
    </row>
    <row r="376" spans="7:44">
      <c r="G376" s="585">
        <v>31443</v>
      </c>
      <c r="H376" s="573">
        <f t="shared" si="186"/>
        <v>31.443000000000001</v>
      </c>
      <c r="I376" s="574">
        <f t="shared" si="166"/>
        <v>88.817900264194407</v>
      </c>
      <c r="J376" s="575">
        <f t="shared" si="167"/>
        <v>1.5595370972284135</v>
      </c>
      <c r="K376" s="575">
        <f t="shared" si="168"/>
        <v>1.0009441002067248</v>
      </c>
      <c r="L376" s="576">
        <f t="shared" si="169"/>
        <v>4.343634500354164E-2</v>
      </c>
      <c r="M376" s="575">
        <f t="shared" si="170"/>
        <v>1.0021714456942852</v>
      </c>
      <c r="N376" s="576">
        <f t="shared" si="171"/>
        <v>-6.5841076050858399E-2</v>
      </c>
      <c r="O376" s="574">
        <f t="shared" si="172"/>
        <v>1303910.4895605235</v>
      </c>
      <c r="P376" s="577">
        <f t="shared" si="173"/>
        <v>1.570795559871087</v>
      </c>
      <c r="Q376" s="586">
        <f t="shared" si="195"/>
        <v>52.600562873009309</v>
      </c>
      <c r="R376" s="587">
        <f t="shared" si="196"/>
        <v>1.5517839780134561</v>
      </c>
      <c r="S376" s="574">
        <f t="shared" si="174"/>
        <v>1.0062918741812934</v>
      </c>
      <c r="T376" s="577">
        <f t="shared" si="175"/>
        <v>0.11188441005461247</v>
      </c>
      <c r="U376" s="578">
        <f t="shared" si="187"/>
        <v>0.79233716046628544</v>
      </c>
      <c r="V376" s="579">
        <f t="shared" si="188"/>
        <v>-0.83517379984421858</v>
      </c>
      <c r="W376" s="580">
        <f t="shared" si="176"/>
        <v>-19.18649605767185</v>
      </c>
      <c r="X376" s="581">
        <f t="shared" si="177"/>
        <v>-145.99031214495437</v>
      </c>
      <c r="Y376" s="584">
        <f t="shared" si="178"/>
        <v>34.009687855045627</v>
      </c>
      <c r="AA376" s="147">
        <f t="shared" si="179"/>
        <v>31443</v>
      </c>
      <c r="AB376" s="147">
        <f t="shared" si="180"/>
        <v>988662249</v>
      </c>
      <c r="AD376" s="583">
        <f t="shared" si="181"/>
        <v>17.165823034849325</v>
      </c>
      <c r="AE376" s="584">
        <f t="shared" si="182"/>
        <v>-7.4997879003198635</v>
      </c>
      <c r="AG376" s="583">
        <f t="shared" si="183"/>
        <v>-3.6814447987460968</v>
      </c>
      <c r="AH376" s="584">
        <f t="shared" si="184"/>
        <v>-42.786656353321966</v>
      </c>
      <c r="AJ376" s="147">
        <f t="shared" si="185"/>
        <v>0</v>
      </c>
      <c r="AK376" s="147">
        <f t="shared" si="197"/>
        <v>0</v>
      </c>
      <c r="AM376" s="147" t="str">
        <f t="shared" si="189"/>
        <v>0.767570560267191+0.972613261037239i</v>
      </c>
      <c r="AN376" s="147" t="str">
        <f t="shared" si="190"/>
        <v>1.33622153876852i</v>
      </c>
      <c r="AO376" s="147" t="str">
        <f t="shared" si="191"/>
        <v>0.727883238533644-0.574433608497731i</v>
      </c>
      <c r="AP376" s="147" t="str">
        <f t="shared" si="192"/>
        <v>0.0387382399554682-0.162102210172873i</v>
      </c>
      <c r="AQ376" s="147" t="str">
        <f t="shared" si="193"/>
        <v>0.961261760044532+0.162102210172873i</v>
      </c>
      <c r="AR376" s="147" t="str">
        <f t="shared" si="194"/>
        <v>0.842607547642532-0.142092977645206i</v>
      </c>
    </row>
    <row r="377" spans="7:44">
      <c r="G377" s="585">
        <v>31623</v>
      </c>
      <c r="H377" s="573">
        <f t="shared" si="186"/>
        <v>31.623000000000001</v>
      </c>
      <c r="I377" s="574">
        <f t="shared" si="166"/>
        <v>89.326286906567674</v>
      </c>
      <c r="J377" s="575">
        <f t="shared" si="167"/>
        <v>1.5596011800638661</v>
      </c>
      <c r="K377" s="575">
        <f t="shared" si="168"/>
        <v>1.0009549352517062</v>
      </c>
      <c r="L377" s="576">
        <f t="shared" si="169"/>
        <v>4.3684687309240709E-2</v>
      </c>
      <c r="M377" s="575">
        <f t="shared" si="170"/>
        <v>1.0021963510448693</v>
      </c>
      <c r="N377" s="576">
        <f t="shared" si="171"/>
        <v>-6.621689512294604E-2</v>
      </c>
      <c r="O377" s="574">
        <f t="shared" si="172"/>
        <v>1311374.9136969214</v>
      </c>
      <c r="P377" s="577">
        <f t="shared" si="173"/>
        <v>1.570795564236463</v>
      </c>
      <c r="Q377" s="586">
        <f t="shared" si="195"/>
        <v>52.901573878199336</v>
      </c>
      <c r="R377" s="587">
        <f t="shared" si="196"/>
        <v>1.5518921715807883</v>
      </c>
      <c r="S377" s="574">
        <f t="shared" si="174"/>
        <v>1.0063638894329241</v>
      </c>
      <c r="T377" s="577">
        <f t="shared" si="175"/>
        <v>0.11251953126955455</v>
      </c>
      <c r="U377" s="578">
        <f t="shared" si="187"/>
        <v>0.79060761105163346</v>
      </c>
      <c r="V377" s="579">
        <f t="shared" si="188"/>
        <v>-0.83908162221813132</v>
      </c>
      <c r="W377" s="580">
        <f t="shared" si="176"/>
        <v>-19.255381856703032</v>
      </c>
      <c r="X377" s="581">
        <f t="shared" si="177"/>
        <v>-146.25538041151444</v>
      </c>
      <c r="Y377" s="584">
        <f t="shared" si="178"/>
        <v>33.744619588485563</v>
      </c>
      <c r="AA377" s="147">
        <f t="shared" si="179"/>
        <v>31623</v>
      </c>
      <c r="AB377" s="147">
        <f t="shared" si="180"/>
        <v>1000014129</v>
      </c>
      <c r="AD377" s="583">
        <f t="shared" si="181"/>
        <v>17.165183633334212</v>
      </c>
      <c r="AE377" s="584">
        <f t="shared" si="182"/>
        <v>-7.5299788807887875</v>
      </c>
      <c r="AG377" s="583">
        <f t="shared" si="183"/>
        <v>-3.7117298432506947</v>
      </c>
      <c r="AH377" s="584">
        <f t="shared" si="184"/>
        <v>-42.573730180677373</v>
      </c>
      <c r="AJ377" s="147">
        <f t="shared" si="185"/>
        <v>0</v>
      </c>
      <c r="AK377" s="147">
        <f t="shared" si="197"/>
        <v>0</v>
      </c>
      <c r="AM377" s="147" t="str">
        <f t="shared" si="189"/>
        <v>0.775017189245308+0.974362732695026i</v>
      </c>
      <c r="AN377" s="147" t="str">
        <f t="shared" si="190"/>
        <v>1.34387093217813i</v>
      </c>
      <c r="AO377" s="147" t="str">
        <f t="shared" si="191"/>
        <v>0.725041899013167-0.57670507687012i</v>
      </c>
      <c r="AP377" s="147" t="str">
        <f t="shared" si="192"/>
        <v>0.037497135125782-0.162393788782504i</v>
      </c>
      <c r="AQ377" s="147" t="str">
        <f t="shared" si="193"/>
        <v>0.962502864874218+0.162393788782504i</v>
      </c>
      <c r="AR377" s="147" t="str">
        <f t="shared" si="194"/>
        <v>0.841497444180062-0.141977715805607i</v>
      </c>
    </row>
    <row r="378" spans="7:44">
      <c r="G378" s="585">
        <v>31807</v>
      </c>
      <c r="H378" s="573">
        <f t="shared" si="186"/>
        <v>31.806999999999999</v>
      </c>
      <c r="I378" s="574">
        <f t="shared" si="166"/>
        <v>89.84597140469053</v>
      </c>
      <c r="J378" s="575">
        <f t="shared" si="167"/>
        <v>1.5596659373933643</v>
      </c>
      <c r="K378" s="575">
        <f t="shared" si="168"/>
        <v>1.0009660748798637</v>
      </c>
      <c r="L378" s="576">
        <f t="shared" si="169"/>
        <v>4.3938542759832382E-2</v>
      </c>
      <c r="M378" s="575">
        <f t="shared" si="170"/>
        <v>1.0022219561438019</v>
      </c>
      <c r="N378" s="576">
        <f t="shared" si="171"/>
        <v>-6.6601046368764974E-2</v>
      </c>
      <c r="O378" s="574">
        <f t="shared" si="172"/>
        <v>1319005.2139252392</v>
      </c>
      <c r="P378" s="577">
        <f t="shared" si="173"/>
        <v>1.5707955686477799</v>
      </c>
      <c r="Q378" s="586">
        <f t="shared" si="195"/>
        <v>53.209274649568471</v>
      </c>
      <c r="R378" s="587">
        <f t="shared" si="196"/>
        <v>1.5520015042148356</v>
      </c>
      <c r="S378" s="574">
        <f t="shared" si="174"/>
        <v>1.00643792454045</v>
      </c>
      <c r="T378" s="577">
        <f t="shared" si="175"/>
        <v>0.11316867207675887</v>
      </c>
      <c r="U378" s="578">
        <f t="shared" si="187"/>
        <v>0.7888400618337672</v>
      </c>
      <c r="V378" s="579">
        <f t="shared" si="188"/>
        <v>-0.84306576711947401</v>
      </c>
      <c r="W378" s="580">
        <f t="shared" si="176"/>
        <v>-19.325547338895646</v>
      </c>
      <c r="X378" s="581">
        <f t="shared" si="177"/>
        <v>-146.5257598032849</v>
      </c>
      <c r="Y378" s="584">
        <f t="shared" si="178"/>
        <v>33.474240196715101</v>
      </c>
      <c r="AA378" s="147">
        <f t="shared" si="179"/>
        <v>31807</v>
      </c>
      <c r="AB378" s="147">
        <f t="shared" si="180"/>
        <v>1011685249</v>
      </c>
      <c r="AD378" s="583">
        <f t="shared" si="181"/>
        <v>17.164526759993208</v>
      </c>
      <c r="AE378" s="584">
        <f t="shared" si="182"/>
        <v>-7.5609078636425258</v>
      </c>
      <c r="AG378" s="583">
        <f t="shared" si="183"/>
        <v>-3.7423571542691336</v>
      </c>
      <c r="AH378" s="584">
        <f t="shared" si="184"/>
        <v>-42.35663121344141</v>
      </c>
      <c r="AJ378" s="147">
        <f t="shared" si="185"/>
        <v>0</v>
      </c>
      <c r="AK378" s="147">
        <f t="shared" si="197"/>
        <v>0</v>
      </c>
      <c r="AM378" s="147" t="str">
        <f t="shared" si="189"/>
        <v>0.782642901995283+0.976092153409179i</v>
      </c>
      <c r="AN378" s="147" t="str">
        <f t="shared" si="190"/>
        <v>1.35169031210795i</v>
      </c>
      <c r="AO378" s="147" t="str">
        <f t="shared" si="191"/>
        <v>0.722127061698749-0.579010513713572i</v>
      </c>
      <c r="AP378" s="147" t="str">
        <f t="shared" si="192"/>
        <v>0.0362261830007862-0.162682025568196i</v>
      </c>
      <c r="AQ378" s="147" t="str">
        <f t="shared" si="193"/>
        <v>0.963773816999214+0.162682025568196i</v>
      </c>
      <c r="AR378" s="147" t="str">
        <f t="shared" si="194"/>
        <v>0.840366622371828-0.141851274579151i</v>
      </c>
    </row>
    <row r="379" spans="7:44">
      <c r="G379" s="585">
        <v>31991</v>
      </c>
      <c r="H379" s="573">
        <f t="shared" si="186"/>
        <v>31.991</v>
      </c>
      <c r="I379" s="574">
        <f t="shared" si="166"/>
        <v>90.365656275249975</v>
      </c>
      <c r="J379" s="575">
        <f t="shared" si="167"/>
        <v>1.5597299498958173</v>
      </c>
      <c r="K379" s="575">
        <f t="shared" si="168"/>
        <v>1.0009772790114293</v>
      </c>
      <c r="L379" s="576">
        <f t="shared" si="169"/>
        <v>4.4192392543876538E-2</v>
      </c>
      <c r="M379" s="575">
        <f t="shared" si="170"/>
        <v>1.0022477091352433</v>
      </c>
      <c r="N379" s="576">
        <f t="shared" si="171"/>
        <v>-6.6985177929554759E-2</v>
      </c>
      <c r="O379" s="574">
        <f t="shared" si="172"/>
        <v>1326635.5141535571</v>
      </c>
      <c r="P379" s="577">
        <f t="shared" si="173"/>
        <v>1.570795573008352</v>
      </c>
      <c r="Q379" s="586">
        <f t="shared" si="195"/>
        <v>53.516976049667328</v>
      </c>
      <c r="R379" s="587">
        <f t="shared" si="196"/>
        <v>1.5521095796115416</v>
      </c>
      <c r="S379" s="574">
        <f t="shared" si="174"/>
        <v>1.0065123836821064</v>
      </c>
      <c r="T379" s="577">
        <f t="shared" si="175"/>
        <v>0.11381771711396385</v>
      </c>
      <c r="U379" s="578">
        <f t="shared" si="187"/>
        <v>0.78707302537706103</v>
      </c>
      <c r="V379" s="579">
        <f t="shared" si="188"/>
        <v>-0.84703931593650927</v>
      </c>
      <c r="W379" s="580">
        <f t="shared" si="176"/>
        <v>-19.395461671783519</v>
      </c>
      <c r="X379" s="581">
        <f t="shared" si="177"/>
        <v>-146.79555514976781</v>
      </c>
      <c r="Y379" s="584">
        <f t="shared" si="178"/>
        <v>33.204444850232193</v>
      </c>
      <c r="AA379" s="147">
        <f t="shared" si="179"/>
        <v>31991</v>
      </c>
      <c r="AB379" s="147">
        <f t="shared" si="180"/>
        <v>1023424081</v>
      </c>
      <c r="AD379" s="583">
        <f t="shared" si="181"/>
        <v>17.163866582315283</v>
      </c>
      <c r="AE379" s="584">
        <f t="shared" si="182"/>
        <v>-7.5919033907656237</v>
      </c>
      <c r="AG379" s="583">
        <f t="shared" si="183"/>
        <v>-3.7726541101100777</v>
      </c>
      <c r="AH379" s="584">
        <f t="shared" si="184"/>
        <v>-42.140095878470269</v>
      </c>
      <c r="AJ379" s="147">
        <f t="shared" si="185"/>
        <v>0</v>
      </c>
      <c r="AK379" s="147">
        <f t="shared" si="197"/>
        <v>0</v>
      </c>
      <c r="AM379" s="147" t="str">
        <f t="shared" si="189"/>
        <v>0.79028190447792+0.977761893515283i</v>
      </c>
      <c r="AN379" s="147" t="str">
        <f t="shared" si="190"/>
        <v>1.35950969203777i</v>
      </c>
      <c r="AO379" s="147" t="str">
        <f t="shared" si="191"/>
        <v>0.719201855817383-0.581299205961059i</v>
      </c>
      <c r="AP379" s="147" t="str">
        <f t="shared" si="192"/>
        <v>0.0349530159203467-0.162960315585881i</v>
      </c>
      <c r="AQ379" s="147" t="str">
        <f t="shared" si="193"/>
        <v>0.965046984079653+0.162960315585881i</v>
      </c>
      <c r="AR379" s="147" t="str">
        <f t="shared" si="194"/>
        <v>0.839239847242715-0.141716198915794i</v>
      </c>
    </row>
    <row r="380" spans="7:44">
      <c r="G380" s="585">
        <v>32175</v>
      </c>
      <c r="H380" s="573">
        <f t="shared" si="186"/>
        <v>32.174999999999997</v>
      </c>
      <c r="I380" s="574">
        <f t="shared" si="166"/>
        <v>90.885341511857234</v>
      </c>
      <c r="J380" s="575">
        <f t="shared" si="167"/>
        <v>1.559793230347529</v>
      </c>
      <c r="K380" s="575">
        <f t="shared" si="168"/>
        <v>1.0009885476442371</v>
      </c>
      <c r="L380" s="576">
        <f t="shared" si="169"/>
        <v>4.4446236628847995E-2</v>
      </c>
      <c r="M380" s="575">
        <f t="shared" si="170"/>
        <v>1.0022736100077936</v>
      </c>
      <c r="N380" s="576">
        <f t="shared" si="171"/>
        <v>-6.7369289693474527E-2</v>
      </c>
      <c r="O380" s="574">
        <f t="shared" si="172"/>
        <v>1334265.8143818749</v>
      </c>
      <c r="P380" s="577">
        <f t="shared" si="173"/>
        <v>1.5707955773190507</v>
      </c>
      <c r="Q380" s="586">
        <f t="shared" si="195"/>
        <v>53.824678067713066</v>
      </c>
      <c r="R380" s="587">
        <f t="shared" si="196"/>
        <v>1.5522164193302801</v>
      </c>
      <c r="S380" s="574">
        <f t="shared" si="174"/>
        <v>1.0065872667637936</v>
      </c>
      <c r="T380" s="577">
        <f t="shared" si="175"/>
        <v>0.11446666585565059</v>
      </c>
      <c r="U380" s="578">
        <f t="shared" si="187"/>
        <v>0.78530657439206353</v>
      </c>
      <c r="V380" s="579">
        <f t="shared" si="188"/>
        <v>-0.85100230689934875</v>
      </c>
      <c r="W380" s="580">
        <f t="shared" si="176"/>
        <v>-19.465127546392882</v>
      </c>
      <c r="X380" s="581">
        <f t="shared" si="177"/>
        <v>-147.06476810354982</v>
      </c>
      <c r="Y380" s="584">
        <f t="shared" si="178"/>
        <v>32.935231896450176</v>
      </c>
      <c r="AA380" s="147">
        <f t="shared" si="179"/>
        <v>32175</v>
      </c>
      <c r="AB380" s="147">
        <f t="shared" si="180"/>
        <v>1035230625</v>
      </c>
      <c r="AD380" s="583">
        <f t="shared" si="181"/>
        <v>17.163203094895568</v>
      </c>
      <c r="AE380" s="584">
        <f t="shared" si="182"/>
        <v>-7.622964196836854</v>
      </c>
      <c r="AG380" s="583">
        <f t="shared" si="183"/>
        <v>-3.8026246890422275</v>
      </c>
      <c r="AH380" s="584">
        <f t="shared" si="184"/>
        <v>-41.924122712823767</v>
      </c>
      <c r="AJ380" s="147">
        <f t="shared" si="185"/>
        <v>0</v>
      </c>
      <c r="AK380" s="147">
        <f t="shared" si="197"/>
        <v>0</v>
      </c>
      <c r="AM380" s="147" t="str">
        <f t="shared" si="189"/>
        <v>0.797933729626343+0.979371850921436i</v>
      </c>
      <c r="AN380" s="147" t="str">
        <f t="shared" si="190"/>
        <v>1.36732907196759i</v>
      </c>
      <c r="AO380" s="147" t="str">
        <f t="shared" si="191"/>
        <v>0.716266384588838-0.583571099295149i</v>
      </c>
      <c r="AP380" s="147" t="str">
        <f t="shared" si="192"/>
        <v>0.0336777117289428-0.163228641820239i</v>
      </c>
      <c r="AQ380" s="147" t="str">
        <f t="shared" si="193"/>
        <v>0.966322288271057+0.163228641820239i</v>
      </c>
      <c r="AR380" s="147" t="str">
        <f t="shared" si="194"/>
        <v>0.838117170543996-0.141572567552891i</v>
      </c>
    </row>
    <row r="381" spans="7:44">
      <c r="G381" s="585">
        <v>32359</v>
      </c>
      <c r="H381" s="573">
        <f t="shared" si="186"/>
        <v>32.359000000000002</v>
      </c>
      <c r="I381" s="574">
        <f t="shared" si="166"/>
        <v>91.405027108268726</v>
      </c>
      <c r="J381" s="575">
        <f t="shared" si="167"/>
        <v>1.5598557912342672</v>
      </c>
      <c r="K381" s="575">
        <f t="shared" si="168"/>
        <v>1.0009998807761085</v>
      </c>
      <c r="L381" s="576">
        <f t="shared" si="169"/>
        <v>4.470007498222596E-2</v>
      </c>
      <c r="M381" s="575">
        <f t="shared" si="170"/>
        <v>1.0022996587499882</v>
      </c>
      <c r="N381" s="576">
        <f t="shared" si="171"/>
        <v>-6.7753381548718322E-2</v>
      </c>
      <c r="O381" s="574">
        <f t="shared" si="172"/>
        <v>1341896.1146101926</v>
      </c>
      <c r="P381" s="577">
        <f t="shared" si="173"/>
        <v>1.5707955815807262</v>
      </c>
      <c r="Q381" s="586">
        <f t="shared" si="195"/>
        <v>54.132380693167981</v>
      </c>
      <c r="R381" s="587">
        <f t="shared" si="196"/>
        <v>1.5523220444403421</v>
      </c>
      <c r="S381" s="574">
        <f t="shared" si="174"/>
        <v>1.0066625736909043</v>
      </c>
      <c r="T381" s="577">
        <f t="shared" si="175"/>
        <v>0.1151155177767805</v>
      </c>
      <c r="U381" s="578">
        <f t="shared" si="187"/>
        <v>0.78354078040905217</v>
      </c>
      <c r="V381" s="579">
        <f t="shared" si="188"/>
        <v>-0.85495477871793002</v>
      </c>
      <c r="W381" s="580">
        <f t="shared" si="176"/>
        <v>-19.534547603400355</v>
      </c>
      <c r="X381" s="581">
        <f t="shared" si="177"/>
        <v>-147.33340035617084</v>
      </c>
      <c r="Y381" s="584">
        <f t="shared" si="178"/>
        <v>32.666599643829159</v>
      </c>
      <c r="AA381" s="147">
        <f t="shared" si="179"/>
        <v>32359</v>
      </c>
      <c r="AB381" s="147">
        <f t="shared" si="180"/>
        <v>1047104881</v>
      </c>
      <c r="AD381" s="583">
        <f t="shared" si="181"/>
        <v>17.162536292536728</v>
      </c>
      <c r="AE381" s="584">
        <f t="shared" si="182"/>
        <v>-7.6540890446409771</v>
      </c>
      <c r="AG381" s="583">
        <f t="shared" si="183"/>
        <v>-3.8322728055402706</v>
      </c>
      <c r="AH381" s="584">
        <f t="shared" si="184"/>
        <v>-41.708710209424929</v>
      </c>
      <c r="AJ381" s="147">
        <f t="shared" si="185"/>
        <v>0</v>
      </c>
      <c r="AK381" s="147">
        <f t="shared" si="197"/>
        <v>0</v>
      </c>
      <c r="AM381" s="147" t="str">
        <f t="shared" si="189"/>
        <v>0.805597909589677+0.980921927190995i</v>
      </c>
      <c r="AN381" s="147" t="str">
        <f t="shared" si="190"/>
        <v>1.37514845189742i</v>
      </c>
      <c r="AO381" s="147" t="str">
        <f t="shared" si="191"/>
        <v>0.713320751543243-0.585826140063728i</v>
      </c>
      <c r="AP381" s="147" t="str">
        <f t="shared" si="192"/>
        <v>0.0324003484017205-0.163486987865166i</v>
      </c>
      <c r="AQ381" s="147" t="str">
        <f t="shared" si="193"/>
        <v>0.96759965159828+0.163486987865166i</v>
      </c>
      <c r="AR381" s="147" t="str">
        <f t="shared" si="194"/>
        <v>0.836998642756739-0.141420459097419i</v>
      </c>
    </row>
    <row r="382" spans="7:44">
      <c r="G382" s="585">
        <v>32547.5</v>
      </c>
      <c r="H382" s="573">
        <f t="shared" si="186"/>
        <v>32.547499999999999</v>
      </c>
      <c r="I382" s="574">
        <f t="shared" si="166"/>
        <v>91.937422773498866</v>
      </c>
      <c r="J382" s="575">
        <f t="shared" si="167"/>
        <v>1.5599191487216142</v>
      </c>
      <c r="K382" s="575">
        <f t="shared" si="168"/>
        <v>1.0010115579591623</v>
      </c>
      <c r="L382" s="576">
        <f t="shared" si="169"/>
        <v>4.4960115361247908E-2</v>
      </c>
      <c r="M382" s="575">
        <f t="shared" si="170"/>
        <v>1.0023264978801916</v>
      </c>
      <c r="N382" s="576">
        <f t="shared" si="171"/>
        <v>-6.8146846192945157E-2</v>
      </c>
      <c r="O382" s="574">
        <f t="shared" si="172"/>
        <v>1349713.0254419206</v>
      </c>
      <c r="P382" s="577">
        <f t="shared" si="173"/>
        <v>1.5707955858966605</v>
      </c>
      <c r="Q382" s="586">
        <f t="shared" si="195"/>
        <v>54.44760927367907</v>
      </c>
      <c r="R382" s="587">
        <f t="shared" si="196"/>
        <v>1.5524290147694078</v>
      </c>
      <c r="S382" s="574">
        <f t="shared" si="174"/>
        <v>1.0067401617849314</v>
      </c>
      <c r="T382" s="577">
        <f t="shared" si="175"/>
        <v>0.11578013740928468</v>
      </c>
      <c r="U382" s="578">
        <f t="shared" si="187"/>
        <v>0.78173255609512249</v>
      </c>
      <c r="V382" s="579">
        <f t="shared" si="188"/>
        <v>-0.85899304702778534</v>
      </c>
      <c r="W382" s="580">
        <f t="shared" si="176"/>
        <v>-19.60541323372453</v>
      </c>
      <c r="X382" s="581">
        <f t="shared" si="177"/>
        <v>-147.60800204990741</v>
      </c>
      <c r="Y382" s="584">
        <f t="shared" si="178"/>
        <v>32.391997950092588</v>
      </c>
      <c r="AA382" s="147">
        <f t="shared" si="179"/>
        <v>32547.5</v>
      </c>
      <c r="AB382" s="147">
        <f t="shared" si="180"/>
        <v>1059339756.25</v>
      </c>
      <c r="AD382" s="583">
        <f t="shared" si="181"/>
        <v>17.161849739750842</v>
      </c>
      <c r="AE382" s="584">
        <f t="shared" si="182"/>
        <v>-7.6860402434977413</v>
      </c>
      <c r="AG382" s="583">
        <f t="shared" si="183"/>
        <v>-3.8623156501228495</v>
      </c>
      <c r="AH382" s="584">
        <f t="shared" si="184"/>
        <v>-41.488609242383689</v>
      </c>
      <c r="AJ382" s="147">
        <f t="shared" si="185"/>
        <v>0</v>
      </c>
      <c r="AK382" s="147">
        <f t="shared" si="197"/>
        <v>0</v>
      </c>
      <c r="AM382" s="147" t="str">
        <f t="shared" si="189"/>
        <v>0.813461850577053+0.982447718105072i</v>
      </c>
      <c r="AN382" s="147" t="str">
        <f t="shared" si="190"/>
        <v>1.38315906666248i</v>
      </c>
      <c r="AO382" s="147" t="str">
        <f t="shared" si="191"/>
        <v>0.710292649475008-0.58811880005957i</v>
      </c>
      <c r="AP382" s="147" t="str">
        <f t="shared" si="192"/>
        <v>0.0310896915704912-0.163741286350845i</v>
      </c>
      <c r="AQ382" s="147" t="str">
        <f t="shared" si="193"/>
        <v>0.968910308429509+0.163741286350845i</v>
      </c>
      <c r="AR382" s="147" t="str">
        <f t="shared" si="194"/>
        <v>0.835857113479738-0.141255922014616i</v>
      </c>
    </row>
    <row r="383" spans="7:44">
      <c r="G383" s="585">
        <v>32736</v>
      </c>
      <c r="H383" s="573">
        <f t="shared" si="186"/>
        <v>32.735999999999997</v>
      </c>
      <c r="I383" s="574">
        <f t="shared" si="166"/>
        <v>92.469818803531908</v>
      </c>
      <c r="J383" s="575">
        <f t="shared" si="167"/>
        <v>1.5599817766463071</v>
      </c>
      <c r="K383" s="575">
        <f t="shared" si="168"/>
        <v>1.0010233028300357</v>
      </c>
      <c r="L383" s="576">
        <f t="shared" si="169"/>
        <v>4.5220149655816173E-2</v>
      </c>
      <c r="M383" s="575">
        <f t="shared" si="170"/>
        <v>1.0023534921766728</v>
      </c>
      <c r="N383" s="576">
        <f t="shared" si="171"/>
        <v>-6.8540289705354376E-2</v>
      </c>
      <c r="O383" s="574">
        <f t="shared" si="172"/>
        <v>1357529.9362736484</v>
      </c>
      <c r="P383" s="577">
        <f t="shared" si="173"/>
        <v>1.5707955901628907</v>
      </c>
      <c r="Q383" s="586">
        <f t="shared" si="195"/>
        <v>54.762838470042574</v>
      </c>
      <c r="R383" s="587">
        <f t="shared" si="196"/>
        <v>1.5525347536013854</v>
      </c>
      <c r="S383" s="574">
        <f t="shared" si="174"/>
        <v>1.00681819450682</v>
      </c>
      <c r="T383" s="577">
        <f t="shared" si="175"/>
        <v>0.1164446543135453</v>
      </c>
      <c r="U383" s="578">
        <f t="shared" si="187"/>
        <v>0.77992516952962943</v>
      </c>
      <c r="V383" s="579">
        <f t="shared" si="188"/>
        <v>-0.86302035911754882</v>
      </c>
      <c r="W383" s="580">
        <f t="shared" si="176"/>
        <v>-19.676026329886039</v>
      </c>
      <c r="X383" s="581">
        <f t="shared" si="177"/>
        <v>-147.8819980063042</v>
      </c>
      <c r="Y383" s="584">
        <f t="shared" si="178"/>
        <v>32.118001993695799</v>
      </c>
      <c r="AA383" s="147">
        <f t="shared" si="179"/>
        <v>32736</v>
      </c>
      <c r="AB383" s="147">
        <f t="shared" si="180"/>
        <v>1071645696</v>
      </c>
      <c r="AD383" s="583">
        <f t="shared" si="181"/>
        <v>17.161159697495428</v>
      </c>
      <c r="AE383" s="584">
        <f t="shared" si="182"/>
        <v>-7.7180561131975907</v>
      </c>
      <c r="AG383" s="583">
        <f t="shared" si="183"/>
        <v>-3.8920281841617514</v>
      </c>
      <c r="AH383" s="584">
        <f t="shared" si="184"/>
        <v>-41.269093357502399</v>
      </c>
      <c r="AJ383" s="147">
        <f t="shared" si="185"/>
        <v>0</v>
      </c>
      <c r="AK383" s="147">
        <f t="shared" si="197"/>
        <v>0</v>
      </c>
      <c r="AM383" s="147" t="str">
        <f t="shared" si="189"/>
        <v>0.821337761643937+0.983910465736391i</v>
      </c>
      <c r="AN383" s="147" t="str">
        <f t="shared" si="190"/>
        <v>1.39116968142754i</v>
      </c>
      <c r="AO383" s="147" t="str">
        <f t="shared" si="191"/>
        <v>0.707254103415162-0.590393661254267i</v>
      </c>
      <c r="AP383" s="147" t="str">
        <f t="shared" si="192"/>
        <v>0.0297770397260105-0.163985077622732i</v>
      </c>
      <c r="AQ383" s="147" t="str">
        <f t="shared" si="193"/>
        <v>0.970222960273989+0.163985077622732i</v>
      </c>
      <c r="AR383" s="147" t="str">
        <f t="shared" si="194"/>
        <v>0.834720041769023-0.141082654655058i</v>
      </c>
    </row>
    <row r="384" spans="7:44">
      <c r="G384" s="585">
        <v>32924.5</v>
      </c>
      <c r="H384" s="573">
        <f t="shared" si="186"/>
        <v>32.924500000000002</v>
      </c>
      <c r="I384" s="574">
        <f t="shared" si="166"/>
        <v>93.002215192102867</v>
      </c>
      <c r="J384" s="575">
        <f t="shared" si="167"/>
        <v>1.5600436875371166</v>
      </c>
      <c r="K384" s="575">
        <f t="shared" si="168"/>
        <v>1.0010351153863459</v>
      </c>
      <c r="L384" s="576">
        <f t="shared" si="169"/>
        <v>4.5480177830979629E-2</v>
      </c>
      <c r="M384" s="575">
        <f t="shared" si="170"/>
        <v>1.0023806416268959</v>
      </c>
      <c r="N384" s="576">
        <f t="shared" si="171"/>
        <v>-6.8933711965849798E-2</v>
      </c>
      <c r="O384" s="574">
        <f t="shared" si="172"/>
        <v>1365346.8471053764</v>
      </c>
      <c r="P384" s="577">
        <f t="shared" si="173"/>
        <v>1.5707955943802709</v>
      </c>
      <c r="Q384" s="586">
        <f t="shared" si="195"/>
        <v>55.078068271684359</v>
      </c>
      <c r="R384" s="587">
        <f t="shared" si="196"/>
        <v>1.5526392820786719</v>
      </c>
      <c r="S384" s="574">
        <f t="shared" si="174"/>
        <v>1.0068966717531966</v>
      </c>
      <c r="T384" s="577">
        <f t="shared" si="175"/>
        <v>0.11710906792663631</v>
      </c>
      <c r="U384" s="578">
        <f t="shared" si="187"/>
        <v>0.77811869382096832</v>
      </c>
      <c r="V384" s="579">
        <f t="shared" si="188"/>
        <v>-0.8670367580963827</v>
      </c>
      <c r="W384" s="580">
        <f t="shared" si="176"/>
        <v>-19.746389575025031</v>
      </c>
      <c r="X384" s="581">
        <f t="shared" si="177"/>
        <v>-148.15539016472704</v>
      </c>
      <c r="Y384" s="584">
        <f t="shared" si="178"/>
        <v>31.844609835272962</v>
      </c>
      <c r="AA384" s="147">
        <f t="shared" si="179"/>
        <v>32924.5</v>
      </c>
      <c r="AB384" s="147">
        <f t="shared" si="180"/>
        <v>1084022700.25</v>
      </c>
      <c r="AD384" s="583">
        <f t="shared" si="181"/>
        <v>17.160466160816682</v>
      </c>
      <c r="AE384" s="584">
        <f t="shared" si="182"/>
        <v>-7.7501354101660356</v>
      </c>
      <c r="AG384" s="583">
        <f t="shared" si="183"/>
        <v>-3.9214144165541329</v>
      </c>
      <c r="AH384" s="584">
        <f t="shared" si="184"/>
        <v>-41.050160797775206</v>
      </c>
      <c r="AJ384" s="147">
        <f t="shared" si="185"/>
        <v>0</v>
      </c>
      <c r="AK384" s="147">
        <f t="shared" si="197"/>
        <v>0</v>
      </c>
      <c r="AM384" s="147" t="str">
        <f t="shared" si="189"/>
        <v>0.829225137396222+0.985310076221014i</v>
      </c>
      <c r="AN384" s="147" t="str">
        <f t="shared" si="190"/>
        <v>1.3991802961926i</v>
      </c>
      <c r="AO384" s="147" t="str">
        <f t="shared" si="191"/>
        <v>0.7042052256612-0.592650668146686i</v>
      </c>
      <c r="AP384" s="147" t="str">
        <f t="shared" si="192"/>
        <v>0.0284624771006297-0.164218346036836i</v>
      </c>
      <c r="AQ384" s="147" t="str">
        <f t="shared" si="193"/>
        <v>0.97153752289937+0.164218346036836i</v>
      </c>
      <c r="AR384" s="147" t="str">
        <f t="shared" si="194"/>
        <v>0.833587477856669-0.140900741004955i</v>
      </c>
    </row>
    <row r="385" spans="7:44">
      <c r="G385" s="585">
        <v>33113</v>
      </c>
      <c r="H385" s="573">
        <f t="shared" si="186"/>
        <v>33.113</v>
      </c>
      <c r="I385" s="574">
        <f t="shared" si="166"/>
        <v>93.53461193308938</v>
      </c>
      <c r="J385" s="575">
        <f t="shared" si="167"/>
        <v>1.560104893637583</v>
      </c>
      <c r="K385" s="575">
        <f t="shared" si="168"/>
        <v>1.0010469956256971</v>
      </c>
      <c r="L385" s="576">
        <f t="shared" si="169"/>
        <v>4.5740199851792104E-2</v>
      </c>
      <c r="M385" s="575">
        <f t="shared" si="170"/>
        <v>1.002407946218254</v>
      </c>
      <c r="N385" s="576">
        <f t="shared" si="171"/>
        <v>-6.932711285437454E-2</v>
      </c>
      <c r="O385" s="574">
        <f t="shared" si="172"/>
        <v>1373163.7579371042</v>
      </c>
      <c r="P385" s="577">
        <f t="shared" si="173"/>
        <v>1.5707955985496351</v>
      </c>
      <c r="Q385" s="586">
        <f t="shared" si="195"/>
        <v>55.393298668270937</v>
      </c>
      <c r="R385" s="587">
        <f t="shared" si="196"/>
        <v>1.5527426208625059</v>
      </c>
      <c r="S385" s="574">
        <f t="shared" si="174"/>
        <v>1.0069755934201308</v>
      </c>
      <c r="T385" s="577">
        <f t="shared" si="175"/>
        <v>0.11777337768617142</v>
      </c>
      <c r="U385" s="578">
        <f t="shared" si="187"/>
        <v>0.77631320081465915</v>
      </c>
      <c r="V385" s="579">
        <f t="shared" si="188"/>
        <v>-0.87104228755011504</v>
      </c>
      <c r="W385" s="580">
        <f t="shared" si="176"/>
        <v>-19.816505602317726</v>
      </c>
      <c r="X385" s="581">
        <f t="shared" si="177"/>
        <v>-148.42818050311027</v>
      </c>
      <c r="Y385" s="584">
        <f t="shared" si="178"/>
        <v>31.571819496889731</v>
      </c>
      <c r="AA385" s="147">
        <f t="shared" si="179"/>
        <v>33113</v>
      </c>
      <c r="AB385" s="147">
        <f t="shared" si="180"/>
        <v>1096470769</v>
      </c>
      <c r="AD385" s="583">
        <f t="shared" si="181"/>
        <v>17.159769124961059</v>
      </c>
      <c r="AE385" s="584">
        <f t="shared" si="182"/>
        <v>-7.7822769184267413</v>
      </c>
      <c r="AG385" s="583">
        <f t="shared" si="183"/>
        <v>-3.9504782914971925</v>
      </c>
      <c r="AH385" s="584">
        <f t="shared" si="184"/>
        <v>-40.831809762544822</v>
      </c>
      <c r="AJ385" s="147">
        <f t="shared" si="185"/>
        <v>0</v>
      </c>
      <c r="AK385" s="147">
        <f t="shared" si="197"/>
        <v>0</v>
      </c>
      <c r="AM385" s="147" t="str">
        <f t="shared" si="189"/>
        <v>0.837123471704125+0.98664645974649i</v>
      </c>
      <c r="AN385" s="147" t="str">
        <f t="shared" si="190"/>
        <v>1.40719091095767i</v>
      </c>
      <c r="AO385" s="147" t="str">
        <f t="shared" si="191"/>
        <v>0.701146128832671-0.594889765976684i</v>
      </c>
      <c r="AP385" s="147" t="str">
        <f t="shared" si="192"/>
        <v>0.0271460880493125-0.164441076624415i</v>
      </c>
      <c r="AQ385" s="147" t="str">
        <f t="shared" si="193"/>
        <v>0.972853911950687+0.164441076624415i</v>
      </c>
      <c r="AR385" s="147" t="str">
        <f t="shared" si="194"/>
        <v>0.832459470645582-0.140710264837881i</v>
      </c>
    </row>
    <row r="386" spans="7:44">
      <c r="G386" s="585">
        <v>33305.75</v>
      </c>
      <c r="H386" s="573">
        <f t="shared" si="186"/>
        <v>33.305750000000003</v>
      </c>
      <c r="I386" s="574">
        <f t="shared" si="166"/>
        <v>94.079012672314974</v>
      </c>
      <c r="J386" s="575">
        <f t="shared" si="167"/>
        <v>1.5601667633767395</v>
      </c>
      <c r="K386" s="575">
        <f t="shared" si="168"/>
        <v>1.001059213708652</v>
      </c>
      <c r="L386" s="576">
        <f t="shared" si="169"/>
        <v>4.6006078037604176E-2</v>
      </c>
      <c r="M386" s="575">
        <f t="shared" si="170"/>
        <v>1.0024360268445471</v>
      </c>
      <c r="N386" s="576">
        <f t="shared" si="171"/>
        <v>-6.972936129897131E-2</v>
      </c>
      <c r="O386" s="574">
        <f t="shared" si="172"/>
        <v>1381156.9121164971</v>
      </c>
      <c r="P386" s="577">
        <f t="shared" si="173"/>
        <v>1.5707956027642009</v>
      </c>
      <c r="Q386" s="586">
        <f t="shared" si="195"/>
        <v>55.715636986187384</v>
      </c>
      <c r="R386" s="587">
        <f t="shared" si="196"/>
        <v>1.5528470803710581</v>
      </c>
      <c r="S386" s="574">
        <f t="shared" si="174"/>
        <v>1.0070567539428368</v>
      </c>
      <c r="T386" s="577">
        <f t="shared" si="175"/>
        <v>0.11845255727436371</v>
      </c>
      <c r="U386" s="578">
        <f t="shared" si="187"/>
        <v>0.77446809013221674</v>
      </c>
      <c r="V386" s="579">
        <f t="shared" si="188"/>
        <v>-0.8751269333542181</v>
      </c>
      <c r="W386" s="580">
        <f t="shared" si="176"/>
        <v>-19.887949545820565</v>
      </c>
      <c r="X386" s="581">
        <f t="shared" si="177"/>
        <v>-148.70650106046358</v>
      </c>
      <c r="Y386" s="584">
        <f t="shared" si="178"/>
        <v>31.29349893953642</v>
      </c>
      <c r="AA386" s="147">
        <f t="shared" si="179"/>
        <v>33305.75</v>
      </c>
      <c r="AB386" s="147">
        <f t="shared" si="180"/>
        <v>1109272983.0625</v>
      </c>
      <c r="AD386" s="583">
        <f t="shared" si="181"/>
        <v>17.159052750286314</v>
      </c>
      <c r="AE386" s="584">
        <f t="shared" si="182"/>
        <v>-7.8152061949060085</v>
      </c>
      <c r="AG386" s="583">
        <f t="shared" si="183"/>
        <v>-3.9798681541931114</v>
      </c>
      <c r="AH386" s="584">
        <f t="shared" si="184"/>
        <v>-40.609135112122168</v>
      </c>
      <c r="AJ386" s="147">
        <f t="shared" si="185"/>
        <v>0</v>
      </c>
      <c r="AK386" s="147">
        <f t="shared" si="197"/>
        <v>0</v>
      </c>
      <c r="AM386" s="147" t="str">
        <f t="shared" si="189"/>
        <v>0.845210689077155+0.987947503273342i</v>
      </c>
      <c r="AN386" s="147" t="str">
        <f t="shared" si="190"/>
        <v>1.41538213640046i</v>
      </c>
      <c r="AO386" s="147" t="str">
        <f t="shared" si="191"/>
        <v>0.698007610712008-0.597160771879359i</v>
      </c>
      <c r="AP386" s="147" t="str">
        <f t="shared" si="192"/>
        <v>0.0257982184871408-0.164657917212224i</v>
      </c>
      <c r="AQ386" s="147" t="str">
        <f t="shared" si="193"/>
        <v>0.974201781512859+0.164657917212224i</v>
      </c>
      <c r="AR386" s="147" t="str">
        <f t="shared" si="194"/>
        <v>0.831310792452001-0.140506726880157i</v>
      </c>
    </row>
    <row r="387" spans="7:44">
      <c r="G387" s="585">
        <v>33498.5</v>
      </c>
      <c r="H387" s="573">
        <f t="shared" si="186"/>
        <v>33.4985</v>
      </c>
      <c r="I387" s="574">
        <f t="shared" si="166"/>
        <v>94.623413767518485</v>
      </c>
      <c r="J387" s="575">
        <f t="shared" si="167"/>
        <v>1.5602279212002834</v>
      </c>
      <c r="K387" s="575">
        <f t="shared" si="168"/>
        <v>1.0010715025559633</v>
      </c>
      <c r="L387" s="576">
        <f t="shared" si="169"/>
        <v>4.6271949714532225E-2</v>
      </c>
      <c r="M387" s="575">
        <f t="shared" si="170"/>
        <v>1.0024642696597075</v>
      </c>
      <c r="N387" s="576">
        <f t="shared" si="171"/>
        <v>-7.0131587143243426E-2</v>
      </c>
      <c r="O387" s="574">
        <f t="shared" si="172"/>
        <v>1389150.0662958901</v>
      </c>
      <c r="P387" s="577">
        <f t="shared" si="173"/>
        <v>1.5707956069302655</v>
      </c>
      <c r="Q387" s="586">
        <f t="shared" si="195"/>
        <v>56.037975905066986</v>
      </c>
      <c r="R387" s="587">
        <f t="shared" si="196"/>
        <v>1.5529503381469196</v>
      </c>
      <c r="S387" s="574">
        <f t="shared" si="174"/>
        <v>1.0071383789306347</v>
      </c>
      <c r="T387" s="577">
        <f t="shared" si="175"/>
        <v>0.11913162708557273</v>
      </c>
      <c r="U387" s="578">
        <f t="shared" si="187"/>
        <v>0.77262415490290803</v>
      </c>
      <c r="V387" s="579">
        <f t="shared" si="188"/>
        <v>-0.87920030761525469</v>
      </c>
      <c r="W387" s="580">
        <f t="shared" si="176"/>
        <v>-19.959140412245983</v>
      </c>
      <c r="X387" s="581">
        <f t="shared" si="177"/>
        <v>-148.98419665591277</v>
      </c>
      <c r="Y387" s="584">
        <f t="shared" si="178"/>
        <v>31.015803344087232</v>
      </c>
      <c r="AA387" s="147">
        <f t="shared" si="179"/>
        <v>33498.5</v>
      </c>
      <c r="AB387" s="147">
        <f t="shared" si="180"/>
        <v>1122149502.25</v>
      </c>
      <c r="AD387" s="583">
        <f t="shared" si="181"/>
        <v>17.15833270742867</v>
      </c>
      <c r="AE387" s="584">
        <f t="shared" si="182"/>
        <v>-7.8481980330598695</v>
      </c>
      <c r="AG387" s="583">
        <f t="shared" si="183"/>
        <v>-4.0089290992306079</v>
      </c>
      <c r="AH387" s="584">
        <f t="shared" si="184"/>
        <v>-40.387064561814903</v>
      </c>
      <c r="AJ387" s="147">
        <f t="shared" si="185"/>
        <v>0</v>
      </c>
      <c r="AK387" s="147">
        <f t="shared" si="197"/>
        <v>0</v>
      </c>
      <c r="AM387" s="147" t="str">
        <f t="shared" si="189"/>
        <v>0.853308292162693+0.989182259672996i</v>
      </c>
      <c r="AN387" s="147" t="str">
        <f t="shared" si="190"/>
        <v>1.42357336184325i</v>
      </c>
      <c r="AO387" s="147" t="str">
        <f t="shared" si="191"/>
        <v>0.69485864668906-0.599412938619352i</v>
      </c>
      <c r="AP387" s="147" t="str">
        <f t="shared" si="192"/>
        <v>0.0244486179728845-0.164863709945499i</v>
      </c>
      <c r="AQ387" s="147" t="str">
        <f t="shared" si="193"/>
        <v>0.975551382027116+0.164863709945499i</v>
      </c>
      <c r="AR387" s="147" t="str">
        <f t="shared" si="194"/>
        <v>0.830166977992753-0.14029441235759i</v>
      </c>
    </row>
    <row r="388" spans="7:44">
      <c r="G388" s="585">
        <v>33691.25</v>
      </c>
      <c r="H388" s="573">
        <f t="shared" si="186"/>
        <v>33.691249999999997</v>
      </c>
      <c r="I388" s="574">
        <f t="shared" si="166"/>
        <v>95.167815212590867</v>
      </c>
      <c r="J388" s="575">
        <f t="shared" si="167"/>
        <v>1.5602883793251576</v>
      </c>
      <c r="K388" s="575">
        <f t="shared" si="168"/>
        <v>1.0010838621650253</v>
      </c>
      <c r="L388" s="576">
        <f t="shared" si="169"/>
        <v>4.6537814845228898E-2</v>
      </c>
      <c r="M388" s="575">
        <f t="shared" si="170"/>
        <v>1.0024926746500276</v>
      </c>
      <c r="N388" s="576">
        <f t="shared" si="171"/>
        <v>-7.053379025895784E-2</v>
      </c>
      <c r="O388" s="574">
        <f t="shared" si="172"/>
        <v>1397143.220475283</v>
      </c>
      <c r="P388" s="577">
        <f t="shared" si="173"/>
        <v>1.5707956110486614</v>
      </c>
      <c r="Q388" s="586">
        <f t="shared" si="195"/>
        <v>56.360315414598567</v>
      </c>
      <c r="R388" s="587">
        <f t="shared" si="196"/>
        <v>1.553052414806948</v>
      </c>
      <c r="S388" s="574">
        <f t="shared" si="174"/>
        <v>1.0072204682706041</v>
      </c>
      <c r="T388" s="577">
        <f t="shared" si="175"/>
        <v>0.11981058652027705</v>
      </c>
      <c r="U388" s="578">
        <f t="shared" si="187"/>
        <v>0.77078146791073232</v>
      </c>
      <c r="V388" s="579">
        <f t="shared" si="188"/>
        <v>-0.88326245839787643</v>
      </c>
      <c r="W388" s="580">
        <f t="shared" si="176"/>
        <v>-20.030080863127591</v>
      </c>
      <c r="X388" s="581">
        <f t="shared" si="177"/>
        <v>-149.26126952257019</v>
      </c>
      <c r="Y388" s="584">
        <f t="shared" si="178"/>
        <v>30.738730477429812</v>
      </c>
      <c r="AA388" s="147">
        <f t="shared" si="179"/>
        <v>33691.25</v>
      </c>
      <c r="AB388" s="147">
        <f t="shared" si="180"/>
        <v>1135100326.5625</v>
      </c>
      <c r="AD388" s="583">
        <f t="shared" si="181"/>
        <v>17.157608991914017</v>
      </c>
      <c r="AE388" s="584">
        <f t="shared" si="182"/>
        <v>-7.8812512173270663</v>
      </c>
      <c r="AG388" s="583">
        <f t="shared" si="183"/>
        <v>-4.0376651422383834</v>
      </c>
      <c r="AH388" s="584">
        <f t="shared" si="184"/>
        <v>-40.165596052493257</v>
      </c>
      <c r="AJ388" s="147">
        <f t="shared" si="185"/>
        <v>0</v>
      </c>
      <c r="AK388" s="147">
        <f t="shared" si="197"/>
        <v>0</v>
      </c>
      <c r="AM388" s="147" t="str">
        <f t="shared" si="189"/>
        <v>0.861415737645589+0.990350646098484i</v>
      </c>
      <c r="AN388" s="147" t="str">
        <f t="shared" si="190"/>
        <v>1.43176458728604i</v>
      </c>
      <c r="AO388" s="147" t="str">
        <f t="shared" si="191"/>
        <v>0.691699358185502-0.601646210064765i</v>
      </c>
      <c r="AP388" s="147" t="str">
        <f t="shared" si="192"/>
        <v>0.0230973770590685-0.165058441016414i</v>
      </c>
      <c r="AQ388" s="147" t="str">
        <f t="shared" si="193"/>
        <v>0.976902622940932+0.165058441016414i</v>
      </c>
      <c r="AR388" s="147" t="str">
        <f t="shared" si="194"/>
        <v>0.829028075359179-0.140073410045392i</v>
      </c>
    </row>
    <row r="389" spans="7:44">
      <c r="G389" s="585">
        <v>33884</v>
      </c>
      <c r="H389" s="573">
        <f t="shared" si="186"/>
        <v>33.884</v>
      </c>
      <c r="I389" s="574">
        <f t="shared" si="166"/>
        <v>95.712217001562067</v>
      </c>
      <c r="J389" s="575">
        <f t="shared" si="167"/>
        <v>1.5603481496903702</v>
      </c>
      <c r="K389" s="575">
        <f t="shared" si="168"/>
        <v>1.0010962925332167</v>
      </c>
      <c r="L389" s="576">
        <f t="shared" si="169"/>
        <v>4.6803673392352398E-2</v>
      </c>
      <c r="M389" s="575">
        <f t="shared" si="170"/>
        <v>1.0025212418017222</v>
      </c>
      <c r="N389" s="576">
        <f t="shared" si="171"/>
        <v>-7.0935970517925356E-2</v>
      </c>
      <c r="O389" s="574">
        <f t="shared" si="172"/>
        <v>1405136.3746546758</v>
      </c>
      <c r="P389" s="577">
        <f t="shared" si="173"/>
        <v>1.5707956151202023</v>
      </c>
      <c r="Q389" s="586">
        <f t="shared" si="195"/>
        <v>56.682655504705451</v>
      </c>
      <c r="R389" s="587">
        <f t="shared" si="196"/>
        <v>1.553153330499129</v>
      </c>
      <c r="S389" s="574">
        <f t="shared" si="174"/>
        <v>1.0073030218492187</v>
      </c>
      <c r="T389" s="577">
        <f t="shared" si="175"/>
        <v>0.12048943497955722</v>
      </c>
      <c r="U389" s="578">
        <f t="shared" si="187"/>
        <v>0.76894010060335805</v>
      </c>
      <c r="V389" s="579">
        <f t="shared" si="188"/>
        <v>-0.88731343423286202</v>
      </c>
      <c r="W389" s="580">
        <f t="shared" si="176"/>
        <v>-20.100773510823565</v>
      </c>
      <c r="X389" s="581">
        <f t="shared" si="177"/>
        <v>-149.53772193123075</v>
      </c>
      <c r="Y389" s="584">
        <f t="shared" si="178"/>
        <v>30.462278068769251</v>
      </c>
      <c r="AA389" s="147">
        <f t="shared" si="179"/>
        <v>33884</v>
      </c>
      <c r="AB389" s="147">
        <f t="shared" si="180"/>
        <v>1148125456</v>
      </c>
      <c r="AD389" s="583">
        <f t="shared" si="181"/>
        <v>17.156881599460181</v>
      </c>
      <c r="AE389" s="584">
        <f t="shared" si="182"/>
        <v>-7.9143645590441247</v>
      </c>
      <c r="AG389" s="583">
        <f t="shared" si="183"/>
        <v>-4.0660802336927624</v>
      </c>
      <c r="AH389" s="584">
        <f t="shared" si="184"/>
        <v>-39.944727482398008</v>
      </c>
      <c r="AJ389" s="147">
        <f t="shared" si="185"/>
        <v>0</v>
      </c>
      <c r="AK389" s="147">
        <f t="shared" si="197"/>
        <v>0</v>
      </c>
      <c r="AM389" s="147" t="str">
        <f t="shared" si="189"/>
        <v>0.869532481550311+0.991452584155985i</v>
      </c>
      <c r="AN389" s="147" t="str">
        <f t="shared" si="190"/>
        <v>1.43995581272883i</v>
      </c>
      <c r="AO389" s="147" t="str">
        <f t="shared" si="191"/>
        <v>0.688529866952725-0.603860530902319i</v>
      </c>
      <c r="AP389" s="147" t="str">
        <f t="shared" si="192"/>
        <v>0.0217445864082815-0.165242097359331i</v>
      </c>
      <c r="AQ389" s="147" t="str">
        <f t="shared" si="193"/>
        <v>0.978255413591719+0.165242097359331i</v>
      </c>
      <c r="AR389" s="147" t="str">
        <f t="shared" si="194"/>
        <v>0.827894131268553-0.139843808418108i</v>
      </c>
    </row>
    <row r="390" spans="7:44">
      <c r="G390" s="585">
        <v>34081.5</v>
      </c>
      <c r="H390" s="573">
        <f t="shared" si="186"/>
        <v>34.081499999999998</v>
      </c>
      <c r="I390" s="574">
        <f t="shared" si="166"/>
        <v>96.270035008839301</v>
      </c>
      <c r="J390" s="575">
        <f t="shared" si="167"/>
        <v>1.5604086918058644</v>
      </c>
      <c r="K390" s="575">
        <f t="shared" si="168"/>
        <v>1.0011091026204224</v>
      </c>
      <c r="L390" s="576">
        <f t="shared" si="169"/>
        <v>4.7076076708844242E-2</v>
      </c>
      <c r="M390" s="575">
        <f t="shared" si="170"/>
        <v>1.0025506811332969</v>
      </c>
      <c r="N390" s="576">
        <f t="shared" si="171"/>
        <v>-7.1348037991259508E-2</v>
      </c>
      <c r="O390" s="574">
        <f t="shared" si="172"/>
        <v>1413326.5066932237</v>
      </c>
      <c r="P390" s="577">
        <f t="shared" si="173"/>
        <v>1.5707956192443093</v>
      </c>
      <c r="Q390" s="586">
        <f t="shared" si="195"/>
        <v>57.012939716833039</v>
      </c>
      <c r="R390" s="587">
        <f t="shared" si="196"/>
        <v>1.553255549444712</v>
      </c>
      <c r="S390" s="574">
        <f t="shared" si="174"/>
        <v>1.0073880912429405</v>
      </c>
      <c r="T390" s="577">
        <f t="shared" si="175"/>
        <v>0.12118489678186462</v>
      </c>
      <c r="U390" s="578">
        <f t="shared" si="187"/>
        <v>0.76705479808446975</v>
      </c>
      <c r="V390" s="579">
        <f t="shared" si="188"/>
        <v>-0.89145269936979277</v>
      </c>
      <c r="W390" s="580">
        <f t="shared" si="176"/>
        <v>-20.172953903195673</v>
      </c>
      <c r="X390" s="581">
        <f t="shared" si="177"/>
        <v>-149.82034587683293</v>
      </c>
      <c r="Y390" s="584">
        <f t="shared" si="178"/>
        <v>30.179654123167069</v>
      </c>
      <c r="AA390" s="147">
        <f t="shared" si="179"/>
        <v>34081.5</v>
      </c>
      <c r="AB390" s="147">
        <f t="shared" si="180"/>
        <v>1161548642.25</v>
      </c>
      <c r="AD390" s="583">
        <f t="shared" si="181"/>
        <v>17.156132463384623</v>
      </c>
      <c r="AE390" s="584">
        <f t="shared" si="182"/>
        <v>-7.9483551072934695</v>
      </c>
      <c r="AG390" s="583">
        <f t="shared" si="183"/>
        <v>-4.0948667185752283</v>
      </c>
      <c r="AH390" s="584">
        <f t="shared" si="184"/>
        <v>-39.719036033945272</v>
      </c>
      <c r="AJ390" s="147">
        <f t="shared" si="185"/>
        <v>0</v>
      </c>
      <c r="AK390" s="147">
        <f t="shared" si="197"/>
        <v>0</v>
      </c>
      <c r="AM390" s="147" t="str">
        <f t="shared" si="189"/>
        <v>0.877858324396595+0.992512675526511i</v>
      </c>
      <c r="AN390" s="147" t="str">
        <f t="shared" si="190"/>
        <v>1.44834889716437i</v>
      </c>
      <c r="AO390" s="147" t="str">
        <f t="shared" si="191"/>
        <v>0.685271813628393-0.60610970610417i</v>
      </c>
      <c r="AP390" s="147" t="str">
        <f t="shared" si="192"/>
        <v>0.0203569459339008-0.165418779254419i</v>
      </c>
      <c r="AQ390" s="147" t="str">
        <f t="shared" si="193"/>
        <v>0.979643054066099+0.165418779254419i</v>
      </c>
      <c r="AR390" s="147" t="str">
        <f t="shared" si="194"/>
        <v>0.826737433803233-0.139599721037204i</v>
      </c>
    </row>
    <row r="391" spans="7:44">
      <c r="G391" s="585">
        <v>34279</v>
      </c>
      <c r="H391" s="573">
        <f t="shared" si="186"/>
        <v>34.279000000000003</v>
      </c>
      <c r="I391" s="574">
        <f t="shared" si="166"/>
        <v>96.827853364914034</v>
      </c>
      <c r="J391" s="575">
        <f t="shared" si="167"/>
        <v>1.5604685363639588</v>
      </c>
      <c r="K391" s="575">
        <f t="shared" si="168"/>
        <v>1.0011219869915899</v>
      </c>
      <c r="L391" s="576">
        <f t="shared" si="169"/>
        <v>4.7348473033924511E-2</v>
      </c>
      <c r="M391" s="575">
        <f t="shared" si="170"/>
        <v>1.0025802906875647</v>
      </c>
      <c r="N391" s="576">
        <f t="shared" si="171"/>
        <v>-7.1760081195089476E-2</v>
      </c>
      <c r="O391" s="574">
        <f t="shared" si="172"/>
        <v>1421516.6387317718</v>
      </c>
      <c r="P391" s="577">
        <f t="shared" si="173"/>
        <v>1.5707956233208937</v>
      </c>
      <c r="Q391" s="586">
        <f t="shared" si="195"/>
        <v>57.3432245178101</v>
      </c>
      <c r="R391" s="587">
        <f t="shared" si="196"/>
        <v>1.5533565908724836</v>
      </c>
      <c r="S391" s="574">
        <f t="shared" si="174"/>
        <v>1.0074736477947364</v>
      </c>
      <c r="T391" s="577">
        <f t="shared" si="175"/>
        <v>0.12188024080059823</v>
      </c>
      <c r="U391" s="578">
        <f t="shared" si="187"/>
        <v>0.76517102871665044</v>
      </c>
      <c r="V391" s="579">
        <f t="shared" si="188"/>
        <v>-0.89558033659964464</v>
      </c>
      <c r="W391" s="580">
        <f t="shared" si="176"/>
        <v>-20.244879528675565</v>
      </c>
      <c r="X391" s="581">
        <f t="shared" si="177"/>
        <v>-150.10232335095381</v>
      </c>
      <c r="Y391" s="584">
        <f t="shared" si="178"/>
        <v>29.89767664904619</v>
      </c>
      <c r="AA391" s="147">
        <f t="shared" si="179"/>
        <v>34279</v>
      </c>
      <c r="AB391" s="147">
        <f t="shared" si="180"/>
        <v>1175049841</v>
      </c>
      <c r="AD391" s="583">
        <f t="shared" si="181"/>
        <v>17.155379458401953</v>
      </c>
      <c r="AE391" s="584">
        <f t="shared" si="182"/>
        <v>-7.9824063711192883</v>
      </c>
      <c r="AG391" s="583">
        <f t="shared" si="183"/>
        <v>-4.1233244316740398</v>
      </c>
      <c r="AH391" s="584">
        <f t="shared" si="184"/>
        <v>-39.493969858436678</v>
      </c>
      <c r="AJ391" s="147">
        <f t="shared" si="185"/>
        <v>0</v>
      </c>
      <c r="AK391" s="147">
        <f t="shared" si="197"/>
        <v>0</v>
      </c>
      <c r="AM391" s="147" t="str">
        <f t="shared" si="189"/>
        <v>0.886192771324241+0.99350285087721i</v>
      </c>
      <c r="AN391" s="147" t="str">
        <f t="shared" si="190"/>
        <v>1.45674198159991i</v>
      </c>
      <c r="AO391" s="147" t="str">
        <f t="shared" si="191"/>
        <v>0.68200330835943-0.608338870244512i</v>
      </c>
      <c r="AP391" s="147" t="str">
        <f t="shared" si="192"/>
        <v>0.0189678714459598-0.165583808479535i</v>
      </c>
      <c r="AQ391" s="147" t="str">
        <f t="shared" si="193"/>
        <v>0.98103212855404+0.165583808479535i</v>
      </c>
      <c r="AR391" s="147" t="str">
        <f t="shared" si="194"/>
        <v>0.82558603725063-0.139346792318593i</v>
      </c>
    </row>
    <row r="392" spans="7:44">
      <c r="G392" s="585">
        <v>34476.5</v>
      </c>
      <c r="H392" s="573">
        <f t="shared" si="186"/>
        <v>34.476500000000001</v>
      </c>
      <c r="I392" s="574">
        <f t="shared" si="166"/>
        <v>97.38567206379264</v>
      </c>
      <c r="J392" s="575">
        <f t="shared" si="167"/>
        <v>1.5605276953509089</v>
      </c>
      <c r="K392" s="575">
        <f t="shared" si="168"/>
        <v>1.0011349456438514</v>
      </c>
      <c r="L392" s="576">
        <f t="shared" si="169"/>
        <v>4.7620862327440443E-2</v>
      </c>
      <c r="M392" s="575">
        <f t="shared" si="170"/>
        <v>1.0026100704494443</v>
      </c>
      <c r="N392" s="576">
        <f t="shared" si="171"/>
        <v>-7.217209999165862E-2</v>
      </c>
      <c r="O392" s="574">
        <f t="shared" si="172"/>
        <v>1429706.7707703197</v>
      </c>
      <c r="P392" s="577">
        <f t="shared" si="173"/>
        <v>1.5707956273507726</v>
      </c>
      <c r="Q392" s="586">
        <f t="shared" si="195"/>
        <v>57.673509897519992</v>
      </c>
      <c r="R392" s="587">
        <f t="shared" si="196"/>
        <v>1.5534564750106339</v>
      </c>
      <c r="S392" s="574">
        <f t="shared" si="174"/>
        <v>1.0075596913805058</v>
      </c>
      <c r="T392" s="577">
        <f t="shared" si="175"/>
        <v>0.12257546639344648</v>
      </c>
      <c r="U392" s="578">
        <f t="shared" si="187"/>
        <v>0.76328886507204174</v>
      </c>
      <c r="V392" s="579">
        <f t="shared" si="188"/>
        <v>-0.89969639956543745</v>
      </c>
      <c r="W392" s="580">
        <f t="shared" si="176"/>
        <v>-20.316553045149824</v>
      </c>
      <c r="X392" s="581">
        <f t="shared" si="177"/>
        <v>-150.38365691253668</v>
      </c>
      <c r="Y392" s="584">
        <f t="shared" si="178"/>
        <v>29.616343087463321</v>
      </c>
      <c r="AA392" s="147">
        <f t="shared" si="179"/>
        <v>34476.5</v>
      </c>
      <c r="AB392" s="147">
        <f t="shared" si="180"/>
        <v>1188629052.25</v>
      </c>
      <c r="AD392" s="583">
        <f t="shared" si="181"/>
        <v>17.154622580493005</v>
      </c>
      <c r="AE392" s="584">
        <f t="shared" si="182"/>
        <v>-8.0165171547766771</v>
      </c>
      <c r="AG392" s="583">
        <f t="shared" si="183"/>
        <v>-4.1514574184663156</v>
      </c>
      <c r="AH392" s="584">
        <f t="shared" si="184"/>
        <v>-39.269526563523158</v>
      </c>
      <c r="AJ392" s="147">
        <f t="shared" si="185"/>
        <v>0</v>
      </c>
      <c r="AK392" s="147">
        <f t="shared" si="197"/>
        <v>0</v>
      </c>
      <c r="AM392" s="147" t="str">
        <f t="shared" si="189"/>
        <v>0.89453523522603+0.994423040456712i</v>
      </c>
      <c r="AN392" s="147" t="str">
        <f t="shared" si="190"/>
        <v>1.46513506603545i</v>
      </c>
      <c r="AO392" s="147" t="str">
        <f t="shared" si="191"/>
        <v>0.678724483161507-0.610547966506991i</v>
      </c>
      <c r="AP392" s="147" t="str">
        <f t="shared" si="192"/>
        <v>0.0175774607956617-0.165737173409452i</v>
      </c>
      <c r="AQ392" s="147" t="str">
        <f t="shared" si="193"/>
        <v>0.982422539204338+0.165737173409452i</v>
      </c>
      <c r="AR392" s="147" t="str">
        <f t="shared" si="194"/>
        <v>0.824439987510718-0.139085116355754i</v>
      </c>
    </row>
    <row r="393" spans="7:44">
      <c r="G393" s="585">
        <v>34674</v>
      </c>
      <c r="H393" s="573">
        <f t="shared" si="186"/>
        <v>34.673999999999999</v>
      </c>
      <c r="I393" s="574">
        <f t="shared" si="166"/>
        <v>97.943491099617972</v>
      </c>
      <c r="J393" s="575">
        <f t="shared" si="167"/>
        <v>1.5605861804799279</v>
      </c>
      <c r="K393" s="575">
        <f t="shared" si="168"/>
        <v>1.0011479785743223</v>
      </c>
      <c r="L393" s="576">
        <f t="shared" si="169"/>
        <v>4.7893244549245512E-2</v>
      </c>
      <c r="M393" s="575">
        <f t="shared" si="170"/>
        <v>1.0026400204037695</v>
      </c>
      <c r="N393" s="576">
        <f t="shared" si="171"/>
        <v>-7.2584094243259817E-2</v>
      </c>
      <c r="O393" s="574">
        <f t="shared" si="172"/>
        <v>1437896.9028088679</v>
      </c>
      <c r="P393" s="577">
        <f t="shared" si="173"/>
        <v>1.5707956313347435</v>
      </c>
      <c r="Q393" s="586">
        <f t="shared" si="195"/>
        <v>58.003795846076443</v>
      </c>
      <c r="R393" s="587">
        <f t="shared" si="196"/>
        <v>1.5535552216267126</v>
      </c>
      <c r="S393" s="574">
        <f t="shared" si="174"/>
        <v>1.0076462218754847</v>
      </c>
      <c r="T393" s="577">
        <f t="shared" si="175"/>
        <v>0.1232705729187745</v>
      </c>
      <c r="U393" s="578">
        <f t="shared" si="187"/>
        <v>0.76140837830230579</v>
      </c>
      <c r="V393" s="579">
        <f t="shared" si="188"/>
        <v>-0.90380094236546993</v>
      </c>
      <c r="W393" s="580">
        <f t="shared" si="176"/>
        <v>-20.387977061744941</v>
      </c>
      <c r="X393" s="581">
        <f t="shared" si="177"/>
        <v>-150.66434915739924</v>
      </c>
      <c r="Y393" s="584">
        <f t="shared" si="178"/>
        <v>29.335650842600757</v>
      </c>
      <c r="AA393" s="147">
        <f t="shared" si="179"/>
        <v>34674</v>
      </c>
      <c r="AB393" s="147">
        <f t="shared" si="180"/>
        <v>1202286276</v>
      </c>
      <c r="AD393" s="583">
        <f t="shared" si="181"/>
        <v>17.153861825824247</v>
      </c>
      <c r="AE393" s="584">
        <f t="shared" si="182"/>
        <v>-8.0506862889512316</v>
      </c>
      <c r="AG393" s="583">
        <f t="shared" si="183"/>
        <v>-4.1792696582614806</v>
      </c>
      <c r="AH393" s="584">
        <f t="shared" si="184"/>
        <v>-39.045703715128376</v>
      </c>
      <c r="AJ393" s="147">
        <f t="shared" si="185"/>
        <v>0</v>
      </c>
      <c r="AK393" s="147">
        <f t="shared" si="197"/>
        <v>0</v>
      </c>
      <c r="AM393" s="147" t="str">
        <f t="shared" si="189"/>
        <v>0.90288512843001+0.995273179443686i</v>
      </c>
      <c r="AN393" s="147" t="str">
        <f t="shared" si="190"/>
        <v>1.473528150471i</v>
      </c>
      <c r="AO393" s="147" t="str">
        <f t="shared" si="191"/>
        <v>0.675435470388235-0.61273693898648i</v>
      </c>
      <c r="AP393" s="147" t="str">
        <f t="shared" si="192"/>
        <v>0.0161858119283316-0.165878863240614i</v>
      </c>
      <c r="AQ393" s="147" t="str">
        <f t="shared" si="193"/>
        <v>0.983814188071668+0.165878863240614i</v>
      </c>
      <c r="AR393" s="147" t="str">
        <f t="shared" si="194"/>
        <v>0.823299329058243-0.138814786843665i</v>
      </c>
    </row>
    <row r="394" spans="7:44">
      <c r="G394" s="585">
        <v>34875.75</v>
      </c>
      <c r="H394" s="573">
        <f t="shared" si="186"/>
        <v>34.875749999999996</v>
      </c>
      <c r="I394" s="574">
        <f t="shared" si="166"/>
        <v>98.513314178162872</v>
      </c>
      <c r="J394" s="575">
        <f t="shared" si="167"/>
        <v>1.5606452402880433</v>
      </c>
      <c r="K394" s="575">
        <f t="shared" si="168"/>
        <v>1.0011613686502372</v>
      </c>
      <c r="L394" s="576">
        <f t="shared" si="169"/>
        <v>4.817148081727899E-2</v>
      </c>
      <c r="M394" s="575">
        <f t="shared" si="170"/>
        <v>1.0026707905603269</v>
      </c>
      <c r="N394" s="576">
        <f t="shared" si="171"/>
        <v>-7.3004928707868955E-2</v>
      </c>
      <c r="O394" s="574">
        <f t="shared" si="172"/>
        <v>1446263.2781950808</v>
      </c>
      <c r="P394" s="577">
        <f t="shared" si="173"/>
        <v>1.5707956353578567</v>
      </c>
      <c r="Q394" s="586">
        <f t="shared" si="195"/>
        <v>58.341189791071969</v>
      </c>
      <c r="R394" s="587">
        <f t="shared" si="196"/>
        <v>1.5536549387557186</v>
      </c>
      <c r="S394" s="574">
        <f t="shared" si="174"/>
        <v>1.0077351170272866</v>
      </c>
      <c r="T394" s="577">
        <f t="shared" si="175"/>
        <v>0.12398051382767962</v>
      </c>
      <c r="U394" s="578">
        <f t="shared" si="187"/>
        <v>0.75948922927261142</v>
      </c>
      <c r="V394" s="579">
        <f t="shared" si="188"/>
        <v>-0.90798197280226811</v>
      </c>
      <c r="W394" s="580">
        <f t="shared" si="176"/>
        <v>-20.460683103358896</v>
      </c>
      <c r="X394" s="581">
        <f t="shared" si="177"/>
        <v>-150.95042218599835</v>
      </c>
      <c r="Y394" s="584">
        <f t="shared" si="178"/>
        <v>29.049577814001651</v>
      </c>
      <c r="AA394" s="147">
        <f t="shared" si="179"/>
        <v>34875.75</v>
      </c>
      <c r="AB394" s="147">
        <f t="shared" si="180"/>
        <v>1216317938.0625</v>
      </c>
      <c r="AD394" s="583">
        <f t="shared" si="181"/>
        <v>17.153080693893397</v>
      </c>
      <c r="AE394" s="584">
        <f t="shared" si="182"/>
        <v>-8.0856497666453375</v>
      </c>
      <c r="AG394" s="583">
        <f t="shared" si="183"/>
        <v>-4.2073532851774029</v>
      </c>
      <c r="AH394" s="584">
        <f t="shared" si="184"/>
        <v>-38.817702469397396</v>
      </c>
      <c r="AJ394" s="147">
        <f t="shared" si="185"/>
        <v>0</v>
      </c>
      <c r="AK394" s="147">
        <f t="shared" si="197"/>
        <v>0</v>
      </c>
      <c r="AM394" s="147" t="str">
        <f t="shared" si="189"/>
        <v>0.911421762032474+0.996069222372907i</v>
      </c>
      <c r="AN394" s="147" t="str">
        <f t="shared" si="190"/>
        <v>1.48210184558427i</v>
      </c>
      <c r="AO394" s="147" t="str">
        <f t="shared" si="191"/>
        <v>0.672065300600337-0.614952180747859i</v>
      </c>
      <c r="AP394" s="147" t="str">
        <f t="shared" si="192"/>
        <v>0.0147630396612543-0.166011537062151i</v>
      </c>
      <c r="AQ394" s="147" t="str">
        <f t="shared" si="193"/>
        <v>0.985236960338746+0.166011537062151i</v>
      </c>
      <c r="AR394" s="147" t="str">
        <f t="shared" si="194"/>
        <v>0.822139736132841-0.138529802240019i</v>
      </c>
    </row>
    <row r="395" spans="7:44">
      <c r="G395" s="585">
        <v>35077.5</v>
      </c>
      <c r="H395" s="573">
        <f t="shared" si="186"/>
        <v>35.077500000000001</v>
      </c>
      <c r="I395" s="574">
        <f t="shared" si="166"/>
        <v>99.08313759637592</v>
      </c>
      <c r="J395" s="575">
        <f t="shared" si="167"/>
        <v>1.5607036207948657</v>
      </c>
      <c r="K395" s="575">
        <f t="shared" si="168"/>
        <v>1.0011748362294044</v>
      </c>
      <c r="L395" s="576">
        <f t="shared" si="169"/>
        <v>4.8449709621307555E-2</v>
      </c>
      <c r="M395" s="575">
        <f t="shared" si="170"/>
        <v>1.0027017382806156</v>
      </c>
      <c r="N395" s="576">
        <f t="shared" si="171"/>
        <v>-7.342573726945012E-2</v>
      </c>
      <c r="O395" s="574">
        <f t="shared" si="172"/>
        <v>1454629.6535812938</v>
      </c>
      <c r="P395" s="577">
        <f t="shared" si="173"/>
        <v>1.5707956393346916</v>
      </c>
      <c r="Q395" s="586">
        <f t="shared" si="195"/>
        <v>58.678584309512267</v>
      </c>
      <c r="R395" s="587">
        <f t="shared" si="196"/>
        <v>1.5537535091636634</v>
      </c>
      <c r="S395" s="574">
        <f t="shared" si="174"/>
        <v>1.0078245200040554</v>
      </c>
      <c r="T395" s="577">
        <f t="shared" si="175"/>
        <v>0.12469032913817532</v>
      </c>
      <c r="U395" s="578">
        <f t="shared" si="187"/>
        <v>0.75757197568114165</v>
      </c>
      <c r="V395" s="579">
        <f t="shared" si="188"/>
        <v>-0.91215109744399159</v>
      </c>
      <c r="W395" s="580">
        <f t="shared" si="176"/>
        <v>-20.533134145277078</v>
      </c>
      <c r="X395" s="581">
        <f t="shared" si="177"/>
        <v>-151.23583158857866</v>
      </c>
      <c r="Y395" s="584">
        <f t="shared" si="178"/>
        <v>28.764168411421338</v>
      </c>
      <c r="AA395" s="147">
        <f t="shared" si="179"/>
        <v>35077.5</v>
      </c>
      <c r="AB395" s="147">
        <f t="shared" si="180"/>
        <v>1230431006.25</v>
      </c>
      <c r="AD395" s="583">
        <f t="shared" si="181"/>
        <v>17.152295509040144</v>
      </c>
      <c r="AE395" s="584">
        <f t="shared" si="182"/>
        <v>-8.1206717477062575</v>
      </c>
      <c r="AG395" s="583">
        <f t="shared" si="183"/>
        <v>-4.2351104010121805</v>
      </c>
      <c r="AH395" s="584">
        <f t="shared" si="184"/>
        <v>-38.590343397901371</v>
      </c>
      <c r="AJ395" s="147">
        <f t="shared" si="185"/>
        <v>0</v>
      </c>
      <c r="AK395" s="147">
        <f t="shared" si="197"/>
        <v>0</v>
      </c>
      <c r="AM395" s="147" t="str">
        <f t="shared" si="189"/>
        <v>0.919964906826126+0.996792046447327i</v>
      </c>
      <c r="AN395" s="147" t="str">
        <f t="shared" si="190"/>
        <v>1.49067554069754i</v>
      </c>
      <c r="AO395" s="147" t="str">
        <f t="shared" si="191"/>
        <v>0.668684780311678-0.617146308307737i</v>
      </c>
      <c r="AP395" s="147" t="str">
        <f t="shared" si="192"/>
        <v>0.0133391821956456-0.166132007741221i</v>
      </c>
      <c r="AQ395" s="147" t="str">
        <f t="shared" si="193"/>
        <v>0.986660817804354+0.166132007741221i</v>
      </c>
      <c r="AR395" s="147" t="str">
        <f t="shared" si="194"/>
        <v>0.820985858388199-0.138235983957181i</v>
      </c>
    </row>
    <row r="396" spans="7:44">
      <c r="G396" s="585">
        <v>35279.25</v>
      </c>
      <c r="H396" s="573">
        <f t="shared" si="186"/>
        <v>35.279249999999998</v>
      </c>
      <c r="I396" s="574">
        <f t="shared" si="166"/>
        <v>99.652961348430381</v>
      </c>
      <c r="J396" s="575">
        <f t="shared" si="167"/>
        <v>1.560761333652894</v>
      </c>
      <c r="K396" s="575">
        <f t="shared" si="168"/>
        <v>1.0011883813086957</v>
      </c>
      <c r="L396" s="576">
        <f t="shared" si="169"/>
        <v>4.872793091855717E-2</v>
      </c>
      <c r="M396" s="575">
        <f t="shared" si="170"/>
        <v>1.0027328635481947</v>
      </c>
      <c r="N396" s="576">
        <f t="shared" si="171"/>
        <v>-7.3846519781375144E-2</v>
      </c>
      <c r="O396" s="574">
        <f t="shared" si="172"/>
        <v>1462996.028967507</v>
      </c>
      <c r="P396" s="577">
        <f t="shared" si="173"/>
        <v>1.5707956432660419</v>
      </c>
      <c r="Q396" s="586">
        <f t="shared" si="195"/>
        <v>59.01597939156219</v>
      </c>
      <c r="R396" s="587">
        <f t="shared" si="196"/>
        <v>1.55385095251607</v>
      </c>
      <c r="S396" s="574">
        <f t="shared" si="174"/>
        <v>1.0079144306706578</v>
      </c>
      <c r="T396" s="577">
        <f t="shared" si="175"/>
        <v>0.1254000181685157</v>
      </c>
      <c r="U396" s="578">
        <f t="shared" si="187"/>
        <v>0.75565668887033988</v>
      </c>
      <c r="V396" s="579">
        <f t="shared" si="188"/>
        <v>-0.91630837533670562</v>
      </c>
      <c r="W396" s="580">
        <f t="shared" si="176"/>
        <v>-20.60533281926384</v>
      </c>
      <c r="X396" s="581">
        <f t="shared" si="177"/>
        <v>-151.52058024415189</v>
      </c>
      <c r="Y396" s="584">
        <f t="shared" si="178"/>
        <v>28.479419755848113</v>
      </c>
      <c r="AA396" s="147">
        <f t="shared" si="179"/>
        <v>35279.25</v>
      </c>
      <c r="AB396" s="147">
        <f t="shared" si="180"/>
        <v>1244625480.5625</v>
      </c>
      <c r="AD396" s="583">
        <f t="shared" si="181"/>
        <v>17.151506267740476</v>
      </c>
      <c r="AE396" s="584">
        <f t="shared" si="182"/>
        <v>-8.1557510663668591</v>
      </c>
      <c r="AG396" s="583">
        <f t="shared" si="183"/>
        <v>-4.262545042216372</v>
      </c>
      <c r="AH396" s="584">
        <f t="shared" si="184"/>
        <v>-38.363623779238573</v>
      </c>
      <c r="AJ396" s="147">
        <f t="shared" si="185"/>
        <v>0</v>
      </c>
      <c r="AK396" s="147">
        <f t="shared" si="197"/>
        <v>0</v>
      </c>
      <c r="AM396" s="147" t="str">
        <f t="shared" si="189"/>
        <v>0.928513934823209+0.997441598533738i</v>
      </c>
      <c r="AN396" s="147" t="str">
        <f t="shared" si="190"/>
        <v>1.49924923581081i</v>
      </c>
      <c r="AO396" s="147" t="str">
        <f t="shared" si="191"/>
        <v>0.665294051655335-0.619319265032714i</v>
      </c>
      <c r="AP396" s="147" t="str">
        <f t="shared" si="192"/>
        <v>0.0119143441961318-0.16624026642229i</v>
      </c>
      <c r="AQ396" s="147" t="str">
        <f t="shared" si="193"/>
        <v>0.988085655803868+0.16624026642229i</v>
      </c>
      <c r="AR396" s="147" t="str">
        <f t="shared" si="194"/>
        <v>0.819837738772592-0.137933430483538i</v>
      </c>
    </row>
    <row r="397" spans="7:44">
      <c r="G397" s="585">
        <v>35481</v>
      </c>
      <c r="H397" s="573">
        <f t="shared" si="186"/>
        <v>35.481000000000002</v>
      </c>
      <c r="I397" s="574">
        <f t="shared" ref="I397:I460" si="198">SQRT(1+(G397/pole1)^2)</f>
        <v>100.22278542863199</v>
      </c>
      <c r="J397" s="575">
        <f t="shared" ref="J397:J460" si="199">ATAN(G397/pole1)</f>
        <v>1.5608183902496406</v>
      </c>
      <c r="K397" s="575">
        <f t="shared" ref="K397:K460" si="200">SQRT(1+(G397/Zero1)^2)</f>
        <v>1.0012020038849661</v>
      </c>
      <c r="L397" s="576">
        <f t="shared" ref="L397:L460" si="201">ATAN(G397/Zero1)</f>
        <v>4.9006144666260812E-2</v>
      </c>
      <c r="M397" s="575">
        <f t="shared" ref="M397:M460" si="202">SQRT(1+(G397/z_RHP)^2)</f>
        <v>1.0027641663465312</v>
      </c>
      <c r="N397" s="576">
        <f t="shared" ref="N397:N460" si="203">-ATAN(G397/z_RHP)</f>
        <v>-7.4267276097070969E-2</v>
      </c>
      <c r="O397" s="574">
        <f t="shared" ref="O397:O460" si="204">SQRT(1+(G397/Pole2)^2)</f>
        <v>1471362.4043537199</v>
      </c>
      <c r="P397" s="577">
        <f t="shared" ref="P397:P460" si="205">ATAN(G397/Pole2)</f>
        <v>1.570795647152684</v>
      </c>
      <c r="Q397" s="586">
        <f t="shared" si="195"/>
        <v>59.353375027610205</v>
      </c>
      <c r="R397" s="587">
        <f t="shared" si="196"/>
        <v>1.5539472880313923</v>
      </c>
      <c r="S397" s="574">
        <f t="shared" ref="S397:S460" si="206">SQRT(1+(G397/pole4)^2)</f>
        <v>1.0080048488912408</v>
      </c>
      <c r="T397" s="577">
        <f t="shared" ref="T397:T460" si="207">ATAN(G397/pole4)</f>
        <v>0.12610958023770635</v>
      </c>
      <c r="U397" s="578">
        <f t="shared" si="187"/>
        <v>0.75374343869653204</v>
      </c>
      <c r="V397" s="579">
        <f t="shared" si="188"/>
        <v>-0.92045386596103229</v>
      </c>
      <c r="W397" s="580">
        <f t="shared" ref="W397:W460" si="208">20*LOG10(((K397*Q397*M397*U397)/(I397*O397*S397))*Adc)</f>
        <v>-20.677281709356482</v>
      </c>
      <c r="X397" s="581">
        <f t="shared" ref="X397:X460" si="209">((L397+R397+N397+V397)-(J397+P397+T397))*radconv</f>
        <v>-151.80467106710557</v>
      </c>
      <c r="Y397" s="584">
        <f t="shared" ref="Y397:Y460" si="210">IF(X397&gt;0,X397,X397+180)</f>
        <v>28.195328932894427</v>
      </c>
      <c r="AA397" s="147">
        <f t="shared" ref="AA397:AA460" si="211">IF(W397&lt;0,G397,1000000000)</f>
        <v>35481</v>
      </c>
      <c r="AB397" s="147">
        <f t="shared" ref="AB397:AB460" si="212">G397^2</f>
        <v>1258901361</v>
      </c>
      <c r="AD397" s="583">
        <f t="shared" ref="AD397:AD460" si="213">20*LOG10((Q397/(O397*S397))*Aea)</f>
        <v>17.150712966647909</v>
      </c>
      <c r="AE397" s="584">
        <f t="shared" ref="AE397:AE460" si="214">(R397-(P397+T397))*radconv</f>
        <v>-8.1908865825172033</v>
      </c>
      <c r="AG397" s="583">
        <f t="shared" ref="AG397:AG460" si="215">20*LOG10((K397*M397/(I397*U397))*Acs*Am)</f>
        <v>-4.2896611788369183</v>
      </c>
      <c r="AH397" s="584">
        <f t="shared" ref="AH397:AH460" si="216">(L397+N397-(J397+V397))*radconv</f>
        <v>-38.137540851929131</v>
      </c>
      <c r="AJ397" s="147">
        <f t="shared" ref="AJ397:AJ460" si="217">SUM((W398&lt;0)*(W397&gt;0))*G397</f>
        <v>0</v>
      </c>
      <c r="AK397" s="147">
        <f t="shared" si="197"/>
        <v>0</v>
      </c>
      <c r="AM397" s="147" t="str">
        <f t="shared" si="189"/>
        <v>0.937068217603503+0.998017830885i</v>
      </c>
      <c r="AN397" s="147" t="str">
        <f t="shared" si="190"/>
        <v>1.50782293092408i</v>
      </c>
      <c r="AO397" s="147" t="str">
        <f t="shared" si="191"/>
        <v>0.661893257103709-0.621470995290683i</v>
      </c>
      <c r="AP397" s="147" t="str">
        <f t="shared" si="192"/>
        <v>0.0104886303994161-0.1663363051475i</v>
      </c>
      <c r="AQ397" s="147" t="str">
        <f t="shared" si="193"/>
        <v>0.989511369600584+0.1663363051475i</v>
      </c>
      <c r="AR397" s="147" t="str">
        <f t="shared" si="194"/>
        <v>0.818695418781279-0.137622239809363i</v>
      </c>
    </row>
    <row r="398" spans="7:44">
      <c r="G398" s="585">
        <v>35687.75</v>
      </c>
      <c r="H398" s="573">
        <f t="shared" ref="H398:H461" si="218">G398/1000</f>
        <v>35.687750000000001</v>
      </c>
      <c r="I398" s="574">
        <f t="shared" si="198"/>
        <v>100.8067318776651</v>
      </c>
      <c r="J398" s="575">
        <f t="shared" si="199"/>
        <v>1.5608761916702367</v>
      </c>
      <c r="K398" s="575">
        <f t="shared" si="200"/>
        <v>1.0012160444699509</v>
      </c>
      <c r="L398" s="576">
        <f t="shared" si="201"/>
        <v>4.9291245549053161E-2</v>
      </c>
      <c r="M398" s="575">
        <f t="shared" si="202"/>
        <v>1.0027964290942775</v>
      </c>
      <c r="N398" s="576">
        <f t="shared" si="203"/>
        <v>-7.4698432747206778E-2</v>
      </c>
      <c r="O398" s="574">
        <f t="shared" si="204"/>
        <v>1479936.1248548329</v>
      </c>
      <c r="P398" s="577">
        <f t="shared" si="205"/>
        <v>1.5707956510900583</v>
      </c>
      <c r="Q398" s="586">
        <f t="shared" si="195"/>
        <v>59.699132954396099</v>
      </c>
      <c r="R398" s="587">
        <f t="shared" si="196"/>
        <v>1.5540448813294723</v>
      </c>
      <c r="S398" s="574">
        <f t="shared" si="206"/>
        <v>1.0080980343950818</v>
      </c>
      <c r="T398" s="577">
        <f t="shared" si="207"/>
        <v>0.12683659505684314</v>
      </c>
      <c r="U398" s="578">
        <f t="shared" ref="U398:U461" si="219">IMABS(IMPRODUCT(AO398, AR398))</f>
        <v>0.75178495666107148</v>
      </c>
      <c r="V398" s="579">
        <f t="shared" ref="V398:V461" si="220">IMARGUMENT(IMPRODUCT(AO398, AR398))</f>
        <v>-0.92468992847564369</v>
      </c>
      <c r="W398" s="580">
        <f t="shared" si="208"/>
        <v>-20.750757227284318</v>
      </c>
      <c r="X398" s="581">
        <f t="shared" si="209"/>
        <v>-152.09512315005685</v>
      </c>
      <c r="Y398" s="584">
        <f t="shared" si="210"/>
        <v>27.90487684994315</v>
      </c>
      <c r="AA398" s="147">
        <f t="shared" si="211"/>
        <v>35687.75</v>
      </c>
      <c r="AB398" s="147">
        <f t="shared" si="212"/>
        <v>1273615500.0625</v>
      </c>
      <c r="AD398" s="583">
        <f t="shared" si="213"/>
        <v>17.149895789776359</v>
      </c>
      <c r="AE398" s="584">
        <f t="shared" si="214"/>
        <v>-8.2269500048445892</v>
      </c>
      <c r="AG398" s="583">
        <f t="shared" si="215"/>
        <v>-4.3171229803493558</v>
      </c>
      <c r="AH398" s="584">
        <f t="shared" si="216"/>
        <v>-37.90651250431668</v>
      </c>
      <c r="AJ398" s="147">
        <f t="shared" si="217"/>
        <v>0</v>
      </c>
      <c r="AK398" s="147">
        <f t="shared" si="197"/>
        <v>0</v>
      </c>
      <c r="AM398" s="147" t="str">
        <f t="shared" ref="AM398:AM461" si="221">IMSUB(1,IMEXP(COMPLEX(0,-2*Pi*G398*Tsw)))</f>
        <v>0.945839296410555+0.998532231921782i</v>
      </c>
      <c r="AN398" s="147" t="str">
        <f t="shared" ref="AN398:AN461" si="222">COMPLEX(0, 2*Pi*G398*Tsw)</f>
        <v>1.51660910918762i</v>
      </c>
      <c r="AO398" s="147" t="str">
        <f t="shared" ref="AO398:AO461" si="223">IMDIV(AM398, AN398)</f>
        <v>0.658397886358899-0.623653972985299i</v>
      </c>
      <c r="AP398" s="147" t="str">
        <f t="shared" ref="AP398:AP461" si="224">IMDIV(IMEXP(COMPLEX(0,-2*Pi*G398*Tsw)),6)</f>
        <v>0.0090267839315741-0.16642203865363i</v>
      </c>
      <c r="AQ398" s="147" t="str">
        <f t="shared" ref="AQ398:AQ461" si="225">IMSUB(1, AP398)</f>
        <v>0.990973216068426+0.16642203865363i</v>
      </c>
      <c r="AR398" s="147" t="str">
        <f t="shared" ref="AR398:AR461" si="226">IMDIV(0.833, AQ398)</f>
        <v>0.817530847413069-0.137294477875493i</v>
      </c>
    </row>
    <row r="399" spans="7:44">
      <c r="G399" s="585">
        <v>35894.5</v>
      </c>
      <c r="H399" s="573">
        <f t="shared" si="218"/>
        <v>35.894500000000001</v>
      </c>
      <c r="I399" s="574">
        <f t="shared" si="198"/>
        <v>101.39067865961448</v>
      </c>
      <c r="J399" s="575">
        <f t="shared" si="199"/>
        <v>1.5609333272910886</v>
      </c>
      <c r="K399" s="575">
        <f t="shared" si="200"/>
        <v>1.001230166434006</v>
      </c>
      <c r="L399" s="576">
        <f t="shared" si="201"/>
        <v>4.9576338412542782E-2</v>
      </c>
      <c r="M399" s="575">
        <f t="shared" si="202"/>
        <v>1.0028288782459112</v>
      </c>
      <c r="N399" s="576">
        <f t="shared" si="203"/>
        <v>-7.5129561575080883E-2</v>
      </c>
      <c r="O399" s="574">
        <f t="shared" si="204"/>
        <v>1488509.8453559461</v>
      </c>
      <c r="P399" s="577">
        <f t="shared" si="205"/>
        <v>1.5707956549820745</v>
      </c>
      <c r="Q399" s="586">
        <f t="shared" si="195"/>
        <v>60.044891443235137</v>
      </c>
      <c r="R399" s="587">
        <f t="shared" si="196"/>
        <v>1.5541413506790156</v>
      </c>
      <c r="S399" s="574">
        <f t="shared" si="206"/>
        <v>1.0081917526310293</v>
      </c>
      <c r="T399" s="577">
        <f t="shared" si="207"/>
        <v>0.1275634750982334</v>
      </c>
      <c r="U399" s="578">
        <f t="shared" si="219"/>
        <v>0.7498287572854222</v>
      </c>
      <c r="V399" s="579">
        <f t="shared" si="220"/>
        <v>-0.92891374004521332</v>
      </c>
      <c r="W399" s="580">
        <f t="shared" si="208"/>
        <v>-20.823975773398125</v>
      </c>
      <c r="X399" s="581">
        <f t="shared" si="209"/>
        <v>-152.38489069613266</v>
      </c>
      <c r="Y399" s="584">
        <f t="shared" si="210"/>
        <v>27.615109303867342</v>
      </c>
      <c r="AA399" s="147">
        <f t="shared" si="211"/>
        <v>35894.5</v>
      </c>
      <c r="AB399" s="147">
        <f t="shared" si="212"/>
        <v>1288415130.25</v>
      </c>
      <c r="AD399" s="583">
        <f t="shared" si="213"/>
        <v>17.14907434282118</v>
      </c>
      <c r="AE399" s="584">
        <f t="shared" si="214"/>
        <v>-8.2630700998847182</v>
      </c>
      <c r="AG399" s="583">
        <f t="shared" si="215"/>
        <v>-4.3442585283082629</v>
      </c>
      <c r="AH399" s="584">
        <f t="shared" si="216"/>
        <v>-37.676146802009605</v>
      </c>
      <c r="AJ399" s="147">
        <f t="shared" si="217"/>
        <v>0</v>
      </c>
      <c r="AK399" s="147">
        <f t="shared" si="197"/>
        <v>0</v>
      </c>
      <c r="AM399" s="147" t="str">
        <f t="shared" si="221"/>
        <v>0.954614556230662+0.998969549833157i</v>
      </c>
      <c r="AN399" s="147" t="str">
        <f t="shared" si="222"/>
        <v>1.52539528745115i</v>
      </c>
      <c r="AO399" s="147" t="str">
        <f t="shared" si="223"/>
        <v>0.654892248619949-0.625814543996507i</v>
      </c>
      <c r="AP399" s="147" t="str">
        <f t="shared" si="224"/>
        <v>0.00756424062822293-0.166494924972193i</v>
      </c>
      <c r="AQ399" s="147" t="str">
        <f t="shared" si="225"/>
        <v>0.992435759371777+0.166494924972193i</v>
      </c>
      <c r="AR399" s="147" t="str">
        <f t="shared" si="226"/>
        <v>0.816372450360237-0.136957852020702i</v>
      </c>
    </row>
    <row r="400" spans="7:44">
      <c r="G400" s="585">
        <v>36101.25</v>
      </c>
      <c r="H400" s="573">
        <f t="shared" si="218"/>
        <v>36.10125</v>
      </c>
      <c r="I400" s="574">
        <f t="shared" si="198"/>
        <v>101.97462576876087</v>
      </c>
      <c r="J400" s="575">
        <f t="shared" si="199"/>
        <v>1.5609898085497189</v>
      </c>
      <c r="K400" s="575">
        <f t="shared" si="200"/>
        <v>1.0012443697736877</v>
      </c>
      <c r="L400" s="576">
        <f t="shared" si="201"/>
        <v>4.9861423210726452E-2</v>
      </c>
      <c r="M400" s="575">
        <f t="shared" si="202"/>
        <v>1.0028615137833377</v>
      </c>
      <c r="N400" s="576">
        <f t="shared" si="203"/>
        <v>-7.5560662423132197E-2</v>
      </c>
      <c r="O400" s="574">
        <f t="shared" si="204"/>
        <v>1497083.5658570591</v>
      </c>
      <c r="P400" s="577">
        <f t="shared" si="205"/>
        <v>1.570795658829512</v>
      </c>
      <c r="Q400" s="586">
        <f t="shared" si="195"/>
        <v>60.390650484473426</v>
      </c>
      <c r="R400" s="587">
        <f t="shared" si="196"/>
        <v>1.5542367153832868</v>
      </c>
      <c r="S400" s="574">
        <f t="shared" si="206"/>
        <v>1.0082860034505337</v>
      </c>
      <c r="T400" s="577">
        <f t="shared" si="207"/>
        <v>0.12829021963146586</v>
      </c>
      <c r="U400" s="578">
        <f t="shared" si="219"/>
        <v>0.74787491099511971</v>
      </c>
      <c r="V400" s="579">
        <f t="shared" si="220"/>
        <v>-0.93312536600681595</v>
      </c>
      <c r="W400" s="580">
        <f t="shared" si="208"/>
        <v>-20.896939980780029</v>
      </c>
      <c r="X400" s="581">
        <f t="shared" si="209"/>
        <v>-152.67397695000136</v>
      </c>
      <c r="Y400" s="584">
        <f t="shared" si="210"/>
        <v>27.326023049998639</v>
      </c>
      <c r="AA400" s="147">
        <f t="shared" si="211"/>
        <v>36101.25</v>
      </c>
      <c r="AB400" s="147">
        <f t="shared" si="212"/>
        <v>1303300251.5625</v>
      </c>
      <c r="AD400" s="583">
        <f t="shared" si="213"/>
        <v>17.148248622725003</v>
      </c>
      <c r="AE400" s="584">
        <f t="shared" si="214"/>
        <v>-8.2992457198371667</v>
      </c>
      <c r="AG400" s="583">
        <f t="shared" si="215"/>
        <v>-4.3710718869074041</v>
      </c>
      <c r="AH400" s="584">
        <f t="shared" si="216"/>
        <v>-37.446440650399268</v>
      </c>
      <c r="AJ400" s="147">
        <f t="shared" si="217"/>
        <v>0</v>
      </c>
      <c r="AK400" s="147">
        <f t="shared" si="197"/>
        <v>0</v>
      </c>
      <c r="AM400" s="147" t="str">
        <f t="shared" si="221"/>
        <v>0.963393319645097+0.999329750859742i</v>
      </c>
      <c r="AN400" s="147" t="str">
        <f t="shared" si="222"/>
        <v>1.53418146571469i</v>
      </c>
      <c r="AO400" s="147" t="str">
        <f t="shared" si="223"/>
        <v>0.651376498277673-0.627952651739477i</v>
      </c>
      <c r="AP400" s="147" t="str">
        <f t="shared" si="224"/>
        <v>0.00610111339248387-0.166554958476624i</v>
      </c>
      <c r="AQ400" s="147" t="str">
        <f t="shared" si="225"/>
        <v>0.993898886607516+0.166554958476624i</v>
      </c>
      <c r="AR400" s="147" t="str">
        <f t="shared" si="226"/>
        <v>0.815220267694217-0.136612465980889i</v>
      </c>
    </row>
    <row r="401" spans="7:44">
      <c r="G401" s="585">
        <v>36308</v>
      </c>
      <c r="H401" s="573">
        <f t="shared" si="218"/>
        <v>36.308</v>
      </c>
      <c r="I401" s="574">
        <f t="shared" si="198"/>
        <v>102.55857319951532</v>
      </c>
      <c r="J401" s="575">
        <f t="shared" si="199"/>
        <v>1.5610456466231766</v>
      </c>
      <c r="K401" s="575">
        <f t="shared" si="200"/>
        <v>1.0012586544855333</v>
      </c>
      <c r="L401" s="576">
        <f t="shared" si="201"/>
        <v>5.0146499897608804E-2</v>
      </c>
      <c r="M401" s="575">
        <f t="shared" si="202"/>
        <v>1.0028943356883615</v>
      </c>
      <c r="N401" s="576">
        <f t="shared" si="203"/>
        <v>-7.5991735133861676E-2</v>
      </c>
      <c r="O401" s="574">
        <f t="shared" si="204"/>
        <v>1505657.2863581721</v>
      </c>
      <c r="P401" s="577">
        <f t="shared" si="205"/>
        <v>1.5707956626331321</v>
      </c>
      <c r="Q401" s="586">
        <f t="shared" si="195"/>
        <v>60.736410068676896</v>
      </c>
      <c r="R401" s="587">
        <f t="shared" si="196"/>
        <v>1.5543309943060748</v>
      </c>
      <c r="S401" s="574">
        <f t="shared" si="206"/>
        <v>1.0083807867042569</v>
      </c>
      <c r="T401" s="577">
        <f t="shared" si="207"/>
        <v>0.12901682792697414</v>
      </c>
      <c r="U401" s="578">
        <f t="shared" si="219"/>
        <v>0.74592348664677632</v>
      </c>
      <c r="V401" s="579">
        <f t="shared" si="220"/>
        <v>-0.93732487211227467</v>
      </c>
      <c r="W401" s="580">
        <f t="shared" si="208"/>
        <v>-20.969652435230572</v>
      </c>
      <c r="X401" s="581">
        <f t="shared" si="209"/>
        <v>-152.96238519040091</v>
      </c>
      <c r="Y401" s="584">
        <f t="shared" si="210"/>
        <v>27.037614809599091</v>
      </c>
      <c r="AA401" s="147">
        <f t="shared" si="211"/>
        <v>36308</v>
      </c>
      <c r="AB401" s="147">
        <f t="shared" si="212"/>
        <v>1318270864</v>
      </c>
      <c r="AD401" s="583">
        <f t="shared" si="213"/>
        <v>17.147418626602601</v>
      </c>
      <c r="AE401" s="584">
        <f t="shared" si="214"/>
        <v>-8.3354757421289634</v>
      </c>
      <c r="AG401" s="583">
        <f t="shared" si="215"/>
        <v>-4.3975670528259503</v>
      </c>
      <c r="AH401" s="584">
        <f t="shared" si="216"/>
        <v>-37.217390916192727</v>
      </c>
      <c r="AJ401" s="147">
        <f t="shared" si="217"/>
        <v>0</v>
      </c>
      <c r="AK401" s="147">
        <f t="shared" si="197"/>
        <v>0</v>
      </c>
      <c r="AM401" s="147" t="str">
        <f t="shared" si="221"/>
        <v>0.972174908964637+0.999612807195303i</v>
      </c>
      <c r="AN401" s="147" t="str">
        <f t="shared" si="222"/>
        <v>1.54296764397823i</v>
      </c>
      <c r="AO401" s="147" t="str">
        <f t="shared" si="223"/>
        <v>0.64785079006453-0.630068240742937i</v>
      </c>
      <c r="AP401" s="147" t="str">
        <f t="shared" si="224"/>
        <v>0.00463751517256045-0.16660213453255i</v>
      </c>
      <c r="AQ401" s="147" t="str">
        <f t="shared" si="225"/>
        <v>0.995362484827439+0.16660213453255i</v>
      </c>
      <c r="AR401" s="147" t="str">
        <f t="shared" si="226"/>
        <v>0.814074337993948-0.136258422881466i</v>
      </c>
    </row>
    <row r="402" spans="7:44">
      <c r="G402" s="585">
        <v>36519.5</v>
      </c>
      <c r="H402" s="573">
        <f t="shared" si="218"/>
        <v>36.519500000000001</v>
      </c>
      <c r="I402" s="574">
        <f t="shared" si="198"/>
        <v>103.15593692008929</v>
      </c>
      <c r="J402" s="575">
        <f t="shared" si="199"/>
        <v>1.5611021134224898</v>
      </c>
      <c r="K402" s="575">
        <f t="shared" si="200"/>
        <v>1.0012733515772676</v>
      </c>
      <c r="L402" s="576">
        <f t="shared" si="201"/>
        <v>5.0438117668419179E-2</v>
      </c>
      <c r="M402" s="575">
        <f t="shared" si="202"/>
        <v>1.002928104484043</v>
      </c>
      <c r="N402" s="576">
        <f t="shared" si="203"/>
        <v>-7.6432682292149737E-2</v>
      </c>
      <c r="O402" s="574">
        <f t="shared" si="204"/>
        <v>1514427.9847184403</v>
      </c>
      <c r="P402" s="577">
        <f t="shared" si="205"/>
        <v>1.5707956664795761</v>
      </c>
      <c r="Q402" s="586">
        <f t="shared" si="195"/>
        <v>61.09011389565616</v>
      </c>
      <c r="R402" s="587">
        <f t="shared" si="196"/>
        <v>1.5544263349844956</v>
      </c>
      <c r="S402" s="574">
        <f t="shared" si="206"/>
        <v>1.008478298332891</v>
      </c>
      <c r="T402" s="577">
        <f t="shared" si="207"/>
        <v>0.12975998803404037</v>
      </c>
      <c r="U402" s="578">
        <f t="shared" si="219"/>
        <v>0.74392980530377784</v>
      </c>
      <c r="V402" s="579">
        <f t="shared" si="220"/>
        <v>-0.94160838846663797</v>
      </c>
      <c r="W402" s="580">
        <f t="shared" si="208"/>
        <v>-21.043777582311833</v>
      </c>
      <c r="X402" s="581">
        <f t="shared" si="209"/>
        <v>-153.25672139179349</v>
      </c>
      <c r="Y402" s="584">
        <f t="shared" si="210"/>
        <v>26.743278608206509</v>
      </c>
      <c r="AA402" s="147">
        <f t="shared" si="211"/>
        <v>36519.5</v>
      </c>
      <c r="AB402" s="147">
        <f t="shared" si="212"/>
        <v>1333673880.25</v>
      </c>
      <c r="AD402" s="583">
        <f t="shared" si="213"/>
        <v>17.146565134297216</v>
      </c>
      <c r="AE402" s="584">
        <f t="shared" si="214"/>
        <v>-8.3725932817043471</v>
      </c>
      <c r="AG402" s="583">
        <f t="shared" si="215"/>
        <v>-4.4243457903493137</v>
      </c>
      <c r="AH402" s="584">
        <f t="shared" si="216"/>
        <v>-36.983754760288484</v>
      </c>
      <c r="AJ402" s="147">
        <f t="shared" si="217"/>
        <v>0</v>
      </c>
      <c r="AK402" s="147">
        <f t="shared" si="197"/>
        <v>0</v>
      </c>
      <c r="AM402" s="147" t="str">
        <f t="shared" si="221"/>
        <v>0.981160469063598+0.999822520287524i</v>
      </c>
      <c r="AN402" s="147" t="str">
        <f t="shared" si="222"/>
        <v>1.55195568123452i</v>
      </c>
      <c r="AO402" s="147" t="str">
        <f t="shared" si="223"/>
        <v>0.64423393810589-0.632209077183907i</v>
      </c>
      <c r="AP402" s="147" t="str">
        <f t="shared" si="224"/>
        <v>0.00313992182273372-0.166637086714587i</v>
      </c>
      <c r="AQ402" s="147" t="str">
        <f t="shared" si="225"/>
        <v>0.996860078177266+0.166637086714587i</v>
      </c>
      <c r="AR402" s="147" t="str">
        <f t="shared" si="226"/>
        <v>0.8129085898025-0.135887394966843i</v>
      </c>
    </row>
    <row r="403" spans="7:44">
      <c r="G403" s="585">
        <v>36731</v>
      </c>
      <c r="H403" s="573">
        <f t="shared" si="218"/>
        <v>36.731000000000002</v>
      </c>
      <c r="I403" s="574">
        <f t="shared" si="198"/>
        <v>103.75330096578845</v>
      </c>
      <c r="J403" s="575">
        <f t="shared" si="199"/>
        <v>1.5611579300019791</v>
      </c>
      <c r="K403" s="575">
        <f t="shared" si="200"/>
        <v>1.0012881338157096</v>
      </c>
      <c r="L403" s="576">
        <f t="shared" si="201"/>
        <v>5.0729726853592214E-2</v>
      </c>
      <c r="M403" s="575">
        <f t="shared" si="202"/>
        <v>1.0029620682702916</v>
      </c>
      <c r="N403" s="576">
        <f t="shared" si="203"/>
        <v>-7.6873599672151655E-2</v>
      </c>
      <c r="O403" s="574">
        <f t="shared" si="204"/>
        <v>1523198.6830787084</v>
      </c>
      <c r="P403" s="577">
        <f t="shared" si="205"/>
        <v>1.5707956702817241</v>
      </c>
      <c r="Q403" s="586">
        <f t="shared" si="195"/>
        <v>61.443818271541879</v>
      </c>
      <c r="R403" s="587">
        <f t="shared" si="196"/>
        <v>1.5545205779971125</v>
      </c>
      <c r="S403" s="574">
        <f t="shared" si="206"/>
        <v>1.0085763668230456</v>
      </c>
      <c r="T403" s="577">
        <f t="shared" si="207"/>
        <v>0.13050300402969023</v>
      </c>
      <c r="U403" s="578">
        <f t="shared" si="219"/>
        <v>0.74193879928712836</v>
      </c>
      <c r="V403" s="579">
        <f t="shared" si="220"/>
        <v>-0.94587936212818013</v>
      </c>
      <c r="W403" s="580">
        <f t="shared" si="208"/>
        <v>-21.117644603730991</v>
      </c>
      <c r="X403" s="581">
        <f t="shared" si="209"/>
        <v>-153.55035511282586</v>
      </c>
      <c r="Y403" s="584">
        <f t="shared" si="210"/>
        <v>26.449644887174145</v>
      </c>
      <c r="AA403" s="147">
        <f t="shared" si="211"/>
        <v>36731</v>
      </c>
      <c r="AB403" s="147">
        <f t="shared" si="212"/>
        <v>1349166361</v>
      </c>
      <c r="AD403" s="583">
        <f t="shared" si="213"/>
        <v>17.145707161648986</v>
      </c>
      <c r="AE403" s="584">
        <f t="shared" si="214"/>
        <v>-8.4097654533837503</v>
      </c>
      <c r="AG403" s="583">
        <f t="shared" si="215"/>
        <v>-4.4507997969687345</v>
      </c>
      <c r="AH403" s="584">
        <f t="shared" si="216"/>
        <v>-36.750798778646399</v>
      </c>
      <c r="AJ403" s="147">
        <f t="shared" si="217"/>
        <v>0</v>
      </c>
      <c r="AK403" s="147">
        <f t="shared" si="197"/>
        <v>0</v>
      </c>
      <c r="AM403" s="147" t="str">
        <f t="shared" si="221"/>
        <v>0.990147551100309+0.999951463447441i</v>
      </c>
      <c r="AN403" s="147" t="str">
        <f t="shared" si="222"/>
        <v>1.56094371849081i</v>
      </c>
      <c r="AO403" s="147" t="str">
        <f t="shared" si="223"/>
        <v>0.640606994090882-0.634326234425433i</v>
      </c>
      <c r="AP403" s="147" t="str">
        <f t="shared" si="224"/>
        <v>0.00164207481661511-0.16665857724124i</v>
      </c>
      <c r="AQ403" s="147" t="str">
        <f t="shared" si="225"/>
        <v>0.998357925183385+0.16665857724124i</v>
      </c>
      <c r="AR403" s="147" t="str">
        <f t="shared" si="226"/>
        <v>0.811749462203998-0.135507523939783i</v>
      </c>
    </row>
    <row r="404" spans="7:44">
      <c r="G404" s="585">
        <v>36942.5</v>
      </c>
      <c r="H404" s="573">
        <f t="shared" si="218"/>
        <v>36.942500000000003</v>
      </c>
      <c r="I404" s="574">
        <f t="shared" si="198"/>
        <v>104.35066533102919</v>
      </c>
      <c r="J404" s="575">
        <f t="shared" si="199"/>
        <v>1.5612131075280116</v>
      </c>
      <c r="K404" s="575">
        <f t="shared" si="200"/>
        <v>1.0013030011970876</v>
      </c>
      <c r="L404" s="576">
        <f t="shared" si="201"/>
        <v>5.1021327403914747E-2</v>
      </c>
      <c r="M404" s="575">
        <f t="shared" si="202"/>
        <v>1.002996227027299</v>
      </c>
      <c r="N404" s="576">
        <f t="shared" si="203"/>
        <v>-7.7314487105465429E-2</v>
      </c>
      <c r="O404" s="574">
        <f t="shared" si="204"/>
        <v>1531969.3814389766</v>
      </c>
      <c r="P404" s="577">
        <f t="shared" si="205"/>
        <v>1.5707956740403364</v>
      </c>
      <c r="Q404" s="586">
        <f t="shared" si="195"/>
        <v>61.797523186908883</v>
      </c>
      <c r="R404" s="587">
        <f t="shared" si="196"/>
        <v>1.5546137421900692</v>
      </c>
      <c r="S404" s="574">
        <f t="shared" si="206"/>
        <v>1.0086749920122982</v>
      </c>
      <c r="T404" s="577">
        <f t="shared" si="207"/>
        <v>0.13124587513567978</v>
      </c>
      <c r="U404" s="578">
        <f t="shared" si="219"/>
        <v>0.73995053733026628</v>
      </c>
      <c r="V404" s="579">
        <f t="shared" si="220"/>
        <v>-0.95013786473183981</v>
      </c>
      <c r="W404" s="580">
        <f t="shared" si="208"/>
        <v>-21.191256122104051</v>
      </c>
      <c r="X404" s="581">
        <f t="shared" si="209"/>
        <v>-153.8432899664833</v>
      </c>
      <c r="Y404" s="584">
        <f t="shared" si="210"/>
        <v>26.156710033516703</v>
      </c>
      <c r="AA404" s="147">
        <f t="shared" si="211"/>
        <v>36942.5</v>
      </c>
      <c r="AB404" s="147">
        <f t="shared" si="212"/>
        <v>1364748306.25</v>
      </c>
      <c r="AD404" s="583">
        <f t="shared" si="213"/>
        <v>17.144844706093835</v>
      </c>
      <c r="AE404" s="584">
        <f t="shared" si="214"/>
        <v>-8.4469911328161675</v>
      </c>
      <c r="AG404" s="583">
        <f t="shared" si="215"/>
        <v>-4.4769331406096047</v>
      </c>
      <c r="AH404" s="584">
        <f t="shared" si="216"/>
        <v>-36.518519499843499</v>
      </c>
      <c r="AJ404" s="147">
        <f t="shared" si="217"/>
        <v>0</v>
      </c>
      <c r="AK404" s="147">
        <f t="shared" si="197"/>
        <v>0</v>
      </c>
      <c r="AM404" s="147" t="str">
        <f t="shared" si="221"/>
        <v>0.999135429059912+0.999999626258475i</v>
      </c>
      <c r="AN404" s="147" t="str">
        <f t="shared" si="222"/>
        <v>1.5699317557471i</v>
      </c>
      <c r="AO404" s="147" t="str">
        <f t="shared" si="223"/>
        <v>0.636970124718953-0.63641965671587i</v>
      </c>
      <c r="AP404" s="147" t="str">
        <f t="shared" si="224"/>
        <v>0.000144095156681323-0.166666604376413i</v>
      </c>
      <c r="AQ404" s="147" t="str">
        <f t="shared" si="225"/>
        <v>0.999855904843319+0.166666604376413i</v>
      </c>
      <c r="AR404" s="147" t="str">
        <f t="shared" si="226"/>
        <v>0.810596991829203-0.135118918127586i</v>
      </c>
    </row>
    <row r="405" spans="7:44">
      <c r="G405" s="585">
        <v>37154</v>
      </c>
      <c r="H405" s="573">
        <f t="shared" si="218"/>
        <v>37.154000000000003</v>
      </c>
      <c r="I405" s="574">
        <f t="shared" si="198"/>
        <v>104.948030010355</v>
      </c>
      <c r="J405" s="575">
        <f t="shared" si="199"/>
        <v>1.5612676569127344</v>
      </c>
      <c r="K405" s="575">
        <f t="shared" si="200"/>
        <v>1.0013179537176096</v>
      </c>
      <c r="L405" s="576">
        <f t="shared" si="201"/>
        <v>5.131291927018241E-2</v>
      </c>
      <c r="M405" s="575">
        <f t="shared" si="202"/>
        <v>1.0030305807351456</v>
      </c>
      <c r="N405" s="576">
        <f t="shared" si="203"/>
        <v>-7.7755344423758449E-2</v>
      </c>
      <c r="O405" s="574">
        <f t="shared" si="204"/>
        <v>1540740.0797992446</v>
      </c>
      <c r="P405" s="577">
        <f t="shared" si="205"/>
        <v>1.5707956777561567</v>
      </c>
      <c r="Q405" s="586">
        <f t="shared" si="195"/>
        <v>62.151228632546548</v>
      </c>
      <c r="R405" s="587">
        <f t="shared" si="196"/>
        <v>1.5547058459805689</v>
      </c>
      <c r="S405" s="574">
        <f t="shared" si="206"/>
        <v>1.0087741737373674</v>
      </c>
      <c r="T405" s="577">
        <f t="shared" si="207"/>
        <v>0.13198860057470835</v>
      </c>
      <c r="U405" s="578">
        <f t="shared" si="219"/>
        <v>0.73796508652812731</v>
      </c>
      <c r="V405" s="579">
        <f t="shared" si="220"/>
        <v>-0.95438396829959893</v>
      </c>
      <c r="W405" s="580">
        <f t="shared" si="208"/>
        <v>-21.264614713573827</v>
      </c>
      <c r="X405" s="581">
        <f t="shared" si="209"/>
        <v>-154.13552959799449</v>
      </c>
      <c r="Y405" s="584">
        <f t="shared" si="210"/>
        <v>25.864470402005509</v>
      </c>
      <c r="AA405" s="147">
        <f t="shared" si="211"/>
        <v>37154</v>
      </c>
      <c r="AB405" s="147">
        <f t="shared" si="212"/>
        <v>1380419716</v>
      </c>
      <c r="AD405" s="583">
        <f t="shared" si="213"/>
        <v>17.143977765233643</v>
      </c>
      <c r="AE405" s="584">
        <f t="shared" si="214"/>
        <v>-8.4842692202801366</v>
      </c>
      <c r="AG405" s="583">
        <f t="shared" si="215"/>
        <v>-4.502749821023607</v>
      </c>
      <c r="AH405" s="584">
        <f t="shared" si="216"/>
        <v>-36.286913415718637</v>
      </c>
      <c r="AJ405" s="147">
        <f t="shared" si="217"/>
        <v>0</v>
      </c>
      <c r="AK405" s="147">
        <f t="shared" si="197"/>
        <v>0</v>
      </c>
      <c r="AM405" s="147" t="str">
        <f t="shared" si="221"/>
        <v>1.00812337686325+0.999967004829828i</v>
      </c>
      <c r="AN405" s="147" t="str">
        <f t="shared" si="222"/>
        <v>1.57891979300339i</v>
      </c>
      <c r="AO405" s="147" t="str">
        <f t="shared" si="223"/>
        <v>0.633323497026857-0.638489289532319i</v>
      </c>
      <c r="AP405" s="147" t="str">
        <f t="shared" si="224"/>
        <v>-0.00135389614387448-0.166661167471638i</v>
      </c>
      <c r="AQ405" s="147" t="str">
        <f t="shared" si="225"/>
        <v>1.00135389614387+0.166661167471638i</v>
      </c>
      <c r="AR405" s="147" t="str">
        <f t="shared" si="226"/>
        <v>0.809451213795076-0.134721685132425i</v>
      </c>
    </row>
    <row r="406" spans="7:44">
      <c r="G406" s="585">
        <v>37370.25</v>
      </c>
      <c r="H406" s="573">
        <f t="shared" si="218"/>
        <v>37.370249999999999</v>
      </c>
      <c r="I406" s="574">
        <f t="shared" si="198"/>
        <v>105.55881100048751</v>
      </c>
      <c r="J406" s="575">
        <f t="shared" si="199"/>
        <v>1.5613227930495648</v>
      </c>
      <c r="K406" s="575">
        <f t="shared" si="200"/>
        <v>1.001333330076045</v>
      </c>
      <c r="L406" s="576">
        <f t="shared" si="201"/>
        <v>5.1611050859908948E-2</v>
      </c>
      <c r="M406" s="575">
        <f t="shared" si="202"/>
        <v>1.0030659075267983</v>
      </c>
      <c r="N406" s="576">
        <f t="shared" si="203"/>
        <v>-7.8206071480530812E-2</v>
      </c>
      <c r="O406" s="574">
        <f t="shared" si="204"/>
        <v>1549707.7560186677</v>
      </c>
      <c r="P406" s="577">
        <f t="shared" si="205"/>
        <v>1.5707956815119417</v>
      </c>
      <c r="Q406" s="586">
        <f t="shared" si="195"/>
        <v>62.512878356398993</v>
      </c>
      <c r="R406" s="587">
        <f t="shared" si="196"/>
        <v>1.5547989406515279</v>
      </c>
      <c r="S406" s="574">
        <f t="shared" si="206"/>
        <v>1.0088761582017227</v>
      </c>
      <c r="T406" s="577">
        <f t="shared" si="207"/>
        <v>0.13274785518907922</v>
      </c>
      <c r="U406" s="578">
        <f t="shared" si="219"/>
        <v>0.73593801998540054</v>
      </c>
      <c r="V406" s="579">
        <f t="shared" si="220"/>
        <v>-0.9587126890828328</v>
      </c>
      <c r="W406" s="580">
        <f t="shared" si="208"/>
        <v>-21.339361963285576</v>
      </c>
      <c r="X406" s="581">
        <f t="shared" si="209"/>
        <v>-154.43361754250736</v>
      </c>
      <c r="Y406" s="584">
        <f t="shared" si="210"/>
        <v>25.566382457492637</v>
      </c>
      <c r="AA406" s="147">
        <f t="shared" si="211"/>
        <v>37370.25</v>
      </c>
      <c r="AB406" s="147">
        <f t="shared" si="212"/>
        <v>1396535585.0625</v>
      </c>
      <c r="AD406" s="583">
        <f t="shared" si="213"/>
        <v>17.1430867142038</v>
      </c>
      <c r="AE406" s="584">
        <f t="shared" si="214"/>
        <v>-8.5224375887525561</v>
      </c>
      <c r="AG406" s="583">
        <f t="shared" si="215"/>
        <v>-4.5288229943430833</v>
      </c>
      <c r="AH406" s="584">
        <f t="shared" si="216"/>
        <v>-36.050798128052563</v>
      </c>
      <c r="AJ406" s="147">
        <f t="shared" si="217"/>
        <v>0</v>
      </c>
      <c r="AK406" s="147">
        <f t="shared" si="197"/>
        <v>0</v>
      </c>
      <c r="AM406" s="147" t="str">
        <f t="shared" si="221"/>
        <v>1.01731249751649+0.999850127483985i</v>
      </c>
      <c r="AN406" s="147" t="str">
        <f t="shared" si="222"/>
        <v>1.58810968925243i</v>
      </c>
      <c r="AO406" s="147" t="str">
        <f t="shared" si="223"/>
        <v>0.629585055900417-0.640580751065985i</v>
      </c>
      <c r="AP406" s="147" t="str">
        <f t="shared" si="224"/>
        <v>-0.00288541625274895-0.166641687913997i</v>
      </c>
      <c r="AQ406" s="147" t="str">
        <f t="shared" si="225"/>
        <v>1.00288541625275+0.166641687913997i</v>
      </c>
      <c r="AR406" s="147" t="str">
        <f t="shared" si="226"/>
        <v>0.808286657663418-0.134306722152443i</v>
      </c>
    </row>
    <row r="407" spans="7:44">
      <c r="G407" s="585">
        <v>37586.5</v>
      </c>
      <c r="H407" s="573">
        <f t="shared" si="218"/>
        <v>37.586500000000001</v>
      </c>
      <c r="I407" s="574">
        <f t="shared" si="198"/>
        <v>106.16959230782594</v>
      </c>
      <c r="J407" s="575">
        <f t="shared" si="199"/>
        <v>1.5613772948030036</v>
      </c>
      <c r="K407" s="575">
        <f t="shared" si="200"/>
        <v>1.0013487954326967</v>
      </c>
      <c r="L407" s="576">
        <f t="shared" si="201"/>
        <v>5.1909173267130987E-2</v>
      </c>
      <c r="M407" s="575">
        <f t="shared" si="202"/>
        <v>1.0031014380818071</v>
      </c>
      <c r="N407" s="576">
        <f t="shared" si="203"/>
        <v>-7.865676669872311E-2</v>
      </c>
      <c r="O407" s="574">
        <f t="shared" si="204"/>
        <v>1558675.432238091</v>
      </c>
      <c r="P407" s="577">
        <f t="shared" si="205"/>
        <v>1.5707956852245097</v>
      </c>
      <c r="Q407" s="586">
        <f t="shared" ref="Q407:Q470" si="227">SQRT(1+(G407/Zero2)^2)</f>
        <v>62.874528615794148</v>
      </c>
      <c r="R407" s="587">
        <f t="shared" ref="R407:R470" si="228">ATAN(G407/Zero2)</f>
        <v>1.5548909643741138</v>
      </c>
      <c r="S407" s="574">
        <f t="shared" si="206"/>
        <v>1.0089787241327</v>
      </c>
      <c r="T407" s="577">
        <f t="shared" si="207"/>
        <v>0.13350695587962824</v>
      </c>
      <c r="U407" s="578">
        <f t="shared" si="219"/>
        <v>0.73391402898998503</v>
      </c>
      <c r="V407" s="579">
        <f t="shared" si="220"/>
        <v>-0.96302860109232946</v>
      </c>
      <c r="W407" s="580">
        <f t="shared" si="208"/>
        <v>-21.413850101145027</v>
      </c>
      <c r="X407" s="581">
        <f t="shared" si="209"/>
        <v>-154.73098649191542</v>
      </c>
      <c r="Y407" s="584">
        <f t="shared" si="210"/>
        <v>25.269013508084583</v>
      </c>
      <c r="AA407" s="147">
        <f t="shared" si="211"/>
        <v>37586.5</v>
      </c>
      <c r="AB407" s="147">
        <f t="shared" si="212"/>
        <v>1412744982.25</v>
      </c>
      <c r="AD407" s="583">
        <f t="shared" si="213"/>
        <v>17.142190969577374</v>
      </c>
      <c r="AE407" s="584">
        <f t="shared" si="214"/>
        <v>-8.5606584963853773</v>
      </c>
      <c r="AG407" s="583">
        <f t="shared" si="215"/>
        <v>-4.5545733655484995</v>
      </c>
      <c r="AH407" s="584">
        <f t="shared" si="216"/>
        <v>-35.815379083474717</v>
      </c>
      <c r="AJ407" s="147">
        <f t="shared" si="217"/>
        <v>0</v>
      </c>
      <c r="AK407" s="147">
        <f t="shared" ref="AK407:AK470" si="229">IF(AJ407&gt;0,Y407,0)</f>
        <v>0</v>
      </c>
      <c r="AM407" s="147" t="str">
        <f t="shared" si="221"/>
        <v>1.02650015606703+0.999648809196721i</v>
      </c>
      <c r="AN407" s="147" t="str">
        <f t="shared" si="222"/>
        <v>1.59729958550148i</v>
      </c>
      <c r="AO407" s="147" t="str">
        <f t="shared" si="223"/>
        <v>0.625836767423236-0.642647231229798i</v>
      </c>
      <c r="AP407" s="147" t="str">
        <f t="shared" si="224"/>
        <v>-0.00441669267783882-0.16660813486612i</v>
      </c>
      <c r="AQ407" s="147" t="str">
        <f t="shared" si="225"/>
        <v>1.00441669267784+0.16660813486612i</v>
      </c>
      <c r="AR407" s="147" t="str">
        <f t="shared" si="226"/>
        <v>0.807129167383781-0.133882965261498i</v>
      </c>
    </row>
    <row r="408" spans="7:44">
      <c r="G408" s="585">
        <v>37802.75</v>
      </c>
      <c r="H408" s="573">
        <f t="shared" si="218"/>
        <v>37.802750000000003</v>
      </c>
      <c r="I408" s="574">
        <f t="shared" si="198"/>
        <v>106.78037392692707</v>
      </c>
      <c r="J408" s="575">
        <f t="shared" si="199"/>
        <v>1.5614311730587054</v>
      </c>
      <c r="K408" s="575">
        <f t="shared" si="200"/>
        <v>1.0013643497834417</v>
      </c>
      <c r="L408" s="576">
        <f t="shared" si="201"/>
        <v>5.2207286439282775E-2</v>
      </c>
      <c r="M408" s="575">
        <f t="shared" si="202"/>
        <v>1.003137172378521</v>
      </c>
      <c r="N408" s="576">
        <f t="shared" si="203"/>
        <v>-7.9107429898632189E-2</v>
      </c>
      <c r="O408" s="574">
        <f t="shared" si="204"/>
        <v>1567643.1084575141</v>
      </c>
      <c r="P408" s="577">
        <f t="shared" si="205"/>
        <v>1.5707956888946024</v>
      </c>
      <c r="Q408" s="586">
        <f t="shared" si="227"/>
        <v>63.236179401543659</v>
      </c>
      <c r="R408" s="587">
        <f t="shared" si="228"/>
        <v>1.554981935521172</v>
      </c>
      <c r="S408" s="574">
        <f t="shared" si="206"/>
        <v>1.009081871352993</v>
      </c>
      <c r="T408" s="577">
        <f t="shared" si="207"/>
        <v>0.13426590181858614</v>
      </c>
      <c r="U408" s="578">
        <f t="shared" si="219"/>
        <v>0.73189318007890558</v>
      </c>
      <c r="V408" s="579">
        <f t="shared" si="220"/>
        <v>-0.96733178246306917</v>
      </c>
      <c r="W408" s="580">
        <f t="shared" si="208"/>
        <v>-21.488081738047349</v>
      </c>
      <c r="X408" s="581">
        <f t="shared" si="209"/>
        <v>-155.02764043936926</v>
      </c>
      <c r="Y408" s="584">
        <f t="shared" si="210"/>
        <v>24.972359560630736</v>
      </c>
      <c r="AA408" s="147">
        <f t="shared" si="211"/>
        <v>37802.75</v>
      </c>
      <c r="AB408" s="147">
        <f t="shared" si="212"/>
        <v>1429047907.5625</v>
      </c>
      <c r="AD408" s="583">
        <f t="shared" si="213"/>
        <v>17.141290529296118</v>
      </c>
      <c r="AE408" s="584">
        <f t="shared" si="214"/>
        <v>-8.598930843106908</v>
      </c>
      <c r="AG408" s="583">
        <f t="shared" si="215"/>
        <v>-4.5800049976724715</v>
      </c>
      <c r="AH408" s="584">
        <f t="shared" si="216"/>
        <v>-35.580652421598138</v>
      </c>
      <c r="AJ408" s="147">
        <f t="shared" si="217"/>
        <v>0</v>
      </c>
      <c r="AK408" s="147">
        <f t="shared" si="229"/>
        <v>0</v>
      </c>
      <c r="AM408" s="147" t="str">
        <f t="shared" si="221"/>
        <v>1.03568557658402+0.999363066970091i</v>
      </c>
      <c r="AN408" s="147" t="str">
        <f t="shared" si="222"/>
        <v>1.60648948175052i</v>
      </c>
      <c r="AO408" s="147" t="str">
        <f t="shared" si="223"/>
        <v>0.622078811173497-0.644688675742514i</v>
      </c>
      <c r="AP408" s="147" t="str">
        <f t="shared" si="224"/>
        <v>-0.00594759609733603-0.166560511161682i</v>
      </c>
      <c r="AQ408" s="147" t="str">
        <f t="shared" si="225"/>
        <v>1.00594759609734+0.166560511161682i</v>
      </c>
      <c r="AR408" s="147" t="str">
        <f t="shared" si="226"/>
        <v>0.805978775779159-0.1334505270454i</v>
      </c>
    </row>
    <row r="409" spans="7:44">
      <c r="G409" s="585">
        <v>38019</v>
      </c>
      <c r="H409" s="573">
        <f t="shared" si="218"/>
        <v>38.018999999999998</v>
      </c>
      <c r="I409" s="574">
        <f t="shared" si="198"/>
        <v>107.39115585247151</v>
      </c>
      <c r="J409" s="575">
        <f t="shared" si="199"/>
        <v>1.5614844384546931</v>
      </c>
      <c r="K409" s="575">
        <f t="shared" si="200"/>
        <v>1.0013799931241325</v>
      </c>
      <c r="L409" s="576">
        <f t="shared" si="201"/>
        <v>5.2505390323808396E-2</v>
      </c>
      <c r="M409" s="575">
        <f t="shared" si="202"/>
        <v>1.0031731103951671</v>
      </c>
      <c r="N409" s="576">
        <f t="shared" si="203"/>
        <v>-7.9558060900632513E-2</v>
      </c>
      <c r="O409" s="574">
        <f t="shared" si="204"/>
        <v>1576610.7846769372</v>
      </c>
      <c r="P409" s="577">
        <f t="shared" si="205"/>
        <v>1.5707956925229445</v>
      </c>
      <c r="Q409" s="586">
        <f t="shared" si="227"/>
        <v>63.597830704668127</v>
      </c>
      <c r="R409" s="587">
        <f t="shared" si="228"/>
        <v>1.555071872047707</v>
      </c>
      <c r="S409" s="574">
        <f t="shared" si="206"/>
        <v>1.0091855996843642</v>
      </c>
      <c r="T409" s="577">
        <f t="shared" si="207"/>
        <v>0.13502469217923418</v>
      </c>
      <c r="U409" s="578">
        <f t="shared" si="219"/>
        <v>0.72987553808788286</v>
      </c>
      <c r="V409" s="579">
        <f t="shared" si="220"/>
        <v>-0.9716223116837166</v>
      </c>
      <c r="W409" s="580">
        <f t="shared" si="208"/>
        <v>-21.562059439331868</v>
      </c>
      <c r="X409" s="581">
        <f t="shared" si="209"/>
        <v>-155.32358340809938</v>
      </c>
      <c r="Y409" s="584">
        <f t="shared" si="210"/>
        <v>24.676416591900619</v>
      </c>
      <c r="AA409" s="147">
        <f t="shared" si="211"/>
        <v>38019</v>
      </c>
      <c r="AB409" s="147">
        <f t="shared" si="212"/>
        <v>1445444361</v>
      </c>
      <c r="AD409" s="583">
        <f t="shared" si="213"/>
        <v>17.140385391461592</v>
      </c>
      <c r="AE409" s="584">
        <f t="shared" si="214"/>
        <v>-8.637253552845209</v>
      </c>
      <c r="AG409" s="583">
        <f t="shared" si="215"/>
        <v>-4.6051218850304263</v>
      </c>
      <c r="AH409" s="584">
        <f t="shared" si="216"/>
        <v>-35.346614247586842</v>
      </c>
      <c r="AJ409" s="147">
        <f t="shared" si="217"/>
        <v>0</v>
      </c>
      <c r="AK409" s="147">
        <f t="shared" si="229"/>
        <v>0</v>
      </c>
      <c r="AM409" s="147" t="str">
        <f t="shared" si="221"/>
        <v>1.04486798332564+0.998992924936053i</v>
      </c>
      <c r="AN409" s="147" t="str">
        <f t="shared" si="222"/>
        <v>1.61567937799956i</v>
      </c>
      <c r="AO409" s="147" t="str">
        <f t="shared" si="223"/>
        <v>0.618311367056593-0.64670503167487i</v>
      </c>
      <c r="AP409" s="147" t="str">
        <f t="shared" si="224"/>
        <v>-0.00747799722093927-0.166498820822676i</v>
      </c>
      <c r="AQ409" s="147" t="str">
        <f t="shared" si="225"/>
        <v>1.00747799722094+0.166498820822676i</v>
      </c>
      <c r="AR409" s="147" t="str">
        <f t="shared" si="226"/>
        <v>0.804835514149104-0.133009519246752i</v>
      </c>
    </row>
    <row r="410" spans="7:44">
      <c r="G410" s="585">
        <v>38240.5</v>
      </c>
      <c r="H410" s="573">
        <f t="shared" si="218"/>
        <v>38.240499999999997</v>
      </c>
      <c r="I410" s="574">
        <f t="shared" si="198"/>
        <v>108.01676632199465</v>
      </c>
      <c r="J410" s="575">
        <f t="shared" si="199"/>
        <v>1.5615383725055156</v>
      </c>
      <c r="K410" s="575">
        <f t="shared" si="200"/>
        <v>1.0013961084978351</v>
      </c>
      <c r="L410" s="576">
        <f t="shared" si="201"/>
        <v>5.2810721728968051E-2</v>
      </c>
      <c r="M410" s="575">
        <f t="shared" si="202"/>
        <v>1.0032101320712437</v>
      </c>
      <c r="N410" s="576">
        <f t="shared" si="203"/>
        <v>-8.0019598509680726E-2</v>
      </c>
      <c r="O410" s="574">
        <f t="shared" si="204"/>
        <v>1585796.1732670052</v>
      </c>
      <c r="P410" s="577">
        <f t="shared" si="205"/>
        <v>1.5707956961968306</v>
      </c>
      <c r="Q410" s="586">
        <f t="shared" si="227"/>
        <v>63.968262508823067</v>
      </c>
      <c r="R410" s="587">
        <f t="shared" si="228"/>
        <v>1.5551629377399343</v>
      </c>
      <c r="S410" s="574">
        <f t="shared" si="206"/>
        <v>1.0092924485327268</v>
      </c>
      <c r="T410" s="577">
        <f t="shared" si="207"/>
        <v>0.13580174188734612</v>
      </c>
      <c r="U410" s="578">
        <f t="shared" si="219"/>
        <v>0.72781230352468418</v>
      </c>
      <c r="V410" s="579">
        <f t="shared" si="220"/>
        <v>-0.97600396980268422</v>
      </c>
      <c r="W410" s="580">
        <f t="shared" si="208"/>
        <v>-21.637572507663837</v>
      </c>
      <c r="X410" s="581">
        <f t="shared" si="209"/>
        <v>-155.62597827505354</v>
      </c>
      <c r="Y410" s="584">
        <f t="shared" si="210"/>
        <v>24.374021724946459</v>
      </c>
      <c r="AA410" s="147">
        <f t="shared" si="211"/>
        <v>38240.5</v>
      </c>
      <c r="AB410" s="147">
        <f t="shared" si="212"/>
        <v>1462335840.25</v>
      </c>
      <c r="AD410" s="583">
        <f t="shared" si="213"/>
        <v>17.139453407356726</v>
      </c>
      <c r="AE410" s="584">
        <f t="shared" si="214"/>
        <v>-8.6765577523119095</v>
      </c>
      <c r="AG410" s="583">
        <f t="shared" si="215"/>
        <v>-4.6305263508637085</v>
      </c>
      <c r="AH410" s="584">
        <f t="shared" si="216"/>
        <v>-35.107603879528405</v>
      </c>
      <c r="AJ410" s="147">
        <f t="shared" si="217"/>
        <v>0</v>
      </c>
      <c r="AK410" s="147">
        <f t="shared" si="229"/>
        <v>0</v>
      </c>
      <c r="AM410" s="147" t="str">
        <f t="shared" si="221"/>
        <v>1.05426938067497+0.998526331310875i</v>
      </c>
      <c r="AN410" s="147" t="str">
        <f t="shared" si="222"/>
        <v>1.62509238155639i</v>
      </c>
      <c r="AO410" s="147" t="str">
        <f t="shared" si="223"/>
        <v>0.614442811155488-0.648744276104027i</v>
      </c>
      <c r="AP410" s="147" t="str">
        <f t="shared" si="224"/>
        <v>-0.00904489677916083-0.166421055218479i</v>
      </c>
      <c r="AQ410" s="147" t="str">
        <f t="shared" si="225"/>
        <v>1.00904489677916+0.166421055218479i</v>
      </c>
      <c r="AR410" s="147" t="str">
        <f t="shared" si="226"/>
        <v>0.803671919900199-0.132549036604983i</v>
      </c>
    </row>
    <row r="411" spans="7:44">
      <c r="G411" s="585">
        <v>38462</v>
      </c>
      <c r="H411" s="573">
        <f t="shared" si="218"/>
        <v>38.462000000000003</v>
      </c>
      <c r="I411" s="574">
        <f t="shared" si="198"/>
        <v>108.6423771021071</v>
      </c>
      <c r="J411" s="575">
        <f t="shared" si="199"/>
        <v>1.5615916854043315</v>
      </c>
      <c r="K411" s="575">
        <f t="shared" si="200"/>
        <v>1.0014123172259506</v>
      </c>
      <c r="L411" s="576">
        <f t="shared" si="201"/>
        <v>5.3116043278483252E-2</v>
      </c>
      <c r="M411" s="575">
        <f t="shared" si="202"/>
        <v>1.0032473674322988</v>
      </c>
      <c r="N411" s="576">
        <f t="shared" si="203"/>
        <v>-8.0481101957246018E-2</v>
      </c>
      <c r="O411" s="574">
        <f t="shared" si="204"/>
        <v>1594981.5618570738</v>
      </c>
      <c r="P411" s="577">
        <f t="shared" si="205"/>
        <v>1.5707956998284012</v>
      </c>
      <c r="Q411" s="586">
        <f t="shared" si="227"/>
        <v>64.338694837355675</v>
      </c>
      <c r="R411" s="587">
        <f t="shared" si="228"/>
        <v>1.5552529548049638</v>
      </c>
      <c r="S411" s="574">
        <f t="shared" si="206"/>
        <v>1.0093999066689439</v>
      </c>
      <c r="T411" s="577">
        <f t="shared" si="207"/>
        <v>0.13657862661900799</v>
      </c>
      <c r="U411" s="578">
        <f t="shared" si="219"/>
        <v>0.72575256580548342</v>
      </c>
      <c r="V411" s="579">
        <f t="shared" si="220"/>
        <v>-0.98037252174730438</v>
      </c>
      <c r="W411" s="580">
        <f t="shared" si="208"/>
        <v>-21.712824467799262</v>
      </c>
      <c r="X411" s="581">
        <f t="shared" si="209"/>
        <v>-155.92763585855468</v>
      </c>
      <c r="Y411" s="584">
        <f t="shared" si="210"/>
        <v>24.07236414144532</v>
      </c>
      <c r="AA411" s="147">
        <f t="shared" si="211"/>
        <v>38462</v>
      </c>
      <c r="AB411" s="147">
        <f t="shared" si="212"/>
        <v>1479325444</v>
      </c>
      <c r="AD411" s="583">
        <f t="shared" si="213"/>
        <v>17.138516491301669</v>
      </c>
      <c r="AE411" s="584">
        <f t="shared" si="214"/>
        <v>-8.7159125788125884</v>
      </c>
      <c r="AG411" s="583">
        <f t="shared" si="215"/>
        <v>-4.6556088718846365</v>
      </c>
      <c r="AH411" s="584">
        <f t="shared" si="216"/>
        <v>-34.869307457936074</v>
      </c>
      <c r="AJ411" s="147">
        <f t="shared" si="217"/>
        <v>0</v>
      </c>
      <c r="AK411" s="147">
        <f t="shared" si="229"/>
        <v>0</v>
      </c>
      <c r="AM411" s="147" t="str">
        <f t="shared" si="221"/>
        <v>1.06366596954107+0.997971264276881i</v>
      </c>
      <c r="AN411" s="147" t="str">
        <f t="shared" si="222"/>
        <v>1.63450538511321i</v>
      </c>
      <c r="AO411" s="147" t="str">
        <f t="shared" si="223"/>
        <v>0.610564684195127-0.650757090939408i</v>
      </c>
      <c r="AP411" s="147" t="str">
        <f t="shared" si="224"/>
        <v>-0.0106109949235118-0.166328544046147i</v>
      </c>
      <c r="AQ411" s="147" t="str">
        <f t="shared" si="225"/>
        <v>1.01061099492351+0.166328544046147i</v>
      </c>
      <c r="AR411" s="147" t="str">
        <f t="shared" si="226"/>
        <v>0.80251586773696-0.132079797790763i</v>
      </c>
    </row>
    <row r="412" spans="7:44">
      <c r="G412" s="585">
        <v>38683.5</v>
      </c>
      <c r="H412" s="573">
        <f t="shared" si="218"/>
        <v>38.683500000000002</v>
      </c>
      <c r="I412" s="574">
        <f t="shared" si="198"/>
        <v>109.26798818747406</v>
      </c>
      <c r="J412" s="575">
        <f t="shared" si="199"/>
        <v>1.5616443878200053</v>
      </c>
      <c r="K412" s="575">
        <f t="shared" si="200"/>
        <v>1.0014286193039454</v>
      </c>
      <c r="L412" s="576">
        <f t="shared" si="201"/>
        <v>5.3421354915909061E-2</v>
      </c>
      <c r="M412" s="575">
        <f t="shared" si="202"/>
        <v>1.0032848164545407</v>
      </c>
      <c r="N412" s="576">
        <f t="shared" si="203"/>
        <v>-8.0942571050555912E-2</v>
      </c>
      <c r="O412" s="574">
        <f t="shared" si="204"/>
        <v>1604166.9504471419</v>
      </c>
      <c r="P412" s="577">
        <f t="shared" si="205"/>
        <v>1.5707957034183835</v>
      </c>
      <c r="Q412" s="586">
        <f t="shared" si="227"/>
        <v>64.709127681260455</v>
      </c>
      <c r="R412" s="587">
        <f t="shared" si="228"/>
        <v>1.5553419412501881</v>
      </c>
      <c r="S412" s="574">
        <f t="shared" si="206"/>
        <v>1.0095079738984467</v>
      </c>
      <c r="T412" s="577">
        <f t="shared" si="207"/>
        <v>0.13735534548927605</v>
      </c>
      <c r="U412" s="578">
        <f t="shared" si="219"/>
        <v>0.72369638920107004</v>
      </c>
      <c r="V412" s="579">
        <f t="shared" si="220"/>
        <v>-0.98472805290870913</v>
      </c>
      <c r="W412" s="580">
        <f t="shared" si="208"/>
        <v>-21.787817935738172</v>
      </c>
      <c r="X412" s="581">
        <f t="shared" si="209"/>
        <v>-156.2285605722148</v>
      </c>
      <c r="Y412" s="584">
        <f t="shared" si="210"/>
        <v>23.771439427785197</v>
      </c>
      <c r="AA412" s="147">
        <f t="shared" si="211"/>
        <v>38683.5</v>
      </c>
      <c r="AB412" s="147">
        <f t="shared" si="212"/>
        <v>1496413172.25</v>
      </c>
      <c r="AD412" s="583">
        <f t="shared" si="213"/>
        <v>17.137574641746266</v>
      </c>
      <c r="AE412" s="584">
        <f t="shared" si="214"/>
        <v>-8.755316949937745</v>
      </c>
      <c r="AG412" s="583">
        <f t="shared" si="215"/>
        <v>-4.680373525091607</v>
      </c>
      <c r="AH412" s="584">
        <f t="shared" si="216"/>
        <v>-34.631720693728298</v>
      </c>
      <c r="AJ412" s="147">
        <f t="shared" si="217"/>
        <v>0</v>
      </c>
      <c r="AK412" s="147">
        <f t="shared" si="229"/>
        <v>0</v>
      </c>
      <c r="AM412" s="147" t="str">
        <f t="shared" si="221"/>
        <v>1.07305691734878+0.997327773015217i</v>
      </c>
      <c r="AN412" s="147" t="str">
        <f t="shared" si="222"/>
        <v>1.64391838867004i</v>
      </c>
      <c r="AO412" s="147" t="str">
        <f t="shared" si="223"/>
        <v>0.606677180502904-0.652743423727319i</v>
      </c>
      <c r="AP412" s="147" t="str">
        <f t="shared" si="224"/>
        <v>-0.012176152891464-0.166221295502536i</v>
      </c>
      <c r="AQ412" s="147" t="str">
        <f t="shared" si="225"/>
        <v>1.01217615289146+0.166221295502536i</v>
      </c>
      <c r="AR412" s="147" t="str">
        <f t="shared" si="226"/>
        <v>0.801367386535664-0.131601920063931i</v>
      </c>
    </row>
    <row r="413" spans="7:44">
      <c r="G413" s="585">
        <v>38905</v>
      </c>
      <c r="H413" s="573">
        <f t="shared" si="218"/>
        <v>38.905000000000001</v>
      </c>
      <c r="I413" s="574">
        <f t="shared" si="198"/>
        <v>109.8935995728822</v>
      </c>
      <c r="J413" s="575">
        <f t="shared" si="199"/>
        <v>1.5616964901784685</v>
      </c>
      <c r="K413" s="575">
        <f t="shared" si="200"/>
        <v>1.0014450147272611</v>
      </c>
      <c r="L413" s="576">
        <f t="shared" si="201"/>
        <v>5.3726656584811558E-2</v>
      </c>
      <c r="M413" s="575">
        <f t="shared" si="202"/>
        <v>1.0033224791140452</v>
      </c>
      <c r="N413" s="576">
        <f t="shared" si="203"/>
        <v>-8.1404005596925177E-2</v>
      </c>
      <c r="O413" s="574">
        <f t="shared" si="204"/>
        <v>1613352.33903721</v>
      </c>
      <c r="P413" s="577">
        <f t="shared" si="205"/>
        <v>1.5707957069674876</v>
      </c>
      <c r="Q413" s="586">
        <f t="shared" si="227"/>
        <v>65.079561031736901</v>
      </c>
      <c r="R413" s="587">
        <f t="shared" si="228"/>
        <v>1.5554299146730723</v>
      </c>
      <c r="S413" s="574">
        <f t="shared" si="206"/>
        <v>1.0096166500256469</v>
      </c>
      <c r="T413" s="577">
        <f t="shared" si="207"/>
        <v>0.13813189761438494</v>
      </c>
      <c r="U413" s="578">
        <f t="shared" si="219"/>
        <v>0.72164383620994232</v>
      </c>
      <c r="V413" s="579">
        <f t="shared" si="220"/>
        <v>-0.98907064899561625</v>
      </c>
      <c r="W413" s="580">
        <f t="shared" si="208"/>
        <v>-21.862555482538262</v>
      </c>
      <c r="X413" s="581">
        <f t="shared" si="209"/>
        <v>-156.52875685748108</v>
      </c>
      <c r="Y413" s="584">
        <f t="shared" si="210"/>
        <v>23.471243142518915</v>
      </c>
      <c r="AA413" s="147">
        <f t="shared" si="211"/>
        <v>38905</v>
      </c>
      <c r="AB413" s="147">
        <f t="shared" si="212"/>
        <v>1513599025</v>
      </c>
      <c r="AD413" s="583">
        <f t="shared" si="213"/>
        <v>17.136627857295604</v>
      </c>
      <c r="AE413" s="584">
        <f t="shared" si="214"/>
        <v>-8.7947698068315923</v>
      </c>
      <c r="AG413" s="583">
        <f t="shared" si="215"/>
        <v>-4.7048243177128644</v>
      </c>
      <c r="AH413" s="584">
        <f t="shared" si="216"/>
        <v>-34.394839265712513</v>
      </c>
      <c r="AJ413" s="147">
        <f t="shared" si="217"/>
        <v>0</v>
      </c>
      <c r="AK413" s="147">
        <f t="shared" si="229"/>
        <v>0</v>
      </c>
      <c r="AM413" s="147" t="str">
        <f t="shared" si="221"/>
        <v>1.08244139202272+0.996595914541775i</v>
      </c>
      <c r="AN413" s="147" t="str">
        <f t="shared" si="222"/>
        <v>1.65333139222686i</v>
      </c>
      <c r="AO413" s="147" t="str">
        <f t="shared" si="223"/>
        <v>0.602780494719493-0.654703223510919i</v>
      </c>
      <c r="AP413" s="147" t="str">
        <f t="shared" si="224"/>
        <v>-0.0137402320037862-0.166099319090296i</v>
      </c>
      <c r="AQ413" s="147" t="str">
        <f t="shared" si="225"/>
        <v>1.01374023200379+0.166099319090296i</v>
      </c>
      <c r="AR413" s="147" t="str">
        <f t="shared" si="226"/>
        <v>0.800226503638073-0.13111551971215i</v>
      </c>
    </row>
    <row r="414" spans="7:44">
      <c r="G414" s="585">
        <v>39131.5</v>
      </c>
      <c r="H414" s="573">
        <f t="shared" si="218"/>
        <v>39.131500000000003</v>
      </c>
      <c r="I414" s="574">
        <f t="shared" si="198"/>
        <v>110.53333341642875</v>
      </c>
      <c r="J414" s="575">
        <f t="shared" si="199"/>
        <v>1.5617491587497812</v>
      </c>
      <c r="K414" s="575">
        <f t="shared" si="200"/>
        <v>1.0014618767754289</v>
      </c>
      <c r="L414" s="576">
        <f t="shared" si="201"/>
        <v>5.403883957185799E-2</v>
      </c>
      <c r="M414" s="575">
        <f t="shared" si="202"/>
        <v>1.0033612128468437</v>
      </c>
      <c r="N414" s="576">
        <f t="shared" si="203"/>
        <v>-8.1875820346839781E-2</v>
      </c>
      <c r="O414" s="574">
        <f t="shared" si="204"/>
        <v>1622745.0727421781</v>
      </c>
      <c r="P414" s="577">
        <f t="shared" si="205"/>
        <v>1.5707957105551578</v>
      </c>
      <c r="Q414" s="586">
        <f t="shared" si="227"/>
        <v>65.458356823753448</v>
      </c>
      <c r="R414" s="587">
        <f t="shared" si="228"/>
        <v>1.5555188442880079</v>
      </c>
      <c r="S414" s="574">
        <f t="shared" si="206"/>
        <v>1.009728408803849</v>
      </c>
      <c r="T414" s="577">
        <f t="shared" si="207"/>
        <v>0.13892580577964517</v>
      </c>
      <c r="U414" s="578">
        <f t="shared" si="219"/>
        <v>0.71954876071290874</v>
      </c>
      <c r="V414" s="579">
        <f t="shared" si="220"/>
        <v>-0.99349798534424916</v>
      </c>
      <c r="W414" s="580">
        <f t="shared" si="208"/>
        <v>-21.938718088265794</v>
      </c>
      <c r="X414" s="581">
        <f t="shared" si="209"/>
        <v>-156.83498095936952</v>
      </c>
      <c r="Y414" s="584">
        <f t="shared" si="210"/>
        <v>23.165019040630483</v>
      </c>
      <c r="AA414" s="147">
        <f t="shared" si="211"/>
        <v>39131.5</v>
      </c>
      <c r="AB414" s="147">
        <f t="shared" si="212"/>
        <v>1531274292.25</v>
      </c>
      <c r="AD414" s="583">
        <f t="shared" si="213"/>
        <v>17.135654596191475</v>
      </c>
      <c r="AE414" s="584">
        <f t="shared" si="214"/>
        <v>-8.8351623080169563</v>
      </c>
      <c r="AG414" s="583">
        <f t="shared" si="215"/>
        <v>-4.729506582551541</v>
      </c>
      <c r="AH414" s="584">
        <f t="shared" si="216"/>
        <v>-34.153335491312809</v>
      </c>
      <c r="AJ414" s="147">
        <f t="shared" si="217"/>
        <v>0</v>
      </c>
      <c r="AK414" s="147">
        <f t="shared" si="229"/>
        <v>0</v>
      </c>
      <c r="AM414" s="147" t="str">
        <f t="shared" si="221"/>
        <v>1.09203014555581+0.99575622132577i</v>
      </c>
      <c r="AN414" s="147" t="str">
        <f t="shared" si="222"/>
        <v>1.66295687893395i</v>
      </c>
      <c r="AO414" s="147" t="str">
        <f t="shared" si="223"/>
        <v>0.598786555406119-0.656679772872922i</v>
      </c>
      <c r="AP414" s="147" t="str">
        <f t="shared" si="224"/>
        <v>-0.0153383575926354-0.165959370220962i</v>
      </c>
      <c r="AQ414" s="147" t="str">
        <f t="shared" si="225"/>
        <v>1.01533835759264+0.165959370220962i</v>
      </c>
      <c r="AR414" s="147" t="str">
        <f t="shared" si="226"/>
        <v>0.799067751611111-0.130609446426986i</v>
      </c>
    </row>
    <row r="415" spans="7:44">
      <c r="G415" s="585">
        <v>39358</v>
      </c>
      <c r="H415" s="573">
        <f t="shared" si="218"/>
        <v>39.357999999999997</v>
      </c>
      <c r="I415" s="574">
        <f t="shared" si="198"/>
        <v>111.17306756306358</v>
      </c>
      <c r="J415" s="575">
        <f t="shared" si="199"/>
        <v>1.5618012211693286</v>
      </c>
      <c r="K415" s="575">
        <f t="shared" si="200"/>
        <v>1.0014788364209939</v>
      </c>
      <c r="L415" s="576">
        <f t="shared" si="201"/>
        <v>5.4351012015938019E-2</v>
      </c>
      <c r="M415" s="575">
        <f t="shared" si="202"/>
        <v>1.0034001699197637</v>
      </c>
      <c r="N415" s="576">
        <f t="shared" si="203"/>
        <v>-8.2347598565296776E-2</v>
      </c>
      <c r="O415" s="574">
        <f t="shared" si="204"/>
        <v>1632137.8064471462</v>
      </c>
      <c r="P415" s="577">
        <f t="shared" si="205"/>
        <v>1.5707957141015345</v>
      </c>
      <c r="Q415" s="586">
        <f t="shared" si="227"/>
        <v>65.837153127488932</v>
      </c>
      <c r="R415" s="587">
        <f t="shared" si="228"/>
        <v>1.5556067505844928</v>
      </c>
      <c r="S415" s="574">
        <f t="shared" si="206"/>
        <v>1.009840803862847</v>
      </c>
      <c r="T415" s="577">
        <f t="shared" si="207"/>
        <v>0.13971953772148649</v>
      </c>
      <c r="U415" s="578">
        <f t="shared" si="219"/>
        <v>0.71745760088557686</v>
      </c>
      <c r="V415" s="579">
        <f t="shared" si="220"/>
        <v>-0.99791197826092393</v>
      </c>
      <c r="W415" s="580">
        <f t="shared" si="208"/>
        <v>-22.01461838737718</v>
      </c>
      <c r="X415" s="581">
        <f t="shared" si="209"/>
        <v>-157.14045285255713</v>
      </c>
      <c r="Y415" s="584">
        <f t="shared" si="210"/>
        <v>22.859547147442868</v>
      </c>
      <c r="AA415" s="147">
        <f t="shared" si="211"/>
        <v>39358</v>
      </c>
      <c r="AB415" s="147">
        <f t="shared" si="212"/>
        <v>1549052164</v>
      </c>
      <c r="AD415" s="583">
        <f t="shared" si="213"/>
        <v>17.134676172409776</v>
      </c>
      <c r="AE415" s="584">
        <f t="shared" si="214"/>
        <v>-8.8756033418066114</v>
      </c>
      <c r="AG415" s="583">
        <f t="shared" si="215"/>
        <v>-4.7538689147013962</v>
      </c>
      <c r="AH415" s="584">
        <f t="shared" si="216"/>
        <v>-33.912560020280608</v>
      </c>
      <c r="AJ415" s="147">
        <f t="shared" si="217"/>
        <v>0</v>
      </c>
      <c r="AK415" s="147">
        <f t="shared" si="229"/>
        <v>0</v>
      </c>
      <c r="AM415" s="147" t="str">
        <f t="shared" si="221"/>
        <v>1.10161037256228+0.994824272013784i</v>
      </c>
      <c r="AN415" s="147" t="str">
        <f t="shared" si="222"/>
        <v>1.67258236564104i</v>
      </c>
      <c r="AO415" s="147" t="str">
        <f t="shared" si="223"/>
        <v>0.594783427381469-0.65862847486143i</v>
      </c>
      <c r="AP415" s="147" t="str">
        <f t="shared" si="224"/>
        <v>-0.0169350620937125-0.165804045335631i</v>
      </c>
      <c r="AQ415" s="147" t="str">
        <f t="shared" si="225"/>
        <v>1.01693506209371+0.165804045335631i</v>
      </c>
      <c r="AR415" s="147" t="str">
        <f t="shared" si="226"/>
        <v>0.797916997863412-0.130094704194224i</v>
      </c>
    </row>
    <row r="416" spans="7:44">
      <c r="G416" s="585">
        <v>39584.5</v>
      </c>
      <c r="H416" s="573">
        <f t="shared" si="218"/>
        <v>39.584499999999998</v>
      </c>
      <c r="I416" s="574">
        <f t="shared" si="198"/>
        <v>111.81280200758438</v>
      </c>
      <c r="J416" s="575">
        <f t="shared" si="199"/>
        <v>1.5618526878410774</v>
      </c>
      <c r="K416" s="575">
        <f t="shared" si="200"/>
        <v>1.0014958936589977</v>
      </c>
      <c r="L416" s="576">
        <f t="shared" si="201"/>
        <v>5.4663173856745399E-2</v>
      </c>
      <c r="M416" s="575">
        <f t="shared" si="202"/>
        <v>1.0034393503067931</v>
      </c>
      <c r="N416" s="576">
        <f t="shared" si="203"/>
        <v>-8.2819340046551476E-2</v>
      </c>
      <c r="O416" s="574">
        <f t="shared" si="204"/>
        <v>1641530.5401521146</v>
      </c>
      <c r="P416" s="577">
        <f t="shared" si="205"/>
        <v>1.5707957176073271</v>
      </c>
      <c r="Q416" s="586">
        <f t="shared" si="227"/>
        <v>66.215949934161316</v>
      </c>
      <c r="R416" s="587">
        <f t="shared" si="228"/>
        <v>1.5556936511232287</v>
      </c>
      <c r="S416" s="574">
        <f t="shared" si="206"/>
        <v>1.0099538349902113</v>
      </c>
      <c r="T416" s="577">
        <f t="shared" si="207"/>
        <v>0.14051309249879215</v>
      </c>
      <c r="U416" s="578">
        <f t="shared" si="219"/>
        <v>0.71537041797060352</v>
      </c>
      <c r="V416" s="579">
        <f t="shared" si="220"/>
        <v>-1.0023127203103424</v>
      </c>
      <c r="W416" s="580">
        <f t="shared" si="208"/>
        <v>-22.090258991006749</v>
      </c>
      <c r="X416" s="581">
        <f t="shared" si="209"/>
        <v>-157.44517736834558</v>
      </c>
      <c r="Y416" s="584">
        <f t="shared" si="210"/>
        <v>22.554822631654417</v>
      </c>
      <c r="AA416" s="147">
        <f t="shared" si="211"/>
        <v>39584.5</v>
      </c>
      <c r="AB416" s="147">
        <f t="shared" si="212"/>
        <v>1566932640.25</v>
      </c>
      <c r="AD416" s="583">
        <f t="shared" si="213"/>
        <v>17.133692584932511</v>
      </c>
      <c r="AE416" s="584">
        <f t="shared" si="214"/>
        <v>-8.9160918481650633</v>
      </c>
      <c r="AG416" s="583">
        <f t="shared" si="215"/>
        <v>-4.7779153815393203</v>
      </c>
      <c r="AH416" s="584">
        <f t="shared" si="216"/>
        <v>-33.672508136819523</v>
      </c>
      <c r="AJ416" s="147">
        <f t="shared" si="217"/>
        <v>0</v>
      </c>
      <c r="AK416" s="147">
        <f t="shared" si="229"/>
        <v>0</v>
      </c>
      <c r="AM416" s="147" t="str">
        <f t="shared" si="221"/>
        <v>1.11118118544098+0.993800152950249i</v>
      </c>
      <c r="AN416" s="147" t="str">
        <f t="shared" si="222"/>
        <v>1.68220785234813i</v>
      </c>
      <c r="AO416" s="147" t="str">
        <f t="shared" si="223"/>
        <v>0.590771319705256-0.660549279858565i</v>
      </c>
      <c r="AP416" s="147" t="str">
        <f t="shared" si="224"/>
        <v>-0.0185301975734963-0.165633358825042i</v>
      </c>
      <c r="AQ416" s="147" t="str">
        <f t="shared" si="225"/>
        <v>1.0185301975735+0.165633358825042i</v>
      </c>
      <c r="AR416" s="147" t="str">
        <f t="shared" si="226"/>
        <v>0.796774266880701-0.129571414144829i</v>
      </c>
    </row>
    <row r="417" spans="7:44">
      <c r="G417" s="585">
        <v>39811</v>
      </c>
      <c r="H417" s="573">
        <f t="shared" si="218"/>
        <v>39.811</v>
      </c>
      <c r="I417" s="574">
        <f t="shared" si="198"/>
        <v>112.45253674490716</v>
      </c>
      <c r="J417" s="575">
        <f t="shared" si="199"/>
        <v>1.5619035689322573</v>
      </c>
      <c r="K417" s="575">
        <f t="shared" si="200"/>
        <v>1.0015130484844541</v>
      </c>
      <c r="L417" s="576">
        <f t="shared" si="201"/>
        <v>5.4975325033986208E-2</v>
      </c>
      <c r="M417" s="575">
        <f t="shared" si="202"/>
        <v>1.003478753981774</v>
      </c>
      <c r="N417" s="576">
        <f t="shared" si="203"/>
        <v>-8.3291044584956703E-2</v>
      </c>
      <c r="O417" s="574">
        <f t="shared" si="204"/>
        <v>1650923.2738570829</v>
      </c>
      <c r="P417" s="577">
        <f t="shared" si="205"/>
        <v>1.5707957210732282</v>
      </c>
      <c r="Q417" s="586">
        <f t="shared" si="227"/>
        <v>66.594747235188379</v>
      </c>
      <c r="R417" s="587">
        <f t="shared" si="228"/>
        <v>1.5557795630654312</v>
      </c>
      <c r="S417" s="574">
        <f t="shared" si="206"/>
        <v>1.010067501972405</v>
      </c>
      <c r="T417" s="577">
        <f t="shared" si="207"/>
        <v>0.14130646917175801</v>
      </c>
      <c r="U417" s="578">
        <f t="shared" si="219"/>
        <v>0.71328727138382164</v>
      </c>
      <c r="V417" s="579">
        <f t="shared" si="220"/>
        <v>-1.0067003043313323</v>
      </c>
      <c r="W417" s="580">
        <f t="shared" si="208"/>
        <v>-22.165642466278182</v>
      </c>
      <c r="X417" s="581">
        <f t="shared" si="209"/>
        <v>-157.74915936314679</v>
      </c>
      <c r="Y417" s="584">
        <f t="shared" si="210"/>
        <v>22.250840636853212</v>
      </c>
      <c r="AA417" s="147">
        <f t="shared" si="211"/>
        <v>39811</v>
      </c>
      <c r="AB417" s="147">
        <f t="shared" si="212"/>
        <v>1584915721</v>
      </c>
      <c r="AD417" s="583">
        <f t="shared" si="213"/>
        <v>17.132703832891757</v>
      </c>
      <c r="AE417" s="584">
        <f t="shared" si="214"/>
        <v>-8.9566267900199925</v>
      </c>
      <c r="AG417" s="583">
        <f t="shared" si="215"/>
        <v>-4.8016499800648758</v>
      </c>
      <c r="AH417" s="584">
        <f t="shared" si="216"/>
        <v>-33.433175095867753</v>
      </c>
      <c r="AJ417" s="147">
        <f t="shared" si="217"/>
        <v>0</v>
      </c>
      <c r="AK417" s="147">
        <f t="shared" si="229"/>
        <v>0</v>
      </c>
      <c r="AM417" s="147" t="str">
        <f t="shared" si="221"/>
        <v>1.12074169746302+0.992683959019057i</v>
      </c>
      <c r="AN417" s="147" t="str">
        <f t="shared" si="222"/>
        <v>1.69183333905523i</v>
      </c>
      <c r="AO417" s="147" t="str">
        <f t="shared" si="223"/>
        <v>0.586750441726962-0.6624421398912i</v>
      </c>
      <c r="AP417" s="147" t="str">
        <f t="shared" si="224"/>
        <v>-0.0201236162438368-0.165447326503176i</v>
      </c>
      <c r="AQ417" s="147" t="str">
        <f t="shared" si="225"/>
        <v>1.02012361624384+0.165447326503176i</v>
      </c>
      <c r="AR417" s="147" t="str">
        <f t="shared" si="226"/>
        <v>0.795639581623571-0.129039696310942i</v>
      </c>
    </row>
    <row r="418" spans="7:44">
      <c r="G418" s="585">
        <v>40042.75</v>
      </c>
      <c r="H418" s="573">
        <f t="shared" si="218"/>
        <v>40.042749999999998</v>
      </c>
      <c r="I418" s="574">
        <f t="shared" si="198"/>
        <v>113.10710006872216</v>
      </c>
      <c r="J418" s="575">
        <f t="shared" si="199"/>
        <v>1.5619550336524801</v>
      </c>
      <c r="K418" s="575">
        <f t="shared" si="200"/>
        <v>1.0015307019396928</v>
      </c>
      <c r="L418" s="576">
        <f t="shared" si="201"/>
        <v>5.5294700403354942E-2</v>
      </c>
      <c r="M418" s="575">
        <f t="shared" si="202"/>
        <v>1.00351930207079</v>
      </c>
      <c r="N418" s="576">
        <f t="shared" si="203"/>
        <v>-8.3773644220660956E-2</v>
      </c>
      <c r="O418" s="574">
        <f t="shared" si="204"/>
        <v>1660533.7199326961</v>
      </c>
      <c r="P418" s="577">
        <f t="shared" si="205"/>
        <v>1.5707957245788813</v>
      </c>
      <c r="Q418" s="586">
        <f t="shared" si="227"/>
        <v>66.982325109034122</v>
      </c>
      <c r="R418" s="587">
        <f t="shared" si="228"/>
        <v>1.5558664606027481</v>
      </c>
      <c r="S418" s="574">
        <f t="shared" si="206"/>
        <v>1.0101844615290374</v>
      </c>
      <c r="T418" s="577">
        <f t="shared" si="207"/>
        <v>0.14211805004683895</v>
      </c>
      <c r="U418" s="578">
        <f t="shared" si="219"/>
        <v>0.71116007777617929</v>
      </c>
      <c r="V418" s="579">
        <f t="shared" si="220"/>
        <v>-1.0111760653787338</v>
      </c>
      <c r="W418" s="580">
        <f t="shared" si="208"/>
        <v>-22.242509736010856</v>
      </c>
      <c r="X418" s="581">
        <f t="shared" si="209"/>
        <v>-158.05942385206066</v>
      </c>
      <c r="Y418" s="584">
        <f t="shared" si="210"/>
        <v>21.940576147939339</v>
      </c>
      <c r="AA418" s="147">
        <f t="shared" si="211"/>
        <v>40042.75</v>
      </c>
      <c r="AB418" s="147">
        <f t="shared" si="212"/>
        <v>1603421827.5625</v>
      </c>
      <c r="AD418" s="583">
        <f t="shared" si="213"/>
        <v>17.131686816491253</v>
      </c>
      <c r="AE418" s="584">
        <f t="shared" si="214"/>
        <v>-8.9981482876638879</v>
      </c>
      <c r="AG418" s="583">
        <f t="shared" si="215"/>
        <v>-4.8256160197461595</v>
      </c>
      <c r="AH418" s="584">
        <f t="shared" si="216"/>
        <v>-33.189033650301354</v>
      </c>
      <c r="AJ418" s="147">
        <f t="shared" si="217"/>
        <v>0</v>
      </c>
      <c r="AK418" s="147">
        <f t="shared" si="229"/>
        <v>0</v>
      </c>
      <c r="AM418" s="147" t="str">
        <f t="shared" si="221"/>
        <v>1.13051222510431+0.991446700079395i</v>
      </c>
      <c r="AN418" s="147" t="str">
        <f t="shared" si="222"/>
        <v>1.7016819330701i</v>
      </c>
      <c r="AO418" s="147" t="str">
        <f t="shared" si="223"/>
        <v>0.582627505652992-0.66434990178493i</v>
      </c>
      <c r="AP418" s="147" t="str">
        <f t="shared" si="224"/>
        <v>-0.0217520375173847-0.165241116679899i</v>
      </c>
      <c r="AQ418" s="147" t="str">
        <f t="shared" si="225"/>
        <v>1.02175203751738+0.165241116679899i</v>
      </c>
      <c r="AR418" s="147" t="str">
        <f t="shared" si="226"/>
        <v>0.794486945725304-0.128487054861408i</v>
      </c>
    </row>
    <row r="419" spans="7:44">
      <c r="G419" s="585">
        <v>40274.5</v>
      </c>
      <c r="H419" s="573">
        <f t="shared" si="218"/>
        <v>40.274500000000003</v>
      </c>
      <c r="I419" s="574">
        <f t="shared" si="198"/>
        <v>113.76166368866717</v>
      </c>
      <c r="J419" s="575">
        <f t="shared" si="199"/>
        <v>1.5620059061358298</v>
      </c>
      <c r="K419" s="575">
        <f t="shared" si="200"/>
        <v>1.0015484575480835</v>
      </c>
      <c r="L419" s="576">
        <f t="shared" si="201"/>
        <v>5.5614064481424613E-2</v>
      </c>
      <c r="M419" s="575">
        <f t="shared" si="202"/>
        <v>1.0035600838629501</v>
      </c>
      <c r="N419" s="576">
        <f t="shared" si="203"/>
        <v>-8.4256204745827915E-2</v>
      </c>
      <c r="O419" s="574">
        <f t="shared" si="204"/>
        <v>1670144.1660083095</v>
      </c>
      <c r="P419" s="577">
        <f t="shared" si="205"/>
        <v>1.5707957280441898</v>
      </c>
      <c r="Q419" s="586">
        <f t="shared" si="227"/>
        <v>67.369903482855904</v>
      </c>
      <c r="R419" s="587">
        <f t="shared" si="228"/>
        <v>1.5559523582993995</v>
      </c>
      <c r="S419" s="574">
        <f t="shared" si="206"/>
        <v>1.0103020863030081</v>
      </c>
      <c r="T419" s="577">
        <f t="shared" si="207"/>
        <v>0.14292944247907621</v>
      </c>
      <c r="U419" s="578">
        <f t="shared" si="219"/>
        <v>0.70903722988868911</v>
      </c>
      <c r="V419" s="579">
        <f t="shared" si="220"/>
        <v>-1.0156382487955584</v>
      </c>
      <c r="W419" s="580">
        <f t="shared" si="208"/>
        <v>-22.319113120725653</v>
      </c>
      <c r="X419" s="581">
        <f t="shared" si="209"/>
        <v>-158.3689213608067</v>
      </c>
      <c r="Y419" s="584">
        <f t="shared" si="210"/>
        <v>21.631078639193305</v>
      </c>
      <c r="AA419" s="147">
        <f t="shared" si="211"/>
        <v>40274.5</v>
      </c>
      <c r="AB419" s="147">
        <f t="shared" si="212"/>
        <v>1622035350.25</v>
      </c>
      <c r="AD419" s="583">
        <f t="shared" si="213"/>
        <v>17.130664391959225</v>
      </c>
      <c r="AE419" s="584">
        <f t="shared" si="214"/>
        <v>-9.0397162726669702</v>
      </c>
      <c r="AG419" s="583">
        <f t="shared" si="215"/>
        <v>-4.8492638123268552</v>
      </c>
      <c r="AH419" s="584">
        <f t="shared" si="216"/>
        <v>-32.945634619065402</v>
      </c>
      <c r="AJ419" s="147">
        <f t="shared" si="217"/>
        <v>0</v>
      </c>
      <c r="AK419" s="147">
        <f t="shared" si="229"/>
        <v>0</v>
      </c>
      <c r="AM419" s="147" t="str">
        <f t="shared" si="221"/>
        <v>1.14027009384021+0.990113276738605i</v>
      </c>
      <c r="AN419" s="147" t="str">
        <f t="shared" si="222"/>
        <v>1.71153052708497i</v>
      </c>
      <c r="AO419" s="147" t="str">
        <f t="shared" si="223"/>
        <v>0.578495832279976-0.666228311908807i</v>
      </c>
      <c r="AP419" s="147" t="str">
        <f t="shared" si="224"/>
        <v>-0.023378348973369-0.165018879456434i</v>
      </c>
      <c r="AQ419" s="147" t="str">
        <f t="shared" si="225"/>
        <v>1.02337834897337+0.165018879456434i</v>
      </c>
      <c r="AR419" s="147" t="str">
        <f t="shared" si="226"/>
        <v>0.793342776759234-0.127925841089952i</v>
      </c>
    </row>
    <row r="420" spans="7:44">
      <c r="G420" s="585">
        <v>40506.25</v>
      </c>
      <c r="H420" s="573">
        <f t="shared" si="218"/>
        <v>40.506250000000001</v>
      </c>
      <c r="I420" s="574">
        <f t="shared" si="198"/>
        <v>114.41622759965981</v>
      </c>
      <c r="J420" s="575">
        <f t="shared" si="199"/>
        <v>1.5620561965464268</v>
      </c>
      <c r="K420" s="575">
        <f t="shared" si="200"/>
        <v>1.0015663153041929</v>
      </c>
      <c r="L420" s="576">
        <f t="shared" si="201"/>
        <v>5.5933417203651414E-2</v>
      </c>
      <c r="M420" s="575">
        <f t="shared" si="202"/>
        <v>1.0036010993297639</v>
      </c>
      <c r="N420" s="576">
        <f t="shared" si="203"/>
        <v>-8.4738725940496598E-2</v>
      </c>
      <c r="O420" s="574">
        <f t="shared" si="204"/>
        <v>1679754.6120839226</v>
      </c>
      <c r="P420" s="577">
        <f t="shared" si="205"/>
        <v>1.5707957314698457</v>
      </c>
      <c r="Q420" s="586">
        <f t="shared" si="227"/>
        <v>67.757482348074063</v>
      </c>
      <c r="R420" s="587">
        <f t="shared" si="228"/>
        <v>1.5560372733116414</v>
      </c>
      <c r="S420" s="574">
        <f t="shared" si="206"/>
        <v>1.0104203760620001</v>
      </c>
      <c r="T420" s="577">
        <f t="shared" si="207"/>
        <v>0.14374064546609522</v>
      </c>
      <c r="U420" s="578">
        <f t="shared" si="219"/>
        <v>0.70691878560808707</v>
      </c>
      <c r="V420" s="579">
        <f t="shared" si="220"/>
        <v>-1.0200869548057414</v>
      </c>
      <c r="W420" s="580">
        <f t="shared" si="208"/>
        <v>-22.395455234855277</v>
      </c>
      <c r="X420" s="581">
        <f t="shared" si="209"/>
        <v>-158.67765716487659</v>
      </c>
      <c r="Y420" s="584">
        <f t="shared" si="210"/>
        <v>21.322342835123408</v>
      </c>
      <c r="AA420" s="147">
        <f t="shared" si="211"/>
        <v>40506.25</v>
      </c>
      <c r="AB420" s="147">
        <f t="shared" si="212"/>
        <v>1640756289.0625</v>
      </c>
      <c r="AD420" s="583">
        <f t="shared" si="213"/>
        <v>17.129636558824991</v>
      </c>
      <c r="AE420" s="584">
        <f t="shared" si="214"/>
        <v>-9.0813297046559853</v>
      </c>
      <c r="AG420" s="583">
        <f t="shared" si="215"/>
        <v>-4.8725974194778114</v>
      </c>
      <c r="AH420" s="584">
        <f t="shared" si="216"/>
        <v>-32.702972833207859</v>
      </c>
      <c r="AJ420" s="147">
        <f t="shared" si="217"/>
        <v>0</v>
      </c>
      <c r="AK420" s="147">
        <f t="shared" si="229"/>
        <v>0</v>
      </c>
      <c r="AM420" s="147" t="str">
        <f t="shared" si="221"/>
        <v>1.15001435721582+0.988683818330776i</v>
      </c>
      <c r="AN420" s="147" t="str">
        <f t="shared" si="222"/>
        <v>1.72137912109984i</v>
      </c>
      <c r="AO420" s="147" t="str">
        <f t="shared" si="223"/>
        <v>0.574355646709062-0.668077324233514i</v>
      </c>
      <c r="AP420" s="147" t="str">
        <f t="shared" si="224"/>
        <v>-0.0250023928693037-0.164780636388463i</v>
      </c>
      <c r="AQ420" s="147" t="str">
        <f t="shared" si="225"/>
        <v>1.0250023928693+0.164780636388463i</v>
      </c>
      <c r="AR420" s="147" t="str">
        <f t="shared" si="226"/>
        <v>0.792207094605824-0.127356179955034i</v>
      </c>
    </row>
    <row r="421" spans="7:44">
      <c r="G421" s="585">
        <v>40738</v>
      </c>
      <c r="H421" s="573">
        <f t="shared" si="218"/>
        <v>40.738</v>
      </c>
      <c r="I421" s="574">
        <f t="shared" si="198"/>
        <v>115.07079179673332</v>
      </c>
      <c r="J421" s="575">
        <f t="shared" si="199"/>
        <v>1.5621059148171339</v>
      </c>
      <c r="K421" s="575">
        <f t="shared" si="200"/>
        <v>1.0015842752025577</v>
      </c>
      <c r="L421" s="576">
        <f t="shared" si="201"/>
        <v>5.6252758505505374E-2</v>
      </c>
      <c r="M421" s="575">
        <f t="shared" si="202"/>
        <v>1.0036423484425834</v>
      </c>
      <c r="N421" s="576">
        <f t="shared" si="203"/>
        <v>-8.5221207584815106E-2</v>
      </c>
      <c r="O421" s="574">
        <f t="shared" si="204"/>
        <v>1689365.058159536</v>
      </c>
      <c r="P421" s="577">
        <f t="shared" si="205"/>
        <v>1.570795734856526</v>
      </c>
      <c r="Q421" s="586">
        <f t="shared" si="227"/>
        <v>68.145061696304012</v>
      </c>
      <c r="R421" s="587">
        <f t="shared" si="228"/>
        <v>1.5561212224054777</v>
      </c>
      <c r="S421" s="574">
        <f t="shared" si="206"/>
        <v>1.0105393305724915</v>
      </c>
      <c r="T421" s="577">
        <f t="shared" si="207"/>
        <v>0.14455165800698666</v>
      </c>
      <c r="U421" s="578">
        <f t="shared" si="219"/>
        <v>0.70480480094087972</v>
      </c>
      <c r="V421" s="579">
        <f t="shared" si="220"/>
        <v>-1.0245222838592927</v>
      </c>
      <c r="W421" s="580">
        <f t="shared" si="208"/>
        <v>-22.471538649662556</v>
      </c>
      <c r="X421" s="581">
        <f t="shared" si="209"/>
        <v>-158.98563656191354</v>
      </c>
      <c r="Y421" s="584">
        <f t="shared" si="210"/>
        <v>21.014363438086463</v>
      </c>
      <c r="AA421" s="147">
        <f t="shared" si="211"/>
        <v>40738</v>
      </c>
      <c r="AB421" s="147">
        <f t="shared" si="212"/>
        <v>1659584644</v>
      </c>
      <c r="AD421" s="583">
        <f t="shared" si="213"/>
        <v>17.128603316763481</v>
      </c>
      <c r="AE421" s="584">
        <f t="shared" si="214"/>
        <v>-9.1229875657005746</v>
      </c>
      <c r="AG421" s="583">
        <f t="shared" si="215"/>
        <v>-4.8956208317005387</v>
      </c>
      <c r="AH421" s="584">
        <f t="shared" si="216"/>
        <v>-32.461043097578916</v>
      </c>
      <c r="AJ421" s="147">
        <f t="shared" si="217"/>
        <v>0</v>
      </c>
      <c r="AK421" s="147">
        <f t="shared" si="229"/>
        <v>0</v>
      </c>
      <c r="AM421" s="147" t="str">
        <f t="shared" si="221"/>
        <v>1.15974407009586+0.987158463504827i</v>
      </c>
      <c r="AN421" s="147" t="str">
        <f t="shared" si="222"/>
        <v>1.73122771511471i</v>
      </c>
      <c r="AO421" s="147" t="str">
        <f t="shared" si="223"/>
        <v>0.570207174299667-0.669896894539385i</v>
      </c>
      <c r="AP421" s="147" t="str">
        <f t="shared" si="224"/>
        <v>-0.0266240116826425-0.164526410584138i</v>
      </c>
      <c r="AQ421" s="147" t="str">
        <f t="shared" si="225"/>
        <v>1.02662401168264+0.164526410584138i</v>
      </c>
      <c r="AR421" s="147" t="str">
        <f t="shared" si="226"/>
        <v>0.791079917636923-0.126778195184307i</v>
      </c>
    </row>
    <row r="422" spans="7:44">
      <c r="G422" s="585">
        <v>40975.25</v>
      </c>
      <c r="H422" s="573">
        <f t="shared" si="218"/>
        <v>40.975250000000003</v>
      </c>
      <c r="I422" s="574">
        <f t="shared" si="198"/>
        <v>115.74089071047374</v>
      </c>
      <c r="J422" s="575">
        <f t="shared" si="199"/>
        <v>1.5621562304914454</v>
      </c>
      <c r="K422" s="575">
        <f t="shared" si="200"/>
        <v>1.0016027671350924</v>
      </c>
      <c r="L422" s="576">
        <f t="shared" si="201"/>
        <v>5.6579666667833178E-2</v>
      </c>
      <c r="M422" s="575">
        <f t="shared" si="202"/>
        <v>1.0036848184979705</v>
      </c>
      <c r="N422" s="576">
        <f t="shared" si="203"/>
        <v>-8.5715098511588261E-2</v>
      </c>
      <c r="O422" s="574">
        <f t="shared" si="204"/>
        <v>1699203.5838615394</v>
      </c>
      <c r="P422" s="577">
        <f t="shared" si="205"/>
        <v>1.5707957382838968</v>
      </c>
      <c r="Q422" s="586">
        <f t="shared" si="227"/>
        <v>68.541839751705595</v>
      </c>
      <c r="R422" s="587">
        <f t="shared" si="228"/>
        <v>1.5562061803495624</v>
      </c>
      <c r="S422" s="574">
        <f t="shared" si="206"/>
        <v>1.010661796525294</v>
      </c>
      <c r="T422" s="577">
        <f t="shared" si="207"/>
        <v>0.14538171955607165</v>
      </c>
      <c r="U422" s="578">
        <f t="shared" si="219"/>
        <v>0.70264532235336497</v>
      </c>
      <c r="V422" s="579">
        <f t="shared" si="220"/>
        <v>-1.0290491223981404</v>
      </c>
      <c r="W422" s="580">
        <f t="shared" si="208"/>
        <v>-22.549162370815807</v>
      </c>
      <c r="X422" s="581">
        <f t="shared" si="209"/>
        <v>-159.30014707676193</v>
      </c>
      <c r="Y422" s="584">
        <f t="shared" si="210"/>
        <v>20.699852923238069</v>
      </c>
      <c r="AA422" s="147">
        <f t="shared" si="211"/>
        <v>40975.25</v>
      </c>
      <c r="AB422" s="147">
        <f t="shared" si="212"/>
        <v>1678971112.5625</v>
      </c>
      <c r="AD422" s="583">
        <f t="shared" si="213"/>
        <v>17.127539950123111</v>
      </c>
      <c r="AE422" s="584">
        <f t="shared" si="214"/>
        <v>-9.1656790539897308</v>
      </c>
      <c r="AG422" s="583">
        <f t="shared" si="215"/>
        <v>-4.9188734146758257</v>
      </c>
      <c r="AH422" s="584">
        <f t="shared" si="216"/>
        <v>-32.214124637919177</v>
      </c>
      <c r="AJ422" s="147">
        <f t="shared" si="217"/>
        <v>0</v>
      </c>
      <c r="AK422" s="147">
        <f t="shared" si="229"/>
        <v>0</v>
      </c>
      <c r="AM422" s="147" t="str">
        <f t="shared" si="221"/>
        <v>1.16968863521677+0.985497725557126i</v>
      </c>
      <c r="AN422" s="147" t="str">
        <f t="shared" si="222"/>
        <v>1.74131004059488i</v>
      </c>
      <c r="AO422" s="147" t="str">
        <f t="shared" si="223"/>
        <v>0.565951899766484-0.671729105069176i</v>
      </c>
      <c r="AP422" s="147" t="str">
        <f t="shared" si="224"/>
        <v>-0.0282814392027955-0.164249620926188i</v>
      </c>
      <c r="AQ422" s="147" t="str">
        <f t="shared" si="225"/>
        <v>1.0282814392028+0.164249620926188i</v>
      </c>
      <c r="AR422" s="147" t="str">
        <f t="shared" si="226"/>
        <v>0.789934817966537-0.126177998999953i</v>
      </c>
    </row>
    <row r="423" spans="7:44">
      <c r="G423" s="585">
        <v>41212.5</v>
      </c>
      <c r="H423" s="573">
        <f t="shared" si="218"/>
        <v>41.212499999999999</v>
      </c>
      <c r="I423" s="574">
        <f t="shared" si="198"/>
        <v>116.41098991385815</v>
      </c>
      <c r="J423" s="575">
        <f t="shared" si="199"/>
        <v>1.5622059668993828</v>
      </c>
      <c r="K423" s="575">
        <f t="shared" si="200"/>
        <v>1.0016213661039011</v>
      </c>
      <c r="L423" s="576">
        <f t="shared" si="201"/>
        <v>5.6906562724469915E-2</v>
      </c>
      <c r="M423" s="575">
        <f t="shared" si="202"/>
        <v>1.0037275333596831</v>
      </c>
      <c r="N423" s="576">
        <f t="shared" si="203"/>
        <v>-8.6208947522542947E-2</v>
      </c>
      <c r="O423" s="574">
        <f t="shared" si="204"/>
        <v>1709042.1095635428</v>
      </c>
      <c r="P423" s="577">
        <f t="shared" si="205"/>
        <v>1.5707957416718066</v>
      </c>
      <c r="Q423" s="586">
        <f t="shared" si="227"/>
        <v>68.938618296137236</v>
      </c>
      <c r="R423" s="587">
        <f t="shared" si="228"/>
        <v>1.5562901603376178</v>
      </c>
      <c r="S423" s="574">
        <f t="shared" si="206"/>
        <v>1.010784958657255</v>
      </c>
      <c r="T423" s="577">
        <f t="shared" si="207"/>
        <v>0.14621157939412646</v>
      </c>
      <c r="U423" s="578">
        <f t="shared" si="219"/>
        <v>0.70049063044614757</v>
      </c>
      <c r="V423" s="579">
        <f t="shared" si="220"/>
        <v>-1.0335621552074341</v>
      </c>
      <c r="W423" s="580">
        <f t="shared" si="208"/>
        <v>-22.626520287704636</v>
      </c>
      <c r="X423" s="581">
        <f t="shared" si="209"/>
        <v>-159.61387615736143</v>
      </c>
      <c r="Y423" s="584">
        <f t="shared" si="210"/>
        <v>20.386123842638568</v>
      </c>
      <c r="AA423" s="147">
        <f t="shared" si="211"/>
        <v>41212.5</v>
      </c>
      <c r="AB423" s="147">
        <f t="shared" si="212"/>
        <v>1698470156.25</v>
      </c>
      <c r="AD423" s="583">
        <f t="shared" si="213"/>
        <v>17.126470914534352</v>
      </c>
      <c r="AE423" s="584">
        <f t="shared" si="214"/>
        <v>-9.2084150155803162</v>
      </c>
      <c r="AG423" s="583">
        <f t="shared" si="215"/>
        <v>-4.9418091457439832</v>
      </c>
      <c r="AH423" s="584">
        <f t="shared" si="216"/>
        <v>-31.967962290783912</v>
      </c>
      <c r="AJ423" s="147">
        <f t="shared" si="217"/>
        <v>0</v>
      </c>
      <c r="AK423" s="147">
        <f t="shared" si="229"/>
        <v>0</v>
      </c>
      <c r="AM423" s="147" t="str">
        <f t="shared" si="221"/>
        <v>1.17961595107625+0.983736809374832i</v>
      </c>
      <c r="AN423" s="147" t="str">
        <f t="shared" si="222"/>
        <v>1.75139236607504i</v>
      </c>
      <c r="AO423" s="147" t="str">
        <f t="shared" si="223"/>
        <v>0.56168841912874-0.673530371563643i</v>
      </c>
      <c r="AP423" s="147" t="str">
        <f t="shared" si="224"/>
        <v>-0.0299359918460418-0.163956134895805i</v>
      </c>
      <c r="AQ423" s="147" t="str">
        <f t="shared" si="225"/>
        <v>1.02993599184604+0.163956134895805i</v>
      </c>
      <c r="AR423" s="147" t="str">
        <f t="shared" si="226"/>
        <v>0.788798666262134-0.125569337857103i</v>
      </c>
    </row>
    <row r="424" spans="7:44">
      <c r="G424" s="585">
        <v>41449.75</v>
      </c>
      <c r="H424" s="573">
        <f t="shared" si="218"/>
        <v>41.449750000000002</v>
      </c>
      <c r="I424" s="574">
        <f t="shared" si="198"/>
        <v>117.08108940191333</v>
      </c>
      <c r="J424" s="575">
        <f t="shared" si="199"/>
        <v>1.5622551339867814</v>
      </c>
      <c r="K424" s="575">
        <f t="shared" si="200"/>
        <v>1.0016400721030205</v>
      </c>
      <c r="L424" s="576">
        <f t="shared" si="201"/>
        <v>5.7233446606226979E-2</v>
      </c>
      <c r="M424" s="575">
        <f t="shared" si="202"/>
        <v>1.0037704929964686</v>
      </c>
      <c r="N424" s="576">
        <f t="shared" si="203"/>
        <v>-8.6702754382159172E-2</v>
      </c>
      <c r="O424" s="574">
        <f t="shared" si="204"/>
        <v>1718880.6352655462</v>
      </c>
      <c r="P424" s="577">
        <f t="shared" si="205"/>
        <v>1.5707957450209331</v>
      </c>
      <c r="Q424" s="586">
        <f t="shared" si="227"/>
        <v>69.335397321203359</v>
      </c>
      <c r="R424" s="587">
        <f t="shared" si="228"/>
        <v>1.5563731791578148</v>
      </c>
      <c r="S424" s="574">
        <f t="shared" si="206"/>
        <v>1.0109088167139213</v>
      </c>
      <c r="T424" s="577">
        <f t="shared" si="207"/>
        <v>0.1470412364520913</v>
      </c>
      <c r="U424" s="578">
        <f t="shared" si="219"/>
        <v>0.69834077938396766</v>
      </c>
      <c r="V424" s="579">
        <f t="shared" si="220"/>
        <v>-1.0380614906827108</v>
      </c>
      <c r="W424" s="580">
        <f t="shared" si="208"/>
        <v>-22.70361502604905</v>
      </c>
      <c r="X424" s="581">
        <f t="shared" si="209"/>
        <v>-159.92682955153785</v>
      </c>
      <c r="Y424" s="584">
        <f t="shared" si="210"/>
        <v>20.07317044846215</v>
      </c>
      <c r="AA424" s="147">
        <f t="shared" si="211"/>
        <v>41449.75</v>
      </c>
      <c r="AB424" s="147">
        <f t="shared" si="212"/>
        <v>1718081775.0625</v>
      </c>
      <c r="AD424" s="583">
        <f t="shared" si="213"/>
        <v>17.12539621009515</v>
      </c>
      <c r="AE424" s="584">
        <f t="shared" si="214"/>
        <v>-9.2511944273671851</v>
      </c>
      <c r="AG424" s="583">
        <f t="shared" si="215"/>
        <v>-4.9644320836573925</v>
      </c>
      <c r="AH424" s="584">
        <f t="shared" si="216"/>
        <v>-31.722550405890619</v>
      </c>
      <c r="AJ424" s="147">
        <f t="shared" si="217"/>
        <v>0</v>
      </c>
      <c r="AK424" s="147">
        <f t="shared" si="229"/>
        <v>0</v>
      </c>
      <c r="AM424" s="147" t="str">
        <f t="shared" si="221"/>
        <v>1.18952500853857+0.981875893959341i</v>
      </c>
      <c r="AN424" s="147" t="str">
        <f t="shared" si="222"/>
        <v>1.76147469155521i</v>
      </c>
      <c r="AO424" s="147" t="str">
        <f t="shared" si="223"/>
        <v>0.557416974916875-0.675300652482458i</v>
      </c>
      <c r="AP424" s="147" t="str">
        <f t="shared" si="224"/>
        <v>-0.0315875014230945-0.163645982326557i</v>
      </c>
      <c r="AQ424" s="147" t="str">
        <f t="shared" si="225"/>
        <v>1.03158750142309+0.163645982326557i</v>
      </c>
      <c r="AR424" s="147" t="str">
        <f t="shared" si="226"/>
        <v>0.787671477581239-0.12495234046707i</v>
      </c>
    </row>
    <row r="425" spans="7:44">
      <c r="G425" s="585">
        <v>41687</v>
      </c>
      <c r="H425" s="573">
        <f t="shared" si="218"/>
        <v>41.686999999999998</v>
      </c>
      <c r="I425" s="574">
        <f t="shared" si="198"/>
        <v>117.75118916977927</v>
      </c>
      <c r="J425" s="575">
        <f t="shared" si="199"/>
        <v>1.5623037414730885</v>
      </c>
      <c r="K425" s="575">
        <f t="shared" si="200"/>
        <v>1.001658885126455</v>
      </c>
      <c r="L425" s="576">
        <f t="shared" si="201"/>
        <v>5.756031824393136E-2</v>
      </c>
      <c r="M425" s="575">
        <f t="shared" si="202"/>
        <v>1.0038136973769007</v>
      </c>
      <c r="N425" s="576">
        <f t="shared" si="203"/>
        <v>-8.7196518855039373E-2</v>
      </c>
      <c r="O425" s="574">
        <f t="shared" si="204"/>
        <v>1728719.1609675493</v>
      </c>
      <c r="P425" s="577">
        <f t="shared" si="205"/>
        <v>1.5707957483319384</v>
      </c>
      <c r="Q425" s="586">
        <f t="shared" si="227"/>
        <v>69.732176818699514</v>
      </c>
      <c r="R425" s="587">
        <f t="shared" si="228"/>
        <v>1.5564552532162754</v>
      </c>
      <c r="S425" s="574">
        <f t="shared" si="206"/>
        <v>1.0110333704395276</v>
      </c>
      <c r="T425" s="577">
        <f t="shared" si="207"/>
        <v>0.14787068966254555</v>
      </c>
      <c r="U425" s="578">
        <f t="shared" si="219"/>
        <v>0.69619582140008185</v>
      </c>
      <c r="V425" s="579">
        <f t="shared" si="220"/>
        <v>-1.0425472373927163</v>
      </c>
      <c r="W425" s="580">
        <f t="shared" si="208"/>
        <v>-22.780449169162218</v>
      </c>
      <c r="X425" s="581">
        <f t="shared" si="209"/>
        <v>-160.23901302605918</v>
      </c>
      <c r="Y425" s="584">
        <f t="shared" si="210"/>
        <v>19.760986973940817</v>
      </c>
      <c r="AA425" s="147">
        <f t="shared" si="211"/>
        <v>41687</v>
      </c>
      <c r="AB425" s="147">
        <f t="shared" si="212"/>
        <v>1737805969</v>
      </c>
      <c r="AD425" s="583">
        <f t="shared" si="213"/>
        <v>17.124315837045373</v>
      </c>
      <c r="AE425" s="584">
        <f t="shared" si="214"/>
        <v>-9.294016288228045</v>
      </c>
      <c r="AG425" s="583">
        <f t="shared" si="215"/>
        <v>-4.9867462150389077</v>
      </c>
      <c r="AH425" s="584">
        <f t="shared" si="216"/>
        <v>-31.477883310067725</v>
      </c>
      <c r="AJ425" s="147">
        <f t="shared" si="217"/>
        <v>0</v>
      </c>
      <c r="AK425" s="147">
        <f t="shared" si="229"/>
        <v>0</v>
      </c>
      <c r="AM425" s="147" t="str">
        <f t="shared" si="221"/>
        <v>1.19941480032397+0.979915168477226i</v>
      </c>
      <c r="AN425" s="147" t="str">
        <f t="shared" si="222"/>
        <v>1.77155701703537i</v>
      </c>
      <c r="AO425" s="147" t="str">
        <f t="shared" si="223"/>
        <v>0.553137809878157-0.677039908278618i</v>
      </c>
      <c r="AP425" s="147" t="str">
        <f t="shared" si="224"/>
        <v>-0.0332358000539957-0.163319194746204i</v>
      </c>
      <c r="AQ425" s="147" t="str">
        <f t="shared" si="225"/>
        <v>1.033235800054+0.163319194746204i</v>
      </c>
      <c r="AR425" s="147" t="str">
        <f t="shared" si="226"/>
        <v>0.786553265497788-0.124327134173421i</v>
      </c>
    </row>
    <row r="426" spans="7:44">
      <c r="G426" s="585">
        <v>41929.75</v>
      </c>
      <c r="H426" s="573">
        <f t="shared" si="218"/>
        <v>41.929749999999999</v>
      </c>
      <c r="I426" s="574">
        <f t="shared" si="198"/>
        <v>118.43682367424942</v>
      </c>
      <c r="J426" s="575">
        <f t="shared" si="199"/>
        <v>1.5623529064888915</v>
      </c>
      <c r="K426" s="575">
        <f t="shared" si="200"/>
        <v>1.0016782450473762</v>
      </c>
      <c r="L426" s="576">
        <f t="shared" si="201"/>
        <v>5.7894754771827976E-2</v>
      </c>
      <c r="M426" s="575">
        <f t="shared" si="202"/>
        <v>1.0038581566211482</v>
      </c>
      <c r="N426" s="576">
        <f t="shared" si="203"/>
        <v>-8.7701685805195759E-2</v>
      </c>
      <c r="O426" s="574">
        <f t="shared" si="204"/>
        <v>1738785.7662959427</v>
      </c>
      <c r="P426" s="577">
        <f t="shared" si="205"/>
        <v>1.5707957516809181</v>
      </c>
      <c r="Q426" s="586">
        <f t="shared" si="227"/>
        <v>70.138155057033714</v>
      </c>
      <c r="R426" s="587">
        <f t="shared" si="228"/>
        <v>1.5565382687945579</v>
      </c>
      <c r="S426" s="574">
        <f t="shared" si="206"/>
        <v>1.0111615313851428</v>
      </c>
      <c r="T426" s="577">
        <f t="shared" si="207"/>
        <v>0.14871915940139832</v>
      </c>
      <c r="U426" s="578">
        <f t="shared" si="219"/>
        <v>0.69400625539517413</v>
      </c>
      <c r="V426" s="579">
        <f t="shared" si="220"/>
        <v>-1.047123022475724</v>
      </c>
      <c r="W426" s="580">
        <f t="shared" si="208"/>
        <v>-22.858797428406461</v>
      </c>
      <c r="X426" s="581">
        <f t="shared" si="209"/>
        <v>-160.5576427648675</v>
      </c>
      <c r="Y426" s="584">
        <f t="shared" si="210"/>
        <v>19.442357235132505</v>
      </c>
      <c r="AA426" s="147">
        <f t="shared" si="211"/>
        <v>41929.75</v>
      </c>
      <c r="AB426" s="147">
        <f t="shared" si="212"/>
        <v>1758103935.0625</v>
      </c>
      <c r="AD426" s="583">
        <f t="shared" si="213"/>
        <v>17.123204551610268</v>
      </c>
      <c r="AE426" s="584">
        <f t="shared" si="214"/>
        <v>-9.3378737729719781</v>
      </c>
      <c r="AG426" s="583">
        <f t="shared" si="215"/>
        <v>-5.0092620955131935</v>
      </c>
      <c r="AH426" s="584">
        <f t="shared" si="216"/>
        <v>-31.228309217102456</v>
      </c>
      <c r="AJ426" s="147">
        <f t="shared" si="217"/>
        <v>0</v>
      </c>
      <c r="AK426" s="147">
        <f t="shared" si="229"/>
        <v>0</v>
      </c>
      <c r="AM426" s="147" t="str">
        <f t="shared" si="221"/>
        <v>1.20951287083522+0.977805889200093i</v>
      </c>
      <c r="AN426" s="147" t="str">
        <f t="shared" si="222"/>
        <v>1.78187307398083i</v>
      </c>
      <c r="AO426" s="147" t="str">
        <f t="shared" si="223"/>
        <v>0.548751705987456-0.678787332552864i</v>
      </c>
      <c r="AP426" s="147" t="str">
        <f t="shared" si="224"/>
        <v>-0.0349188118058697-0.162967648200015i</v>
      </c>
      <c r="AQ426" s="147" t="str">
        <f t="shared" si="225"/>
        <v>1.03491881180587+0.162967648200015i</v>
      </c>
      <c r="AR426" s="147" t="str">
        <f t="shared" si="226"/>
        <v>0.785418434492571-0.123679068987879i</v>
      </c>
    </row>
    <row r="427" spans="7:44">
      <c r="G427" s="585">
        <v>42172.5</v>
      </c>
      <c r="H427" s="573">
        <f t="shared" si="218"/>
        <v>42.172499999999999</v>
      </c>
      <c r="I427" s="574">
        <f t="shared" si="198"/>
        <v>119.12245846170936</v>
      </c>
      <c r="J427" s="575">
        <f t="shared" si="199"/>
        <v>1.5624015055452833</v>
      </c>
      <c r="K427" s="575">
        <f t="shared" si="200"/>
        <v>1.0016977169994588</v>
      </c>
      <c r="L427" s="576">
        <f t="shared" si="201"/>
        <v>5.8229178334937876E-2</v>
      </c>
      <c r="M427" s="575">
        <f t="shared" si="202"/>
        <v>1.0039028720208916</v>
      </c>
      <c r="N427" s="576">
        <f t="shared" si="203"/>
        <v>-8.8206807882398777E-2</v>
      </c>
      <c r="O427" s="574">
        <f t="shared" si="204"/>
        <v>1748852.3716243361</v>
      </c>
      <c r="P427" s="577">
        <f t="shared" si="205"/>
        <v>1.5707957549913434</v>
      </c>
      <c r="Q427" s="586">
        <f t="shared" si="227"/>
        <v>70.544133773167573</v>
      </c>
      <c r="R427" s="587">
        <f t="shared" si="228"/>
        <v>1.5566203288706226</v>
      </c>
      <c r="S427" s="574">
        <f t="shared" si="206"/>
        <v>1.0112904200820436</v>
      </c>
      <c r="T427" s="577">
        <f t="shared" si="207"/>
        <v>0.14956741347629238</v>
      </c>
      <c r="U427" s="578">
        <f t="shared" si="219"/>
        <v>0.69182191654818326</v>
      </c>
      <c r="V427" s="579">
        <f t="shared" si="220"/>
        <v>-1.0516848118893203</v>
      </c>
      <c r="W427" s="580">
        <f t="shared" si="208"/>
        <v>-22.936878210674241</v>
      </c>
      <c r="X427" s="581">
        <f t="shared" si="209"/>
        <v>-160.87547874299807</v>
      </c>
      <c r="Y427" s="584">
        <f t="shared" si="210"/>
        <v>19.124521257001931</v>
      </c>
      <c r="AA427" s="147">
        <f t="shared" si="211"/>
        <v>42172.5</v>
      </c>
      <c r="AB427" s="147">
        <f t="shared" si="212"/>
        <v>1778519756.25</v>
      </c>
      <c r="AD427" s="583">
        <f t="shared" si="213"/>
        <v>17.122087332640628</v>
      </c>
      <c r="AE427" s="584">
        <f t="shared" si="214"/>
        <v>-9.3817736451167058</v>
      </c>
      <c r="AG427" s="583">
        <f t="shared" si="215"/>
        <v>-5.031462904659433</v>
      </c>
      <c r="AH427" s="584">
        <f t="shared" si="216"/>
        <v>-30.979502761637889</v>
      </c>
      <c r="AJ427" s="147">
        <f t="shared" si="217"/>
        <v>0</v>
      </c>
      <c r="AK427" s="147">
        <f t="shared" si="229"/>
        <v>0</v>
      </c>
      <c r="AM427" s="147" t="str">
        <f t="shared" si="221"/>
        <v>1.2195886449685+0.975592551735047i</v>
      </c>
      <c r="AN427" s="147" t="str">
        <f t="shared" si="222"/>
        <v>1.79218913092629i</v>
      </c>
      <c r="AO427" s="147" t="str">
        <f t="shared" si="223"/>
        <v>0.54435803392626-0.680502199194879i</v>
      </c>
      <c r="AP427" s="147" t="str">
        <f t="shared" si="224"/>
        <v>-0.0365981074947493-0.162598758622508i</v>
      </c>
      <c r="AQ427" s="147" t="str">
        <f t="shared" si="225"/>
        <v>1.03659810749475+0.162598758622508i</v>
      </c>
      <c r="AR427" s="147" t="str">
        <f t="shared" si="226"/>
        <v>0.784293025280979-0.123022675215162i</v>
      </c>
    </row>
    <row r="428" spans="7:44">
      <c r="G428" s="585">
        <v>42415.25</v>
      </c>
      <c r="H428" s="573">
        <f t="shared" si="218"/>
        <v>42.41525</v>
      </c>
      <c r="I428" s="574">
        <f t="shared" si="198"/>
        <v>119.80809352730063</v>
      </c>
      <c r="J428" s="575">
        <f t="shared" si="199"/>
        <v>1.5624495483586116</v>
      </c>
      <c r="K428" s="575">
        <f t="shared" si="200"/>
        <v>1.0017173009761695</v>
      </c>
      <c r="L428" s="576">
        <f t="shared" si="201"/>
        <v>5.8563588859216011E-2</v>
      </c>
      <c r="M428" s="575">
        <f t="shared" si="202"/>
        <v>1.003947843541904</v>
      </c>
      <c r="N428" s="576">
        <f t="shared" si="203"/>
        <v>-8.8711884834899488E-2</v>
      </c>
      <c r="O428" s="574">
        <f t="shared" si="204"/>
        <v>1758918.9769527293</v>
      </c>
      <c r="P428" s="577">
        <f t="shared" si="205"/>
        <v>1.5707957582638767</v>
      </c>
      <c r="Q428" s="586">
        <f t="shared" si="227"/>
        <v>70.950112958899169</v>
      </c>
      <c r="R428" s="587">
        <f t="shared" si="228"/>
        <v>1.5567014498456127</v>
      </c>
      <c r="S428" s="574">
        <f t="shared" si="206"/>
        <v>1.0114200362520107</v>
      </c>
      <c r="T428" s="577">
        <f t="shared" si="207"/>
        <v>0.15041545074921359</v>
      </c>
      <c r="U428" s="578">
        <f t="shared" si="219"/>
        <v>0.68964285474738063</v>
      </c>
      <c r="V428" s="579">
        <f t="shared" si="220"/>
        <v>-1.0562327223784727</v>
      </c>
      <c r="W428" s="580">
        <f t="shared" si="208"/>
        <v>-23.014694152795151</v>
      </c>
      <c r="X428" s="581">
        <f t="shared" si="209"/>
        <v>-161.19252719108704</v>
      </c>
      <c r="Y428" s="584">
        <f t="shared" si="210"/>
        <v>18.807472808912962</v>
      </c>
      <c r="AA428" s="147">
        <f t="shared" si="211"/>
        <v>42415.25</v>
      </c>
      <c r="AB428" s="147">
        <f t="shared" si="212"/>
        <v>1799053432.5625</v>
      </c>
      <c r="AD428" s="583">
        <f t="shared" si="213"/>
        <v>17.120964180828224</v>
      </c>
      <c r="AE428" s="584">
        <f t="shared" si="214"/>
        <v>-9.425714899780516</v>
      </c>
      <c r="AG428" s="583">
        <f t="shared" si="215"/>
        <v>-5.0533526875897241</v>
      </c>
      <c r="AH428" s="584">
        <f t="shared" si="216"/>
        <v>-30.731457801204119</v>
      </c>
      <c r="AJ428" s="147">
        <f t="shared" si="217"/>
        <v>0</v>
      </c>
      <c r="AK428" s="147">
        <f t="shared" si="229"/>
        <v>0</v>
      </c>
      <c r="AM428" s="147" t="str">
        <f t="shared" si="221"/>
        <v>1.22964105045904+0.973275391625652i</v>
      </c>
      <c r="AN428" s="147" t="str">
        <f t="shared" si="222"/>
        <v>1.80250518787175i</v>
      </c>
      <c r="AO428" s="147" t="str">
        <f t="shared" si="223"/>
        <v>0.53995705431218-0.682184472329258i</v>
      </c>
      <c r="AP428" s="147" t="str">
        <f t="shared" si="224"/>
        <v>-0.0382735084098408-0.162212565270942i</v>
      </c>
      <c r="AQ428" s="147" t="str">
        <f t="shared" si="225"/>
        <v>1.03827350840984+0.162212565270942i</v>
      </c>
      <c r="AR428" s="147" t="str">
        <f t="shared" si="226"/>
        <v>0.78317704785453-0.122358084805973i</v>
      </c>
    </row>
    <row r="429" spans="7:44">
      <c r="G429" s="585">
        <v>42658</v>
      </c>
      <c r="H429" s="573">
        <f t="shared" si="218"/>
        <v>42.658000000000001</v>
      </c>
      <c r="I429" s="574">
        <f t="shared" si="198"/>
        <v>120.49372886627536</v>
      </c>
      <c r="J429" s="575">
        <f t="shared" si="199"/>
        <v>1.5624970444240822</v>
      </c>
      <c r="K429" s="575">
        <f t="shared" si="200"/>
        <v>1.001736996970938</v>
      </c>
      <c r="L429" s="576">
        <f t="shared" si="201"/>
        <v>5.8897986270634799E-2</v>
      </c>
      <c r="M429" s="575">
        <f t="shared" si="202"/>
        <v>1.0039930711497682</v>
      </c>
      <c r="N429" s="576">
        <f t="shared" si="203"/>
        <v>-8.9216916411086061E-2</v>
      </c>
      <c r="O429" s="574">
        <f t="shared" si="204"/>
        <v>1768985.5822811227</v>
      </c>
      <c r="P429" s="577">
        <f t="shared" si="205"/>
        <v>1.5707957614991643</v>
      </c>
      <c r="Q429" s="586">
        <f t="shared" si="227"/>
        <v>71.356092606213181</v>
      </c>
      <c r="R429" s="587">
        <f t="shared" si="228"/>
        <v>1.5567816477474643</v>
      </c>
      <c r="S429" s="574">
        <f t="shared" si="206"/>
        <v>1.0115503796153975</v>
      </c>
      <c r="T429" s="577">
        <f t="shared" si="207"/>
        <v>0.15126327008397666</v>
      </c>
      <c r="U429" s="578">
        <f t="shared" si="219"/>
        <v>0.68746911790917886</v>
      </c>
      <c r="V429" s="579">
        <f t="shared" si="220"/>
        <v>-1.0607668708029099</v>
      </c>
      <c r="W429" s="580">
        <f t="shared" si="208"/>
        <v>-23.092247850063078</v>
      </c>
      <c r="X429" s="581">
        <f t="shared" si="209"/>
        <v>-161.50879435516936</v>
      </c>
      <c r="Y429" s="584">
        <f t="shared" si="210"/>
        <v>18.491205644830643</v>
      </c>
      <c r="AA429" s="147">
        <f t="shared" si="211"/>
        <v>42658</v>
      </c>
      <c r="AB429" s="147">
        <f t="shared" si="212"/>
        <v>1819704964</v>
      </c>
      <c r="AD429" s="583">
        <f t="shared" si="213"/>
        <v>17.119835097003065</v>
      </c>
      <c r="AE429" s="584">
        <f t="shared" si="214"/>
        <v>-9.4696965535687134</v>
      </c>
      <c r="AG429" s="583">
        <f t="shared" si="215"/>
        <v>-5.0749354164659692</v>
      </c>
      <c r="AH429" s="584">
        <f t="shared" si="216"/>
        <v>-30.484168174092282</v>
      </c>
      <c r="AJ429" s="147">
        <f t="shared" si="217"/>
        <v>0</v>
      </c>
      <c r="AK429" s="147">
        <f t="shared" si="229"/>
        <v>0</v>
      </c>
      <c r="AM429" s="147" t="str">
        <f t="shared" si="221"/>
        <v>1.239669017529+0.97085465546429i</v>
      </c>
      <c r="AN429" s="147" t="str">
        <f t="shared" si="222"/>
        <v>1.81282124481721i</v>
      </c>
      <c r="AO429" s="147" t="str">
        <f t="shared" si="223"/>
        <v>0.535549027925356-0.683834118269062i</v>
      </c>
      <c r="AP429" s="147" t="str">
        <f t="shared" si="224"/>
        <v>-0.0399448362548332-0.161809109244048i</v>
      </c>
      <c r="AQ429" s="147" t="str">
        <f t="shared" si="225"/>
        <v>1.03994483625483+0.161809109244048i</v>
      </c>
      <c r="AR429" s="147" t="str">
        <f t="shared" si="226"/>
        <v>0.78207051076158-0.121685428208001i</v>
      </c>
    </row>
    <row r="430" spans="7:44">
      <c r="G430" s="585">
        <v>42906.5</v>
      </c>
      <c r="H430" s="573">
        <f t="shared" si="218"/>
        <v>42.906500000000001</v>
      </c>
      <c r="I430" s="574">
        <f t="shared" si="198"/>
        <v>121.19560507348336</v>
      </c>
      <c r="J430" s="575">
        <f t="shared" si="199"/>
        <v>1.562545108884946</v>
      </c>
      <c r="K430" s="575">
        <f t="shared" si="200"/>
        <v>1.0017572755258013</v>
      </c>
      <c r="L430" s="576">
        <f t="shared" si="201"/>
        <v>5.92402908673118E-2</v>
      </c>
      <c r="M430" s="575">
        <f t="shared" si="202"/>
        <v>1.0040396352818195</v>
      </c>
      <c r="N430" s="576">
        <f t="shared" si="203"/>
        <v>-8.9733863366351987E-2</v>
      </c>
      <c r="O430" s="574">
        <f t="shared" si="204"/>
        <v>1779290.6344916511</v>
      </c>
      <c r="P430" s="577">
        <f t="shared" si="205"/>
        <v>1.570795764773167</v>
      </c>
      <c r="Q430" s="586">
        <f t="shared" si="227"/>
        <v>71.77168913117373</v>
      </c>
      <c r="R430" s="587">
        <f t="shared" si="228"/>
        <v>1.5568628055136235</v>
      </c>
      <c r="S430" s="574">
        <f t="shared" si="206"/>
        <v>1.0116845633531344</v>
      </c>
      <c r="T430" s="577">
        <f t="shared" si="207"/>
        <v>0.15213094472113142</v>
      </c>
      <c r="U430" s="578">
        <f t="shared" si="219"/>
        <v>0.68524945558447936</v>
      </c>
      <c r="V430" s="579">
        <f t="shared" si="220"/>
        <v>-1.0653942864468902</v>
      </c>
      <c r="W430" s="580">
        <f t="shared" si="208"/>
        <v>-23.171369586582351</v>
      </c>
      <c r="X430" s="581">
        <f t="shared" si="209"/>
        <v>-161.83175018762515</v>
      </c>
      <c r="Y430" s="584">
        <f t="shared" si="210"/>
        <v>18.168249812374853</v>
      </c>
      <c r="AA430" s="147">
        <f t="shared" si="211"/>
        <v>42906.5</v>
      </c>
      <c r="AB430" s="147">
        <f t="shared" si="212"/>
        <v>1840967742.25</v>
      </c>
      <c r="AD430" s="583">
        <f t="shared" si="213"/>
        <v>17.118673125222855</v>
      </c>
      <c r="AE430" s="584">
        <f t="shared" si="214"/>
        <v>-9.5147608384306182</v>
      </c>
      <c r="AG430" s="583">
        <f t="shared" si="215"/>
        <v>-5.0967153955983724</v>
      </c>
      <c r="AH430" s="584">
        <f t="shared" si="216"/>
        <v>-30.231796948174448</v>
      </c>
      <c r="AJ430" s="147">
        <f t="shared" si="217"/>
        <v>0</v>
      </c>
      <c r="AK430" s="147">
        <f t="shared" si="229"/>
        <v>0</v>
      </c>
      <c r="AM430" s="147" t="str">
        <f t="shared" si="221"/>
        <v>1.24990808857202+0.968269563327423i</v>
      </c>
      <c r="AN430" s="147" t="str">
        <f t="shared" si="222"/>
        <v>1.82338165738547i</v>
      </c>
      <c r="AO430" s="147" t="str">
        <f t="shared" si="223"/>
        <v>0.531029562245249-0.685489010767088i</v>
      </c>
      <c r="AP430" s="147" t="str">
        <f t="shared" si="224"/>
        <v>-0.0416513480953372-0.16137826055457i</v>
      </c>
      <c r="AQ430" s="147" t="str">
        <f t="shared" si="225"/>
        <v>1.04165134809534+0.16137826055457i</v>
      </c>
      <c r="AR430" s="147" t="str">
        <f t="shared" si="226"/>
        <v>0.780947549068395-0.120988618008756i</v>
      </c>
    </row>
    <row r="431" spans="7:44">
      <c r="G431" s="585">
        <v>43155</v>
      </c>
      <c r="H431" s="573">
        <f t="shared" si="218"/>
        <v>43.155000000000001</v>
      </c>
      <c r="I431" s="574">
        <f t="shared" si="198"/>
        <v>121.89748155745228</v>
      </c>
      <c r="J431" s="575">
        <f t="shared" si="199"/>
        <v>1.5625926198428539</v>
      </c>
      <c r="K431" s="575">
        <f t="shared" si="200"/>
        <v>1.0017776714542459</v>
      </c>
      <c r="L431" s="576">
        <f t="shared" si="201"/>
        <v>5.9582581565632363E-2</v>
      </c>
      <c r="M431" s="575">
        <f t="shared" si="202"/>
        <v>1.0040864677026264</v>
      </c>
      <c r="N431" s="576">
        <f t="shared" si="203"/>
        <v>-9.0250762237046048E-2</v>
      </c>
      <c r="O431" s="574">
        <f t="shared" si="204"/>
        <v>1789595.6867021795</v>
      </c>
      <c r="P431" s="577">
        <f t="shared" si="205"/>
        <v>1.570795768009464</v>
      </c>
      <c r="Q431" s="586">
        <f t="shared" si="227"/>
        <v>72.187286123421259</v>
      </c>
      <c r="R431" s="587">
        <f t="shared" si="228"/>
        <v>1.5569430287965398</v>
      </c>
      <c r="S431" s="574">
        <f t="shared" si="206"/>
        <v>1.0118195085446289</v>
      </c>
      <c r="T431" s="577">
        <f t="shared" si="207"/>
        <v>0.15299838856968934</v>
      </c>
      <c r="U431" s="578">
        <f t="shared" si="219"/>
        <v>0.68303546891374811</v>
      </c>
      <c r="V431" s="579">
        <f t="shared" si="220"/>
        <v>-1.0700075284594111</v>
      </c>
      <c r="W431" s="580">
        <f t="shared" si="208"/>
        <v>-23.25022188297071</v>
      </c>
      <c r="X431" s="581">
        <f t="shared" si="209"/>
        <v>-162.15390057528066</v>
      </c>
      <c r="Y431" s="584">
        <f t="shared" si="210"/>
        <v>17.846099424719341</v>
      </c>
      <c r="AA431" s="147">
        <f t="shared" si="211"/>
        <v>43155</v>
      </c>
      <c r="AB431" s="147">
        <f t="shared" si="212"/>
        <v>1862354025</v>
      </c>
      <c r="AD431" s="583">
        <f t="shared" si="213"/>
        <v>17.117504939266507</v>
      </c>
      <c r="AE431" s="584">
        <f t="shared" si="214"/>
        <v>-9.559865439865483</v>
      </c>
      <c r="AG431" s="583">
        <f t="shared" si="215"/>
        <v>-5.1181817978011708</v>
      </c>
      <c r="AH431" s="584">
        <f t="shared" si="216"/>
        <v>-29.980204139411313</v>
      </c>
      <c r="AJ431" s="147">
        <f t="shared" si="217"/>
        <v>0</v>
      </c>
      <c r="AK431" s="147">
        <f t="shared" si="229"/>
        <v>0</v>
      </c>
      <c r="AM431" s="147" t="str">
        <f t="shared" si="221"/>
        <v>1.26011928954584+0.965576488532196i</v>
      </c>
      <c r="AN431" s="147" t="str">
        <f t="shared" si="222"/>
        <v>1.83394206995374i</v>
      </c>
      <c r="AO431" s="147" t="str">
        <f t="shared" si="223"/>
        <v>0.526503265480219-0.687109647676944i</v>
      </c>
      <c r="AP431" s="147" t="str">
        <f t="shared" si="224"/>
        <v>-0.0433532149243068-0.160929414755366i</v>
      </c>
      <c r="AQ431" s="147" t="str">
        <f t="shared" si="225"/>
        <v>1.04335321492431+0.160929414755366i</v>
      </c>
      <c r="AR431" s="147" t="str">
        <f t="shared" si="226"/>
        <v>0.779834493916219-0.12028362678797i</v>
      </c>
    </row>
    <row r="432" spans="7:44">
      <c r="G432" s="585">
        <v>43403.5</v>
      </c>
      <c r="H432" s="573">
        <f t="shared" si="218"/>
        <v>43.403500000000001</v>
      </c>
      <c r="I432" s="574">
        <f t="shared" si="198"/>
        <v>122.59935831342875</v>
      </c>
      <c r="J432" s="575">
        <f t="shared" si="199"/>
        <v>1.5626395868039411</v>
      </c>
      <c r="K432" s="575">
        <f t="shared" si="200"/>
        <v>1.0017981847491026</v>
      </c>
      <c r="L432" s="576">
        <f t="shared" si="201"/>
        <v>5.9924858286240272E-2</v>
      </c>
      <c r="M432" s="575">
        <f t="shared" si="202"/>
        <v>1.0041335683746497</v>
      </c>
      <c r="N432" s="576">
        <f t="shared" si="203"/>
        <v>-9.0767612753700905E-2</v>
      </c>
      <c r="O432" s="574">
        <f t="shared" si="204"/>
        <v>1799900.7389127079</v>
      </c>
      <c r="P432" s="577">
        <f t="shared" si="205"/>
        <v>1.5707957712087033</v>
      </c>
      <c r="Q432" s="586">
        <f t="shared" si="227"/>
        <v>72.602883574931155</v>
      </c>
      <c r="R432" s="587">
        <f t="shared" si="228"/>
        <v>1.5570223336428335</v>
      </c>
      <c r="S432" s="574">
        <f t="shared" si="206"/>
        <v>1.0119552148852589</v>
      </c>
      <c r="T432" s="577">
        <f t="shared" si="207"/>
        <v>0.1538656004168088</v>
      </c>
      <c r="U432" s="578">
        <f t="shared" si="219"/>
        <v>0.68082720311258216</v>
      </c>
      <c r="V432" s="579">
        <f t="shared" si="220"/>
        <v>-1.0746067224629519</v>
      </c>
      <c r="W432" s="580">
        <f t="shared" si="208"/>
        <v>-23.328807395510957</v>
      </c>
      <c r="X432" s="581">
        <f t="shared" si="209"/>
        <v>-162.47525226068561</v>
      </c>
      <c r="Y432" s="584">
        <f t="shared" si="210"/>
        <v>17.524747739314392</v>
      </c>
      <c r="AA432" s="147">
        <f t="shared" si="211"/>
        <v>43403.5</v>
      </c>
      <c r="AB432" s="147">
        <f t="shared" si="212"/>
        <v>1883863812.25</v>
      </c>
      <c r="AD432" s="583">
        <f t="shared" si="213"/>
        <v>17.116330540449255</v>
      </c>
      <c r="AE432" s="584">
        <f t="shared" si="214"/>
        <v>-9.6050093690161109</v>
      </c>
      <c r="AG432" s="583">
        <f t="shared" si="215"/>
        <v>-5.1393386560331873</v>
      </c>
      <c r="AH432" s="584">
        <f t="shared" si="216"/>
        <v>-29.729383083933868</v>
      </c>
      <c r="AJ432" s="147">
        <f t="shared" si="217"/>
        <v>0</v>
      </c>
      <c r="AK432" s="147">
        <f t="shared" si="229"/>
        <v>0</v>
      </c>
      <c r="AM432" s="147" t="str">
        <f t="shared" si="221"/>
        <v>1.27030148168426+0.962775731413756i</v>
      </c>
      <c r="AN432" s="147" t="str">
        <f t="shared" si="222"/>
        <v>1.844502482522i</v>
      </c>
      <c r="AO432" s="147" t="str">
        <f t="shared" si="223"/>
        <v>0.521970417788404-0.688695999989856i</v>
      </c>
      <c r="AP432" s="147" t="str">
        <f t="shared" si="224"/>
        <v>-0.0450502469473767-0.160462621902293i</v>
      </c>
      <c r="AQ432" s="147" t="str">
        <f t="shared" si="225"/>
        <v>1.04505024694738+0.160462621902293i</v>
      </c>
      <c r="AR432" s="147" t="str">
        <f t="shared" si="226"/>
        <v>0.778731350064359-0.119570589599728i</v>
      </c>
    </row>
    <row r="433" spans="7:44">
      <c r="G433" s="585">
        <v>43652</v>
      </c>
      <c r="H433" s="573">
        <f t="shared" si="218"/>
        <v>43.652000000000001</v>
      </c>
      <c r="I433" s="574">
        <f t="shared" si="198"/>
        <v>123.30123533676766</v>
      </c>
      <c r="J433" s="575">
        <f t="shared" si="199"/>
        <v>1.5626860190579024</v>
      </c>
      <c r="K433" s="575">
        <f t="shared" si="200"/>
        <v>1.001818815403162</v>
      </c>
      <c r="L433" s="576">
        <f t="shared" si="201"/>
        <v>6.0267120949798914E-2</v>
      </c>
      <c r="M433" s="575">
        <f t="shared" si="202"/>
        <v>1.0041809372601433</v>
      </c>
      <c r="N433" s="576">
        <f t="shared" si="203"/>
        <v>-9.1284414647002987E-2</v>
      </c>
      <c r="O433" s="574">
        <f t="shared" si="204"/>
        <v>1810205.7911232363</v>
      </c>
      <c r="P433" s="577">
        <f t="shared" si="205"/>
        <v>1.5707957743715175</v>
      </c>
      <c r="Q433" s="586">
        <f t="shared" si="227"/>
        <v>73.018481477861542</v>
      </c>
      <c r="R433" s="587">
        <f t="shared" si="228"/>
        <v>1.5571007357338436</v>
      </c>
      <c r="S433" s="574">
        <f t="shared" si="206"/>
        <v>1.0120916820688484</v>
      </c>
      <c r="T433" s="577">
        <f t="shared" si="207"/>
        <v>0.15473257905169266</v>
      </c>
      <c r="U433" s="578">
        <f t="shared" si="219"/>
        <v>0.67862470138794306</v>
      </c>
      <c r="V433" s="579">
        <f t="shared" si="220"/>
        <v>-1.0791919941314754</v>
      </c>
      <c r="W433" s="580">
        <f t="shared" si="208"/>
        <v>-23.407128739754427</v>
      </c>
      <c r="X433" s="581">
        <f t="shared" si="209"/>
        <v>-162.79581199799108</v>
      </c>
      <c r="Y433" s="584">
        <f t="shared" si="210"/>
        <v>17.20418800200892</v>
      </c>
      <c r="AA433" s="147">
        <f t="shared" si="211"/>
        <v>43652</v>
      </c>
      <c r="AB433" s="147">
        <f t="shared" si="212"/>
        <v>1905497104</v>
      </c>
      <c r="AD433" s="583">
        <f t="shared" si="213"/>
        <v>17.115149930221559</v>
      </c>
      <c r="AE433" s="584">
        <f t="shared" si="214"/>
        <v>-9.6501916580706268</v>
      </c>
      <c r="AG433" s="583">
        <f t="shared" si="215"/>
        <v>-5.1601899293244911</v>
      </c>
      <c r="AH433" s="584">
        <f t="shared" si="216"/>
        <v>-29.479327102529854</v>
      </c>
      <c r="AJ433" s="147">
        <f t="shared" si="217"/>
        <v>0</v>
      </c>
      <c r="AK433" s="147">
        <f t="shared" si="229"/>
        <v>0</v>
      </c>
      <c r="AM433" s="147" t="str">
        <f t="shared" si="221"/>
        <v>1.28045352945623+0.959867604316108i</v>
      </c>
      <c r="AN433" s="147" t="str">
        <f t="shared" si="222"/>
        <v>1.85506289509027i</v>
      </c>
      <c r="AO433" s="147" t="str">
        <f t="shared" si="223"/>
        <v>0.517431299422007-0.690248041101551i</v>
      </c>
      <c r="AP433" s="147" t="str">
        <f t="shared" si="224"/>
        <v>-0.0467422549093713-0.159977934052685i</v>
      </c>
      <c r="AQ433" s="147" t="str">
        <f t="shared" si="225"/>
        <v>1.04674225490937+0.159977934052685i</v>
      </c>
      <c r="AR433" s="147" t="str">
        <f t="shared" si="226"/>
        <v>0.77763812087941-0.118849639856826i</v>
      </c>
    </row>
    <row r="434" spans="7:44">
      <c r="G434" s="585">
        <v>43906</v>
      </c>
      <c r="H434" s="573">
        <f t="shared" si="218"/>
        <v>43.905999999999999</v>
      </c>
      <c r="I434" s="574">
        <f t="shared" si="198"/>
        <v>124.01864713320755</v>
      </c>
      <c r="J434" s="575">
        <f t="shared" si="199"/>
        <v>1.5627329358486381</v>
      </c>
      <c r="K434" s="575">
        <f t="shared" si="200"/>
        <v>1.001840023947925</v>
      </c>
      <c r="L434" s="576">
        <f t="shared" si="201"/>
        <v>6.0616944233586455E-2</v>
      </c>
      <c r="M434" s="575">
        <f t="shared" si="202"/>
        <v>1.004229631695674</v>
      </c>
      <c r="N434" s="576">
        <f t="shared" si="203"/>
        <v>-9.1812604281855059E-2</v>
      </c>
      <c r="O434" s="574">
        <f t="shared" si="204"/>
        <v>1820738.9229601547</v>
      </c>
      <c r="P434" s="577">
        <f t="shared" si="205"/>
        <v>1.5707957775673345</v>
      </c>
      <c r="Q434" s="586">
        <f t="shared" si="227"/>
        <v>73.443278183259622</v>
      </c>
      <c r="R434" s="587">
        <f t="shared" si="228"/>
        <v>1.5571799560890809</v>
      </c>
      <c r="S434" s="574">
        <f t="shared" si="206"/>
        <v>1.0122319556211927</v>
      </c>
      <c r="T434" s="577">
        <f t="shared" si="207"/>
        <v>0.15561850407832764</v>
      </c>
      <c r="U434" s="578">
        <f t="shared" si="219"/>
        <v>0.67637945191052762</v>
      </c>
      <c r="V434" s="579">
        <f t="shared" si="220"/>
        <v>-1.0838644936014759</v>
      </c>
      <c r="W434" s="580">
        <f t="shared" si="208"/>
        <v>-23.486913232745206</v>
      </c>
      <c r="X434" s="581">
        <f t="shared" si="209"/>
        <v>-163.12265522708469</v>
      </c>
      <c r="Y434" s="584">
        <f t="shared" si="210"/>
        <v>16.877344772915308</v>
      </c>
      <c r="AA434" s="147">
        <f t="shared" si="211"/>
        <v>43906</v>
      </c>
      <c r="AB434" s="147">
        <f t="shared" si="212"/>
        <v>1927736836</v>
      </c>
      <c r="AD434" s="583">
        <f t="shared" si="213"/>
        <v>17.11393677228957</v>
      </c>
      <c r="AE434" s="584">
        <f t="shared" si="214"/>
        <v>-9.6964126142148324</v>
      </c>
      <c r="AG434" s="583">
        <f t="shared" si="215"/>
        <v>-5.1811909404194223</v>
      </c>
      <c r="AH434" s="584">
        <f t="shared" si="216"/>
        <v>-29.224520376051156</v>
      </c>
      <c r="AJ434" s="147">
        <f t="shared" si="217"/>
        <v>0</v>
      </c>
      <c r="AK434" s="147">
        <f t="shared" si="229"/>
        <v>0</v>
      </c>
      <c r="AM434" s="147" t="str">
        <f t="shared" si="221"/>
        <v>1.29079793927416+0.95678448906423i</v>
      </c>
      <c r="AN434" s="147" t="str">
        <f t="shared" si="222"/>
        <v>1.86585703912383i</v>
      </c>
      <c r="AO434" s="147" t="str">
        <f t="shared" si="223"/>
        <v>0.512785529117235-0.691798949334454i</v>
      </c>
      <c r="AP434" s="147" t="str">
        <f t="shared" si="224"/>
        <v>-0.0484663232123607-0.159464081510705i</v>
      </c>
      <c r="AQ434" s="147" t="str">
        <f t="shared" si="225"/>
        <v>1.04846632321236+0.159464081510705i</v>
      </c>
      <c r="AR434" s="147" t="str">
        <f t="shared" si="226"/>
        <v>0.776530943825101-0.118104693474861i</v>
      </c>
    </row>
    <row r="435" spans="7:44">
      <c r="G435" s="585">
        <v>44160</v>
      </c>
      <c r="H435" s="573">
        <f t="shared" si="218"/>
        <v>44.16</v>
      </c>
      <c r="I435" s="574">
        <f t="shared" si="198"/>
        <v>124.73605919949532</v>
      </c>
      <c r="J435" s="575">
        <f t="shared" si="199"/>
        <v>1.5627793129611816</v>
      </c>
      <c r="K435" s="575">
        <f t="shared" si="200"/>
        <v>1.0018613550889941</v>
      </c>
      <c r="L435" s="576">
        <f t="shared" si="201"/>
        <v>6.0966752663648857E-2</v>
      </c>
      <c r="M435" s="575">
        <f t="shared" si="202"/>
        <v>1.0042786062682814</v>
      </c>
      <c r="N435" s="576">
        <f t="shared" si="203"/>
        <v>-9.2340742548727928E-2</v>
      </c>
      <c r="O435" s="574">
        <f t="shared" si="204"/>
        <v>1831272.0547970731</v>
      </c>
      <c r="P435" s="577">
        <f t="shared" si="205"/>
        <v>1.5707957807263879</v>
      </c>
      <c r="Q435" s="586">
        <f t="shared" si="227"/>
        <v>73.868075344276491</v>
      </c>
      <c r="R435" s="587">
        <f t="shared" si="228"/>
        <v>1.5572582652911882</v>
      </c>
      <c r="S435" s="574">
        <f t="shared" si="206"/>
        <v>1.0123730234165769</v>
      </c>
      <c r="T435" s="577">
        <f t="shared" si="207"/>
        <v>0.15650418290380913</v>
      </c>
      <c r="U435" s="578">
        <f t="shared" si="219"/>
        <v>0.67414030950908843</v>
      </c>
      <c r="V435" s="579">
        <f t="shared" si="220"/>
        <v>-1.0885227132297373</v>
      </c>
      <c r="W435" s="580">
        <f t="shared" si="208"/>
        <v>-23.566427134829169</v>
      </c>
      <c r="X435" s="581">
        <f t="shared" si="209"/>
        <v>-163.44868536495369</v>
      </c>
      <c r="Y435" s="584">
        <f t="shared" si="210"/>
        <v>16.55131463504631</v>
      </c>
      <c r="AA435" s="147">
        <f t="shared" si="211"/>
        <v>44160</v>
      </c>
      <c r="AB435" s="147">
        <f t="shared" si="212"/>
        <v>1950105600</v>
      </c>
      <c r="AD435" s="583">
        <f t="shared" si="213"/>
        <v>17.11271712843303</v>
      </c>
      <c r="AE435" s="584">
        <f t="shared" si="214"/>
        <v>-9.7426716671945375</v>
      </c>
      <c r="AG435" s="583">
        <f t="shared" si="215"/>
        <v>-5.2018808239176009</v>
      </c>
      <c r="AH435" s="584">
        <f t="shared" si="216"/>
        <v>-28.970498810841757</v>
      </c>
      <c r="AJ435" s="147">
        <f t="shared" si="217"/>
        <v>0</v>
      </c>
      <c r="AK435" s="147">
        <f t="shared" si="229"/>
        <v>0</v>
      </c>
      <c r="AM435" s="147" t="str">
        <f t="shared" si="221"/>
        <v>1.30110846752217+0.953589896541721i</v>
      </c>
      <c r="AN435" s="147" t="str">
        <f t="shared" si="222"/>
        <v>1.87665118315739i</v>
      </c>
      <c r="AO435" s="147" t="str">
        <f t="shared" si="223"/>
        <v>0.508133799770581-0.693313962231973i</v>
      </c>
      <c r="AP435" s="147" t="str">
        <f t="shared" si="224"/>
        <v>-0.0501847445870282-0.15893164942362i</v>
      </c>
      <c r="AQ435" s="147" t="str">
        <f t="shared" si="225"/>
        <v>1.05018474458703+0.15893164942362i</v>
      </c>
      <c r="AR435" s="147" t="str">
        <f t="shared" si="226"/>
        <v>0.775434128032455-0.117351757033975i</v>
      </c>
    </row>
    <row r="436" spans="7:44">
      <c r="G436" s="585">
        <v>44414</v>
      </c>
      <c r="H436" s="573">
        <f t="shared" si="218"/>
        <v>44.414000000000001</v>
      </c>
      <c r="I436" s="574">
        <f t="shared" si="198"/>
        <v>125.45347153100151</v>
      </c>
      <c r="J436" s="575">
        <f t="shared" si="199"/>
        <v>1.5628251596538663</v>
      </c>
      <c r="K436" s="575">
        <f t="shared" si="200"/>
        <v>1.0018828088185381</v>
      </c>
      <c r="L436" s="576">
        <f t="shared" si="201"/>
        <v>6.1316546155328347E-2</v>
      </c>
      <c r="M436" s="575">
        <f t="shared" si="202"/>
        <v>1.0043278609369843</v>
      </c>
      <c r="N436" s="576">
        <f t="shared" si="203"/>
        <v>-9.28688291605307E-2</v>
      </c>
      <c r="O436" s="574">
        <f t="shared" si="204"/>
        <v>1841805.1866339915</v>
      </c>
      <c r="P436" s="577">
        <f t="shared" si="205"/>
        <v>1.5707957838493087</v>
      </c>
      <c r="Q436" s="586">
        <f t="shared" si="227"/>
        <v>74.292872953096676</v>
      </c>
      <c r="R436" s="587">
        <f t="shared" si="228"/>
        <v>1.5573356789687851</v>
      </c>
      <c r="S436" s="574">
        <f t="shared" si="206"/>
        <v>1.0125148851230295</v>
      </c>
      <c r="T436" s="577">
        <f t="shared" si="207"/>
        <v>0.15738961424183331</v>
      </c>
      <c r="U436" s="578">
        <f t="shared" si="219"/>
        <v>0.67190731406758419</v>
      </c>
      <c r="V436" s="579">
        <f t="shared" si="220"/>
        <v>-1.093166787276562</v>
      </c>
      <c r="W436" s="580">
        <f t="shared" si="208"/>
        <v>-23.645673114449007</v>
      </c>
      <c r="X436" s="581">
        <f t="shared" si="209"/>
        <v>-163.77390965389407</v>
      </c>
      <c r="Y436" s="584">
        <f t="shared" si="210"/>
        <v>16.226090346105934</v>
      </c>
      <c r="AA436" s="147">
        <f t="shared" si="211"/>
        <v>44414</v>
      </c>
      <c r="AB436" s="147">
        <f t="shared" si="212"/>
        <v>1972603396</v>
      </c>
      <c r="AD436" s="583">
        <f t="shared" si="213"/>
        <v>17.111491000614677</v>
      </c>
      <c r="AE436" s="584">
        <f t="shared" si="214"/>
        <v>-9.7889678478921383</v>
      </c>
      <c r="AG436" s="583">
        <f t="shared" si="215"/>
        <v>-5.2222635775363333</v>
      </c>
      <c r="AH436" s="584">
        <f t="shared" si="216"/>
        <v>-28.717255233217834</v>
      </c>
      <c r="AJ436" s="147">
        <f t="shared" si="217"/>
        <v>0</v>
      </c>
      <c r="AK436" s="147">
        <f t="shared" si="229"/>
        <v>0</v>
      </c>
      <c r="AM436" s="147" t="str">
        <f t="shared" si="221"/>
        <v>1.31138391289571+0.950284198958269i</v>
      </c>
      <c r="AN436" s="147" t="str">
        <f t="shared" si="222"/>
        <v>1.88744532719095i</v>
      </c>
      <c r="AO436" s="147" t="str">
        <f t="shared" si="223"/>
        <v>0.503476410822749-0.694793059170312i</v>
      </c>
      <c r="AP436" s="147" t="str">
        <f t="shared" si="224"/>
        <v>-0.051897318815951-0.158380699826378i</v>
      </c>
      <c r="AQ436" s="147" t="str">
        <f t="shared" si="225"/>
        <v>1.05189731881595+0.158380699826378i</v>
      </c>
      <c r="AR436" s="147" t="str">
        <f t="shared" si="226"/>
        <v>0.774347672885304-0.116590967717791i</v>
      </c>
    </row>
    <row r="437" spans="7:44">
      <c r="G437" s="585">
        <v>44668</v>
      </c>
      <c r="H437" s="573">
        <f t="shared" si="218"/>
        <v>44.667999999999999</v>
      </c>
      <c r="I437" s="574">
        <f t="shared" si="198"/>
        <v>126.17088412320206</v>
      </c>
      <c r="J437" s="575">
        <f t="shared" si="199"/>
        <v>1.5628704849744626</v>
      </c>
      <c r="K437" s="575">
        <f t="shared" si="200"/>
        <v>1.0019043851286824</v>
      </c>
      <c r="L437" s="576">
        <f t="shared" si="201"/>
        <v>6.1666324623989008E-2</v>
      </c>
      <c r="M437" s="575">
        <f t="shared" si="202"/>
        <v>1.004377395660575</v>
      </c>
      <c r="N437" s="576">
        <f t="shared" si="203"/>
        <v>-9.339686383034379E-2</v>
      </c>
      <c r="O437" s="574">
        <f t="shared" si="204"/>
        <v>1852338.31847091</v>
      </c>
      <c r="P437" s="577">
        <f t="shared" si="205"/>
        <v>1.5707957869367131</v>
      </c>
      <c r="Q437" s="586">
        <f t="shared" si="227"/>
        <v>74.717671002082341</v>
      </c>
      <c r="R437" s="587">
        <f t="shared" si="228"/>
        <v>1.5574122123951164</v>
      </c>
      <c r="S437" s="574">
        <f t="shared" si="206"/>
        <v>1.0126575404068967</v>
      </c>
      <c r="T437" s="577">
        <f t="shared" si="207"/>
        <v>0.15827479680836745</v>
      </c>
      <c r="U437" s="578">
        <f t="shared" si="219"/>
        <v>0.66968050344483177</v>
      </c>
      <c r="V437" s="579">
        <f t="shared" si="220"/>
        <v>-1.0977968499856565</v>
      </c>
      <c r="W437" s="580">
        <f t="shared" si="208"/>
        <v>-23.724653800376856</v>
      </c>
      <c r="X437" s="581">
        <f t="shared" si="209"/>
        <v>-164.09833534368587</v>
      </c>
      <c r="Y437" s="584">
        <f t="shared" si="210"/>
        <v>15.901664656314125</v>
      </c>
      <c r="AA437" s="147">
        <f t="shared" si="211"/>
        <v>44668</v>
      </c>
      <c r="AB437" s="147">
        <f t="shared" si="212"/>
        <v>1995230224</v>
      </c>
      <c r="AD437" s="583">
        <f t="shared" si="213"/>
        <v>17.110258390929062</v>
      </c>
      <c r="AE437" s="584">
        <f t="shared" si="214"/>
        <v>-9.8353002076808238</v>
      </c>
      <c r="AG437" s="583">
        <f t="shared" si="215"/>
        <v>-5.2423431245204153</v>
      </c>
      <c r="AH437" s="584">
        <f t="shared" si="216"/>
        <v>-28.46478245839063</v>
      </c>
      <c r="AJ437" s="147">
        <f t="shared" si="217"/>
        <v>0</v>
      </c>
      <c r="AK437" s="147">
        <f t="shared" si="229"/>
        <v>0</v>
      </c>
      <c r="AM437" s="147" t="str">
        <f t="shared" si="221"/>
        <v>1.32162307817783+0.94686778146868i</v>
      </c>
      <c r="AN437" s="147" t="str">
        <f t="shared" si="222"/>
        <v>1.89823947122451i</v>
      </c>
      <c r="AO437" s="147" t="str">
        <f t="shared" si="223"/>
        <v>0.498813661723027-0.696236222148137i</v>
      </c>
      <c r="AP437" s="147" t="str">
        <f t="shared" si="224"/>
        <v>-0.0536038463629712-0.157811296911447i</v>
      </c>
      <c r="AQ437" s="147" t="str">
        <f t="shared" si="225"/>
        <v>1.05360384636297+0.157811296911447i</v>
      </c>
      <c r="AR437" s="147" t="str">
        <f t="shared" si="226"/>
        <v>0.773271576446563-0.115822460942071i</v>
      </c>
    </row>
    <row r="438" spans="7:44">
      <c r="G438" s="585">
        <v>44928.25</v>
      </c>
      <c r="H438" s="573">
        <f t="shared" si="218"/>
        <v>44.928249999999998</v>
      </c>
      <c r="I438" s="574">
        <f t="shared" si="198"/>
        <v>126.90594985007715</v>
      </c>
      <c r="J438" s="575">
        <f t="shared" si="199"/>
        <v>1.562916394056153</v>
      </c>
      <c r="K438" s="575">
        <f t="shared" si="200"/>
        <v>1.0019266194857803</v>
      </c>
      <c r="L438" s="576">
        <f t="shared" si="201"/>
        <v>6.2024694175767184E-2</v>
      </c>
      <c r="M438" s="575">
        <f t="shared" si="202"/>
        <v>1.004428439683408</v>
      </c>
      <c r="N438" s="576">
        <f t="shared" si="203"/>
        <v>-9.3937837304516325E-2</v>
      </c>
      <c r="O438" s="574">
        <f t="shared" si="204"/>
        <v>1863130.6317014536</v>
      </c>
      <c r="P438" s="577">
        <f t="shared" si="205"/>
        <v>1.5707957900638789</v>
      </c>
      <c r="Q438" s="586">
        <f t="shared" si="227"/>
        <v>75.152922207706041</v>
      </c>
      <c r="R438" s="587">
        <f t="shared" si="228"/>
        <v>1.5574897316267371</v>
      </c>
      <c r="S438" s="574">
        <f t="shared" si="206"/>
        <v>1.012804528666853</v>
      </c>
      <c r="T438" s="577">
        <f t="shared" si="207"/>
        <v>0.15918150107283277</v>
      </c>
      <c r="U438" s="578">
        <f t="shared" si="219"/>
        <v>0.66740535172527393</v>
      </c>
      <c r="V438" s="579">
        <f t="shared" si="220"/>
        <v>-1.1025264490189806</v>
      </c>
      <c r="W438" s="580">
        <f t="shared" si="208"/>
        <v>-23.805305451243083</v>
      </c>
      <c r="X438" s="581">
        <f t="shared" si="209"/>
        <v>-164.42992322015215</v>
      </c>
      <c r="Y438" s="584">
        <f t="shared" si="210"/>
        <v>15.570076779847852</v>
      </c>
      <c r="AA438" s="147">
        <f t="shared" si="211"/>
        <v>44928.25</v>
      </c>
      <c r="AB438" s="147">
        <f t="shared" si="212"/>
        <v>2018547648.0625</v>
      </c>
      <c r="AD438" s="583">
        <f t="shared" si="213"/>
        <v>17.108988730534172</v>
      </c>
      <c r="AE438" s="584">
        <f t="shared" si="214"/>
        <v>-9.8828091897259274</v>
      </c>
      <c r="AG438" s="583">
        <f t="shared" si="215"/>
        <v>-5.2626062910449898</v>
      </c>
      <c r="AH438" s="584">
        <f t="shared" si="216"/>
        <v>-28.206889225395241</v>
      </c>
      <c r="AJ438" s="147">
        <f t="shared" si="217"/>
        <v>0</v>
      </c>
      <c r="AK438" s="147">
        <f t="shared" si="229"/>
        <v>0</v>
      </c>
      <c r="AM438" s="147" t="str">
        <f t="shared" si="221"/>
        <v>1.33207531376686+0.943252874889146i</v>
      </c>
      <c r="AN438" s="147" t="str">
        <f t="shared" si="222"/>
        <v>1.9092992191959i</v>
      </c>
      <c r="AO438" s="147" t="str">
        <f t="shared" si="223"/>
        <v>0.494030933132836-0.697677608818099i</v>
      </c>
      <c r="AP438" s="147" t="str">
        <f t="shared" si="224"/>
        <v>-0.0553458856278107-0.157208812481524i</v>
      </c>
      <c r="AQ438" s="147" t="str">
        <f t="shared" si="225"/>
        <v>1.05534588562781+0.157208812481524i</v>
      </c>
      <c r="AR438" s="147" t="str">
        <f t="shared" si="226"/>
        <v>0.772179742070709-0.115027179170752i</v>
      </c>
    </row>
    <row r="439" spans="7:44">
      <c r="G439" s="585">
        <v>45188.5</v>
      </c>
      <c r="H439" s="573">
        <f t="shared" si="218"/>
        <v>45.188499999999998</v>
      </c>
      <c r="I439" s="574">
        <f t="shared" si="198"/>
        <v>127.64101584134413</v>
      </c>
      <c r="J439" s="575">
        <f t="shared" si="199"/>
        <v>1.5629617743705291</v>
      </c>
      <c r="K439" s="575">
        <f t="shared" si="200"/>
        <v>1.0019489825133268</v>
      </c>
      <c r="L439" s="576">
        <f t="shared" si="201"/>
        <v>6.2383047776288642E-2</v>
      </c>
      <c r="M439" s="575">
        <f t="shared" si="202"/>
        <v>1.0044797776246088</v>
      </c>
      <c r="N439" s="576">
        <f t="shared" si="203"/>
        <v>-9.4478755639766779E-2</v>
      </c>
      <c r="O439" s="574">
        <f t="shared" si="204"/>
        <v>1873922.944931997</v>
      </c>
      <c r="P439" s="577">
        <f t="shared" si="205"/>
        <v>1.5707957931550249</v>
      </c>
      <c r="Q439" s="586">
        <f t="shared" si="227"/>
        <v>75.588173859740081</v>
      </c>
      <c r="R439" s="587">
        <f t="shared" si="228"/>
        <v>1.5575663581166848</v>
      </c>
      <c r="S439" s="574">
        <f t="shared" si="206"/>
        <v>1.0129523493241512</v>
      </c>
      <c r="T439" s="577">
        <f t="shared" si="207"/>
        <v>0.16008794145067412</v>
      </c>
      <c r="U439" s="578">
        <f t="shared" si="219"/>
        <v>0.66513676706632352</v>
      </c>
      <c r="V439" s="579">
        <f t="shared" si="220"/>
        <v>-1.1072416239021381</v>
      </c>
      <c r="W439" s="580">
        <f t="shared" si="208"/>
        <v>-23.88568405646696</v>
      </c>
      <c r="X439" s="581">
        <f t="shared" si="209"/>
        <v>-164.76068814094299</v>
      </c>
      <c r="Y439" s="584">
        <f t="shared" si="210"/>
        <v>15.239311859057011</v>
      </c>
      <c r="AA439" s="147">
        <f t="shared" si="211"/>
        <v>45188.5</v>
      </c>
      <c r="AB439" s="147">
        <f t="shared" si="212"/>
        <v>2042000532.25</v>
      </c>
      <c r="AD439" s="583">
        <f t="shared" si="213"/>
        <v>17.107712270218521</v>
      </c>
      <c r="AE439" s="584">
        <f t="shared" si="214"/>
        <v>-9.9303542004475283</v>
      </c>
      <c r="AG439" s="583">
        <f t="shared" si="215"/>
        <v>-5.2825592511243036</v>
      </c>
      <c r="AH439" s="584">
        <f t="shared" si="216"/>
        <v>-27.949789893905066</v>
      </c>
      <c r="AJ439" s="147">
        <f t="shared" si="217"/>
        <v>0</v>
      </c>
      <c r="AK439" s="147">
        <f t="shared" si="229"/>
        <v>0</v>
      </c>
      <c r="AM439" s="147" t="str">
        <f t="shared" si="221"/>
        <v>1.34248693097334+0.939522592656751i</v>
      </c>
      <c r="AN439" s="147" t="str">
        <f t="shared" si="222"/>
        <v>1.92035896716729i</v>
      </c>
      <c r="AO439" s="147" t="str">
        <f t="shared" si="223"/>
        <v>0.489243213753226-0.699081241541853i</v>
      </c>
      <c r="AP439" s="147" t="str">
        <f t="shared" si="224"/>
        <v>-0.057081155162223-0.156587098776125i</v>
      </c>
      <c r="AQ439" s="147" t="str">
        <f t="shared" si="225"/>
        <v>1.05708115516222+0.156587098776125i</v>
      </c>
      <c r="AR439" s="147" t="str">
        <f t="shared" si="226"/>
        <v>0.771098774291659-0.114224077637282i</v>
      </c>
    </row>
    <row r="440" spans="7:44">
      <c r="G440" s="585">
        <v>45448.75</v>
      </c>
      <c r="H440" s="573">
        <f t="shared" si="218"/>
        <v>45.448749999999997</v>
      </c>
      <c r="I440" s="574">
        <f t="shared" si="198"/>
        <v>128.37608209246133</v>
      </c>
      <c r="J440" s="575">
        <f t="shared" si="199"/>
        <v>1.5630066350003791</v>
      </c>
      <c r="K440" s="575">
        <f t="shared" si="200"/>
        <v>1.0019714742027062</v>
      </c>
      <c r="L440" s="576">
        <f t="shared" si="201"/>
        <v>6.2741385334586938E-2</v>
      </c>
      <c r="M440" s="575">
        <f t="shared" si="202"/>
        <v>1.0045314094391142</v>
      </c>
      <c r="N440" s="576">
        <f t="shared" si="203"/>
        <v>-9.5019618528035962E-2</v>
      </c>
      <c r="O440" s="574">
        <f t="shared" si="204"/>
        <v>1884715.2581625404</v>
      </c>
      <c r="P440" s="577">
        <f t="shared" si="205"/>
        <v>1.5707957962107695</v>
      </c>
      <c r="Q440" s="586">
        <f t="shared" si="227"/>
        <v>76.023425950517094</v>
      </c>
      <c r="R440" s="587">
        <f t="shared" si="228"/>
        <v>1.5576421071975237</v>
      </c>
      <c r="S440" s="574">
        <f t="shared" si="206"/>
        <v>1.0131010020144287</v>
      </c>
      <c r="T440" s="577">
        <f t="shared" si="207"/>
        <v>0.16099411656820453</v>
      </c>
      <c r="U440" s="578">
        <f t="shared" si="219"/>
        <v>0.66287478384357168</v>
      </c>
      <c r="V440" s="579">
        <f t="shared" si="220"/>
        <v>-1.1119425188720291</v>
      </c>
      <c r="W440" s="580">
        <f t="shared" si="208"/>
        <v>-23.965792321303176</v>
      </c>
      <c r="X440" s="581">
        <f t="shared" si="209"/>
        <v>-165.09063792102879</v>
      </c>
      <c r="Y440" s="584">
        <f t="shared" si="210"/>
        <v>14.909362078971213</v>
      </c>
      <c r="AA440" s="147">
        <f t="shared" si="211"/>
        <v>45448.75</v>
      </c>
      <c r="AB440" s="147">
        <f t="shared" si="212"/>
        <v>2065588876.5625</v>
      </c>
      <c r="AD440" s="583">
        <f t="shared" si="213"/>
        <v>17.106429012642369</v>
      </c>
      <c r="AE440" s="584">
        <f t="shared" si="214"/>
        <v>-9.9779342826833535</v>
      </c>
      <c r="AG440" s="583">
        <f t="shared" si="215"/>
        <v>-5.3022059910787247</v>
      </c>
      <c r="AH440" s="584">
        <f t="shared" si="216"/>
        <v>-27.69347670772142</v>
      </c>
      <c r="AJ440" s="147">
        <f t="shared" si="217"/>
        <v>0</v>
      </c>
      <c r="AK440" s="147">
        <f t="shared" si="229"/>
        <v>0</v>
      </c>
      <c r="AM440" s="147" t="str">
        <f t="shared" si="221"/>
        <v>1.35285665628179+0.935677391047597i</v>
      </c>
      <c r="AN440" s="147" t="str">
        <f t="shared" si="222"/>
        <v>1.93141871513869i</v>
      </c>
      <c r="AO440" s="147" t="str">
        <f t="shared" si="223"/>
        <v>0.484450825558252-0.700447109514855i</v>
      </c>
      <c r="AP440" s="147" t="str">
        <f t="shared" si="224"/>
        <v>-0.058809442713631-0.155946231841266i</v>
      </c>
      <c r="AQ440" s="147" t="str">
        <f t="shared" si="225"/>
        <v>1.05880944271363+0.155946231841266i</v>
      </c>
      <c r="AR440" s="147" t="str">
        <f t="shared" si="226"/>
        <v>0.770028667023076-0.113413296281378i</v>
      </c>
    </row>
    <row r="441" spans="7:44">
      <c r="G441" s="585">
        <v>45709</v>
      </c>
      <c r="H441" s="573">
        <f t="shared" si="218"/>
        <v>45.709000000000003</v>
      </c>
      <c r="I441" s="574">
        <f t="shared" si="198"/>
        <v>129.11114859899061</v>
      </c>
      <c r="J441" s="575">
        <f t="shared" si="199"/>
        <v>1.5630509848216563</v>
      </c>
      <c r="K441" s="575">
        <f t="shared" si="200"/>
        <v>1.0019940945452543</v>
      </c>
      <c r="L441" s="576">
        <f t="shared" si="201"/>
        <v>6.3099706759720223E-2</v>
      </c>
      <c r="M441" s="575">
        <f t="shared" si="202"/>
        <v>1.0045833350816122</v>
      </c>
      <c r="N441" s="576">
        <f t="shared" si="203"/>
        <v>-9.5560425661457518E-2</v>
      </c>
      <c r="O441" s="574">
        <f t="shared" si="204"/>
        <v>1895507.571393084</v>
      </c>
      <c r="P441" s="577">
        <f t="shared" si="205"/>
        <v>1.5707957992317176</v>
      </c>
      <c r="Q441" s="586">
        <f t="shared" si="227"/>
        <v>76.458678472544221</v>
      </c>
      <c r="R441" s="587">
        <f t="shared" si="228"/>
        <v>1.5577169938527264</v>
      </c>
      <c r="S441" s="574">
        <f t="shared" si="206"/>
        <v>1.0132504863714857</v>
      </c>
      <c r="T441" s="577">
        <f t="shared" si="207"/>
        <v>0.16190002505428355</v>
      </c>
      <c r="U441" s="578">
        <f t="shared" si="219"/>
        <v>0.66061943437997328</v>
      </c>
      <c r="V441" s="579">
        <f t="shared" si="220"/>
        <v>-1.1166292780763931</v>
      </c>
      <c r="W441" s="580">
        <f t="shared" si="208"/>
        <v>-24.045632912027823</v>
      </c>
      <c r="X441" s="581">
        <f t="shared" si="209"/>
        <v>-165.41978037857677</v>
      </c>
      <c r="Y441" s="584">
        <f t="shared" si="210"/>
        <v>14.580219621423225</v>
      </c>
      <c r="AA441" s="147">
        <f t="shared" si="211"/>
        <v>45709</v>
      </c>
      <c r="AB441" s="147">
        <f t="shared" si="212"/>
        <v>2089312681</v>
      </c>
      <c r="AD441" s="583">
        <f t="shared" si="213"/>
        <v>17.105138960595966</v>
      </c>
      <c r="AE441" s="584">
        <f t="shared" si="214"/>
        <v>-10.025548499417782</v>
      </c>
      <c r="AG441" s="583">
        <f t="shared" si="215"/>
        <v>-5.3215504214758491</v>
      </c>
      <c r="AH441" s="584">
        <f t="shared" si="216"/>
        <v>-27.437941903912996</v>
      </c>
      <c r="AJ441" s="147">
        <f t="shared" si="217"/>
        <v>0</v>
      </c>
      <c r="AK441" s="147">
        <f t="shared" si="229"/>
        <v>0</v>
      </c>
      <c r="AM441" s="147" t="str">
        <f t="shared" si="221"/>
        <v>1.3631832213008+0.931717740394363i</v>
      </c>
      <c r="AN441" s="147" t="str">
        <f t="shared" si="222"/>
        <v>1.94247846311008i</v>
      </c>
      <c r="AO441" s="147" t="str">
        <f t="shared" si="223"/>
        <v>0.47965409042559-0.701775204816543i</v>
      </c>
      <c r="AP441" s="147" t="str">
        <f t="shared" si="224"/>
        <v>-0.0605305368834658-0.155286290065727i</v>
      </c>
      <c r="AQ441" s="147" t="str">
        <f t="shared" si="225"/>
        <v>1.06053053688347+0.155286290065727i</v>
      </c>
      <c r="AR441" s="147" t="str">
        <f t="shared" si="226"/>
        <v>0.768969412930359-0.112594973133806i</v>
      </c>
    </row>
    <row r="442" spans="7:44">
      <c r="G442" s="585">
        <v>45975.25</v>
      </c>
      <c r="H442" s="573">
        <f t="shared" si="218"/>
        <v>45.975250000000003</v>
      </c>
      <c r="I442" s="574">
        <f t="shared" si="198"/>
        <v>129.86316214355818</v>
      </c>
      <c r="J442" s="575">
        <f t="shared" si="199"/>
        <v>1.5630958375531105</v>
      </c>
      <c r="K442" s="575">
        <f t="shared" si="200"/>
        <v>1.0020173695216334</v>
      </c>
      <c r="L442" s="576">
        <f t="shared" si="201"/>
        <v>6.3466272407356639E-2</v>
      </c>
      <c r="M442" s="575">
        <f t="shared" si="202"/>
        <v>1.0046367618768457</v>
      </c>
      <c r="N442" s="576">
        <f t="shared" si="203"/>
        <v>-9.6113642952239356E-2</v>
      </c>
      <c r="O442" s="574">
        <f t="shared" si="204"/>
        <v>1906548.6987615074</v>
      </c>
      <c r="P442" s="577">
        <f t="shared" si="205"/>
        <v>1.5707958022869202</v>
      </c>
      <c r="Q442" s="586">
        <f t="shared" si="227"/>
        <v>76.903966073491318</v>
      </c>
      <c r="R442" s="587">
        <f t="shared" si="228"/>
        <v>1.5577927297911196</v>
      </c>
      <c r="S442" s="574">
        <f t="shared" si="206"/>
        <v>1.0134042773185976</v>
      </c>
      <c r="T442" s="577">
        <f t="shared" si="207"/>
        <v>0.16282654168846092</v>
      </c>
      <c r="U442" s="578">
        <f t="shared" si="219"/>
        <v>0.65831898491835583</v>
      </c>
      <c r="V442" s="579">
        <f t="shared" si="220"/>
        <v>-1.1214096112057395</v>
      </c>
      <c r="W442" s="580">
        <f t="shared" si="208"/>
        <v>-24.127039946702524</v>
      </c>
      <c r="X442" s="581">
        <f t="shared" si="209"/>
        <v>-165.75568383375196</v>
      </c>
      <c r="Y442" s="584">
        <f t="shared" si="210"/>
        <v>14.244316166248041</v>
      </c>
      <c r="AA442" s="147">
        <f t="shared" si="211"/>
        <v>45975.25</v>
      </c>
      <c r="AB442" s="147">
        <f t="shared" si="212"/>
        <v>2113723612.5625</v>
      </c>
      <c r="AD442" s="583">
        <f t="shared" si="213"/>
        <v>17.103812138514787</v>
      </c>
      <c r="AE442" s="584">
        <f t="shared" si="214"/>
        <v>-10.074294817683336</v>
      </c>
      <c r="AG442" s="583">
        <f t="shared" si="215"/>
        <v>-5.3410319886399265</v>
      </c>
      <c r="AH442" s="584">
        <f t="shared" si="216"/>
        <v>-27.177313214240449</v>
      </c>
      <c r="AJ442" s="147">
        <f t="shared" si="217"/>
        <v>0</v>
      </c>
      <c r="AK442" s="147">
        <f t="shared" si="229"/>
        <v>0</v>
      </c>
      <c r="AM442" s="147" t="str">
        <f t="shared" si="221"/>
        <v>1.37370188127049+0.927548868758349i</v>
      </c>
      <c r="AN442" s="147" t="str">
        <f t="shared" si="222"/>
        <v>1.95379319086179i</v>
      </c>
      <c r="AO442" s="147" t="str">
        <f t="shared" si="223"/>
        <v>0.474742604845102-0.703094824823588i</v>
      </c>
      <c r="AP442" s="147" t="str">
        <f t="shared" si="224"/>
        <v>-0.0622836468784158-0.154591478126391i</v>
      </c>
      <c r="AQ442" s="147" t="str">
        <f t="shared" si="225"/>
        <v>1.06228364687842+0.154591478126391i</v>
      </c>
      <c r="AR442" s="147" t="str">
        <f t="shared" si="226"/>
        <v>0.767896960474951-0.111750121088113i</v>
      </c>
    </row>
    <row r="443" spans="7:44">
      <c r="G443" s="585">
        <v>46241.5</v>
      </c>
      <c r="H443" s="573">
        <f t="shared" si="218"/>
        <v>46.241500000000002</v>
      </c>
      <c r="I443" s="574">
        <f t="shared" si="198"/>
        <v>130.61517594637192</v>
      </c>
      <c r="J443" s="575">
        <f t="shared" si="199"/>
        <v>1.5631401738075605</v>
      </c>
      <c r="K443" s="575">
        <f t="shared" si="200"/>
        <v>1.0020407791331958</v>
      </c>
      <c r="L443" s="576">
        <f t="shared" si="201"/>
        <v>6.3832820976878743E-2</v>
      </c>
      <c r="M443" s="575">
        <f t="shared" si="202"/>
        <v>1.0046904961077725</v>
      </c>
      <c r="N443" s="576">
        <f t="shared" si="203"/>
        <v>-9.666680123645266E-2</v>
      </c>
      <c r="O443" s="574">
        <f t="shared" si="204"/>
        <v>1917589.8261299308</v>
      </c>
      <c r="P443" s="577">
        <f t="shared" si="205"/>
        <v>1.57079580530694</v>
      </c>
      <c r="Q443" s="586">
        <f t="shared" si="227"/>
        <v>77.349254110475471</v>
      </c>
      <c r="R443" s="587">
        <f t="shared" si="228"/>
        <v>1.5578675937290967</v>
      </c>
      <c r="S443" s="574">
        <f t="shared" si="206"/>
        <v>1.0135589379410241</v>
      </c>
      <c r="T443" s="577">
        <f t="shared" si="207"/>
        <v>0.16375277636015828</v>
      </c>
      <c r="U443" s="578">
        <f t="shared" si="219"/>
        <v>0.65602554067225127</v>
      </c>
      <c r="V443" s="579">
        <f t="shared" si="220"/>
        <v>-1.1261754541282065</v>
      </c>
      <c r="W443" s="580">
        <f t="shared" si="208"/>
        <v>-24.208172348086979</v>
      </c>
      <c r="X443" s="581">
        <f t="shared" si="209"/>
        <v>-166.09075887161933</v>
      </c>
      <c r="Y443" s="584">
        <f t="shared" si="210"/>
        <v>13.909241128380671</v>
      </c>
      <c r="AA443" s="147">
        <f t="shared" si="211"/>
        <v>46241.5</v>
      </c>
      <c r="AB443" s="147">
        <f t="shared" si="212"/>
        <v>2138276322.25</v>
      </c>
      <c r="AD443" s="583">
        <f t="shared" si="213"/>
        <v>17.102478211372144</v>
      </c>
      <c r="AE443" s="584">
        <f t="shared" si="214"/>
        <v>-10.123074940616595</v>
      </c>
      <c r="AG443" s="583">
        <f t="shared" si="215"/>
        <v>-5.3602051901531889</v>
      </c>
      <c r="AH443" s="584">
        <f t="shared" si="216"/>
        <v>-26.917482757991241</v>
      </c>
      <c r="AJ443" s="147">
        <f t="shared" si="217"/>
        <v>0</v>
      </c>
      <c r="AK443" s="147">
        <f t="shared" si="229"/>
        <v>0</v>
      </c>
      <c r="AM443" s="147" t="str">
        <f t="shared" si="221"/>
        <v>1.38417269929071+0.923261250740923i</v>
      </c>
      <c r="AN443" s="147" t="str">
        <f t="shared" si="222"/>
        <v>1.9651079186135i</v>
      </c>
      <c r="AO443" s="147" t="str">
        <f t="shared" si="223"/>
        <v>0.46982725070506-0.704374902864025i</v>
      </c>
      <c r="AP443" s="147" t="str">
        <f t="shared" si="224"/>
        <v>-0.0640287832151177-0.153876875123487i</v>
      </c>
      <c r="AQ443" s="147" t="str">
        <f t="shared" si="225"/>
        <v>1.06402878321512+0.153876875123487i</v>
      </c>
      <c r="AR443" s="147" t="str">
        <f t="shared" si="226"/>
        <v>0.766835848081385-0.110897661695658i</v>
      </c>
    </row>
    <row r="444" spans="7:44">
      <c r="G444" s="585">
        <v>46507.75</v>
      </c>
      <c r="H444" s="573">
        <f t="shared" si="218"/>
        <v>46.507750000000001</v>
      </c>
      <c r="I444" s="574">
        <f t="shared" si="198"/>
        <v>131.36719000299686</v>
      </c>
      <c r="J444" s="575">
        <f t="shared" si="199"/>
        <v>1.5631840024545791</v>
      </c>
      <c r="K444" s="575">
        <f t="shared" si="200"/>
        <v>1.002064323370506</v>
      </c>
      <c r="L444" s="576">
        <f t="shared" si="201"/>
        <v>6.4199352370989532E-2</v>
      </c>
      <c r="M444" s="575">
        <f t="shared" si="202"/>
        <v>1.004744537725067</v>
      </c>
      <c r="N444" s="576">
        <f t="shared" si="203"/>
        <v>-9.7219900185076563E-2</v>
      </c>
      <c r="O444" s="574">
        <f t="shared" si="204"/>
        <v>1928630.9534983542</v>
      </c>
      <c r="P444" s="577">
        <f t="shared" si="205"/>
        <v>1.5707958082923816</v>
      </c>
      <c r="Q444" s="586">
        <f t="shared" si="227"/>
        <v>77.794542576009221</v>
      </c>
      <c r="R444" s="587">
        <f t="shared" si="228"/>
        <v>1.5579416006395501</v>
      </c>
      <c r="S444" s="574">
        <f t="shared" si="206"/>
        <v>1.0137144678407108</v>
      </c>
      <c r="T444" s="577">
        <f t="shared" si="207"/>
        <v>0.1646787276095433</v>
      </c>
      <c r="U444" s="578">
        <f t="shared" si="219"/>
        <v>0.65373912986698901</v>
      </c>
      <c r="V444" s="579">
        <f t="shared" si="220"/>
        <v>-1.130926960799689</v>
      </c>
      <c r="W444" s="580">
        <f t="shared" si="208"/>
        <v>-24.289032851601799</v>
      </c>
      <c r="X444" s="581">
        <f t="shared" si="209"/>
        <v>-166.42501386662315</v>
      </c>
      <c r="Y444" s="584">
        <f t="shared" si="210"/>
        <v>13.574986133376854</v>
      </c>
      <c r="AA444" s="147">
        <f t="shared" si="211"/>
        <v>46507.75</v>
      </c>
      <c r="AB444" s="147">
        <f t="shared" si="212"/>
        <v>2162970810.0625</v>
      </c>
      <c r="AD444" s="583">
        <f t="shared" si="213"/>
        <v>17.101137182555878</v>
      </c>
      <c r="AE444" s="584">
        <f t="shared" si="214"/>
        <v>-10.171887926726425</v>
      </c>
      <c r="AG444" s="583">
        <f t="shared" si="215"/>
        <v>-5.3790739768572564</v>
      </c>
      <c r="AH444" s="584">
        <f t="shared" si="216"/>
        <v>-26.658442209054655</v>
      </c>
      <c r="AJ444" s="147">
        <f t="shared" si="217"/>
        <v>0</v>
      </c>
      <c r="AK444" s="147">
        <f t="shared" si="229"/>
        <v>0</v>
      </c>
      <c r="AM444" s="147" t="str">
        <f t="shared" si="221"/>
        <v>1.39459433486953+0.918855435250221i</v>
      </c>
      <c r="AN444" s="147" t="str">
        <f t="shared" si="222"/>
        <v>1.97642264636522i</v>
      </c>
      <c r="AO444" s="147" t="str">
        <f t="shared" si="223"/>
        <v>0.464908372174373-0.70561543981207i</v>
      </c>
      <c r="AP444" s="147" t="str">
        <f t="shared" si="224"/>
        <v>-0.0657657224782552-0.153142572541703i</v>
      </c>
      <c r="AQ444" s="147" t="str">
        <f t="shared" si="225"/>
        <v>1.06576572247826+0.153142572541703i</v>
      </c>
      <c r="AR444" s="147" t="str">
        <f t="shared" si="226"/>
        <v>0.765786064161987-0.110037736632822i</v>
      </c>
    </row>
    <row r="445" spans="7:44">
      <c r="G445" s="585">
        <v>46774</v>
      </c>
      <c r="H445" s="573">
        <f t="shared" si="218"/>
        <v>46.774000000000001</v>
      </c>
      <c r="I445" s="574">
        <f t="shared" si="198"/>
        <v>132.11920430909888</v>
      </c>
      <c r="J445" s="575">
        <f t="shared" si="199"/>
        <v>1.563227332161806</v>
      </c>
      <c r="K445" s="575">
        <f t="shared" si="200"/>
        <v>1.0020880022240743</v>
      </c>
      <c r="L445" s="576">
        <f t="shared" si="201"/>
        <v>6.4565866492419619E-2</v>
      </c>
      <c r="M445" s="575">
        <f t="shared" si="202"/>
        <v>1.0047988866791324</v>
      </c>
      <c r="N445" s="576">
        <f t="shared" si="203"/>
        <v>-9.7772939469305931E-2</v>
      </c>
      <c r="O445" s="574">
        <f t="shared" si="204"/>
        <v>1939672.0808667778</v>
      </c>
      <c r="P445" s="577">
        <f t="shared" si="205"/>
        <v>1.5707958112438352</v>
      </c>
      <c r="Q445" s="586">
        <f t="shared" si="227"/>
        <v>78.239831462775484</v>
      </c>
      <c r="R445" s="587">
        <f t="shared" si="228"/>
        <v>1.558014765154548</v>
      </c>
      <c r="S445" s="574">
        <f t="shared" si="206"/>
        <v>1.0138708666176111</v>
      </c>
      <c r="T445" s="577">
        <f t="shared" si="207"/>
        <v>0.16560439397962085</v>
      </c>
      <c r="U445" s="578">
        <f t="shared" si="219"/>
        <v>0.65145977866925053</v>
      </c>
      <c r="V445" s="579">
        <f t="shared" si="220"/>
        <v>-1.135664285010805</v>
      </c>
      <c r="W445" s="580">
        <f t="shared" si="208"/>
        <v>-24.369624154639709</v>
      </c>
      <c r="X445" s="581">
        <f t="shared" si="209"/>
        <v>-166.75845719186825</v>
      </c>
      <c r="Y445" s="584">
        <f t="shared" si="210"/>
        <v>13.241542808131754</v>
      </c>
      <c r="AA445" s="147">
        <f t="shared" si="211"/>
        <v>46774</v>
      </c>
      <c r="AB445" s="147">
        <f t="shared" si="212"/>
        <v>2187807076</v>
      </c>
      <c r="AD445" s="583">
        <f t="shared" si="213"/>
        <v>17.099789055581631</v>
      </c>
      <c r="AE445" s="584">
        <f t="shared" si="214"/>
        <v>-10.220732854211203</v>
      </c>
      <c r="AG445" s="583">
        <f t="shared" si="215"/>
        <v>-5.3976422230010819</v>
      </c>
      <c r="AH445" s="584">
        <f t="shared" si="216"/>
        <v>-26.400183239230493</v>
      </c>
      <c r="AJ445" s="147">
        <f t="shared" si="217"/>
        <v>0</v>
      </c>
      <c r="AK445" s="147">
        <f t="shared" si="229"/>
        <v>0</v>
      </c>
      <c r="AM445" s="147" t="str">
        <f t="shared" si="221"/>
        <v>1.40496545381147+0.914331986326231i</v>
      </c>
      <c r="AN445" s="147" t="str">
        <f t="shared" si="222"/>
        <v>1.98773737411693i</v>
      </c>
      <c r="AO445" s="147" t="str">
        <f t="shared" si="223"/>
        <v>0.459986313198156-0.706816439689694i</v>
      </c>
      <c r="AP445" s="147" t="str">
        <f t="shared" si="224"/>
        <v>-0.0674942423019113-0.152388664387705i</v>
      </c>
      <c r="AQ445" s="147" t="str">
        <f t="shared" si="225"/>
        <v>1.06749424230191+0.152388664387705i</v>
      </c>
      <c r="AR445" s="147" t="str">
        <f t="shared" si="226"/>
        <v>0.764747595975282-0.109170485541056i</v>
      </c>
    </row>
    <row r="446" spans="7:44">
      <c r="G446" s="585">
        <v>47046.25</v>
      </c>
      <c r="H446" s="573">
        <f t="shared" si="218"/>
        <v>47.046250000000001</v>
      </c>
      <c r="I446" s="574">
        <f t="shared" si="198"/>
        <v>132.88816567002618</v>
      </c>
      <c r="J446" s="575">
        <f t="shared" si="199"/>
        <v>1.5632711312056953</v>
      </c>
      <c r="K446" s="575">
        <f t="shared" si="200"/>
        <v>1.0021123538765175</v>
      </c>
      <c r="L446" s="576">
        <f t="shared" si="201"/>
        <v>6.4940622124768282E-2</v>
      </c>
      <c r="M446" s="575">
        <f t="shared" si="202"/>
        <v>1.0048547781500621</v>
      </c>
      <c r="N446" s="576">
        <f t="shared" si="203"/>
        <v>-9.8338379571945897E-2</v>
      </c>
      <c r="O446" s="574">
        <f t="shared" si="204"/>
        <v>1950962.0223730814</v>
      </c>
      <c r="P446" s="577">
        <f t="shared" si="205"/>
        <v>1.5707958142272564</v>
      </c>
      <c r="Q446" s="586">
        <f t="shared" si="227"/>
        <v>78.695155456808919</v>
      </c>
      <c r="R446" s="587">
        <f t="shared" si="228"/>
        <v>1.5580887222597641</v>
      </c>
      <c r="S446" s="574">
        <f t="shared" si="206"/>
        <v>1.0140316879234641</v>
      </c>
      <c r="T446" s="577">
        <f t="shared" si="207"/>
        <v>0.16655062434059725</v>
      </c>
      <c r="U446" s="578">
        <f t="shared" si="219"/>
        <v>0.64913638699821452</v>
      </c>
      <c r="V446" s="579">
        <f t="shared" si="220"/>
        <v>-1.1404938603886983</v>
      </c>
      <c r="W446" s="580">
        <f t="shared" si="208"/>
        <v>-24.451756002666421</v>
      </c>
      <c r="X446" s="581">
        <f t="shared" si="209"/>
        <v>-167.09858414105307</v>
      </c>
      <c r="Y446" s="584">
        <f t="shared" si="210"/>
        <v>12.901415858946933</v>
      </c>
      <c r="AA446" s="147">
        <f t="shared" si="211"/>
        <v>47046.25</v>
      </c>
      <c r="AB446" s="147">
        <f t="shared" si="212"/>
        <v>2213349639.0625</v>
      </c>
      <c r="AD446" s="583">
        <f t="shared" si="213"/>
        <v>17.098403212176201</v>
      </c>
      <c r="AE446" s="584">
        <f t="shared" si="214"/>
        <v>-10.270710601342955</v>
      </c>
      <c r="AG446" s="583">
        <f t="shared" si="215"/>
        <v>-5.4163220901368554</v>
      </c>
      <c r="AH446" s="584">
        <f t="shared" si="216"/>
        <v>-26.13690386866401</v>
      </c>
      <c r="AJ446" s="147">
        <f t="shared" si="217"/>
        <v>0</v>
      </c>
      <c r="AK446" s="147">
        <f t="shared" si="229"/>
        <v>0</v>
      </c>
      <c r="AM446" s="147" t="str">
        <f t="shared" si="221"/>
        <v>1.41551666782046+0.909585564289244i</v>
      </c>
      <c r="AN446" s="147" t="str">
        <f t="shared" si="222"/>
        <v>1.99930708164896i</v>
      </c>
      <c r="AO446" s="147" t="str">
        <f t="shared" si="223"/>
        <v>0.454950403886455-0.708003628263543i</v>
      </c>
      <c r="AP446" s="147" t="str">
        <f t="shared" si="224"/>
        <v>-0.0692527779700765-0.151597594048207i</v>
      </c>
      <c r="AQ446" s="147" t="str">
        <f t="shared" si="225"/>
        <v>1.06925277797008+0.151597594048207i</v>
      </c>
      <c r="AR446" s="147" t="str">
        <f t="shared" si="226"/>
        <v>0.763697412368654-0.108276258599694i</v>
      </c>
    </row>
    <row r="447" spans="7:44">
      <c r="G447" s="585">
        <v>47318.5</v>
      </c>
      <c r="H447" s="573">
        <f t="shared" si="218"/>
        <v>47.3185</v>
      </c>
      <c r="I447" s="574">
        <f t="shared" si="198"/>
        <v>133.65712728294699</v>
      </c>
      <c r="J447" s="575">
        <f t="shared" si="199"/>
        <v>1.5633144262767906</v>
      </c>
      <c r="K447" s="575">
        <f t="shared" si="200"/>
        <v>1.0021368462605558</v>
      </c>
      <c r="L447" s="576">
        <f t="shared" si="201"/>
        <v>6.5315359491568983E-2</v>
      </c>
      <c r="M447" s="575">
        <f t="shared" si="202"/>
        <v>1.0049109908598859</v>
      </c>
      <c r="N447" s="576">
        <f t="shared" si="203"/>
        <v>-9.8903756596157216E-2</v>
      </c>
      <c r="O447" s="574">
        <f t="shared" si="204"/>
        <v>1962251.963879385</v>
      </c>
      <c r="P447" s="577">
        <f t="shared" si="205"/>
        <v>1.570795817176347</v>
      </c>
      <c r="Q447" s="586">
        <f t="shared" si="227"/>
        <v>79.150479876325278</v>
      </c>
      <c r="R447" s="587">
        <f t="shared" si="228"/>
        <v>1.5581618284677938</v>
      </c>
      <c r="S447" s="574">
        <f t="shared" si="206"/>
        <v>1.0141934168561</v>
      </c>
      <c r="T447" s="577">
        <f t="shared" si="207"/>
        <v>0.16749655376595862</v>
      </c>
      <c r="U447" s="578">
        <f t="shared" si="219"/>
        <v>0.64682042564462261</v>
      </c>
      <c r="V447" s="579">
        <f t="shared" si="220"/>
        <v>-1.1453089315242932</v>
      </c>
      <c r="W447" s="580">
        <f t="shared" si="208"/>
        <v>-24.533611967713476</v>
      </c>
      <c r="X447" s="581">
        <f t="shared" si="209"/>
        <v>-167.43788012377513</v>
      </c>
      <c r="Y447" s="584">
        <f t="shared" si="210"/>
        <v>12.56211987622487</v>
      </c>
      <c r="AA447" s="147">
        <f t="shared" si="211"/>
        <v>47318.5</v>
      </c>
      <c r="AB447" s="147">
        <f t="shared" si="212"/>
        <v>2239040442.25</v>
      </c>
      <c r="AD447" s="583">
        <f t="shared" si="213"/>
        <v>17.097009954920413</v>
      </c>
      <c r="AE447" s="584">
        <f t="shared" si="214"/>
        <v>-10.320719856984685</v>
      </c>
      <c r="AG447" s="583">
        <f t="shared" si="215"/>
        <v>-5.4346956729155673</v>
      </c>
      <c r="AH447" s="584">
        <f t="shared" si="216"/>
        <v>-25.874424086864156</v>
      </c>
      <c r="AJ447" s="147">
        <f t="shared" si="217"/>
        <v>0</v>
      </c>
      <c r="AK447" s="147">
        <f t="shared" si="229"/>
        <v>0</v>
      </c>
      <c r="AM447" s="147" t="str">
        <f t="shared" si="221"/>
        <v>1.42601226216477+0.904717388185536i</v>
      </c>
      <c r="AN447" s="147" t="str">
        <f t="shared" si="222"/>
        <v>2.010876789181i</v>
      </c>
      <c r="AO447" s="147" t="str">
        <f t="shared" si="223"/>
        <v>0.449911895673138-0.709149496297863i</v>
      </c>
      <c r="AP447" s="147" t="str">
        <f t="shared" si="224"/>
        <v>-0.0710020436941278-0.150786231364256i</v>
      </c>
      <c r="AQ447" s="147" t="str">
        <f t="shared" si="225"/>
        <v>1.07100204369413+0.150786231364256i</v>
      </c>
      <c r="AR447" s="147" t="str">
        <f t="shared" si="226"/>
        <v>0.762659029827394-0.107374660581353i</v>
      </c>
    </row>
    <row r="448" spans="7:44">
      <c r="G448" s="585">
        <v>47590.75</v>
      </c>
      <c r="H448" s="573">
        <f t="shared" si="218"/>
        <v>47.59075</v>
      </c>
      <c r="I448" s="574">
        <f t="shared" si="198"/>
        <v>134.42608914353687</v>
      </c>
      <c r="J448" s="575">
        <f t="shared" si="199"/>
        <v>1.5633572260236035</v>
      </c>
      <c r="K448" s="575">
        <f t="shared" si="200"/>
        <v>1.0021614793658713</v>
      </c>
      <c r="L448" s="576">
        <f t="shared" si="201"/>
        <v>6.5690078488917489E-2</v>
      </c>
      <c r="M448" s="575">
        <f t="shared" si="202"/>
        <v>1.0049675247546983</v>
      </c>
      <c r="N448" s="576">
        <f t="shared" si="203"/>
        <v>-9.9469070191108344E-2</v>
      </c>
      <c r="O448" s="574">
        <f t="shared" si="204"/>
        <v>1973541.9053856884</v>
      </c>
      <c r="P448" s="577">
        <f t="shared" si="205"/>
        <v>1.570795820091696</v>
      </c>
      <c r="Q448" s="586">
        <f t="shared" si="227"/>
        <v>79.605804714023662</v>
      </c>
      <c r="R448" s="587">
        <f t="shared" si="228"/>
        <v>1.5582340983785909</v>
      </c>
      <c r="S448" s="574">
        <f t="shared" si="206"/>
        <v>1.0143560529813829</v>
      </c>
      <c r="T448" s="577">
        <f t="shared" si="207"/>
        <v>0.16844218070725298</v>
      </c>
      <c r="U448" s="578">
        <f t="shared" si="219"/>
        <v>0.64451191620610482</v>
      </c>
      <c r="V448" s="579">
        <f t="shared" si="220"/>
        <v>-1.1501096622079205</v>
      </c>
      <c r="W448" s="580">
        <f t="shared" si="208"/>
        <v>-24.615194817307042</v>
      </c>
      <c r="X448" s="581">
        <f t="shared" si="209"/>
        <v>-167.7763540807027</v>
      </c>
      <c r="Y448" s="584">
        <f t="shared" si="210"/>
        <v>12.223645919297297</v>
      </c>
      <c r="AA448" s="147">
        <f t="shared" si="211"/>
        <v>47590.75</v>
      </c>
      <c r="AB448" s="147">
        <f t="shared" si="212"/>
        <v>2264879485.5625</v>
      </c>
      <c r="AD448" s="583">
        <f t="shared" si="213"/>
        <v>17.095609287966134</v>
      </c>
      <c r="AE448" s="584">
        <f t="shared" si="214"/>
        <v>-10.370759695934622</v>
      </c>
      <c r="AG448" s="583">
        <f t="shared" si="215"/>
        <v>-5.4527668747573728</v>
      </c>
      <c r="AH448" s="584">
        <f t="shared" si="216"/>
        <v>-25.612734990711566</v>
      </c>
      <c r="AJ448" s="147">
        <f t="shared" si="217"/>
        <v>0</v>
      </c>
      <c r="AK448" s="147">
        <f t="shared" si="229"/>
        <v>0</v>
      </c>
      <c r="AM448" s="147" t="str">
        <f t="shared" si="221"/>
        <v>1.43645083193939+0.899728109652809i</v>
      </c>
      <c r="AN448" s="147" t="str">
        <f t="shared" si="222"/>
        <v>2.02244649671303i</v>
      </c>
      <c r="AO448" s="147" t="str">
        <f t="shared" si="223"/>
        <v>0.444871155363115-0.710254058277425i</v>
      </c>
      <c r="AP448" s="147" t="str">
        <f t="shared" si="224"/>
        <v>-0.0727418053232312-0.149954684942135i</v>
      </c>
      <c r="AQ448" s="147" t="str">
        <f t="shared" si="225"/>
        <v>1.07274180532323+0.149954684942135i</v>
      </c>
      <c r="AR448" s="147" t="str">
        <f t="shared" si="226"/>
        <v>0.761632431315584-0.106465834288268i</v>
      </c>
    </row>
    <row r="449" spans="7:44">
      <c r="G449" s="585">
        <v>47863</v>
      </c>
      <c r="H449" s="573">
        <f t="shared" si="218"/>
        <v>47.863</v>
      </c>
      <c r="I449" s="574">
        <f t="shared" si="198"/>
        <v>135.19505124756978</v>
      </c>
      <c r="J449" s="575">
        <f t="shared" si="199"/>
        <v>1.5633995388978885</v>
      </c>
      <c r="K449" s="575">
        <f t="shared" si="200"/>
        <v>1.0021862531820873</v>
      </c>
      <c r="L449" s="576">
        <f t="shared" si="201"/>
        <v>6.6064779012940417E-2</v>
      </c>
      <c r="M449" s="575">
        <f t="shared" si="202"/>
        <v>1.0050243797802982</v>
      </c>
      <c r="N449" s="576">
        <f t="shared" si="203"/>
        <v>-0.10003432000620861</v>
      </c>
      <c r="O449" s="574">
        <f t="shared" si="204"/>
        <v>1984831.846891992</v>
      </c>
      <c r="P449" s="577">
        <f t="shared" si="205"/>
        <v>1.5707958229738794</v>
      </c>
      <c r="Q449" s="586">
        <f t="shared" si="227"/>
        <v>80.061129962769158</v>
      </c>
      <c r="R449" s="587">
        <f t="shared" si="228"/>
        <v>1.5583055462600133</v>
      </c>
      <c r="S449" s="574">
        <f t="shared" si="206"/>
        <v>1.0145195958630204</v>
      </c>
      <c r="T449" s="577">
        <f t="shared" si="207"/>
        <v>0.16938750361918231</v>
      </c>
      <c r="U449" s="578">
        <f t="shared" si="219"/>
        <v>0.64221087822904033</v>
      </c>
      <c r="V449" s="579">
        <f t="shared" si="220"/>
        <v>-1.1548962159860103</v>
      </c>
      <c r="W449" s="580">
        <f t="shared" si="208"/>
        <v>-24.696507281988964</v>
      </c>
      <c r="X449" s="581">
        <f t="shared" si="209"/>
        <v>-168.11401494647586</v>
      </c>
      <c r="Y449" s="584">
        <f t="shared" si="210"/>
        <v>11.885985053524138</v>
      </c>
      <c r="AA449" s="147">
        <f t="shared" si="211"/>
        <v>47863</v>
      </c>
      <c r="AB449" s="147">
        <f t="shared" si="212"/>
        <v>2290866769</v>
      </c>
      <c r="AD449" s="583">
        <f t="shared" si="213"/>
        <v>17.094201215590957</v>
      </c>
      <c r="AE449" s="584">
        <f t="shared" si="214"/>
        <v>-10.420829212198697</v>
      </c>
      <c r="AG449" s="583">
        <f t="shared" si="215"/>
        <v>-5.4705395217841186</v>
      </c>
      <c r="AH449" s="584">
        <f t="shared" si="216"/>
        <v>-25.351827679800035</v>
      </c>
      <c r="AJ449" s="147">
        <f t="shared" si="217"/>
        <v>0</v>
      </c>
      <c r="AK449" s="147">
        <f t="shared" si="229"/>
        <v>0</v>
      </c>
      <c r="AM449" s="147" t="str">
        <f t="shared" si="221"/>
        <v>1.44683097987247+0.89461839653911i</v>
      </c>
      <c r="AN449" s="147" t="str">
        <f t="shared" si="222"/>
        <v>2.03401620424507i</v>
      </c>
      <c r="AO449" s="147" t="str">
        <f t="shared" si="223"/>
        <v>0.439828549385205-0.711317332110176i</v>
      </c>
      <c r="AP449" s="147" t="str">
        <f t="shared" si="224"/>
        <v>-0.0744718299787448-0.149103066089852i</v>
      </c>
      <c r="AQ449" s="147" t="str">
        <f t="shared" si="225"/>
        <v>1.07447182997874+0.149103066089852i</v>
      </c>
      <c r="AR449" s="147" t="str">
        <f t="shared" si="226"/>
        <v>0.760617598753783-0.105549920371885i</v>
      </c>
    </row>
    <row r="450" spans="7:44">
      <c r="G450" s="585">
        <v>48141.75</v>
      </c>
      <c r="H450" s="573">
        <f t="shared" si="218"/>
        <v>48.141750000000002</v>
      </c>
      <c r="I450" s="574">
        <f t="shared" si="198"/>
        <v>135.98237265801885</v>
      </c>
      <c r="J450" s="575">
        <f t="shared" si="199"/>
        <v>1.5634423661751042</v>
      </c>
      <c r="K450" s="575">
        <f t="shared" si="200"/>
        <v>1.0022117642553494</v>
      </c>
      <c r="L450" s="576">
        <f t="shared" si="201"/>
        <v>6.644840630636728E-2</v>
      </c>
      <c r="M450" s="575">
        <f t="shared" si="202"/>
        <v>1.0050829248921103</v>
      </c>
      <c r="N450" s="576">
        <f t="shared" si="203"/>
        <v>-0.10061299877748783</v>
      </c>
      <c r="O450" s="574">
        <f t="shared" si="204"/>
        <v>1996391.3370476656</v>
      </c>
      <c r="P450" s="577">
        <f t="shared" si="205"/>
        <v>1.5707958258911001</v>
      </c>
      <c r="Q450" s="586">
        <f t="shared" si="227"/>
        <v>80.527326572695827</v>
      </c>
      <c r="R450" s="587">
        <f t="shared" si="228"/>
        <v>1.5583778628266323</v>
      </c>
      <c r="S450" s="574">
        <f t="shared" si="206"/>
        <v>1.0146879823799893</v>
      </c>
      <c r="T450" s="577">
        <f t="shared" si="207"/>
        <v>0.17035507960952714</v>
      </c>
      <c r="U450" s="578">
        <f t="shared" si="219"/>
        <v>0.63986266217918764</v>
      </c>
      <c r="V450" s="579">
        <f t="shared" si="220"/>
        <v>-1.1597825311534278</v>
      </c>
      <c r="W450" s="580">
        <f t="shared" si="208"/>
        <v>-24.77948375981526</v>
      </c>
      <c r="X450" s="581">
        <f t="shared" si="209"/>
        <v>-168.45890438572823</v>
      </c>
      <c r="Y450" s="584">
        <f t="shared" si="210"/>
        <v>11.541095614271768</v>
      </c>
      <c r="AA450" s="147">
        <f t="shared" si="211"/>
        <v>48141.75</v>
      </c>
      <c r="AB450" s="147">
        <f t="shared" si="212"/>
        <v>2317628093.0625</v>
      </c>
      <c r="AD450" s="583">
        <f t="shared" si="213"/>
        <v>17.092751857182733</v>
      </c>
      <c r="AE450" s="584">
        <f t="shared" si="214"/>
        <v>-10.472123965950553</v>
      </c>
      <c r="AG450" s="583">
        <f t="shared" si="215"/>
        <v>-5.4884310770313718</v>
      </c>
      <c r="AH450" s="584">
        <f t="shared" si="216"/>
        <v>-25.085491891733149</v>
      </c>
      <c r="AJ450" s="147">
        <f t="shared" si="217"/>
        <v>0</v>
      </c>
      <c r="AK450" s="147">
        <f t="shared" si="229"/>
        <v>0</v>
      </c>
      <c r="AM450" s="147" t="str">
        <f t="shared" si="221"/>
        <v>1.45739697327932+0.889262620846574i</v>
      </c>
      <c r="AN450" s="147" t="str">
        <f t="shared" si="222"/>
        <v>2.04586213987245i</v>
      </c>
      <c r="AO450" s="147" t="str">
        <f t="shared" si="223"/>
        <v>0.434663999844103-0.712363235467167i</v>
      </c>
      <c r="AP450" s="147" t="str">
        <f t="shared" si="224"/>
        <v>-0.0762328288798867-0.148210436807762i</v>
      </c>
      <c r="AQ450" s="147" t="str">
        <f t="shared" si="225"/>
        <v>1.07623282887989+0.148210436807762i</v>
      </c>
      <c r="AR450" s="147" t="str">
        <f t="shared" si="226"/>
        <v>0.759590707698894-0.104604940085631i</v>
      </c>
    </row>
    <row r="451" spans="7:44">
      <c r="G451" s="585">
        <v>48420.5</v>
      </c>
      <c r="H451" s="573">
        <f t="shared" si="218"/>
        <v>48.420499999999997</v>
      </c>
      <c r="I451" s="574">
        <f t="shared" si="198"/>
        <v>136.76969431501192</v>
      </c>
      <c r="J451" s="575">
        <f t="shared" si="199"/>
        <v>1.5634847003776255</v>
      </c>
      <c r="K451" s="575">
        <f t="shared" si="200"/>
        <v>1.0022374228164954</v>
      </c>
      <c r="L451" s="576">
        <f t="shared" si="201"/>
        <v>6.6832014013547561E-2</v>
      </c>
      <c r="M451" s="575">
        <f t="shared" si="202"/>
        <v>1.0051418065358839</v>
      </c>
      <c r="N451" s="576">
        <f t="shared" si="203"/>
        <v>-0.10119160994399945</v>
      </c>
      <c r="O451" s="574">
        <f t="shared" si="204"/>
        <v>2007950.8272033392</v>
      </c>
      <c r="P451" s="577">
        <f t="shared" si="205"/>
        <v>1.5707958287747328</v>
      </c>
      <c r="Q451" s="586">
        <f t="shared" si="227"/>
        <v>80.993523598907061</v>
      </c>
      <c r="R451" s="587">
        <f t="shared" si="228"/>
        <v>1.5584493468883345</v>
      </c>
      <c r="S451" s="574">
        <f t="shared" si="206"/>
        <v>1.0148573185354388</v>
      </c>
      <c r="T451" s="577">
        <f t="shared" si="207"/>
        <v>0.1713223336113075</v>
      </c>
      <c r="U451" s="578">
        <f t="shared" si="219"/>
        <v>0.63752231370352663</v>
      </c>
      <c r="V451" s="579">
        <f t="shared" si="220"/>
        <v>-1.1646543305314054</v>
      </c>
      <c r="W451" s="580">
        <f t="shared" si="208"/>
        <v>-24.862182466751804</v>
      </c>
      <c r="X451" s="581">
        <f t="shared" si="209"/>
        <v>-168.80296037765874</v>
      </c>
      <c r="Y451" s="584">
        <f t="shared" si="210"/>
        <v>11.197039622341265</v>
      </c>
      <c r="AA451" s="147">
        <f t="shared" si="211"/>
        <v>48420.5</v>
      </c>
      <c r="AB451" s="147">
        <f t="shared" si="212"/>
        <v>2344544820.25</v>
      </c>
      <c r="AD451" s="583">
        <f t="shared" si="213"/>
        <v>17.091294744987575</v>
      </c>
      <c r="AE451" s="584">
        <f t="shared" si="214"/>
        <v>-10.523447968210338</v>
      </c>
      <c r="AG451" s="583">
        <f t="shared" si="215"/>
        <v>-5.5060175272288161</v>
      </c>
      <c r="AH451" s="584">
        <f t="shared" si="216"/>
        <v>-24.819956794780811</v>
      </c>
      <c r="AJ451" s="147">
        <f t="shared" si="217"/>
        <v>0</v>
      </c>
      <c r="AK451" s="147">
        <f t="shared" si="229"/>
        <v>0</v>
      </c>
      <c r="AM451" s="147" t="str">
        <f t="shared" si="221"/>
        <v>1.46789878266175+0.883782059776986i</v>
      </c>
      <c r="AN451" s="147" t="str">
        <f t="shared" si="222"/>
        <v>2.05770807549983i</v>
      </c>
      <c r="AO451" s="147" t="str">
        <f t="shared" si="223"/>
        <v>0.429498270575776-0.713365904590324i</v>
      </c>
      <c r="AP451" s="147" t="str">
        <f t="shared" si="224"/>
        <v>-0.077983130443625-0.147297009962831i</v>
      </c>
      <c r="AQ451" s="147" t="str">
        <f t="shared" si="225"/>
        <v>1.07798313044362+0.147297009962831i</v>
      </c>
      <c r="AR451" s="147" t="str">
        <f t="shared" si="226"/>
        <v>0.758576109639565-0.103652821295229i</v>
      </c>
    </row>
    <row r="452" spans="7:44">
      <c r="G452" s="585">
        <v>48699.25</v>
      </c>
      <c r="H452" s="573">
        <f t="shared" si="218"/>
        <v>48.699249999999999</v>
      </c>
      <c r="I452" s="574">
        <f t="shared" si="198"/>
        <v>137.55701621431567</v>
      </c>
      <c r="J452" s="575">
        <f t="shared" si="199"/>
        <v>1.5635265499717927</v>
      </c>
      <c r="K452" s="575">
        <f t="shared" si="200"/>
        <v>1.0022632288541982</v>
      </c>
      <c r="L452" s="576">
        <f t="shared" si="201"/>
        <v>6.7215602023090362E-2</v>
      </c>
      <c r="M452" s="575">
        <f t="shared" si="202"/>
        <v>1.0052010246524798</v>
      </c>
      <c r="N452" s="576">
        <f t="shared" si="203"/>
        <v>-0.10177015313023047</v>
      </c>
      <c r="O452" s="574">
        <f t="shared" si="204"/>
        <v>2019510.3173590126</v>
      </c>
      <c r="P452" s="577">
        <f t="shared" si="205"/>
        <v>1.5707958316253541</v>
      </c>
      <c r="Q452" s="586">
        <f t="shared" si="227"/>
        <v>81.459721034255622</v>
      </c>
      <c r="R452" s="587">
        <f t="shared" si="228"/>
        <v>1.5585200127377659</v>
      </c>
      <c r="S452" s="574">
        <f t="shared" si="206"/>
        <v>1.0150276038540866</v>
      </c>
      <c r="T452" s="577">
        <f t="shared" si="207"/>
        <v>0.17228926397624186</v>
      </c>
      <c r="U452" s="578">
        <f t="shared" si="219"/>
        <v>0.63518984741247031</v>
      </c>
      <c r="V452" s="579">
        <f t="shared" si="220"/>
        <v>-1.1695117887776563</v>
      </c>
      <c r="W452" s="580">
        <f t="shared" si="208"/>
        <v>-24.944606219999834</v>
      </c>
      <c r="X452" s="581">
        <f t="shared" si="209"/>
        <v>-169.14619248605496</v>
      </c>
      <c r="Y452" s="584">
        <f t="shared" si="210"/>
        <v>10.853807513945043</v>
      </c>
      <c r="AA452" s="147">
        <f t="shared" si="211"/>
        <v>48699.25</v>
      </c>
      <c r="AB452" s="147">
        <f t="shared" si="212"/>
        <v>2371616950.5625</v>
      </c>
      <c r="AD452" s="583">
        <f t="shared" si="213"/>
        <v>17.089829883985917</v>
      </c>
      <c r="AE452" s="584">
        <f t="shared" si="214"/>
        <v>-10.574800305663249</v>
      </c>
      <c r="AG452" s="583">
        <f t="shared" si="215"/>
        <v>-5.5233027371155554</v>
      </c>
      <c r="AH452" s="584">
        <f t="shared" si="216"/>
        <v>-24.555212851745683</v>
      </c>
      <c r="AJ452" s="147">
        <f t="shared" si="217"/>
        <v>0</v>
      </c>
      <c r="AK452" s="147">
        <f t="shared" si="229"/>
        <v>0</v>
      </c>
      <c r="AM452" s="147" t="str">
        <f t="shared" si="221"/>
        <v>1.47833493435808+0.878177482387613i</v>
      </c>
      <c r="AN452" s="147" t="str">
        <f t="shared" si="222"/>
        <v>2.06955401112721i</v>
      </c>
      <c r="AO452" s="147" t="str">
        <f t="shared" si="223"/>
        <v>0.424331753443488-0.714325369818633i</v>
      </c>
      <c r="AP452" s="147" t="str">
        <f t="shared" si="224"/>
        <v>-0.0797224890596808-0.146362913731269i</v>
      </c>
      <c r="AQ452" s="147" t="str">
        <f t="shared" si="225"/>
        <v>1.07972248905968+0.146362913731269i</v>
      </c>
      <c r="AR452" s="147" t="str">
        <f t="shared" si="226"/>
        <v>0.757573782105503-0.102693708095257i</v>
      </c>
    </row>
    <row r="453" spans="7:44">
      <c r="G453" s="585">
        <v>48978</v>
      </c>
      <c r="H453" s="573">
        <f t="shared" si="218"/>
        <v>48.978000000000002</v>
      </c>
      <c r="I453" s="574">
        <f t="shared" si="198"/>
        <v>138.34433835179308</v>
      </c>
      <c r="J453" s="575">
        <f t="shared" si="199"/>
        <v>1.5635679232312236</v>
      </c>
      <c r="K453" s="575">
        <f t="shared" si="200"/>
        <v>1.0022891823570663</v>
      </c>
      <c r="L453" s="576">
        <f t="shared" si="201"/>
        <v>6.759917022363944E-2</v>
      </c>
      <c r="M453" s="575">
        <f t="shared" si="202"/>
        <v>1.0052605791824354</v>
      </c>
      <c r="N453" s="576">
        <f t="shared" si="203"/>
        <v>-0.10234862796093808</v>
      </c>
      <c r="O453" s="574">
        <f t="shared" si="204"/>
        <v>2031069.8075146861</v>
      </c>
      <c r="P453" s="577">
        <f t="shared" si="205"/>
        <v>1.5707958344435278</v>
      </c>
      <c r="Q453" s="586">
        <f t="shared" si="227"/>
        <v>81.925918871756949</v>
      </c>
      <c r="R453" s="587">
        <f t="shared" si="228"/>
        <v>1.5585898743422772</v>
      </c>
      <c r="S453" s="574">
        <f t="shared" si="206"/>
        <v>1.0151988378583068</v>
      </c>
      <c r="T453" s="577">
        <f t="shared" si="207"/>
        <v>0.17325586905957222</v>
      </c>
      <c r="U453" s="578">
        <f t="shared" si="219"/>
        <v>0.63286527587149943</v>
      </c>
      <c r="V453" s="579">
        <f t="shared" si="220"/>
        <v>-1.1743550802237288</v>
      </c>
      <c r="W453" s="580">
        <f t="shared" si="208"/>
        <v>-25.026757800649758</v>
      </c>
      <c r="X453" s="581">
        <f t="shared" si="209"/>
        <v>-169.4886102638269</v>
      </c>
      <c r="Y453" s="584">
        <f t="shared" si="210"/>
        <v>10.511389736173101</v>
      </c>
      <c r="AA453" s="147">
        <f t="shared" si="211"/>
        <v>48978</v>
      </c>
      <c r="AB453" s="147">
        <f t="shared" si="212"/>
        <v>2398844484</v>
      </c>
      <c r="AD453" s="583">
        <f t="shared" si="213"/>
        <v>17.088357279282871</v>
      </c>
      <c r="AE453" s="584">
        <f t="shared" si="214"/>
        <v>-10.626180083833622</v>
      </c>
      <c r="AG453" s="583">
        <f t="shared" si="215"/>
        <v>-5.5402904929963404</v>
      </c>
      <c r="AH453" s="584">
        <f t="shared" si="216"/>
        <v>-24.291250533089581</v>
      </c>
      <c r="AJ453" s="147">
        <f t="shared" si="217"/>
        <v>0</v>
      </c>
      <c r="AK453" s="147">
        <f t="shared" si="229"/>
        <v>0</v>
      </c>
      <c r="AM453" s="147" t="str">
        <f t="shared" si="221"/>
        <v>1.48870396392004+0.872449675138254i</v>
      </c>
      <c r="AN453" s="147" t="str">
        <f t="shared" si="222"/>
        <v>2.08139994675459i</v>
      </c>
      <c r="AO453" s="147" t="str">
        <f t="shared" si="223"/>
        <v>0.41916483975058-0.715241665226951i</v>
      </c>
      <c r="AP453" s="147" t="str">
        <f t="shared" si="224"/>
        <v>-0.0814506606533392-0.145408279189709i</v>
      </c>
      <c r="AQ453" s="147" t="str">
        <f t="shared" si="225"/>
        <v>1.08145066065334+0.145408279189709i</v>
      </c>
      <c r="AR453" s="147" t="str">
        <f t="shared" si="226"/>
        <v>0.756583701701757-0.101727742309547i</v>
      </c>
    </row>
    <row r="454" spans="7:44">
      <c r="G454" s="585">
        <v>49263.25</v>
      </c>
      <c r="H454" s="573">
        <f t="shared" si="218"/>
        <v>49.263249999999999</v>
      </c>
      <c r="I454" s="574">
        <f t="shared" si="198"/>
        <v>139.1500198128544</v>
      </c>
      <c r="J454" s="575">
        <f t="shared" si="199"/>
        <v>1.5636097765583425</v>
      </c>
      <c r="K454" s="575">
        <f t="shared" si="200"/>
        <v>1.0023158937050032</v>
      </c>
      <c r="L454" s="576">
        <f t="shared" si="201"/>
        <v>6.7991661992021196E-2</v>
      </c>
      <c r="M454" s="575">
        <f t="shared" si="202"/>
        <v>1.0053218706372564</v>
      </c>
      <c r="N454" s="576">
        <f t="shared" si="203"/>
        <v>-0.10294052073461463</v>
      </c>
      <c r="O454" s="574">
        <f t="shared" si="204"/>
        <v>2042898.8463197299</v>
      </c>
      <c r="P454" s="577">
        <f t="shared" si="205"/>
        <v>1.5707958372944</v>
      </c>
      <c r="Q454" s="586">
        <f t="shared" si="227"/>
        <v>82.402988099429749</v>
      </c>
      <c r="R454" s="587">
        <f t="shared" si="228"/>
        <v>1.5586605466529388</v>
      </c>
      <c r="S454" s="574">
        <f t="shared" si="206"/>
        <v>1.0153750463885334</v>
      </c>
      <c r="T454" s="577">
        <f t="shared" si="207"/>
        <v>0.17424467535314753</v>
      </c>
      <c r="U454" s="578">
        <f t="shared" si="219"/>
        <v>0.63049468312743551</v>
      </c>
      <c r="V454" s="579">
        <f t="shared" si="220"/>
        <v>-1.1792968247591078</v>
      </c>
      <c r="W454" s="580">
        <f t="shared" si="208"/>
        <v>-25.110546121729538</v>
      </c>
      <c r="X454" s="581">
        <f t="shared" si="209"/>
        <v>-169.83817959016341</v>
      </c>
      <c r="Y454" s="584">
        <f t="shared" si="210"/>
        <v>10.161820409836594</v>
      </c>
      <c r="AA454" s="147">
        <f t="shared" si="211"/>
        <v>49263.25</v>
      </c>
      <c r="AB454" s="147">
        <f t="shared" si="212"/>
        <v>2426867800.5625</v>
      </c>
      <c r="AD454" s="583">
        <f t="shared" si="213"/>
        <v>17.086842324606565</v>
      </c>
      <c r="AE454" s="584">
        <f t="shared" si="214"/>
        <v>-10.678785449485165</v>
      </c>
      <c r="AG454" s="583">
        <f t="shared" si="215"/>
        <v>-5.5573703063783046</v>
      </c>
      <c r="AH454" s="584">
        <f t="shared" si="216"/>
        <v>-24.02193228250934</v>
      </c>
      <c r="AJ454" s="147">
        <f t="shared" si="217"/>
        <v>0</v>
      </c>
      <c r="AK454" s="147">
        <f t="shared" si="229"/>
        <v>0</v>
      </c>
      <c r="AM454" s="147" t="str">
        <f t="shared" si="221"/>
        <v>1.49924377639087+0.866461569681533i</v>
      </c>
      <c r="AN454" s="147" t="str">
        <f t="shared" si="222"/>
        <v>2.09352211047731i</v>
      </c>
      <c r="AO454" s="147" t="str">
        <f t="shared" si="223"/>
        <v>0.413877439051258-0.716134675095001i</v>
      </c>
      <c r="AP454" s="147" t="str">
        <f t="shared" si="224"/>
        <v>-0.0832072960651443-0.144410261613589i</v>
      </c>
      <c r="AQ454" s="147" t="str">
        <f t="shared" si="225"/>
        <v>1.08320729606514+0.144410261613589i</v>
      </c>
      <c r="AR454" s="147" t="str">
        <f t="shared" si="226"/>
        <v>0.755583187733591-0.100732303233005i</v>
      </c>
    </row>
    <row r="455" spans="7:44">
      <c r="G455" s="585">
        <v>49548.5</v>
      </c>
      <c r="H455" s="573">
        <f t="shared" si="218"/>
        <v>49.548499999999997</v>
      </c>
      <c r="I455" s="574">
        <f t="shared" si="198"/>
        <v>139.95570151485862</v>
      </c>
      <c r="J455" s="575">
        <f t="shared" si="199"/>
        <v>1.5636511480122053</v>
      </c>
      <c r="K455" s="575">
        <f t="shared" si="200"/>
        <v>1.002342759451248</v>
      </c>
      <c r="L455" s="576">
        <f t="shared" si="201"/>
        <v>6.8384132780983153E-2</v>
      </c>
      <c r="M455" s="575">
        <f t="shared" si="202"/>
        <v>1.0053835142505667</v>
      </c>
      <c r="N455" s="576">
        <f t="shared" si="203"/>
        <v>-0.10353234113353478</v>
      </c>
      <c r="O455" s="574">
        <f t="shared" si="204"/>
        <v>2054727.8851247735</v>
      </c>
      <c r="P455" s="577">
        <f t="shared" si="205"/>
        <v>1.5707958401124471</v>
      </c>
      <c r="Q455" s="586">
        <f t="shared" si="227"/>
        <v>82.880057733932432</v>
      </c>
      <c r="R455" s="587">
        <f t="shared" si="228"/>
        <v>1.5587304053638029</v>
      </c>
      <c r="S455" s="574">
        <f t="shared" si="206"/>
        <v>1.0155522473443341</v>
      </c>
      <c r="T455" s="577">
        <f t="shared" si="207"/>
        <v>0.17523313754464565</v>
      </c>
      <c r="U455" s="578">
        <f t="shared" si="219"/>
        <v>0.62813237789393706</v>
      </c>
      <c r="V455" s="579">
        <f t="shared" si="220"/>
        <v>-1.1842241023671614</v>
      </c>
      <c r="W455" s="580">
        <f t="shared" si="208"/>
        <v>-25.19405521020138</v>
      </c>
      <c r="X455" s="581">
        <f t="shared" si="209"/>
        <v>-170.18691636693811</v>
      </c>
      <c r="Y455" s="584">
        <f t="shared" si="210"/>
        <v>9.8130836330618934</v>
      </c>
      <c r="AA455" s="147">
        <f t="shared" si="211"/>
        <v>49548.5</v>
      </c>
      <c r="AB455" s="147">
        <f t="shared" si="212"/>
        <v>2455053852.25</v>
      </c>
      <c r="AD455" s="583">
        <f t="shared" si="213"/>
        <v>17.085319272080298</v>
      </c>
      <c r="AE455" s="584">
        <f t="shared" si="214"/>
        <v>-10.731417713493876</v>
      </c>
      <c r="AG455" s="583">
        <f t="shared" si="215"/>
        <v>-5.5741464091229158</v>
      </c>
      <c r="AH455" s="584">
        <f t="shared" si="216"/>
        <v>-23.753412371768565</v>
      </c>
      <c r="AJ455" s="147">
        <f t="shared" si="217"/>
        <v>0</v>
      </c>
      <c r="AK455" s="147">
        <f t="shared" si="229"/>
        <v>0</v>
      </c>
      <c r="AM455" s="147" t="str">
        <f t="shared" si="221"/>
        <v>1.50971022745808+0.860346141982765i</v>
      </c>
      <c r="AN455" s="147" t="str">
        <f t="shared" si="222"/>
        <v>2.10564427420004i</v>
      </c>
      <c r="AO455" s="147" t="str">
        <f t="shared" si="223"/>
        <v>0.408590450212499-0.716982562513622i</v>
      </c>
      <c r="AP455" s="147" t="str">
        <f t="shared" si="224"/>
        <v>-0.0849517045763473-0.143391023663794i</v>
      </c>
      <c r="AQ455" s="147" t="str">
        <f t="shared" si="225"/>
        <v>1.08495170457635+0.143391023663794i</v>
      </c>
      <c r="AR455" s="147" t="str">
        <f t="shared" si="226"/>
        <v>0.754595446412869-0.0997299815805438i</v>
      </c>
    </row>
    <row r="456" spans="7:44">
      <c r="G456" s="585">
        <v>49833.75</v>
      </c>
      <c r="H456" s="573">
        <f t="shared" si="218"/>
        <v>49.833750000000002</v>
      </c>
      <c r="I456" s="574">
        <f t="shared" si="198"/>
        <v>140.76138345366837</v>
      </c>
      <c r="J456" s="575">
        <f t="shared" si="199"/>
        <v>1.5636920458670245</v>
      </c>
      <c r="K456" s="575">
        <f t="shared" si="200"/>
        <v>1.0023697795833859</v>
      </c>
      <c r="L456" s="576">
        <f t="shared" si="201"/>
        <v>6.8776582471309938E-2</v>
      </c>
      <c r="M456" s="575">
        <f t="shared" si="202"/>
        <v>1.0054455099575941</v>
      </c>
      <c r="N456" s="576">
        <f t="shared" si="203"/>
        <v>-0.10412408875647682</v>
      </c>
      <c r="O456" s="574">
        <f t="shared" si="204"/>
        <v>2066556.923929817</v>
      </c>
      <c r="P456" s="577">
        <f t="shared" si="205"/>
        <v>1.5707958428982334</v>
      </c>
      <c r="Q456" s="586">
        <f t="shared" si="227"/>
        <v>83.357127768279852</v>
      </c>
      <c r="R456" s="587">
        <f t="shared" si="228"/>
        <v>1.55879946444338</v>
      </c>
      <c r="S456" s="574">
        <f t="shared" si="206"/>
        <v>1.015730440206303</v>
      </c>
      <c r="T456" s="577">
        <f t="shared" si="207"/>
        <v>0.17622125388309812</v>
      </c>
      <c r="U456" s="578">
        <f t="shared" si="219"/>
        <v>0.62577836731333536</v>
      </c>
      <c r="V456" s="579">
        <f t="shared" si="220"/>
        <v>-1.189137098719957</v>
      </c>
      <c r="W456" s="580">
        <f t="shared" si="208"/>
        <v>-25.277287935641407</v>
      </c>
      <c r="X456" s="581">
        <f t="shared" si="209"/>
        <v>-170.53483078966903</v>
      </c>
      <c r="Y456" s="584">
        <f t="shared" si="210"/>
        <v>9.4651692103309699</v>
      </c>
      <c r="AA456" s="147">
        <f t="shared" si="211"/>
        <v>49833.75</v>
      </c>
      <c r="AB456" s="147">
        <f t="shared" si="212"/>
        <v>2483402639.0625</v>
      </c>
      <c r="AD456" s="583">
        <f t="shared" si="213"/>
        <v>17.083788127560386</v>
      </c>
      <c r="AE456" s="584">
        <f t="shared" si="214"/>
        <v>-10.784075975232261</v>
      </c>
      <c r="AG456" s="583">
        <f t="shared" si="215"/>
        <v>-5.5906226134879224</v>
      </c>
      <c r="AH456" s="584">
        <f t="shared" si="216"/>
        <v>-23.485680620561094</v>
      </c>
      <c r="AJ456" s="147">
        <f t="shared" si="217"/>
        <v>0</v>
      </c>
      <c r="AK456" s="147">
        <f t="shared" si="229"/>
        <v>0</v>
      </c>
      <c r="AM456" s="147" t="str">
        <f t="shared" si="221"/>
        <v>1.52010177912847+0.854104290673806i</v>
      </c>
      <c r="AN456" s="147" t="str">
        <f t="shared" si="222"/>
        <v>2.11776643792277i</v>
      </c>
      <c r="AO456" s="147" t="str">
        <f t="shared" si="223"/>
        <v>0.403304290491808-0.717785376096278i</v>
      </c>
      <c r="AP456" s="147" t="str">
        <f t="shared" si="224"/>
        <v>-0.0866836298547442-0.142350715112301i</v>
      </c>
      <c r="AQ456" s="147" t="str">
        <f t="shared" si="225"/>
        <v>1.08668362985474+0.142350715112301i</v>
      </c>
      <c r="AR456" s="147" t="str">
        <f t="shared" si="226"/>
        <v>0.753620450002152-0.0987209221099619i</v>
      </c>
    </row>
    <row r="457" spans="7:44">
      <c r="G457" s="585">
        <v>50119</v>
      </c>
      <c r="H457" s="573">
        <f t="shared" si="218"/>
        <v>50.119</v>
      </c>
      <c r="I457" s="574">
        <f t="shared" si="198"/>
        <v>141.56706562524062</v>
      </c>
      <c r="J457" s="575">
        <f t="shared" si="199"/>
        <v>1.5637324782086597</v>
      </c>
      <c r="K457" s="575">
        <f t="shared" si="200"/>
        <v>1.0023969540889324</v>
      </c>
      <c r="L457" s="576">
        <f t="shared" si="201"/>
        <v>6.9169010943824979E-2</v>
      </c>
      <c r="M457" s="575">
        <f t="shared" si="202"/>
        <v>1.0055078576932124</v>
      </c>
      <c r="N457" s="576">
        <f t="shared" si="203"/>
        <v>-0.10471576320252159</v>
      </c>
      <c r="O457" s="574">
        <f t="shared" si="204"/>
        <v>2078385.9627348606</v>
      </c>
      <c r="P457" s="577">
        <f t="shared" si="205"/>
        <v>1.570795845652309</v>
      </c>
      <c r="Q457" s="586">
        <f t="shared" si="227"/>
        <v>83.834198195645897</v>
      </c>
      <c r="R457" s="587">
        <f t="shared" si="228"/>
        <v>1.5588677375422524</v>
      </c>
      <c r="S457" s="574">
        <f t="shared" si="206"/>
        <v>1.0159096244524926</v>
      </c>
      <c r="T457" s="577">
        <f t="shared" si="207"/>
        <v>0.17720902262146299</v>
      </c>
      <c r="U457" s="578">
        <f t="shared" si="219"/>
        <v>0.62343265650350066</v>
      </c>
      <c r="V457" s="579">
        <f t="shared" si="220"/>
        <v>-1.1940359990800948</v>
      </c>
      <c r="W457" s="580">
        <f t="shared" si="208"/>
        <v>-25.36024713250557</v>
      </c>
      <c r="X457" s="581">
        <f t="shared" si="209"/>
        <v>-170.88193303807691</v>
      </c>
      <c r="Y457" s="584">
        <f t="shared" si="210"/>
        <v>9.1180669619230912</v>
      </c>
      <c r="AA457" s="147">
        <f t="shared" si="211"/>
        <v>50119</v>
      </c>
      <c r="AB457" s="147">
        <f t="shared" si="212"/>
        <v>2511914161</v>
      </c>
      <c r="AD457" s="583">
        <f t="shared" si="213"/>
        <v>17.082248897026894</v>
      </c>
      <c r="AE457" s="584">
        <f t="shared" si="214"/>
        <v>-10.836759352512971</v>
      </c>
      <c r="AG457" s="583">
        <f t="shared" si="215"/>
        <v>-5.6068026522954035</v>
      </c>
      <c r="AH457" s="584">
        <f t="shared" si="216"/>
        <v>-23.218726861264798</v>
      </c>
      <c r="AJ457" s="147">
        <f t="shared" si="217"/>
        <v>0</v>
      </c>
      <c r="AK457" s="147">
        <f t="shared" si="229"/>
        <v>0</v>
      </c>
      <c r="AM457" s="147" t="str">
        <f t="shared" si="221"/>
        <v>1.53041690441489+0.847736932963834i</v>
      </c>
      <c r="AN457" s="147" t="str">
        <f t="shared" si="222"/>
        <v>2.1298886016455i</v>
      </c>
      <c r="AO457" s="147" t="str">
        <f t="shared" si="223"/>
        <v>0.398019376369681-0.718543168517136i</v>
      </c>
      <c r="AP457" s="147" t="str">
        <f t="shared" si="224"/>
        <v>-0.0884028174024813-0.141289488827306i</v>
      </c>
      <c r="AQ457" s="147" t="str">
        <f t="shared" si="225"/>
        <v>1.08840281740248+0.141289488827306i</v>
      </c>
      <c r="AR457" s="147" t="str">
        <f t="shared" si="226"/>
        <v>0.752658169974587-0.0977052672017115i</v>
      </c>
    </row>
    <row r="458" spans="7:44">
      <c r="G458" s="585">
        <v>50410.75</v>
      </c>
      <c r="H458" s="573">
        <f t="shared" si="218"/>
        <v>50.41075</v>
      </c>
      <c r="I458" s="574">
        <f t="shared" si="198"/>
        <v>142.39110713641907</v>
      </c>
      <c r="J458" s="575">
        <f t="shared" si="199"/>
        <v>1.5637733585737399</v>
      </c>
      <c r="K458" s="575">
        <f t="shared" si="200"/>
        <v>1.002424907497691</v>
      </c>
      <c r="L458" s="576">
        <f t="shared" si="201"/>
        <v>6.9570359622559766E-2</v>
      </c>
      <c r="M458" s="575">
        <f t="shared" si="202"/>
        <v>1.0055719902327487</v>
      </c>
      <c r="N458" s="576">
        <f t="shared" si="203"/>
        <v>-0.10532084403660066</v>
      </c>
      <c r="O458" s="574">
        <f t="shared" si="204"/>
        <v>2090484.5501892744</v>
      </c>
      <c r="P458" s="577">
        <f t="shared" si="205"/>
        <v>1.5707958484369007</v>
      </c>
      <c r="Q458" s="586">
        <f t="shared" si="227"/>
        <v>84.322140040239518</v>
      </c>
      <c r="R458" s="587">
        <f t="shared" si="228"/>
        <v>1.5589367672363641</v>
      </c>
      <c r="S458" s="574">
        <f t="shared" si="206"/>
        <v>1.0160939167562599</v>
      </c>
      <c r="T458" s="577">
        <f t="shared" si="207"/>
        <v>0.17821893828633936</v>
      </c>
      <c r="U458" s="578">
        <f t="shared" si="219"/>
        <v>0.62104208279745454</v>
      </c>
      <c r="V458" s="579">
        <f t="shared" si="220"/>
        <v>-1.1990321420212644</v>
      </c>
      <c r="W458" s="580">
        <f t="shared" si="208"/>
        <v>-25.444816692673587</v>
      </c>
      <c r="X458" s="581">
        <f t="shared" si="209"/>
        <v>-171.23611516256437</v>
      </c>
      <c r="Y458" s="584">
        <f t="shared" si="210"/>
        <v>8.7638848374356257</v>
      </c>
      <c r="AA458" s="147">
        <f t="shared" si="211"/>
        <v>50410.75</v>
      </c>
      <c r="AB458" s="147">
        <f t="shared" si="212"/>
        <v>2541243715.5625</v>
      </c>
      <c r="AD458" s="583">
        <f t="shared" si="213"/>
        <v>17.080666233865042</v>
      </c>
      <c r="AE458" s="584">
        <f t="shared" si="214"/>
        <v>-10.890668307247806</v>
      </c>
      <c r="AG458" s="583">
        <f t="shared" si="215"/>
        <v>-5.6230488296483152</v>
      </c>
      <c r="AH458" s="584">
        <f t="shared" si="216"/>
        <v>-22.946484221616998</v>
      </c>
      <c r="AJ458" s="147">
        <f t="shared" si="217"/>
        <v>0</v>
      </c>
      <c r="AK458" s="147">
        <f t="shared" si="229"/>
        <v>0</v>
      </c>
      <c r="AM458" s="147" t="str">
        <f t="shared" si="221"/>
        <v>1.54088644243658+0.841095628563303i</v>
      </c>
      <c r="AN458" s="147" t="str">
        <f t="shared" si="222"/>
        <v>2.14228699346357i</v>
      </c>
      <c r="AO458" s="147" t="str">
        <f t="shared" si="223"/>
        <v>0.392615756492761-0.71927171622572i</v>
      </c>
      <c r="AP458" s="147" t="str">
        <f t="shared" si="224"/>
        <v>-0.090147740406097-0.14018260476055i</v>
      </c>
      <c r="AQ458" s="147" t="str">
        <f t="shared" si="225"/>
        <v>1.0901477404061+0.14018260476055i</v>
      </c>
      <c r="AR458" s="147" t="str">
        <f t="shared" si="226"/>
        <v>0.751687086276685-0.0966597918919508i</v>
      </c>
    </row>
    <row r="459" spans="7:44">
      <c r="G459" s="585">
        <v>50702.5</v>
      </c>
      <c r="H459" s="573">
        <f t="shared" si="218"/>
        <v>50.702500000000001</v>
      </c>
      <c r="I459" s="574">
        <f t="shared" si="198"/>
        <v>143.21514888282371</v>
      </c>
      <c r="J459" s="575">
        <f t="shared" si="199"/>
        <v>1.5638137684980473</v>
      </c>
      <c r="K459" s="575">
        <f t="shared" si="200"/>
        <v>1.0024530223687971</v>
      </c>
      <c r="L459" s="576">
        <f t="shared" si="201"/>
        <v>6.9971685853428417E-2</v>
      </c>
      <c r="M459" s="575">
        <f t="shared" si="202"/>
        <v>1.0056364908880968</v>
      </c>
      <c r="N459" s="576">
        <f t="shared" si="203"/>
        <v>-0.10592584747343825</v>
      </c>
      <c r="O459" s="574">
        <f t="shared" si="204"/>
        <v>2102583.1376436879</v>
      </c>
      <c r="P459" s="577">
        <f t="shared" si="205"/>
        <v>1.5707958511894462</v>
      </c>
      <c r="Q459" s="586">
        <f t="shared" si="227"/>
        <v>84.810082282013028</v>
      </c>
      <c r="R459" s="587">
        <f t="shared" si="228"/>
        <v>1.5590050026265643</v>
      </c>
      <c r="S459" s="574">
        <f t="shared" si="206"/>
        <v>1.0162792450278619</v>
      </c>
      <c r="T459" s="577">
        <f t="shared" si="207"/>
        <v>0.17922848664494853</v>
      </c>
      <c r="U459" s="578">
        <f t="shared" si="219"/>
        <v>0.61866019599774447</v>
      </c>
      <c r="V459" s="579">
        <f t="shared" si="220"/>
        <v>-1.2040139299009622</v>
      </c>
      <c r="W459" s="580">
        <f t="shared" si="208"/>
        <v>-25.529106006202291</v>
      </c>
      <c r="X459" s="581">
        <f t="shared" si="209"/>
        <v>-171.58946916330254</v>
      </c>
      <c r="Y459" s="584">
        <f t="shared" si="210"/>
        <v>8.4105308366974612</v>
      </c>
      <c r="AA459" s="147">
        <f t="shared" si="211"/>
        <v>50702.5</v>
      </c>
      <c r="AB459" s="147">
        <f t="shared" si="212"/>
        <v>2570743506.25</v>
      </c>
      <c r="AD459" s="583">
        <f t="shared" si="213"/>
        <v>17.079075125015994</v>
      </c>
      <c r="AE459" s="584">
        <f t="shared" si="214"/>
        <v>-10.944601725309445</v>
      </c>
      <c r="AG459" s="583">
        <f t="shared" si="215"/>
        <v>-5.6389928412142707</v>
      </c>
      <c r="AH459" s="584">
        <f t="shared" si="216"/>
        <v>-22.675033963769007</v>
      </c>
      <c r="AJ459" s="147">
        <f t="shared" si="217"/>
        <v>0</v>
      </c>
      <c r="AK459" s="147">
        <f t="shared" si="229"/>
        <v>0</v>
      </c>
      <c r="AM459" s="147" t="str">
        <f t="shared" si="221"/>
        <v>1.55127283639471+0.834325032498327i</v>
      </c>
      <c r="AN459" s="147" t="str">
        <f t="shared" si="222"/>
        <v>2.15468538528165i</v>
      </c>
      <c r="AO459" s="147" t="str">
        <f t="shared" si="223"/>
        <v>0.387214318246869-0.719953292017124i</v>
      </c>
      <c r="AP459" s="147" t="str">
        <f t="shared" si="224"/>
        <v>-0.0918788060657847-0.139054172083055i</v>
      </c>
      <c r="AQ459" s="147" t="str">
        <f t="shared" si="225"/>
        <v>1.09187880606578+0.139054172083055i</v>
      </c>
      <c r="AR459" s="147" t="str">
        <f t="shared" si="226"/>
        <v>0.750729242437448-0.0956077109343483i</v>
      </c>
    </row>
    <row r="460" spans="7:44">
      <c r="G460" s="585">
        <v>50994.25</v>
      </c>
      <c r="H460" s="573">
        <f t="shared" si="218"/>
        <v>50.994250000000001</v>
      </c>
      <c r="I460" s="574">
        <f t="shared" si="198"/>
        <v>144.03919086041734</v>
      </c>
      <c r="J460" s="575">
        <f t="shared" si="199"/>
        <v>1.5638537160555628</v>
      </c>
      <c r="K460" s="575">
        <f t="shared" si="200"/>
        <v>1.002481298688666</v>
      </c>
      <c r="L460" s="576">
        <f t="shared" si="201"/>
        <v>7.0372989509047648E-2</v>
      </c>
      <c r="M460" s="575">
        <f t="shared" si="202"/>
        <v>1.0057013595884301</v>
      </c>
      <c r="N460" s="576">
        <f t="shared" si="203"/>
        <v>-0.10653077308507095</v>
      </c>
      <c r="O460" s="574">
        <f t="shared" si="204"/>
        <v>2114681.7250981019</v>
      </c>
      <c r="P460" s="577">
        <f t="shared" si="205"/>
        <v>1.570795853910496</v>
      </c>
      <c r="Q460" s="586">
        <f t="shared" si="227"/>
        <v>85.298024914150304</v>
      </c>
      <c r="R460" s="587">
        <f t="shared" si="228"/>
        <v>1.5590724573435271</v>
      </c>
      <c r="S460" s="574">
        <f t="shared" si="206"/>
        <v>1.0164656087006467</v>
      </c>
      <c r="T460" s="577">
        <f t="shared" si="207"/>
        <v>0.18023766584092532</v>
      </c>
      <c r="U460" s="578">
        <f t="shared" si="219"/>
        <v>0.61628699534753528</v>
      </c>
      <c r="V460" s="579">
        <f t="shared" si="220"/>
        <v>-1.2089815595386912</v>
      </c>
      <c r="W460" s="580">
        <f t="shared" si="208"/>
        <v>-25.613117998456879</v>
      </c>
      <c r="X460" s="581">
        <f t="shared" si="209"/>
        <v>-171.94200587529093</v>
      </c>
      <c r="Y460" s="584">
        <f t="shared" si="210"/>
        <v>8.0579941247090687</v>
      </c>
      <c r="AA460" s="147">
        <f t="shared" si="211"/>
        <v>50994.25</v>
      </c>
      <c r="AB460" s="147">
        <f t="shared" si="212"/>
        <v>2600413533.0625</v>
      </c>
      <c r="AD460" s="583">
        <f t="shared" si="213"/>
        <v>17.077475577260628</v>
      </c>
      <c r="AE460" s="584">
        <f t="shared" si="214"/>
        <v>-10.998558719387429</v>
      </c>
      <c r="AG460" s="583">
        <f t="shared" si="215"/>
        <v>-5.6546384329902564</v>
      </c>
      <c r="AH460" s="584">
        <f t="shared" si="216"/>
        <v>-22.404365256177009</v>
      </c>
      <c r="AJ460" s="147">
        <f t="shared" si="217"/>
        <v>0</v>
      </c>
      <c r="AK460" s="147">
        <f t="shared" si="229"/>
        <v>0</v>
      </c>
      <c r="AM460" s="147" t="str">
        <f t="shared" si="221"/>
        <v>1.56157448971198+0.827426185532421i</v>
      </c>
      <c r="AN460" s="147" t="str">
        <f t="shared" si="222"/>
        <v>2.16708377709972i</v>
      </c>
      <c r="AO460" s="147" t="str">
        <f t="shared" si="223"/>
        <v>0.381815504447084-0.720587965363244i</v>
      </c>
      <c r="AP460" s="147" t="str">
        <f t="shared" si="224"/>
        <v>-0.0935957482853297-0.137904364255404i</v>
      </c>
      <c r="AQ460" s="147" t="str">
        <f t="shared" si="225"/>
        <v>1.09359574828533+0.137904364255404i</v>
      </c>
      <c r="AR460" s="147" t="str">
        <f t="shared" si="226"/>
        <v>0.749784605713763-0.0945491691436857i</v>
      </c>
    </row>
    <row r="461" spans="7:44">
      <c r="G461" s="585">
        <v>51286</v>
      </c>
      <c r="H461" s="573">
        <f t="shared" si="218"/>
        <v>51.286000000000001</v>
      </c>
      <c r="I461" s="574">
        <f t="shared" ref="I461:I524" si="230">SQRT(1+(G461/pole1)^2)</f>
        <v>144.86323306525478</v>
      </c>
      <c r="J461" s="575">
        <f t="shared" ref="J461:J524" si="231">ATAN(G461/pole1)</f>
        <v>1.5638932091365607</v>
      </c>
      <c r="K461" s="575">
        <f t="shared" ref="K461:K524" si="232">SQRT(1+(G461/Zero1)^2)</f>
        <v>1.0025097364436362</v>
      </c>
      <c r="L461" s="576">
        <f t="shared" ref="L461:L524" si="233">ATAN(G461/Zero1)</f>
        <v>7.077427046207764E-2</v>
      </c>
      <c r="M461" s="575">
        <f t="shared" ref="M461:M524" si="234">SQRT(1+(G461/z_RHP)^2)</f>
        <v>1.0057665962625348</v>
      </c>
      <c r="N461" s="576">
        <f t="shared" ref="N461:N524" si="235">-ATAN(G461/z_RHP)</f>
        <v>-0.10713562044387331</v>
      </c>
      <c r="O461" s="574">
        <f t="shared" ref="O461:O524" si="236">SQRT(1+(G461/Pole2)^2)</f>
        <v>2126780.3125525154</v>
      </c>
      <c r="P461" s="577">
        <f t="shared" ref="P461:P524" si="237">ATAN(G461/Pole2)</f>
        <v>1.5707958566005873</v>
      </c>
      <c r="Q461" s="586">
        <f t="shared" si="227"/>
        <v>85.785967929990264</v>
      </c>
      <c r="R461" s="587">
        <f t="shared" si="228"/>
        <v>1.5591391447078344</v>
      </c>
      <c r="S461" s="574">
        <f t="shared" ref="S461:S524" si="238">SQRT(1+(G461/pole4)^2)</f>
        <v>1.0166530072052129</v>
      </c>
      <c r="T461" s="577">
        <f t="shared" ref="T461:T524" si="239">ATAN(G461/pole4)</f>
        <v>0.18124647402226987</v>
      </c>
      <c r="U461" s="578">
        <f t="shared" si="219"/>
        <v>0.61392247809998335</v>
      </c>
      <c r="V461" s="579">
        <f t="shared" si="220"/>
        <v>-1.2139352272618142</v>
      </c>
      <c r="W461" s="580">
        <f t="shared" ref="W461:W524" si="240">20*LOG10(((K461*Q461*M461*U461)/(I461*O461*S461))*Adc)</f>
        <v>-25.696855560784734</v>
      </c>
      <c r="X461" s="581">
        <f t="shared" ref="X461:X524" si="241">((L461+R461+N461+V461)-(J461+P461+T461))*radconv</f>
        <v>-172.29373611283901</v>
      </c>
      <c r="Y461" s="584">
        <f t="shared" ref="Y461:Y524" si="242">IF(X461&gt;0,X461,X461+180)</f>
        <v>7.7062638871609863</v>
      </c>
      <c r="AA461" s="147">
        <f t="shared" ref="AA461:AA524" si="243">IF(W461&lt;0,G461,1000000000)</f>
        <v>51286</v>
      </c>
      <c r="AB461" s="147">
        <f t="shared" ref="AB461:AB524" si="244">G461^2</f>
        <v>2630253796</v>
      </c>
      <c r="AD461" s="583">
        <f t="shared" ref="AD461:AD524" si="245">20*LOG10((Q461/(O461*S461))*Aea)</f>
        <v>17.075867597502775</v>
      </c>
      <c r="AE461" s="584">
        <f t="shared" ref="AE461:AE524" si="246">(R461-(P461+T461))*radconv</f>
        <v>-11.052538420187638</v>
      </c>
      <c r="AG461" s="583">
        <f t="shared" ref="AG461:AG524" si="247">20*LOG10((K461*M461/(I461*U461))*Acs*Am)</f>
        <v>-5.6699892706597552</v>
      </c>
      <c r="AH461" s="584">
        <f t="shared" ref="AH461:AH524" si="248">(L461+N461-(J461+V461))*radconv</f>
        <v>-22.134467284986034</v>
      </c>
      <c r="AJ461" s="147">
        <f t="shared" ref="AJ461:AJ524" si="249">SUM((W462&lt;0)*(W461&gt;0))*G461</f>
        <v>0</v>
      </c>
      <c r="AK461" s="147">
        <f t="shared" si="229"/>
        <v>0</v>
      </c>
      <c r="AM461" s="147" t="str">
        <f t="shared" si="221"/>
        <v>1.5717898188373+0.820400148143576i</v>
      </c>
      <c r="AN461" s="147" t="str">
        <f t="shared" si="222"/>
        <v>2.17948216891779i</v>
      </c>
      <c r="AO461" s="147" t="str">
        <f t="shared" si="223"/>
        <v>0.376419756877819-0.721175810131892i</v>
      </c>
      <c r="AP461" s="147" t="str">
        <f t="shared" si="224"/>
        <v>-0.0952983031395508-0.136733358023929i</v>
      </c>
      <c r="AQ461" s="147" t="str">
        <f t="shared" si="225"/>
        <v>1.09529830313955+0.136733358023929i</v>
      </c>
      <c r="AR461" s="147" t="str">
        <f t="shared" si="226"/>
        <v>0.748853142723864-0.0934843088662768i</v>
      </c>
    </row>
    <row r="462" spans="7:44">
      <c r="G462" s="585">
        <v>51584.75</v>
      </c>
      <c r="H462" s="573">
        <f t="shared" ref="H462:H525" si="250">G462/1000</f>
        <v>51.58475</v>
      </c>
      <c r="I462" s="574">
        <f t="shared" si="230"/>
        <v>145.70704686550735</v>
      </c>
      <c r="J462" s="575">
        <f t="shared" si="231"/>
        <v>1.5639331868713042</v>
      </c>
      <c r="K462" s="575">
        <f t="shared" si="232"/>
        <v>1.0025390237870011</v>
      </c>
      <c r="L462" s="576">
        <f t="shared" si="233"/>
        <v>7.1185155747972892E-2</v>
      </c>
      <c r="M462" s="575">
        <f t="shared" si="234"/>
        <v>1.0058337794177765</v>
      </c>
      <c r="N462" s="576">
        <f t="shared" si="235"/>
        <v>-0.10775489845496954</v>
      </c>
      <c r="O462" s="574">
        <f t="shared" si="236"/>
        <v>2139169.1831677887</v>
      </c>
      <c r="P462" s="577">
        <f t="shared" si="237"/>
        <v>1.5707958593236897</v>
      </c>
      <c r="Q462" s="586">
        <f t="shared" si="227"/>
        <v>86.285618624094027</v>
      </c>
      <c r="R462" s="587">
        <f t="shared" si="228"/>
        <v>1.5592066505190216</v>
      </c>
      <c r="S462" s="574">
        <f t="shared" si="238"/>
        <v>1.0168459737645263</v>
      </c>
      <c r="T462" s="577">
        <f t="shared" si="239"/>
        <v>0.18227910028033548</v>
      </c>
      <c r="U462" s="578">
        <f t="shared" ref="U462:U525" si="251">IMABS(IMPRODUCT(AO462, AR462))</f>
        <v>0.6115102221595482</v>
      </c>
      <c r="V462" s="579">
        <f t="shared" ref="V462:V525" si="252">IMARGUMENT(IMPRODUCT(AO462, AR462))</f>
        <v>-1.2189934851832549</v>
      </c>
      <c r="W462" s="580">
        <f t="shared" si="240"/>
        <v>-25.782320850543215</v>
      </c>
      <c r="X462" s="581">
        <f t="shared" si="241"/>
        <v>-172.65308100729754</v>
      </c>
      <c r="Y462" s="584">
        <f t="shared" si="242"/>
        <v>7.3469189927024559</v>
      </c>
      <c r="AA462" s="147">
        <f t="shared" si="243"/>
        <v>51584.75</v>
      </c>
      <c r="AB462" s="147">
        <f t="shared" si="244"/>
        <v>2660986432.5625</v>
      </c>
      <c r="AD462" s="583">
        <f t="shared" si="245"/>
        <v>17.074212306696435</v>
      </c>
      <c r="AE462" s="584">
        <f t="shared" si="246"/>
        <v>-11.107835904601009</v>
      </c>
      <c r="AG462" s="583">
        <f t="shared" si="247"/>
        <v>-5.6854067224356042</v>
      </c>
      <c r="AH462" s="584">
        <f t="shared" si="248"/>
        <v>-21.858881033194507</v>
      </c>
      <c r="AJ462" s="147">
        <f t="shared" si="249"/>
        <v>0</v>
      </c>
      <c r="AK462" s="147">
        <f t="shared" si="229"/>
        <v>0</v>
      </c>
      <c r="AM462" s="147" t="str">
        <f t="shared" ref="AM462:AM525" si="253">IMSUB(1,IMEXP(COMPLEX(0,-2*Pi*G462*Tsw)))</f>
        <v>1.58215914983395+0.813074857725055i</v>
      </c>
      <c r="AN462" s="147" t="str">
        <f t="shared" ref="AN462:AN525" si="254">COMPLEX(0, 2*Pi*G462*Tsw)</f>
        <v>2.19217803714624i</v>
      </c>
      <c r="AO462" s="147" t="str">
        <f t="shared" ref="AO462:AO525" si="255">IMDIV(AM462, AN462)</f>
        <v>0.370898186163524-0.721729313506668i</v>
      </c>
      <c r="AP462" s="147" t="str">
        <f t="shared" ref="AP462:AP525" si="256">IMDIV(IMEXP(COMPLEX(0,-2*Pi*G462*Tsw)),6)</f>
        <v>-0.0970265249723243-0.135512476287509i</v>
      </c>
      <c r="AQ462" s="147" t="str">
        <f t="shared" ref="AQ462:AQ525" si="257">IMSUB(1, AP462)</f>
        <v>1.09702652497232+0.135512476287509i</v>
      </c>
      <c r="AR462" s="147" t="str">
        <f t="shared" ref="AR462:AR525" si="258">IMDIV(0.833, AQ462)</f>
        <v>0.74791294716747-0.0923874976684908i</v>
      </c>
    </row>
    <row r="463" spans="7:44">
      <c r="G463" s="585">
        <v>51883.5</v>
      </c>
      <c r="H463" s="573">
        <f t="shared" si="250"/>
        <v>51.883499999999998</v>
      </c>
      <c r="I463" s="574">
        <f t="shared" si="230"/>
        <v>146.55086089595011</v>
      </c>
      <c r="J463" s="575">
        <f t="shared" si="231"/>
        <v>1.5639727042366076</v>
      </c>
      <c r="K463" s="575">
        <f t="shared" si="232"/>
        <v>1.0025684803758339</v>
      </c>
      <c r="L463" s="576">
        <f t="shared" si="233"/>
        <v>7.1596016958686046E-2</v>
      </c>
      <c r="M463" s="575">
        <f t="shared" si="234"/>
        <v>1.0059013482639452</v>
      </c>
      <c r="N463" s="576">
        <f t="shared" si="235"/>
        <v>-0.10837409350667591</v>
      </c>
      <c r="O463" s="574">
        <f t="shared" si="236"/>
        <v>2151558.0537830624</v>
      </c>
      <c r="P463" s="577">
        <f t="shared" si="237"/>
        <v>1.5707958620154321</v>
      </c>
      <c r="Q463" s="586">
        <f t="shared" si="227"/>
        <v>86.785269706876704</v>
      </c>
      <c r="R463" s="587">
        <f t="shared" si="228"/>
        <v>1.5592733790245972</v>
      </c>
      <c r="S463" s="574">
        <f t="shared" si="238"/>
        <v>1.0170400241918538</v>
      </c>
      <c r="T463" s="577">
        <f t="shared" si="239"/>
        <v>0.18331133359020321</v>
      </c>
      <c r="U463" s="578">
        <f t="shared" si="251"/>
        <v>0.60910705931295217</v>
      </c>
      <c r="V463" s="579">
        <f t="shared" si="252"/>
        <v>-1.2240375182143235</v>
      </c>
      <c r="W463" s="580">
        <f t="shared" si="240"/>
        <v>-25.867504414891936</v>
      </c>
      <c r="X463" s="581">
        <f t="shared" si="241"/>
        <v>-173.01160314479108</v>
      </c>
      <c r="Y463" s="584">
        <f t="shared" si="242"/>
        <v>6.9883968552089186</v>
      </c>
      <c r="AA463" s="147">
        <f t="shared" si="243"/>
        <v>51883.5</v>
      </c>
      <c r="AB463" s="147">
        <f t="shared" si="244"/>
        <v>2691897572.25</v>
      </c>
      <c r="AD463" s="583">
        <f t="shared" si="245"/>
        <v>17.072548189447541</v>
      </c>
      <c r="AE463" s="584">
        <f t="shared" si="246"/>
        <v>-11.163155409275248</v>
      </c>
      <c r="AG463" s="583">
        <f t="shared" si="247"/>
        <v>-5.7005226345211479</v>
      </c>
      <c r="AH463" s="584">
        <f t="shared" si="248"/>
        <v>-21.584080056543712</v>
      </c>
      <c r="AJ463" s="147">
        <f t="shared" si="249"/>
        <v>0</v>
      </c>
      <c r="AK463" s="147">
        <f t="shared" si="229"/>
        <v>0</v>
      </c>
      <c r="AM463" s="147" t="str">
        <f t="shared" si="253"/>
        <v>1.59243464672762+0.805618513538955i</v>
      </c>
      <c r="AN463" s="147" t="str">
        <f t="shared" si="254"/>
        <v>2.20487390537469i</v>
      </c>
      <c r="AO463" s="147" t="str">
        <f t="shared" si="255"/>
        <v>0.365380764666472-0.722233885051584i</v>
      </c>
      <c r="AP463" s="147" t="str">
        <f t="shared" si="256"/>
        <v>-0.0987391077879372-0.134269752256492i</v>
      </c>
      <c r="AQ463" s="147" t="str">
        <f t="shared" si="257"/>
        <v>1.09873910778794+0.134269752256492i</v>
      </c>
      <c r="AR463" s="147" t="str">
        <f t="shared" si="258"/>
        <v>0.746986492416345-0.09128435546234i</v>
      </c>
    </row>
    <row r="464" spans="7:44">
      <c r="G464" s="585">
        <v>52182.25</v>
      </c>
      <c r="H464" s="573">
        <f t="shared" si="250"/>
        <v>52.182250000000003</v>
      </c>
      <c r="I464" s="574">
        <f t="shared" si="230"/>
        <v>147.39467515262959</v>
      </c>
      <c r="J464" s="575">
        <f t="shared" si="231"/>
        <v>1.5640117691390014</v>
      </c>
      <c r="K464" s="575">
        <f t="shared" si="232"/>
        <v>1.0025981061952169</v>
      </c>
      <c r="L464" s="576">
        <f t="shared" si="233"/>
        <v>7.2006853957632802E-2</v>
      </c>
      <c r="M464" s="575">
        <f t="shared" si="234"/>
        <v>1.005969302723323</v>
      </c>
      <c r="N464" s="576">
        <f t="shared" si="235"/>
        <v>-0.10899320514095527</v>
      </c>
      <c r="O464" s="574">
        <f t="shared" si="236"/>
        <v>2163946.9243983361</v>
      </c>
      <c r="P464" s="577">
        <f t="shared" si="237"/>
        <v>1.5707958646763536</v>
      </c>
      <c r="Q464" s="586">
        <f t="shared" si="227"/>
        <v>87.284921171663456</v>
      </c>
      <c r="R464" s="587">
        <f t="shared" si="228"/>
        <v>1.5593393435727234</v>
      </c>
      <c r="S464" s="574">
        <f t="shared" si="238"/>
        <v>1.0172351578669108</v>
      </c>
      <c r="T464" s="577">
        <f t="shared" si="239"/>
        <v>0.18434317197768385</v>
      </c>
      <c r="U464" s="578">
        <f t="shared" si="251"/>
        <v>0.6067129804743121</v>
      </c>
      <c r="V464" s="579">
        <f t="shared" si="252"/>
        <v>-1.2290675354947811</v>
      </c>
      <c r="W464" s="580">
        <f t="shared" si="240"/>
        <v>-25.952409254093844</v>
      </c>
      <c r="X464" s="581">
        <f t="shared" si="241"/>
        <v>-173.36931406486303</v>
      </c>
      <c r="Y464" s="584">
        <f t="shared" si="242"/>
        <v>6.6306859351369667</v>
      </c>
      <c r="AA464" s="147">
        <f t="shared" si="243"/>
        <v>52182.25</v>
      </c>
      <c r="AB464" s="147">
        <f t="shared" si="244"/>
        <v>2722987215.0625</v>
      </c>
      <c r="AD464" s="583">
        <f t="shared" si="245"/>
        <v>17.070875253551108</v>
      </c>
      <c r="AE464" s="584">
        <f t="shared" si="246"/>
        <v>-11.218496056335155</v>
      </c>
      <c r="AG464" s="583">
        <f t="shared" si="247"/>
        <v>-5.7153406911284694</v>
      </c>
      <c r="AH464" s="584">
        <f t="shared" si="248"/>
        <v>-21.31005280680094</v>
      </c>
      <c r="AJ464" s="147">
        <f t="shared" si="249"/>
        <v>0</v>
      </c>
      <c r="AK464" s="147">
        <f t="shared" si="229"/>
        <v>0</v>
      </c>
      <c r="AM464" s="147" t="str">
        <f t="shared" si="253"/>
        <v>1.6026146532839+0.798032317420495i</v>
      </c>
      <c r="AN464" s="147" t="str">
        <f t="shared" si="254"/>
        <v>2.21756977360314i</v>
      </c>
      <c r="AO464" s="147" t="str">
        <f t="shared" si="255"/>
        <v>0.359867963082776-0.722689618320306i</v>
      </c>
      <c r="AP464" s="147" t="str">
        <f t="shared" si="256"/>
        <v>-0.100435775547316-0.133005386236749i</v>
      </c>
      <c r="AQ464" s="147" t="str">
        <f t="shared" si="257"/>
        <v>1.10043577554732+0.133005386236749i</v>
      </c>
      <c r="AR464" s="147" t="str">
        <f t="shared" si="258"/>
        <v>0.746073740887627-0.0901750272690839i</v>
      </c>
    </row>
    <row r="465" spans="7:44">
      <c r="G465" s="585">
        <v>52481</v>
      </c>
      <c r="H465" s="573">
        <f t="shared" si="250"/>
        <v>52.481000000000002</v>
      </c>
      <c r="I465" s="574">
        <f t="shared" si="230"/>
        <v>148.23848963168237</v>
      </c>
      <c r="J465" s="575">
        <f t="shared" si="231"/>
        <v>1.5640503893049975</v>
      </c>
      <c r="K465" s="575">
        <f t="shared" si="232"/>
        <v>1.0026279012301493</v>
      </c>
      <c r="L465" s="576">
        <f t="shared" si="233"/>
        <v>7.241766660827767E-2</v>
      </c>
      <c r="M465" s="575">
        <f t="shared" si="234"/>
        <v>1.0060376427177689</v>
      </c>
      <c r="N465" s="576">
        <f t="shared" si="235"/>
        <v>-0.10961223290014958</v>
      </c>
      <c r="O465" s="574">
        <f t="shared" si="236"/>
        <v>2176335.7950136098</v>
      </c>
      <c r="P465" s="577">
        <f t="shared" si="237"/>
        <v>1.5707958673069802</v>
      </c>
      <c r="Q465" s="586">
        <f t="shared" si="227"/>
        <v>87.784573011931442</v>
      </c>
      <c r="R465" s="587">
        <f t="shared" si="228"/>
        <v>1.5594045572076907</v>
      </c>
      <c r="S465" s="574">
        <f t="shared" si="238"/>
        <v>1.0174313741664276</v>
      </c>
      <c r="T465" s="577">
        <f t="shared" si="239"/>
        <v>0.18537461347346235</v>
      </c>
      <c r="U465" s="578">
        <f t="shared" si="251"/>
        <v>0.60432797460232868</v>
      </c>
      <c r="V465" s="579">
        <f t="shared" si="252"/>
        <v>-1.2340837455878666</v>
      </c>
      <c r="W465" s="580">
        <f t="shared" si="240"/>
        <v>-26.037038335395941</v>
      </c>
      <c r="X465" s="581">
        <f t="shared" si="241"/>
        <v>-173.72622528141821</v>
      </c>
      <c r="Y465" s="584">
        <f t="shared" si="242"/>
        <v>6.2737747185817909</v>
      </c>
      <c r="AA465" s="147">
        <f t="shared" si="243"/>
        <v>52481</v>
      </c>
      <c r="AB465" s="147">
        <f t="shared" si="244"/>
        <v>2754255361</v>
      </c>
      <c r="AD465" s="583">
        <f t="shared" si="245"/>
        <v>17.069193506925217</v>
      </c>
      <c r="AE465" s="584">
        <f t="shared" si="246"/>
        <v>-11.27385698559466</v>
      </c>
      <c r="AG465" s="583">
        <f t="shared" si="247"/>
        <v>-5.7298644948400002</v>
      </c>
      <c r="AH465" s="584">
        <f t="shared" si="248"/>
        <v>-21.036787758470371</v>
      </c>
      <c r="AJ465" s="147">
        <f t="shared" si="249"/>
        <v>0</v>
      </c>
      <c r="AK465" s="147">
        <f t="shared" si="229"/>
        <v>0</v>
      </c>
      <c r="AM465" s="147" t="str">
        <f t="shared" si="253"/>
        <v>1.61269752865974+0.790317492134802i</v>
      </c>
      <c r="AN465" s="147" t="str">
        <f t="shared" si="254"/>
        <v>2.23026564183159i</v>
      </c>
      <c r="AO465" s="147" t="str">
        <f t="shared" si="255"/>
        <v>0.354360250775221-0.723096611637403i</v>
      </c>
      <c r="AP465" s="147" t="str">
        <f t="shared" si="256"/>
        <v>-0.102116254776624-0.131719582022467i</v>
      </c>
      <c r="AQ465" s="147" t="str">
        <f t="shared" si="257"/>
        <v>1.10211625477662+0.131719582022467i</v>
      </c>
      <c r="AR465" s="147" t="str">
        <f t="shared" si="258"/>
        <v>0.745174654521581-0.0890596555507777i</v>
      </c>
    </row>
    <row r="466" spans="7:44">
      <c r="G466" s="585">
        <v>52786.5</v>
      </c>
      <c r="H466" s="573">
        <f t="shared" si="250"/>
        <v>52.786499999999997</v>
      </c>
      <c r="I466" s="574">
        <f t="shared" si="230"/>
        <v>149.10136960114824</v>
      </c>
      <c r="J466" s="575">
        <f t="shared" si="231"/>
        <v>1.5640894300052037</v>
      </c>
      <c r="K466" s="575">
        <f t="shared" si="232"/>
        <v>1.0026585444362823</v>
      </c>
      <c r="L466" s="576">
        <f t="shared" si="233"/>
        <v>7.2837735896473202E-2</v>
      </c>
      <c r="M466" s="575">
        <f t="shared" si="234"/>
        <v>1.0061079254136382</v>
      </c>
      <c r="N466" s="576">
        <f t="shared" si="235"/>
        <v>-0.11024515984502475</v>
      </c>
      <c r="O466" s="574">
        <f t="shared" si="236"/>
        <v>2189004.5815339987</v>
      </c>
      <c r="P466" s="577">
        <f t="shared" si="237"/>
        <v>1.5707958699662501</v>
      </c>
      <c r="Q466" s="586">
        <f t="shared" si="227"/>
        <v>88.295514438619506</v>
      </c>
      <c r="R466" s="587">
        <f t="shared" si="228"/>
        <v>1.5594704810165636</v>
      </c>
      <c r="S466" s="574">
        <f t="shared" si="238"/>
        <v>1.0176331427446581</v>
      </c>
      <c r="T466" s="577">
        <f t="shared" si="239"/>
        <v>0.18642894701420781</v>
      </c>
      <c r="U466" s="578">
        <f t="shared" si="251"/>
        <v>0.6018984508500459</v>
      </c>
      <c r="V466" s="579">
        <f t="shared" si="252"/>
        <v>-1.2391992306894883</v>
      </c>
      <c r="W466" s="580">
        <f t="shared" si="240"/>
        <v>-26.123297422308369</v>
      </c>
      <c r="X466" s="581">
        <f t="shared" si="241"/>
        <v>-174.09038555946606</v>
      </c>
      <c r="Y466" s="584">
        <f t="shared" si="242"/>
        <v>5.909614440533943</v>
      </c>
      <c r="AA466" s="147">
        <f t="shared" si="243"/>
        <v>52786.5</v>
      </c>
      <c r="AB466" s="147">
        <f t="shared" si="244"/>
        <v>2786414582.25</v>
      </c>
      <c r="AD466" s="583">
        <f t="shared" si="245"/>
        <v>17.067464659468243</v>
      </c>
      <c r="AE466" s="584">
        <f t="shared" si="246"/>
        <v>-11.330488844090262</v>
      </c>
      <c r="AG466" s="583">
        <f t="shared" si="247"/>
        <v>-5.744415820630322</v>
      </c>
      <c r="AH466" s="584">
        <f t="shared" si="248"/>
        <v>-20.758124764382817</v>
      </c>
      <c r="AJ466" s="147">
        <f t="shared" si="249"/>
        <v>0</v>
      </c>
      <c r="AK466" s="147">
        <f t="shared" si="229"/>
        <v>0</v>
      </c>
      <c r="AM466" s="147" t="str">
        <f t="shared" si="253"/>
        <v>1.62290607684371+0.782296631356148i</v>
      </c>
      <c r="AN466" s="147" t="str">
        <f t="shared" si="254"/>
        <v>2.2432483623129i</v>
      </c>
      <c r="AO466" s="147" t="str">
        <f t="shared" si="255"/>
        <v>0.348733847084842-0.723462503799808i</v>
      </c>
      <c r="AP466" s="147" t="str">
        <f t="shared" si="256"/>
        <v>-0.103817679473952-0.130382771892691i</v>
      </c>
      <c r="AQ466" s="147" t="str">
        <f t="shared" si="257"/>
        <v>1.10381767947395+0.130382771892691i</v>
      </c>
      <c r="AR466" s="147" t="str">
        <f t="shared" si="258"/>
        <v>0.74426934575002-0.0879129788715596i</v>
      </c>
    </row>
    <row r="467" spans="7:44">
      <c r="G467" s="585">
        <v>53092</v>
      </c>
      <c r="H467" s="573">
        <f t="shared" si="250"/>
        <v>53.091999999999999</v>
      </c>
      <c r="I467" s="574">
        <f t="shared" si="230"/>
        <v>149.96424979525565</v>
      </c>
      <c r="J467" s="575">
        <f t="shared" si="231"/>
        <v>1.5641280214324309</v>
      </c>
      <c r="K467" s="575">
        <f t="shared" si="232"/>
        <v>1.0026893645589119</v>
      </c>
      <c r="L467" s="576">
        <f t="shared" si="233"/>
        <v>7.3257779435060524E-2</v>
      </c>
      <c r="M467" s="575">
        <f t="shared" si="234"/>
        <v>1.0061786110964386</v>
      </c>
      <c r="N467" s="576">
        <f t="shared" si="235"/>
        <v>-0.11087799811508996</v>
      </c>
      <c r="O467" s="574">
        <f t="shared" si="236"/>
        <v>2201673.3680543872</v>
      </c>
      <c r="P467" s="577">
        <f t="shared" si="237"/>
        <v>1.5707958725949165</v>
      </c>
      <c r="Q467" s="586">
        <f t="shared" si="227"/>
        <v>88.806456244619824</v>
      </c>
      <c r="R467" s="587">
        <f t="shared" si="228"/>
        <v>1.5595356462495642</v>
      </c>
      <c r="S467" s="574">
        <f t="shared" si="238"/>
        <v>1.0178360420942203</v>
      </c>
      <c r="T467" s="577">
        <f t="shared" si="239"/>
        <v>0.18748286137631398</v>
      </c>
      <c r="U467" s="578">
        <f t="shared" si="251"/>
        <v>0.59947838531481701</v>
      </c>
      <c r="V467" s="579">
        <f t="shared" si="252"/>
        <v>-1.2443007168747515</v>
      </c>
      <c r="W467" s="580">
        <f t="shared" si="240"/>
        <v>-26.209274324035295</v>
      </c>
      <c r="X467" s="581">
        <f t="shared" si="241"/>
        <v>-174.45373385616941</v>
      </c>
      <c r="Y467" s="584">
        <f t="shared" si="242"/>
        <v>5.5462661438305929</v>
      </c>
      <c r="AA467" s="147">
        <f t="shared" si="243"/>
        <v>53092</v>
      </c>
      <c r="AB467" s="147">
        <f t="shared" si="244"/>
        <v>2818760464</v>
      </c>
      <c r="AD467" s="583">
        <f t="shared" si="245"/>
        <v>17.065726615771105</v>
      </c>
      <c r="AE467" s="584">
        <f t="shared" si="246"/>
        <v>-11.387140146861473</v>
      </c>
      <c r="AG467" s="583">
        <f t="shared" si="247"/>
        <v>-5.7586668115538631</v>
      </c>
      <c r="AH467" s="584">
        <f t="shared" si="248"/>
        <v>-20.48023450232721</v>
      </c>
      <c r="AJ467" s="147">
        <f t="shared" si="249"/>
        <v>0</v>
      </c>
      <c r="AK467" s="147">
        <f t="shared" si="229"/>
        <v>0</v>
      </c>
      <c r="AM467" s="147" t="str">
        <f t="shared" si="253"/>
        <v>1.63300963504084+0.774143915525703i</v>
      </c>
      <c r="AN467" s="147" t="str">
        <f t="shared" si="254"/>
        <v>2.2562310827942i</v>
      </c>
      <c r="AO467" s="147" t="str">
        <f t="shared" si="255"/>
        <v>0.343113753475541-0.723777651807926i</v>
      </c>
      <c r="AP467" s="147" t="str">
        <f t="shared" si="256"/>
        <v>-0.105501605840139-0.129023985920951i</v>
      </c>
      <c r="AQ467" s="147" t="str">
        <f t="shared" si="257"/>
        <v>1.10550160584014+0.129023985920951i</v>
      </c>
      <c r="AR467" s="147" t="str">
        <f t="shared" si="258"/>
        <v>0.743378244824135-0.086760275776569i</v>
      </c>
    </row>
    <row r="468" spans="7:44">
      <c r="G468" s="585">
        <v>53397.5</v>
      </c>
      <c r="H468" s="573">
        <f t="shared" si="250"/>
        <v>53.397500000000001</v>
      </c>
      <c r="I468" s="574">
        <f t="shared" si="230"/>
        <v>150.82713021014908</v>
      </c>
      <c r="J468" s="575">
        <f t="shared" si="231"/>
        <v>1.5641661712974215</v>
      </c>
      <c r="K468" s="575">
        <f t="shared" si="232"/>
        <v>1.0027203615817244</v>
      </c>
      <c r="L468" s="576">
        <f t="shared" si="233"/>
        <v>7.3677797078198798E-2</v>
      </c>
      <c r="M468" s="575">
        <f t="shared" si="234"/>
        <v>1.0062496996812444</v>
      </c>
      <c r="N468" s="576">
        <f t="shared" si="235"/>
        <v>-0.11151074722220261</v>
      </c>
      <c r="O468" s="574">
        <f t="shared" si="236"/>
        <v>2214342.1545747761</v>
      </c>
      <c r="P468" s="577">
        <f t="shared" si="237"/>
        <v>1.5707958751935043</v>
      </c>
      <c r="Q468" s="586">
        <f t="shared" si="227"/>
        <v>89.31739842342283</v>
      </c>
      <c r="R468" s="587">
        <f t="shared" si="228"/>
        <v>1.5596000659244849</v>
      </c>
      <c r="S468" s="574">
        <f t="shared" si="238"/>
        <v>1.018040071539013</v>
      </c>
      <c r="T468" s="577">
        <f t="shared" si="239"/>
        <v>0.18853635446987543</v>
      </c>
      <c r="U468" s="578">
        <f t="shared" si="251"/>
        <v>0.59706776020466001</v>
      </c>
      <c r="V468" s="579">
        <f t="shared" si="252"/>
        <v>-1.2493884252538681</v>
      </c>
      <c r="W468" s="580">
        <f t="shared" si="240"/>
        <v>-26.294972113009642</v>
      </c>
      <c r="X468" s="581">
        <f t="shared" si="241"/>
        <v>-174.81628239681353</v>
      </c>
      <c r="Y468" s="584">
        <f t="shared" si="242"/>
        <v>5.1837176031864658</v>
      </c>
      <c r="AA468" s="147">
        <f t="shared" si="243"/>
        <v>53397.5</v>
      </c>
      <c r="AB468" s="147">
        <f t="shared" si="244"/>
        <v>2851293006.25</v>
      </c>
      <c r="AD468" s="583">
        <f t="shared" si="245"/>
        <v>17.063979384682213</v>
      </c>
      <c r="AE468" s="584">
        <f t="shared" si="246"/>
        <v>-11.443810028331038</v>
      </c>
      <c r="AG468" s="583">
        <f t="shared" si="247"/>
        <v>-5.7726210652515695</v>
      </c>
      <c r="AH468" s="584">
        <f t="shared" si="248"/>
        <v>-20.203104725802149</v>
      </c>
      <c r="AJ468" s="147">
        <f t="shared" si="249"/>
        <v>0</v>
      </c>
      <c r="AK468" s="147">
        <f t="shared" si="229"/>
        <v>0</v>
      </c>
      <c r="AM468" s="147" t="str">
        <f t="shared" si="253"/>
        <v>1.6430065003099+0.765860718772813i</v>
      </c>
      <c r="AN468" s="147" t="str">
        <f t="shared" si="254"/>
        <v>2.26921380327551i</v>
      </c>
      <c r="AO468" s="147" t="str">
        <f t="shared" si="255"/>
        <v>0.337500467195875-0.724042176166165i</v>
      </c>
      <c r="AP468" s="147" t="str">
        <f t="shared" si="256"/>
        <v>-0.107167750051651-0.127643453128802i</v>
      </c>
      <c r="AQ468" s="147" t="str">
        <f t="shared" si="257"/>
        <v>1.10716775005165+0.127643453128802i</v>
      </c>
      <c r="AR468" s="147" t="str">
        <f t="shared" si="258"/>
        <v>0.742501309837318-0.0856016905621325i</v>
      </c>
    </row>
    <row r="469" spans="7:44">
      <c r="G469" s="585">
        <v>53703</v>
      </c>
      <c r="H469" s="573">
        <f t="shared" si="250"/>
        <v>53.703000000000003</v>
      </c>
      <c r="I469" s="574">
        <f t="shared" si="230"/>
        <v>151.69001084206076</v>
      </c>
      <c r="J469" s="575">
        <f t="shared" si="231"/>
        <v>1.5642038871354735</v>
      </c>
      <c r="K469" s="575">
        <f t="shared" si="232"/>
        <v>1.0027515354883152</v>
      </c>
      <c r="L469" s="576">
        <f t="shared" si="233"/>
        <v>7.4097788680101681E-2</v>
      </c>
      <c r="M469" s="575">
        <f t="shared" si="234"/>
        <v>1.0063211910826702</v>
      </c>
      <c r="N469" s="576">
        <f t="shared" si="235"/>
        <v>-0.11214340667864328</v>
      </c>
      <c r="O469" s="574">
        <f t="shared" si="236"/>
        <v>2227010.9410951645</v>
      </c>
      <c r="P469" s="577">
        <f t="shared" si="237"/>
        <v>1.570795877762527</v>
      </c>
      <c r="Q469" s="586">
        <f t="shared" si="227"/>
        <v>89.828340968667021</v>
      </c>
      <c r="R469" s="587">
        <f t="shared" si="228"/>
        <v>1.5596637527629633</v>
      </c>
      <c r="S469" s="574">
        <f t="shared" si="238"/>
        <v>1.0182452303997123</v>
      </c>
      <c r="T469" s="577">
        <f t="shared" si="239"/>
        <v>0.18958942421039746</v>
      </c>
      <c r="U469" s="578">
        <f t="shared" si="251"/>
        <v>0.5946665558268045</v>
      </c>
      <c r="V469" s="579">
        <f t="shared" si="252"/>
        <v>-1.2544625762815302</v>
      </c>
      <c r="W469" s="580">
        <f t="shared" si="240"/>
        <v>-26.38039382990425</v>
      </c>
      <c r="X469" s="581">
        <f t="shared" si="241"/>
        <v>-175.17804337637187</v>
      </c>
      <c r="Y469" s="584">
        <f t="shared" si="242"/>
        <v>4.8219566236281253</v>
      </c>
      <c r="AA469" s="147">
        <f t="shared" si="243"/>
        <v>53703</v>
      </c>
      <c r="AB469" s="147">
        <f t="shared" si="244"/>
        <v>2884012209</v>
      </c>
      <c r="AD469" s="583">
        <f t="shared" si="245"/>
        <v>17.06222297517288</v>
      </c>
      <c r="AE469" s="584">
        <f t="shared" si="246"/>
        <v>-11.500497640199475</v>
      </c>
      <c r="AG469" s="583">
        <f t="shared" si="247"/>
        <v>-5.7862820967905062</v>
      </c>
      <c r="AH469" s="584">
        <f t="shared" si="248"/>
        <v>-19.926723215833626</v>
      </c>
      <c r="AJ469" s="147">
        <f t="shared" si="249"/>
        <v>0</v>
      </c>
      <c r="AK469" s="147">
        <f t="shared" si="229"/>
        <v>0</v>
      </c>
      <c r="AM469" s="147" t="str">
        <f t="shared" si="253"/>
        <v>1.65289498769262+0.757448437219228i</v>
      </c>
      <c r="AN469" s="147" t="str">
        <f t="shared" si="254"/>
        <v>2.28219652375682i</v>
      </c>
      <c r="AO469" s="147" t="str">
        <f t="shared" si="255"/>
        <v>0.331894483816127-0.724256202516565i</v>
      </c>
      <c r="AP469" s="147" t="str">
        <f t="shared" si="256"/>
        <v>-0.108815831282104-0.126241406203205i</v>
      </c>
      <c r="AQ469" s="147" t="str">
        <f t="shared" si="257"/>
        <v>1.1088158312821+0.126241406203205i</v>
      </c>
      <c r="AR469" s="147" t="str">
        <f t="shared" si="258"/>
        <v>0.741638498584342-0.0844373649025771i</v>
      </c>
    </row>
    <row r="470" spans="7:44">
      <c r="G470" s="585">
        <v>54015.75</v>
      </c>
      <c r="H470" s="573">
        <f t="shared" si="250"/>
        <v>54.015749999999997</v>
      </c>
      <c r="I470" s="574">
        <f t="shared" si="230"/>
        <v>152.57336922220398</v>
      </c>
      <c r="J470" s="575">
        <f t="shared" si="231"/>
        <v>1.5642420561192356</v>
      </c>
      <c r="K470" s="575">
        <f t="shared" si="232"/>
        <v>1.0027836324141626</v>
      </c>
      <c r="L470" s="576">
        <f t="shared" si="233"/>
        <v>7.4527720221757882E-2</v>
      </c>
      <c r="M470" s="575">
        <f t="shared" si="234"/>
        <v>1.0063947962681854</v>
      </c>
      <c r="N470" s="576">
        <f t="shared" si="235"/>
        <v>-0.11279098677235654</v>
      </c>
      <c r="O470" s="574">
        <f t="shared" si="236"/>
        <v>2239980.3780321581</v>
      </c>
      <c r="P470" s="577">
        <f t="shared" si="237"/>
        <v>1.5707958803624145</v>
      </c>
      <c r="Q470" s="586">
        <f t="shared" si="227"/>
        <v>90.351409364760514</v>
      </c>
      <c r="R470" s="587">
        <f t="shared" si="228"/>
        <v>1.5597282048414782</v>
      </c>
      <c r="S470" s="574">
        <f t="shared" si="238"/>
        <v>1.0184564272314343</v>
      </c>
      <c r="T470" s="577">
        <f t="shared" si="239"/>
        <v>0.19066704425450076</v>
      </c>
      <c r="U470" s="578">
        <f t="shared" si="251"/>
        <v>0.59221810329807401</v>
      </c>
      <c r="V470" s="579">
        <f t="shared" si="252"/>
        <v>-1.2596433306711621</v>
      </c>
      <c r="W470" s="580">
        <f t="shared" si="240"/>
        <v>-26.467559904893832</v>
      </c>
      <c r="X470" s="581">
        <f t="shared" si="241"/>
        <v>-175.54758640047046</v>
      </c>
      <c r="Y470" s="584">
        <f t="shared" si="242"/>
        <v>4.4524135995295353</v>
      </c>
      <c r="AA470" s="147">
        <f t="shared" si="243"/>
        <v>54015.75</v>
      </c>
      <c r="AB470" s="147">
        <f t="shared" si="244"/>
        <v>2917701248.0625</v>
      </c>
      <c r="AD470" s="583">
        <f t="shared" si="245"/>
        <v>17.060415385037643</v>
      </c>
      <c r="AE470" s="584">
        <f t="shared" si="246"/>
        <v>-11.558548037594459</v>
      </c>
      <c r="AG470" s="583">
        <f t="shared" si="247"/>
        <v>-5.7999671685512162</v>
      </c>
      <c r="AH470" s="584">
        <f t="shared" si="248"/>
        <v>-19.644545119419281</v>
      </c>
      <c r="AJ470" s="147">
        <f t="shared" si="249"/>
        <v>0</v>
      </c>
      <c r="AK470" s="147">
        <f t="shared" si="229"/>
        <v>0</v>
      </c>
      <c r="AM470" s="147" t="str">
        <f t="shared" si="253"/>
        <v>1.66290413817223+0.748704283141303i</v>
      </c>
      <c r="AN470" s="147" t="str">
        <f t="shared" si="254"/>
        <v>2.29548734480602i</v>
      </c>
      <c r="AO470" s="147" t="str">
        <f t="shared" si="255"/>
        <v>0.326163542062382-0.724423134780015i</v>
      </c>
      <c r="AP470" s="147" t="str">
        <f t="shared" si="256"/>
        <v>-0.110484023028705-0.124784047190217i</v>
      </c>
      <c r="AQ470" s="147" t="str">
        <f t="shared" si="257"/>
        <v>1.1104840230287+0.124784047190217i</v>
      </c>
      <c r="AR470" s="147" t="str">
        <f t="shared" si="258"/>
        <v>0.740769797605348-0.0832396067521669i</v>
      </c>
    </row>
    <row r="471" spans="7:44">
      <c r="G471" s="585">
        <v>54328.5</v>
      </c>
      <c r="H471" s="573">
        <f t="shared" si="250"/>
        <v>54.328499999999998</v>
      </c>
      <c r="I471" s="574">
        <f t="shared" si="230"/>
        <v>153.45672782206788</v>
      </c>
      <c r="J471" s="575">
        <f t="shared" si="231"/>
        <v>1.5642797856710304</v>
      </c>
      <c r="K471" s="575">
        <f t="shared" si="232"/>
        <v>1.0028159146837849</v>
      </c>
      <c r="L471" s="576">
        <f t="shared" si="233"/>
        <v>7.4957624162487468E-2</v>
      </c>
      <c r="M471" s="575">
        <f t="shared" si="234"/>
        <v>1.006468823433567</v>
      </c>
      <c r="N471" s="576">
        <f t="shared" si="235"/>
        <v>-0.1134384718767539</v>
      </c>
      <c r="O471" s="574">
        <f t="shared" si="236"/>
        <v>2252949.8149691517</v>
      </c>
      <c r="P471" s="577">
        <f t="shared" si="237"/>
        <v>1.5707958829323687</v>
      </c>
      <c r="Q471" s="586">
        <f t="shared" ref="Q471:Q534" si="259">SQRT(1+(G471/Zero2)^2)</f>
        <v>90.874478131859391</v>
      </c>
      <c r="R471" s="587">
        <f t="shared" ref="R471:R534" si="260">ATAN(G471/Zero2)</f>
        <v>1.5597919149546353</v>
      </c>
      <c r="S471" s="574">
        <f t="shared" si="238"/>
        <v>1.018668806269708</v>
      </c>
      <c r="T471" s="577">
        <f t="shared" si="239"/>
        <v>0.19174421620986171</v>
      </c>
      <c r="U471" s="578">
        <f t="shared" si="251"/>
        <v>0.58977947631740113</v>
      </c>
      <c r="V471" s="579">
        <f t="shared" si="252"/>
        <v>-1.2648103420445129</v>
      </c>
      <c r="W471" s="580">
        <f t="shared" si="240"/>
        <v>-26.554443000490124</v>
      </c>
      <c r="X471" s="581">
        <f t="shared" si="241"/>
        <v>-175.91632980524471</v>
      </c>
      <c r="Y471" s="584">
        <f t="shared" si="242"/>
        <v>4.0836701947552854</v>
      </c>
      <c r="AA471" s="147">
        <f t="shared" si="243"/>
        <v>54328.5</v>
      </c>
      <c r="AB471" s="147">
        <f t="shared" si="244"/>
        <v>2951585912.25</v>
      </c>
      <c r="AD471" s="583">
        <f t="shared" si="245"/>
        <v>17.058598195086351</v>
      </c>
      <c r="AE471" s="584">
        <f t="shared" si="246"/>
        <v>-11.61661527116417</v>
      </c>
      <c r="AG471" s="583">
        <f t="shared" si="247"/>
        <v>-5.8133521325717314</v>
      </c>
      <c r="AH471" s="584">
        <f t="shared" si="248"/>
        <v>-19.363125401169086</v>
      </c>
      <c r="AJ471" s="147">
        <f t="shared" si="249"/>
        <v>0</v>
      </c>
      <c r="AK471" s="147">
        <f t="shared" ref="AK471:AK534" si="261">IF(AJ471&gt;0,Y471,0)</f>
        <v>0</v>
      </c>
      <c r="AM471" s="147" t="str">
        <f t="shared" si="253"/>
        <v>1.67279619106146+0.73982787545022i</v>
      </c>
      <c r="AN471" s="147" t="str">
        <f t="shared" si="254"/>
        <v>2.30877816585521i</v>
      </c>
      <c r="AO471" s="147" t="str">
        <f t="shared" si="255"/>
        <v>0.320441299381474-0.724537426679028i</v>
      </c>
      <c r="AP471" s="147" t="str">
        <f t="shared" si="256"/>
        <v>-0.112132698510244-0.12330464590837i</v>
      </c>
      <c r="AQ471" s="147" t="str">
        <f t="shared" si="257"/>
        <v>1.11213269851024+0.12330464590837i</v>
      </c>
      <c r="AR471" s="147" t="str">
        <f t="shared" si="258"/>
        <v>0.739915808421146-0.0820361247192793i</v>
      </c>
    </row>
    <row r="472" spans="7:44">
      <c r="G472" s="585">
        <v>54641.25</v>
      </c>
      <c r="H472" s="573">
        <f t="shared" si="250"/>
        <v>54.641249999999999</v>
      </c>
      <c r="I472" s="574">
        <f t="shared" si="230"/>
        <v>154.34008663787978</v>
      </c>
      <c r="J472" s="575">
        <f t="shared" si="231"/>
        <v>1.5643170833359596</v>
      </c>
      <c r="K472" s="575">
        <f t="shared" si="232"/>
        <v>1.0028483822792833</v>
      </c>
      <c r="L472" s="576">
        <f t="shared" si="233"/>
        <v>7.5387500346056194E-2</v>
      </c>
      <c r="M472" s="575">
        <f t="shared" si="234"/>
        <v>1.0065432724857104</v>
      </c>
      <c r="N472" s="576">
        <f t="shared" si="235"/>
        <v>-0.11408586146995443</v>
      </c>
      <c r="O472" s="574">
        <f t="shared" si="236"/>
        <v>2265919.2519061458</v>
      </c>
      <c r="P472" s="577">
        <f t="shared" si="237"/>
        <v>1.5707958854729038</v>
      </c>
      <c r="Q472" s="586">
        <f t="shared" si="259"/>
        <v>91.397547263593879</v>
      </c>
      <c r="R472" s="587">
        <f t="shared" si="260"/>
        <v>1.5598548958407399</v>
      </c>
      <c r="S472" s="574">
        <f t="shared" si="238"/>
        <v>1.0188823667752653</v>
      </c>
      <c r="T472" s="577">
        <f t="shared" si="239"/>
        <v>0.19282093785778417</v>
      </c>
      <c r="U472" s="578">
        <f t="shared" si="251"/>
        <v>0.58735064793118574</v>
      </c>
      <c r="V472" s="579">
        <f t="shared" si="252"/>
        <v>-1.2699638447675199</v>
      </c>
      <c r="W472" s="580">
        <f t="shared" si="240"/>
        <v>-26.641046282156282</v>
      </c>
      <c r="X472" s="581">
        <f t="shared" si="241"/>
        <v>-176.28428657328271</v>
      </c>
      <c r="Y472" s="584">
        <f t="shared" si="242"/>
        <v>3.7157134267172864</v>
      </c>
      <c r="AA472" s="147">
        <f t="shared" si="243"/>
        <v>54641.25</v>
      </c>
      <c r="AB472" s="147">
        <f t="shared" si="244"/>
        <v>2985666201.5625</v>
      </c>
      <c r="AD472" s="583">
        <f t="shared" si="245"/>
        <v>17.056771415327265</v>
      </c>
      <c r="AE472" s="584">
        <f t="shared" si="246"/>
        <v>-11.674698483965017</v>
      </c>
      <c r="AG472" s="583">
        <f t="shared" si="247"/>
        <v>-5.8264405013938605</v>
      </c>
      <c r="AH472" s="584">
        <f t="shared" si="248"/>
        <v>-19.082451044256434</v>
      </c>
      <c r="AJ472" s="147">
        <f t="shared" si="249"/>
        <v>0</v>
      </c>
      <c r="AK472" s="147">
        <f t="shared" si="261"/>
        <v>0</v>
      </c>
      <c r="AM472" s="147" t="str">
        <f t="shared" si="253"/>
        <v>1.68256939899523+0.730820782104126i</v>
      </c>
      <c r="AN472" s="147" t="str">
        <f t="shared" si="254"/>
        <v>2.32206898690441i</v>
      </c>
      <c r="AO472" s="147" t="str">
        <f t="shared" si="255"/>
        <v>0.314728281642655-0.724599229602688i</v>
      </c>
      <c r="AP472" s="147" t="str">
        <f t="shared" si="256"/>
        <v>-0.113761566499205-0.121803463684021i</v>
      </c>
      <c r="AQ472" s="147" t="str">
        <f t="shared" si="257"/>
        <v>1.11376156649921+0.121803463684021i</v>
      </c>
      <c r="AR472" s="147" t="str">
        <f t="shared" si="258"/>
        <v>0.739076485111583-0.0808270625614791i</v>
      </c>
    </row>
    <row r="473" spans="7:44">
      <c r="G473" s="585">
        <v>54954</v>
      </c>
      <c r="H473" s="573">
        <f t="shared" si="250"/>
        <v>54.954000000000001</v>
      </c>
      <c r="I473" s="574">
        <f t="shared" si="230"/>
        <v>155.22344566595294</v>
      </c>
      <c r="J473" s="575">
        <f t="shared" si="231"/>
        <v>1.5643539564873761</v>
      </c>
      <c r="K473" s="575">
        <f t="shared" si="232"/>
        <v>1.0028810351826583</v>
      </c>
      <c r="L473" s="576">
        <f t="shared" si="233"/>
        <v>7.5817348616290942E-2</v>
      </c>
      <c r="M473" s="575">
        <f t="shared" si="234"/>
        <v>1.0066181433310082</v>
      </c>
      <c r="N473" s="576">
        <f t="shared" si="235"/>
        <v>-0.11473315503055134</v>
      </c>
      <c r="O473" s="574">
        <f t="shared" si="236"/>
        <v>2278888.6888431394</v>
      </c>
      <c r="P473" s="577">
        <f t="shared" si="237"/>
        <v>1.5707958879845216</v>
      </c>
      <c r="Q473" s="586">
        <f t="shared" si="259"/>
        <v>91.920616753739154</v>
      </c>
      <c r="R473" s="587">
        <f t="shared" si="260"/>
        <v>1.5599171599481738</v>
      </c>
      <c r="S473" s="574">
        <f t="shared" si="238"/>
        <v>1.0190971080053466</v>
      </c>
      <c r="T473" s="577">
        <f t="shared" si="239"/>
        <v>0.19389720698560328</v>
      </c>
      <c r="U473" s="578">
        <f t="shared" si="251"/>
        <v>0.58493158933993017</v>
      </c>
      <c r="V473" s="579">
        <f t="shared" si="252"/>
        <v>-1.2751040724725105</v>
      </c>
      <c r="W473" s="580">
        <f t="shared" si="240"/>
        <v>-26.727372884806286</v>
      </c>
      <c r="X473" s="581">
        <f t="shared" si="241"/>
        <v>-176.65146965227893</v>
      </c>
      <c r="Y473" s="584">
        <f t="shared" si="242"/>
        <v>3.3485303477210664</v>
      </c>
      <c r="AA473" s="147">
        <f t="shared" si="243"/>
        <v>54954</v>
      </c>
      <c r="AB473" s="147">
        <f t="shared" si="244"/>
        <v>3019942116</v>
      </c>
      <c r="AD473" s="583">
        <f t="shared" si="245"/>
        <v>17.054935055892319</v>
      </c>
      <c r="AE473" s="584">
        <f t="shared" si="246"/>
        <v>-11.732796836009658</v>
      </c>
      <c r="AG473" s="583">
        <f t="shared" si="247"/>
        <v>-5.8392357035758611</v>
      </c>
      <c r="AH473" s="584">
        <f t="shared" si="248"/>
        <v>-18.802509064070634</v>
      </c>
      <c r="AJ473" s="147">
        <f t="shared" si="249"/>
        <v>0</v>
      </c>
      <c r="AK473" s="147">
        <f t="shared" si="261"/>
        <v>0</v>
      </c>
      <c r="AM473" s="147" t="str">
        <f t="shared" si="253"/>
        <v>1.69222203560159+0.72168459414594i</v>
      </c>
      <c r="AN473" s="147" t="str">
        <f t="shared" si="254"/>
        <v>2.3353598079536i</v>
      </c>
      <c r="AO473" s="147" t="str">
        <f t="shared" si="255"/>
        <v>0.309025012628923-0.724608700483044i</v>
      </c>
      <c r="AP473" s="147" t="str">
        <f t="shared" si="256"/>
        <v>-0.115370339266932-0.12028076569099i</v>
      </c>
      <c r="AQ473" s="147" t="str">
        <f t="shared" si="257"/>
        <v>1.11537033926693+0.12028076569099i</v>
      </c>
      <c r="AR473" s="147" t="str">
        <f t="shared" si="258"/>
        <v>0.738251781648314-0.0796125613558618i</v>
      </c>
    </row>
    <row r="474" spans="7:44">
      <c r="G474" s="585">
        <v>55274</v>
      </c>
      <c r="H474" s="573">
        <f t="shared" si="250"/>
        <v>55.274000000000001</v>
      </c>
      <c r="I474" s="574">
        <f t="shared" si="230"/>
        <v>156.12728245738052</v>
      </c>
      <c r="J474" s="575">
        <f t="shared" si="231"/>
        <v>1.5643912525388854</v>
      </c>
      <c r="K474" s="575">
        <f t="shared" si="232"/>
        <v>1.0029146368101849</v>
      </c>
      <c r="L474" s="576">
        <f t="shared" si="233"/>
        <v>7.6257132340516995E-2</v>
      </c>
      <c r="M474" s="575">
        <f t="shared" si="234"/>
        <v>1.0066951862664151</v>
      </c>
      <c r="N474" s="576">
        <f t="shared" si="235"/>
        <v>-0.1153953538565716</v>
      </c>
      <c r="O474" s="574">
        <f t="shared" si="236"/>
        <v>2292158.7761967382</v>
      </c>
      <c r="P474" s="577">
        <f t="shared" si="237"/>
        <v>1.5707958905249444</v>
      </c>
      <c r="Q474" s="586">
        <f t="shared" si="259"/>
        <v>92.455812120271261</v>
      </c>
      <c r="R474" s="587">
        <f t="shared" si="260"/>
        <v>1.5599801382216159</v>
      </c>
      <c r="S474" s="574">
        <f t="shared" si="238"/>
        <v>1.0193180485693183</v>
      </c>
      <c r="T474" s="577">
        <f t="shared" si="239"/>
        <v>0.19499795491925262</v>
      </c>
      <c r="U474" s="578">
        <f t="shared" si="251"/>
        <v>0.58246653367318868</v>
      </c>
      <c r="V474" s="579">
        <f t="shared" si="252"/>
        <v>-1.2803499608642495</v>
      </c>
      <c r="W474" s="580">
        <f t="shared" si="240"/>
        <v>-26.81541752847048</v>
      </c>
      <c r="X474" s="581">
        <f t="shared" si="241"/>
        <v>-177.02637723751951</v>
      </c>
      <c r="Y474" s="584">
        <f t="shared" si="242"/>
        <v>2.9736227624804883</v>
      </c>
      <c r="AA474" s="147">
        <f t="shared" si="243"/>
        <v>55274</v>
      </c>
      <c r="AB474" s="147">
        <f t="shared" si="244"/>
        <v>3055215076</v>
      </c>
      <c r="AD474" s="583">
        <f t="shared" si="245"/>
        <v>17.053046222312961</v>
      </c>
      <c r="AE474" s="584">
        <f t="shared" si="246"/>
        <v>-11.792256803269707</v>
      </c>
      <c r="AG474" s="583">
        <f t="shared" si="247"/>
        <v>-5.8520275673819562</v>
      </c>
      <c r="AH474" s="584">
        <f t="shared" si="248"/>
        <v>-18.516822152077641</v>
      </c>
      <c r="AJ474" s="147">
        <f t="shared" si="249"/>
        <v>0</v>
      </c>
      <c r="AK474" s="147">
        <f t="shared" si="261"/>
        <v>0</v>
      </c>
      <c r="AM474" s="147" t="str">
        <f t="shared" si="253"/>
        <v>1.7019718597877+0.712204681300392i</v>
      </c>
      <c r="AN474" s="147" t="str">
        <f t="shared" si="254"/>
        <v>2.34895872957069i</v>
      </c>
      <c r="AO474" s="147" t="str">
        <f t="shared" si="255"/>
        <v>0.30320016794444-0.724564394581238i</v>
      </c>
      <c r="AP474" s="147" t="str">
        <f t="shared" si="256"/>
        <v>-0.116995309964617-0.118700780216732i</v>
      </c>
      <c r="AQ474" s="147" t="str">
        <f t="shared" si="257"/>
        <v>1.11699530996462+0.118700780216732i</v>
      </c>
      <c r="AR474" s="147" t="str">
        <f t="shared" si="258"/>
        <v>0.737423044428301-0.0783644209985176i</v>
      </c>
    </row>
    <row r="475" spans="7:44">
      <c r="G475" s="585">
        <v>55594</v>
      </c>
      <c r="H475" s="573">
        <f t="shared" si="250"/>
        <v>55.594000000000001</v>
      </c>
      <c r="I475" s="574">
        <f t="shared" si="230"/>
        <v>157.03111946348045</v>
      </c>
      <c r="J475" s="575">
        <f t="shared" si="231"/>
        <v>1.5644281192545069</v>
      </c>
      <c r="K475" s="575">
        <f t="shared" si="232"/>
        <v>1.0029484323981357</v>
      </c>
      <c r="L475" s="576">
        <f t="shared" si="233"/>
        <v>7.6696886511677942E-2</v>
      </c>
      <c r="M475" s="575">
        <f t="shared" si="234"/>
        <v>1.0067726705773199</v>
      </c>
      <c r="N475" s="576">
        <f t="shared" si="235"/>
        <v>-0.11605745104318603</v>
      </c>
      <c r="O475" s="574">
        <f t="shared" si="236"/>
        <v>2305428.863550337</v>
      </c>
      <c r="P475" s="577">
        <f t="shared" si="237"/>
        <v>1.5707958930361214</v>
      </c>
      <c r="Q475" s="586">
        <f t="shared" si="259"/>
        <v>92.991007849286419</v>
      </c>
      <c r="R475" s="587">
        <f t="shared" si="260"/>
        <v>1.5600423915713824</v>
      </c>
      <c r="S475" s="574">
        <f t="shared" si="238"/>
        <v>1.0195402236497806</v>
      </c>
      <c r="T475" s="577">
        <f t="shared" si="239"/>
        <v>0.19609822444232472</v>
      </c>
      <c r="U475" s="578">
        <f t="shared" si="251"/>
        <v>0.58001163933603017</v>
      </c>
      <c r="V475" s="579">
        <f t="shared" si="252"/>
        <v>-1.2855824441286965</v>
      </c>
      <c r="W475" s="580">
        <f t="shared" si="240"/>
        <v>-26.903179063186492</v>
      </c>
      <c r="X475" s="581">
        <f t="shared" si="241"/>
        <v>-177.40050215864855</v>
      </c>
      <c r="Y475" s="584">
        <f t="shared" si="242"/>
        <v>2.5994978413514502</v>
      </c>
      <c r="AA475" s="147">
        <f t="shared" si="243"/>
        <v>55594</v>
      </c>
      <c r="AB475" s="147">
        <f t="shared" si="244"/>
        <v>3090692836</v>
      </c>
      <c r="AD475" s="583">
        <f t="shared" si="245"/>
        <v>17.0511473816135</v>
      </c>
      <c r="AE475" s="584">
        <f t="shared" si="246"/>
        <v>-11.851730893014249</v>
      </c>
      <c r="AG475" s="583">
        <f t="shared" si="247"/>
        <v>-5.864519514392307</v>
      </c>
      <c r="AH475" s="584">
        <f t="shared" si="248"/>
        <v>-18.231874567925704</v>
      </c>
      <c r="AJ475" s="147">
        <f t="shared" si="249"/>
        <v>0</v>
      </c>
      <c r="AK475" s="147">
        <f t="shared" si="261"/>
        <v>0</v>
      </c>
      <c r="AM475" s="147" t="str">
        <f t="shared" si="253"/>
        <v>1.71159186984862+0.7025930619963i</v>
      </c>
      <c r="AN475" s="147" t="str">
        <f t="shared" si="254"/>
        <v>2.36255765118777i</v>
      </c>
      <c r="AO475" s="147" t="str">
        <f t="shared" si="255"/>
        <v>0.297386631662966-0.724465652293446i</v>
      </c>
      <c r="AP475" s="147" t="str">
        <f t="shared" si="256"/>
        <v>-0.118598644974771-0.11709884366605i</v>
      </c>
      <c r="AQ475" s="147" t="str">
        <f t="shared" si="257"/>
        <v>1.11859864497477+0.11709884366605i</v>
      </c>
      <c r="AR475" s="147" t="str">
        <f t="shared" si="258"/>
        <v>0.736609515109308-0.0771108769353598i</v>
      </c>
    </row>
    <row r="476" spans="7:44">
      <c r="G476" s="585">
        <v>55914</v>
      </c>
      <c r="H476" s="573">
        <f t="shared" si="250"/>
        <v>55.914000000000001</v>
      </c>
      <c r="I476" s="574">
        <f t="shared" si="230"/>
        <v>157.93495668056713</v>
      </c>
      <c r="J476" s="575">
        <f t="shared" si="231"/>
        <v>1.5644645640052071</v>
      </c>
      <c r="K476" s="575">
        <f t="shared" si="232"/>
        <v>1.0029824219269039</v>
      </c>
      <c r="L476" s="576">
        <f t="shared" si="233"/>
        <v>7.7136610962687174E-2</v>
      </c>
      <c r="M476" s="575">
        <f t="shared" si="234"/>
        <v>1.0068505961618215</v>
      </c>
      <c r="N476" s="576">
        <f t="shared" si="235"/>
        <v>-0.11671944603343691</v>
      </c>
      <c r="O476" s="574">
        <f t="shared" si="236"/>
        <v>2318698.9509039358</v>
      </c>
      <c r="P476" s="577">
        <f t="shared" si="237"/>
        <v>1.5707958955185555</v>
      </c>
      <c r="Q476" s="586">
        <f t="shared" si="259"/>
        <v>93.526203934561778</v>
      </c>
      <c r="R476" s="587">
        <f t="shared" si="260"/>
        <v>1.560103932441937</v>
      </c>
      <c r="S476" s="574">
        <f t="shared" si="238"/>
        <v>1.0197636324398438</v>
      </c>
      <c r="T476" s="577">
        <f t="shared" si="239"/>
        <v>0.19719801320442951</v>
      </c>
      <c r="U476" s="578">
        <f t="shared" si="251"/>
        <v>0.57756686984854744</v>
      </c>
      <c r="V476" s="579">
        <f t="shared" si="252"/>
        <v>-1.2908017701356826</v>
      </c>
      <c r="W476" s="580">
        <f t="shared" si="240"/>
        <v>-26.990660754240675</v>
      </c>
      <c r="X476" s="581">
        <f t="shared" si="241"/>
        <v>-177.77385816989471</v>
      </c>
      <c r="Y476" s="584">
        <f t="shared" si="242"/>
        <v>2.2261418301052913</v>
      </c>
      <c r="AA476" s="147">
        <f t="shared" si="243"/>
        <v>55914</v>
      </c>
      <c r="AB476" s="147">
        <f t="shared" si="244"/>
        <v>3126375396</v>
      </c>
      <c r="AD476" s="583">
        <f t="shared" si="245"/>
        <v>17.049238545032129</v>
      </c>
      <c r="AE476" s="584">
        <f t="shared" si="246"/>
        <v>-11.91121825758939</v>
      </c>
      <c r="AG476" s="583">
        <f t="shared" si="247"/>
        <v>-5.8767149543306916</v>
      </c>
      <c r="AH476" s="584">
        <f t="shared" si="248"/>
        <v>-17.947652509706927</v>
      </c>
      <c r="AJ476" s="147">
        <f t="shared" si="249"/>
        <v>0</v>
      </c>
      <c r="AK476" s="147">
        <f t="shared" si="261"/>
        <v>0</v>
      </c>
      <c r="AM476" s="147" t="str">
        <f t="shared" si="253"/>
        <v>1.72108028677688+0.692851513689455i</v>
      </c>
      <c r="AN476" s="147" t="str">
        <f t="shared" si="254"/>
        <v>2.37615657280485i</v>
      </c>
      <c r="AO476" s="147" t="str">
        <f t="shared" si="255"/>
        <v>0.291584957666154-0.724312659559i</v>
      </c>
      <c r="AP476" s="147" t="str">
        <f t="shared" si="256"/>
        <v>-0.120180047796147-0.115475252281576i</v>
      </c>
      <c r="AQ476" s="147" t="str">
        <f t="shared" si="257"/>
        <v>1.12018004779615+0.115475252281576i</v>
      </c>
      <c r="AR476" s="147" t="str">
        <f t="shared" si="258"/>
        <v>0.735811144362759-0.0758520719004514i</v>
      </c>
    </row>
    <row r="477" spans="7:44">
      <c r="G477" s="585">
        <v>56234</v>
      </c>
      <c r="H477" s="573">
        <f t="shared" si="250"/>
        <v>56.234000000000002</v>
      </c>
      <c r="I477" s="574">
        <f t="shared" si="230"/>
        <v>158.8387941050388</v>
      </c>
      <c r="J477" s="575">
        <f t="shared" si="231"/>
        <v>1.5645005939941856</v>
      </c>
      <c r="K477" s="575">
        <f t="shared" si="232"/>
        <v>1.0030166053767731</v>
      </c>
      <c r="L477" s="576">
        <f t="shared" si="233"/>
        <v>7.7576305526526668E-2</v>
      </c>
      <c r="M477" s="575">
        <f t="shared" si="234"/>
        <v>1.0069289629174698</v>
      </c>
      <c r="N477" s="576">
        <f t="shared" si="235"/>
        <v>-0.11738133827089678</v>
      </c>
      <c r="O477" s="574">
        <f t="shared" si="236"/>
        <v>2331969.0382575342</v>
      </c>
      <c r="P477" s="577">
        <f t="shared" si="237"/>
        <v>1.5707958979727366</v>
      </c>
      <c r="Q477" s="586">
        <f t="shared" si="259"/>
        <v>94.061400370016131</v>
      </c>
      <c r="R477" s="587">
        <f t="shared" si="260"/>
        <v>1.5601647729945356</v>
      </c>
      <c r="S477" s="574">
        <f t="shared" si="238"/>
        <v>1.0199882741288473</v>
      </c>
      <c r="T477" s="577">
        <f t="shared" si="239"/>
        <v>0.1982973188618822</v>
      </c>
      <c r="U477" s="578">
        <f t="shared" si="251"/>
        <v>0.57513218695210111</v>
      </c>
      <c r="V477" s="579">
        <f t="shared" si="252"/>
        <v>-1.2960081859504513</v>
      </c>
      <c r="W477" s="580">
        <f t="shared" si="240"/>
        <v>-27.077865837775519</v>
      </c>
      <c r="X477" s="581">
        <f t="shared" si="241"/>
        <v>-178.14645898641132</v>
      </c>
      <c r="Y477" s="584">
        <f t="shared" si="242"/>
        <v>1.8535410135886821</v>
      </c>
      <c r="AA477" s="147">
        <f t="shared" si="243"/>
        <v>56234</v>
      </c>
      <c r="AB477" s="147">
        <f t="shared" si="244"/>
        <v>3162262756</v>
      </c>
      <c r="AD477" s="583">
        <f t="shared" si="245"/>
        <v>17.047319723931537</v>
      </c>
      <c r="AE477" s="584">
        <f t="shared" si="246"/>
        <v>-11.970718065951344</v>
      </c>
      <c r="AG477" s="583">
        <f t="shared" si="247"/>
        <v>-5.8886172115809332</v>
      </c>
      <c r="AH477" s="584">
        <f t="shared" si="248"/>
        <v>-17.664142212027006</v>
      </c>
      <c r="AJ477" s="147">
        <f t="shared" si="249"/>
        <v>0</v>
      </c>
      <c r="AK477" s="147">
        <f t="shared" si="261"/>
        <v>0</v>
      </c>
      <c r="AM477" s="147" t="str">
        <f t="shared" si="253"/>
        <v>1.73043535590022+0.682981837863141i</v>
      </c>
      <c r="AN477" s="147" t="str">
        <f t="shared" si="254"/>
        <v>2.38975549442193i</v>
      </c>
      <c r="AO477" s="147" t="str">
        <f t="shared" si="255"/>
        <v>0.285795697282559-0.724105608268014i</v>
      </c>
      <c r="AP477" s="147" t="str">
        <f t="shared" si="256"/>
        <v>-0.121739225983371-0.113830306310524i</v>
      </c>
      <c r="AQ477" s="147" t="str">
        <f t="shared" si="257"/>
        <v>1.12173922598337+0.113830306310524i</v>
      </c>
      <c r="AR477" s="147" t="str">
        <f t="shared" si="258"/>
        <v>0.735027882956321-0.0745881459127421i</v>
      </c>
    </row>
    <row r="478" spans="7:44">
      <c r="G478" s="585">
        <v>56561.5</v>
      </c>
      <c r="H478" s="573">
        <f t="shared" si="250"/>
        <v>56.561500000000002</v>
      </c>
      <c r="I478" s="574">
        <f t="shared" si="230"/>
        <v>159.76381543020648</v>
      </c>
      <c r="J478" s="575">
        <f t="shared" si="231"/>
        <v>1.5645370463245198</v>
      </c>
      <c r="K478" s="575">
        <f t="shared" si="232"/>
        <v>1.0030517907724605</v>
      </c>
      <c r="L478" s="576">
        <f t="shared" si="233"/>
        <v>7.8026274311392502E-2</v>
      </c>
      <c r="M478" s="575">
        <f t="shared" si="234"/>
        <v>1.0070096230887118</v>
      </c>
      <c r="N478" s="576">
        <f t="shared" si="235"/>
        <v>-0.11805863663417233</v>
      </c>
      <c r="O478" s="574">
        <f t="shared" si="236"/>
        <v>2345550.1432834836</v>
      </c>
      <c r="P478" s="577">
        <f t="shared" si="237"/>
        <v>1.5707959004556846</v>
      </c>
      <c r="Q478" s="586">
        <f t="shared" si="259"/>
        <v>94.609140828311169</v>
      </c>
      <c r="R478" s="587">
        <f t="shared" si="260"/>
        <v>1.5602263267684273</v>
      </c>
      <c r="S478" s="574">
        <f t="shared" si="238"/>
        <v>1.0202194565892206</v>
      </c>
      <c r="T478" s="577">
        <f t="shared" si="239"/>
        <v>0.19942188683557369</v>
      </c>
      <c r="U478" s="578">
        <f t="shared" si="251"/>
        <v>0.57265084341352501</v>
      </c>
      <c r="V478" s="579">
        <f t="shared" si="252"/>
        <v>-1.301323516498972</v>
      </c>
      <c r="W478" s="580">
        <f t="shared" si="240"/>
        <v>-27.166831729950264</v>
      </c>
      <c r="X478" s="581">
        <f t="shared" si="241"/>
        <v>-178.5270249535497</v>
      </c>
      <c r="Y478" s="584">
        <f t="shared" si="242"/>
        <v>1.4729750464503013</v>
      </c>
      <c r="AA478" s="147">
        <f t="shared" si="243"/>
        <v>56561.5</v>
      </c>
      <c r="AB478" s="147">
        <f t="shared" si="244"/>
        <v>3199203282.25</v>
      </c>
      <c r="AD478" s="583">
        <f t="shared" si="245"/>
        <v>17.045345604166808</v>
      </c>
      <c r="AE478" s="584">
        <f t="shared" si="246"/>
        <v>-12.031624435494392</v>
      </c>
      <c r="AG478" s="583">
        <f t="shared" si="247"/>
        <v>-5.9004982387142029</v>
      </c>
      <c r="AH478" s="584">
        <f t="shared" si="248"/>
        <v>-17.374709794632022</v>
      </c>
      <c r="AJ478" s="147">
        <f t="shared" si="249"/>
        <v>0</v>
      </c>
      <c r="AK478" s="147">
        <f t="shared" si="261"/>
        <v>0</v>
      </c>
      <c r="AM478" s="147" t="str">
        <f t="shared" si="253"/>
        <v>1.73986980686671+0.672750079068754i</v>
      </c>
      <c r="AN478" s="147" t="str">
        <f t="shared" si="254"/>
        <v>2.40367314076442i</v>
      </c>
      <c r="AO478" s="147" t="str">
        <f t="shared" si="255"/>
        <v>0.279884177120191-0.723837936764311i</v>
      </c>
      <c r="AP478" s="147" t="str">
        <f t="shared" si="256"/>
        <v>-0.123311634477785-0.112125013178126i</v>
      </c>
      <c r="AQ478" s="147" t="str">
        <f t="shared" si="257"/>
        <v>1.12331163447778+0.112125013178126i</v>
      </c>
      <c r="AR478" s="147" t="str">
        <f t="shared" si="258"/>
        <v>0.734241857316825-0.0732894375885761i</v>
      </c>
    </row>
    <row r="479" spans="7:44">
      <c r="G479" s="585">
        <v>56889</v>
      </c>
      <c r="H479" s="573">
        <f t="shared" si="250"/>
        <v>56.889000000000003</v>
      </c>
      <c r="I479" s="574">
        <f t="shared" si="230"/>
        <v>160.68883696521979</v>
      </c>
      <c r="J479" s="575">
        <f t="shared" si="231"/>
        <v>1.5645730789718517</v>
      </c>
      <c r="K479" s="575">
        <f t="shared" si="232"/>
        <v>1.003087179243686</v>
      </c>
      <c r="L479" s="576">
        <f t="shared" si="233"/>
        <v>7.8476211437953913E-2</v>
      </c>
      <c r="M479" s="575">
        <f t="shared" si="234"/>
        <v>1.007090745134452</v>
      </c>
      <c r="N479" s="576">
        <f t="shared" si="235"/>
        <v>-0.11873582619409721</v>
      </c>
      <c r="O479" s="574">
        <f t="shared" si="236"/>
        <v>2359131.2483094321</v>
      </c>
      <c r="P479" s="577">
        <f t="shared" si="237"/>
        <v>1.5707959029100447</v>
      </c>
      <c r="Q479" s="586">
        <f t="shared" si="259"/>
        <v>95.156881640940924</v>
      </c>
      <c r="R479" s="587">
        <f t="shared" si="260"/>
        <v>1.5602871719124716</v>
      </c>
      <c r="S479" s="574">
        <f t="shared" si="238"/>
        <v>1.0204519286877711</v>
      </c>
      <c r="T479" s="577">
        <f t="shared" si="239"/>
        <v>0.20054594384811864</v>
      </c>
      <c r="U479" s="578">
        <f t="shared" si="251"/>
        <v>0.57017997827093736</v>
      </c>
      <c r="V479" s="579">
        <f t="shared" si="252"/>
        <v>-1.3066258456559716</v>
      </c>
      <c r="W479" s="580">
        <f t="shared" si="240"/>
        <v>-27.255514666242942</v>
      </c>
      <c r="X479" s="581">
        <f t="shared" si="241"/>
        <v>-178.90682885361934</v>
      </c>
      <c r="Y479" s="584">
        <f t="shared" si="242"/>
        <v>1.093171146380655</v>
      </c>
      <c r="AA479" s="147">
        <f t="shared" si="243"/>
        <v>56889</v>
      </c>
      <c r="AB479" s="147">
        <f t="shared" si="244"/>
        <v>3236358321</v>
      </c>
      <c r="AD479" s="583">
        <f t="shared" si="245"/>
        <v>17.043361050844506</v>
      </c>
      <c r="AE479" s="584">
        <f t="shared" si="246"/>
        <v>-12.092542128981773</v>
      </c>
      <c r="AG479" s="583">
        <f t="shared" si="247"/>
        <v>-5.9120789578179629</v>
      </c>
      <c r="AH479" s="584">
        <f t="shared" si="248"/>
        <v>-17.085993835949484</v>
      </c>
      <c r="AJ479" s="147">
        <f t="shared" si="249"/>
        <v>0</v>
      </c>
      <c r="AK479" s="147">
        <f t="shared" si="261"/>
        <v>0</v>
      </c>
      <c r="AM479" s="147" t="str">
        <f t="shared" si="253"/>
        <v>1.74916094671404+0.662388010095685i</v>
      </c>
      <c r="AN479" s="147" t="str">
        <f t="shared" si="254"/>
        <v>2.4175907871069i</v>
      </c>
      <c r="AO479" s="147" t="str">
        <f t="shared" si="255"/>
        <v>0.273986819286467-0.723514068651477i</v>
      </c>
      <c r="AP479" s="147" t="str">
        <f t="shared" si="256"/>
        <v>-0.124860157785673-0.110398001682614i</v>
      </c>
      <c r="AQ479" s="147" t="str">
        <f t="shared" si="257"/>
        <v>1.12486015778567+0.110398001682614i</v>
      </c>
      <c r="AR479" s="147" t="str">
        <f t="shared" si="258"/>
        <v>0.733471553745322-0.0719856537402174i</v>
      </c>
    </row>
    <row r="480" spans="7:44">
      <c r="G480" s="585">
        <v>57216.5</v>
      </c>
      <c r="H480" s="573">
        <f t="shared" si="250"/>
        <v>57.216500000000003</v>
      </c>
      <c r="I480" s="574">
        <f t="shared" si="230"/>
        <v>161.61385870647544</v>
      </c>
      <c r="J480" s="575">
        <f t="shared" si="231"/>
        <v>1.5646086991424477</v>
      </c>
      <c r="K480" s="575">
        <f t="shared" si="232"/>
        <v>1.0031227707689563</v>
      </c>
      <c r="L480" s="576">
        <f t="shared" si="233"/>
        <v>7.8926116727397522E-2</v>
      </c>
      <c r="M480" s="575">
        <f t="shared" si="234"/>
        <v>1.0071723289430863</v>
      </c>
      <c r="N480" s="576">
        <f t="shared" si="235"/>
        <v>-0.11941290635593839</v>
      </c>
      <c r="O480" s="574">
        <f t="shared" si="236"/>
        <v>2372712.353335381</v>
      </c>
      <c r="P480" s="577">
        <f t="shared" si="237"/>
        <v>1.5707959053363079</v>
      </c>
      <c r="Q480" s="586">
        <f t="shared" si="259"/>
        <v>95.704622801821571</v>
      </c>
      <c r="R480" s="587">
        <f t="shared" si="260"/>
        <v>1.5603473205932039</v>
      </c>
      <c r="S480" s="574">
        <f t="shared" si="238"/>
        <v>1.0206856895433114</v>
      </c>
      <c r="T480" s="577">
        <f t="shared" si="239"/>
        <v>0.20166948740912072</v>
      </c>
      <c r="U480" s="578">
        <f t="shared" si="251"/>
        <v>0.56771954509680644</v>
      </c>
      <c r="V480" s="579">
        <f t="shared" si="252"/>
        <v>-1.3119154356675338</v>
      </c>
      <c r="W480" s="580">
        <f t="shared" si="240"/>
        <v>-27.34391802749785</v>
      </c>
      <c r="X480" s="581">
        <f t="shared" si="241"/>
        <v>-179.28588526151995</v>
      </c>
      <c r="Y480" s="584">
        <f t="shared" si="242"/>
        <v>0.71411473848004903</v>
      </c>
      <c r="AA480" s="147">
        <f t="shared" si="243"/>
        <v>57216.5</v>
      </c>
      <c r="AB480" s="147">
        <f t="shared" si="244"/>
        <v>3273727872.25</v>
      </c>
      <c r="AD480" s="583">
        <f t="shared" si="245"/>
        <v>17.041366076533897</v>
      </c>
      <c r="AE480" s="584">
        <f t="shared" si="246"/>
        <v>-12.153470306661315</v>
      </c>
      <c r="AG480" s="583">
        <f t="shared" si="247"/>
        <v>-5.9233626650190665</v>
      </c>
      <c r="AH480" s="584">
        <f t="shared" si="248"/>
        <v>-16.7979796994438</v>
      </c>
      <c r="AJ480" s="147">
        <f t="shared" si="249"/>
        <v>0</v>
      </c>
      <c r="AK480" s="147">
        <f t="shared" si="261"/>
        <v>0</v>
      </c>
      <c r="AM480" s="147" t="str">
        <f t="shared" si="253"/>
        <v>1.75830697576931+0.651897638053402i</v>
      </c>
      <c r="AN480" s="147" t="str">
        <f t="shared" si="254"/>
        <v>2.43150843344938i</v>
      </c>
      <c r="AO480" s="147" t="str">
        <f t="shared" si="255"/>
        <v>0.268104206049826-0.723134228769647i</v>
      </c>
      <c r="AP480" s="147" t="str">
        <f t="shared" si="256"/>
        <v>-0.126384495961552-0.108649606342234i</v>
      </c>
      <c r="AQ480" s="147" t="str">
        <f t="shared" si="257"/>
        <v>1.12638449596155+0.108649606342234i</v>
      </c>
      <c r="AR480" s="147" t="str">
        <f t="shared" si="258"/>
        <v>0.732716920097454-0.070676935996818i</v>
      </c>
    </row>
    <row r="481" spans="7:44">
      <c r="G481" s="585">
        <v>57544</v>
      </c>
      <c r="H481" s="573">
        <f t="shared" si="250"/>
        <v>57.543999999999997</v>
      </c>
      <c r="I481" s="574">
        <f t="shared" si="230"/>
        <v>162.53888065045223</v>
      </c>
      <c r="J481" s="575">
        <f t="shared" si="231"/>
        <v>1.564643913878532</v>
      </c>
      <c r="K481" s="575">
        <f t="shared" si="232"/>
        <v>1.0031585653266593</v>
      </c>
      <c r="L481" s="576">
        <f t="shared" si="233"/>
        <v>7.9375990000986815E-2</v>
      </c>
      <c r="M481" s="575">
        <f t="shared" si="234"/>
        <v>1.0072543744024114</v>
      </c>
      <c r="N481" s="576">
        <f t="shared" si="235"/>
        <v>-0.12008987652555615</v>
      </c>
      <c r="O481" s="574">
        <f t="shared" si="236"/>
        <v>2386293.4583613295</v>
      </c>
      <c r="P481" s="577">
        <f t="shared" si="237"/>
        <v>1.5707959077349538</v>
      </c>
      <c r="Q481" s="586">
        <f t="shared" si="259"/>
        <v>96.252364305007745</v>
      </c>
      <c r="R481" s="587">
        <f t="shared" si="260"/>
        <v>1.560406784700237</v>
      </c>
      <c r="S481" s="574">
        <f t="shared" si="238"/>
        <v>1.0209207382705794</v>
      </c>
      <c r="T481" s="577">
        <f t="shared" si="239"/>
        <v>0.20279251503564341</v>
      </c>
      <c r="U481" s="578">
        <f t="shared" si="251"/>
        <v>0.56526949575767038</v>
      </c>
      <c r="V481" s="579">
        <f t="shared" si="252"/>
        <v>-1.3171925479110687</v>
      </c>
      <c r="W481" s="580">
        <f t="shared" si="240"/>
        <v>-27.432045166954499</v>
      </c>
      <c r="X481" s="581">
        <f t="shared" si="241"/>
        <v>-179.66420870930398</v>
      </c>
      <c r="Y481" s="584">
        <f t="shared" si="242"/>
        <v>0.33579129069602232</v>
      </c>
      <c r="AA481" s="147">
        <f t="shared" si="243"/>
        <v>57544</v>
      </c>
      <c r="AB481" s="147">
        <f t="shared" si="244"/>
        <v>3311311936</v>
      </c>
      <c r="AD481" s="583">
        <f t="shared" si="245"/>
        <v>17.039360693930131</v>
      </c>
      <c r="AE481" s="584">
        <f t="shared" si="246"/>
        <v>-12.214408145074067</v>
      </c>
      <c r="AG481" s="583">
        <f t="shared" si="247"/>
        <v>-5.9343525694996746</v>
      </c>
      <c r="AH481" s="584">
        <f t="shared" si="248"/>
        <v>-16.510652788981368</v>
      </c>
      <c r="AJ481" s="147">
        <f t="shared" si="249"/>
        <v>0</v>
      </c>
      <c r="AK481" s="147">
        <f t="shared" si="261"/>
        <v>0</v>
      </c>
      <c r="AM481" s="147" t="str">
        <f t="shared" si="253"/>
        <v>1.76730612246724+0.6412809949034i</v>
      </c>
      <c r="AN481" s="147" t="str">
        <f t="shared" si="254"/>
        <v>2.44542607979186i</v>
      </c>
      <c r="AO481" s="147" t="str">
        <f t="shared" si="255"/>
        <v>0.262236916585915-0.722698648334389i</v>
      </c>
      <c r="AP481" s="147" t="str">
        <f t="shared" si="256"/>
        <v>-0.127884353744539-0.106880165817233i</v>
      </c>
      <c r="AQ481" s="147" t="str">
        <f t="shared" si="257"/>
        <v>1.12788435374454+0.106880165817233i</v>
      </c>
      <c r="AR481" s="147" t="str">
        <f t="shared" si="258"/>
        <v>0.731977904543027-0.0693634232555628i</v>
      </c>
    </row>
    <row r="482" spans="7:44">
      <c r="G482" s="585">
        <v>57879</v>
      </c>
      <c r="H482" s="573">
        <f t="shared" si="250"/>
        <v>57.878999999999998</v>
      </c>
      <c r="I482" s="574">
        <f t="shared" si="230"/>
        <v>163.48508650922034</v>
      </c>
      <c r="J482" s="575">
        <f t="shared" si="231"/>
        <v>1.5646795227654799</v>
      </c>
      <c r="K482" s="575">
        <f t="shared" si="232"/>
        <v>1.0031953896444685</v>
      </c>
      <c r="L482" s="576">
        <f t="shared" si="233"/>
        <v>7.9836132405671362E-2</v>
      </c>
      <c r="M482" s="575">
        <f t="shared" si="234"/>
        <v>1.007338776277761</v>
      </c>
      <c r="N482" s="576">
        <f t="shared" si="235"/>
        <v>-0.12078223541063263</v>
      </c>
      <c r="O482" s="574">
        <f t="shared" si="236"/>
        <v>2400185.5810596282</v>
      </c>
      <c r="P482" s="577">
        <f t="shared" si="237"/>
        <v>1.5707959101604463</v>
      </c>
      <c r="Q482" s="586">
        <f t="shared" si="259"/>
        <v>96.812649854837034</v>
      </c>
      <c r="R482" s="587">
        <f t="shared" si="260"/>
        <v>1.5604669144245698</v>
      </c>
      <c r="S482" s="574">
        <f t="shared" si="238"/>
        <v>1.021162501315281</v>
      </c>
      <c r="T482" s="577">
        <f t="shared" si="239"/>
        <v>0.20394072447873662</v>
      </c>
      <c r="U482" s="578">
        <f t="shared" si="251"/>
        <v>0.56277402976537583</v>
      </c>
      <c r="V482" s="579">
        <f t="shared" si="252"/>
        <v>-1.3225778719717709</v>
      </c>
      <c r="W482" s="580">
        <f t="shared" si="240"/>
        <v>-27.521908170349569</v>
      </c>
      <c r="X482" s="581">
        <f t="shared" si="241"/>
        <v>-180.05045282755822</v>
      </c>
      <c r="Y482" s="584">
        <f t="shared" si="242"/>
        <v>-5.045282755821745E-2</v>
      </c>
      <c r="AA482" s="147">
        <f t="shared" si="243"/>
        <v>57879</v>
      </c>
      <c r="AB482" s="147">
        <f t="shared" si="244"/>
        <v>3349978641</v>
      </c>
      <c r="AD482" s="583">
        <f t="shared" si="245"/>
        <v>17.037298631338853</v>
      </c>
      <c r="AE482" s="584">
        <f t="shared" si="246"/>
        <v>-12.276750659774542</v>
      </c>
      <c r="AG482" s="583">
        <f t="shared" si="247"/>
        <v>-5.945293435056386</v>
      </c>
      <c r="AH482" s="584">
        <f t="shared" si="248"/>
        <v>-16.217441711852953</v>
      </c>
      <c r="AJ482" s="147">
        <f t="shared" si="249"/>
        <v>0</v>
      </c>
      <c r="AK482" s="147">
        <f t="shared" si="261"/>
        <v>0</v>
      </c>
      <c r="AM482" s="147" t="str">
        <f t="shared" si="253"/>
        <v>1.77635757299886+0.630292724729802i</v>
      </c>
      <c r="AN482" s="147" t="str">
        <f t="shared" si="254"/>
        <v>2.45966245085975i</v>
      </c>
      <c r="AO482" s="147" t="str">
        <f t="shared" si="255"/>
        <v>0.2562517163725-0.722195670539245i</v>
      </c>
      <c r="AP482" s="147" t="str">
        <f t="shared" si="256"/>
        <v>-0.129392928833143-0.105048787454967i</v>
      </c>
      <c r="AQ482" s="147" t="str">
        <f t="shared" si="257"/>
        <v>1.12939292883314+0.105048787454967i</v>
      </c>
      <c r="AR482" s="147" t="str">
        <f t="shared" si="258"/>
        <v>0.731238070002884-0.0680150111034228i</v>
      </c>
    </row>
    <row r="483" spans="7:44">
      <c r="G483" s="585">
        <v>58214</v>
      </c>
      <c r="H483" s="573">
        <f t="shared" si="250"/>
        <v>58.213999999999999</v>
      </c>
      <c r="I483" s="574">
        <f t="shared" si="230"/>
        <v>164.43129257290065</v>
      </c>
      <c r="J483" s="575">
        <f t="shared" si="231"/>
        <v>1.5647147218357733</v>
      </c>
      <c r="K483" s="575">
        <f t="shared" si="232"/>
        <v>1.0032324263542545</v>
      </c>
      <c r="L483" s="576">
        <f t="shared" si="233"/>
        <v>8.0296240933267843E-2</v>
      </c>
      <c r="M483" s="575">
        <f t="shared" si="234"/>
        <v>1.007423660950812</v>
      </c>
      <c r="N483" s="576">
        <f t="shared" si="235"/>
        <v>-0.12147447795233819</v>
      </c>
      <c r="O483" s="574">
        <f t="shared" si="236"/>
        <v>2414077.7037579273</v>
      </c>
      <c r="P483" s="577">
        <f t="shared" si="237"/>
        <v>1.5707959125580233</v>
      </c>
      <c r="Q483" s="586">
        <f t="shared" si="259"/>
        <v>97.372935750672355</v>
      </c>
      <c r="R483" s="587">
        <f t="shared" si="260"/>
        <v>1.5605263521737485</v>
      </c>
      <c r="S483" s="574">
        <f t="shared" si="238"/>
        <v>1.0214056100068734</v>
      </c>
      <c r="T483" s="577">
        <f t="shared" si="239"/>
        <v>0.2050883888547719</v>
      </c>
      <c r="U483" s="578">
        <f t="shared" si="251"/>
        <v>0.56028932155141398</v>
      </c>
      <c r="V483" s="579">
        <f t="shared" si="252"/>
        <v>-1.3279506906973959</v>
      </c>
      <c r="W483" s="580">
        <f t="shared" si="240"/>
        <v>-27.611489169218103</v>
      </c>
      <c r="X483" s="581">
        <f t="shared" si="241"/>
        <v>-180.43596065277001</v>
      </c>
      <c r="Y483" s="584">
        <f t="shared" si="242"/>
        <v>-0.43596065277000662</v>
      </c>
      <c r="AA483" s="147">
        <f t="shared" si="243"/>
        <v>58214</v>
      </c>
      <c r="AB483" s="147">
        <f t="shared" si="244"/>
        <v>3388869796</v>
      </c>
      <c r="AD483" s="583">
        <f t="shared" si="245"/>
        <v>17.035225705543393</v>
      </c>
      <c r="AE483" s="584">
        <f t="shared" si="246"/>
        <v>-12.339101590089474</v>
      </c>
      <c r="AG483" s="583">
        <f t="shared" si="247"/>
        <v>-5.9559334079721911</v>
      </c>
      <c r="AH483" s="584">
        <f t="shared" si="248"/>
        <v>-15.924918931912002</v>
      </c>
      <c r="AJ483" s="147">
        <f t="shared" si="249"/>
        <v>0</v>
      </c>
      <c r="AK483" s="147">
        <f t="shared" si="261"/>
        <v>0</v>
      </c>
      <c r="AM483" s="147" t="str">
        <f t="shared" si="253"/>
        <v>1.78525167849047+0.619176712601421i</v>
      </c>
      <c r="AN483" s="147" t="str">
        <f t="shared" si="254"/>
        <v>2.47389882192763i</v>
      </c>
      <c r="AO483" s="147" t="str">
        <f t="shared" si="255"/>
        <v>0.250283765493274-0.721634879594399i</v>
      </c>
      <c r="AP483" s="147" t="str">
        <f t="shared" si="256"/>
        <v>-0.130875279748411-0.103196118766904i</v>
      </c>
      <c r="AQ483" s="147" t="str">
        <f t="shared" si="257"/>
        <v>1.13087527974841+0.103196118766904i</v>
      </c>
      <c r="AR483" s="147" t="str">
        <f t="shared" si="258"/>
        <v>0.730514468585756-0.0666618673262438i</v>
      </c>
    </row>
    <row r="484" spans="7:44">
      <c r="G484" s="585">
        <v>58549</v>
      </c>
      <c r="H484" s="573">
        <f t="shared" si="250"/>
        <v>58.548999999999999</v>
      </c>
      <c r="I484" s="574">
        <f t="shared" si="230"/>
        <v>165.37749883797588</v>
      </c>
      <c r="J484" s="575">
        <f t="shared" si="231"/>
        <v>1.564749518123614</v>
      </c>
      <c r="K484" s="575">
        <f t="shared" si="232"/>
        <v>1.0032696754324946</v>
      </c>
      <c r="L484" s="576">
        <f t="shared" si="233"/>
        <v>8.0756315392729122E-2</v>
      </c>
      <c r="M484" s="575">
        <f t="shared" si="234"/>
        <v>1.0075090282995343</v>
      </c>
      <c r="N484" s="576">
        <f t="shared" si="235"/>
        <v>-0.12216660351671871</v>
      </c>
      <c r="O484" s="574">
        <f t="shared" si="236"/>
        <v>2427969.8264562259</v>
      </c>
      <c r="P484" s="577">
        <f t="shared" si="237"/>
        <v>1.5707959149281636</v>
      </c>
      <c r="Q484" s="586">
        <f t="shared" si="259"/>
        <v>97.933221986575106</v>
      </c>
      <c r="R484" s="587">
        <f t="shared" si="260"/>
        <v>1.5605851098239369</v>
      </c>
      <c r="S484" s="574">
        <f t="shared" si="238"/>
        <v>1.021650063384739</v>
      </c>
      <c r="T484" s="577">
        <f t="shared" si="239"/>
        <v>0.20623550553068584</v>
      </c>
      <c r="U484" s="578">
        <f t="shared" si="251"/>
        <v>0.55781531442990584</v>
      </c>
      <c r="V484" s="579">
        <f t="shared" si="252"/>
        <v>-1.3333112810563961</v>
      </c>
      <c r="W484" s="580">
        <f t="shared" si="240"/>
        <v>-27.700791669517738</v>
      </c>
      <c r="X484" s="581">
        <f t="shared" si="241"/>
        <v>-180.82074760042622</v>
      </c>
      <c r="Y484" s="584">
        <f t="shared" si="242"/>
        <v>-0.8207476004262162</v>
      </c>
      <c r="AA484" s="147">
        <f t="shared" si="243"/>
        <v>58549</v>
      </c>
      <c r="AB484" s="147">
        <f t="shared" si="244"/>
        <v>3427985401</v>
      </c>
      <c r="AD484" s="583">
        <f t="shared" si="245"/>
        <v>17.033141930524028</v>
      </c>
      <c r="AE484" s="584">
        <f t="shared" si="246"/>
        <v>-12.401460104728811</v>
      </c>
      <c r="AG484" s="583">
        <f t="shared" si="247"/>
        <v>-5.9662756506786661</v>
      </c>
      <c r="AH484" s="584">
        <f t="shared" si="248"/>
        <v>-15.633068957688497</v>
      </c>
      <c r="AJ484" s="147">
        <f t="shared" si="249"/>
        <v>0</v>
      </c>
      <c r="AK484" s="147">
        <f t="shared" si="261"/>
        <v>0</v>
      </c>
      <c r="AM484" s="147" t="str">
        <f t="shared" si="253"/>
        <v>1.79398663636625+0.607935211409744i</v>
      </c>
      <c r="AN484" s="147" t="str">
        <f t="shared" si="254"/>
        <v>2.48813519299551i</v>
      </c>
      <c r="AO484" s="147" t="str">
        <f t="shared" si="255"/>
        <v>0.244333673315331-0.721016543400296i</v>
      </c>
      <c r="AP484" s="147" t="str">
        <f t="shared" si="256"/>
        <v>-0.132331106061042-0.101322535234957i</v>
      </c>
      <c r="AQ484" s="147" t="str">
        <f t="shared" si="257"/>
        <v>1.13233110606104+0.101322535234957i</v>
      </c>
      <c r="AR484" s="147" t="str">
        <f t="shared" si="258"/>
        <v>0.729807046145277-0.0653041321146825i</v>
      </c>
    </row>
    <row r="485" spans="7:44">
      <c r="G485" s="585">
        <v>58884</v>
      </c>
      <c r="H485" s="573">
        <f t="shared" si="250"/>
        <v>58.884</v>
      </c>
      <c r="I485" s="574">
        <f t="shared" si="230"/>
        <v>166.32370530100889</v>
      </c>
      <c r="J485" s="575">
        <f t="shared" si="231"/>
        <v>1.5647839185031389</v>
      </c>
      <c r="K485" s="575">
        <f t="shared" si="232"/>
        <v>1.003307136855536</v>
      </c>
      <c r="L485" s="576">
        <f t="shared" si="233"/>
        <v>8.1216355593093981E-2</v>
      </c>
      <c r="M485" s="575">
        <f t="shared" si="234"/>
        <v>1.0075948782012458</v>
      </c>
      <c r="N485" s="576">
        <f t="shared" si="235"/>
        <v>-0.12285861147048252</v>
      </c>
      <c r="O485" s="574">
        <f t="shared" si="236"/>
        <v>2441861.9491545251</v>
      </c>
      <c r="P485" s="577">
        <f t="shared" si="237"/>
        <v>1.5707959172713359</v>
      </c>
      <c r="Q485" s="586">
        <f t="shared" si="259"/>
        <v>98.493508556741801</v>
      </c>
      <c r="R485" s="587">
        <f t="shared" si="260"/>
        <v>1.5606431989810847</v>
      </c>
      <c r="S485" s="574">
        <f t="shared" si="238"/>
        <v>1.0218958604838682</v>
      </c>
      <c r="T485" s="577">
        <f t="shared" si="239"/>
        <v>0.20738207188169308</v>
      </c>
      <c r="U485" s="578">
        <f t="shared" si="251"/>
        <v>0.555351950091728</v>
      </c>
      <c r="V485" s="579">
        <f t="shared" si="252"/>
        <v>-1.3386599190964255</v>
      </c>
      <c r="W485" s="580">
        <f t="shared" si="240"/>
        <v>-27.789819151404043</v>
      </c>
      <c r="X485" s="581">
        <f t="shared" si="241"/>
        <v>-181.20482904007349</v>
      </c>
      <c r="Y485" s="584">
        <f t="shared" si="242"/>
        <v>-1.2048290400734913</v>
      </c>
      <c r="AA485" s="147">
        <f t="shared" si="243"/>
        <v>58884</v>
      </c>
      <c r="AB485" s="147">
        <f t="shared" si="244"/>
        <v>3467325456</v>
      </c>
      <c r="AD485" s="583">
        <f t="shared" si="245"/>
        <v>17.031047320388343</v>
      </c>
      <c r="AE485" s="584">
        <f t="shared" si="246"/>
        <v>-12.463825388358339</v>
      </c>
      <c r="AG485" s="583">
        <f t="shared" si="247"/>
        <v>-5.976323237033113</v>
      </c>
      <c r="AH485" s="584">
        <f t="shared" si="248"/>
        <v>-15.341876341332272</v>
      </c>
      <c r="AJ485" s="147">
        <f t="shared" si="249"/>
        <v>0</v>
      </c>
      <c r="AK485" s="147">
        <f t="shared" si="261"/>
        <v>0</v>
      </c>
      <c r="AM485" s="147" t="str">
        <f t="shared" si="253"/>
        <v>1.80256067630498+0.596570499479231i</v>
      </c>
      <c r="AN485" s="147" t="str">
        <f t="shared" si="254"/>
        <v>2.5023715640634i</v>
      </c>
      <c r="AO485" s="147" t="str">
        <f t="shared" si="255"/>
        <v>0.238402045502191-0.720340936650489i</v>
      </c>
      <c r="AP485" s="147" t="str">
        <f t="shared" si="256"/>
        <v>-0.133760112717496-0.0994284165798718i</v>
      </c>
      <c r="AQ485" s="147" t="str">
        <f t="shared" si="257"/>
        <v>1.1337601127175+0.0994284165798718i</v>
      </c>
      <c r="AR485" s="147" t="str">
        <f t="shared" si="258"/>
        <v>0.729115749079509-0.063941942939464i</v>
      </c>
    </row>
    <row r="486" spans="7:44">
      <c r="G486" s="585">
        <v>59227</v>
      </c>
      <c r="H486" s="573">
        <f t="shared" si="250"/>
        <v>59.226999999999997</v>
      </c>
      <c r="I486" s="574">
        <f t="shared" si="230"/>
        <v>167.29250794087582</v>
      </c>
      <c r="J486" s="575">
        <f t="shared" si="231"/>
        <v>1.5648187371969144</v>
      </c>
      <c r="K486" s="575">
        <f t="shared" si="232"/>
        <v>1.0033457128666143</v>
      </c>
      <c r="L486" s="576">
        <f t="shared" si="233"/>
        <v>8.1687346132697652E-2</v>
      </c>
      <c r="M486" s="575">
        <f t="shared" si="234"/>
        <v>1.0076832780971203</v>
      </c>
      <c r="N486" s="576">
        <f t="shared" si="235"/>
        <v>-0.12356702246957035</v>
      </c>
      <c r="O486" s="574">
        <f t="shared" si="236"/>
        <v>2456085.8240366639</v>
      </c>
      <c r="P486" s="577">
        <f t="shared" si="237"/>
        <v>1.5707959196430006</v>
      </c>
      <c r="Q486" s="586">
        <f t="shared" si="259"/>
        <v>99.067175445113463</v>
      </c>
      <c r="R486" s="587">
        <f t="shared" si="260"/>
        <v>1.5607019945572072</v>
      </c>
      <c r="S486" s="574">
        <f t="shared" si="238"/>
        <v>1.0221489185897761</v>
      </c>
      <c r="T486" s="577">
        <f t="shared" si="239"/>
        <v>0.2085554459942433</v>
      </c>
      <c r="U486" s="578">
        <f t="shared" si="251"/>
        <v>0.55284072365420944</v>
      </c>
      <c r="V486" s="579">
        <f t="shared" si="252"/>
        <v>-1.3441241892704541</v>
      </c>
      <c r="W486" s="580">
        <f t="shared" si="240"/>
        <v>-27.880691322986447</v>
      </c>
      <c r="X486" s="581">
        <f t="shared" si="241"/>
        <v>-181.59736759607264</v>
      </c>
      <c r="Y486" s="584">
        <f t="shared" si="242"/>
        <v>-1.5973675960726439</v>
      </c>
      <c r="AA486" s="147">
        <f t="shared" si="243"/>
        <v>59227</v>
      </c>
      <c r="AB486" s="147">
        <f t="shared" si="244"/>
        <v>3507837529</v>
      </c>
      <c r="AD486" s="583">
        <f t="shared" si="245"/>
        <v>17.028891478247196</v>
      </c>
      <c r="AE486" s="584">
        <f t="shared" si="246"/>
        <v>-12.527686170390874</v>
      </c>
      <c r="AG486" s="583">
        <f t="shared" si="247"/>
        <v>-5.9863085892907559</v>
      </c>
      <c r="AH486" s="584">
        <f t="shared" si="248"/>
        <v>-15.04439487640129</v>
      </c>
      <c r="AJ486" s="147">
        <f t="shared" si="249"/>
        <v>0</v>
      </c>
      <c r="AK486" s="147">
        <f t="shared" si="261"/>
        <v>0</v>
      </c>
      <c r="AM486" s="147" t="str">
        <f t="shared" si="253"/>
        <v>1.81117092681379+0.584809137661213i</v>
      </c>
      <c r="AN486" s="147" t="str">
        <f t="shared" si="254"/>
        <v>2.51694790817171i</v>
      </c>
      <c r="AO486" s="147" t="str">
        <f t="shared" si="255"/>
        <v>0.232348526468318-0.719590151601274i</v>
      </c>
      <c r="AP486" s="147" t="str">
        <f t="shared" si="256"/>
        <v>-0.135195154468965-0.0974681896102022i</v>
      </c>
      <c r="AQ486" s="147" t="str">
        <f t="shared" si="257"/>
        <v>1.13519515446896+0.0974681896102022i</v>
      </c>
      <c r="AR486" s="147" t="str">
        <f t="shared" si="258"/>
        <v>0.728424595666199-0.0625427498766418i</v>
      </c>
    </row>
    <row r="487" spans="7:44">
      <c r="G487" s="585">
        <v>59570</v>
      </c>
      <c r="H487" s="573">
        <f t="shared" si="250"/>
        <v>59.57</v>
      </c>
      <c r="I487" s="574">
        <f t="shared" si="230"/>
        <v>168.26131078122287</v>
      </c>
      <c r="J487" s="575">
        <f t="shared" si="231"/>
        <v>1.5648531549376035</v>
      </c>
      <c r="K487" s="575">
        <f t="shared" si="232"/>
        <v>1.0033845114348245</v>
      </c>
      <c r="L487" s="576">
        <f t="shared" si="233"/>
        <v>8.2158300352528454E-2</v>
      </c>
      <c r="M487" s="575">
        <f t="shared" si="234"/>
        <v>1.0077721836060956</v>
      </c>
      <c r="N487" s="576">
        <f t="shared" si="235"/>
        <v>-0.12427530883223536</v>
      </c>
      <c r="O487" s="574">
        <f t="shared" si="236"/>
        <v>2470309.6989188027</v>
      </c>
      <c r="P487" s="577">
        <f t="shared" si="237"/>
        <v>1.5707959219873535</v>
      </c>
      <c r="Q487" s="586">
        <f t="shared" si="259"/>
        <v>99.640842672009001</v>
      </c>
      <c r="R487" s="587">
        <f t="shared" si="260"/>
        <v>1.560760113120083</v>
      </c>
      <c r="S487" s="574">
        <f t="shared" si="238"/>
        <v>1.0224033832994932</v>
      </c>
      <c r="T487" s="577">
        <f t="shared" si="239"/>
        <v>0.20972823764157855</v>
      </c>
      <c r="U487" s="578">
        <f t="shared" si="251"/>
        <v>0.55034052569788894</v>
      </c>
      <c r="V487" s="579">
        <f t="shared" si="252"/>
        <v>-1.3495765122269541</v>
      </c>
      <c r="W487" s="580">
        <f t="shared" si="240"/>
        <v>-27.971282489583107</v>
      </c>
      <c r="X487" s="581">
        <f t="shared" si="241"/>
        <v>-181.98919900947706</v>
      </c>
      <c r="Y487" s="584">
        <f t="shared" si="242"/>
        <v>-1.989199009477062</v>
      </c>
      <c r="AA487" s="147">
        <f t="shared" si="243"/>
        <v>59570</v>
      </c>
      <c r="AB487" s="147">
        <f t="shared" si="244"/>
        <v>3548584900</v>
      </c>
      <c r="AD487" s="583">
        <f t="shared" si="245"/>
        <v>17.02672430764316</v>
      </c>
      <c r="AE487" s="584">
        <f t="shared" si="246"/>
        <v>-12.591552368061731</v>
      </c>
      <c r="AG487" s="583">
        <f t="shared" si="247"/>
        <v>-5.9959912879094155</v>
      </c>
      <c r="AH487" s="584">
        <f t="shared" si="248"/>
        <v>-14.747569903521427</v>
      </c>
      <c r="AJ487" s="147">
        <f t="shared" si="249"/>
        <v>0</v>
      </c>
      <c r="AK487" s="147">
        <f t="shared" si="261"/>
        <v>0</v>
      </c>
      <c r="AM487" s="147" t="str">
        <f t="shared" si="253"/>
        <v>1.81960883104345+0.572923523758262i</v>
      </c>
      <c r="AN487" s="147" t="str">
        <f t="shared" si="254"/>
        <v>2.53152425228002i</v>
      </c>
      <c r="AO487" s="147" t="str">
        <f t="shared" si="255"/>
        <v>0.226315637008912-0.718779932447662i</v>
      </c>
      <c r="AP487" s="147" t="str">
        <f t="shared" si="256"/>
        <v>-0.136601471840576-0.0954872539597103i</v>
      </c>
      <c r="AQ487" s="147" t="str">
        <f t="shared" si="257"/>
        <v>1.13660147184058+0.0954872539597103i</v>
      </c>
      <c r="AR487" s="147" t="str">
        <f t="shared" si="258"/>
        <v>0.727750235208297-0.0611391708089574i</v>
      </c>
    </row>
    <row r="488" spans="7:44">
      <c r="G488" s="585">
        <v>59913</v>
      </c>
      <c r="H488" s="573">
        <f t="shared" si="250"/>
        <v>59.912999999999997</v>
      </c>
      <c r="I488" s="574">
        <f t="shared" si="230"/>
        <v>169.23011381860695</v>
      </c>
      <c r="J488" s="575">
        <f t="shared" si="231"/>
        <v>1.5648871786112133</v>
      </c>
      <c r="K488" s="575">
        <f t="shared" si="232"/>
        <v>1.0034235325343503</v>
      </c>
      <c r="L488" s="576">
        <f t="shared" si="233"/>
        <v>8.2629218047898342E-2</v>
      </c>
      <c r="M488" s="575">
        <f t="shared" si="234"/>
        <v>1.0078615945943679</v>
      </c>
      <c r="N488" s="576">
        <f t="shared" si="235"/>
        <v>-0.12498346988090384</v>
      </c>
      <c r="O488" s="574">
        <f t="shared" si="236"/>
        <v>2484533.5738009415</v>
      </c>
      <c r="P488" s="577">
        <f t="shared" si="237"/>
        <v>1.5707959243048637</v>
      </c>
      <c r="Q488" s="586">
        <f t="shared" si="259"/>
        <v>100.21451023161487</v>
      </c>
      <c r="R488" s="587">
        <f t="shared" si="260"/>
        <v>1.5608175662957924</v>
      </c>
      <c r="S488" s="574">
        <f t="shared" si="238"/>
        <v>1.0226592535630186</v>
      </c>
      <c r="T488" s="577">
        <f t="shared" si="239"/>
        <v>0.2109004440334965</v>
      </c>
      <c r="U488" s="578">
        <f t="shared" si="251"/>
        <v>0.54785128871475552</v>
      </c>
      <c r="V488" s="579">
        <f t="shared" si="252"/>
        <v>-1.3550171813329339</v>
      </c>
      <c r="W488" s="580">
        <f t="shared" si="240"/>
        <v>-28.061596309418793</v>
      </c>
      <c r="X488" s="581">
        <f t="shared" si="241"/>
        <v>-182.38033963045771</v>
      </c>
      <c r="Y488" s="584">
        <f t="shared" si="242"/>
        <v>-2.380339630457712</v>
      </c>
      <c r="AA488" s="147">
        <f t="shared" si="243"/>
        <v>59913</v>
      </c>
      <c r="AB488" s="147">
        <f t="shared" si="244"/>
        <v>3589567569</v>
      </c>
      <c r="AD488" s="583">
        <f t="shared" si="245"/>
        <v>17.024545824118054</v>
      </c>
      <c r="AE488" s="584">
        <f t="shared" si="246"/>
        <v>-12.655423155405652</v>
      </c>
      <c r="AG488" s="583">
        <f t="shared" si="247"/>
        <v>-6.0053743535755419</v>
      </c>
      <c r="AH488" s="584">
        <f t="shared" si="248"/>
        <v>-14.451384981446042</v>
      </c>
      <c r="AJ488" s="147">
        <f t="shared" si="249"/>
        <v>0</v>
      </c>
      <c r="AK488" s="147">
        <f t="shared" si="261"/>
        <v>0</v>
      </c>
      <c r="AM488" s="147" t="str">
        <f t="shared" si="253"/>
        <v>1.82787259622581+0.560916183059766i</v>
      </c>
      <c r="AN488" s="147" t="str">
        <f t="shared" si="254"/>
        <v>2.54610059638833i</v>
      </c>
      <c r="AO488" s="147" t="str">
        <f t="shared" si="255"/>
        <v>0.220304014639261-0.717910595841604i</v>
      </c>
      <c r="AP488" s="147" t="str">
        <f t="shared" si="256"/>
        <v>-0.137978766037635-0.093486030509961i</v>
      </c>
      <c r="AQ488" s="147" t="str">
        <f t="shared" si="257"/>
        <v>1.13797876603764+0.093486030509961i</v>
      </c>
      <c r="AR488" s="147" t="str">
        <f t="shared" si="258"/>
        <v>0.727092612239055-0.0597313448721232i</v>
      </c>
    </row>
    <row r="489" spans="7:44">
      <c r="G489" s="585">
        <v>60256</v>
      </c>
      <c r="H489" s="573">
        <f t="shared" si="250"/>
        <v>60.256</v>
      </c>
      <c r="I489" s="574">
        <f t="shared" si="230"/>
        <v>170.19891704966335</v>
      </c>
      <c r="J489" s="575">
        <f t="shared" si="231"/>
        <v>1.5649208149469689</v>
      </c>
      <c r="K489" s="575">
        <f t="shared" si="232"/>
        <v>1.0034627761392316</v>
      </c>
      <c r="L489" s="576">
        <f t="shared" si="233"/>
        <v>8.3100099014215736E-2</v>
      </c>
      <c r="M489" s="575">
        <f t="shared" si="234"/>
        <v>1.0079515109274209</v>
      </c>
      <c r="N489" s="576">
        <f t="shared" si="235"/>
        <v>-0.12569150493874462</v>
      </c>
      <c r="O489" s="574">
        <f t="shared" si="236"/>
        <v>2498757.4486830803</v>
      </c>
      <c r="P489" s="577">
        <f t="shared" si="237"/>
        <v>1.5707959265959897</v>
      </c>
      <c r="Q489" s="586">
        <f t="shared" si="259"/>
        <v>100.7881781182499</v>
      </c>
      <c r="R489" s="587">
        <f t="shared" si="260"/>
        <v>1.5608743654457391</v>
      </c>
      <c r="S489" s="574">
        <f t="shared" si="238"/>
        <v>1.022916528325605</v>
      </c>
      <c r="T489" s="577">
        <f t="shared" si="239"/>
        <v>0.21207206238901244</v>
      </c>
      <c r="U489" s="578">
        <f t="shared" si="251"/>
        <v>0.5453729436553022</v>
      </c>
      <c r="V489" s="579">
        <f t="shared" si="252"/>
        <v>-1.3604464889916514</v>
      </c>
      <c r="W489" s="580">
        <f t="shared" si="240"/>
        <v>-28.151636416887463</v>
      </c>
      <c r="X489" s="581">
        <f t="shared" si="241"/>
        <v>-182.77080576071316</v>
      </c>
      <c r="Y489" s="584">
        <f t="shared" si="242"/>
        <v>-2.7708057607131593</v>
      </c>
      <c r="AA489" s="147">
        <f t="shared" si="243"/>
        <v>60256</v>
      </c>
      <c r="AB489" s="147">
        <f t="shared" si="244"/>
        <v>3630785536</v>
      </c>
      <c r="AD489" s="583">
        <f t="shared" si="245"/>
        <v>17.022356043343326</v>
      </c>
      <c r="AE489" s="584">
        <f t="shared" si="246"/>
        <v>-12.719297722149729</v>
      </c>
      <c r="AG489" s="583">
        <f t="shared" si="247"/>
        <v>-6.0144607161657415</v>
      </c>
      <c r="AH489" s="584">
        <f t="shared" si="248"/>
        <v>-14.155823715201375</v>
      </c>
      <c r="AJ489" s="147">
        <f t="shared" si="249"/>
        <v>0</v>
      </c>
      <c r="AK489" s="147">
        <f t="shared" si="261"/>
        <v>0</v>
      </c>
      <c r="AM489" s="147" t="str">
        <f t="shared" si="253"/>
        <v>1.83596046659135+0.548789666717919i</v>
      </c>
      <c r="AN489" s="147" t="str">
        <f t="shared" si="254"/>
        <v>2.56067694049664i</v>
      </c>
      <c r="AO489" s="147" t="str">
        <f t="shared" si="255"/>
        <v>0.214314292458728-0.71698246567381i</v>
      </c>
      <c r="AP489" s="147" t="str">
        <f t="shared" si="256"/>
        <v>-0.139326744431892-0.0914649444529865i</v>
      </c>
      <c r="AQ489" s="147" t="str">
        <f t="shared" si="257"/>
        <v>1.13932674443189+0.0914649444529865i</v>
      </c>
      <c r="AR489" s="147" t="str">
        <f t="shared" si="258"/>
        <v>0.726451672081847-0.0583194085098714i</v>
      </c>
    </row>
    <row r="490" spans="7:44">
      <c r="G490" s="585">
        <v>60607</v>
      </c>
      <c r="H490" s="573">
        <f t="shared" si="250"/>
        <v>60.606999999999999</v>
      </c>
      <c r="I490" s="574">
        <f t="shared" si="230"/>
        <v>171.19031647151721</v>
      </c>
      <c r="J490" s="575">
        <f t="shared" si="231"/>
        <v>1.5649548416700818</v>
      </c>
      <c r="K490" s="575">
        <f t="shared" si="232"/>
        <v>1.0035031653699344</v>
      </c>
      <c r="L490" s="576">
        <f t="shared" si="233"/>
        <v>8.3581924389604101E-2</v>
      </c>
      <c r="M490" s="575">
        <f t="shared" si="234"/>
        <v>1.0080440474552661</v>
      </c>
      <c r="N490" s="576">
        <f t="shared" si="235"/>
        <v>-0.12641592279549638</v>
      </c>
      <c r="O490" s="574">
        <f t="shared" si="236"/>
        <v>2513313.0757490592</v>
      </c>
      <c r="P490" s="577">
        <f t="shared" si="237"/>
        <v>1.5707959289137057</v>
      </c>
      <c r="Q490" s="586">
        <f t="shared" si="259"/>
        <v>101.37522634666976</v>
      </c>
      <c r="R490" s="587">
        <f t="shared" si="260"/>
        <v>1.5609318238557455</v>
      </c>
      <c r="S490" s="574">
        <f t="shared" si="238"/>
        <v>1.0231812565784335</v>
      </c>
      <c r="T490" s="577">
        <f t="shared" si="239"/>
        <v>0.21327039545940535</v>
      </c>
      <c r="U490" s="578">
        <f t="shared" si="251"/>
        <v>0.54284799697637842</v>
      </c>
      <c r="V490" s="579">
        <f t="shared" si="252"/>
        <v>-1.3659909697799639</v>
      </c>
      <c r="W490" s="580">
        <f t="shared" si="240"/>
        <v>-28.243496990333362</v>
      </c>
      <c r="X490" s="581">
        <f t="shared" si="241"/>
        <v>-183.1696976586683</v>
      </c>
      <c r="Y490" s="584">
        <f t="shared" si="242"/>
        <v>-3.1696976586682979</v>
      </c>
      <c r="AA490" s="147">
        <f t="shared" si="243"/>
        <v>60607</v>
      </c>
      <c r="AB490" s="147">
        <f t="shared" si="244"/>
        <v>3673208449</v>
      </c>
      <c r="AD490" s="583">
        <f t="shared" si="245"/>
        <v>17.020103509886631</v>
      </c>
      <c r="AE490" s="584">
        <f t="shared" si="246"/>
        <v>-12.784665158013336</v>
      </c>
      <c r="AG490" s="583">
        <f t="shared" si="247"/>
        <v>-6.0234548045838991</v>
      </c>
      <c r="AH490" s="584">
        <f t="shared" si="248"/>
        <v>-13.853997479043574</v>
      </c>
      <c r="AJ490" s="147">
        <f t="shared" si="249"/>
        <v>0</v>
      </c>
      <c r="AK490" s="147">
        <f t="shared" si="261"/>
        <v>0</v>
      </c>
      <c r="AM490" s="147" t="str">
        <f t="shared" si="253"/>
        <v>1.84405308633309+0.536259626908072i</v>
      </c>
      <c r="AN490" s="147" t="str">
        <f t="shared" si="254"/>
        <v>2.57559325764538i</v>
      </c>
      <c r="AO490" s="147" t="str">
        <f t="shared" si="255"/>
        <v>0.208208196428625-0.715972167134391i</v>
      </c>
      <c r="AP490" s="147" t="str">
        <f t="shared" si="256"/>
        <v>-0.140675514388848-0.0893766044846787i</v>
      </c>
      <c r="AQ490" s="147" t="str">
        <f t="shared" si="257"/>
        <v>1.14067551438885+0.0893766044846787i</v>
      </c>
      <c r="AR490" s="147" t="str">
        <f t="shared" si="258"/>
        <v>0.725812997718682-0.0568704249443787i</v>
      </c>
    </row>
    <row r="491" spans="7:44">
      <c r="G491" s="585">
        <v>60958</v>
      </c>
      <c r="H491" s="573">
        <f t="shared" si="250"/>
        <v>60.957999999999998</v>
      </c>
      <c r="I491" s="574">
        <f t="shared" si="230"/>
        <v>172.18171608929575</v>
      </c>
      <c r="J491" s="575">
        <f t="shared" si="231"/>
        <v>1.5649884765504631</v>
      </c>
      <c r="K491" s="575">
        <f t="shared" si="232"/>
        <v>1.0035437875508255</v>
      </c>
      <c r="L491" s="576">
        <f t="shared" si="233"/>
        <v>8.4063710869473118E-2</v>
      </c>
      <c r="M491" s="575">
        <f t="shared" si="234"/>
        <v>1.0081371128884318</v>
      </c>
      <c r="N491" s="576">
        <f t="shared" si="235"/>
        <v>-0.12714020728408165</v>
      </c>
      <c r="O491" s="574">
        <f t="shared" si="236"/>
        <v>2527868.7028150382</v>
      </c>
      <c r="P491" s="577">
        <f t="shared" si="237"/>
        <v>1.5707959312047306</v>
      </c>
      <c r="Q491" s="586">
        <f t="shared" si="259"/>
        <v>101.96227490592285</v>
      </c>
      <c r="R491" s="587">
        <f t="shared" si="260"/>
        <v>1.5609886206314885</v>
      </c>
      <c r="S491" s="574">
        <f t="shared" si="238"/>
        <v>1.0234474533604103</v>
      </c>
      <c r="T491" s="577">
        <f t="shared" si="239"/>
        <v>0.21446810688055842</v>
      </c>
      <c r="U491" s="578">
        <f t="shared" si="251"/>
        <v>0.54033430521936443</v>
      </c>
      <c r="V491" s="579">
        <f t="shared" si="252"/>
        <v>-1.3715241694777192</v>
      </c>
      <c r="W491" s="580">
        <f t="shared" si="240"/>
        <v>-28.335078563388187</v>
      </c>
      <c r="X491" s="581">
        <f t="shared" si="241"/>
        <v>-183.56791762337056</v>
      </c>
      <c r="Y491" s="584">
        <f t="shared" si="242"/>
        <v>-3.5679176233705618</v>
      </c>
      <c r="AA491" s="147">
        <f t="shared" si="243"/>
        <v>60958</v>
      </c>
      <c r="AB491" s="147">
        <f t="shared" si="244"/>
        <v>3715877764</v>
      </c>
      <c r="AD491" s="583">
        <f t="shared" si="245"/>
        <v>17.017839179659497</v>
      </c>
      <c r="AE491" s="584">
        <f t="shared" si="246"/>
        <v>-12.850034883320761</v>
      </c>
      <c r="AG491" s="583">
        <f t="shared" si="247"/>
        <v>-6.0321441112424479</v>
      </c>
      <c r="AH491" s="584">
        <f t="shared" si="248"/>
        <v>-13.552789737945004</v>
      </c>
      <c r="AJ491" s="147">
        <f t="shared" si="249"/>
        <v>0</v>
      </c>
      <c r="AK491" s="147">
        <f t="shared" si="261"/>
        <v>0</v>
      </c>
      <c r="AM491" s="147" t="str">
        <f t="shared" si="253"/>
        <v>1.85195791068474+0.523610273411151i</v>
      </c>
      <c r="AN491" s="147" t="str">
        <f t="shared" si="254"/>
        <v>2.59050957479411i</v>
      </c>
      <c r="AO491" s="147" t="str">
        <f t="shared" si="255"/>
        <v>0.202126360970029-0.714901009710389i</v>
      </c>
      <c r="AP491" s="147" t="str">
        <f t="shared" si="256"/>
        <v>-0.141992985114123-0.0872683789018585i</v>
      </c>
      <c r="AQ491" s="147" t="str">
        <f t="shared" si="257"/>
        <v>1.14199298511412+0.0872683789018585i</v>
      </c>
      <c r="AR491" s="147" t="str">
        <f t="shared" si="258"/>
        <v>0.725191680320547-0.0554174177596762i</v>
      </c>
    </row>
    <row r="492" spans="7:44">
      <c r="G492" s="585">
        <v>61309</v>
      </c>
      <c r="H492" s="573">
        <f t="shared" si="250"/>
        <v>61.308999999999997</v>
      </c>
      <c r="I492" s="574">
        <f t="shared" si="230"/>
        <v>173.1731158996341</v>
      </c>
      <c r="J492" s="575">
        <f t="shared" si="231"/>
        <v>1.5650217263178245</v>
      </c>
      <c r="K492" s="575">
        <f t="shared" si="232"/>
        <v>1.0035846426536172</v>
      </c>
      <c r="L492" s="576">
        <f t="shared" si="233"/>
        <v>8.4545458234896689E-2</v>
      </c>
      <c r="M492" s="575">
        <f t="shared" si="234"/>
        <v>1.008230707080455</v>
      </c>
      <c r="N492" s="576">
        <f t="shared" si="235"/>
        <v>-0.12786435768163612</v>
      </c>
      <c r="O492" s="574">
        <f t="shared" si="236"/>
        <v>2542424.3298810166</v>
      </c>
      <c r="P492" s="577">
        <f t="shared" si="237"/>
        <v>1.5707959334695227</v>
      </c>
      <c r="Q492" s="586">
        <f t="shared" si="259"/>
        <v>102.54932379032758</v>
      </c>
      <c r="R492" s="587">
        <f t="shared" si="260"/>
        <v>1.5610447671352761</v>
      </c>
      <c r="S492" s="574">
        <f t="shared" si="238"/>
        <v>1.0237151175259502</v>
      </c>
      <c r="T492" s="577">
        <f t="shared" si="239"/>
        <v>0.21566519370249562</v>
      </c>
      <c r="U492" s="578">
        <f t="shared" si="251"/>
        <v>0.53783178973887291</v>
      </c>
      <c r="V492" s="579">
        <f t="shared" si="252"/>
        <v>-1.3770463983910077</v>
      </c>
      <c r="W492" s="580">
        <f t="shared" si="240"/>
        <v>-28.426384960241986</v>
      </c>
      <c r="X492" s="581">
        <f t="shared" si="241"/>
        <v>-183.96548297075256</v>
      </c>
      <c r="Y492" s="584">
        <f t="shared" si="242"/>
        <v>-3.9654829707525607</v>
      </c>
      <c r="AA492" s="147">
        <f t="shared" si="243"/>
        <v>61309</v>
      </c>
      <c r="AB492" s="147">
        <f t="shared" si="244"/>
        <v>3758793481</v>
      </c>
      <c r="AD492" s="583">
        <f t="shared" si="245"/>
        <v>17.015563069861788</v>
      </c>
      <c r="AE492" s="584">
        <f t="shared" si="246"/>
        <v>-12.915406078064768</v>
      </c>
      <c r="AG492" s="583">
        <f t="shared" si="247"/>
        <v>-6.0405314902431808</v>
      </c>
      <c r="AH492" s="584">
        <f t="shared" si="248"/>
        <v>-13.252183069386835</v>
      </c>
      <c r="AJ492" s="147">
        <f t="shared" si="249"/>
        <v>0</v>
      </c>
      <c r="AK492" s="147">
        <f t="shared" si="261"/>
        <v>0</v>
      </c>
      <c r="AM492" s="147" t="str">
        <f t="shared" si="253"/>
        <v>1.85967318088302+0.510844420612057i</v>
      </c>
      <c r="AN492" s="147" t="str">
        <f t="shared" si="254"/>
        <v>2.60542589194285i</v>
      </c>
      <c r="AO492" s="147" t="str">
        <f t="shared" si="255"/>
        <v>0.196069449602009-0.713769363632244i</v>
      </c>
      <c r="AP492" s="147" t="str">
        <f t="shared" si="256"/>
        <v>-0.143278863480504-0.0851407367686762i</v>
      </c>
      <c r="AQ492" s="147" t="str">
        <f t="shared" si="257"/>
        <v>1.1432788634805+0.0851407367686762i</v>
      </c>
      <c r="AR492" s="147" t="str">
        <f t="shared" si="258"/>
        <v>0.724587664143286-0.0539605248983995i</v>
      </c>
    </row>
    <row r="493" spans="7:44">
      <c r="G493" s="585">
        <v>61660</v>
      </c>
      <c r="H493" s="573">
        <f t="shared" si="250"/>
        <v>61.66</v>
      </c>
      <c r="I493" s="574">
        <f t="shared" si="230"/>
        <v>174.16451589924384</v>
      </c>
      <c r="J493" s="575">
        <f t="shared" si="231"/>
        <v>1.5650545975486509</v>
      </c>
      <c r="K493" s="575">
        <f t="shared" si="232"/>
        <v>1.0036257306498648</v>
      </c>
      <c r="L493" s="576">
        <f t="shared" si="233"/>
        <v>8.5027166267056975E-2</v>
      </c>
      <c r="M493" s="575">
        <f t="shared" si="234"/>
        <v>1.0083248298840954</v>
      </c>
      <c r="N493" s="576">
        <f t="shared" si="235"/>
        <v>-0.1285883732661256</v>
      </c>
      <c r="O493" s="574">
        <f t="shared" si="236"/>
        <v>2556979.9569469956</v>
      </c>
      <c r="P493" s="577">
        <f t="shared" si="237"/>
        <v>1.5707959357085304</v>
      </c>
      <c r="Q493" s="586">
        <f t="shared" si="259"/>
        <v>103.13637299433165</v>
      </c>
      <c r="R493" s="587">
        <f t="shared" si="260"/>
        <v>1.5611002744707381</v>
      </c>
      <c r="S493" s="574">
        <f t="shared" si="238"/>
        <v>1.0239842479243537</v>
      </c>
      <c r="T493" s="577">
        <f t="shared" si="239"/>
        <v>0.21686165298547744</v>
      </c>
      <c r="U493" s="578">
        <f t="shared" si="251"/>
        <v>0.53534037043723426</v>
      </c>
      <c r="V493" s="579">
        <f t="shared" si="252"/>
        <v>-1.382557965837039</v>
      </c>
      <c r="W493" s="580">
        <f t="shared" si="240"/>
        <v>-28.517419983619419</v>
      </c>
      <c r="X493" s="581">
        <f t="shared" si="241"/>
        <v>-184.36241096675758</v>
      </c>
      <c r="Y493" s="584">
        <f t="shared" si="242"/>
        <v>-4.3624109667575794</v>
      </c>
      <c r="AA493" s="147">
        <f t="shared" si="243"/>
        <v>61660</v>
      </c>
      <c r="AB493" s="147">
        <f t="shared" si="244"/>
        <v>3801955600</v>
      </c>
      <c r="AD493" s="583">
        <f t="shared" si="245"/>
        <v>17.013275197825376</v>
      </c>
      <c r="AE493" s="584">
        <f t="shared" si="246"/>
        <v>-12.980777937645273</v>
      </c>
      <c r="AG493" s="583">
        <f t="shared" si="247"/>
        <v>-6.0486197025005399</v>
      </c>
      <c r="AH493" s="584">
        <f t="shared" si="248"/>
        <v>-12.952160098771078</v>
      </c>
      <c r="AJ493" s="147">
        <f t="shared" si="249"/>
        <v>0</v>
      </c>
      <c r="AK493" s="147">
        <f t="shared" si="261"/>
        <v>0</v>
      </c>
      <c r="AM493" s="147" t="str">
        <f t="shared" si="253"/>
        <v>1.86719718033902+0.497964908815921i</v>
      </c>
      <c r="AN493" s="147" t="str">
        <f t="shared" si="254"/>
        <v>2.62034220909159i</v>
      </c>
      <c r="AO493" s="147" t="str">
        <f t="shared" si="255"/>
        <v>0.190038120627211-0.712577606795233i</v>
      </c>
      <c r="AP493" s="147" t="str">
        <f t="shared" si="256"/>
        <v>-0.144532863389837-0.0829941514693202i</v>
      </c>
      <c r="AQ493" s="147" t="str">
        <f t="shared" si="257"/>
        <v>1.14453286338984+0.0829941514693202i</v>
      </c>
      <c r="AR493" s="147" t="str">
        <f t="shared" si="258"/>
        <v>0.7240008944906-0.0524998816751404i</v>
      </c>
    </row>
    <row r="494" spans="7:44">
      <c r="G494" s="585">
        <v>62019</v>
      </c>
      <c r="H494" s="573">
        <f t="shared" si="250"/>
        <v>62.018999999999998</v>
      </c>
      <c r="I494" s="574">
        <f t="shared" si="230"/>
        <v>175.17851210268267</v>
      </c>
      <c r="J494" s="575">
        <f t="shared" si="231"/>
        <v>1.5650878331037039</v>
      </c>
      <c r="K494" s="575">
        <f t="shared" si="232"/>
        <v>1.0036679960109625</v>
      </c>
      <c r="L494" s="576">
        <f t="shared" si="233"/>
        <v>8.551981248349734E-2</v>
      </c>
      <c r="M494" s="575">
        <f t="shared" si="234"/>
        <v>1.0084216446036476</v>
      </c>
      <c r="N494" s="576">
        <f t="shared" si="235"/>
        <v>-0.12932875042153713</v>
      </c>
      <c r="O494" s="574">
        <f t="shared" si="236"/>
        <v>2571867.3361968142</v>
      </c>
      <c r="P494" s="577">
        <f t="shared" si="237"/>
        <v>1.5707959379723528</v>
      </c>
      <c r="Q494" s="586">
        <f t="shared" si="259"/>
        <v>103.73680256212685</v>
      </c>
      <c r="R494" s="587">
        <f t="shared" si="260"/>
        <v>1.5611563970543407</v>
      </c>
      <c r="S494" s="574">
        <f t="shared" si="238"/>
        <v>1.0242610278855333</v>
      </c>
      <c r="T494" s="577">
        <f t="shared" si="239"/>
        <v>0.21808472978608512</v>
      </c>
      <c r="U494" s="578">
        <f t="shared" si="251"/>
        <v>0.53280356011692531</v>
      </c>
      <c r="V494" s="579">
        <f t="shared" si="252"/>
        <v>-1.3881844457098653</v>
      </c>
      <c r="W494" s="580">
        <f t="shared" si="240"/>
        <v>-28.610253099926382</v>
      </c>
      <c r="X494" s="581">
        <f t="shared" si="241"/>
        <v>-184.76774439296804</v>
      </c>
      <c r="Y494" s="584">
        <f t="shared" si="242"/>
        <v>-4.7677443929680408</v>
      </c>
      <c r="AA494" s="147">
        <f t="shared" si="243"/>
        <v>62019</v>
      </c>
      <c r="AB494" s="147">
        <f t="shared" si="244"/>
        <v>3846356361</v>
      </c>
      <c r="AD494" s="583">
        <f t="shared" si="245"/>
        <v>17.010923031336709</v>
      </c>
      <c r="AE494" s="584">
        <f t="shared" si="246"/>
        <v>-13.047639618948525</v>
      </c>
      <c r="AG494" s="583">
        <f t="shared" si="247"/>
        <v>-6.056585570697008</v>
      </c>
      <c r="AH494" s="584">
        <f t="shared" si="248"/>
        <v>-12.645884742485029</v>
      </c>
      <c r="AJ494" s="147">
        <f t="shared" si="249"/>
        <v>0</v>
      </c>
      <c r="AK494" s="147">
        <f t="shared" si="261"/>
        <v>0</v>
      </c>
      <c r="AM494" s="147" t="str">
        <f t="shared" si="253"/>
        <v>1.87469306276773+0.484677259571778i</v>
      </c>
      <c r="AN494" s="147" t="str">
        <f t="shared" si="254"/>
        <v>2.63559849928075i</v>
      </c>
      <c r="AO494" s="147" t="str">
        <f t="shared" si="255"/>
        <v>0.183896469702819-0.711296907810249i</v>
      </c>
      <c r="AP494" s="147" t="str">
        <f t="shared" si="256"/>
        <v>-0.145782177127955-0.080779543261963i</v>
      </c>
      <c r="AQ494" s="147" t="str">
        <f t="shared" si="257"/>
        <v>1.14578217712796+0.080779543261963i</v>
      </c>
      <c r="AR494" s="147" t="str">
        <f t="shared" si="258"/>
        <v>0.723418535930763-0.0510022062537274i</v>
      </c>
    </row>
    <row r="495" spans="7:44">
      <c r="G495" s="585">
        <v>62378</v>
      </c>
      <c r="H495" s="573">
        <f t="shared" si="250"/>
        <v>62.378</v>
      </c>
      <c r="I495" s="574">
        <f t="shared" si="230"/>
        <v>176.19250849739683</v>
      </c>
      <c r="J495" s="575">
        <f t="shared" si="231"/>
        <v>1.5651206861143445</v>
      </c>
      <c r="K495" s="575">
        <f t="shared" si="232"/>
        <v>1.003710504942029</v>
      </c>
      <c r="L495" s="576">
        <f t="shared" si="233"/>
        <v>8.6012417090591736E-2</v>
      </c>
      <c r="M495" s="575">
        <f t="shared" si="234"/>
        <v>1.0085190119916205</v>
      </c>
      <c r="N495" s="576">
        <f t="shared" si="235"/>
        <v>-0.13006898502334194</v>
      </c>
      <c r="O495" s="574">
        <f t="shared" si="236"/>
        <v>2586754.7154466333</v>
      </c>
      <c r="P495" s="577">
        <f t="shared" si="237"/>
        <v>1.5707959402101177</v>
      </c>
      <c r="Q495" s="586">
        <f t="shared" si="259"/>
        <v>104.33723245290584</v>
      </c>
      <c r="R495" s="587">
        <f t="shared" si="260"/>
        <v>1.5612118737004019</v>
      </c>
      <c r="S495" s="574">
        <f t="shared" si="238"/>
        <v>1.0245393392268622</v>
      </c>
      <c r="T495" s="577">
        <f t="shared" si="239"/>
        <v>0.21930714392826031</v>
      </c>
      <c r="U495" s="578">
        <f t="shared" si="251"/>
        <v>0.53027818364211077</v>
      </c>
      <c r="V495" s="579">
        <f t="shared" si="252"/>
        <v>-1.3938004240313755</v>
      </c>
      <c r="W495" s="580">
        <f t="shared" si="240"/>
        <v>-28.702810314321109</v>
      </c>
      <c r="X495" s="581">
        <f t="shared" si="241"/>
        <v>-185.1724474632191</v>
      </c>
      <c r="Y495" s="584">
        <f t="shared" si="242"/>
        <v>-5.1724474632191004</v>
      </c>
      <c r="AA495" s="147">
        <f t="shared" si="243"/>
        <v>62378</v>
      </c>
      <c r="AB495" s="147">
        <f t="shared" si="244"/>
        <v>3891014884</v>
      </c>
      <c r="AD495" s="583">
        <f t="shared" si="245"/>
        <v>17.0085585974163</v>
      </c>
      <c r="AE495" s="584">
        <f t="shared" si="246"/>
        <v>-13.114500340722307</v>
      </c>
      <c r="AG495" s="583">
        <f t="shared" si="247"/>
        <v>-6.0642440296309097</v>
      </c>
      <c r="AH495" s="584">
        <f t="shared" si="248"/>
        <v>-12.340183378907973</v>
      </c>
      <c r="AJ495" s="147">
        <f t="shared" si="249"/>
        <v>0</v>
      </c>
      <c r="AK495" s="147">
        <f t="shared" si="261"/>
        <v>0</v>
      </c>
      <c r="AM495" s="147" t="str">
        <f t="shared" si="253"/>
        <v>1.8819853604947+0.471276801755648i</v>
      </c>
      <c r="AN495" s="147" t="str">
        <f t="shared" si="254"/>
        <v>2.65085478946992i</v>
      </c>
      <c r="AO495" s="147" t="str">
        <f t="shared" si="255"/>
        <v>0.177782956511883-0.709954150627403i</v>
      </c>
      <c r="AP495" s="147" t="str">
        <f t="shared" si="256"/>
        <v>-0.14699756008245-0.0785461336259413i</v>
      </c>
      <c r="AQ495" s="147" t="str">
        <f t="shared" si="257"/>
        <v>1.14699756008245+0.0785461336259413i</v>
      </c>
      <c r="AR495" s="147" t="str">
        <f t="shared" si="258"/>
        <v>0.7228541068105-0.0495008858270951i</v>
      </c>
    </row>
    <row r="496" spans="7:44">
      <c r="G496" s="585">
        <v>62737</v>
      </c>
      <c r="H496" s="573">
        <f t="shared" si="250"/>
        <v>62.737000000000002</v>
      </c>
      <c r="I496" s="574">
        <f t="shared" si="230"/>
        <v>177.20650508010283</v>
      </c>
      <c r="J496" s="575">
        <f t="shared" si="231"/>
        <v>1.5651531631473938</v>
      </c>
      <c r="K496" s="575">
        <f t="shared" si="232"/>
        <v>1.0037532574121188</v>
      </c>
      <c r="L496" s="576">
        <f t="shared" si="233"/>
        <v>8.6504979854571687E-2</v>
      </c>
      <c r="M496" s="575">
        <f t="shared" si="234"/>
        <v>1.0086169318879579</v>
      </c>
      <c r="N496" s="576">
        <f t="shared" si="235"/>
        <v>-0.13080907630172334</v>
      </c>
      <c r="O496" s="574">
        <f t="shared" si="236"/>
        <v>2601642.0946964524</v>
      </c>
      <c r="P496" s="577">
        <f t="shared" si="237"/>
        <v>1.5707959424222722</v>
      </c>
      <c r="Q496" s="586">
        <f t="shared" si="259"/>
        <v>104.93766266112448</v>
      </c>
      <c r="R496" s="587">
        <f t="shared" si="260"/>
        <v>1.5612667154963142</v>
      </c>
      <c r="S496" s="574">
        <f t="shared" si="238"/>
        <v>1.0248191807007048</v>
      </c>
      <c r="T496" s="577">
        <f t="shared" si="239"/>
        <v>0.22052889230007602</v>
      </c>
      <c r="U496" s="578">
        <f t="shared" si="251"/>
        <v>0.5277641509505252</v>
      </c>
      <c r="V496" s="579">
        <f t="shared" si="252"/>
        <v>-1.3994062286726368</v>
      </c>
      <c r="W496" s="580">
        <f t="shared" si="240"/>
        <v>-28.79509563312002</v>
      </c>
      <c r="X496" s="581">
        <f t="shared" si="241"/>
        <v>-185.57653849514156</v>
      </c>
      <c r="Y496" s="584">
        <f t="shared" si="242"/>
        <v>-5.5765384951415626</v>
      </c>
      <c r="AA496" s="147">
        <f t="shared" si="243"/>
        <v>62737</v>
      </c>
      <c r="AB496" s="147">
        <f t="shared" si="244"/>
        <v>3935931169</v>
      </c>
      <c r="AD496" s="583">
        <f t="shared" si="245"/>
        <v>17.006181915021553</v>
      </c>
      <c r="AE496" s="584">
        <f t="shared" si="246"/>
        <v>-13.18135928943115</v>
      </c>
      <c r="AG496" s="583">
        <f t="shared" si="247"/>
        <v>-6.0715977402525878</v>
      </c>
      <c r="AH496" s="584">
        <f t="shared" si="248"/>
        <v>-12.035037567949354</v>
      </c>
      <c r="AJ496" s="147">
        <f t="shared" si="249"/>
        <v>0</v>
      </c>
      <c r="AK496" s="147">
        <f t="shared" si="261"/>
        <v>0</v>
      </c>
      <c r="AM496" s="147" t="str">
        <f t="shared" si="253"/>
        <v>1.88907237623854+0.457766654322441i</v>
      </c>
      <c r="AN496" s="147" t="str">
        <f t="shared" si="254"/>
        <v>2.66611107965908i</v>
      </c>
      <c r="AO496" s="147" t="str">
        <f t="shared" si="255"/>
        <v>0.171698267868485-0.708549763980614i</v>
      </c>
      <c r="AP496" s="147" t="str">
        <f t="shared" si="256"/>
        <v>-0.148178729373089-0.0762944423870735i</v>
      </c>
      <c r="AQ496" s="147" t="str">
        <f t="shared" si="257"/>
        <v>1.14817872937309+0.0762944423870735i</v>
      </c>
      <c r="AR496" s="147" t="str">
        <f t="shared" si="258"/>
        <v>0.722307552269778-0.0479960571665388i</v>
      </c>
    </row>
    <row r="497" spans="7:44">
      <c r="G497" s="585">
        <v>63096</v>
      </c>
      <c r="H497" s="573">
        <f t="shared" si="250"/>
        <v>63.095999999999997</v>
      </c>
      <c r="I497" s="574">
        <f t="shared" si="230"/>
        <v>178.22050184759183</v>
      </c>
      <c r="J497" s="575">
        <f t="shared" si="231"/>
        <v>1.5651852706202278</v>
      </c>
      <c r="K497" s="575">
        <f t="shared" si="232"/>
        <v>1.003796253390115</v>
      </c>
      <c r="L497" s="576">
        <f t="shared" si="233"/>
        <v>8.6997500541789688E-2</v>
      </c>
      <c r="M497" s="575">
        <f t="shared" si="234"/>
        <v>1.0087154041317572</v>
      </c>
      <c r="N497" s="576">
        <f t="shared" si="235"/>
        <v>-0.13154902348779088</v>
      </c>
      <c r="O497" s="574">
        <f t="shared" si="236"/>
        <v>2616529.473946271</v>
      </c>
      <c r="P497" s="577">
        <f t="shared" si="237"/>
        <v>1.5707959446092534</v>
      </c>
      <c r="Q497" s="586">
        <f t="shared" si="259"/>
        <v>105.5380931813648</v>
      </c>
      <c r="R497" s="587">
        <f t="shared" si="260"/>
        <v>1.5613209332771714</v>
      </c>
      <c r="S497" s="574">
        <f t="shared" si="238"/>
        <v>1.0251005510539315</v>
      </c>
      <c r="T497" s="577">
        <f t="shared" si="239"/>
        <v>0.22174997180094422</v>
      </c>
      <c r="U497" s="578">
        <f t="shared" si="251"/>
        <v>0.52526137062172062</v>
      </c>
      <c r="V497" s="579">
        <f t="shared" si="252"/>
        <v>-1.4050021865119644</v>
      </c>
      <c r="W497" s="580">
        <f t="shared" si="240"/>
        <v>-28.887113044004874</v>
      </c>
      <c r="X497" s="581">
        <f t="shared" si="241"/>
        <v>-185.98003575607407</v>
      </c>
      <c r="Y497" s="584">
        <f t="shared" si="242"/>
        <v>-5.9800357560740736</v>
      </c>
      <c r="AA497" s="147">
        <f t="shared" si="243"/>
        <v>63096</v>
      </c>
      <c r="AB497" s="147">
        <f t="shared" si="244"/>
        <v>3981105216</v>
      </c>
      <c r="AD497" s="583">
        <f t="shared" si="245"/>
        <v>17.003793003244262</v>
      </c>
      <c r="AE497" s="584">
        <f t="shared" si="246"/>
        <v>-13.24821566664434</v>
      </c>
      <c r="AG497" s="583">
        <f t="shared" si="247"/>
        <v>-6.0786492677177932</v>
      </c>
      <c r="AH497" s="584">
        <f t="shared" si="248"/>
        <v>-11.730428917882662</v>
      </c>
      <c r="AJ497" s="147">
        <f t="shared" si="249"/>
        <v>0</v>
      </c>
      <c r="AK497" s="147">
        <f t="shared" si="261"/>
        <v>0</v>
      </c>
      <c r="AM497" s="147" t="str">
        <f t="shared" si="253"/>
        <v>1.89595246049721+0.444149961757277i</v>
      </c>
      <c r="AN497" s="147" t="str">
        <f t="shared" si="254"/>
        <v>2.68136736984825i</v>
      </c>
      <c r="AO497" s="147" t="str">
        <f t="shared" si="255"/>
        <v>0.165643084476863-0.70708418466527i</v>
      </c>
      <c r="AP497" s="147" t="str">
        <f t="shared" si="256"/>
        <v>-0.149325410082869-0.0740249936262128i</v>
      </c>
      <c r="AQ497" s="147" t="str">
        <f t="shared" si="257"/>
        <v>1.14932541008287+0.0740249936262128i</v>
      </c>
      <c r="AR497" s="147" t="str">
        <f t="shared" si="258"/>
        <v>0.721778818764429-0.0464878545186953i</v>
      </c>
    </row>
    <row r="498" spans="7:44">
      <c r="G498" s="585">
        <v>63463.25</v>
      </c>
      <c r="H498" s="573">
        <f t="shared" si="250"/>
        <v>63.463250000000002</v>
      </c>
      <c r="I498" s="574">
        <f t="shared" si="230"/>
        <v>179.25780095714035</v>
      </c>
      <c r="J498" s="575">
        <f t="shared" si="231"/>
        <v>1.5652177400809519</v>
      </c>
      <c r="K498" s="575">
        <f t="shared" si="232"/>
        <v>1.0038404893707231</v>
      </c>
      <c r="L498" s="576">
        <f t="shared" si="233"/>
        <v>8.7501295819568531E-2</v>
      </c>
      <c r="M498" s="575">
        <f t="shared" si="234"/>
        <v>1.0088167106815829</v>
      </c>
      <c r="N498" s="576">
        <f t="shared" si="235"/>
        <v>-0.13230582513315001</v>
      </c>
      <c r="O498" s="574">
        <f t="shared" si="236"/>
        <v>2631758.9726356752</v>
      </c>
      <c r="P498" s="577">
        <f t="shared" si="237"/>
        <v>1.5707959468208905</v>
      </c>
      <c r="Q498" s="586">
        <f t="shared" si="259"/>
        <v>106.15232221335093</v>
      </c>
      <c r="R498" s="587">
        <f t="shared" si="260"/>
        <v>1.5613757623599931</v>
      </c>
      <c r="S498" s="574">
        <f t="shared" si="238"/>
        <v>1.0253899681113396</v>
      </c>
      <c r="T498" s="577">
        <f t="shared" si="239"/>
        <v>0.22299841699599782</v>
      </c>
      <c r="U498" s="578">
        <f t="shared" si="251"/>
        <v>0.52271262166871091</v>
      </c>
      <c r="V498" s="579">
        <f t="shared" si="252"/>
        <v>-1.4107168932475198</v>
      </c>
      <c r="W498" s="580">
        <f t="shared" si="240"/>
        <v>-28.980971986986425</v>
      </c>
      <c r="X498" s="581">
        <f t="shared" si="241"/>
        <v>-186.39221018606935</v>
      </c>
      <c r="Y498" s="584">
        <f t="shared" si="242"/>
        <v>-6.3922101860693488</v>
      </c>
      <c r="AA498" s="147">
        <f t="shared" si="243"/>
        <v>63463.25</v>
      </c>
      <c r="AB498" s="147">
        <f t="shared" si="244"/>
        <v>4027584100.5625</v>
      </c>
      <c r="AD498" s="583">
        <f t="shared" si="245"/>
        <v>17.00133655895354</v>
      </c>
      <c r="AE498" s="584">
        <f t="shared" si="246"/>
        <v>-13.316604959029659</v>
      </c>
      <c r="AG498" s="583">
        <f t="shared" si="247"/>
        <v>-6.085552739017154</v>
      </c>
      <c r="AH498" s="584">
        <f t="shared" si="248"/>
        <v>-11.419356900539745</v>
      </c>
      <c r="AJ498" s="147">
        <f t="shared" si="249"/>
        <v>0</v>
      </c>
      <c r="AK498" s="147">
        <f t="shared" si="261"/>
        <v>0</v>
      </c>
      <c r="AM498" s="147" t="str">
        <f t="shared" si="253"/>
        <v>1.90277486396884+0.430113409446908i</v>
      </c>
      <c r="AN498" s="147" t="str">
        <f t="shared" si="254"/>
        <v>2.69697425723535i</v>
      </c>
      <c r="AO498" s="147" t="str">
        <f t="shared" si="255"/>
        <v>0.159479983278674-0.705522071211522i</v>
      </c>
      <c r="AP498" s="147" t="str">
        <f t="shared" si="256"/>
        <v>-0.15046247732814-0.0716855682411513i</v>
      </c>
      <c r="AQ498" s="147" t="str">
        <f t="shared" si="257"/>
        <v>1.15046247732814+0.0716855682411513i</v>
      </c>
      <c r="AR498" s="147" t="str">
        <f t="shared" si="258"/>
        <v>0.721256320334919-0.0449416388536272i</v>
      </c>
    </row>
    <row r="499" spans="7:44">
      <c r="G499" s="585">
        <v>63830.5</v>
      </c>
      <c r="H499" s="573">
        <f t="shared" si="250"/>
        <v>63.830500000000001</v>
      </c>
      <c r="I499" s="574">
        <f t="shared" si="230"/>
        <v>180.29510025349964</v>
      </c>
      <c r="J499" s="575">
        <f t="shared" si="231"/>
        <v>1.5652498359259128</v>
      </c>
      <c r="K499" s="575">
        <f t="shared" si="232"/>
        <v>1.0038849801132745</v>
      </c>
      <c r="L499" s="576">
        <f t="shared" si="233"/>
        <v>8.8005046570226439E-2</v>
      </c>
      <c r="M499" s="575">
        <f t="shared" si="234"/>
        <v>1.008918594913671</v>
      </c>
      <c r="N499" s="576">
        <f t="shared" si="235"/>
        <v>-0.13306247436269658</v>
      </c>
      <c r="O499" s="574">
        <f t="shared" si="236"/>
        <v>2646988.4713250794</v>
      </c>
      <c r="P499" s="577">
        <f t="shared" si="237"/>
        <v>1.5707959490070782</v>
      </c>
      <c r="Q499" s="586">
        <f t="shared" si="259"/>
        <v>106.76655156078341</v>
      </c>
      <c r="R499" s="587">
        <f t="shared" si="260"/>
        <v>1.5614299605781354</v>
      </c>
      <c r="S499" s="574">
        <f t="shared" si="238"/>
        <v>1.0256809824539721</v>
      </c>
      <c r="T499" s="577">
        <f t="shared" si="239"/>
        <v>0.2242461556973355</v>
      </c>
      <c r="U499" s="578">
        <f t="shared" si="251"/>
        <v>0.52017545052630565</v>
      </c>
      <c r="V499" s="579">
        <f t="shared" si="252"/>
        <v>-1.4164219843475745</v>
      </c>
      <c r="W499" s="580">
        <f t="shared" si="240"/>
        <v>-29.074558954634284</v>
      </c>
      <c r="X499" s="581">
        <f t="shared" si="241"/>
        <v>-186.80380175787664</v>
      </c>
      <c r="Y499" s="584">
        <f t="shared" si="242"/>
        <v>-6.8038017578766414</v>
      </c>
      <c r="AA499" s="147">
        <f t="shared" si="243"/>
        <v>63830.5</v>
      </c>
      <c r="AB499" s="147">
        <f t="shared" si="244"/>
        <v>4074332730.25</v>
      </c>
      <c r="AD499" s="583">
        <f t="shared" si="245"/>
        <v>16.998867357585645</v>
      </c>
      <c r="AE499" s="584">
        <f t="shared" si="246"/>
        <v>-13.384989916732223</v>
      </c>
      <c r="AG499" s="583">
        <f t="shared" si="247"/>
        <v>-6.0921451085598664</v>
      </c>
      <c r="AH499" s="584">
        <f t="shared" si="248"/>
        <v>-11.108808230355873</v>
      </c>
      <c r="AJ499" s="147">
        <f t="shared" si="249"/>
        <v>0</v>
      </c>
      <c r="AK499" s="147">
        <f t="shared" si="261"/>
        <v>0</v>
      </c>
      <c r="AM499" s="147" t="str">
        <f t="shared" si="253"/>
        <v>1.90937737857598+0.415972094417739i</v>
      </c>
      <c r="AN499" s="147" t="str">
        <f t="shared" si="254"/>
        <v>2.71258114462246i</v>
      </c>
      <c r="AO499" s="147" t="str">
        <f t="shared" si="255"/>
        <v>0.153349180076099-0.703896870462738i</v>
      </c>
      <c r="AP499" s="147" t="str">
        <f t="shared" si="256"/>
        <v>-0.15156289642933-0.0693286824029565i</v>
      </c>
      <c r="AQ499" s="147" t="str">
        <f t="shared" si="257"/>
        <v>1.15156289642933+0.0693286824029565i</v>
      </c>
      <c r="AR499" s="147" t="str">
        <f t="shared" si="258"/>
        <v>0.720752362447204-0.0433921688361286i</v>
      </c>
    </row>
    <row r="500" spans="7:44">
      <c r="G500" s="585">
        <v>64197.75</v>
      </c>
      <c r="H500" s="573">
        <f t="shared" si="250"/>
        <v>64.197749999999999</v>
      </c>
      <c r="I500" s="574">
        <f t="shared" si="230"/>
        <v>181.33239973346377</v>
      </c>
      <c r="J500" s="575">
        <f t="shared" si="231"/>
        <v>1.5652815645667733</v>
      </c>
      <c r="K500" s="575">
        <f t="shared" si="232"/>
        <v>1.0039297255838993</v>
      </c>
      <c r="L500" s="576">
        <f t="shared" si="233"/>
        <v>8.8508752544031927E-2</v>
      </c>
      <c r="M500" s="575">
        <f t="shared" si="234"/>
        <v>1.0090210566530302</v>
      </c>
      <c r="N500" s="576">
        <f t="shared" si="235"/>
        <v>-0.13381897035634155</v>
      </c>
      <c r="O500" s="574">
        <f t="shared" si="236"/>
        <v>2662217.9700144827</v>
      </c>
      <c r="P500" s="577">
        <f t="shared" si="237"/>
        <v>1.5707959511682532</v>
      </c>
      <c r="Q500" s="586">
        <f t="shared" si="259"/>
        <v>107.38078121824904</v>
      </c>
      <c r="R500" s="587">
        <f t="shared" si="260"/>
        <v>1.56148353875712</v>
      </c>
      <c r="S500" s="574">
        <f t="shared" si="238"/>
        <v>1.025973592722633</v>
      </c>
      <c r="T500" s="577">
        <f t="shared" si="239"/>
        <v>0.22549318462271281</v>
      </c>
      <c r="U500" s="578">
        <f t="shared" si="251"/>
        <v>0.51764975525322154</v>
      </c>
      <c r="V500" s="579">
        <f t="shared" si="252"/>
        <v>-1.4221178066861047</v>
      </c>
      <c r="W500" s="580">
        <f t="shared" si="240"/>
        <v>-29.167878163035855</v>
      </c>
      <c r="X500" s="581">
        <f t="shared" si="241"/>
        <v>-187.21482987230249</v>
      </c>
      <c r="Y500" s="584">
        <f t="shared" si="242"/>
        <v>-7.214829872302488</v>
      </c>
      <c r="AA500" s="147">
        <f t="shared" si="243"/>
        <v>64197.75</v>
      </c>
      <c r="AB500" s="147">
        <f t="shared" si="244"/>
        <v>4121351105.0625</v>
      </c>
      <c r="AD500" s="583">
        <f t="shared" si="245"/>
        <v>16.996385420000578</v>
      </c>
      <c r="AE500" s="584">
        <f t="shared" si="246"/>
        <v>-13.453369731461617</v>
      </c>
      <c r="AG500" s="583">
        <f t="shared" si="247"/>
        <v>-6.0984288203018586</v>
      </c>
      <c r="AH500" s="584">
        <f t="shared" si="248"/>
        <v>-10.798763367598303</v>
      </c>
      <c r="AJ500" s="147">
        <f t="shared" si="249"/>
        <v>0</v>
      </c>
      <c r="AK500" s="147">
        <f t="shared" si="261"/>
        <v>0</v>
      </c>
      <c r="AM500" s="147" t="str">
        <f t="shared" si="253"/>
        <v>1.91575839614421+0.401729461069746i</v>
      </c>
      <c r="AN500" s="147" t="str">
        <f t="shared" si="254"/>
        <v>2.72818803200956i</v>
      </c>
      <c r="AO500" s="147" t="str">
        <f t="shared" si="255"/>
        <v>0.147251383099806-0.702209075645376i</v>
      </c>
      <c r="AP500" s="147" t="str">
        <f t="shared" si="256"/>
        <v>-0.152626399357368-0.066954910178291i</v>
      </c>
      <c r="AQ500" s="147" t="str">
        <f t="shared" si="257"/>
        <v>1.15262639935737+0.066954910178291i</v>
      </c>
      <c r="AR500" s="147" t="str">
        <f t="shared" si="258"/>
        <v>0.720266892295158-0.0418395805483082i</v>
      </c>
    </row>
    <row r="501" spans="7:44">
      <c r="G501" s="585">
        <v>64565</v>
      </c>
      <c r="H501" s="573">
        <f t="shared" si="250"/>
        <v>64.564999999999998</v>
      </c>
      <c r="I501" s="574">
        <f t="shared" si="230"/>
        <v>182.36969939389982</v>
      </c>
      <c r="J501" s="575">
        <f t="shared" si="231"/>
        <v>1.565312932269324</v>
      </c>
      <c r="K501" s="575">
        <f t="shared" si="232"/>
        <v>1.0039747257485385</v>
      </c>
      <c r="L501" s="576">
        <f t="shared" si="233"/>
        <v>8.9012413491388748E-2</v>
      </c>
      <c r="M501" s="575">
        <f t="shared" si="234"/>
        <v>1.0091240957237484</v>
      </c>
      <c r="N501" s="576">
        <f t="shared" si="235"/>
        <v>-0.13457531229502959</v>
      </c>
      <c r="O501" s="574">
        <f t="shared" si="236"/>
        <v>2677447.468703887</v>
      </c>
      <c r="P501" s="577">
        <f t="shared" si="237"/>
        <v>1.5707959533048426</v>
      </c>
      <c r="Q501" s="586">
        <f t="shared" si="259"/>
        <v>107.99501118045785</v>
      </c>
      <c r="R501" s="587">
        <f t="shared" si="260"/>
        <v>1.5615365074761975</v>
      </c>
      <c r="S501" s="574">
        <f t="shared" si="238"/>
        <v>1.0262677975522274</v>
      </c>
      <c r="T501" s="577">
        <f t="shared" si="239"/>
        <v>0.22673950050244826</v>
      </c>
      <c r="U501" s="578">
        <f t="shared" si="251"/>
        <v>0.51513543264298423</v>
      </c>
      <c r="V501" s="579">
        <f t="shared" si="252"/>
        <v>-1.4278047061626331</v>
      </c>
      <c r="W501" s="580">
        <f t="shared" si="240"/>
        <v>-29.260933812985712</v>
      </c>
      <c r="X501" s="581">
        <f t="shared" si="241"/>
        <v>-187.62531388084457</v>
      </c>
      <c r="Y501" s="584">
        <f t="shared" si="242"/>
        <v>-7.6253138808445726</v>
      </c>
      <c r="AA501" s="147">
        <f t="shared" si="243"/>
        <v>64565</v>
      </c>
      <c r="AB501" s="147">
        <f t="shared" si="244"/>
        <v>4168639225</v>
      </c>
      <c r="AD501" s="583">
        <f t="shared" si="245"/>
        <v>16.993890767195566</v>
      </c>
      <c r="AE501" s="584">
        <f t="shared" si="246"/>
        <v>-13.521743609756907</v>
      </c>
      <c r="AG501" s="583">
        <f t="shared" si="247"/>
        <v>-6.1044062191973625</v>
      </c>
      <c r="AH501" s="584">
        <f t="shared" si="248"/>
        <v>-10.48920282005998</v>
      </c>
      <c r="AJ501" s="147">
        <f t="shared" si="249"/>
        <v>0</v>
      </c>
      <c r="AK501" s="147">
        <f t="shared" si="261"/>
        <v>0</v>
      </c>
      <c r="AM501" s="147" t="str">
        <f t="shared" si="253"/>
        <v>1.92191636244915+0.387388978480972i</v>
      </c>
      <c r="AN501" s="147" t="str">
        <f t="shared" si="254"/>
        <v>2.74379491939667i</v>
      </c>
      <c r="AO501" s="147" t="str">
        <f t="shared" si="255"/>
        <v>0.14118729346075-0.700459188426429i</v>
      </c>
      <c r="AP501" s="147" t="str">
        <f t="shared" si="256"/>
        <v>-0.153652727074858-0.0645648297468287i</v>
      </c>
      <c r="AQ501" s="147" t="str">
        <f t="shared" si="257"/>
        <v>1.15365272707486+0.0645648297468287i</v>
      </c>
      <c r="AR501" s="147" t="str">
        <f t="shared" si="258"/>
        <v>0.719799858669444-0.0402840076880158i</v>
      </c>
    </row>
    <row r="502" spans="7:44">
      <c r="G502" s="585">
        <v>64941</v>
      </c>
      <c r="H502" s="573">
        <f t="shared" si="250"/>
        <v>64.941000000000003</v>
      </c>
      <c r="I502" s="574">
        <f t="shared" si="230"/>
        <v>183.43171366160743</v>
      </c>
      <c r="J502" s="575">
        <f t="shared" si="231"/>
        <v>1.5653446797843302</v>
      </c>
      <c r="K502" s="575">
        <f t="shared" si="232"/>
        <v>1.0040210619079801</v>
      </c>
      <c r="L502" s="576">
        <f t="shared" si="233"/>
        <v>8.9528027620481732E-2</v>
      </c>
      <c r="M502" s="575">
        <f t="shared" si="234"/>
        <v>1.0092301877193051</v>
      </c>
      <c r="N502" s="576">
        <f t="shared" si="235"/>
        <v>-0.13534951417529165</v>
      </c>
      <c r="O502" s="574">
        <f t="shared" si="236"/>
        <v>2693039.8213443658</v>
      </c>
      <c r="P502" s="577">
        <f t="shared" si="237"/>
        <v>1.5707959554673017</v>
      </c>
      <c r="Q502" s="586">
        <f t="shared" si="259"/>
        <v>108.6238759313262</v>
      </c>
      <c r="R502" s="587">
        <f t="shared" si="260"/>
        <v>1.5615901175956728</v>
      </c>
      <c r="S502" s="574">
        <f t="shared" si="238"/>
        <v>1.0265706625964102</v>
      </c>
      <c r="T502" s="577">
        <f t="shared" si="239"/>
        <v>0.22801476863765005</v>
      </c>
      <c r="U502" s="578">
        <f t="shared" si="251"/>
        <v>0.51257287774154014</v>
      </c>
      <c r="V502" s="579">
        <f t="shared" si="252"/>
        <v>-1.4336182161096309</v>
      </c>
      <c r="W502" s="580">
        <f t="shared" si="240"/>
        <v>-29.355937901363355</v>
      </c>
      <c r="X502" s="581">
        <f t="shared" si="241"/>
        <v>-188.04503442304937</v>
      </c>
      <c r="Y502" s="584">
        <f t="shared" si="242"/>
        <v>-8.0450344230493727</v>
      </c>
      <c r="AA502" s="147">
        <f t="shared" si="243"/>
        <v>64941</v>
      </c>
      <c r="AB502" s="147">
        <f t="shared" si="244"/>
        <v>4217333481</v>
      </c>
      <c r="AD502" s="583">
        <f t="shared" si="245"/>
        <v>16.991323526276897</v>
      </c>
      <c r="AE502" s="584">
        <f t="shared" si="246"/>
        <v>-13.591739582046138</v>
      </c>
      <c r="AG502" s="583">
        <f t="shared" si="247"/>
        <v>-6.110211033152031</v>
      </c>
      <c r="AH502" s="584">
        <f t="shared" si="248"/>
        <v>-10.172748220973734</v>
      </c>
      <c r="AJ502" s="147">
        <f t="shared" si="249"/>
        <v>0</v>
      </c>
      <c r="AK502" s="147">
        <f t="shared" si="261"/>
        <v>0</v>
      </c>
      <c r="AM502" s="147" t="str">
        <f t="shared" si="253"/>
        <v>1.92798839476868+0.372609097010063i</v>
      </c>
      <c r="AN502" s="147" t="str">
        <f t="shared" si="254"/>
        <v>2.75977365229674i</v>
      </c>
      <c r="AO502" s="147" t="str">
        <f t="shared" si="255"/>
        <v>0.135014368551555-0.698603812368514i</v>
      </c>
      <c r="AP502" s="147" t="str">
        <f t="shared" si="256"/>
        <v>-0.154664732461446-0.0621015161683438i</v>
      </c>
      <c r="AQ502" s="147" t="str">
        <f t="shared" si="257"/>
        <v>1.15466473246145+0.0621015161683438i</v>
      </c>
      <c r="AR502" s="147" t="str">
        <f t="shared" si="258"/>
        <v>0.71934074651909-0.0386884172908565i</v>
      </c>
    </row>
    <row r="503" spans="7:44">
      <c r="G503" s="585">
        <v>65317</v>
      </c>
      <c r="H503" s="573">
        <f t="shared" si="250"/>
        <v>65.316999999999993</v>
      </c>
      <c r="I503" s="574">
        <f t="shared" si="230"/>
        <v>184.49372811206817</v>
      </c>
      <c r="J503" s="575">
        <f t="shared" si="231"/>
        <v>1.5653760617983825</v>
      </c>
      <c r="K503" s="575">
        <f t="shared" si="232"/>
        <v>1.0040676649697053</v>
      </c>
      <c r="L503" s="576">
        <f t="shared" si="233"/>
        <v>9.0043594022930898E-2</v>
      </c>
      <c r="M503" s="575">
        <f t="shared" si="234"/>
        <v>1.0093368845085031</v>
      </c>
      <c r="N503" s="576">
        <f t="shared" si="235"/>
        <v>-0.13612355283798713</v>
      </c>
      <c r="O503" s="574">
        <f t="shared" si="236"/>
        <v>2708632.1739848447</v>
      </c>
      <c r="P503" s="577">
        <f t="shared" si="237"/>
        <v>1.5707959576048642</v>
      </c>
      <c r="Q503" s="586">
        <f t="shared" si="259"/>
        <v>109.25274099079047</v>
      </c>
      <c r="R503" s="587">
        <f t="shared" si="260"/>
        <v>1.5616431105494382</v>
      </c>
      <c r="S503" s="574">
        <f t="shared" si="238"/>
        <v>1.026875196175117</v>
      </c>
      <c r="T503" s="577">
        <f t="shared" si="239"/>
        <v>0.2292892824489266</v>
      </c>
      <c r="U503" s="578">
        <f t="shared" si="251"/>
        <v>0.51002202109276762</v>
      </c>
      <c r="V503" s="579">
        <f t="shared" si="252"/>
        <v>-1.4394231037392897</v>
      </c>
      <c r="W503" s="580">
        <f t="shared" si="240"/>
        <v>-29.450674590622352</v>
      </c>
      <c r="X503" s="581">
        <f t="shared" si="241"/>
        <v>-188.46422552404258</v>
      </c>
      <c r="Y503" s="584">
        <f t="shared" si="242"/>
        <v>-8.4642255240425754</v>
      </c>
      <c r="AA503" s="147">
        <f t="shared" si="243"/>
        <v>65317</v>
      </c>
      <c r="AB503" s="147">
        <f t="shared" si="244"/>
        <v>4266310489</v>
      </c>
      <c r="AD503" s="583">
        <f t="shared" si="245"/>
        <v>16.988743001995957</v>
      </c>
      <c r="AE503" s="584">
        <f t="shared" si="246"/>
        <v>-13.661727694322007</v>
      </c>
      <c r="AG503" s="583">
        <f t="shared" si="247"/>
        <v>-6.1156994265017488</v>
      </c>
      <c r="AH503" s="584">
        <f t="shared" si="248"/>
        <v>-9.8567600854766511</v>
      </c>
      <c r="AJ503" s="147">
        <f t="shared" si="249"/>
        <v>0</v>
      </c>
      <c r="AK503" s="147">
        <f t="shared" si="261"/>
        <v>0</v>
      </c>
      <c r="AM503" s="147" t="str">
        <f t="shared" si="253"/>
        <v>1.93382349822045+0.357734083043997i</v>
      </c>
      <c r="AN503" s="147" t="str">
        <f t="shared" si="254"/>
        <v>2.77575238519681i</v>
      </c>
      <c r="AO503" s="147" t="str">
        <f t="shared" si="255"/>
        <v>0.128878240347304-0.696684440778508i</v>
      </c>
      <c r="AP503" s="147" t="str">
        <f t="shared" si="256"/>
        <v>-0.155637249703408-0.0596223471739995i</v>
      </c>
      <c r="AQ503" s="147" t="str">
        <f t="shared" si="257"/>
        <v>1.15563724970341+0.0596223471739995i</v>
      </c>
      <c r="AR503" s="147" t="str">
        <f t="shared" si="258"/>
        <v>0.718900856527376-0.037089974784528i</v>
      </c>
    </row>
    <row r="504" spans="7:44">
      <c r="G504" s="585">
        <v>65693</v>
      </c>
      <c r="H504" s="573">
        <f t="shared" si="250"/>
        <v>65.692999999999998</v>
      </c>
      <c r="I504" s="574">
        <f t="shared" si="230"/>
        <v>185.55574274214422</v>
      </c>
      <c r="J504" s="575">
        <f t="shared" si="231"/>
        <v>1.5654070845871719</v>
      </c>
      <c r="K504" s="575">
        <f t="shared" si="232"/>
        <v>1.0041145348965514</v>
      </c>
      <c r="L504" s="576">
        <f t="shared" si="233"/>
        <v>9.0559112431316591E-2</v>
      </c>
      <c r="M504" s="575">
        <f t="shared" si="234"/>
        <v>1.0094441858995655</v>
      </c>
      <c r="N504" s="576">
        <f t="shared" si="235"/>
        <v>-0.13689742740751071</v>
      </c>
      <c r="O504" s="574">
        <f t="shared" si="236"/>
        <v>2724224.5266253236</v>
      </c>
      <c r="P504" s="577">
        <f t="shared" si="237"/>
        <v>1.5707959597179577</v>
      </c>
      <c r="Q504" s="586">
        <f t="shared" si="259"/>
        <v>109.88160635355229</v>
      </c>
      <c r="R504" s="587">
        <f t="shared" si="260"/>
        <v>1.5616954969335293</v>
      </c>
      <c r="S504" s="574">
        <f t="shared" si="238"/>
        <v>1.027181396804312</v>
      </c>
      <c r="T504" s="577">
        <f t="shared" si="239"/>
        <v>0.23056303846843776</v>
      </c>
      <c r="U504" s="578">
        <f t="shared" si="251"/>
        <v>0.50748274813907424</v>
      </c>
      <c r="V504" s="579">
        <f t="shared" si="252"/>
        <v>-1.4452197372958737</v>
      </c>
      <c r="W504" s="580">
        <f t="shared" si="240"/>
        <v>-29.545148347385592</v>
      </c>
      <c r="X504" s="581">
        <f t="shared" si="241"/>
        <v>-188.88290780161427</v>
      </c>
      <c r="Y504" s="584">
        <f t="shared" si="242"/>
        <v>-8.882907801614266</v>
      </c>
      <c r="AA504" s="147">
        <f t="shared" si="243"/>
        <v>65693</v>
      </c>
      <c r="AB504" s="147">
        <f t="shared" si="244"/>
        <v>4315570249</v>
      </c>
      <c r="AD504" s="583">
        <f t="shared" si="245"/>
        <v>16.986149217318825</v>
      </c>
      <c r="AE504" s="584">
        <f t="shared" si="246"/>
        <v>-13.731707140808318</v>
      </c>
      <c r="AG504" s="583">
        <f t="shared" si="247"/>
        <v>-6.1208736018526899</v>
      </c>
      <c r="AH504" s="584">
        <f t="shared" si="248"/>
        <v>-9.5412176394506822</v>
      </c>
      <c r="AJ504" s="147">
        <f t="shared" si="249"/>
        <v>0</v>
      </c>
      <c r="AK504" s="147">
        <f t="shared" si="261"/>
        <v>0</v>
      </c>
      <c r="AM504" s="147" t="str">
        <f t="shared" si="253"/>
        <v>1.93942018301809+0.342767734389122i</v>
      </c>
      <c r="AN504" s="147" t="str">
        <f t="shared" si="254"/>
        <v>2.79173111809688i</v>
      </c>
      <c r="AO504" s="147" t="str">
        <f t="shared" si="255"/>
        <v>0.122779637396737-0.694701638867066i</v>
      </c>
      <c r="AP504" s="147" t="str">
        <f t="shared" si="256"/>
        <v>-0.156570030503016-0.0571279557315203i</v>
      </c>
      <c r="AQ504" s="147" t="str">
        <f t="shared" si="257"/>
        <v>1.15657003050302+0.0571279557315203i</v>
      </c>
      <c r="AR504" s="147" t="str">
        <f t="shared" si="258"/>
        <v>0.718480139158129-0.0354888165016264i</v>
      </c>
    </row>
    <row r="505" spans="7:44">
      <c r="G505" s="585">
        <v>66069</v>
      </c>
      <c r="H505" s="573">
        <f t="shared" si="250"/>
        <v>66.069000000000003</v>
      </c>
      <c r="I505" s="574">
        <f t="shared" si="230"/>
        <v>186.61775754876905</v>
      </c>
      <c r="J505" s="575">
        <f t="shared" si="231"/>
        <v>1.565437754283536</v>
      </c>
      <c r="K505" s="575">
        <f t="shared" si="232"/>
        <v>1.0041616716511501</v>
      </c>
      <c r="L505" s="576">
        <f t="shared" si="233"/>
        <v>9.1074582578371005E-2</v>
      </c>
      <c r="M505" s="575">
        <f t="shared" si="234"/>
        <v>1.0095520916997096</v>
      </c>
      <c r="N505" s="576">
        <f t="shared" si="235"/>
        <v>-0.13767113700941441</v>
      </c>
      <c r="O505" s="574">
        <f t="shared" si="236"/>
        <v>2739816.8792658029</v>
      </c>
      <c r="P505" s="577">
        <f t="shared" si="237"/>
        <v>1.570795961807</v>
      </c>
      <c r="Q505" s="586">
        <f t="shared" si="259"/>
        <v>110.51047201443386</v>
      </c>
      <c r="R505" s="587">
        <f t="shared" si="260"/>
        <v>1.5617472871028062</v>
      </c>
      <c r="S505" s="574">
        <f t="shared" si="238"/>
        <v>1.0274892629936088</v>
      </c>
      <c r="T505" s="577">
        <f t="shared" si="239"/>
        <v>0.23183603324230162</v>
      </c>
      <c r="U505" s="578">
        <f t="shared" si="251"/>
        <v>0.50495494314471101</v>
      </c>
      <c r="V505" s="579">
        <f t="shared" si="252"/>
        <v>-1.4510084840915745</v>
      </c>
      <c r="W505" s="580">
        <f t="shared" si="240"/>
        <v>-29.639363626953944</v>
      </c>
      <c r="X505" s="581">
        <f t="shared" si="241"/>
        <v>-189.30110182664097</v>
      </c>
      <c r="Y505" s="584">
        <f t="shared" si="242"/>
        <v>-9.3011018266409735</v>
      </c>
      <c r="AA505" s="147">
        <f t="shared" si="243"/>
        <v>66069</v>
      </c>
      <c r="AB505" s="147">
        <f t="shared" si="244"/>
        <v>4365112761</v>
      </c>
      <c r="AD505" s="583">
        <f t="shared" si="245"/>
        <v>16.983542195352403</v>
      </c>
      <c r="AE505" s="584">
        <f t="shared" si="246"/>
        <v>-13.801677130346338</v>
      </c>
      <c r="AG505" s="583">
        <f t="shared" si="247"/>
        <v>-6.1257356585965086</v>
      </c>
      <c r="AH505" s="584">
        <f t="shared" si="248"/>
        <v>-9.2261001540543131</v>
      </c>
      <c r="AJ505" s="147">
        <f t="shared" si="249"/>
        <v>0</v>
      </c>
      <c r="AK505" s="147">
        <f t="shared" si="261"/>
        <v>0</v>
      </c>
      <c r="AM505" s="147" t="str">
        <f t="shared" si="253"/>
        <v>1.94477702024699+0.327713872170853i</v>
      </c>
      <c r="AN505" s="147" t="str">
        <f t="shared" si="254"/>
        <v>2.80770985099695i</v>
      </c>
      <c r="AO505" s="147" t="str">
        <f t="shared" si="255"/>
        <v>0.116719279969221-0.692655980658559i</v>
      </c>
      <c r="AP505" s="147" t="str">
        <f t="shared" si="256"/>
        <v>-0.157462836707832-0.0546189786951422i</v>
      </c>
      <c r="AQ505" s="147" t="str">
        <f t="shared" si="257"/>
        <v>1.15746283670783+0.0546189786951422i</v>
      </c>
      <c r="AR505" s="147" t="str">
        <f t="shared" si="258"/>
        <v>0.718078546771173-0.033885076568928i</v>
      </c>
    </row>
    <row r="506" spans="7:44">
      <c r="G506" s="585">
        <v>66453.75</v>
      </c>
      <c r="H506" s="573">
        <f t="shared" si="250"/>
        <v>66.453749999999999</v>
      </c>
      <c r="I506" s="574">
        <f t="shared" si="230"/>
        <v>187.70448697534079</v>
      </c>
      <c r="J506" s="575">
        <f t="shared" si="231"/>
        <v>1.5654687784416761</v>
      </c>
      <c r="K506" s="575">
        <f t="shared" si="232"/>
        <v>1.0042101815131408</v>
      </c>
      <c r="L506" s="576">
        <f t="shared" si="233"/>
        <v>9.1601998136085216E-2</v>
      </c>
      <c r="M506" s="575">
        <f t="shared" si="234"/>
        <v>1.0096631340742079</v>
      </c>
      <c r="N506" s="576">
        <f t="shared" si="235"/>
        <v>-0.13846268013965835</v>
      </c>
      <c r="O506" s="574">
        <f t="shared" si="236"/>
        <v>2755772.0858573569</v>
      </c>
      <c r="P506" s="577">
        <f t="shared" si="237"/>
        <v>1.5707959639201854</v>
      </c>
      <c r="Q506" s="586">
        <f t="shared" si="259"/>
        <v>111.15397248537973</v>
      </c>
      <c r="R506" s="587">
        <f t="shared" si="260"/>
        <v>1.5617996758635628</v>
      </c>
      <c r="S506" s="574">
        <f t="shared" si="238"/>
        <v>1.027806016211402</v>
      </c>
      <c r="T506" s="577">
        <f t="shared" si="239"/>
        <v>0.23313786061671138</v>
      </c>
      <c r="U506" s="578">
        <f t="shared" si="251"/>
        <v>0.50238006235476507</v>
      </c>
      <c r="V506" s="579">
        <f t="shared" si="252"/>
        <v>-1.4569241604597161</v>
      </c>
      <c r="W506" s="580">
        <f t="shared" si="240"/>
        <v>-29.735508483879514</v>
      </c>
      <c r="X506" s="581">
        <f t="shared" si="241"/>
        <v>-189.72854374487213</v>
      </c>
      <c r="Y506" s="584">
        <f t="shared" si="242"/>
        <v>-9.7285437448721268</v>
      </c>
      <c r="AA506" s="147">
        <f t="shared" si="243"/>
        <v>66453.75</v>
      </c>
      <c r="AB506" s="147">
        <f t="shared" si="244"/>
        <v>4416100889.0625</v>
      </c>
      <c r="AD506" s="583">
        <f t="shared" si="245"/>
        <v>16.980860825960708</v>
      </c>
      <c r="AE506" s="584">
        <f t="shared" si="246"/>
        <v>-13.873264810827751</v>
      </c>
      <c r="AG506" s="583">
        <f t="shared" si="247"/>
        <v>-6.1303898465009237</v>
      </c>
      <c r="AH506" s="584">
        <f t="shared" si="248"/>
        <v>-8.9040678133099025</v>
      </c>
      <c r="AJ506" s="147">
        <f t="shared" si="249"/>
        <v>0</v>
      </c>
      <c r="AK506" s="147">
        <f t="shared" si="261"/>
        <v>0</v>
      </c>
      <c r="AM506" s="147" t="str">
        <f t="shared" si="253"/>
        <v>1.95000880666543+0.312223104939589i</v>
      </c>
      <c r="AN506" s="147" t="str">
        <f t="shared" si="254"/>
        <v>2.82406042940999i</v>
      </c>
      <c r="AO506" s="147" t="str">
        <f t="shared" si="255"/>
        <v>0.110558223785891-0.690498257883536i</v>
      </c>
      <c r="AP506" s="147" t="str">
        <f t="shared" si="256"/>
        <v>-0.158334801110906-0.0520371841565982i</v>
      </c>
      <c r="AQ506" s="147" t="str">
        <f t="shared" si="257"/>
        <v>1.15833480111091+0.0520371841565982i</v>
      </c>
      <c r="AR506" s="147" t="str">
        <f t="shared" si="258"/>
        <v>0.717687358895129-0.0322414808101i</v>
      </c>
    </row>
    <row r="507" spans="7:44">
      <c r="G507" s="585">
        <v>66838.5</v>
      </c>
      <c r="H507" s="573">
        <f t="shared" si="250"/>
        <v>66.838499999999996</v>
      </c>
      <c r="I507" s="574">
        <f t="shared" si="230"/>
        <v>188.79121658049789</v>
      </c>
      <c r="J507" s="575">
        <f t="shared" si="231"/>
        <v>1.5654994454341709</v>
      </c>
      <c r="K507" s="575">
        <f t="shared" si="232"/>
        <v>1.0042589706864045</v>
      </c>
      <c r="L507" s="576">
        <f t="shared" si="233"/>
        <v>9.2129362594400577E-2</v>
      </c>
      <c r="M507" s="575">
        <f t="shared" si="234"/>
        <v>1.0097748089042176</v>
      </c>
      <c r="N507" s="576">
        <f t="shared" si="235"/>
        <v>-0.13925404868611541</v>
      </c>
      <c r="O507" s="574">
        <f t="shared" si="236"/>
        <v>2771727.2924489104</v>
      </c>
      <c r="P507" s="577">
        <f t="shared" si="237"/>
        <v>1.570795966009042</v>
      </c>
      <c r="Q507" s="586">
        <f t="shared" si="259"/>
        <v>111.79747325788486</v>
      </c>
      <c r="R507" s="587">
        <f t="shared" si="260"/>
        <v>1.5618514615301855</v>
      </c>
      <c r="S507" s="574">
        <f t="shared" si="238"/>
        <v>1.0281245102330527</v>
      </c>
      <c r="T507" s="577">
        <f t="shared" si="239"/>
        <v>0.23443888363065277</v>
      </c>
      <c r="U507" s="578">
        <f t="shared" si="251"/>
        <v>0.4998169407191454</v>
      </c>
      <c r="V507" s="579">
        <f t="shared" si="252"/>
        <v>-1.462832354059509</v>
      </c>
      <c r="W507" s="580">
        <f t="shared" si="240"/>
        <v>-29.831392101674158</v>
      </c>
      <c r="X507" s="581">
        <f t="shared" si="241"/>
        <v>-190.15551785973352</v>
      </c>
      <c r="Y507" s="584">
        <f t="shared" si="242"/>
        <v>-10.155517859733521</v>
      </c>
      <c r="AA507" s="147">
        <f t="shared" si="243"/>
        <v>66838.5</v>
      </c>
      <c r="AB507" s="147">
        <f t="shared" si="244"/>
        <v>4467385082.25</v>
      </c>
      <c r="AD507" s="583">
        <f t="shared" si="245"/>
        <v>16.978165645408033</v>
      </c>
      <c r="AE507" s="584">
        <f t="shared" si="246"/>
        <v>-13.944840958203692</v>
      </c>
      <c r="AG507" s="583">
        <f t="shared" si="247"/>
        <v>-6.1347213419350632</v>
      </c>
      <c r="AH507" s="584">
        <f t="shared" si="248"/>
        <v>-8.582436664393077</v>
      </c>
      <c r="AJ507" s="147">
        <f t="shared" si="249"/>
        <v>0</v>
      </c>
      <c r="AK507" s="147">
        <f t="shared" si="261"/>
        <v>0</v>
      </c>
      <c r="AM507" s="147" t="str">
        <f t="shared" si="253"/>
        <v>1.95498662204393+0.2966488694014i</v>
      </c>
      <c r="AN507" s="147" t="str">
        <f t="shared" si="254"/>
        <v>2.84041100782303i</v>
      </c>
      <c r="AO507" s="147" t="str">
        <f t="shared" si="255"/>
        <v>0.104438712772332-0.688275963112214i</v>
      </c>
      <c r="AP507" s="147" t="str">
        <f t="shared" si="256"/>
        <v>-0.159164437007321-0.0494414782335667i</v>
      </c>
      <c r="AQ507" s="147" t="str">
        <f t="shared" si="257"/>
        <v>1.15916443700732+0.0494414782335667i</v>
      </c>
      <c r="AR507" s="147" t="str">
        <f t="shared" si="258"/>
        <v>0.717316101767544-0.0305954593669983i</v>
      </c>
    </row>
    <row r="508" spans="7:44">
      <c r="G508" s="585">
        <v>67223.25</v>
      </c>
      <c r="H508" s="573">
        <f t="shared" si="250"/>
        <v>67.223249999999993</v>
      </c>
      <c r="I508" s="574">
        <f t="shared" si="230"/>
        <v>189.87794636117405</v>
      </c>
      <c r="J508" s="575">
        <f t="shared" si="231"/>
        <v>1.5655297613934676</v>
      </c>
      <c r="K508" s="575">
        <f t="shared" si="232"/>
        <v>1.0043080391302348</v>
      </c>
      <c r="L508" s="576">
        <f t="shared" si="233"/>
        <v>9.2656675667451643E-2</v>
      </c>
      <c r="M508" s="575">
        <f t="shared" si="234"/>
        <v>1.009887115979925</v>
      </c>
      <c r="N508" s="576">
        <f t="shared" si="235"/>
        <v>-0.14004524171565641</v>
      </c>
      <c r="O508" s="574">
        <f t="shared" si="236"/>
        <v>2787682.4990404644</v>
      </c>
      <c r="P508" s="577">
        <f t="shared" si="237"/>
        <v>1.5707959680739876</v>
      </c>
      <c r="Q508" s="586">
        <f t="shared" si="259"/>
        <v>112.44097432677178</v>
      </c>
      <c r="R508" s="587">
        <f t="shared" si="260"/>
        <v>1.5619026544569397</v>
      </c>
      <c r="S508" s="574">
        <f t="shared" si="238"/>
        <v>1.028444743441258</v>
      </c>
      <c r="T508" s="577">
        <f t="shared" si="239"/>
        <v>0.23573909862909365</v>
      </c>
      <c r="U508" s="578">
        <f t="shared" si="251"/>
        <v>0.49726545070751138</v>
      </c>
      <c r="V508" s="579">
        <f t="shared" si="252"/>
        <v>-1.4687334556604335</v>
      </c>
      <c r="W508" s="580">
        <f t="shared" si="240"/>
        <v>-29.927019226011602</v>
      </c>
      <c r="X508" s="581">
        <f t="shared" si="241"/>
        <v>-190.58204607229536</v>
      </c>
      <c r="Y508" s="584">
        <f t="shared" si="242"/>
        <v>-10.582046072295356</v>
      </c>
      <c r="AA508" s="147">
        <f t="shared" si="243"/>
        <v>67223.25</v>
      </c>
      <c r="AB508" s="147">
        <f t="shared" si="244"/>
        <v>4518965340.5625</v>
      </c>
      <c r="AD508" s="583">
        <f t="shared" si="245"/>
        <v>16.975456678895004</v>
      </c>
      <c r="AE508" s="584">
        <f t="shared" si="246"/>
        <v>-14.016404769824467</v>
      </c>
      <c r="AG508" s="583">
        <f t="shared" si="247"/>
        <v>-6.1387320665584006</v>
      </c>
      <c r="AH508" s="584">
        <f t="shared" si="248"/>
        <v>-8.2611846321396865</v>
      </c>
      <c r="AJ508" s="147">
        <f t="shared" si="249"/>
        <v>0</v>
      </c>
      <c r="AK508" s="147">
        <f t="shared" si="261"/>
        <v>0</v>
      </c>
      <c r="AM508" s="147" t="str">
        <f t="shared" si="253"/>
        <v>1.95970913563592+0.280995329101682i</v>
      </c>
      <c r="AN508" s="147" t="str">
        <f t="shared" si="254"/>
        <v>2.85676158623607i</v>
      </c>
      <c r="AO508" s="147" t="str">
        <f t="shared" si="255"/>
        <v>0.0983614910167942-0.685989739248047i</v>
      </c>
      <c r="AP508" s="147" t="str">
        <f t="shared" si="256"/>
        <v>-0.159951522605986-0.0468325548502803i</v>
      </c>
      <c r="AQ508" s="147" t="str">
        <f t="shared" si="257"/>
        <v>1.15995152260599+0.0468325548502803i</v>
      </c>
      <c r="AR508" s="147" t="str">
        <f t="shared" si="258"/>
        <v>0.716964730704736-0.0289471494472545i</v>
      </c>
    </row>
    <row r="509" spans="7:44">
      <c r="G509" s="585">
        <v>67608</v>
      </c>
      <c r="H509" s="573">
        <f t="shared" si="250"/>
        <v>67.608000000000004</v>
      </c>
      <c r="I509" s="574">
        <f t="shared" si="230"/>
        <v>190.96467631437281</v>
      </c>
      <c r="J509" s="575">
        <f t="shared" si="231"/>
        <v>1.5655597323124244</v>
      </c>
      <c r="K509" s="575">
        <f t="shared" si="232"/>
        <v>1.0043573868036997</v>
      </c>
      <c r="L509" s="576">
        <f t="shared" si="233"/>
        <v>9.3183937069543005E-2</v>
      </c>
      <c r="M509" s="575">
        <f t="shared" si="234"/>
        <v>1.010000055090422</v>
      </c>
      <c r="N509" s="576">
        <f t="shared" si="235"/>
        <v>-0.14083625829644503</v>
      </c>
      <c r="O509" s="574">
        <f t="shared" si="236"/>
        <v>2803637.7056320184</v>
      </c>
      <c r="P509" s="577">
        <f t="shared" si="237"/>
        <v>1.5707959701154306</v>
      </c>
      <c r="Q509" s="586">
        <f t="shared" si="259"/>
        <v>113.08447568698088</v>
      </c>
      <c r="R509" s="587">
        <f t="shared" si="260"/>
        <v>1.5619532647624212</v>
      </c>
      <c r="S509" s="574">
        <f t="shared" si="238"/>
        <v>1.0287667142119021</v>
      </c>
      <c r="T509" s="577">
        <f t="shared" si="239"/>
        <v>0.23703850197246842</v>
      </c>
      <c r="U509" s="578">
        <f t="shared" si="251"/>
        <v>0.49472546369682552</v>
      </c>
      <c r="V509" s="579">
        <f t="shared" si="252"/>
        <v>-1.4746278551764842</v>
      </c>
      <c r="W509" s="580">
        <f t="shared" si="240"/>
        <v>-30.02239459610033</v>
      </c>
      <c r="X509" s="581">
        <f t="shared" si="241"/>
        <v>-191.008150241067</v>
      </c>
      <c r="Y509" s="584">
        <f t="shared" si="242"/>
        <v>-11.008150241067</v>
      </c>
      <c r="AA509" s="147">
        <f t="shared" si="243"/>
        <v>67608</v>
      </c>
      <c r="AB509" s="147">
        <f t="shared" si="244"/>
        <v>4570841664</v>
      </c>
      <c r="AD509" s="583">
        <f t="shared" si="245"/>
        <v>16.972733951766621</v>
      </c>
      <c r="AE509" s="584">
        <f t="shared" si="246"/>
        <v>-14.087955457428887</v>
      </c>
      <c r="AG509" s="583">
        <f t="shared" si="247"/>
        <v>-6.1424238339677384</v>
      </c>
      <c r="AH509" s="584">
        <f t="shared" si="248"/>
        <v>-7.9402896824677756</v>
      </c>
      <c r="AJ509" s="147">
        <f t="shared" si="249"/>
        <v>0</v>
      </c>
      <c r="AK509" s="147">
        <f t="shared" si="261"/>
        <v>0</v>
      </c>
      <c r="AM509" s="147" t="str">
        <f t="shared" si="253"/>
        <v>1.96417508494606+0.265266668786812i</v>
      </c>
      <c r="AN509" s="147" t="str">
        <f t="shared" si="254"/>
        <v>2.87311216464911i</v>
      </c>
      <c r="AO509" s="147" t="str">
        <f t="shared" si="255"/>
        <v>0.0923272930485151-0.683640238314867i</v>
      </c>
      <c r="AP509" s="147" t="str">
        <f t="shared" si="256"/>
        <v>-0.16069584749101-0.0442111114644687i</v>
      </c>
      <c r="AQ509" s="147" t="str">
        <f t="shared" si="257"/>
        <v>1.16069584749101+0.0442111114644687i</v>
      </c>
      <c r="AR509" s="147" t="str">
        <f t="shared" si="258"/>
        <v>0.716633203227055-0.0272966862899507i</v>
      </c>
    </row>
    <row r="510" spans="7:44">
      <c r="G510" s="585">
        <v>68001.75</v>
      </c>
      <c r="H510" s="573">
        <f t="shared" si="250"/>
        <v>68.001750000000001</v>
      </c>
      <c r="I510" s="574">
        <f t="shared" si="230"/>
        <v>192.07682702683977</v>
      </c>
      <c r="J510" s="575">
        <f t="shared" si="231"/>
        <v>1.5655900531749036</v>
      </c>
      <c r="K510" s="575">
        <f t="shared" si="232"/>
        <v>1.0044081778693215</v>
      </c>
      <c r="L510" s="576">
        <f t="shared" si="233"/>
        <v>9.372347827564588E-2</v>
      </c>
      <c r="M510" s="575">
        <f t="shared" si="234"/>
        <v>1.0101162902146086</v>
      </c>
      <c r="N510" s="576">
        <f t="shared" si="235"/>
        <v>-0.14164559452990713</v>
      </c>
      <c r="O510" s="574">
        <f t="shared" si="236"/>
        <v>2819966.1334303925</v>
      </c>
      <c r="P510" s="577">
        <f t="shared" si="237"/>
        <v>1.5707959721807088</v>
      </c>
      <c r="Q510" s="586">
        <f t="shared" si="259"/>
        <v>113.74303000705113</v>
      </c>
      <c r="R510" s="587">
        <f t="shared" si="260"/>
        <v>1.5620044660289507</v>
      </c>
      <c r="S510" s="574">
        <f t="shared" si="238"/>
        <v>1.0290980137657133</v>
      </c>
      <c r="T510" s="577">
        <f t="shared" si="239"/>
        <v>0.23836745657806416</v>
      </c>
      <c r="U510" s="578">
        <f t="shared" si="251"/>
        <v>0.4921378362379048</v>
      </c>
      <c r="V510" s="579">
        <f t="shared" si="252"/>
        <v>-1.480653602301276</v>
      </c>
      <c r="W510" s="580">
        <f t="shared" si="240"/>
        <v>-30.119745252222142</v>
      </c>
      <c r="X510" s="581">
        <f t="shared" si="241"/>
        <v>-191.443805486</v>
      </c>
      <c r="Y510" s="584">
        <f t="shared" si="242"/>
        <v>-11.443805486000002</v>
      </c>
      <c r="AA510" s="147">
        <f t="shared" si="243"/>
        <v>68001.75</v>
      </c>
      <c r="AB510" s="147">
        <f t="shared" si="244"/>
        <v>4624238003.0625</v>
      </c>
      <c r="AD510" s="583">
        <f t="shared" si="245"/>
        <v>16.969933314500896</v>
      </c>
      <c r="AE510" s="584">
        <f t="shared" si="246"/>
        <v>-14.16116544943152</v>
      </c>
      <c r="AG510" s="583">
        <f t="shared" si="247"/>
        <v>-6.1458735026802893</v>
      </c>
      <c r="AH510" s="584">
        <f t="shared" si="248"/>
        <v>-7.612235177281816</v>
      </c>
      <c r="AJ510" s="147">
        <f t="shared" si="249"/>
        <v>0</v>
      </c>
      <c r="AK510" s="147">
        <f t="shared" si="261"/>
        <v>0</v>
      </c>
      <c r="AM510" s="147" t="str">
        <f t="shared" si="253"/>
        <v>1.96847861883337+0.249096697815536i</v>
      </c>
      <c r="AN510" s="147" t="str">
        <f t="shared" si="254"/>
        <v>2.88984521273263i</v>
      </c>
      <c r="AO510" s="147" t="str">
        <f t="shared" si="255"/>
        <v>0.086197245692613-0.681170953433863i</v>
      </c>
      <c r="AP510" s="147" t="str">
        <f t="shared" si="256"/>
        <v>-0.161413103138895-0.0415161163025893i</v>
      </c>
      <c r="AQ510" s="147" t="str">
        <f t="shared" si="257"/>
        <v>1.1614131031389+0.0415161163025893i</v>
      </c>
      <c r="AR510" s="147" t="str">
        <f t="shared" si="258"/>
        <v>0.716314424017641-0.0256055255932325i</v>
      </c>
    </row>
    <row r="511" spans="7:44">
      <c r="G511" s="585">
        <v>68395.5</v>
      </c>
      <c r="H511" s="573">
        <f t="shared" si="250"/>
        <v>68.395499999999998</v>
      </c>
      <c r="I511" s="574">
        <f t="shared" si="230"/>
        <v>193.18897791386036</v>
      </c>
      <c r="J511" s="575">
        <f t="shared" si="231"/>
        <v>1.5656200249349461</v>
      </c>
      <c r="K511" s="575">
        <f t="shared" si="232"/>
        <v>1.0044592612932786</v>
      </c>
      <c r="L511" s="576">
        <f t="shared" si="233"/>
        <v>9.4262964760275764E-2</v>
      </c>
      <c r="M511" s="575">
        <f t="shared" si="234"/>
        <v>1.0102331868378491</v>
      </c>
      <c r="N511" s="576">
        <f t="shared" si="235"/>
        <v>-0.14245474399261771</v>
      </c>
      <c r="O511" s="574">
        <f t="shared" si="236"/>
        <v>2836294.5612287661</v>
      </c>
      <c r="P511" s="577">
        <f t="shared" si="237"/>
        <v>1.5707959742222077</v>
      </c>
      <c r="Q511" s="586">
        <f t="shared" si="259"/>
        <v>114.40158462187364</v>
      </c>
      <c r="R511" s="587">
        <f t="shared" si="260"/>
        <v>1.5620550778137356</v>
      </c>
      <c r="S511" s="574">
        <f t="shared" si="238"/>
        <v>1.0294311296587393</v>
      </c>
      <c r="T511" s="577">
        <f t="shared" si="239"/>
        <v>0.23969555344926466</v>
      </c>
      <c r="U511" s="578">
        <f t="shared" si="251"/>
        <v>0.48956198033813442</v>
      </c>
      <c r="V511" s="579">
        <f t="shared" si="252"/>
        <v>-1.4866731538604991</v>
      </c>
      <c r="W511" s="580">
        <f t="shared" si="240"/>
        <v>-30.216842267157965</v>
      </c>
      <c r="X511" s="581">
        <f t="shared" si="241"/>
        <v>-191.87906281210402</v>
      </c>
      <c r="Y511" s="584">
        <f t="shared" si="242"/>
        <v>-11.879062812104024</v>
      </c>
      <c r="AA511" s="147">
        <f t="shared" si="243"/>
        <v>68395.5</v>
      </c>
      <c r="AB511" s="147">
        <f t="shared" si="244"/>
        <v>4677944420.25</v>
      </c>
      <c r="AD511" s="583">
        <f t="shared" si="245"/>
        <v>16.967118319481862</v>
      </c>
      <c r="AE511" s="584">
        <f t="shared" si="246"/>
        <v>-14.234360070326941</v>
      </c>
      <c r="AG511" s="583">
        <f t="shared" si="247"/>
        <v>-6.1489926190835895</v>
      </c>
      <c r="AH511" s="584">
        <f t="shared" si="248"/>
        <v>-7.2845080838924172</v>
      </c>
      <c r="AJ511" s="147">
        <f t="shared" si="249"/>
        <v>0</v>
      </c>
      <c r="AK511" s="147">
        <f t="shared" si="261"/>
        <v>0</v>
      </c>
      <c r="AM511" s="147" t="str">
        <f t="shared" si="253"/>
        <v>1.97251098997553+0.232856982667079i</v>
      </c>
      <c r="AN511" s="147" t="str">
        <f t="shared" si="254"/>
        <v>2.90657826081615i</v>
      </c>
      <c r="AO511" s="147" t="str">
        <f t="shared" si="255"/>
        <v>0.0801137838971155-0.678636806917306i</v>
      </c>
      <c r="AP511" s="147" t="str">
        <f t="shared" si="256"/>
        <v>-0.162085164995921-0.0388094971111798i</v>
      </c>
      <c r="AQ511" s="147" t="str">
        <f t="shared" si="257"/>
        <v>1.16208516499592+0.0388094971111798i</v>
      </c>
      <c r="AR511" s="147" t="str">
        <f t="shared" si="258"/>
        <v>0.716016344768285-0.0239123905036167i</v>
      </c>
    </row>
    <row r="512" spans="7:44">
      <c r="G512" s="585">
        <v>68789.25</v>
      </c>
      <c r="H512" s="573">
        <f t="shared" si="250"/>
        <v>68.789249999999996</v>
      </c>
      <c r="I512" s="574">
        <f t="shared" si="230"/>
        <v>194.30112897243717</v>
      </c>
      <c r="J512" s="575">
        <f t="shared" si="231"/>
        <v>1.5656496535871305</v>
      </c>
      <c r="K512" s="575">
        <f t="shared" si="232"/>
        <v>1.004510637030968</v>
      </c>
      <c r="L512" s="576">
        <f t="shared" si="233"/>
        <v>9.4802396217774795E-2</v>
      </c>
      <c r="M512" s="575">
        <f t="shared" si="234"/>
        <v>1.0103507447305393</v>
      </c>
      <c r="N512" s="576">
        <f t="shared" si="235"/>
        <v>-0.1432637056900517</v>
      </c>
      <c r="O512" s="574">
        <f t="shared" si="236"/>
        <v>2852622.9890271402</v>
      </c>
      <c r="P512" s="577">
        <f t="shared" si="237"/>
        <v>1.5707959762403354</v>
      </c>
      <c r="Q512" s="586">
        <f t="shared" si="259"/>
        <v>115.06013952638732</v>
      </c>
      <c r="R512" s="587">
        <f t="shared" si="260"/>
        <v>1.5621051102383368</v>
      </c>
      <c r="S512" s="574">
        <f t="shared" si="238"/>
        <v>1.0297660601282941</v>
      </c>
      <c r="T512" s="577">
        <f t="shared" si="239"/>
        <v>0.24102278873564564</v>
      </c>
      <c r="U512" s="578">
        <f t="shared" si="251"/>
        <v>0.48699775486437069</v>
      </c>
      <c r="V512" s="579">
        <f t="shared" si="252"/>
        <v>-1.4926869252807813</v>
      </c>
      <c r="W512" s="580">
        <f t="shared" si="240"/>
        <v>-30.313690709225835</v>
      </c>
      <c r="X512" s="581">
        <f t="shared" si="241"/>
        <v>-192.31394552505392</v>
      </c>
      <c r="Y512" s="584">
        <f t="shared" si="242"/>
        <v>-12.313945525053924</v>
      </c>
      <c r="AA512" s="147">
        <f t="shared" si="243"/>
        <v>68789.25</v>
      </c>
      <c r="AB512" s="147">
        <f t="shared" si="244"/>
        <v>4731960915.5625</v>
      </c>
      <c r="AD512" s="583">
        <f t="shared" si="245"/>
        <v>16.964288994329348</v>
      </c>
      <c r="AE512" s="584">
        <f t="shared" si="246"/>
        <v>-14.307538519602771</v>
      </c>
      <c r="AG512" s="583">
        <f t="shared" si="247"/>
        <v>-6.1517827825326821</v>
      </c>
      <c r="AH512" s="584">
        <f t="shared" si="248"/>
        <v>-6.9570849041019676</v>
      </c>
      <c r="AJ512" s="147">
        <f t="shared" si="249"/>
        <v>0</v>
      </c>
      <c r="AK512" s="147">
        <f t="shared" si="261"/>
        <v>0</v>
      </c>
      <c r="AM512" s="147" t="str">
        <f t="shared" si="253"/>
        <v>1.97627106935553+0.216552070272736i</v>
      </c>
      <c r="AN512" s="147" t="str">
        <f t="shared" si="254"/>
        <v>2.92331130889967i</v>
      </c>
      <c r="AO512" s="147" t="str">
        <f t="shared" si="255"/>
        <v>0.0740776630985107-0.676038526358452i</v>
      </c>
      <c r="AP512" s="147" t="str">
        <f t="shared" si="256"/>
        <v>-0.162711844892588-0.0360920117121227i</v>
      </c>
      <c r="AQ512" s="147" t="str">
        <f t="shared" si="257"/>
        <v>1.16271184489259+0.0360920117121227i</v>
      </c>
      <c r="AR512" s="147" t="str">
        <f t="shared" si="258"/>
        <v>0.715738927286129-0.0222174203005728i</v>
      </c>
    </row>
    <row r="513" spans="7:44">
      <c r="G513" s="585">
        <v>69183</v>
      </c>
      <c r="H513" s="573">
        <f t="shared" si="250"/>
        <v>69.183000000000007</v>
      </c>
      <c r="I513" s="574">
        <f t="shared" si="230"/>
        <v>195.41328019964104</v>
      </c>
      <c r="J513" s="575">
        <f t="shared" si="231"/>
        <v>1.5656789449895705</v>
      </c>
      <c r="K513" s="575">
        <f t="shared" si="232"/>
        <v>1.0045623050375412</v>
      </c>
      <c r="L513" s="576">
        <f t="shared" si="233"/>
        <v>9.5341772342675463E-2</v>
      </c>
      <c r="M513" s="575">
        <f t="shared" si="234"/>
        <v>1.0104689636618835</v>
      </c>
      <c r="N513" s="576">
        <f t="shared" si="235"/>
        <v>-0.14407247862912875</v>
      </c>
      <c r="O513" s="574">
        <f t="shared" si="236"/>
        <v>2868951.4168255143</v>
      </c>
      <c r="P513" s="577">
        <f t="shared" si="237"/>
        <v>1.5707959782354912</v>
      </c>
      <c r="Q513" s="586">
        <f t="shared" si="259"/>
        <v>115.71869471564627</v>
      </c>
      <c r="R513" s="587">
        <f t="shared" si="260"/>
        <v>1.5621545731939193</v>
      </c>
      <c r="S513" s="574">
        <f t="shared" si="238"/>
        <v>1.0301028034043884</v>
      </c>
      <c r="T513" s="577">
        <f t="shared" si="239"/>
        <v>0.24234915860391867</v>
      </c>
      <c r="U513" s="578">
        <f t="shared" si="251"/>
        <v>0.48444501766864118</v>
      </c>
      <c r="V513" s="579">
        <f t="shared" si="252"/>
        <v>-1.4986953312468636</v>
      </c>
      <c r="W513" s="580">
        <f t="shared" si="240"/>
        <v>-30.410295646207793</v>
      </c>
      <c r="X513" s="581">
        <f t="shared" si="241"/>
        <v>-192.74847689445286</v>
      </c>
      <c r="Y513" s="584">
        <f t="shared" si="242"/>
        <v>-12.748476894452864</v>
      </c>
      <c r="AA513" s="147">
        <f t="shared" si="243"/>
        <v>69183</v>
      </c>
      <c r="AB513" s="147">
        <f t="shared" si="244"/>
        <v>4786287489</v>
      </c>
      <c r="AD513" s="583">
        <f t="shared" si="245"/>
        <v>16.96144536681139</v>
      </c>
      <c r="AE513" s="584">
        <f t="shared" si="246"/>
        <v>-14.380700010928626</v>
      </c>
      <c r="AG513" s="583">
        <f t="shared" si="247"/>
        <v>-6.1542454783458869</v>
      </c>
      <c r="AH513" s="584">
        <f t="shared" si="248"/>
        <v>-6.6299421744728209</v>
      </c>
      <c r="AJ513" s="147">
        <f t="shared" si="249"/>
        <v>0</v>
      </c>
      <c r="AK513" s="147">
        <f t="shared" si="261"/>
        <v>0</v>
      </c>
      <c r="AM513" s="147" t="str">
        <f t="shared" si="253"/>
        <v>1.9797578041949+0.200186525818271i</v>
      </c>
      <c r="AN513" s="147" t="str">
        <f t="shared" si="254"/>
        <v>2.94004435698319i</v>
      </c>
      <c r="AO513" s="147" t="str">
        <f t="shared" si="255"/>
        <v>0.0680896277441489-0.673376848717463i</v>
      </c>
      <c r="AP513" s="147" t="str">
        <f t="shared" si="256"/>
        <v>-0.163292967365816-0.0333644209697118i</v>
      </c>
      <c r="AQ513" s="147" t="str">
        <f t="shared" si="257"/>
        <v>1.16329296736582+0.0333644209697118i</v>
      </c>
      <c r="AR513" s="147" t="str">
        <f t="shared" si="258"/>
        <v>0.715482135902979-0.0205207525947921i</v>
      </c>
    </row>
    <row r="514" spans="7:44">
      <c r="G514" s="585">
        <v>69586</v>
      </c>
      <c r="H514" s="573">
        <f t="shared" si="250"/>
        <v>69.585999999999999</v>
      </c>
      <c r="I514" s="574">
        <f t="shared" si="230"/>
        <v>196.55155832571566</v>
      </c>
      <c r="J514" s="575">
        <f t="shared" si="231"/>
        <v>1.5657085812551319</v>
      </c>
      <c r="K514" s="575">
        <f t="shared" si="232"/>
        <v>1.0046154894336723</v>
      </c>
      <c r="L514" s="576">
        <f t="shared" si="233"/>
        <v>9.589376190947442E-2</v>
      </c>
      <c r="M514" s="575">
        <f t="shared" si="234"/>
        <v>1.0105906440725583</v>
      </c>
      <c r="N514" s="576">
        <f t="shared" si="235"/>
        <v>-0.14490005481663551</v>
      </c>
      <c r="O514" s="574">
        <f t="shared" si="236"/>
        <v>2885663.4330864535</v>
      </c>
      <c r="P514" s="577">
        <f t="shared" si="237"/>
        <v>1.5707959802541362</v>
      </c>
      <c r="Q514" s="586">
        <f t="shared" si="259"/>
        <v>116.39272101503789</v>
      </c>
      <c r="R514" s="587">
        <f t="shared" si="260"/>
        <v>1.5622046185308958</v>
      </c>
      <c r="S514" s="574">
        <f t="shared" si="238"/>
        <v>1.030449332806695</v>
      </c>
      <c r="T514" s="577">
        <f t="shared" si="239"/>
        <v>0.24370578750228003</v>
      </c>
      <c r="U514" s="578">
        <f t="shared" si="251"/>
        <v>0.48184405831046762</v>
      </c>
      <c r="V514" s="579">
        <f t="shared" si="252"/>
        <v>-1.5048397631136521</v>
      </c>
      <c r="W514" s="580">
        <f t="shared" si="240"/>
        <v>-30.508923169601129</v>
      </c>
      <c r="X514" s="581">
        <f t="shared" si="241"/>
        <v>-193.19287673093572</v>
      </c>
      <c r="Y514" s="584">
        <f t="shared" si="242"/>
        <v>-13.192876730935723</v>
      </c>
      <c r="AA514" s="147">
        <f t="shared" si="243"/>
        <v>69586</v>
      </c>
      <c r="AB514" s="147">
        <f t="shared" si="244"/>
        <v>4842211396</v>
      </c>
      <c r="AD514" s="583">
        <f t="shared" si="245"/>
        <v>16.958520155447513</v>
      </c>
      <c r="AE514" s="584">
        <f t="shared" si="246"/>
        <v>-14.455561850322544</v>
      </c>
      <c r="AG514" s="583">
        <f t="shared" si="247"/>
        <v>-6.1564283620357791</v>
      </c>
      <c r="AH514" s="584">
        <f t="shared" si="248"/>
        <v>-6.2953801438118848</v>
      </c>
      <c r="AJ514" s="147">
        <f t="shared" si="249"/>
        <v>0</v>
      </c>
      <c r="AK514" s="147">
        <f t="shared" si="261"/>
        <v>0</v>
      </c>
      <c r="AM514" s="147" t="str">
        <f t="shared" si="253"/>
        <v>1.98304237916131+0.18337851775185i</v>
      </c>
      <c r="AN514" s="147" t="str">
        <f t="shared" si="254"/>
        <v>2.9571704988947i</v>
      </c>
      <c r="AO514" s="147" t="str">
        <f t="shared" si="255"/>
        <v>0.0620114794937902-0.670587772975049i</v>
      </c>
      <c r="AP514" s="147" t="str">
        <f t="shared" si="256"/>
        <v>-0.163840396526886-0.030563086291975i</v>
      </c>
      <c r="AQ514" s="147" t="str">
        <f t="shared" si="257"/>
        <v>1.16384039652689+0.030563086291975i</v>
      </c>
      <c r="AR514" s="147" t="str">
        <f t="shared" si="258"/>
        <v>0.71524063602485-0.0187826108662224i</v>
      </c>
    </row>
    <row r="515" spans="7:44">
      <c r="G515" s="585">
        <v>69989</v>
      </c>
      <c r="H515" s="573">
        <f t="shared" si="250"/>
        <v>69.989000000000004</v>
      </c>
      <c r="I515" s="574">
        <f t="shared" si="230"/>
        <v>197.68983662243511</v>
      </c>
      <c r="J515" s="575">
        <f t="shared" si="231"/>
        <v>1.5657378762354159</v>
      </c>
      <c r="K515" s="575">
        <f t="shared" si="232"/>
        <v>1.0046689798961279</v>
      </c>
      <c r="L515" s="576">
        <f t="shared" si="233"/>
        <v>9.6445692866506255E-2</v>
      </c>
      <c r="M515" s="575">
        <f t="shared" si="234"/>
        <v>1.0107130164519949</v>
      </c>
      <c r="N515" s="576">
        <f t="shared" si="235"/>
        <v>-0.14572743117261697</v>
      </c>
      <c r="O515" s="574">
        <f t="shared" si="236"/>
        <v>2902375.4493473927</v>
      </c>
      <c r="P515" s="577">
        <f t="shared" si="237"/>
        <v>1.5707959822495345</v>
      </c>
      <c r="Q515" s="586">
        <f t="shared" si="259"/>
        <v>117.06674760258242</v>
      </c>
      <c r="R515" s="587">
        <f t="shared" si="260"/>
        <v>1.562254087583296</v>
      </c>
      <c r="S515" s="574">
        <f t="shared" si="238"/>
        <v>1.0307977574140612</v>
      </c>
      <c r="T515" s="577">
        <f t="shared" si="239"/>
        <v>0.24506150177382588</v>
      </c>
      <c r="U515" s="578">
        <f t="shared" si="251"/>
        <v>0.47925482894561855</v>
      </c>
      <c r="V515" s="579">
        <f t="shared" si="252"/>
        <v>-1.5109794513129078</v>
      </c>
      <c r="W515" s="580">
        <f t="shared" si="240"/>
        <v>-30.60730636012762</v>
      </c>
      <c r="X515" s="581">
        <f t="shared" si="241"/>
        <v>-193.6369577427582</v>
      </c>
      <c r="Y515" s="584">
        <f t="shared" si="242"/>
        <v>-13.636957742758199</v>
      </c>
      <c r="AA515" s="147">
        <f t="shared" si="243"/>
        <v>69989</v>
      </c>
      <c r="AB515" s="147">
        <f t="shared" si="244"/>
        <v>4898460121</v>
      </c>
      <c r="AD515" s="583">
        <f t="shared" si="245"/>
        <v>16.955580021165527</v>
      </c>
      <c r="AE515" s="584">
        <f t="shared" si="246"/>
        <v>-14.53040430280214</v>
      </c>
      <c r="AG515" s="583">
        <f t="shared" si="247"/>
        <v>-6.1582709981034185</v>
      </c>
      <c r="AH515" s="584">
        <f t="shared" si="248"/>
        <v>-5.9610622596635476</v>
      </c>
      <c r="AJ515" s="147">
        <f t="shared" si="249"/>
        <v>0</v>
      </c>
      <c r="AK515" s="147">
        <f t="shared" si="261"/>
        <v>0</v>
      </c>
      <c r="AM515" s="147" t="str">
        <f t="shared" si="253"/>
        <v>1.9860386301888+0.166516725212172i</v>
      </c>
      <c r="AN515" s="147" t="str">
        <f t="shared" si="254"/>
        <v>2.97429664080621i</v>
      </c>
      <c r="AO515" s="147" t="str">
        <f t="shared" si="255"/>
        <v>0.0559852446886522-0.66773387796668i</v>
      </c>
      <c r="AP515" s="147" t="str">
        <f t="shared" si="256"/>
        <v>-0.164339771698134-0.027752787535362i</v>
      </c>
      <c r="AQ515" s="147" t="str">
        <f t="shared" si="257"/>
        <v>1.16433977169813+0.027752787535362i</v>
      </c>
      <c r="AR515" s="147" t="str">
        <f t="shared" si="258"/>
        <v>0.715020675316996-0.0170429778040841i</v>
      </c>
    </row>
    <row r="516" spans="7:44">
      <c r="G516" s="585">
        <v>70392</v>
      </c>
      <c r="H516" s="573">
        <f t="shared" si="250"/>
        <v>70.391999999999996</v>
      </c>
      <c r="I516" s="574">
        <f t="shared" si="230"/>
        <v>198.82811508686856</v>
      </c>
      <c r="J516" s="575">
        <f t="shared" si="231"/>
        <v>1.5657668357918821</v>
      </c>
      <c r="K516" s="575">
        <f t="shared" si="232"/>
        <v>1.0047227763760236</v>
      </c>
      <c r="L516" s="576">
        <f t="shared" si="233"/>
        <v>9.6997564886891915E-2</v>
      </c>
      <c r="M516" s="575">
        <f t="shared" si="234"/>
        <v>1.0108360805488823</v>
      </c>
      <c r="N516" s="576">
        <f t="shared" si="235"/>
        <v>-0.1465546066370913</v>
      </c>
      <c r="O516" s="574">
        <f t="shared" si="236"/>
        <v>2919087.4656083314</v>
      </c>
      <c r="P516" s="577">
        <f t="shared" si="237"/>
        <v>1.5707959842220851</v>
      </c>
      <c r="Q516" s="586">
        <f t="shared" si="259"/>
        <v>117.74077447333114</v>
      </c>
      <c r="R516" s="587">
        <f t="shared" si="260"/>
        <v>1.5623029902479897</v>
      </c>
      <c r="S516" s="574">
        <f t="shared" si="238"/>
        <v>1.0311480753053188</v>
      </c>
      <c r="T516" s="577">
        <f t="shared" si="239"/>
        <v>0.2464162973647476</v>
      </c>
      <c r="U516" s="578">
        <f t="shared" si="251"/>
        <v>0.47667717412611738</v>
      </c>
      <c r="V516" s="579">
        <f t="shared" si="252"/>
        <v>-1.5171148383691107</v>
      </c>
      <c r="W516" s="580">
        <f t="shared" si="240"/>
        <v>-30.705450660294581</v>
      </c>
      <c r="X516" s="581">
        <f t="shared" si="241"/>
        <v>-194.08074477924637</v>
      </c>
      <c r="Y516" s="584">
        <f t="shared" si="242"/>
        <v>-14.080744779246373</v>
      </c>
      <c r="AA516" s="147">
        <f t="shared" si="243"/>
        <v>70392</v>
      </c>
      <c r="AB516" s="147">
        <f t="shared" si="244"/>
        <v>4955033664</v>
      </c>
      <c r="AD516" s="583">
        <f t="shared" si="245"/>
        <v>16.95262499420355</v>
      </c>
      <c r="AE516" s="584">
        <f t="shared" si="246"/>
        <v>-14.605226569075324</v>
      </c>
      <c r="AG516" s="583">
        <f t="shared" si="247"/>
        <v>-6.1597746138361344</v>
      </c>
      <c r="AH516" s="584">
        <f t="shared" si="248"/>
        <v>-5.6269634610759462</v>
      </c>
      <c r="AJ516" s="147">
        <f t="shared" si="249"/>
        <v>0</v>
      </c>
      <c r="AK516" s="147">
        <f t="shared" si="261"/>
        <v>0</v>
      </c>
      <c r="AM516" s="147" t="str">
        <f t="shared" si="253"/>
        <v>1.98874567848424+0.149606093721969i</v>
      </c>
      <c r="AN516" s="147" t="str">
        <f t="shared" si="254"/>
        <v>2.99142278271773i</v>
      </c>
      <c r="AO516" s="147" t="str">
        <f t="shared" si="255"/>
        <v>0.0500116849367747-0.664815983208315i</v>
      </c>
      <c r="AP516" s="147" t="str">
        <f t="shared" si="256"/>
        <v>-0.164790946414039-0.0249343489536615i</v>
      </c>
      <c r="AQ516" s="147" t="str">
        <f t="shared" si="257"/>
        <v>1.16479094641404+0.0249343489536615i</v>
      </c>
      <c r="AR516" s="147" t="str">
        <f t="shared" si="258"/>
        <v>0.714822223891339-0.0153019963154859i</v>
      </c>
    </row>
    <row r="517" spans="7:44">
      <c r="G517" s="585">
        <v>70795</v>
      </c>
      <c r="H517" s="573">
        <f t="shared" si="250"/>
        <v>70.795000000000002</v>
      </c>
      <c r="I517" s="574">
        <f t="shared" si="230"/>
        <v>199.96639371615206</v>
      </c>
      <c r="J517" s="575">
        <f t="shared" si="231"/>
        <v>1.5657954656525306</v>
      </c>
      <c r="K517" s="575">
        <f t="shared" si="232"/>
        <v>1.0047768788242066</v>
      </c>
      <c r="L517" s="576">
        <f t="shared" si="233"/>
        <v>9.7549377643965748E-2</v>
      </c>
      <c r="M517" s="575">
        <f t="shared" si="234"/>
        <v>1.0109598361106127</v>
      </c>
      <c r="N517" s="576">
        <f t="shared" si="235"/>
        <v>-0.14738158015169084</v>
      </c>
      <c r="O517" s="574">
        <f t="shared" si="236"/>
        <v>2935799.4818692706</v>
      </c>
      <c r="P517" s="577">
        <f t="shared" si="237"/>
        <v>1.5707959861721783</v>
      </c>
      <c r="Q517" s="586">
        <f t="shared" si="259"/>
        <v>118.41480162244798</v>
      </c>
      <c r="R517" s="587">
        <f t="shared" si="260"/>
        <v>1.5623513361965222</v>
      </c>
      <c r="S517" s="574">
        <f t="shared" si="238"/>
        <v>1.0315002845514782</v>
      </c>
      <c r="T517" s="577">
        <f t="shared" si="239"/>
        <v>0.24777017024021866</v>
      </c>
      <c r="U517" s="578">
        <f t="shared" si="251"/>
        <v>0.47411093745662009</v>
      </c>
      <c r="V517" s="579">
        <f t="shared" si="252"/>
        <v>-1.5232463662215776</v>
      </c>
      <c r="W517" s="580">
        <f t="shared" si="240"/>
        <v>-30.803361519363634</v>
      </c>
      <c r="X517" s="581">
        <f t="shared" si="241"/>
        <v>-194.52426266262987</v>
      </c>
      <c r="Y517" s="584">
        <f t="shared" si="242"/>
        <v>-14.524262662629866</v>
      </c>
      <c r="AA517" s="147">
        <f t="shared" si="243"/>
        <v>70795</v>
      </c>
      <c r="AB517" s="147">
        <f t="shared" si="244"/>
        <v>5011932025</v>
      </c>
      <c r="AD517" s="583">
        <f t="shared" si="245"/>
        <v>16.949655104952033</v>
      </c>
      <c r="AE517" s="584">
        <f t="shared" si="246"/>
        <v>-14.680027863847162</v>
      </c>
      <c r="AG517" s="583">
        <f t="shared" si="247"/>
        <v>-6.1609403151061661</v>
      </c>
      <c r="AH517" s="584">
        <f t="shared" si="248"/>
        <v>-5.2930587130581843</v>
      </c>
      <c r="AJ517" s="147">
        <f t="shared" si="249"/>
        <v>0</v>
      </c>
      <c r="AK517" s="147">
        <f t="shared" si="261"/>
        <v>0</v>
      </c>
      <c r="AM517" s="147" t="str">
        <f t="shared" si="253"/>
        <v>1.99116273007693+0.13265158312835i</v>
      </c>
      <c r="AN517" s="147" t="str">
        <f t="shared" si="254"/>
        <v>3.00854892462924i</v>
      </c>
      <c r="AO517" s="147" t="str">
        <f t="shared" si="255"/>
        <v>0.0440915492656306-0.661834917749364i</v>
      </c>
      <c r="AP517" s="147" t="str">
        <f t="shared" si="256"/>
        <v>-0.165193788346154-0.0221085971880583i</v>
      </c>
      <c r="AQ517" s="147" t="str">
        <f t="shared" si="257"/>
        <v>1.16519378834615+0.0221085971880583i</v>
      </c>
      <c r="AR517" s="147" t="str">
        <f t="shared" si="258"/>
        <v>0.714645254716463-0.0135598080138322i</v>
      </c>
    </row>
    <row r="518" spans="7:44">
      <c r="G518" s="585">
        <v>71207.25</v>
      </c>
      <c r="H518" s="573">
        <f t="shared" si="250"/>
        <v>71.207250000000002</v>
      </c>
      <c r="I518" s="574">
        <f t="shared" si="230"/>
        <v>201.1307992558182</v>
      </c>
      <c r="J518" s="575">
        <f t="shared" si="231"/>
        <v>1.5658244173524221</v>
      </c>
      <c r="K518" s="575">
        <f t="shared" si="232"/>
        <v>1.0048325396095847</v>
      </c>
      <c r="L518" s="576">
        <f t="shared" si="233"/>
        <v>9.8113794418790645E-2</v>
      </c>
      <c r="M518" s="575">
        <f t="shared" si="234"/>
        <v>1.0110871474045269</v>
      </c>
      <c r="N518" s="576">
        <f t="shared" si="235"/>
        <v>-0.14822732501047658</v>
      </c>
      <c r="O518" s="574">
        <f t="shared" si="236"/>
        <v>2952895.0865927748</v>
      </c>
      <c r="P518" s="577">
        <f t="shared" si="237"/>
        <v>1.5707959881441926</v>
      </c>
      <c r="Q518" s="586">
        <f t="shared" si="259"/>
        <v>119.10429990113772</v>
      </c>
      <c r="R518" s="587">
        <f t="shared" si="260"/>
        <v>1.5624002256464709</v>
      </c>
      <c r="S518" s="574">
        <f t="shared" si="238"/>
        <v>1.0318625329566715</v>
      </c>
      <c r="T518" s="577">
        <f t="shared" si="239"/>
        <v>0.24915415944785452</v>
      </c>
      <c r="U518" s="578">
        <f t="shared" si="251"/>
        <v>0.47149744859446641</v>
      </c>
      <c r="V518" s="579">
        <f t="shared" si="252"/>
        <v>-1.5295150972636826</v>
      </c>
      <c r="W518" s="580">
        <f t="shared" si="240"/>
        <v>-30.903283862747529</v>
      </c>
      <c r="X518" s="581">
        <f t="shared" si="241"/>
        <v>-194.97770791117875</v>
      </c>
      <c r="Y518" s="584">
        <f t="shared" si="242"/>
        <v>-14.977707911178754</v>
      </c>
      <c r="AA518" s="147">
        <f t="shared" si="243"/>
        <v>71207.25</v>
      </c>
      <c r="AB518" s="147">
        <f t="shared" si="244"/>
        <v>5070472452.5625</v>
      </c>
      <c r="AD518" s="583">
        <f t="shared" si="245"/>
        <v>16.946601702207367</v>
      </c>
      <c r="AE518" s="584">
        <f t="shared" si="246"/>
        <v>-14.756523558267091</v>
      </c>
      <c r="AG518" s="583">
        <f t="shared" si="247"/>
        <v>-6.1617841613714113</v>
      </c>
      <c r="AH518" s="584">
        <f t="shared" si="248"/>
        <v>-4.9516646031357903</v>
      </c>
      <c r="AJ518" s="147">
        <f t="shared" si="249"/>
        <v>0</v>
      </c>
      <c r="AK518" s="147">
        <f t="shared" si="261"/>
        <v>0</v>
      </c>
      <c r="AM518" s="147" t="str">
        <f t="shared" si="253"/>
        <v>1.99333446381873+0.115267701416955i</v>
      </c>
      <c r="AN518" s="147" t="str">
        <f t="shared" si="254"/>
        <v>3.02606816036875i</v>
      </c>
      <c r="AO518" s="147" t="str">
        <f t="shared" si="255"/>
        <v>0.0380915747128805-0.658720940236795i</v>
      </c>
      <c r="AP518" s="147" t="str">
        <f t="shared" si="256"/>
        <v>-0.165555743969789-0.0192112835694925i</v>
      </c>
      <c r="AQ518" s="147" t="str">
        <f t="shared" si="257"/>
        <v>1.16555574396979+0.0192112835694925i</v>
      </c>
      <c r="AR518" s="147" t="str">
        <f t="shared" si="258"/>
        <v>0.714486425951928-0.0117765292707197i</v>
      </c>
    </row>
    <row r="519" spans="7:44">
      <c r="G519" s="585">
        <v>71619.5</v>
      </c>
      <c r="H519" s="573">
        <f t="shared" si="250"/>
        <v>71.619500000000002</v>
      </c>
      <c r="I519" s="574">
        <f t="shared" si="230"/>
        <v>202.29520496213161</v>
      </c>
      <c r="J519" s="575">
        <f t="shared" si="231"/>
        <v>1.5658530357619405</v>
      </c>
      <c r="K519" s="575">
        <f t="shared" si="232"/>
        <v>1.0048885204652218</v>
      </c>
      <c r="L519" s="576">
        <f t="shared" si="233"/>
        <v>9.8678148487732889E-2</v>
      </c>
      <c r="M519" s="575">
        <f t="shared" si="234"/>
        <v>1.0112151817308641</v>
      </c>
      <c r="N519" s="576">
        <f t="shared" si="235"/>
        <v>-0.14907285630710371</v>
      </c>
      <c r="O519" s="574">
        <f t="shared" si="236"/>
        <v>2969990.6913162787</v>
      </c>
      <c r="P519" s="577">
        <f t="shared" si="237"/>
        <v>1.5707959900935047</v>
      </c>
      <c r="Q519" s="586">
        <f t="shared" si="259"/>
        <v>119.79379846123091</v>
      </c>
      <c r="R519" s="587">
        <f t="shared" si="260"/>
        <v>1.5624485523093818</v>
      </c>
      <c r="S519" s="574">
        <f t="shared" si="238"/>
        <v>1.0322267564288818</v>
      </c>
      <c r="T519" s="577">
        <f t="shared" si="239"/>
        <v>0.25053717461575253</v>
      </c>
      <c r="U519" s="578">
        <f t="shared" si="251"/>
        <v>0.46889557410354243</v>
      </c>
      <c r="V519" s="579">
        <f t="shared" si="252"/>
        <v>-1.5357807238227745</v>
      </c>
      <c r="W519" s="580">
        <f t="shared" si="240"/>
        <v>-31.002973490907927</v>
      </c>
      <c r="X519" s="581">
        <f t="shared" si="241"/>
        <v>-195.43092398204871</v>
      </c>
      <c r="Y519" s="584">
        <f t="shared" si="242"/>
        <v>-15.430923982048711</v>
      </c>
      <c r="AA519" s="147">
        <f t="shared" si="243"/>
        <v>71619.5</v>
      </c>
      <c r="AB519" s="147">
        <f t="shared" si="244"/>
        <v>5129352780.25</v>
      </c>
      <c r="AD519" s="583">
        <f t="shared" si="245"/>
        <v>16.943532811889838</v>
      </c>
      <c r="AE519" s="584">
        <f t="shared" si="246"/>
        <v>-14.832995688342205</v>
      </c>
      <c r="AG519" s="583">
        <f t="shared" si="247"/>
        <v>-6.1622763580497528</v>
      </c>
      <c r="AH519" s="584">
        <f t="shared" si="248"/>
        <v>-4.6104206274281339</v>
      </c>
      <c r="AJ519" s="147">
        <f t="shared" si="249"/>
        <v>0</v>
      </c>
      <c r="AK519" s="147">
        <f t="shared" si="261"/>
        <v>0</v>
      </c>
      <c r="AM519" s="147" t="str">
        <f t="shared" si="253"/>
        <v>1.99520132754792+0.097848442230131i</v>
      </c>
      <c r="AN519" s="147" t="str">
        <f t="shared" si="254"/>
        <v>3.04358739610826i</v>
      </c>
      <c r="AO519" s="147" t="str">
        <f t="shared" si="255"/>
        <v>0.032149049623233-0.655542643559085i</v>
      </c>
      <c r="AP519" s="147" t="str">
        <f t="shared" si="256"/>
        <v>-0.165866887924653-0.0163080737050218i</v>
      </c>
      <c r="AQ519" s="147" t="str">
        <f t="shared" si="257"/>
        <v>1.16586688792465+0.0163080737050218i</v>
      </c>
      <c r="AR519" s="147" t="str">
        <f t="shared" si="258"/>
        <v>0.714350028913128-0.00999228389051963i</v>
      </c>
    </row>
    <row r="520" spans="7:44">
      <c r="G520" s="585">
        <v>72031.75</v>
      </c>
      <c r="H520" s="573">
        <f t="shared" si="250"/>
        <v>72.031750000000002</v>
      </c>
      <c r="I520" s="574">
        <f t="shared" si="230"/>
        <v>203.45961083223108</v>
      </c>
      <c r="J520" s="575">
        <f t="shared" si="231"/>
        <v>1.5658813266033331</v>
      </c>
      <c r="K520" s="575">
        <f t="shared" si="232"/>
        <v>1.0049448213376293</v>
      </c>
      <c r="L520" s="576">
        <f t="shared" si="233"/>
        <v>9.9242439501813343E-2</v>
      </c>
      <c r="M520" s="575">
        <f t="shared" si="234"/>
        <v>1.0113439388150207</v>
      </c>
      <c r="N520" s="576">
        <f t="shared" si="235"/>
        <v>-0.14991817291393278</v>
      </c>
      <c r="O520" s="574">
        <f t="shared" si="236"/>
        <v>2987086.2960397825</v>
      </c>
      <c r="P520" s="577">
        <f t="shared" si="237"/>
        <v>1.5707959920205041</v>
      </c>
      <c r="Q520" s="586">
        <f t="shared" si="259"/>
        <v>120.4832972978963</v>
      </c>
      <c r="R520" s="587">
        <f t="shared" si="260"/>
        <v>1.5624963258471385</v>
      </c>
      <c r="S520" s="574">
        <f t="shared" si="238"/>
        <v>1.0325929528781304</v>
      </c>
      <c r="T520" s="577">
        <f t="shared" si="239"/>
        <v>0.25191921148676122</v>
      </c>
      <c r="U520" s="578">
        <f t="shared" si="251"/>
        <v>0.4663051437207385</v>
      </c>
      <c r="V520" s="579">
        <f t="shared" si="252"/>
        <v>-1.5420437174603694</v>
      </c>
      <c r="W520" s="580">
        <f t="shared" si="240"/>
        <v>-31.102436271240084</v>
      </c>
      <c r="X520" s="581">
        <f t="shared" si="241"/>
        <v>-195.8839373794915</v>
      </c>
      <c r="Y520" s="584">
        <f t="shared" si="242"/>
        <v>-15.883937379491499</v>
      </c>
      <c r="AA520" s="147">
        <f t="shared" si="243"/>
        <v>72031.75</v>
      </c>
      <c r="AB520" s="147">
        <f t="shared" si="244"/>
        <v>5188573008.0625</v>
      </c>
      <c r="AD520" s="583">
        <f t="shared" si="245"/>
        <v>16.940448467009837</v>
      </c>
      <c r="AE520" s="584">
        <f t="shared" si="246"/>
        <v>-14.909443456592893</v>
      </c>
      <c r="AG520" s="583">
        <f t="shared" si="247"/>
        <v>-6.162417699002579</v>
      </c>
      <c r="AH520" s="584">
        <f t="shared" si="248"/>
        <v>-4.2693000506972059</v>
      </c>
      <c r="AJ520" s="147">
        <f t="shared" si="249"/>
        <v>0</v>
      </c>
      <c r="AK520" s="147">
        <f t="shared" si="261"/>
        <v>0</v>
      </c>
      <c r="AM520" s="147" t="str">
        <f t="shared" si="253"/>
        <v>1.99676274829455+0.0803991518132486i</v>
      </c>
      <c r="AN520" s="147" t="str">
        <f t="shared" si="254"/>
        <v>3.06110663184776i</v>
      </c>
      <c r="AO520" s="147" t="str">
        <f t="shared" si="255"/>
        <v>0.0262647341248343-0.652300944867528i</v>
      </c>
      <c r="AP520" s="147" t="str">
        <f t="shared" si="256"/>
        <v>-0.166127124715759-0.0133998586355414i</v>
      </c>
      <c r="AQ520" s="147" t="str">
        <f t="shared" si="257"/>
        <v>1.16612712471576+0.0133998586355414i</v>
      </c>
      <c r="AR520" s="147" t="str">
        <f t="shared" si="258"/>
        <v>0.714236044044821-0.0082072201390065i</v>
      </c>
    </row>
    <row r="521" spans="7:44">
      <c r="G521" s="585">
        <v>72444</v>
      </c>
      <c r="H521" s="573">
        <f t="shared" si="250"/>
        <v>72.444000000000003</v>
      </c>
      <c r="I521" s="574">
        <f t="shared" si="230"/>
        <v>204.62401686332055</v>
      </c>
      <c r="J521" s="575">
        <f t="shared" si="231"/>
        <v>1.5659092954686002</v>
      </c>
      <c r="K521" s="575">
        <f t="shared" si="232"/>
        <v>1.0050014421730242</v>
      </c>
      <c r="L521" s="576">
        <f t="shared" si="233"/>
        <v>9.9806667112291483E-2</v>
      </c>
      <c r="M521" s="575">
        <f t="shared" si="234"/>
        <v>1.011473418380983</v>
      </c>
      <c r="N521" s="576">
        <f t="shared" si="235"/>
        <v>-0.15076327370512413</v>
      </c>
      <c r="O521" s="574">
        <f t="shared" si="236"/>
        <v>3004181.9007632863</v>
      </c>
      <c r="P521" s="577">
        <f t="shared" si="237"/>
        <v>1.570795993925572</v>
      </c>
      <c r="Q521" s="586">
        <f t="shared" si="259"/>
        <v>121.17279640641263</v>
      </c>
      <c r="R521" s="587">
        <f t="shared" si="260"/>
        <v>1.562543555701722</v>
      </c>
      <c r="S521" s="574">
        <f t="shared" si="238"/>
        <v>1.0329611202060889</v>
      </c>
      <c r="T521" s="577">
        <f t="shared" si="239"/>
        <v>0.25330026582469828</v>
      </c>
      <c r="U521" s="578">
        <f t="shared" si="251"/>
        <v>0.46372598629149531</v>
      </c>
      <c r="V521" s="579">
        <f t="shared" si="252"/>
        <v>-1.5483045493602419</v>
      </c>
      <c r="W521" s="580">
        <f t="shared" si="240"/>
        <v>-31.201678086871219</v>
      </c>
      <c r="X521" s="581">
        <f t="shared" si="241"/>
        <v>-196.33677459254307</v>
      </c>
      <c r="Y521" s="584">
        <f t="shared" si="242"/>
        <v>-16.336774592543065</v>
      </c>
      <c r="AA521" s="147">
        <f t="shared" si="243"/>
        <v>72444</v>
      </c>
      <c r="AB521" s="147">
        <f t="shared" si="244"/>
        <v>5248133136</v>
      </c>
      <c r="AD521" s="583">
        <f t="shared" si="245"/>
        <v>16.93734870073402</v>
      </c>
      <c r="AE521" s="584">
        <f t="shared" si="246"/>
        <v>-14.985866079339948</v>
      </c>
      <c r="AG521" s="583">
        <f t="shared" si="247"/>
        <v>-6.1622088478514927</v>
      </c>
      <c r="AH521" s="584">
        <f t="shared" si="248"/>
        <v>-3.9282761519748219</v>
      </c>
      <c r="AJ521" s="147">
        <f t="shared" si="249"/>
        <v>0</v>
      </c>
      <c r="AK521" s="147">
        <f t="shared" si="261"/>
        <v>0</v>
      </c>
      <c r="AM521" s="147" t="str">
        <f t="shared" si="253"/>
        <v>1.99801824683399+0.0629251856287054i</v>
      </c>
      <c r="AN521" s="147" t="str">
        <f t="shared" si="254"/>
        <v>3.07862586758727i</v>
      </c>
      <c r="AO521" s="147" t="str">
        <f t="shared" si="255"/>
        <v>0.0204393740373591-0.648996770887215i</v>
      </c>
      <c r="AP521" s="147" t="str">
        <f t="shared" si="256"/>
        <v>-0.166336374472332-0.0104875309381176i</v>
      </c>
      <c r="AQ521" s="147" t="str">
        <f t="shared" si="257"/>
        <v>1.16633637447233+0.0104875309381176i</v>
      </c>
      <c r="AR521" s="147" t="str">
        <f t="shared" si="258"/>
        <v>0.714144454981472-0.0064214854563648i</v>
      </c>
    </row>
    <row r="522" spans="7:44">
      <c r="G522" s="585">
        <v>72865.75</v>
      </c>
      <c r="H522" s="573">
        <f t="shared" si="250"/>
        <v>72.865750000000006</v>
      </c>
      <c r="I522" s="574">
        <f t="shared" si="230"/>
        <v>205.8152559442598</v>
      </c>
      <c r="J522" s="575">
        <f t="shared" si="231"/>
        <v>1.5659375813632677</v>
      </c>
      <c r="K522" s="575">
        <f t="shared" si="232"/>
        <v>1.0050596988457177</v>
      </c>
      <c r="L522" s="576">
        <f t="shared" si="233"/>
        <v>0.10038383096026593</v>
      </c>
      <c r="M522" s="575">
        <f t="shared" si="234"/>
        <v>1.0116066290668648</v>
      </c>
      <c r="N522" s="576">
        <f t="shared" si="235"/>
        <v>-0.1516276247214752</v>
      </c>
      <c r="O522" s="574">
        <f t="shared" si="236"/>
        <v>3021671.4612051006</v>
      </c>
      <c r="P522" s="577">
        <f t="shared" si="237"/>
        <v>1.5707959958522337</v>
      </c>
      <c r="Q522" s="586">
        <f t="shared" si="259"/>
        <v>121.87818479454494</v>
      </c>
      <c r="R522" s="587">
        <f t="shared" si="260"/>
        <v>1.5625913209349274</v>
      </c>
      <c r="S522" s="574">
        <f t="shared" si="238"/>
        <v>1.0333398090124932</v>
      </c>
      <c r="T522" s="577">
        <f t="shared" si="239"/>
        <v>0.25471212439869367</v>
      </c>
      <c r="U522" s="578">
        <f t="shared" si="251"/>
        <v>0.46109888029727419</v>
      </c>
      <c r="V522" s="579">
        <f t="shared" si="252"/>
        <v>-1.554707911537009</v>
      </c>
      <c r="W522" s="580">
        <f t="shared" si="240"/>
        <v>-31.302984349864715</v>
      </c>
      <c r="X522" s="581">
        <f t="shared" si="241"/>
        <v>-196.79989239723599</v>
      </c>
      <c r="Y522" s="584">
        <f t="shared" si="242"/>
        <v>-16.799892397235993</v>
      </c>
      <c r="AA522" s="147">
        <f t="shared" si="243"/>
        <v>72865.75</v>
      </c>
      <c r="AB522" s="147">
        <f t="shared" si="244"/>
        <v>5309417523.0625</v>
      </c>
      <c r="AD522" s="583">
        <f t="shared" si="245"/>
        <v>16.934161578803636</v>
      </c>
      <c r="AE522" s="584">
        <f t="shared" si="246"/>
        <v>-15.064022981108003</v>
      </c>
      <c r="AG522" s="583">
        <f t="shared" si="247"/>
        <v>-6.1616333498098532</v>
      </c>
      <c r="AH522" s="584">
        <f t="shared" si="248"/>
        <v>-3.5794657992162726</v>
      </c>
      <c r="AJ522" s="147">
        <f t="shared" si="249"/>
        <v>0</v>
      </c>
      <c r="AK522" s="147">
        <f t="shared" si="261"/>
        <v>0</v>
      </c>
      <c r="AM522" s="147" t="str">
        <f t="shared" si="253"/>
        <v>1.99898569810133+0.0450286018992533i</v>
      </c>
      <c r="AN522" s="147" t="str">
        <f t="shared" si="254"/>
        <v>3.09654882131228i</v>
      </c>
      <c r="AO522" s="147" t="str">
        <f t="shared" si="255"/>
        <v>0.0145415443119578-0.645552779385595i</v>
      </c>
      <c r="AP522" s="147" t="str">
        <f t="shared" si="256"/>
        <v>-0.166497616350221-0.00750476698320888i</v>
      </c>
      <c r="AQ522" s="147" t="str">
        <f t="shared" si="257"/>
        <v>1.16649761635022+0.00750476698320888i</v>
      </c>
      <c r="AR522" s="147" t="str">
        <f t="shared" si="258"/>
        <v>0.714073917499474-0.0045940585600063i</v>
      </c>
    </row>
    <row r="523" spans="7:44">
      <c r="G523" s="585">
        <v>73287.5</v>
      </c>
      <c r="H523" s="573">
        <f t="shared" si="250"/>
        <v>73.287499999999994</v>
      </c>
      <c r="I523" s="574">
        <f t="shared" si="230"/>
        <v>207.00649518797496</v>
      </c>
      <c r="J523" s="575">
        <f t="shared" si="231"/>
        <v>1.5659655417100296</v>
      </c>
      <c r="K523" s="575">
        <f t="shared" si="232"/>
        <v>1.0051182902831204</v>
      </c>
      <c r="L523" s="576">
        <f t="shared" si="233"/>
        <v>0.10096092771115044</v>
      </c>
      <c r="M523" s="575">
        <f t="shared" si="234"/>
        <v>1.0117405953274226</v>
      </c>
      <c r="N523" s="576">
        <f t="shared" si="235"/>
        <v>-0.15249174748295169</v>
      </c>
      <c r="O523" s="574">
        <f t="shared" si="236"/>
        <v>3039161.0216469145</v>
      </c>
      <c r="P523" s="577">
        <f t="shared" si="237"/>
        <v>1.5707959977567203</v>
      </c>
      <c r="Q523" s="586">
        <f t="shared" si="259"/>
        <v>122.58357345754425</v>
      </c>
      <c r="R523" s="587">
        <f t="shared" si="260"/>
        <v>1.5626385364525959</v>
      </c>
      <c r="S523" s="574">
        <f t="shared" si="238"/>
        <v>1.0337205561097074</v>
      </c>
      <c r="T523" s="577">
        <f t="shared" si="239"/>
        <v>0.25612294573221117</v>
      </c>
      <c r="U523" s="578">
        <f t="shared" si="251"/>
        <v>0.45848320767613865</v>
      </c>
      <c r="V523" s="579">
        <f t="shared" si="252"/>
        <v>-1.5611100079402735</v>
      </c>
      <c r="W523" s="580">
        <f t="shared" si="240"/>
        <v>-31.404071863208038</v>
      </c>
      <c r="X523" s="581">
        <f t="shared" si="241"/>
        <v>-197.26288185787521</v>
      </c>
      <c r="Y523" s="584">
        <f t="shared" si="242"/>
        <v>-17.262881857875215</v>
      </c>
      <c r="AA523" s="147">
        <f t="shared" si="243"/>
        <v>73287.5</v>
      </c>
      <c r="AB523" s="147">
        <f t="shared" si="244"/>
        <v>5371057656.25</v>
      </c>
      <c r="AD523" s="583">
        <f t="shared" si="245"/>
        <v>16.930958387254137</v>
      </c>
      <c r="AE523" s="584">
        <f t="shared" si="246"/>
        <v>-15.142151948483965</v>
      </c>
      <c r="AG523" s="583">
        <f t="shared" si="247"/>
        <v>-6.1606923234985178</v>
      </c>
      <c r="AH523" s="584">
        <f t="shared" si="248"/>
        <v>-3.2307000837553859</v>
      </c>
      <c r="AJ523" s="147">
        <f t="shared" si="249"/>
        <v>0</v>
      </c>
      <c r="AK523" s="147">
        <f t="shared" si="261"/>
        <v>0</v>
      </c>
      <c r="AM523" s="147" t="str">
        <f t="shared" si="253"/>
        <v>1.99963225151531+0.0271175539169823i</v>
      </c>
      <c r="AN523" s="147" t="str">
        <f t="shared" si="254"/>
        <v>3.1144717750373i</v>
      </c>
      <c r="AO523" s="147" t="str">
        <f t="shared" si="255"/>
        <v>0.00870695125071651-0.642045391948162i</v>
      </c>
      <c r="AP523" s="147" t="str">
        <f t="shared" si="256"/>
        <v>-0.166605375252551-0.00451959231949705i</v>
      </c>
      <c r="AQ523" s="147" t="str">
        <f t="shared" si="257"/>
        <v>1.16660537525255+0.00451959231949705i</v>
      </c>
      <c r="AR523" s="147" t="str">
        <f t="shared" si="258"/>
        <v>0.714026795517113-0.00276623962943392i</v>
      </c>
    </row>
    <row r="524" spans="7:44">
      <c r="G524" s="585">
        <v>73709.25</v>
      </c>
      <c r="H524" s="573">
        <f t="shared" si="250"/>
        <v>73.709249999999997</v>
      </c>
      <c r="I524" s="574">
        <f t="shared" si="230"/>
        <v>208.19773459167192</v>
      </c>
      <c r="J524" s="575">
        <f t="shared" si="231"/>
        <v>1.5659931820968778</v>
      </c>
      <c r="K524" s="575">
        <f t="shared" si="232"/>
        <v>1.0051772164266926</v>
      </c>
      <c r="L524" s="576">
        <f t="shared" si="233"/>
        <v>0.10153795699231857</v>
      </c>
      <c r="M524" s="575">
        <f t="shared" si="234"/>
        <v>1.0118753168625558</v>
      </c>
      <c r="N524" s="576">
        <f t="shared" si="235"/>
        <v>-0.15335564078997477</v>
      </c>
      <c r="O524" s="574">
        <f t="shared" si="236"/>
        <v>3056650.5820887284</v>
      </c>
      <c r="P524" s="577">
        <f t="shared" si="237"/>
        <v>1.5707959996394127</v>
      </c>
      <c r="Q524" s="586">
        <f t="shared" si="259"/>
        <v>123.2889623906927</v>
      </c>
      <c r="R524" s="587">
        <f t="shared" si="260"/>
        <v>1.562685211689989</v>
      </c>
      <c r="S524" s="574">
        <f t="shared" si="238"/>
        <v>1.0341033592242015</v>
      </c>
      <c r="T524" s="577">
        <f t="shared" si="239"/>
        <v>0.25753272535782573</v>
      </c>
      <c r="U524" s="578">
        <f t="shared" si="251"/>
        <v>0.45587878246406127</v>
      </c>
      <c r="V524" s="579">
        <f t="shared" si="252"/>
        <v>-1.5675113422987439</v>
      </c>
      <c r="W524" s="580">
        <f t="shared" si="240"/>
        <v>-31.504946991431293</v>
      </c>
      <c r="X524" s="581">
        <f t="shared" si="241"/>
        <v>-197.72577131223386</v>
      </c>
      <c r="Y524" s="584">
        <f t="shared" si="242"/>
        <v>-17.72577131223386</v>
      </c>
      <c r="AA524" s="147">
        <f t="shared" si="243"/>
        <v>73709.25</v>
      </c>
      <c r="AB524" s="147">
        <f t="shared" si="244"/>
        <v>5433053535.5625</v>
      </c>
      <c r="AD524" s="583">
        <f t="shared" si="245"/>
        <v>16.927739162089768</v>
      </c>
      <c r="AE524" s="584">
        <f t="shared" si="246"/>
        <v>-15.220252184924387</v>
      </c>
      <c r="AG524" s="583">
        <f t="shared" si="247"/>
        <v>-6.1593860589059641</v>
      </c>
      <c r="AH524" s="584">
        <f t="shared" si="248"/>
        <v>-2.8819504168505778</v>
      </c>
      <c r="AJ524" s="147">
        <f t="shared" si="249"/>
        <v>0</v>
      </c>
      <c r="AK524" s="147">
        <f t="shared" si="261"/>
        <v>0</v>
      </c>
      <c r="AM524" s="147" t="str">
        <f t="shared" si="253"/>
        <v>1.99995769938766+0.00919779513449984i</v>
      </c>
      <c r="AN524" s="147" t="str">
        <f t="shared" si="254"/>
        <v>3.13239472876231i</v>
      </c>
      <c r="AO524" s="147" t="str">
        <f t="shared" si="255"/>
        <v>0.00293634612842492-0.638475630489231i</v>
      </c>
      <c r="AP524" s="147" t="str">
        <f t="shared" si="256"/>
        <v>-0.16665961656461-0.00153296585574997i</v>
      </c>
      <c r="AQ524" s="147" t="str">
        <f t="shared" si="257"/>
        <v>1.16665961656461+0.00153296585574997i</v>
      </c>
      <c r="AR524" s="147" t="str">
        <f t="shared" si="258"/>
        <v>0.714003081933683-0.000938184822688571i</v>
      </c>
    </row>
    <row r="525" spans="7:44">
      <c r="G525" s="585">
        <v>74131</v>
      </c>
      <c r="H525" s="573">
        <f t="shared" si="250"/>
        <v>74.131</v>
      </c>
      <c r="I525" s="574">
        <f t="shared" ref="I525:I588" si="262">SQRT(1+(G525/pole1)^2)</f>
        <v>209.38897415262025</v>
      </c>
      <c r="J525" s="575">
        <f t="shared" ref="J525:J588" si="263">ATAN(G525/pole1)</f>
        <v>1.5660205079846437</v>
      </c>
      <c r="K525" s="575">
        <f t="shared" ref="K525:K588" si="264">SQRT(1+(G525/Zero1)^2)</f>
        <v>1.005236477217573</v>
      </c>
      <c r="L525" s="576">
        <f t="shared" ref="L525:L588" si="265">ATAN(G525/Zero1)</f>
        <v>0.10211491843141079</v>
      </c>
      <c r="M525" s="575">
        <f t="shared" ref="M525:M588" si="266">SQRT(1+(G525/z_RHP)^2)</f>
        <v>1.0120107933706319</v>
      </c>
      <c r="N525" s="576">
        <f t="shared" ref="N525:N588" si="267">-ATAN(G525/z_RHP)</f>
        <v>-0.15421930344497253</v>
      </c>
      <c r="O525" s="574">
        <f t="shared" ref="O525:O588" si="268">SQRT(1+(G525/Pole2)^2)</f>
        <v>3074140.1425305428</v>
      </c>
      <c r="P525" s="577">
        <f t="shared" ref="P525:P588" si="269">ATAN(G525/Pole2)</f>
        <v>1.570796001500683</v>
      </c>
      <c r="Q525" s="586">
        <f t="shared" si="259"/>
        <v>123.99435158937972</v>
      </c>
      <c r="R525" s="587">
        <f t="shared" si="260"/>
        <v>1.5627313558676732</v>
      </c>
      <c r="S525" s="574">
        <f t="shared" ref="S525:S588" si="270">SQRT(1+(G525/pole4)^2)</f>
        <v>1.0344882160735429</v>
      </c>
      <c r="T525" s="577">
        <f t="shared" ref="T525:T588" si="271">ATAN(G525/pole4)</f>
        <v>0.25894145883126979</v>
      </c>
      <c r="U525" s="578">
        <f t="shared" si="251"/>
        <v>0.45328541784386023</v>
      </c>
      <c r="V525" s="579">
        <f t="shared" si="252"/>
        <v>-1.5739124182262889</v>
      </c>
      <c r="W525" s="580">
        <f t="shared" ref="W525:W588" si="272">20*LOG10(((K525*Q525*M525*U525)/(I525*O525*S525))*Adc)</f>
        <v>-31.605616125911979</v>
      </c>
      <c r="X525" s="581">
        <f t="shared" ref="X525:X588" si="273">((L525+R525+N525+V525)-(J525+P525+T525))*radconv</f>
        <v>-198.18858909794662</v>
      </c>
      <c r="Y525" s="584">
        <f t="shared" ref="Y525:Y588" si="274">IF(X525&gt;0,X525,X525+180)</f>
        <v>-18.188589097946618</v>
      </c>
      <c r="AA525" s="147">
        <f t="shared" ref="AA525:AA588" si="275">IF(W525&lt;0,G525,1000000000)</f>
        <v>74131</v>
      </c>
      <c r="AB525" s="147">
        <f t="shared" ref="AB525:AB588" si="276">G525^2</f>
        <v>5495405161</v>
      </c>
      <c r="AD525" s="583">
        <f t="shared" ref="AD525:AD588" si="277">20*LOG10((Q525/(O525*S525))*Aea)</f>
        <v>16.924503939475109</v>
      </c>
      <c r="AE525" s="584">
        <f t="shared" ref="AE525:AE588" si="278">(R525-(P525+T525))*radconv</f>
        <v>-15.298322907513267</v>
      </c>
      <c r="AG525" s="583">
        <f t="shared" ref="AG525:AG588" si="279">20*LOG10((K525*M525/(I525*U525))*Acs*Am)</f>
        <v>-6.1577147047745848</v>
      </c>
      <c r="AH525" s="584">
        <f t="shared" ref="AH525:AH588" si="280">(L525+N525-(J525+V525))*radconv</f>
        <v>-2.5331882091540305</v>
      </c>
      <c r="AJ525" s="147">
        <f t="shared" ref="AJ525:AJ588" si="281">SUM((W526&lt;0)*(W525&gt;0))*G525</f>
        <v>0</v>
      </c>
      <c r="AK525" s="147">
        <f t="shared" si="261"/>
        <v>0</v>
      </c>
      <c r="AM525" s="147" t="str">
        <f t="shared" si="253"/>
        <v>1.99996193717683-0.00872491819751186i</v>
      </c>
      <c r="AN525" s="147" t="str">
        <f t="shared" si="254"/>
        <v>3.15031768248733i</v>
      </c>
      <c r="AO525" s="147" t="str">
        <f t="shared" si="255"/>
        <v>-0.00276953598870801-0.634844526409083i</v>
      </c>
      <c r="AP525" s="147" t="str">
        <f t="shared" si="256"/>
        <v>-0.166660322862806+0.00145415303291864i</v>
      </c>
      <c r="AQ525" s="147" t="str">
        <f t="shared" si="257"/>
        <v>1.16666032286281-0.00145415303291864i</v>
      </c>
      <c r="AR525" s="147" t="str">
        <f t="shared" si="258"/>
        <v>0.714002773174392+0.000889949951821542i</v>
      </c>
    </row>
    <row r="526" spans="7:44">
      <c r="G526" s="585">
        <v>74562.75</v>
      </c>
      <c r="H526" s="573">
        <f t="shared" ref="H526:H589" si="282">G526/1000</f>
        <v>74.562749999999994</v>
      </c>
      <c r="I526" s="574">
        <f t="shared" si="262"/>
        <v>210.60845903219985</v>
      </c>
      <c r="J526" s="575">
        <f t="shared" si="263"/>
        <v>1.5660481615876809</v>
      </c>
      <c r="K526" s="575">
        <f t="shared" si="264"/>
        <v>1.0052974897066991</v>
      </c>
      <c r="L526" s="576">
        <f t="shared" si="265"/>
        <v>0.10270548938439106</v>
      </c>
      <c r="M526" s="575">
        <f t="shared" si="266"/>
        <v>1.012150263845575</v>
      </c>
      <c r="N526" s="576">
        <f t="shared" si="267"/>
        <v>-0.1551032040027791</v>
      </c>
      <c r="O526" s="574">
        <f t="shared" si="268"/>
        <v>3092044.3932021568</v>
      </c>
      <c r="P526" s="577">
        <f t="shared" si="269"/>
        <v>1.5707960033842747</v>
      </c>
      <c r="Q526" s="586">
        <f t="shared" si="259"/>
        <v>124.71646635062375</v>
      </c>
      <c r="R526" s="587">
        <f t="shared" si="260"/>
        <v>1.56277805346826</v>
      </c>
      <c r="S526" s="574">
        <f t="shared" si="270"/>
        <v>1.0348843231226383</v>
      </c>
      <c r="T526" s="577">
        <f t="shared" si="271"/>
        <v>0.26038250613309549</v>
      </c>
      <c r="U526" s="578">
        <f t="shared" ref="U526:U589" si="283">IMABS(IMPRODUCT(AO526, AR526))</f>
        <v>0.45064182382807461</v>
      </c>
      <c r="V526" s="579">
        <f t="shared" ref="V526:V589" si="284">IMARGUMENT(IMPRODUCT(AO526, AR526))</f>
        <v>-1.5804655263856755</v>
      </c>
      <c r="W526" s="580">
        <f t="shared" si="272"/>
        <v>-31.70846552457089</v>
      </c>
      <c r="X526" s="581">
        <f t="shared" si="273"/>
        <v>-198.66233598278686</v>
      </c>
      <c r="Y526" s="584">
        <f t="shared" si="274"/>
        <v>-18.662335982786857</v>
      </c>
      <c r="AA526" s="147">
        <f t="shared" si="275"/>
        <v>74562.75</v>
      </c>
      <c r="AB526" s="147">
        <f t="shared" si="276"/>
        <v>5559603687.5625</v>
      </c>
      <c r="AD526" s="583">
        <f t="shared" si="277"/>
        <v>16.921175474382181</v>
      </c>
      <c r="AE526" s="584">
        <f t="shared" si="278"/>
        <v>-15.378213368572732</v>
      </c>
      <c r="AG526" s="583">
        <f t="shared" si="279"/>
        <v>-6.1556255517056711</v>
      </c>
      <c r="AH526" s="584">
        <f t="shared" si="280"/>
        <v>-2.1761137516255711</v>
      </c>
      <c r="AJ526" s="147">
        <f t="shared" si="281"/>
        <v>0</v>
      </c>
      <c r="AK526" s="147">
        <f t="shared" si="261"/>
        <v>0</v>
      </c>
      <c r="AM526" s="147" t="str">
        <f t="shared" ref="AM526:AM589" si="285">IMSUB(1,IMEXP(COMPLEX(0,-2*Pi*G526*Tsw)))</f>
        <v>1.99963355010141-0.027069641882485i</v>
      </c>
      <c r="AN526" s="147" t="str">
        <f t="shared" ref="AN526:AN589" si="286">COMPLEX(0, 2*Pi*G526*Tsw)</f>
        <v>3.16866560251287i</v>
      </c>
      <c r="AO526" s="147" t="str">
        <f t="shared" ref="AO526:AO589" si="287">IMDIV(AM526, AN526)</f>
        <v>-0.0085429153082666-0.63106487112923i</v>
      </c>
      <c r="AP526" s="147" t="str">
        <f t="shared" ref="AP526:AP589" si="288">IMDIV(IMEXP(COMPLEX(0,-2*Pi*G526*Tsw)),6)</f>
        <v>-0.166605591683569+0.00451160698041417i</v>
      </c>
      <c r="AQ526" s="147" t="str">
        <f t="shared" ref="AQ526:AQ589" si="289">IMSUB(1, AP526)</f>
        <v>1.16660559168357-0.00451160698041417i</v>
      </c>
      <c r="AR526" s="147" t="str">
        <f t="shared" ref="AR526:AR589" si="290">IMDIV(0.833, AQ526)</f>
        <v>0.714026700888824+0.00276135128349864i</v>
      </c>
    </row>
    <row r="527" spans="7:44">
      <c r="G527" s="585">
        <v>74994.5</v>
      </c>
      <c r="H527" s="573">
        <f t="shared" si="282"/>
        <v>74.994500000000002</v>
      </c>
      <c r="I527" s="574">
        <f t="shared" si="262"/>
        <v>211.82794407098191</v>
      </c>
      <c r="J527" s="575">
        <f t="shared" si="263"/>
        <v>1.5660754967893558</v>
      </c>
      <c r="K527" s="575">
        <f t="shared" si="264"/>
        <v>1.0053588527748749</v>
      </c>
      <c r="L527" s="576">
        <f t="shared" si="265"/>
        <v>0.10329598845114113</v>
      </c>
      <c r="M527" s="575">
        <f t="shared" si="266"/>
        <v>1.0122905248752139</v>
      </c>
      <c r="N527" s="576">
        <f t="shared" si="267"/>
        <v>-0.15598686030768474</v>
      </c>
      <c r="O527" s="574">
        <f t="shared" si="268"/>
        <v>3109948.6438737707</v>
      </c>
      <c r="P527" s="577">
        <f t="shared" si="269"/>
        <v>1.5707960052461785</v>
      </c>
      <c r="Q527" s="586">
        <f t="shared" si="259"/>
        <v>125.43858138070148</v>
      </c>
      <c r="R527" s="587">
        <f t="shared" si="260"/>
        <v>1.5628242134187458</v>
      </c>
      <c r="S527" s="574">
        <f t="shared" si="270"/>
        <v>1.035282577583355</v>
      </c>
      <c r="T527" s="577">
        <f t="shared" si="271"/>
        <v>0.26182244773361157</v>
      </c>
      <c r="U527" s="578">
        <f t="shared" si="283"/>
        <v>0.44800942229525892</v>
      </c>
      <c r="V527" s="579">
        <f t="shared" si="284"/>
        <v>-1.5870194317445183</v>
      </c>
      <c r="W527" s="580">
        <f t="shared" si="272"/>
        <v>-31.811112697065525</v>
      </c>
      <c r="X527" s="581">
        <f t="shared" si="273"/>
        <v>-199.13606787667493</v>
      </c>
      <c r="Y527" s="584">
        <f t="shared" si="274"/>
        <v>-19.136067876674929</v>
      </c>
      <c r="AA527" s="147">
        <f t="shared" si="275"/>
        <v>74994.5</v>
      </c>
      <c r="AB527" s="147">
        <f t="shared" si="276"/>
        <v>5624175030.25</v>
      </c>
      <c r="AD527" s="583">
        <f t="shared" si="277"/>
        <v>16.91783032142483</v>
      </c>
      <c r="AE527" s="584">
        <f t="shared" si="278"/>
        <v>-15.458071281452721</v>
      </c>
      <c r="AG527" s="583">
        <f t="shared" si="279"/>
        <v>-6.153153653076247</v>
      </c>
      <c r="AH527" s="584">
        <f t="shared" si="280"/>
        <v>-1.8189654989957369</v>
      </c>
      <c r="AJ527" s="147">
        <f t="shared" si="281"/>
        <v>0</v>
      </c>
      <c r="AK527" s="147">
        <f t="shared" si="261"/>
        <v>0</v>
      </c>
      <c r="AM527" s="147" t="str">
        <f t="shared" si="285"/>
        <v>1.99896864966134-0.0454052529318737i</v>
      </c>
      <c r="AN527" s="147" t="str">
        <f t="shared" si="286"/>
        <v>3.18701352253842i</v>
      </c>
      <c r="AO527" s="147" t="str">
        <f t="shared" si="287"/>
        <v>-0.01424695960992-0.627223146536631i</v>
      </c>
      <c r="AP527" s="147" t="str">
        <f t="shared" si="288"/>
        <v>-0.166494774943556+0.00756754215531228i</v>
      </c>
      <c r="AQ527" s="147" t="str">
        <f t="shared" si="289"/>
        <v>1.16649477494356-0.00756754215531228i</v>
      </c>
      <c r="AR527" s="147" t="str">
        <f t="shared" si="290"/>
        <v>0.714075160222595+0.00463250585696564i</v>
      </c>
    </row>
    <row r="528" spans="7:44">
      <c r="G528" s="585">
        <v>75426.25</v>
      </c>
      <c r="H528" s="573">
        <f t="shared" si="282"/>
        <v>75.426249999999996</v>
      </c>
      <c r="I528" s="574">
        <f t="shared" si="262"/>
        <v>213.04742926623263</v>
      </c>
      <c r="J528" s="575">
        <f t="shared" si="263"/>
        <v>1.5661025190572231</v>
      </c>
      <c r="K528" s="575">
        <f t="shared" si="264"/>
        <v>1.0054205663579103</v>
      </c>
      <c r="L528" s="576">
        <f t="shared" si="265"/>
        <v>0.10388641523305982</v>
      </c>
      <c r="M528" s="575">
        <f t="shared" si="266"/>
        <v>1.0124315761309803</v>
      </c>
      <c r="N528" s="576">
        <f t="shared" si="267"/>
        <v>-0.15687027108148963</v>
      </c>
      <c r="O528" s="574">
        <f t="shared" si="268"/>
        <v>3127852.8945453851</v>
      </c>
      <c r="P528" s="577">
        <f t="shared" si="269"/>
        <v>1.5707960070867666</v>
      </c>
      <c r="Q528" s="586">
        <f t="shared" si="259"/>
        <v>126.16069667499666</v>
      </c>
      <c r="R528" s="587">
        <f t="shared" si="260"/>
        <v>1.5628698449510943</v>
      </c>
      <c r="S528" s="574">
        <f t="shared" si="270"/>
        <v>1.0356829769784397</v>
      </c>
      <c r="T528" s="577">
        <f t="shared" si="271"/>
        <v>0.26326127894057011</v>
      </c>
      <c r="U528" s="578">
        <f t="shared" si="283"/>
        <v>0.44538801020137653</v>
      </c>
      <c r="V528" s="579">
        <f t="shared" si="284"/>
        <v>-1.5935746747211532</v>
      </c>
      <c r="W528" s="580">
        <f t="shared" si="272"/>
        <v>-31.913564604231922</v>
      </c>
      <c r="X528" s="581">
        <f t="shared" si="273"/>
        <v>-199.60981520839394</v>
      </c>
      <c r="Y528" s="584">
        <f t="shared" si="274"/>
        <v>-19.60981520839394</v>
      </c>
      <c r="AA528" s="147">
        <f t="shared" si="275"/>
        <v>75426.25</v>
      </c>
      <c r="AB528" s="147">
        <f t="shared" si="276"/>
        <v>5689119189.0625</v>
      </c>
      <c r="AD528" s="583">
        <f t="shared" si="277"/>
        <v>16.914468519906873</v>
      </c>
      <c r="AE528" s="584">
        <f t="shared" si="278"/>
        <v>-15.537895848376028</v>
      </c>
      <c r="AG528" s="583">
        <f t="shared" si="279"/>
        <v>-6.1502987086940983</v>
      </c>
      <c r="AH528" s="584">
        <f t="shared" si="280"/>
        <v>-1.4617127504452054</v>
      </c>
      <c r="AJ528" s="147">
        <f t="shared" si="281"/>
        <v>0</v>
      </c>
      <c r="AK528" s="147">
        <f t="shared" si="261"/>
        <v>0</v>
      </c>
      <c r="AM528" s="147" t="str">
        <f t="shared" si="285"/>
        <v>1.99796745968651-0.0637255789056108i</v>
      </c>
      <c r="AN528" s="147" t="str">
        <f t="shared" si="286"/>
        <v>3.20536144256397i</v>
      </c>
      <c r="AO528" s="147" t="str">
        <f t="shared" si="287"/>
        <v>-0.0198809338814024-0.623320488340415i</v>
      </c>
      <c r="AP528" s="147" t="str">
        <f t="shared" si="288"/>
        <v>-0.166327909947752+0.0106209298176018i</v>
      </c>
      <c r="AQ528" s="147" t="str">
        <f t="shared" si="289"/>
        <v>1.16632790994775-0.0106209298176018i</v>
      </c>
      <c r="AR528" s="147" t="str">
        <f t="shared" si="290"/>
        <v>0.714148158828259+0.00650324613652114i</v>
      </c>
    </row>
    <row r="529" spans="7:44">
      <c r="G529" s="585">
        <v>75858</v>
      </c>
      <c r="H529" s="573">
        <f t="shared" si="282"/>
        <v>75.858000000000004</v>
      </c>
      <c r="I529" s="574">
        <f t="shared" si="262"/>
        <v>214.26691461528037</v>
      </c>
      <c r="J529" s="575">
        <f t="shared" si="263"/>
        <v>1.5661292337343666</v>
      </c>
      <c r="K529" s="575">
        <f t="shared" si="264"/>
        <v>1.0054826303912645</v>
      </c>
      <c r="L529" s="576">
        <f t="shared" si="265"/>
        <v>0.10447676933184505</v>
      </c>
      <c r="M529" s="575">
        <f t="shared" si="266"/>
        <v>1.0125734172826399</v>
      </c>
      <c r="N529" s="576">
        <f t="shared" si="267"/>
        <v>-0.15775343504823708</v>
      </c>
      <c r="O529" s="574">
        <f t="shared" si="268"/>
        <v>3145757.1452169991</v>
      </c>
      <c r="P529" s="577">
        <f t="shared" si="269"/>
        <v>1.570796008906403</v>
      </c>
      <c r="Q529" s="586">
        <f t="shared" si="259"/>
        <v>126.88281222899816</v>
      </c>
      <c r="R529" s="587">
        <f t="shared" si="260"/>
        <v>1.562914957087115</v>
      </c>
      <c r="S529" s="574">
        <f t="shared" si="270"/>
        <v>1.0360855188211371</v>
      </c>
      <c r="T529" s="577">
        <f t="shared" si="271"/>
        <v>0.26469899508734729</v>
      </c>
      <c r="U529" s="578">
        <f t="shared" si="283"/>
        <v>0.44277738366432606</v>
      </c>
      <c r="V529" s="579">
        <f t="shared" si="284"/>
        <v>-1.600131795945078</v>
      </c>
      <c r="W529" s="580">
        <f t="shared" si="272"/>
        <v>-32.015828247682578</v>
      </c>
      <c r="X529" s="581">
        <f t="shared" si="273"/>
        <v>-200.08360842531408</v>
      </c>
      <c r="Y529" s="584">
        <f t="shared" si="274"/>
        <v>-20.083608425314083</v>
      </c>
      <c r="AA529" s="147">
        <f t="shared" si="275"/>
        <v>75858</v>
      </c>
      <c r="AB529" s="147">
        <f t="shared" si="276"/>
        <v>5754436164</v>
      </c>
      <c r="AD529" s="583">
        <f t="shared" si="277"/>
        <v>16.911090109296975</v>
      </c>
      <c r="AE529" s="584">
        <f t="shared" si="278"/>
        <v>-15.61768628507402</v>
      </c>
      <c r="AG529" s="583">
        <f t="shared" si="279"/>
        <v>-6.1470602630040316</v>
      </c>
      <c r="AH529" s="584">
        <f t="shared" si="280"/>
        <v>-1.1043247860356791</v>
      </c>
      <c r="AJ529" s="147">
        <f t="shared" si="281"/>
        <v>0</v>
      </c>
      <c r="AK529" s="147">
        <f t="shared" si="261"/>
        <v>0</v>
      </c>
      <c r="AM529" s="147" t="str">
        <f t="shared" si="285"/>
        <v>1.99663031721425-0.0820244525091572i</v>
      </c>
      <c r="AN529" s="147" t="str">
        <f t="shared" si="286"/>
        <v>3.22370936258952i</v>
      </c>
      <c r="AO529" s="147" t="str">
        <f t="shared" si="287"/>
        <v>-0.025444121440051-0.619358041511041i</v>
      </c>
      <c r="AP529" s="147" t="str">
        <f t="shared" si="288"/>
        <v>-0.166105052869041+0.0136707420848595i</v>
      </c>
      <c r="AQ529" s="147" t="str">
        <f t="shared" si="289"/>
        <v>1.16610505286904-0.0136707420848595i</v>
      </c>
      <c r="AR529" s="147" t="str">
        <f t="shared" si="290"/>
        <v>0.71424570822552+0.00837340412713698i</v>
      </c>
    </row>
    <row r="530" spans="7:44">
      <c r="G530" s="585">
        <v>76299.75</v>
      </c>
      <c r="H530" s="573">
        <f t="shared" si="282"/>
        <v>76.299750000000003</v>
      </c>
      <c r="I530" s="574">
        <f t="shared" si="262"/>
        <v>215.51464529389722</v>
      </c>
      <c r="J530" s="575">
        <f t="shared" si="263"/>
        <v>1.5661562542512224</v>
      </c>
      <c r="K530" s="575">
        <f t="shared" si="264"/>
        <v>1.0055464945760397</v>
      </c>
      <c r="L530" s="576">
        <f t="shared" si="265"/>
        <v>0.10508072130475926</v>
      </c>
      <c r="M530" s="575">
        <f t="shared" si="266"/>
        <v>1.0127193608998915</v>
      </c>
      <c r="N530" s="576">
        <f t="shared" si="267"/>
        <v>-0.15865679768659846</v>
      </c>
      <c r="O530" s="574">
        <f t="shared" si="268"/>
        <v>3164076.0861184131</v>
      </c>
      <c r="P530" s="577">
        <f t="shared" si="269"/>
        <v>1.570796010746871</v>
      </c>
      <c r="Q530" s="586">
        <f t="shared" si="259"/>
        <v>127.62165336402735</v>
      </c>
      <c r="R530" s="587">
        <f t="shared" si="260"/>
        <v>1.5629605857050941</v>
      </c>
      <c r="S530" s="574">
        <f t="shared" si="270"/>
        <v>1.0364995990098971</v>
      </c>
      <c r="T530" s="577">
        <f t="shared" si="271"/>
        <v>0.26616885203174018</v>
      </c>
      <c r="U530" s="578">
        <f t="shared" si="283"/>
        <v>0.44011724062256768</v>
      </c>
      <c r="V530" s="579">
        <f t="shared" si="284"/>
        <v>-1.6068432984663252</v>
      </c>
      <c r="W530" s="580">
        <f t="shared" si="272"/>
        <v>-32.120272969459215</v>
      </c>
      <c r="X530" s="581">
        <f t="shared" si="273"/>
        <v>-200.56845470119197</v>
      </c>
      <c r="Y530" s="584">
        <f t="shared" si="274"/>
        <v>-20.568454701191968</v>
      </c>
      <c r="AA530" s="147">
        <f t="shared" si="275"/>
        <v>76299.75</v>
      </c>
      <c r="AB530" s="147">
        <f t="shared" si="276"/>
        <v>5821651850.0625</v>
      </c>
      <c r="AD530" s="583">
        <f t="shared" si="277"/>
        <v>16.907616300205124</v>
      </c>
      <c r="AE530" s="584">
        <f t="shared" si="278"/>
        <v>-15.699288662784808</v>
      </c>
      <c r="AG530" s="583">
        <f t="shared" si="279"/>
        <v>-6.1433492434846082</v>
      </c>
      <c r="AH530" s="584">
        <f t="shared" si="280"/>
        <v>-0.73848714600619725</v>
      </c>
      <c r="AJ530" s="147">
        <f t="shared" si="281"/>
        <v>0</v>
      </c>
      <c r="AK530" s="147">
        <f t="shared" si="261"/>
        <v>0</v>
      </c>
      <c r="AM530" s="147" t="str">
        <f t="shared" si="285"/>
        <v>1.99491496023584-0.100718528081595i</v>
      </c>
      <c r="AN530" s="147" t="str">
        <f t="shared" si="286"/>
        <v>3.2424822489156i</v>
      </c>
      <c r="AO530" s="147" t="str">
        <f t="shared" si="287"/>
        <v>-0.0310621679163483-0.615243140005781i</v>
      </c>
      <c r="AP530" s="147" t="str">
        <f t="shared" si="288"/>
        <v>-0.165819160039306+0.0167864213469325i</v>
      </c>
      <c r="AQ530" s="147" t="str">
        <f t="shared" si="289"/>
        <v>1.16581916003931-0.0167864213469325i</v>
      </c>
      <c r="AR530" s="147" t="str">
        <f t="shared" si="290"/>
        <v>0.714370943410242+0.0102860993069334i</v>
      </c>
    </row>
    <row r="531" spans="7:44">
      <c r="G531" s="585">
        <v>76741.5</v>
      </c>
      <c r="H531" s="573">
        <f t="shared" si="282"/>
        <v>76.741500000000002</v>
      </c>
      <c r="I531" s="574">
        <f t="shared" si="262"/>
        <v>216.76237612805164</v>
      </c>
      <c r="J531" s="575">
        <f t="shared" si="263"/>
        <v>1.5661829636962905</v>
      </c>
      <c r="K531" s="575">
        <f t="shared" si="264"/>
        <v>1.0056107254952635</v>
      </c>
      <c r="L531" s="576">
        <f t="shared" si="265"/>
        <v>0.10568459634601571</v>
      </c>
      <c r="M531" s="575">
        <f t="shared" si="266"/>
        <v>1.0128661307224551</v>
      </c>
      <c r="N531" s="576">
        <f t="shared" si="267"/>
        <v>-0.15955989925743164</v>
      </c>
      <c r="O531" s="574">
        <f t="shared" si="268"/>
        <v>3182395.0270198272</v>
      </c>
      <c r="P531" s="577">
        <f t="shared" si="269"/>
        <v>1.5707960125661502</v>
      </c>
      <c r="Q531" s="586">
        <f t="shared" si="259"/>
        <v>128.36049476170231</v>
      </c>
      <c r="R531" s="587">
        <f t="shared" si="260"/>
        <v>1.5630056890476609</v>
      </c>
      <c r="S531" s="574">
        <f t="shared" si="270"/>
        <v>1.036915916743401</v>
      </c>
      <c r="T531" s="577">
        <f t="shared" si="271"/>
        <v>0.26763753186330169</v>
      </c>
      <c r="U531" s="578">
        <f t="shared" si="283"/>
        <v>0.43746795412340833</v>
      </c>
      <c r="V531" s="579">
        <f t="shared" si="284"/>
        <v>-1.6135579133266722</v>
      </c>
      <c r="W531" s="580">
        <f t="shared" si="272"/>
        <v>-32.224535578226536</v>
      </c>
      <c r="X531" s="581">
        <f t="shared" si="273"/>
        <v>-201.0534135789089</v>
      </c>
      <c r="Y531" s="584">
        <f t="shared" si="274"/>
        <v>-21.053413578908902</v>
      </c>
      <c r="AA531" s="147">
        <f t="shared" si="275"/>
        <v>76741.5</v>
      </c>
      <c r="AB531" s="147">
        <f t="shared" si="276"/>
        <v>5889257822.25</v>
      </c>
      <c r="AD531" s="583">
        <f t="shared" si="277"/>
        <v>16.904125187836719</v>
      </c>
      <c r="AE531" s="584">
        <f t="shared" si="278"/>
        <v>-15.780853691748478</v>
      </c>
      <c r="AG531" s="583">
        <f t="shared" si="279"/>
        <v>-6.1392352874244862</v>
      </c>
      <c r="AH531" s="584">
        <f t="shared" si="280"/>
        <v>-0.3724428087728569</v>
      </c>
      <c r="AJ531" s="147">
        <f t="shared" si="281"/>
        <v>0</v>
      </c>
      <c r="AK531" s="147">
        <f t="shared" si="261"/>
        <v>0</v>
      </c>
      <c r="AM531" s="147" t="str">
        <f t="shared" si="285"/>
        <v>1.99284898436985-0.11937710934579i</v>
      </c>
      <c r="AN531" s="147" t="str">
        <f t="shared" si="286"/>
        <v>3.26125513524168i</v>
      </c>
      <c r="AO531" s="147" t="str">
        <f t="shared" si="287"/>
        <v>-0.0366046520113623-0.611068101613634i</v>
      </c>
      <c r="AP531" s="147" t="str">
        <f t="shared" si="288"/>
        <v>-0.165474830728308+0.019896184890965i</v>
      </c>
      <c r="AQ531" s="147" t="str">
        <f t="shared" si="289"/>
        <v>1.16547483072831-0.019896184890965i</v>
      </c>
      <c r="AR531" s="147" t="str">
        <f t="shared" si="290"/>
        <v>0.714521916583742+0.0121978268309003i</v>
      </c>
    </row>
    <row r="532" spans="7:44">
      <c r="G532" s="585">
        <v>77183.25</v>
      </c>
      <c r="H532" s="573">
        <f t="shared" si="282"/>
        <v>77.183250000000001</v>
      </c>
      <c r="I532" s="574">
        <f t="shared" si="262"/>
        <v>218.01010711507308</v>
      </c>
      <c r="J532" s="575">
        <f t="shared" si="263"/>
        <v>1.566209367410577</v>
      </c>
      <c r="K532" s="575">
        <f t="shared" si="264"/>
        <v>1.0056753230786681</v>
      </c>
      <c r="L532" s="576">
        <f t="shared" si="265"/>
        <v>0.106288394029973</v>
      </c>
      <c r="M532" s="575">
        <f t="shared" si="266"/>
        <v>1.013013726391218</v>
      </c>
      <c r="N532" s="576">
        <f t="shared" si="267"/>
        <v>-0.16046273840140626</v>
      </c>
      <c r="O532" s="574">
        <f t="shared" si="268"/>
        <v>3200713.9679212412</v>
      </c>
      <c r="P532" s="577">
        <f t="shared" si="269"/>
        <v>1.5707960143646045</v>
      </c>
      <c r="Q532" s="586">
        <f t="shared" si="259"/>
        <v>129.0993364175136</v>
      </c>
      <c r="R532" s="587">
        <f t="shared" si="260"/>
        <v>1.5630502761331586</v>
      </c>
      <c r="S532" s="574">
        <f t="shared" si="270"/>
        <v>1.0373344693276401</v>
      </c>
      <c r="T532" s="577">
        <f t="shared" si="271"/>
        <v>0.26910502966716204</v>
      </c>
      <c r="U532" s="578">
        <f t="shared" si="283"/>
        <v>0.43482930318124874</v>
      </c>
      <c r="V532" s="579">
        <f t="shared" si="284"/>
        <v>-1.6202762208418275</v>
      </c>
      <c r="W532" s="580">
        <f t="shared" si="272"/>
        <v>-32.328623725603705</v>
      </c>
      <c r="X532" s="581">
        <f t="shared" si="273"/>
        <v>-201.53851776233313</v>
      </c>
      <c r="Y532" s="584">
        <f t="shared" si="274"/>
        <v>-21.538517762333129</v>
      </c>
      <c r="AA532" s="147">
        <f t="shared" si="275"/>
        <v>77183.25</v>
      </c>
      <c r="AB532" s="147">
        <f t="shared" si="276"/>
        <v>5957254080.5625</v>
      </c>
      <c r="AD532" s="583">
        <f t="shared" si="277"/>
        <v>16.900616814985202</v>
      </c>
      <c r="AE532" s="584">
        <f t="shared" si="278"/>
        <v>-15.862380573671576</v>
      </c>
      <c r="AG532" s="583">
        <f t="shared" si="279"/>
        <v>-6.1347173990115227</v>
      </c>
      <c r="AH532" s="584">
        <f t="shared" si="280"/>
        <v>-6.1587772154023564E-3</v>
      </c>
      <c r="AJ532" s="147">
        <f t="shared" si="281"/>
        <v>0</v>
      </c>
      <c r="AK532" s="147">
        <f t="shared" si="261"/>
        <v>0</v>
      </c>
      <c r="AM532" s="147" t="str">
        <f t="shared" si="285"/>
        <v>1.99043311768873-0.13799362081412i</v>
      </c>
      <c r="AN532" s="147" t="str">
        <f t="shared" si="286"/>
        <v>3.28002802156776i</v>
      </c>
      <c r="AO532" s="147" t="str">
        <f t="shared" si="287"/>
        <v>-0.0420708664397821-0.606834180866955i</v>
      </c>
      <c r="AP532" s="147" t="str">
        <f t="shared" si="288"/>
        <v>-0.165072186281454+0.0229989368023533i</v>
      </c>
      <c r="AQ532" s="147" t="str">
        <f t="shared" si="289"/>
        <v>1.16507218628145-0.0229989368023533i</v>
      </c>
      <c r="AR532" s="147" t="str">
        <f t="shared" si="290"/>
        <v>0.714698652591363+0.0141084040433054i</v>
      </c>
    </row>
    <row r="533" spans="7:44">
      <c r="G533" s="585">
        <v>77625</v>
      </c>
      <c r="H533" s="573">
        <f t="shared" si="282"/>
        <v>77.625</v>
      </c>
      <c r="I533" s="574">
        <f t="shared" si="262"/>
        <v>219.25783825235175</v>
      </c>
      <c r="J533" s="575">
        <f t="shared" si="263"/>
        <v>1.5662354706135135</v>
      </c>
      <c r="K533" s="575">
        <f t="shared" si="264"/>
        <v>1.0057402872556016</v>
      </c>
      <c r="L533" s="576">
        <f t="shared" si="265"/>
        <v>0.10689211393132449</v>
      </c>
      <c r="M533" s="575">
        <f t="shared" si="266"/>
        <v>1.0131621475452572</v>
      </c>
      <c r="N533" s="576">
        <f t="shared" si="267"/>
        <v>-0.16136531376169325</v>
      </c>
      <c r="O533" s="574">
        <f t="shared" si="268"/>
        <v>3219032.9088226552</v>
      </c>
      <c r="P533" s="577">
        <f t="shared" si="269"/>
        <v>1.5707960161425893</v>
      </c>
      <c r="Q533" s="586">
        <f t="shared" si="259"/>
        <v>129.83817832705452</v>
      </c>
      <c r="R533" s="587">
        <f t="shared" si="260"/>
        <v>1.5630943557746646</v>
      </c>
      <c r="S533" s="574">
        <f t="shared" si="270"/>
        <v>1.0377552540585007</v>
      </c>
      <c r="T533" s="577">
        <f t="shared" si="271"/>
        <v>0.27057134055672355</v>
      </c>
      <c r="U533" s="578">
        <f t="shared" si="283"/>
        <v>0.43220106596424612</v>
      </c>
      <c r="V533" s="579">
        <f t="shared" si="284"/>
        <v>-1.6269988019346213</v>
      </c>
      <c r="W533" s="580">
        <f t="shared" si="272"/>
        <v>-32.432545121323628</v>
      </c>
      <c r="X533" s="581">
        <f t="shared" si="273"/>
        <v>-202.02379999665686</v>
      </c>
      <c r="Y533" s="584">
        <f t="shared" si="274"/>
        <v>-22.023799996656862</v>
      </c>
      <c r="AA533" s="147">
        <f t="shared" si="275"/>
        <v>77625</v>
      </c>
      <c r="AB533" s="147">
        <f t="shared" si="276"/>
        <v>6025640625</v>
      </c>
      <c r="AD533" s="583">
        <f t="shared" si="277"/>
        <v>16.897091224612989</v>
      </c>
      <c r="AE533" s="584">
        <f t="shared" si="278"/>
        <v>-15.94386852364093</v>
      </c>
      <c r="AG533" s="583">
        <f t="shared" si="279"/>
        <v>-6.1297944097933055</v>
      </c>
      <c r="AH533" s="584">
        <f t="shared" si="280"/>
        <v>0.3603979874134936</v>
      </c>
      <c r="AJ533" s="147">
        <f t="shared" si="281"/>
        <v>0</v>
      </c>
      <c r="AK533" s="147">
        <f t="shared" si="261"/>
        <v>0</v>
      </c>
      <c r="AM533" s="147" t="str">
        <f t="shared" si="285"/>
        <v>1.98766821157024-0.156561501824825i</v>
      </c>
      <c r="AN533" s="147" t="str">
        <f t="shared" si="286"/>
        <v>3.29880090789385i</v>
      </c>
      <c r="AO533" s="147" t="str">
        <f t="shared" si="287"/>
        <v>-0.0474601245107523-0.602542641119644i</v>
      </c>
      <c r="AP533" s="147" t="str">
        <f t="shared" si="288"/>
        <v>-0.16461136859504+0.0260935836374708i</v>
      </c>
      <c r="AQ533" s="147" t="str">
        <f t="shared" si="289"/>
        <v>1.16461136859504-0.0260935836374708i</v>
      </c>
      <c r="AR533" s="147" t="str">
        <f t="shared" si="290"/>
        <v>0.714901180463183+0.0160176469575828i</v>
      </c>
    </row>
    <row r="534" spans="7:44">
      <c r="G534" s="585">
        <v>78077</v>
      </c>
      <c r="H534" s="573">
        <f t="shared" si="282"/>
        <v>78.076999999999998</v>
      </c>
      <c r="I534" s="574">
        <f t="shared" si="262"/>
        <v>220.53452085920864</v>
      </c>
      <c r="J534" s="575">
        <f t="shared" si="263"/>
        <v>1.5662618737623757</v>
      </c>
      <c r="K534" s="575">
        <f t="shared" si="264"/>
        <v>1.0058071381846405</v>
      </c>
      <c r="L534" s="576">
        <f t="shared" si="265"/>
        <v>0.10750976109367981</v>
      </c>
      <c r="M534" s="575">
        <f t="shared" si="266"/>
        <v>1.0133148666003842</v>
      </c>
      <c r="N534" s="576">
        <f t="shared" si="267"/>
        <v>-0.16228855728252442</v>
      </c>
      <c r="O534" s="574">
        <f t="shared" si="268"/>
        <v>3237776.9072096148</v>
      </c>
      <c r="P534" s="577">
        <f t="shared" si="269"/>
        <v>1.5707960179410043</v>
      </c>
      <c r="Q534" s="586">
        <f t="shared" si="259"/>
        <v>130.59416396858137</v>
      </c>
      <c r="R534" s="587">
        <f t="shared" si="260"/>
        <v>1.5631389419450048</v>
      </c>
      <c r="S534" s="574">
        <f t="shared" si="270"/>
        <v>1.0381881099343657</v>
      </c>
      <c r="T534" s="577">
        <f t="shared" si="271"/>
        <v>0.27207044089450433</v>
      </c>
      <c r="U534" s="578">
        <f t="shared" si="283"/>
        <v>0.42952239202743653</v>
      </c>
      <c r="V534" s="579">
        <f t="shared" si="284"/>
        <v>-1.6338823983677879</v>
      </c>
      <c r="W534" s="580">
        <f t="shared" si="272"/>
        <v>-32.538713329044995</v>
      </c>
      <c r="X534" s="581">
        <f t="shared" si="273"/>
        <v>-202.52056081736507</v>
      </c>
      <c r="Y534" s="584">
        <f t="shared" si="274"/>
        <v>-22.520560817365066</v>
      </c>
      <c r="AA534" s="147">
        <f t="shared" si="275"/>
        <v>78077</v>
      </c>
      <c r="AB534" s="147">
        <f t="shared" si="276"/>
        <v>6096017929</v>
      </c>
      <c r="AD534" s="583">
        <f t="shared" si="277"/>
        <v>16.893466052951172</v>
      </c>
      <c r="AE534" s="584">
        <f t="shared" si="278"/>
        <v>-16.02720614981407</v>
      </c>
      <c r="AG534" s="583">
        <f t="shared" si="279"/>
        <v>-6.1243364814289265</v>
      </c>
      <c r="AH534" s="584">
        <f t="shared" si="280"/>
        <v>0.73577684076328997</v>
      </c>
      <c r="AJ534" s="147">
        <f t="shared" si="281"/>
        <v>0</v>
      </c>
      <c r="AK534" s="147">
        <f t="shared" si="261"/>
        <v>0</v>
      </c>
      <c r="AM534" s="147" t="str">
        <f t="shared" si="285"/>
        <v>1.98447888634078-0.175503055099397i</v>
      </c>
      <c r="AN534" s="147" t="str">
        <f t="shared" si="286"/>
        <v>3.31800938467798i</v>
      </c>
      <c r="AO534" s="147" t="str">
        <f t="shared" si="287"/>
        <v>-0.0528940803814001-0.59809321079825i</v>
      </c>
      <c r="AP534" s="147" t="str">
        <f t="shared" si="288"/>
        <v>-0.16407981439013+0.0292505091832328i</v>
      </c>
      <c r="AQ534" s="147" t="str">
        <f t="shared" si="289"/>
        <v>1.16407981439013-0.0292505091832328i</v>
      </c>
      <c r="AR534" s="147" t="str">
        <f t="shared" si="290"/>
        <v>0.715135138758688+0.017969615729891i</v>
      </c>
    </row>
    <row r="535" spans="7:44">
      <c r="G535" s="585">
        <v>78529</v>
      </c>
      <c r="H535" s="573">
        <f t="shared" si="282"/>
        <v>78.528999999999996</v>
      </c>
      <c r="I535" s="574">
        <f t="shared" si="262"/>
        <v>221.81120361803616</v>
      </c>
      <c r="J535" s="575">
        <f t="shared" si="263"/>
        <v>1.5662879729730923</v>
      </c>
      <c r="K535" s="575">
        <f t="shared" si="264"/>
        <v>1.0058743727659625</v>
      </c>
      <c r="L535" s="576">
        <f t="shared" si="265"/>
        <v>0.10812732592214956</v>
      </c>
      <c r="M535" s="575">
        <f t="shared" si="266"/>
        <v>1.0134684491226786</v>
      </c>
      <c r="N535" s="576">
        <f t="shared" si="267"/>
        <v>-0.16321152177046874</v>
      </c>
      <c r="O535" s="574">
        <f t="shared" si="268"/>
        <v>3256520.9055965738</v>
      </c>
      <c r="P535" s="577">
        <f t="shared" si="269"/>
        <v>1.5707960197187165</v>
      </c>
      <c r="Q535" s="586">
        <f t="shared" ref="Q535:Q598" si="291">SQRT(1+(G535/Zero2)^2)</f>
        <v>131.35014986673144</v>
      </c>
      <c r="R535" s="587">
        <f t="shared" ref="R535:R598" si="292">ATAN(G535/Zero2)</f>
        <v>1.5631830148839498</v>
      </c>
      <c r="S535" s="574">
        <f t="shared" si="270"/>
        <v>1.0386232969845051</v>
      </c>
      <c r="T535" s="577">
        <f t="shared" si="271"/>
        <v>0.27356828833874725</v>
      </c>
      <c r="U535" s="578">
        <f t="shared" si="283"/>
        <v>0.42685414814520412</v>
      </c>
      <c r="V535" s="579">
        <f t="shared" si="284"/>
        <v>-1.6407717018516466</v>
      </c>
      <c r="W535" s="580">
        <f t="shared" si="272"/>
        <v>-32.644723489253415</v>
      </c>
      <c r="X535" s="581">
        <f t="shared" si="273"/>
        <v>-203.01757756289089</v>
      </c>
      <c r="Y535" s="584">
        <f t="shared" si="274"/>
        <v>-23.017577562890892</v>
      </c>
      <c r="AA535" s="147">
        <f t="shared" si="275"/>
        <v>78529</v>
      </c>
      <c r="AB535" s="147">
        <f t="shared" si="276"/>
        <v>6166803841</v>
      </c>
      <c r="AD535" s="583">
        <f t="shared" si="277"/>
        <v>16.889822947028627</v>
      </c>
      <c r="AE535" s="584">
        <f t="shared" si="278"/>
        <v>-16.110501395281936</v>
      </c>
      <c r="AG535" s="583">
        <f t="shared" si="279"/>
        <v>-6.1184514022286463</v>
      </c>
      <c r="AH535" s="584">
        <f t="shared" si="280"/>
        <v>1.1115113684271936</v>
      </c>
      <c r="AJ535" s="147">
        <f t="shared" si="281"/>
        <v>0</v>
      </c>
      <c r="AK535" s="147">
        <f t="shared" ref="AK535:AK598" si="293">IF(AJ535&gt;0,Y535,0)</f>
        <v>0</v>
      </c>
      <c r="AM535" s="147" t="str">
        <f t="shared" si="285"/>
        <v>1.98092633345607-0.19437985577837i</v>
      </c>
      <c r="AN535" s="147" t="str">
        <f t="shared" si="286"/>
        <v>3.3372178614621i</v>
      </c>
      <c r="AO535" s="147" t="str">
        <f t="shared" si="287"/>
        <v>-0.0582460791736289-0.593586159396914i</v>
      </c>
      <c r="AP535" s="147" t="str">
        <f t="shared" si="288"/>
        <v>-0.163487722242679+0.0323966426297283i</v>
      </c>
      <c r="AQ535" s="147" t="str">
        <f t="shared" si="289"/>
        <v>1.16348772224268-0.0323966426297283i</v>
      </c>
      <c r="AR535" s="147" t="str">
        <f t="shared" si="290"/>
        <v>0.715396174521816+0.0199197926730024i</v>
      </c>
    </row>
    <row r="536" spans="7:44">
      <c r="G536" s="585">
        <v>78981</v>
      </c>
      <c r="H536" s="573">
        <f t="shared" si="282"/>
        <v>78.980999999999995</v>
      </c>
      <c r="I536" s="574">
        <f t="shared" si="262"/>
        <v>223.08788652622525</v>
      </c>
      <c r="J536" s="575">
        <f t="shared" si="263"/>
        <v>1.5663137734637411</v>
      </c>
      <c r="K536" s="575">
        <f t="shared" si="264"/>
        <v>1.0059419909226406</v>
      </c>
      <c r="L536" s="576">
        <f t="shared" si="265"/>
        <v>0.10874480796222859</v>
      </c>
      <c r="M536" s="575">
        <f t="shared" si="266"/>
        <v>1.0136228947196468</v>
      </c>
      <c r="N536" s="576">
        <f t="shared" si="267"/>
        <v>-0.1641342057802416</v>
      </c>
      <c r="O536" s="574">
        <f t="shared" si="268"/>
        <v>3275264.9039835329</v>
      </c>
      <c r="P536" s="577">
        <f t="shared" si="269"/>
        <v>1.5707960214760814</v>
      </c>
      <c r="Q536" s="586">
        <f t="shared" si="291"/>
        <v>132.10613601709909</v>
      </c>
      <c r="R536" s="587">
        <f t="shared" si="292"/>
        <v>1.5632265834023293</v>
      </c>
      <c r="S536" s="574">
        <f t="shared" si="270"/>
        <v>1.0390608122798404</v>
      </c>
      <c r="T536" s="577">
        <f t="shared" si="271"/>
        <v>0.27506487774694582</v>
      </c>
      <c r="U536" s="578">
        <f t="shared" si="283"/>
        <v>0.42419609400746006</v>
      </c>
      <c r="V536" s="579">
        <f t="shared" si="284"/>
        <v>-1.6476673372812476</v>
      </c>
      <c r="W536" s="580">
        <f t="shared" si="272"/>
        <v>-32.750584073389447</v>
      </c>
      <c r="X536" s="581">
        <f t="shared" si="273"/>
        <v>-203.51488547984277</v>
      </c>
      <c r="Y536" s="584">
        <f t="shared" si="274"/>
        <v>-23.514885479842775</v>
      </c>
      <c r="AA536" s="147">
        <f t="shared" si="275"/>
        <v>78981</v>
      </c>
      <c r="AB536" s="147">
        <f t="shared" si="276"/>
        <v>6237998361</v>
      </c>
      <c r="AD536" s="583">
        <f t="shared" si="277"/>
        <v>16.886161953399188</v>
      </c>
      <c r="AE536" s="584">
        <f t="shared" si="278"/>
        <v>-16.193753460597641</v>
      </c>
      <c r="AG536" s="583">
        <f t="shared" si="279"/>
        <v>-6.1121373524320841</v>
      </c>
      <c r="AH536" s="584">
        <f t="shared" si="280"/>
        <v>1.4876371320479189</v>
      </c>
      <c r="AJ536" s="147">
        <f t="shared" si="281"/>
        <v>0</v>
      </c>
      <c r="AK536" s="147">
        <f t="shared" si="293"/>
        <v>0</v>
      </c>
      <c r="AM536" s="147" t="str">
        <f t="shared" si="285"/>
        <v>1.97701186364556-0.213184939186196i</v>
      </c>
      <c r="AN536" s="147" t="str">
        <f t="shared" si="286"/>
        <v>3.35642633824623i</v>
      </c>
      <c r="AO536" s="147" t="str">
        <f t="shared" si="287"/>
        <v>-0.0635154529557135-0.589022866707264i</v>
      </c>
      <c r="AP536" s="147" t="str">
        <f t="shared" si="288"/>
        <v>-0.162835310607594+0.0355308231976993i</v>
      </c>
      <c r="AQ536" s="147" t="str">
        <f t="shared" si="289"/>
        <v>1.16283531060759-0.0355308231976993i</v>
      </c>
      <c r="AR536" s="147" t="str">
        <f t="shared" si="290"/>
        <v>0.715684332300255+0.0218679749783631i</v>
      </c>
    </row>
    <row r="537" spans="7:44">
      <c r="G537" s="585">
        <v>79433</v>
      </c>
      <c r="H537" s="573">
        <f t="shared" si="282"/>
        <v>79.433000000000007</v>
      </c>
      <c r="I537" s="574">
        <f t="shared" si="262"/>
        <v>224.36456958122616</v>
      </c>
      <c r="J537" s="575">
        <f t="shared" si="263"/>
        <v>1.5663392803336333</v>
      </c>
      <c r="K537" s="575">
        <f t="shared" si="264"/>
        <v>1.0060099925773296</v>
      </c>
      <c r="L537" s="576">
        <f t="shared" si="265"/>
        <v>0.10936220675978608</v>
      </c>
      <c r="M537" s="575">
        <f t="shared" si="266"/>
        <v>1.0137782029968294</v>
      </c>
      <c r="N537" s="576">
        <f t="shared" si="267"/>
        <v>-0.16505660786934692</v>
      </c>
      <c r="O537" s="574">
        <f t="shared" si="268"/>
        <v>3294008.902370492</v>
      </c>
      <c r="P537" s="577">
        <f t="shared" si="269"/>
        <v>1.5707960232134464</v>
      </c>
      <c r="Q537" s="586">
        <f t="shared" si="291"/>
        <v>132.86212241537899</v>
      </c>
      <c r="R537" s="587">
        <f t="shared" si="292"/>
        <v>1.5632696561104464</v>
      </c>
      <c r="S537" s="574">
        <f t="shared" si="270"/>
        <v>1.039500652880567</v>
      </c>
      <c r="T537" s="577">
        <f t="shared" si="271"/>
        <v>0.27656020400776998</v>
      </c>
      <c r="U537" s="578">
        <f t="shared" si="283"/>
        <v>0.42154798842049696</v>
      </c>
      <c r="V537" s="579">
        <f t="shared" si="284"/>
        <v>-1.6545699306304775</v>
      </c>
      <c r="W537" s="580">
        <f t="shared" si="272"/>
        <v>-32.856303632775848</v>
      </c>
      <c r="X537" s="581">
        <f t="shared" si="273"/>
        <v>-204.01251988325077</v>
      </c>
      <c r="Y537" s="584">
        <f t="shared" si="274"/>
        <v>-24.012519883250775</v>
      </c>
      <c r="AA537" s="147">
        <f t="shared" si="275"/>
        <v>79433</v>
      </c>
      <c r="AB537" s="147">
        <f t="shared" si="276"/>
        <v>6309601489</v>
      </c>
      <c r="AD537" s="583">
        <f t="shared" si="277"/>
        <v>16.882483118789654</v>
      </c>
      <c r="AE537" s="584">
        <f t="shared" si="278"/>
        <v>-16.276961559589392</v>
      </c>
      <c r="AG537" s="583">
        <f t="shared" si="279"/>
        <v>-6.1053923179109804</v>
      </c>
      <c r="AH537" s="584">
        <f t="shared" si="280"/>
        <v>1.8641897617474377</v>
      </c>
      <c r="AJ537" s="147">
        <f t="shared" si="281"/>
        <v>0</v>
      </c>
      <c r="AK537" s="147">
        <f t="shared" si="293"/>
        <v>0</v>
      </c>
      <c r="AM537" s="147" t="str">
        <f t="shared" si="285"/>
        <v>1.97273692116946-0.231911367107685i</v>
      </c>
      <c r="AN537" s="147" t="str">
        <f t="shared" si="286"/>
        <v>3.37563481503036i</v>
      </c>
      <c r="AO537" s="147" t="str">
        <f t="shared" si="287"/>
        <v>-0.068701556837569-0.584404720672286i</v>
      </c>
      <c r="AP537" s="147" t="str">
        <f t="shared" si="288"/>
        <v>-0.16212282019491+0.0386518945179475i</v>
      </c>
      <c r="AQ537" s="147" t="str">
        <f t="shared" si="289"/>
        <v>1.16212282019491-0.0386518945179475i</v>
      </c>
      <c r="AR537" s="147" t="str">
        <f t="shared" si="290"/>
        <v>0.715999661111166+0.0238139574365413i</v>
      </c>
    </row>
    <row r="538" spans="7:44">
      <c r="G538" s="585">
        <v>79895.5</v>
      </c>
      <c r="H538" s="573">
        <f t="shared" si="282"/>
        <v>79.895499999999998</v>
      </c>
      <c r="I538" s="574">
        <f t="shared" si="262"/>
        <v>225.67091024594356</v>
      </c>
      <c r="J538" s="575">
        <f t="shared" si="263"/>
        <v>1.5663650809973138</v>
      </c>
      <c r="K538" s="575">
        <f t="shared" si="264"/>
        <v>1.0060799707998809</v>
      </c>
      <c r="L538" s="576">
        <f t="shared" si="265"/>
        <v>0.1099938611471466</v>
      </c>
      <c r="M538" s="575">
        <f t="shared" si="266"/>
        <v>1.0139380116586931</v>
      </c>
      <c r="N538" s="576">
        <f t="shared" si="267"/>
        <v>-0.16600014411853947</v>
      </c>
      <c r="O538" s="574">
        <f t="shared" si="268"/>
        <v>3313188.3254987411</v>
      </c>
      <c r="P538" s="577">
        <f t="shared" si="269"/>
        <v>1.5707960249708222</v>
      </c>
      <c r="Q538" s="586">
        <f t="shared" si="291"/>
        <v>133.63567069682122</v>
      </c>
      <c r="R538" s="587">
        <f t="shared" si="292"/>
        <v>1.5633132249580235</v>
      </c>
      <c r="S538" s="574">
        <f t="shared" si="270"/>
        <v>1.0399531148979901</v>
      </c>
      <c r="T538" s="577">
        <f t="shared" si="271"/>
        <v>0.27808895402820255</v>
      </c>
      <c r="U538" s="578">
        <f t="shared" si="283"/>
        <v>0.41884841248288834</v>
      </c>
      <c r="V538" s="579">
        <f t="shared" si="284"/>
        <v>-1.6616407282930503</v>
      </c>
      <c r="W538" s="580">
        <f t="shared" si="272"/>
        <v>-32.964342098548592</v>
      </c>
      <c r="X538" s="581">
        <f t="shared" si="273"/>
        <v>-204.52208924492373</v>
      </c>
      <c r="Y538" s="584">
        <f t="shared" si="274"/>
        <v>-24.522089244923734</v>
      </c>
      <c r="AA538" s="147">
        <f t="shared" si="275"/>
        <v>79895.5</v>
      </c>
      <c r="AB538" s="147">
        <f t="shared" si="276"/>
        <v>6383290920.25</v>
      </c>
      <c r="AD538" s="583">
        <f t="shared" si="277"/>
        <v>16.87870040598176</v>
      </c>
      <c r="AE538" s="584">
        <f t="shared" si="278"/>
        <v>-16.362056273393755</v>
      </c>
      <c r="AG538" s="583">
        <f t="shared" si="279"/>
        <v>-6.0980421701831089</v>
      </c>
      <c r="AH538" s="584">
        <f t="shared" si="280"/>
        <v>2.2499688425174611</v>
      </c>
      <c r="AJ538" s="147">
        <f t="shared" si="281"/>
        <v>0</v>
      </c>
      <c r="AK538" s="147">
        <f t="shared" si="293"/>
        <v>0</v>
      </c>
      <c r="AM538" s="147" t="str">
        <f t="shared" si="285"/>
        <v>1.96799118684419-0.250984187135316i</v>
      </c>
      <c r="AN538" s="147" t="str">
        <f t="shared" si="286"/>
        <v>3.39528950643005i</v>
      </c>
      <c r="AO538" s="147" t="str">
        <f t="shared" si="287"/>
        <v>-0.0739212920312092-0.579623971127404i</v>
      </c>
      <c r="AP538" s="147" t="str">
        <f t="shared" si="288"/>
        <v>-0.161331864474032+0.041830697855886i</v>
      </c>
      <c r="AQ538" s="147" t="str">
        <f t="shared" si="289"/>
        <v>1.16133186447403-0.041830697855886i</v>
      </c>
      <c r="AR538" s="147" t="str">
        <f t="shared" si="290"/>
        <v>0.716350495959144+0.0258026513110036i</v>
      </c>
    </row>
    <row r="539" spans="7:44">
      <c r="G539" s="585">
        <v>80358</v>
      </c>
      <c r="H539" s="573">
        <f t="shared" si="282"/>
        <v>80.358000000000004</v>
      </c>
      <c r="I539" s="574">
        <f t="shared" si="262"/>
        <v>226.97725105915509</v>
      </c>
      <c r="J539" s="575">
        <f t="shared" si="263"/>
        <v>1.5663905846756538</v>
      </c>
      <c r="K539" s="575">
        <f t="shared" si="264"/>
        <v>1.0061503503795974</v>
      </c>
      <c r="L539" s="576">
        <f t="shared" si="265"/>
        <v>0.11062542741881609</v>
      </c>
      <c r="M539" s="575">
        <f t="shared" si="266"/>
        <v>1.0140987227047078</v>
      </c>
      <c r="N539" s="576">
        <f t="shared" si="267"/>
        <v>-0.16694338215016613</v>
      </c>
      <c r="O539" s="574">
        <f t="shared" si="268"/>
        <v>3332367.7486269902</v>
      </c>
      <c r="P539" s="577">
        <f t="shared" si="269"/>
        <v>1.5707960267079688</v>
      </c>
      <c r="Q539" s="586">
        <f t="shared" si="291"/>
        <v>134.40921922901674</v>
      </c>
      <c r="R539" s="587">
        <f t="shared" si="292"/>
        <v>1.5633562923130266</v>
      </c>
      <c r="S539" s="574">
        <f t="shared" si="270"/>
        <v>1.0404080052482652</v>
      </c>
      <c r="T539" s="577">
        <f t="shared" si="271"/>
        <v>0.27961637080626972</v>
      </c>
      <c r="U539" s="578">
        <f t="shared" si="283"/>
        <v>0.4161587389411619</v>
      </c>
      <c r="V539" s="579">
        <f t="shared" si="284"/>
        <v>-1.6687201408099921</v>
      </c>
      <c r="W539" s="580">
        <f t="shared" si="272"/>
        <v>-33.07225130065035</v>
      </c>
      <c r="X539" s="581">
        <f t="shared" si="273"/>
        <v>-205.03207549052462</v>
      </c>
      <c r="Y539" s="584">
        <f t="shared" si="274"/>
        <v>-25.032075490524619</v>
      </c>
      <c r="AA539" s="147">
        <f t="shared" si="275"/>
        <v>80358</v>
      </c>
      <c r="AB539" s="147">
        <f t="shared" si="276"/>
        <v>6457408164</v>
      </c>
      <c r="AD539" s="583">
        <f t="shared" si="277"/>
        <v>16.874899113195088</v>
      </c>
      <c r="AE539" s="584">
        <f t="shared" si="278"/>
        <v>-16.447103330286357</v>
      </c>
      <c r="AG539" s="583">
        <f t="shared" si="279"/>
        <v>-6.0902358842411921</v>
      </c>
      <c r="AH539" s="584">
        <f t="shared" si="280"/>
        <v>2.6362705720418198</v>
      </c>
      <c r="AJ539" s="147">
        <f t="shared" si="281"/>
        <v>0</v>
      </c>
      <c r="AK539" s="147">
        <f t="shared" si="293"/>
        <v>0</v>
      </c>
      <c r="AM539" s="147" t="str">
        <f t="shared" si="285"/>
        <v>1.96287152288796-0.269960053362389i</v>
      </c>
      <c r="AN539" s="147" t="str">
        <f t="shared" si="286"/>
        <v>3.41494419782974i</v>
      </c>
      <c r="AO539" s="147" t="str">
        <f t="shared" si="287"/>
        <v>-0.0790525518788722-0.574788754713884i</v>
      </c>
      <c r="AP539" s="147" t="str">
        <f t="shared" si="288"/>
        <v>-0.160478587147993+0.0449933422270648i</v>
      </c>
      <c r="AQ539" s="147" t="str">
        <f t="shared" si="289"/>
        <v>1.16047858714799-0.0449933422270648i</v>
      </c>
      <c r="AR539" s="147" t="str">
        <f t="shared" si="290"/>
        <v>0.716729896862206+0.0277885985067104i</v>
      </c>
    </row>
    <row r="540" spans="7:44">
      <c r="G540" s="585">
        <v>80820.5</v>
      </c>
      <c r="H540" s="573">
        <f t="shared" si="282"/>
        <v>80.820499999999996</v>
      </c>
      <c r="I540" s="574">
        <f t="shared" si="262"/>
        <v>228.28359201831151</v>
      </c>
      <c r="J540" s="575">
        <f t="shared" si="263"/>
        <v>1.5664157964670697</v>
      </c>
      <c r="K540" s="575">
        <f t="shared" si="264"/>
        <v>1.006221131232262</v>
      </c>
      <c r="L540" s="576">
        <f t="shared" si="265"/>
        <v>0.11125690508950409</v>
      </c>
      <c r="M540" s="575">
        <f t="shared" si="266"/>
        <v>1.0142603357059203</v>
      </c>
      <c r="N540" s="576">
        <f t="shared" si="267"/>
        <v>-0.16788632042799265</v>
      </c>
      <c r="O540" s="574">
        <f t="shared" si="268"/>
        <v>3351547.1717552394</v>
      </c>
      <c r="P540" s="577">
        <f t="shared" si="269"/>
        <v>1.5707960284252336</v>
      </c>
      <c r="Q540" s="586">
        <f t="shared" si="291"/>
        <v>135.18276800766094</v>
      </c>
      <c r="R540" s="587">
        <f t="shared" si="292"/>
        <v>1.5633988667842835</v>
      </c>
      <c r="S540" s="574">
        <f t="shared" si="270"/>
        <v>1.0408653207476226</v>
      </c>
      <c r="T540" s="577">
        <f t="shared" si="271"/>
        <v>0.28114244896773194</v>
      </c>
      <c r="U540" s="578">
        <f t="shared" si="283"/>
        <v>0.41347870655786373</v>
      </c>
      <c r="V540" s="579">
        <f t="shared" si="284"/>
        <v>-1.6758088429776894</v>
      </c>
      <c r="W540" s="580">
        <f t="shared" si="272"/>
        <v>-33.18004068871835</v>
      </c>
      <c r="X540" s="581">
        <f t="shared" si="273"/>
        <v>-205.54251671379077</v>
      </c>
      <c r="Y540" s="584">
        <f t="shared" si="274"/>
        <v>-25.542516713790775</v>
      </c>
      <c r="AA540" s="147">
        <f t="shared" si="275"/>
        <v>80820.5</v>
      </c>
      <c r="AB540" s="147">
        <f t="shared" si="276"/>
        <v>6531953220.25</v>
      </c>
      <c r="AD540" s="583">
        <f t="shared" si="277"/>
        <v>16.871079291031982</v>
      </c>
      <c r="AE540" s="584">
        <f t="shared" si="278"/>
        <v>-16.532101929116347</v>
      </c>
      <c r="AG540" s="583">
        <f t="shared" si="279"/>
        <v>-6.0819706583976227</v>
      </c>
      <c r="AH540" s="584">
        <f t="shared" si="280"/>
        <v>3.0231333814024537</v>
      </c>
      <c r="AJ540" s="147">
        <f t="shared" si="281"/>
        <v>0</v>
      </c>
      <c r="AK540" s="147">
        <f t="shared" si="293"/>
        <v>0</v>
      </c>
      <c r="AM540" s="147" t="str">
        <f t="shared" si="285"/>
        <v>1.95737990699858-0.288831635516941i</v>
      </c>
      <c r="AN540" s="147" t="str">
        <f t="shared" si="286"/>
        <v>3.43459888922943i</v>
      </c>
      <c r="AO540" s="147" t="str">
        <f t="shared" si="287"/>
        <v>-0.08409472105249-0.569900582317409i</v>
      </c>
      <c r="AP540" s="147" t="str">
        <f t="shared" si="288"/>
        <v>-0.159563317833097+0.0481386059194902i</v>
      </c>
      <c r="AQ540" s="147" t="str">
        <f t="shared" si="289"/>
        <v>1.1595633178331-0.0481386059194902i</v>
      </c>
      <c r="AR540" s="147" t="str">
        <f t="shared" si="290"/>
        <v>0.717137930586451+0.0297715697793303i</v>
      </c>
    </row>
    <row r="541" spans="7:44">
      <c r="G541" s="585">
        <v>81283</v>
      </c>
      <c r="H541" s="573">
        <f t="shared" si="282"/>
        <v>81.283000000000001</v>
      </c>
      <c r="I541" s="574">
        <f t="shared" si="262"/>
        <v>229.58993312092161</v>
      </c>
      <c r="J541" s="575">
        <f t="shared" si="263"/>
        <v>1.5664407213539411</v>
      </c>
      <c r="K541" s="575">
        <f t="shared" si="264"/>
        <v>1.0062923132731991</v>
      </c>
      <c r="L541" s="576">
        <f t="shared" si="265"/>
        <v>0.11188829367433888</v>
      </c>
      <c r="M541" s="575">
        <f t="shared" si="266"/>
        <v>1.0144228502312458</v>
      </c>
      <c r="N541" s="576">
        <f t="shared" si="267"/>
        <v>-0.16882895741889314</v>
      </c>
      <c r="O541" s="574">
        <f t="shared" si="268"/>
        <v>3370726.5948834885</v>
      </c>
      <c r="P541" s="577">
        <f t="shared" si="269"/>
        <v>1.570796030122956</v>
      </c>
      <c r="Q541" s="586">
        <f t="shared" si="291"/>
        <v>135.95631702854723</v>
      </c>
      <c r="R541" s="587">
        <f t="shared" si="292"/>
        <v>1.5634409567847023</v>
      </c>
      <c r="S541" s="574">
        <f t="shared" si="270"/>
        <v>1.0413250582009264</v>
      </c>
      <c r="T541" s="577">
        <f t="shared" si="271"/>
        <v>0.28266718317270528</v>
      </c>
      <c r="U541" s="578">
        <f t="shared" si="283"/>
        <v>0.41080805314175711</v>
      </c>
      <c r="V541" s="579">
        <f t="shared" si="284"/>
        <v>-1.6829075112233904</v>
      </c>
      <c r="W541" s="580">
        <f t="shared" si="272"/>
        <v>-33.287719819723073</v>
      </c>
      <c r="X541" s="581">
        <f t="shared" si="273"/>
        <v>-206.05345110859997</v>
      </c>
      <c r="Y541" s="584">
        <f t="shared" si="274"/>
        <v>-26.053451108599972</v>
      </c>
      <c r="AA541" s="147">
        <f t="shared" si="275"/>
        <v>81283</v>
      </c>
      <c r="AB541" s="147">
        <f t="shared" si="276"/>
        <v>6606926089</v>
      </c>
      <c r="AD541" s="583">
        <f t="shared" si="277"/>
        <v>16.86724099027148</v>
      </c>
      <c r="AE541" s="584">
        <f t="shared" si="278"/>
        <v>-16.617051281926255</v>
      </c>
      <c r="AG541" s="583">
        <f t="shared" si="279"/>
        <v>-6.0732434691746189</v>
      </c>
      <c r="AH541" s="584">
        <f t="shared" si="280"/>
        <v>3.4105958016170925</v>
      </c>
      <c r="AJ541" s="147">
        <f t="shared" si="281"/>
        <v>0</v>
      </c>
      <c r="AK541" s="147">
        <f t="shared" si="293"/>
        <v>0</v>
      </c>
      <c r="AM541" s="147" t="str">
        <f t="shared" si="285"/>
        <v>1.95151846055684-0.307591643611371i</v>
      </c>
      <c r="AN541" s="147" t="str">
        <f t="shared" si="286"/>
        <v>3.45425358062912i</v>
      </c>
      <c r="AO541" s="147" t="str">
        <f t="shared" si="287"/>
        <v>-0.0890472098911018-0.564960972031883i</v>
      </c>
      <c r="AP541" s="147" t="str">
        <f t="shared" si="288"/>
        <v>-0.158586410092806+0.0512652739352285i</v>
      </c>
      <c r="AQ541" s="147" t="str">
        <f t="shared" si="289"/>
        <v>1.15858641009281-0.0512652739352285i</v>
      </c>
      <c r="AR541" s="147" t="str">
        <f t="shared" si="290"/>
        <v>0.717574668592827+0.0317513321699028i</v>
      </c>
    </row>
    <row r="542" spans="7:44">
      <c r="G542" s="585">
        <v>81756.25</v>
      </c>
      <c r="H542" s="573">
        <f t="shared" si="282"/>
        <v>81.756249999999994</v>
      </c>
      <c r="I542" s="574">
        <f t="shared" si="262"/>
        <v>230.92663797349257</v>
      </c>
      <c r="J542" s="575">
        <f t="shared" si="263"/>
        <v>1.5664659336701947</v>
      </c>
      <c r="K542" s="575">
        <f t="shared" si="264"/>
        <v>1.0063655650108403</v>
      </c>
      <c r="L542" s="576">
        <f t="shared" si="265"/>
        <v>0.11253426505639365</v>
      </c>
      <c r="M542" s="575">
        <f t="shared" si="266"/>
        <v>1.0145900748684451</v>
      </c>
      <c r="N542" s="576">
        <f t="shared" si="267"/>
        <v>-0.1697931908820115</v>
      </c>
      <c r="O542" s="574">
        <f t="shared" si="268"/>
        <v>3390351.8100087726</v>
      </c>
      <c r="P542" s="577">
        <f t="shared" si="269"/>
        <v>1.5707960318402558</v>
      </c>
      <c r="Q542" s="586">
        <f t="shared" si="291"/>
        <v>136.74784608395143</v>
      </c>
      <c r="R542" s="587">
        <f t="shared" si="292"/>
        <v>1.5634835321767699</v>
      </c>
      <c r="S542" s="574">
        <f t="shared" si="270"/>
        <v>1.0417979851481154</v>
      </c>
      <c r="T542" s="577">
        <f t="shared" si="271"/>
        <v>0.2842259604350641</v>
      </c>
      <c r="U542" s="578">
        <f t="shared" si="283"/>
        <v>0.40808475906808339</v>
      </c>
      <c r="V542" s="579">
        <f t="shared" si="284"/>
        <v>-1.6901821992234007</v>
      </c>
      <c r="W542" s="580">
        <f t="shared" si="272"/>
        <v>-33.397797719620776</v>
      </c>
      <c r="X542" s="581">
        <f t="shared" si="273"/>
        <v>-206.57681172866168</v>
      </c>
      <c r="Y542" s="584">
        <f t="shared" si="274"/>
        <v>-26.576811728661681</v>
      </c>
      <c r="AA542" s="147">
        <f t="shared" si="275"/>
        <v>81756.25</v>
      </c>
      <c r="AB542" s="147">
        <f t="shared" si="276"/>
        <v>6684084414.0625</v>
      </c>
      <c r="AD542" s="583">
        <f t="shared" si="277"/>
        <v>16.863294400262458</v>
      </c>
      <c r="AE542" s="584">
        <f t="shared" si="278"/>
        <v>-16.703923348477083</v>
      </c>
      <c r="AG542" s="583">
        <f t="shared" si="279"/>
        <v>-6.0638318478027822</v>
      </c>
      <c r="AH542" s="584">
        <f t="shared" si="280"/>
        <v>3.8077250884088585</v>
      </c>
      <c r="AJ542" s="147">
        <f t="shared" si="281"/>
        <v>0</v>
      </c>
      <c r="AK542" s="147">
        <f t="shared" si="293"/>
        <v>0</v>
      </c>
      <c r="AM542" s="147" t="str">
        <f t="shared" si="285"/>
        <v>1.94514031336432-0.326664641572363i</v>
      </c>
      <c r="AN542" s="147" t="str">
        <f t="shared" si="286"/>
        <v>3.47436511080188i</v>
      </c>
      <c r="AO542" s="147" t="str">
        <f t="shared" si="287"/>
        <v>-0.0940213912915356-0.559854894730791i</v>
      </c>
      <c r="AP542" s="147" t="str">
        <f t="shared" si="288"/>
        <v>-0.15752338556072+0.0544441069287272i</v>
      </c>
      <c r="AQ542" s="147" t="str">
        <f t="shared" si="289"/>
        <v>1.15752338556072-0.0544441069287272i</v>
      </c>
      <c r="AR542" s="147" t="str">
        <f t="shared" si="290"/>
        <v>0.718051350016276+0.0337735418292785i</v>
      </c>
    </row>
    <row r="543" spans="7:44">
      <c r="G543" s="585">
        <v>82229.5</v>
      </c>
      <c r="H543" s="573">
        <f t="shared" si="282"/>
        <v>82.229500000000002</v>
      </c>
      <c r="I543" s="574">
        <f t="shared" si="262"/>
        <v>232.26334297116497</v>
      </c>
      <c r="J543" s="575">
        <f t="shared" si="263"/>
        <v>1.5664908557863084</v>
      </c>
      <c r="K543" s="575">
        <f t="shared" si="264"/>
        <v>1.0064392366224937</v>
      </c>
      <c r="L543" s="576">
        <f t="shared" si="265"/>
        <v>0.1131801421373831</v>
      </c>
      <c r="M543" s="575">
        <f t="shared" si="266"/>
        <v>1.0147582425054691</v>
      </c>
      <c r="N543" s="576">
        <f t="shared" si="267"/>
        <v>-0.1707571056519272</v>
      </c>
      <c r="O543" s="574">
        <f t="shared" si="268"/>
        <v>3409977.0251340568</v>
      </c>
      <c r="P543" s="577">
        <f t="shared" si="269"/>
        <v>1.5707960335377888</v>
      </c>
      <c r="Q543" s="586">
        <f t="shared" si="291"/>
        <v>137.53937538438046</v>
      </c>
      <c r="R543" s="587">
        <f t="shared" si="292"/>
        <v>1.5635256175322207</v>
      </c>
      <c r="S543" s="574">
        <f t="shared" si="270"/>
        <v>1.0422734411412795</v>
      </c>
      <c r="T543" s="577">
        <f t="shared" si="271"/>
        <v>0.28578331933742179</v>
      </c>
      <c r="U543" s="578">
        <f t="shared" si="283"/>
        <v>0.4053707265370981</v>
      </c>
      <c r="V543" s="579">
        <f t="shared" si="284"/>
        <v>-1.6974687606112071</v>
      </c>
      <c r="W543" s="580">
        <f t="shared" si="272"/>
        <v>-33.507780789925924</v>
      </c>
      <c r="X543" s="581">
        <f t="shared" si="273"/>
        <v>-207.10076996962317</v>
      </c>
      <c r="Y543" s="584">
        <f t="shared" si="274"/>
        <v>-27.100769969623173</v>
      </c>
      <c r="AA543" s="147">
        <f t="shared" si="275"/>
        <v>82229.5</v>
      </c>
      <c r="AB543" s="147">
        <f t="shared" si="276"/>
        <v>6761690670.25</v>
      </c>
      <c r="AD543" s="583">
        <f t="shared" si="277"/>
        <v>16.85932857079063</v>
      </c>
      <c r="AE543" s="584">
        <f t="shared" si="278"/>
        <v>-16.790742224883346</v>
      </c>
      <c r="AG543" s="583">
        <f t="shared" si="279"/>
        <v>-6.0539294105304622</v>
      </c>
      <c r="AH543" s="584">
        <f t="shared" si="280"/>
        <v>4.2055641541763293</v>
      </c>
      <c r="AJ543" s="147">
        <f t="shared" si="281"/>
        <v>0</v>
      </c>
      <c r="AK543" s="147">
        <f t="shared" si="293"/>
        <v>0</v>
      </c>
      <c r="AM543" s="147" t="str">
        <f t="shared" si="285"/>
        <v>1.93837989470852-0.345605516748243i</v>
      </c>
      <c r="AN543" s="147" t="str">
        <f t="shared" si="286"/>
        <v>3.49447664097465i</v>
      </c>
      <c r="AO543" s="147" t="str">
        <f t="shared" si="287"/>
        <v>-0.0989005085041432-0.554698197715777i</v>
      </c>
      <c r="AP543" s="147" t="str">
        <f t="shared" si="288"/>
        <v>-0.156396649118087+0.0576009194580405i</v>
      </c>
      <c r="AQ543" s="147" t="str">
        <f t="shared" si="289"/>
        <v>1.15639664911809-0.0576009194580405i</v>
      </c>
      <c r="AR543" s="147" t="str">
        <f t="shared" si="290"/>
        <v>0.71855825174117+0.0357918850906553i</v>
      </c>
    </row>
    <row r="544" spans="7:44">
      <c r="G544" s="585">
        <v>82702.75</v>
      </c>
      <c r="H544" s="573">
        <f t="shared" si="282"/>
        <v>82.702749999999995</v>
      </c>
      <c r="I544" s="574">
        <f t="shared" si="262"/>
        <v>233.60004811144793</v>
      </c>
      <c r="J544" s="575">
        <f t="shared" si="263"/>
        <v>1.5665154926839968</v>
      </c>
      <c r="K544" s="575">
        <f t="shared" si="264"/>
        <v>1.0065133280159619</v>
      </c>
      <c r="L544" s="576">
        <f t="shared" si="265"/>
        <v>0.11382592439920919</v>
      </c>
      <c r="M544" s="575">
        <f t="shared" si="266"/>
        <v>1.0149273526735689</v>
      </c>
      <c r="N544" s="576">
        <f t="shared" si="267"/>
        <v>-0.17172070009629672</v>
      </c>
      <c r="O544" s="574">
        <f t="shared" si="268"/>
        <v>3429602.240259341</v>
      </c>
      <c r="P544" s="577">
        <f t="shared" si="269"/>
        <v>1.5707960352158943</v>
      </c>
      <c r="Q544" s="586">
        <f t="shared" si="291"/>
        <v>138.33090492562829</v>
      </c>
      <c r="R544" s="587">
        <f t="shared" si="292"/>
        <v>1.563567221262874</v>
      </c>
      <c r="S544" s="574">
        <f t="shared" si="270"/>
        <v>1.0427514227209651</v>
      </c>
      <c r="T544" s="577">
        <f t="shared" si="271"/>
        <v>0.28733925427078899</v>
      </c>
      <c r="U544" s="578">
        <f t="shared" si="283"/>
        <v>0.40266567153323957</v>
      </c>
      <c r="V544" s="579">
        <f t="shared" si="284"/>
        <v>-1.7047679261037261</v>
      </c>
      <c r="W544" s="580">
        <f t="shared" si="272"/>
        <v>-33.617679654004398</v>
      </c>
      <c r="X544" s="581">
        <f t="shared" si="273"/>
        <v>-207.62536711675574</v>
      </c>
      <c r="Y544" s="584">
        <f t="shared" si="274"/>
        <v>-27.62536711675574</v>
      </c>
      <c r="AA544" s="147">
        <f t="shared" si="275"/>
        <v>82702.75</v>
      </c>
      <c r="AB544" s="147">
        <f t="shared" si="276"/>
        <v>6839744857.5625</v>
      </c>
      <c r="AD544" s="583">
        <f t="shared" si="277"/>
        <v>16.855343556812709</v>
      </c>
      <c r="AE544" s="584">
        <f t="shared" si="278"/>
        <v>-16.877507107831338</v>
      </c>
      <c r="AG544" s="583">
        <f t="shared" si="279"/>
        <v>-6.043532178319273</v>
      </c>
      <c r="AH544" s="584">
        <f t="shared" si="280"/>
        <v>4.6041546443252308</v>
      </c>
      <c r="AJ544" s="147">
        <f t="shared" si="281"/>
        <v>0</v>
      </c>
      <c r="AK544" s="147">
        <f t="shared" si="293"/>
        <v>0</v>
      </c>
      <c r="AM544" s="147" t="str">
        <f t="shared" si="285"/>
        <v>1.93123993890848-0.364406608312375i</v>
      </c>
      <c r="AN544" s="147" t="str">
        <f t="shared" si="286"/>
        <v>3.51458817114741i</v>
      </c>
      <c r="AO544" s="147" t="str">
        <f t="shared" si="287"/>
        <v>-0.103684013764095-0.549492527961814i</v>
      </c>
      <c r="AP544" s="147" t="str">
        <f t="shared" si="288"/>
        <v>-0.155206656484747+0.0607344347187292i</v>
      </c>
      <c r="AQ544" s="147" t="str">
        <f t="shared" si="289"/>
        <v>1.15520665648475-0.0607344347187292i</v>
      </c>
      <c r="AR544" s="147" t="str">
        <f t="shared" si="290"/>
        <v>0.719095465143496+0.0378060984492504i</v>
      </c>
    </row>
    <row r="545" spans="7:44">
      <c r="G545" s="585">
        <v>83176</v>
      </c>
      <c r="H545" s="573">
        <f t="shared" si="282"/>
        <v>83.176000000000002</v>
      </c>
      <c r="I545" s="574">
        <f t="shared" si="262"/>
        <v>234.93675339190716</v>
      </c>
      <c r="J545" s="575">
        <f t="shared" si="263"/>
        <v>1.5665398492315992</v>
      </c>
      <c r="K545" s="575">
        <f t="shared" si="264"/>
        <v>1.0065878390985492</v>
      </c>
      <c r="L545" s="576">
        <f t="shared" si="265"/>
        <v>0.11447161132424227</v>
      </c>
      <c r="M545" s="575">
        <f t="shared" si="266"/>
        <v>1.0150974049016812</v>
      </c>
      <c r="N545" s="576">
        <f t="shared" si="267"/>
        <v>-0.17268397258624074</v>
      </c>
      <c r="O545" s="574">
        <f t="shared" si="268"/>
        <v>3449227.4553846251</v>
      </c>
      <c r="P545" s="577">
        <f t="shared" si="269"/>
        <v>1.5707960368749034</v>
      </c>
      <c r="Q545" s="586">
        <f t="shared" si="291"/>
        <v>139.12243470358453</v>
      </c>
      <c r="R545" s="587">
        <f t="shared" si="292"/>
        <v>1.563608351589121</v>
      </c>
      <c r="S545" s="574">
        <f t="shared" si="270"/>
        <v>1.0432319264156995</v>
      </c>
      <c r="T545" s="577">
        <f t="shared" si="271"/>
        <v>0.28889375966400732</v>
      </c>
      <c r="U545" s="578">
        <f t="shared" si="283"/>
        <v>0.39996930898148086</v>
      </c>
      <c r="V545" s="579">
        <f t="shared" si="284"/>
        <v>-1.7120804286824205</v>
      </c>
      <c r="W545" s="580">
        <f t="shared" si="272"/>
        <v>-33.727505077325603</v>
      </c>
      <c r="X545" s="581">
        <f t="shared" si="273"/>
        <v>-208.15064459189048</v>
      </c>
      <c r="Y545" s="584">
        <f t="shared" si="274"/>
        <v>-28.150644591890483</v>
      </c>
      <c r="AA545" s="147">
        <f t="shared" si="275"/>
        <v>83176</v>
      </c>
      <c r="AB545" s="147">
        <f t="shared" si="276"/>
        <v>6918246976</v>
      </c>
      <c r="AD545" s="583">
        <f t="shared" si="277"/>
        <v>16.851339413465414</v>
      </c>
      <c r="AE545" s="584">
        <f t="shared" si="278"/>
        <v>-16.964217207142415</v>
      </c>
      <c r="AG545" s="583">
        <f t="shared" si="279"/>
        <v>-6.0326359155936204</v>
      </c>
      <c r="AH545" s="584">
        <f t="shared" si="280"/>
        <v>5.0035383403345159</v>
      </c>
      <c r="AJ545" s="147">
        <f t="shared" si="281"/>
        <v>0</v>
      </c>
      <c r="AK545" s="147">
        <f t="shared" si="293"/>
        <v>0</v>
      </c>
      <c r="AM545" s="147" t="str">
        <f t="shared" si="285"/>
        <v>1.9237233337908-0.383060311975035i</v>
      </c>
      <c r="AN545" s="147" t="str">
        <f t="shared" si="286"/>
        <v>3.53469970132017i</v>
      </c>
      <c r="AO545" s="147" t="str">
        <f t="shared" si="287"/>
        <v>-0.108371387767953-0.544239538389163i</v>
      </c>
      <c r="AP545" s="147" t="str">
        <f t="shared" si="288"/>
        <v>-0.153953888965133+0.0638433853291725i</v>
      </c>
      <c r="AQ545" s="147" t="str">
        <f t="shared" si="289"/>
        <v>1.15395388896513-0.0638433853291725i</v>
      </c>
      <c r="AR545" s="147" t="str">
        <f t="shared" si="290"/>
        <v>0.71966308642037+0.0398159130732005i</v>
      </c>
    </row>
    <row r="546" spans="7:44">
      <c r="G546" s="585">
        <v>83660.5</v>
      </c>
      <c r="H546" s="573">
        <f t="shared" si="282"/>
        <v>83.660499999999999</v>
      </c>
      <c r="I546" s="574">
        <f t="shared" si="262"/>
        <v>236.30523469339627</v>
      </c>
      <c r="J546" s="575">
        <f t="shared" si="263"/>
        <v>1.5665644993195933</v>
      </c>
      <c r="K546" s="575">
        <f t="shared" si="264"/>
        <v>1.0066645561185379</v>
      </c>
      <c r="L546" s="576">
        <f t="shared" si="265"/>
        <v>0.11513254808057723</v>
      </c>
      <c r="M546" s="575">
        <f t="shared" si="266"/>
        <v>1.0152724749993747</v>
      </c>
      <c r="N546" s="576">
        <f t="shared" si="267"/>
        <v>-0.1736698085656245</v>
      </c>
      <c r="O546" s="574">
        <f t="shared" si="268"/>
        <v>3469319.1970184343</v>
      </c>
      <c r="P546" s="577">
        <f t="shared" si="269"/>
        <v>1.5707960385539066</v>
      </c>
      <c r="Q546" s="586">
        <f t="shared" si="291"/>
        <v>139.93278080286237</v>
      </c>
      <c r="R546" s="587">
        <f t="shared" si="292"/>
        <v>1.5636499776261676</v>
      </c>
      <c r="S546" s="574">
        <f t="shared" si="270"/>
        <v>1.0437264616669624</v>
      </c>
      <c r="T546" s="577">
        <f t="shared" si="271"/>
        <v>0.2904837317387412</v>
      </c>
      <c r="U546" s="578">
        <f t="shared" si="283"/>
        <v>0.39721755514276041</v>
      </c>
      <c r="V546" s="579">
        <f t="shared" si="284"/>
        <v>-1.719581346808843</v>
      </c>
      <c r="W546" s="580">
        <f t="shared" si="272"/>
        <v>-33.839876564376127</v>
      </c>
      <c r="X546" s="581">
        <f t="shared" si="273"/>
        <v>-208.68915703326255</v>
      </c>
      <c r="Y546" s="584">
        <f t="shared" si="274"/>
        <v>-28.689157033262546</v>
      </c>
      <c r="AA546" s="147">
        <f t="shared" si="275"/>
        <v>83660.5</v>
      </c>
      <c r="AB546" s="147">
        <f t="shared" si="276"/>
        <v>6999079260.25</v>
      </c>
      <c r="AD546" s="583">
        <f t="shared" si="277"/>
        <v>16.847220325333176</v>
      </c>
      <c r="AE546" s="584">
        <f t="shared" si="278"/>
        <v>-17.052930996628866</v>
      </c>
      <c r="AG546" s="583">
        <f t="shared" si="279"/>
        <v>-6.0209589671523887</v>
      </c>
      <c r="AH546" s="584">
        <f t="shared" si="280"/>
        <v>5.4132815916654362</v>
      </c>
      <c r="AJ546" s="147">
        <f t="shared" si="281"/>
        <v>0</v>
      </c>
      <c r="AK546" s="147">
        <f t="shared" si="293"/>
        <v>0</v>
      </c>
      <c r="AM546" s="147" t="str">
        <f t="shared" si="285"/>
        <v>1.91564103465154-0.401996885139996i</v>
      </c>
      <c r="AN546" s="147" t="str">
        <f t="shared" si="286"/>
        <v>3.55528931858104i</v>
      </c>
      <c r="AO546" s="147" t="str">
        <f t="shared" si="287"/>
        <v>-0.11307009053779-0.538814386958555i</v>
      </c>
      <c r="AP546" s="147" t="str">
        <f t="shared" si="288"/>
        <v>-0.15260683910859+0.066999480856666i</v>
      </c>
      <c r="AQ546" s="147" t="str">
        <f t="shared" si="289"/>
        <v>1.15260683910859-0.066999480856666i</v>
      </c>
      <c r="AR546" s="147" t="str">
        <f t="shared" si="290"/>
        <v>0.720275807214992+0.0418686611250222i</v>
      </c>
    </row>
    <row r="547" spans="7:44">
      <c r="G547" s="585">
        <v>84145</v>
      </c>
      <c r="H547" s="573">
        <f t="shared" si="282"/>
        <v>84.144999999999996</v>
      </c>
      <c r="I547" s="574">
        <f t="shared" si="262"/>
        <v>237.67371613681729</v>
      </c>
      <c r="J547" s="575">
        <f t="shared" si="263"/>
        <v>1.5665888655462767</v>
      </c>
      <c r="K547" s="575">
        <f t="shared" si="264"/>
        <v>1.006741712820117</v>
      </c>
      <c r="L547" s="576">
        <f t="shared" si="265"/>
        <v>0.11579338381714521</v>
      </c>
      <c r="M547" s="575">
        <f t="shared" si="266"/>
        <v>1.0154485314717541</v>
      </c>
      <c r="N547" s="576">
        <f t="shared" si="267"/>
        <v>-0.17465530365789536</v>
      </c>
      <c r="O547" s="574">
        <f t="shared" si="268"/>
        <v>3489410.9386522435</v>
      </c>
      <c r="P547" s="577">
        <f t="shared" si="269"/>
        <v>1.5707960402135746</v>
      </c>
      <c r="Q547" s="586">
        <f t="shared" si="291"/>
        <v>140.74312714181349</v>
      </c>
      <c r="R547" s="587">
        <f t="shared" si="292"/>
        <v>1.5636911243289486</v>
      </c>
      <c r="S547" s="574">
        <f t="shared" si="270"/>
        <v>1.0442236329673289</v>
      </c>
      <c r="T547" s="577">
        <f t="shared" si="271"/>
        <v>0.29207219380450711</v>
      </c>
      <c r="U547" s="578">
        <f t="shared" si="283"/>
        <v>0.39447430382163323</v>
      </c>
      <c r="V547" s="579">
        <f t="shared" si="284"/>
        <v>-1.727097806167925</v>
      </c>
      <c r="W547" s="580">
        <f t="shared" si="272"/>
        <v>-33.95219439749971</v>
      </c>
      <c r="X547" s="581">
        <f t="shared" si="273"/>
        <v>-209.22847085981539</v>
      </c>
      <c r="Y547" s="584">
        <f t="shared" si="274"/>
        <v>-29.228470859815388</v>
      </c>
      <c r="AA547" s="147">
        <f t="shared" si="275"/>
        <v>84145</v>
      </c>
      <c r="AB547" s="147">
        <f t="shared" si="276"/>
        <v>7080381025</v>
      </c>
      <c r="AD547" s="583">
        <f t="shared" si="277"/>
        <v>16.843081305058792</v>
      </c>
      <c r="AE547" s="584">
        <f t="shared" si="278"/>
        <v>-17.141585731696921</v>
      </c>
      <c r="AG547" s="583">
        <f t="shared" si="279"/>
        <v>-6.0087491549670453</v>
      </c>
      <c r="AH547" s="584">
        <f t="shared" si="280"/>
        <v>5.8239452974788604</v>
      </c>
      <c r="AJ547" s="147">
        <f t="shared" si="281"/>
        <v>0</v>
      </c>
      <c r="AK547" s="147">
        <f t="shared" si="293"/>
        <v>0</v>
      </c>
      <c r="AM547" s="147" t="str">
        <f t="shared" si="285"/>
        <v>1.90717057937978-0.420763044845622i</v>
      </c>
      <c r="AN547" s="147" t="str">
        <f t="shared" si="286"/>
        <v>3.5758789358419i</v>
      </c>
      <c r="AO547" s="147" t="str">
        <f t="shared" si="287"/>
        <v>-0.11766702743435-0.533343162226145i</v>
      </c>
      <c r="AP547" s="147" t="str">
        <f t="shared" si="288"/>
        <v>-0.151195096563296+0.070127174140937i</v>
      </c>
      <c r="AQ547" s="147" t="str">
        <f t="shared" si="289"/>
        <v>1.1511950965633-0.070127174140937i</v>
      </c>
      <c r="AR547" s="147" t="str">
        <f t="shared" si="290"/>
        <v>0.720920617856438+0.0439162100856207i</v>
      </c>
    </row>
    <row r="548" spans="7:44">
      <c r="G548" s="585">
        <v>84629.5</v>
      </c>
      <c r="H548" s="573">
        <f t="shared" si="282"/>
        <v>84.629499999999993</v>
      </c>
      <c r="I548" s="574">
        <f t="shared" si="262"/>
        <v>239.0421977197326</v>
      </c>
      <c r="J548" s="575">
        <f t="shared" si="263"/>
        <v>1.5666129527868142</v>
      </c>
      <c r="K548" s="575">
        <f t="shared" si="264"/>
        <v>1.0068193091022033</v>
      </c>
      <c r="L548" s="576">
        <f t="shared" si="265"/>
        <v>0.11645411798005852</v>
      </c>
      <c r="M548" s="575">
        <f t="shared" si="266"/>
        <v>1.0156255738058615</v>
      </c>
      <c r="N548" s="576">
        <f t="shared" si="267"/>
        <v>-0.17564045612660256</v>
      </c>
      <c r="O548" s="574">
        <f t="shared" si="268"/>
        <v>3509502.6802860526</v>
      </c>
      <c r="P548" s="577">
        <f t="shared" si="269"/>
        <v>1.5707960418542395</v>
      </c>
      <c r="Q548" s="586">
        <f t="shared" si="291"/>
        <v>141.55347371632172</v>
      </c>
      <c r="R548" s="587">
        <f t="shared" si="292"/>
        <v>1.5637317999294111</v>
      </c>
      <c r="S548" s="574">
        <f t="shared" si="270"/>
        <v>1.0447234365534066</v>
      </c>
      <c r="T548" s="577">
        <f t="shared" si="271"/>
        <v>0.29365914000678017</v>
      </c>
      <c r="U548" s="578">
        <f t="shared" si="283"/>
        <v>0.3917392456212937</v>
      </c>
      <c r="V548" s="579">
        <f t="shared" si="284"/>
        <v>-1.7346306013893471</v>
      </c>
      <c r="W548" s="580">
        <f t="shared" si="272"/>
        <v>-34.064470635429664</v>
      </c>
      <c r="X548" s="581">
        <f t="shared" si="273"/>
        <v>-209.76863100497019</v>
      </c>
      <c r="Y548" s="584">
        <f t="shared" si="274"/>
        <v>-29.768631004970189</v>
      </c>
      <c r="AA548" s="147">
        <f t="shared" si="275"/>
        <v>84629.5</v>
      </c>
      <c r="AB548" s="147">
        <f t="shared" si="276"/>
        <v>7162152270.25</v>
      </c>
      <c r="AD548" s="583">
        <f t="shared" si="277"/>
        <v>16.838922412369833</v>
      </c>
      <c r="AE548" s="584">
        <f t="shared" si="278"/>
        <v>-17.230180605270231</v>
      </c>
      <c r="AG548" s="583">
        <f t="shared" si="279"/>
        <v>-5.9960010710552583</v>
      </c>
      <c r="AH548" s="584">
        <f t="shared" si="280"/>
        <v>6.2355747751313295</v>
      </c>
      <c r="AJ548" s="147">
        <f t="shared" si="281"/>
        <v>0</v>
      </c>
      <c r="AK548" s="147">
        <f t="shared" si="293"/>
        <v>0</v>
      </c>
      <c r="AM548" s="147" t="str">
        <f t="shared" si="285"/>
        <v>1.89831555874856-0.439350835791004i</v>
      </c>
      <c r="AN548" s="147" t="str">
        <f t="shared" si="286"/>
        <v>3.59646855310277i</v>
      </c>
      <c r="AO548" s="147" t="str">
        <f t="shared" si="287"/>
        <v>-0.122161734296819-0.527827653910899i</v>
      </c>
      <c r="AP548" s="147" t="str">
        <f t="shared" si="288"/>
        <v>-0.149719259791428+0.0732251392985007i</v>
      </c>
      <c r="AQ548" s="147" t="str">
        <f t="shared" si="289"/>
        <v>1.14971925979143-0.0732251392985007i</v>
      </c>
      <c r="AR548" s="147" t="str">
        <f t="shared" si="290"/>
        <v>0.721597636580276+0.0459582519872243i</v>
      </c>
    </row>
    <row r="549" spans="7:44">
      <c r="G549" s="585">
        <v>85114</v>
      </c>
      <c r="H549" s="573">
        <f t="shared" si="282"/>
        <v>85.114000000000004</v>
      </c>
      <c r="I549" s="574">
        <f t="shared" si="262"/>
        <v>240.41067943976012</v>
      </c>
      <c r="J549" s="575">
        <f t="shared" si="263"/>
        <v>1.5666367658053677</v>
      </c>
      <c r="K549" s="575">
        <f t="shared" si="264"/>
        <v>1.0068973448631675</v>
      </c>
      <c r="L549" s="576">
        <f t="shared" si="265"/>
        <v>0.11711475001595442</v>
      </c>
      <c r="M549" s="575">
        <f t="shared" si="266"/>
        <v>1.0158036014862257</v>
      </c>
      <c r="N549" s="576">
        <f t="shared" si="267"/>
        <v>-0.17662526423916261</v>
      </c>
      <c r="O549" s="574">
        <f t="shared" si="268"/>
        <v>3529594.4219198618</v>
      </c>
      <c r="P549" s="577">
        <f t="shared" si="269"/>
        <v>1.5707960434762258</v>
      </c>
      <c r="Q549" s="586">
        <f t="shared" si="291"/>
        <v>142.36382052236459</v>
      </c>
      <c r="R549" s="587">
        <f t="shared" si="292"/>
        <v>1.5637720124720813</v>
      </c>
      <c r="S549" s="574">
        <f t="shared" si="270"/>
        <v>1.0452258686490958</v>
      </c>
      <c r="T549" s="577">
        <f t="shared" si="271"/>
        <v>0.29524456453274384</v>
      </c>
      <c r="U549" s="578">
        <f t="shared" si="283"/>
        <v>0.38901206994089738</v>
      </c>
      <c r="V549" s="579">
        <f t="shared" si="284"/>
        <v>-1.7421805300848672</v>
      </c>
      <c r="W549" s="580">
        <f t="shared" si="272"/>
        <v>-34.176717523637912</v>
      </c>
      <c r="X549" s="581">
        <f t="shared" si="273"/>
        <v>-210.3096825799677</v>
      </c>
      <c r="Y549" s="584">
        <f t="shared" si="274"/>
        <v>-30.309682579967699</v>
      </c>
      <c r="AA549" s="147">
        <f t="shared" si="275"/>
        <v>85114</v>
      </c>
      <c r="AB549" s="147">
        <f t="shared" si="276"/>
        <v>7244392996</v>
      </c>
      <c r="AD549" s="583">
        <f t="shared" si="277"/>
        <v>16.834743707177008</v>
      </c>
      <c r="AE549" s="584">
        <f t="shared" si="278"/>
        <v>-17.318714823400136</v>
      </c>
      <c r="AG549" s="583">
        <f t="shared" si="279"/>
        <v>-5.9827090060523789</v>
      </c>
      <c r="AH549" s="584">
        <f t="shared" si="280"/>
        <v>6.6482155190083052</v>
      </c>
      <c r="AJ549" s="147">
        <f t="shared" si="281"/>
        <v>0</v>
      </c>
      <c r="AK549" s="147">
        <f t="shared" si="293"/>
        <v>0</v>
      </c>
      <c r="AM549" s="147" t="str">
        <f t="shared" si="285"/>
        <v>1.8890797265549-0.457752378288809i</v>
      </c>
      <c r="AN549" s="147" t="str">
        <f t="shared" si="286"/>
        <v>3.61705817036363i</v>
      </c>
      <c r="AO549" s="147" t="str">
        <f t="shared" si="287"/>
        <v>-0.126553778437793-0.522269656051726i</v>
      </c>
      <c r="AP549" s="147" t="str">
        <f t="shared" si="288"/>
        <v>-0.148179954425817+0.0762920630481348i</v>
      </c>
      <c r="AQ549" s="147" t="str">
        <f t="shared" si="289"/>
        <v>1.14817995442582-0.0762920630481348i</v>
      </c>
      <c r="AR549" s="147" t="str">
        <f t="shared" si="290"/>
        <v>0.722306986421709+0.0479944715423557i</v>
      </c>
    </row>
    <row r="550" spans="7:44">
      <c r="G550" s="585">
        <v>85609.5</v>
      </c>
      <c r="H550" s="573">
        <f t="shared" si="282"/>
        <v>85.609499999999997</v>
      </c>
      <c r="I550" s="574">
        <f t="shared" si="262"/>
        <v>241.81023105959207</v>
      </c>
      <c r="J550" s="575">
        <f t="shared" si="263"/>
        <v>1.5666608406907812</v>
      </c>
      <c r="K550" s="575">
        <f t="shared" si="264"/>
        <v>1.0069776067863125</v>
      </c>
      <c r="L550" s="576">
        <f t="shared" si="265"/>
        <v>0.1177902747141247</v>
      </c>
      <c r="M550" s="575">
        <f t="shared" si="266"/>
        <v>1.0159866896917842</v>
      </c>
      <c r="N550" s="576">
        <f t="shared" si="267"/>
        <v>-0.1776320732825144</v>
      </c>
      <c r="O550" s="574">
        <f t="shared" si="268"/>
        <v>3550142.322806451</v>
      </c>
      <c r="P550" s="577">
        <f t="shared" si="269"/>
        <v>1.5707960451160485</v>
      </c>
      <c r="Q550" s="586">
        <f t="shared" si="291"/>
        <v>143.19256553049107</v>
      </c>
      <c r="R550" s="587">
        <f t="shared" si="292"/>
        <v>1.5638126672387951</v>
      </c>
      <c r="S550" s="574">
        <f t="shared" si="270"/>
        <v>1.0457424226262815</v>
      </c>
      <c r="T550" s="577">
        <f t="shared" si="271"/>
        <v>0.2968644043448681</v>
      </c>
      <c r="U550" s="578">
        <f t="shared" si="283"/>
        <v>0.38623080499034584</v>
      </c>
      <c r="V550" s="579">
        <f t="shared" si="284"/>
        <v>-1.7499204268454192</v>
      </c>
      <c r="W550" s="580">
        <f t="shared" si="272"/>
        <v>-34.291495453988411</v>
      </c>
      <c r="X550" s="581">
        <f t="shared" si="273"/>
        <v>-210.86398731509894</v>
      </c>
      <c r="Y550" s="584">
        <f t="shared" si="274"/>
        <v>-30.863987315098939</v>
      </c>
      <c r="AA550" s="147">
        <f t="shared" si="275"/>
        <v>85609.5</v>
      </c>
      <c r="AB550" s="147">
        <f t="shared" si="276"/>
        <v>7328986490.25</v>
      </c>
      <c r="AD550" s="583">
        <f t="shared" si="277"/>
        <v>16.830449699704694</v>
      </c>
      <c r="AE550" s="584">
        <f t="shared" si="278"/>
        <v>-17.409195555630632</v>
      </c>
      <c r="AG550" s="583">
        <f t="shared" si="279"/>
        <v>-5.9685462415979043</v>
      </c>
      <c r="AH550" s="584">
        <f t="shared" si="280"/>
        <v>7.0713183536142701</v>
      </c>
      <c r="AJ550" s="147">
        <f t="shared" si="281"/>
        <v>0</v>
      </c>
      <c r="AK550" s="147">
        <f t="shared" si="293"/>
        <v>0</v>
      </c>
      <c r="AM550" s="147" t="str">
        <f t="shared" si="285"/>
        <v>1.87924440834883-0.47637093780721i</v>
      </c>
      <c r="AN550" s="147" t="str">
        <f t="shared" si="286"/>
        <v>3.63811525055508i</v>
      </c>
      <c r="AO550" s="147" t="str">
        <f t="shared" si="287"/>
        <v>-0.130938935410177-0.516543396491386i</v>
      </c>
      <c r="AP550" s="147" t="str">
        <f t="shared" si="288"/>
        <v>-0.146540734724805+0.0793951563012017i</v>
      </c>
      <c r="AQ550" s="147" t="str">
        <f t="shared" si="289"/>
        <v>1.1465407347248-0.0793951563012017i</v>
      </c>
      <c r="AR550" s="147" t="str">
        <f t="shared" si="290"/>
        <v>0.72306601481615+0.0500705622780988i</v>
      </c>
    </row>
    <row r="551" spans="7:44">
      <c r="G551" s="585">
        <v>86105</v>
      </c>
      <c r="H551" s="573">
        <f t="shared" si="282"/>
        <v>86.105000000000004</v>
      </c>
      <c r="I551" s="574">
        <f t="shared" si="262"/>
        <v>243.2097828179642</v>
      </c>
      <c r="J551" s="575">
        <f t="shared" si="263"/>
        <v>1.5666846384981414</v>
      </c>
      <c r="K551" s="575">
        <f t="shared" si="264"/>
        <v>1.0070583281538232</v>
      </c>
      <c r="L551" s="576">
        <f t="shared" si="265"/>
        <v>0.11846569142629028</v>
      </c>
      <c r="M551" s="575">
        <f t="shared" si="266"/>
        <v>1.0161708073952098</v>
      </c>
      <c r="N551" s="576">
        <f t="shared" si="267"/>
        <v>-0.17863851850282375</v>
      </c>
      <c r="O551" s="574">
        <f t="shared" si="268"/>
        <v>3570690.2236930402</v>
      </c>
      <c r="P551" s="577">
        <f t="shared" si="269"/>
        <v>1.5707960467369981</v>
      </c>
      <c r="Q551" s="586">
        <f t="shared" si="291"/>
        <v>144.02131077256391</v>
      </c>
      <c r="R551" s="587">
        <f t="shared" si="292"/>
        <v>1.5638528541241992</v>
      </c>
      <c r="S551" s="574">
        <f t="shared" si="270"/>
        <v>1.046261717793554</v>
      </c>
      <c r="T551" s="577">
        <f t="shared" si="271"/>
        <v>0.29848264043669909</v>
      </c>
      <c r="U551" s="578">
        <f t="shared" si="283"/>
        <v>0.38345712353403072</v>
      </c>
      <c r="V551" s="579">
        <f t="shared" si="284"/>
        <v>-1.7576799413687942</v>
      </c>
      <c r="W551" s="580">
        <f t="shared" si="272"/>
        <v>-34.406269227140214</v>
      </c>
      <c r="X551" s="581">
        <f t="shared" si="273"/>
        <v>-211.41932045159771</v>
      </c>
      <c r="Y551" s="584">
        <f t="shared" si="274"/>
        <v>-31.419320451597713</v>
      </c>
      <c r="AA551" s="147">
        <f t="shared" si="275"/>
        <v>86105</v>
      </c>
      <c r="AB551" s="147">
        <f t="shared" si="276"/>
        <v>7414071025</v>
      </c>
      <c r="AD551" s="583">
        <f t="shared" si="277"/>
        <v>16.82613509719468</v>
      </c>
      <c r="AE551" s="584">
        <f t="shared" si="278"/>
        <v>-17.499611207999756</v>
      </c>
      <c r="AG551" s="583">
        <f t="shared" si="279"/>
        <v>-5.9538014462349844</v>
      </c>
      <c r="AH551" s="584">
        <f t="shared" si="280"/>
        <v>7.4955757370203528</v>
      </c>
      <c r="AJ551" s="147">
        <f t="shared" si="281"/>
        <v>0</v>
      </c>
      <c r="AK551" s="147">
        <f t="shared" si="293"/>
        <v>0</v>
      </c>
      <c r="AM551" s="147" t="str">
        <f t="shared" si="285"/>
        <v>1.86901924702656-0.494778281958082i</v>
      </c>
      <c r="AN551" s="147" t="str">
        <f t="shared" si="286"/>
        <v>3.65917233074653i</v>
      </c>
      <c r="AO551" s="147" t="str">
        <f t="shared" si="287"/>
        <v>-0.13521590054687-0.510776503014618i</v>
      </c>
      <c r="AP551" s="147" t="str">
        <f t="shared" si="288"/>
        <v>-0.144836541171093+0.0824630469930137i</v>
      </c>
      <c r="AQ551" s="147" t="str">
        <f t="shared" si="289"/>
        <v>1.14483654117109-0.0824630469930137i</v>
      </c>
      <c r="AR551" s="147" t="str">
        <f t="shared" si="290"/>
        <v>0.723859134077066+0.0521398711895227i</v>
      </c>
    </row>
    <row r="552" spans="7:44">
      <c r="G552" s="585">
        <v>86600.5</v>
      </c>
      <c r="H552" s="573">
        <f t="shared" si="282"/>
        <v>86.600499999999997</v>
      </c>
      <c r="I552" s="574">
        <f t="shared" si="262"/>
        <v>244.60933471249857</v>
      </c>
      <c r="J552" s="575">
        <f t="shared" si="263"/>
        <v>1.5667081639833944</v>
      </c>
      <c r="K552" s="575">
        <f t="shared" si="264"/>
        <v>1.0071395088552271</v>
      </c>
      <c r="L552" s="576">
        <f t="shared" si="265"/>
        <v>0.11914099956225688</v>
      </c>
      <c r="M552" s="575">
        <f t="shared" si="266"/>
        <v>1.0163559540370073</v>
      </c>
      <c r="N552" s="576">
        <f t="shared" si="267"/>
        <v>-0.17964459805945077</v>
      </c>
      <c r="O552" s="574">
        <f t="shared" si="268"/>
        <v>3591238.1245796294</v>
      </c>
      <c r="P552" s="577">
        <f t="shared" si="269"/>
        <v>1.5707960483393988</v>
      </c>
      <c r="Q552" s="586">
        <f t="shared" si="291"/>
        <v>144.85005624456761</v>
      </c>
      <c r="R552" s="587">
        <f t="shared" si="292"/>
        <v>1.5638925811589748</v>
      </c>
      <c r="S552" s="574">
        <f t="shared" si="270"/>
        <v>1.0467837500713124</v>
      </c>
      <c r="T552" s="577">
        <f t="shared" si="271"/>
        <v>0.30009926672600529</v>
      </c>
      <c r="U552" s="578">
        <f t="shared" si="283"/>
        <v>0.38069068933700395</v>
      </c>
      <c r="V552" s="579">
        <f t="shared" si="284"/>
        <v>-1.7654599372622219</v>
      </c>
      <c r="W552" s="580">
        <f t="shared" si="272"/>
        <v>-34.521052603484932</v>
      </c>
      <c r="X552" s="581">
        <f t="shared" si="273"/>
        <v>-211.97573086277208</v>
      </c>
      <c r="Y552" s="584">
        <f t="shared" si="274"/>
        <v>-31.975730862772082</v>
      </c>
      <c r="AA552" s="147">
        <f t="shared" si="275"/>
        <v>86600.5</v>
      </c>
      <c r="AB552" s="147">
        <f t="shared" si="276"/>
        <v>7499646600.25</v>
      </c>
      <c r="AD552" s="583">
        <f t="shared" si="277"/>
        <v>16.821799964302858</v>
      </c>
      <c r="AE552" s="584">
        <f t="shared" si="278"/>
        <v>-17.589960971915708</v>
      </c>
      <c r="AG552" s="583">
        <f t="shared" si="279"/>
        <v>-5.9384674957160684</v>
      </c>
      <c r="AH552" s="584">
        <f t="shared" si="280"/>
        <v>7.9210369494256527</v>
      </c>
      <c r="AJ552" s="147">
        <f t="shared" si="281"/>
        <v>0</v>
      </c>
      <c r="AK552" s="147">
        <f t="shared" si="293"/>
        <v>0</v>
      </c>
      <c r="AM552" s="147" t="str">
        <f t="shared" si="285"/>
        <v>1.85840877626351-0.512966249215076i</v>
      </c>
      <c r="AN552" s="147" t="str">
        <f t="shared" si="286"/>
        <v>3.68022941093798i</v>
      </c>
      <c r="AO552" s="147" t="str">
        <f t="shared" si="287"/>
        <v>-0.13938431329593-0.504970905003951i</v>
      </c>
      <c r="AP552" s="147" t="str">
        <f t="shared" si="288"/>
        <v>-0.143068129377252+0.0854943748691793i</v>
      </c>
      <c r="AQ552" s="147" t="str">
        <f t="shared" si="289"/>
        <v>1.14306812937725-0.0854943748691793i</v>
      </c>
      <c r="AR552" s="147" t="str">
        <f t="shared" si="290"/>
        <v>0.724686490361471+0.0542020347495366i</v>
      </c>
    </row>
    <row r="553" spans="7:44">
      <c r="G553" s="585">
        <v>87096</v>
      </c>
      <c r="H553" s="573">
        <f t="shared" si="282"/>
        <v>87.096000000000004</v>
      </c>
      <c r="I553" s="574">
        <f t="shared" si="262"/>
        <v>246.00888674087122</v>
      </c>
      <c r="J553" s="575">
        <f t="shared" si="263"/>
        <v>1.5667314217942596</v>
      </c>
      <c r="K553" s="575">
        <f t="shared" si="264"/>
        <v>1.0072211487794591</v>
      </c>
      <c r="L553" s="576">
        <f t="shared" si="265"/>
        <v>0.11981619853241611</v>
      </c>
      <c r="M553" s="575">
        <f t="shared" si="266"/>
        <v>1.0165421290549637</v>
      </c>
      <c r="N553" s="576">
        <f t="shared" si="267"/>
        <v>-0.18065031011605384</v>
      </c>
      <c r="O553" s="574">
        <f t="shared" si="268"/>
        <v>3611786.0254662186</v>
      </c>
      <c r="P553" s="577">
        <f t="shared" si="269"/>
        <v>1.5707960499235667</v>
      </c>
      <c r="Q553" s="586">
        <f t="shared" si="291"/>
        <v>145.67880194257802</v>
      </c>
      <c r="R553" s="587">
        <f t="shared" si="292"/>
        <v>1.5639318561910669</v>
      </c>
      <c r="S553" s="574">
        <f t="shared" si="270"/>
        <v>1.0473085153666077</v>
      </c>
      <c r="T553" s="577">
        <f t="shared" si="271"/>
        <v>0.30171427717630767</v>
      </c>
      <c r="U553" s="578">
        <f t="shared" si="283"/>
        <v>0.37793116478638555</v>
      </c>
      <c r="V553" s="579">
        <f t="shared" si="284"/>
        <v>-1.7732612818850975</v>
      </c>
      <c r="W553" s="580">
        <f t="shared" si="272"/>
        <v>-34.635859586349902</v>
      </c>
      <c r="X553" s="581">
        <f t="shared" si="273"/>
        <v>-212.53326764401626</v>
      </c>
      <c r="Y553" s="584">
        <f t="shared" si="274"/>
        <v>-32.533267644016263</v>
      </c>
      <c r="AA553" s="147">
        <f t="shared" si="275"/>
        <v>87096</v>
      </c>
      <c r="AB553" s="147">
        <f t="shared" si="276"/>
        <v>7585713216</v>
      </c>
      <c r="AD553" s="583">
        <f t="shared" si="277"/>
        <v>16.817444365869981</v>
      </c>
      <c r="AE553" s="584">
        <f t="shared" si="278"/>
        <v>-17.680244051877747</v>
      </c>
      <c r="AG553" s="583">
        <f t="shared" si="279"/>
        <v>-5.9225369084828987</v>
      </c>
      <c r="AH553" s="584">
        <f t="shared" si="280"/>
        <v>8.347751492000727</v>
      </c>
      <c r="AJ553" s="147">
        <f t="shared" si="281"/>
        <v>0</v>
      </c>
      <c r="AK553" s="147">
        <f t="shared" si="293"/>
        <v>0</v>
      </c>
      <c r="AM553" s="147" t="str">
        <f t="shared" si="285"/>
        <v>1.84741770057522-0.530926775320112i</v>
      </c>
      <c r="AN553" s="147" t="str">
        <f t="shared" si="286"/>
        <v>3.70128649112944i</v>
      </c>
      <c r="AO553" s="147" t="str">
        <f t="shared" si="287"/>
        <v>-0.143443847589896-0.499128534092881i</v>
      </c>
      <c r="AP553" s="147" t="str">
        <f t="shared" si="288"/>
        <v>-0.141236283429203+0.0884877958866853i</v>
      </c>
      <c r="AQ553" s="147" t="str">
        <f t="shared" si="289"/>
        <v>1.1412362834292-0.0884877958866853i</v>
      </c>
      <c r="AR553" s="147" t="str">
        <f t="shared" si="290"/>
        <v>0.725548234341808+0.0562566797065612i</v>
      </c>
    </row>
    <row r="554" spans="7:44">
      <c r="G554" s="585">
        <v>87603.25</v>
      </c>
      <c r="H554" s="573">
        <f t="shared" si="282"/>
        <v>87.603250000000003</v>
      </c>
      <c r="I554" s="574">
        <f t="shared" si="262"/>
        <v>247.44162707167166</v>
      </c>
      <c r="J554" s="575">
        <f t="shared" si="263"/>
        <v>1.5667549585984895</v>
      </c>
      <c r="K554" s="575">
        <f t="shared" si="264"/>
        <v>1.0073052002355503</v>
      </c>
      <c r="L554" s="576">
        <f t="shared" si="265"/>
        <v>0.12050729508537095</v>
      </c>
      <c r="M554" s="575">
        <f t="shared" si="266"/>
        <v>1.0167337835744172</v>
      </c>
      <c r="N554" s="576">
        <f t="shared" si="267"/>
        <v>-0.1816794884577895</v>
      </c>
      <c r="O554" s="574">
        <f t="shared" si="268"/>
        <v>3632821.1873728232</v>
      </c>
      <c r="P554" s="577">
        <f t="shared" si="269"/>
        <v>1.5707960515267376</v>
      </c>
      <c r="Q554" s="586">
        <f t="shared" si="291"/>
        <v>146.52720026615648</v>
      </c>
      <c r="R554" s="587">
        <f t="shared" si="292"/>
        <v>1.5639716023680577</v>
      </c>
      <c r="S554" s="574">
        <f t="shared" si="270"/>
        <v>1.0478485513548494</v>
      </c>
      <c r="T554" s="577">
        <f t="shared" si="271"/>
        <v>0.30336590502582578</v>
      </c>
      <c r="U554" s="578">
        <f t="shared" si="283"/>
        <v>0.37511300588968954</v>
      </c>
      <c r="V554" s="579">
        <f t="shared" si="284"/>
        <v>-1.7812706468000716</v>
      </c>
      <c r="W554" s="580">
        <f t="shared" si="272"/>
        <v>-34.753428374670918</v>
      </c>
      <c r="X554" s="581">
        <f t="shared" si="273"/>
        <v>-213.1052437788162</v>
      </c>
      <c r="Y554" s="584">
        <f t="shared" si="274"/>
        <v>-33.105243778816202</v>
      </c>
      <c r="AA554" s="147">
        <f t="shared" si="275"/>
        <v>87603.25</v>
      </c>
      <c r="AB554" s="147">
        <f t="shared" si="276"/>
        <v>7674329410.5625</v>
      </c>
      <c r="AD554" s="583">
        <f t="shared" si="277"/>
        <v>16.81296434992786</v>
      </c>
      <c r="AE554" s="584">
        <f t="shared" si="278"/>
        <v>-17.772598160748505</v>
      </c>
      <c r="AG554" s="583">
        <f t="shared" si="279"/>
        <v>-5.905602330903351</v>
      </c>
      <c r="AH554" s="584">
        <f t="shared" si="280"/>
        <v>8.7859350795366318</v>
      </c>
      <c r="AJ554" s="147">
        <f t="shared" si="281"/>
        <v>0</v>
      </c>
      <c r="AK554" s="147">
        <f t="shared" si="293"/>
        <v>0</v>
      </c>
      <c r="AM554" s="147" t="str">
        <f t="shared" si="285"/>
        <v>1.83577682769803-0.549069298252067i</v>
      </c>
      <c r="AN554" s="147" t="str">
        <f t="shared" si="286"/>
        <v>3.72284290672401i</v>
      </c>
      <c r="AO554" s="147" t="str">
        <f t="shared" si="287"/>
        <v>-0.147486561213842-0.493111547732069i</v>
      </c>
      <c r="AP554" s="147" t="str">
        <f t="shared" si="288"/>
        <v>-0.139296137949672+0.0915115497086778i</v>
      </c>
      <c r="AQ554" s="147" t="str">
        <f t="shared" si="289"/>
        <v>1.13929613794967-0.0915115497086778i</v>
      </c>
      <c r="AR554" s="147" t="str">
        <f t="shared" si="290"/>
        <v>0.726466195578178+0.0583518587958764i</v>
      </c>
    </row>
    <row r="555" spans="7:44">
      <c r="G555" s="585">
        <v>88110.5</v>
      </c>
      <c r="H555" s="573">
        <f t="shared" si="282"/>
        <v>88.110500000000002</v>
      </c>
      <c r="I555" s="574">
        <f t="shared" si="262"/>
        <v>248.87436753797184</v>
      </c>
      <c r="J555" s="575">
        <f t="shared" si="263"/>
        <v>1.5667782244055042</v>
      </c>
      <c r="K555" s="575">
        <f t="shared" si="264"/>
        <v>1.0073897327147405</v>
      </c>
      <c r="L555" s="576">
        <f t="shared" si="265"/>
        <v>0.12119827598517656</v>
      </c>
      <c r="M555" s="575">
        <f t="shared" si="266"/>
        <v>1.016926514619896</v>
      </c>
      <c r="N555" s="576">
        <f t="shared" si="267"/>
        <v>-0.18270827778278481</v>
      </c>
      <c r="O555" s="574">
        <f t="shared" si="268"/>
        <v>3653856.349279427</v>
      </c>
      <c r="P555" s="577">
        <f t="shared" si="269"/>
        <v>1.5707960531114498</v>
      </c>
      <c r="Q555" s="586">
        <f t="shared" si="291"/>
        <v>147.3755988185475</v>
      </c>
      <c r="R555" s="587">
        <f t="shared" si="292"/>
        <v>1.5640108909306976</v>
      </c>
      <c r="S555" s="574">
        <f t="shared" si="270"/>
        <v>1.0483914427931689</v>
      </c>
      <c r="T555" s="577">
        <f t="shared" si="271"/>
        <v>0.3050158268382212</v>
      </c>
      <c r="U555" s="578">
        <f t="shared" si="283"/>
        <v>0.37230136771392908</v>
      </c>
      <c r="V555" s="579">
        <f t="shared" si="284"/>
        <v>-1.7893042369946348</v>
      </c>
      <c r="W555" s="580">
        <f t="shared" si="272"/>
        <v>-34.871052427003157</v>
      </c>
      <c r="X555" s="581">
        <f t="shared" si="273"/>
        <v>-213.67850519990543</v>
      </c>
      <c r="Y555" s="584">
        <f t="shared" si="274"/>
        <v>-33.67850519990543</v>
      </c>
      <c r="AA555" s="147">
        <f t="shared" si="275"/>
        <v>88110.5</v>
      </c>
      <c r="AB555" s="147">
        <f t="shared" si="276"/>
        <v>7763460210.25</v>
      </c>
      <c r="AD555" s="583">
        <f t="shared" si="277"/>
        <v>16.80846302441363</v>
      </c>
      <c r="AE555" s="584">
        <f t="shared" si="278"/>
        <v>-17.864880739205706</v>
      </c>
      <c r="AG555" s="583">
        <f t="shared" si="279"/>
        <v>-5.888025435347287</v>
      </c>
      <c r="AH555" s="584">
        <f t="shared" si="280"/>
        <v>9.2255378629288636</v>
      </c>
      <c r="AJ555" s="147">
        <f t="shared" si="281"/>
        <v>0</v>
      </c>
      <c r="AK555" s="147">
        <f t="shared" si="293"/>
        <v>0</v>
      </c>
      <c r="AM555" s="147" t="str">
        <f t="shared" si="285"/>
        <v>1.82374760187442-0.566956690062067i</v>
      </c>
      <c r="AN555" s="147" t="str">
        <f t="shared" si="286"/>
        <v>3.74439932231859i</v>
      </c>
      <c r="AO555" s="147" t="str">
        <f t="shared" si="287"/>
        <v>-0.151414590501261-0.487060124972228i</v>
      </c>
      <c r="AP555" s="147" t="str">
        <f t="shared" si="288"/>
        <v>-0.137291266979071+0.0944927816770112i</v>
      </c>
      <c r="AQ555" s="147" t="str">
        <f t="shared" si="289"/>
        <v>1.13729126697907-0.0944927816770112i</v>
      </c>
      <c r="AR555" s="147" t="str">
        <f t="shared" si="290"/>
        <v>0.727420527834439+0.0604383337142963i</v>
      </c>
    </row>
    <row r="556" spans="7:44">
      <c r="G556" s="585">
        <v>88617.75</v>
      </c>
      <c r="H556" s="573">
        <f t="shared" si="282"/>
        <v>88.617750000000001</v>
      </c>
      <c r="I556" s="574">
        <f t="shared" si="262"/>
        <v>250.30710813744497</v>
      </c>
      <c r="J556" s="575">
        <f t="shared" si="263"/>
        <v>1.5668012238687861</v>
      </c>
      <c r="K556" s="575">
        <f t="shared" si="264"/>
        <v>1.0074747460959483</v>
      </c>
      <c r="L556" s="576">
        <f t="shared" si="265"/>
        <v>0.12188914060120407</v>
      </c>
      <c r="M556" s="575">
        <f t="shared" si="266"/>
        <v>1.0171203215794369</v>
      </c>
      <c r="N556" s="576">
        <f t="shared" si="267"/>
        <v>-0.18373667613504557</v>
      </c>
      <c r="O556" s="574">
        <f t="shared" si="268"/>
        <v>3674891.5111860312</v>
      </c>
      <c r="P556" s="577">
        <f t="shared" si="269"/>
        <v>1.57079605467802</v>
      </c>
      <c r="Q556" s="586">
        <f t="shared" si="291"/>
        <v>148.223997595822</v>
      </c>
      <c r="R556" s="587">
        <f t="shared" si="292"/>
        <v>1.56404972973669</v>
      </c>
      <c r="S556" s="574">
        <f t="shared" si="270"/>
        <v>1.0489371852479377</v>
      </c>
      <c r="T556" s="577">
        <f t="shared" si="271"/>
        <v>0.3066640362864651</v>
      </c>
      <c r="U556" s="578">
        <f t="shared" si="283"/>
        <v>0.36949588346013901</v>
      </c>
      <c r="V556" s="579">
        <f t="shared" si="284"/>
        <v>-1.7973629959334831</v>
      </c>
      <c r="W556" s="580">
        <f t="shared" si="272"/>
        <v>-34.9887476289991</v>
      </c>
      <c r="X556" s="581">
        <f t="shared" si="273"/>
        <v>-214.253105341809</v>
      </c>
      <c r="Y556" s="584">
        <f t="shared" si="274"/>
        <v>-34.253105341809004</v>
      </c>
      <c r="AA556" s="147">
        <f t="shared" si="275"/>
        <v>88617.75</v>
      </c>
      <c r="AB556" s="147">
        <f t="shared" si="276"/>
        <v>7853105615.0625</v>
      </c>
      <c r="AD556" s="583">
        <f t="shared" si="277"/>
        <v>16.80394045946813</v>
      </c>
      <c r="AE556" s="584">
        <f t="shared" si="278"/>
        <v>-17.957090974542194</v>
      </c>
      <c r="AG556" s="583">
        <f t="shared" si="279"/>
        <v>-5.8697969772541549</v>
      </c>
      <c r="AH556" s="584">
        <f t="shared" si="280"/>
        <v>9.6666137080356354</v>
      </c>
      <c r="AJ556" s="147">
        <f t="shared" si="281"/>
        <v>0</v>
      </c>
      <c r="AK556" s="147">
        <f t="shared" si="293"/>
        <v>0</v>
      </c>
      <c r="AM556" s="147" t="str">
        <f t="shared" si="285"/>
        <v>1.81133561261722-0.58458063917567i</v>
      </c>
      <c r="AN556" s="147" t="str">
        <f t="shared" si="286"/>
        <v>3.76595573791317i</v>
      </c>
      <c r="AO556" s="147" t="str">
        <f t="shared" si="287"/>
        <v>-0.155227697790098-0.48097634137913i</v>
      </c>
      <c r="AP556" s="147" t="str">
        <f t="shared" si="288"/>
        <v>-0.13522260210287+0.0974301065292783i</v>
      </c>
      <c r="AQ556" s="147" t="str">
        <f t="shared" si="289"/>
        <v>1.13522260210287-0.0974301065292783i</v>
      </c>
      <c r="AR556" s="147" t="str">
        <f t="shared" si="290"/>
        <v>0.728411405956528+0.0625156693920854i</v>
      </c>
    </row>
    <row r="557" spans="7:44">
      <c r="G557" s="585">
        <v>89125</v>
      </c>
      <c r="H557" s="573">
        <f t="shared" si="282"/>
        <v>89.125</v>
      </c>
      <c r="I557" s="574">
        <f t="shared" si="262"/>
        <v>251.73984886781722</v>
      </c>
      <c r="J557" s="575">
        <f t="shared" si="263"/>
        <v>1.5668239615358805</v>
      </c>
      <c r="K557" s="575">
        <f t="shared" si="264"/>
        <v>1.0075602402574453</v>
      </c>
      <c r="L557" s="576">
        <f t="shared" si="265"/>
        <v>0.12257988830348085</v>
      </c>
      <c r="M557" s="575">
        <f t="shared" si="266"/>
        <v>1.0173152038381286</v>
      </c>
      <c r="N557" s="576">
        <f t="shared" si="267"/>
        <v>-0.18476468156337195</v>
      </c>
      <c r="O557" s="574">
        <f t="shared" si="268"/>
        <v>3695926.6730926358</v>
      </c>
      <c r="P557" s="577">
        <f t="shared" si="269"/>
        <v>1.5707960562267582</v>
      </c>
      <c r="Q557" s="586">
        <f t="shared" si="291"/>
        <v>149.0723965941404</v>
      </c>
      <c r="R557" s="587">
        <f t="shared" si="292"/>
        <v>1.5640881264648656</v>
      </c>
      <c r="S557" s="574">
        <f t="shared" si="270"/>
        <v>1.0494857742714896</v>
      </c>
      <c r="T557" s="577">
        <f t="shared" si="271"/>
        <v>0.30831052709386875</v>
      </c>
      <c r="U557" s="578">
        <f t="shared" si="283"/>
        <v>0.366696184745055</v>
      </c>
      <c r="V557" s="579">
        <f t="shared" si="284"/>
        <v>-1.8054478716568936</v>
      </c>
      <c r="W557" s="580">
        <f t="shared" si="272"/>
        <v>-35.106530182604644</v>
      </c>
      <c r="X557" s="581">
        <f t="shared" si="273"/>
        <v>-214.82909790851357</v>
      </c>
      <c r="Y557" s="584">
        <f t="shared" si="274"/>
        <v>-34.829097908513575</v>
      </c>
      <c r="AA557" s="147">
        <f t="shared" si="275"/>
        <v>89125</v>
      </c>
      <c r="AB557" s="147">
        <f t="shared" si="276"/>
        <v>7943265625</v>
      </c>
      <c r="AD557" s="583">
        <f t="shared" si="277"/>
        <v>16.799396725418557</v>
      </c>
      <c r="AE557" s="584">
        <f t="shared" si="278"/>
        <v>-18.049228067183392</v>
      </c>
      <c r="AG557" s="583">
        <f t="shared" si="279"/>
        <v>-5.8509072812125407</v>
      </c>
      <c r="AH557" s="584">
        <f t="shared" si="280"/>
        <v>10.109216748709271</v>
      </c>
      <c r="AJ557" s="147">
        <f t="shared" si="281"/>
        <v>0</v>
      </c>
      <c r="AK557" s="147">
        <f t="shared" si="293"/>
        <v>0</v>
      </c>
      <c r="AM557" s="147" t="str">
        <f t="shared" si="285"/>
        <v>1.79854662729451-0.601932956430005i</v>
      </c>
      <c r="AN557" s="147" t="str">
        <f t="shared" si="286"/>
        <v>3.78751215350775i</v>
      </c>
      <c r="AO557" s="147" t="str">
        <f t="shared" si="287"/>
        <v>-0.158925683148642-0.474862272225004i</v>
      </c>
      <c r="AP557" s="147" t="str">
        <f t="shared" si="288"/>
        <v>-0.133091104549085+0.100322159405001i</v>
      </c>
      <c r="AQ557" s="147" t="str">
        <f t="shared" si="289"/>
        <v>1.13309110454909-0.100322159405001i</v>
      </c>
      <c r="AR557" s="147" t="str">
        <f t="shared" si="290"/>
        <v>0.72943900867305+0.0645834180592609i</v>
      </c>
    </row>
    <row r="558" spans="7:44">
      <c r="G558" s="585">
        <v>89644</v>
      </c>
      <c r="H558" s="573">
        <f t="shared" si="282"/>
        <v>89.644000000000005</v>
      </c>
      <c r="I558" s="574">
        <f t="shared" si="262"/>
        <v>253.20577790992874</v>
      </c>
      <c r="J558" s="575">
        <f t="shared" si="263"/>
        <v>1.5668469595733316</v>
      </c>
      <c r="K558" s="575">
        <f t="shared" si="264"/>
        <v>1.0076482123028925</v>
      </c>
      <c r="L558" s="576">
        <f t="shared" si="265"/>
        <v>0.12328651490480284</v>
      </c>
      <c r="M558" s="575">
        <f t="shared" si="266"/>
        <v>1.0175157126786352</v>
      </c>
      <c r="N558" s="576">
        <f t="shared" si="267"/>
        <v>-0.18581609112104225</v>
      </c>
      <c r="O558" s="574">
        <f t="shared" si="268"/>
        <v>3717449.096019255</v>
      </c>
      <c r="P558" s="577">
        <f t="shared" si="269"/>
        <v>1.5707960577932307</v>
      </c>
      <c r="Q558" s="586">
        <f t="shared" si="291"/>
        <v>149.94044823375134</v>
      </c>
      <c r="R558" s="587">
        <f t="shared" si="292"/>
        <v>1.564126962889288</v>
      </c>
      <c r="S558" s="574">
        <f t="shared" si="270"/>
        <v>1.0500500124635279</v>
      </c>
      <c r="T558" s="577">
        <f t="shared" si="271"/>
        <v>0.30999337210040045</v>
      </c>
      <c r="U558" s="578">
        <f t="shared" si="283"/>
        <v>0.36383723568326587</v>
      </c>
      <c r="V558" s="579">
        <f t="shared" si="284"/>
        <v>-1.8137480513771558</v>
      </c>
      <c r="W558" s="580">
        <f t="shared" si="272"/>
        <v>-35.227148720526714</v>
      </c>
      <c r="X558" s="581">
        <f t="shared" si="273"/>
        <v>-215.41993031808008</v>
      </c>
      <c r="Y558" s="584">
        <f t="shared" si="274"/>
        <v>-35.419930318080077</v>
      </c>
      <c r="AA558" s="147">
        <f t="shared" si="275"/>
        <v>89644</v>
      </c>
      <c r="AB558" s="147">
        <f t="shared" si="276"/>
        <v>8036046736</v>
      </c>
      <c r="AD558" s="583">
        <f t="shared" si="277"/>
        <v>16.794725902980879</v>
      </c>
      <c r="AE558" s="584">
        <f t="shared" si="278"/>
        <v>-18.143422910281437</v>
      </c>
      <c r="AG558" s="583">
        <f t="shared" si="279"/>
        <v>-5.8308850760177702</v>
      </c>
      <c r="AH558" s="584">
        <f t="shared" si="280"/>
        <v>10.563709717669873</v>
      </c>
      <c r="AJ558" s="147">
        <f t="shared" si="281"/>
        <v>0</v>
      </c>
      <c r="AK558" s="147">
        <f t="shared" si="293"/>
        <v>0</v>
      </c>
      <c r="AM558" s="147" t="str">
        <f t="shared" si="285"/>
        <v>1.78507739914981-0.619397673021271i</v>
      </c>
      <c r="AN558" s="147" t="str">
        <f t="shared" si="286"/>
        <v>3.80956790450546i</v>
      </c>
      <c r="AO558" s="147" t="str">
        <f t="shared" si="287"/>
        <v>-0.162590007199695-0.468577393525038i</v>
      </c>
      <c r="AP558" s="147" t="str">
        <f t="shared" si="288"/>
        <v>-0.130846233191635+0.103232945503545i</v>
      </c>
      <c r="AQ558" s="147" t="str">
        <f t="shared" si="289"/>
        <v>1.13084623319163-0.103232945503545i</v>
      </c>
      <c r="AR558" s="147" t="str">
        <f t="shared" si="290"/>
        <v>0.730528615541272+0.0666886607068644i</v>
      </c>
    </row>
    <row r="559" spans="7:44">
      <c r="G559" s="585">
        <v>90163</v>
      </c>
      <c r="H559" s="573">
        <f t="shared" si="282"/>
        <v>90.162999999999997</v>
      </c>
      <c r="I559" s="574">
        <f t="shared" si="262"/>
        <v>254.67170708442157</v>
      </c>
      <c r="J559" s="575">
        <f t="shared" si="263"/>
        <v>1.5668696928503749</v>
      </c>
      <c r="K559" s="575">
        <f t="shared" si="264"/>
        <v>1.0077366874004161</v>
      </c>
      <c r="L559" s="576">
        <f t="shared" si="265"/>
        <v>0.12399301778108114</v>
      </c>
      <c r="M559" s="575">
        <f t="shared" si="266"/>
        <v>1.0177173459002085</v>
      </c>
      <c r="N559" s="576">
        <f t="shared" si="267"/>
        <v>-0.18686708522331616</v>
      </c>
      <c r="O559" s="574">
        <f t="shared" si="268"/>
        <v>3738971.5189458737</v>
      </c>
      <c r="P559" s="577">
        <f t="shared" si="269"/>
        <v>1.5707960593416692</v>
      </c>
      <c r="Q559" s="586">
        <f t="shared" si="291"/>
        <v>150.8085000969092</v>
      </c>
      <c r="R559" s="587">
        <f t="shared" si="292"/>
        <v>1.5641653522298096</v>
      </c>
      <c r="S559" s="574">
        <f t="shared" si="270"/>
        <v>1.0506172211638891</v>
      </c>
      <c r="T559" s="577">
        <f t="shared" si="271"/>
        <v>0.31167440478983965</v>
      </c>
      <c r="U559" s="578">
        <f t="shared" si="283"/>
        <v>0.36098355792259929</v>
      </c>
      <c r="V559" s="579">
        <f t="shared" si="284"/>
        <v>-1.8220775948430343</v>
      </c>
      <c r="W559" s="580">
        <f t="shared" si="272"/>
        <v>-35.347894092295405</v>
      </c>
      <c r="X559" s="581">
        <f t="shared" si="273"/>
        <v>-216.01233503863773</v>
      </c>
      <c r="Y559" s="584">
        <f t="shared" si="274"/>
        <v>-36.01233503863773</v>
      </c>
      <c r="AA559" s="147">
        <f t="shared" si="275"/>
        <v>90163</v>
      </c>
      <c r="AB559" s="147">
        <f t="shared" si="276"/>
        <v>8129366569</v>
      </c>
      <c r="AD559" s="583">
        <f t="shared" si="277"/>
        <v>16.79003306888416</v>
      </c>
      <c r="AE559" s="584">
        <f t="shared" si="278"/>
        <v>-18.237539530246185</v>
      </c>
      <c r="AG559" s="583">
        <f t="shared" si="279"/>
        <v>-5.8101487225246302</v>
      </c>
      <c r="AH559" s="584">
        <f t="shared" si="280"/>
        <v>11.019916989898862</v>
      </c>
      <c r="AJ559" s="147">
        <f t="shared" si="281"/>
        <v>0</v>
      </c>
      <c r="AK559" s="147">
        <f t="shared" si="293"/>
        <v>0</v>
      </c>
      <c r="AM559" s="147" t="str">
        <f t="shared" si="285"/>
        <v>1.7712262807559-0.636561092018212i</v>
      </c>
      <c r="AN559" s="147" t="str">
        <f t="shared" si="286"/>
        <v>3.83162365550316i</v>
      </c>
      <c r="AO559" s="147" t="str">
        <f t="shared" si="287"/>
        <v>-0.166133511338973-0.462265201388446i</v>
      </c>
      <c r="AP559" s="147" t="str">
        <f t="shared" si="288"/>
        <v>-0.128537713459317+0.106093515336369i</v>
      </c>
      <c r="AQ559" s="147" t="str">
        <f t="shared" si="289"/>
        <v>1.12853771345932-0.106093515336369i</v>
      </c>
      <c r="AR559" s="147" t="str">
        <f t="shared" si="290"/>
        <v>0.731657057689895+0.0687828757029692i</v>
      </c>
    </row>
    <row r="560" spans="7:44">
      <c r="G560" s="585">
        <v>90682</v>
      </c>
      <c r="H560" s="573">
        <f t="shared" si="282"/>
        <v>90.682000000000002</v>
      </c>
      <c r="I560" s="574">
        <f t="shared" si="262"/>
        <v>256.1376363890227</v>
      </c>
      <c r="J560" s="575">
        <f t="shared" si="263"/>
        <v>1.5668921659128241</v>
      </c>
      <c r="K560" s="575">
        <f t="shared" si="264"/>
        <v>1.0078256654175302</v>
      </c>
      <c r="L560" s="576">
        <f t="shared" si="265"/>
        <v>0.12469939625969716</v>
      </c>
      <c r="M560" s="575">
        <f t="shared" si="266"/>
        <v>1.0179201028346843</v>
      </c>
      <c r="N560" s="576">
        <f t="shared" si="267"/>
        <v>-0.18791766179593897</v>
      </c>
      <c r="O560" s="574">
        <f t="shared" si="268"/>
        <v>3760493.9418724934</v>
      </c>
      <c r="P560" s="577">
        <f t="shared" si="269"/>
        <v>1.5707960608723834</v>
      </c>
      <c r="Q560" s="586">
        <f t="shared" si="291"/>
        <v>151.67655217977588</v>
      </c>
      <c r="R560" s="587">
        <f t="shared" si="292"/>
        <v>1.5642033021623629</v>
      </c>
      <c r="S560" s="574">
        <f t="shared" si="270"/>
        <v>1.0511873955640167</v>
      </c>
      <c r="T560" s="577">
        <f t="shared" si="271"/>
        <v>0.31335361860285538</v>
      </c>
      <c r="U560" s="578">
        <f t="shared" si="283"/>
        <v>0.35813475163105235</v>
      </c>
      <c r="V560" s="579">
        <f t="shared" si="284"/>
        <v>-1.8304375329814957</v>
      </c>
      <c r="W560" s="580">
        <f t="shared" si="272"/>
        <v>-35.468784771866794</v>
      </c>
      <c r="X560" s="581">
        <f t="shared" si="273"/>
        <v>-216.60637050249611</v>
      </c>
      <c r="Y560" s="584">
        <f t="shared" si="274"/>
        <v>-36.606370502496105</v>
      </c>
      <c r="AA560" s="147">
        <f t="shared" si="275"/>
        <v>90682</v>
      </c>
      <c r="AB560" s="147">
        <f t="shared" si="276"/>
        <v>8223225124</v>
      </c>
      <c r="AD560" s="583">
        <f t="shared" si="277"/>
        <v>16.785318299035797</v>
      </c>
      <c r="AE560" s="584">
        <f t="shared" si="278"/>
        <v>-18.331577111474861</v>
      </c>
      <c r="AG560" s="583">
        <f t="shared" si="279"/>
        <v>-5.7886863818243581</v>
      </c>
      <c r="AH560" s="584">
        <f t="shared" si="280"/>
        <v>11.477897453012361</v>
      </c>
      <c r="AJ560" s="147">
        <f t="shared" si="281"/>
        <v>0</v>
      </c>
      <c r="AK560" s="147">
        <f t="shared" si="293"/>
        <v>0</v>
      </c>
      <c r="AM560" s="147" t="str">
        <f t="shared" si="285"/>
        <v>1.75700000980138-0.653414864508536i</v>
      </c>
      <c r="AN560" s="147" t="str">
        <f t="shared" si="286"/>
        <v>3.85367940650087i</v>
      </c>
      <c r="AO560" s="147" t="str">
        <f t="shared" si="287"/>
        <v>-0.169556103552951-0.455927913162017i</v>
      </c>
      <c r="AP560" s="147" t="str">
        <f t="shared" si="288"/>
        <v>-0.12616666830023+0.108902477418089i</v>
      </c>
      <c r="AQ560" s="147" t="str">
        <f t="shared" si="289"/>
        <v>1.12616666830023-0.108902477418089i</v>
      </c>
      <c r="AR560" s="147" t="str">
        <f t="shared" si="290"/>
        <v>0.732824536993208+0.0708655386789057i</v>
      </c>
    </row>
    <row r="561" spans="7:44">
      <c r="G561" s="585">
        <v>91201</v>
      </c>
      <c r="H561" s="573">
        <f t="shared" si="282"/>
        <v>91.200999999999993</v>
      </c>
      <c r="I561" s="574">
        <f t="shared" si="262"/>
        <v>257.60356582151087</v>
      </c>
      <c r="J561" s="575">
        <f t="shared" si="263"/>
        <v>1.5669143832030199</v>
      </c>
      <c r="K561" s="575">
        <f t="shared" si="264"/>
        <v>1.0079151462210427</v>
      </c>
      <c r="L561" s="576">
        <f t="shared" si="265"/>
        <v>0.1254056496687658</v>
      </c>
      <c r="M561" s="575">
        <f t="shared" si="266"/>
        <v>1.0181239828107083</v>
      </c>
      <c r="N561" s="576">
        <f t="shared" si="267"/>
        <v>-0.18896781876999025</v>
      </c>
      <c r="O561" s="574">
        <f t="shared" si="268"/>
        <v>3782016.3647991125</v>
      </c>
      <c r="P561" s="577">
        <f t="shared" si="269"/>
        <v>1.5707960623856758</v>
      </c>
      <c r="Q561" s="586">
        <f t="shared" si="291"/>
        <v>152.54460447860063</v>
      </c>
      <c r="R561" s="587">
        <f t="shared" si="292"/>
        <v>1.5642408201881672</v>
      </c>
      <c r="S561" s="574">
        <f t="shared" si="270"/>
        <v>1.0517605308406659</v>
      </c>
      <c r="T561" s="577">
        <f t="shared" si="271"/>
        <v>0.31503100703533343</v>
      </c>
      <c r="U561" s="578">
        <f t="shared" si="283"/>
        <v>0.35529041517759469</v>
      </c>
      <c r="V561" s="579">
        <f t="shared" si="284"/>
        <v>-1.838828902101304</v>
      </c>
      <c r="W561" s="580">
        <f t="shared" si="272"/>
        <v>-35.589839643717212</v>
      </c>
      <c r="X561" s="581">
        <f t="shared" si="273"/>
        <v>-217.2020954578278</v>
      </c>
      <c r="Y561" s="584">
        <f t="shared" si="274"/>
        <v>-37.202095457827795</v>
      </c>
      <c r="AA561" s="147">
        <f t="shared" si="275"/>
        <v>91201</v>
      </c>
      <c r="AB561" s="147">
        <f t="shared" si="276"/>
        <v>8317622401</v>
      </c>
      <c r="AD561" s="583">
        <f t="shared" si="277"/>
        <v>16.780581669529482</v>
      </c>
      <c r="AE561" s="584">
        <f t="shared" si="278"/>
        <v>-18.425534851538302</v>
      </c>
      <c r="AG561" s="583">
        <f t="shared" si="279"/>
        <v>-5.7664856899970873</v>
      </c>
      <c r="AH561" s="584">
        <f t="shared" si="280"/>
        <v>11.937710308645755</v>
      </c>
      <c r="AJ561" s="147">
        <f t="shared" si="281"/>
        <v>0</v>
      </c>
      <c r="AK561" s="147">
        <f t="shared" si="293"/>
        <v>0</v>
      </c>
      <c r="AM561" s="147" t="str">
        <f t="shared" si="285"/>
        <v>1.74240550646275-0.669950792203267i</v>
      </c>
      <c r="AN561" s="147" t="str">
        <f t="shared" si="286"/>
        <v>3.87573515749857i</v>
      </c>
      <c r="AO561" s="147" t="str">
        <f t="shared" si="287"/>
        <v>-0.172857732785761-0.449567742804003i</v>
      </c>
      <c r="AP561" s="147" t="str">
        <f t="shared" si="288"/>
        <v>-0.123734251077125+0.111658465367211i</v>
      </c>
      <c r="AQ561" s="147" t="str">
        <f t="shared" si="289"/>
        <v>1.12373425107713-0.111658465367211i</v>
      </c>
      <c r="AR561" s="147" t="str">
        <f t="shared" si="290"/>
        <v>0.734031258022674+0.0729361089811166i</v>
      </c>
    </row>
    <row r="562" spans="7:44">
      <c r="G562" s="585">
        <v>91732</v>
      </c>
      <c r="H562" s="573">
        <f t="shared" si="282"/>
        <v>91.731999999999999</v>
      </c>
      <c r="I562" s="574">
        <f t="shared" si="262"/>
        <v>259.10338970623042</v>
      </c>
      <c r="J562" s="575">
        <f t="shared" si="263"/>
        <v>1.5669368540040294</v>
      </c>
      <c r="K562" s="575">
        <f t="shared" si="264"/>
        <v>1.0080072161636897</v>
      </c>
      <c r="L562" s="576">
        <f t="shared" si="265"/>
        <v>0.12612810249582165</v>
      </c>
      <c r="M562" s="575">
        <f t="shared" si="266"/>
        <v>1.0183337383622639</v>
      </c>
      <c r="N562" s="576">
        <f t="shared" si="267"/>
        <v>-0.19004182041475112</v>
      </c>
      <c r="O562" s="574">
        <f t="shared" si="268"/>
        <v>3804036.4160014917</v>
      </c>
      <c r="P562" s="577">
        <f t="shared" si="269"/>
        <v>1.5707960639162355</v>
      </c>
      <c r="Q562" s="586">
        <f t="shared" si="291"/>
        <v>153.43272757049152</v>
      </c>
      <c r="R562" s="587">
        <f t="shared" si="292"/>
        <v>1.5642787663263102</v>
      </c>
      <c r="S562" s="574">
        <f t="shared" si="270"/>
        <v>1.0523499771118248</v>
      </c>
      <c r="T562" s="577">
        <f t="shared" si="271"/>
        <v>0.31674528311354128</v>
      </c>
      <c r="U562" s="578">
        <f t="shared" si="283"/>
        <v>0.35238451900605128</v>
      </c>
      <c r="V562" s="579">
        <f t="shared" si="284"/>
        <v>-1.8474479072984107</v>
      </c>
      <c r="W562" s="580">
        <f t="shared" si="272"/>
        <v>-35.713883547223531</v>
      </c>
      <c r="X562" s="581">
        <f t="shared" si="273"/>
        <v>-217.81340454386103</v>
      </c>
      <c r="Y562" s="584">
        <f t="shared" si="274"/>
        <v>-37.813404543861026</v>
      </c>
      <c r="AA562" s="147">
        <f t="shared" si="275"/>
        <v>91732</v>
      </c>
      <c r="AB562" s="147">
        <f t="shared" si="276"/>
        <v>8414759824</v>
      </c>
      <c r="AD562" s="583">
        <f t="shared" si="277"/>
        <v>16.77571297848932</v>
      </c>
      <c r="AE562" s="584">
        <f t="shared" si="278"/>
        <v>-18.521581569979794</v>
      </c>
      <c r="AG562" s="583">
        <f t="shared" si="279"/>
        <v>-5.7429940700530739</v>
      </c>
      <c r="AH562" s="584">
        <f t="shared" si="280"/>
        <v>12.410113184973655</v>
      </c>
      <c r="AJ562" s="147">
        <f t="shared" si="281"/>
        <v>0</v>
      </c>
      <c r="AK562" s="147">
        <f t="shared" si="293"/>
        <v>0</v>
      </c>
      <c r="AM562" s="147" t="str">
        <f t="shared" si="285"/>
        <v>1.72709986118733-0.686531712203715i</v>
      </c>
      <c r="AN562" s="147" t="str">
        <f t="shared" si="286"/>
        <v>3.89830086805692i</v>
      </c>
      <c r="AO562" s="147" t="str">
        <f t="shared" si="287"/>
        <v>-0.176110499276551-0.443039139266896i</v>
      </c>
      <c r="AP562" s="147" t="str">
        <f t="shared" si="288"/>
        <v>-0.121183310197888+0.114421952033953i</v>
      </c>
      <c r="AQ562" s="147" t="str">
        <f t="shared" si="289"/>
        <v>1.12118331019789-0.114421952033953i</v>
      </c>
      <c r="AR562" s="147" t="str">
        <f t="shared" si="290"/>
        <v>0.735306709015004+0.0750414568464355i</v>
      </c>
    </row>
    <row r="563" spans="7:44">
      <c r="G563" s="585">
        <v>92263</v>
      </c>
      <c r="H563" s="573">
        <f t="shared" si="282"/>
        <v>92.263000000000005</v>
      </c>
      <c r="I563" s="574">
        <f t="shared" si="262"/>
        <v>260.60321372027488</v>
      </c>
      <c r="J563" s="575">
        <f t="shared" si="263"/>
        <v>1.5669590661570731</v>
      </c>
      <c r="K563" s="575">
        <f t="shared" si="264"/>
        <v>1.0080998121274343</v>
      </c>
      <c r="L563" s="576">
        <f t="shared" si="265"/>
        <v>0.12685042298238133</v>
      </c>
      <c r="M563" s="575">
        <f t="shared" si="266"/>
        <v>1.018544668056357</v>
      </c>
      <c r="N563" s="576">
        <f t="shared" si="267"/>
        <v>-0.1911153784689327</v>
      </c>
      <c r="O563" s="574">
        <f t="shared" si="268"/>
        <v>3826056.4672038709</v>
      </c>
      <c r="P563" s="577">
        <f t="shared" si="269"/>
        <v>1.5707960654291775</v>
      </c>
      <c r="Q563" s="586">
        <f t="shared" si="291"/>
        <v>154.32085088076877</v>
      </c>
      <c r="R563" s="587">
        <f t="shared" si="292"/>
        <v>1.5643162757011058</v>
      </c>
      <c r="S563" s="574">
        <f t="shared" si="270"/>
        <v>1.0529425125007472</v>
      </c>
      <c r="T563" s="577">
        <f t="shared" si="271"/>
        <v>0.31845763482755807</v>
      </c>
      <c r="U563" s="578">
        <f t="shared" si="283"/>
        <v>0.34948244539448148</v>
      </c>
      <c r="V563" s="579">
        <f t="shared" si="284"/>
        <v>-1.8561020259039183</v>
      </c>
      <c r="W563" s="580">
        <f t="shared" si="272"/>
        <v>-35.838140709016187</v>
      </c>
      <c r="X563" s="581">
        <f t="shared" si="273"/>
        <v>-218.42660759298982</v>
      </c>
      <c r="Y563" s="584">
        <f t="shared" si="274"/>
        <v>-38.426607592989825</v>
      </c>
      <c r="AA563" s="147">
        <f t="shared" si="275"/>
        <v>92263</v>
      </c>
      <c r="AB563" s="147">
        <f t="shared" si="276"/>
        <v>8512461169</v>
      </c>
      <c r="AD563" s="583">
        <f t="shared" si="277"/>
        <v>16.770821566979933</v>
      </c>
      <c r="AE563" s="584">
        <f t="shared" si="278"/>
        <v>-18.617543054161828</v>
      </c>
      <c r="AG563" s="583">
        <f t="shared" si="279"/>
        <v>-5.7187016284414574</v>
      </c>
      <c r="AH563" s="584">
        <f t="shared" si="280"/>
        <v>12.884560564162534</v>
      </c>
      <c r="AJ563" s="147">
        <f t="shared" si="281"/>
        <v>0</v>
      </c>
      <c r="AK563" s="147">
        <f t="shared" si="293"/>
        <v>0</v>
      </c>
      <c r="AM563" s="147" t="str">
        <f t="shared" si="285"/>
        <v>1.71142398416238-0.70276305733763i</v>
      </c>
      <c r="AN563" s="147" t="str">
        <f t="shared" si="286"/>
        <v>3.92086657861526i</v>
      </c>
      <c r="AO563" s="147" t="str">
        <f t="shared" si="287"/>
        <v>-0.179236667008911-0.43649125769712i</v>
      </c>
      <c r="AP563" s="147" t="str">
        <f t="shared" si="288"/>
        <v>-0.118570664027062+0.117127176222938i</v>
      </c>
      <c r="AQ563" s="147" t="str">
        <f t="shared" si="289"/>
        <v>1.11857066402706-0.117127176222938i</v>
      </c>
      <c r="AR563" s="147" t="str">
        <f t="shared" si="290"/>
        <v>0.736623677228549+0.0771329465606741i</v>
      </c>
    </row>
    <row r="564" spans="7:44">
      <c r="G564" s="585">
        <v>92794</v>
      </c>
      <c r="H564" s="573">
        <f t="shared" si="282"/>
        <v>92.793999999999997</v>
      </c>
      <c r="I564" s="574">
        <f t="shared" si="262"/>
        <v>262.10303786142418</v>
      </c>
      <c r="J564" s="575">
        <f t="shared" si="263"/>
        <v>1.5669810241022895</v>
      </c>
      <c r="K564" s="575">
        <f t="shared" si="264"/>
        <v>1.0081929339673414</v>
      </c>
      <c r="L564" s="576">
        <f t="shared" si="265"/>
        <v>0.1275726104112761</v>
      </c>
      <c r="M564" s="575">
        <f t="shared" si="266"/>
        <v>1.0187567711636825</v>
      </c>
      <c r="N564" s="576">
        <f t="shared" si="267"/>
        <v>-0.19218849073422889</v>
      </c>
      <c r="O564" s="574">
        <f t="shared" si="268"/>
        <v>3848076.51840625</v>
      </c>
      <c r="P564" s="577">
        <f t="shared" si="269"/>
        <v>1.5707960669248042</v>
      </c>
      <c r="Q564" s="586">
        <f t="shared" si="291"/>
        <v>155.20897440568345</v>
      </c>
      <c r="R564" s="587">
        <f t="shared" si="292"/>
        <v>1.5643533558100775</v>
      </c>
      <c r="S564" s="574">
        <f t="shared" si="270"/>
        <v>1.0535381317952488</v>
      </c>
      <c r="T564" s="577">
        <f t="shared" si="271"/>
        <v>0.32016805539107124</v>
      </c>
      <c r="U564" s="578">
        <f t="shared" si="283"/>
        <v>0.34658375830165944</v>
      </c>
      <c r="V564" s="579">
        <f t="shared" si="284"/>
        <v>-1.864792385647831</v>
      </c>
      <c r="W564" s="580">
        <f t="shared" si="272"/>
        <v>-35.96263280752359</v>
      </c>
      <c r="X564" s="581">
        <f t="shared" si="273"/>
        <v>-219.04176857053594</v>
      </c>
      <c r="Y564" s="584">
        <f t="shared" si="274"/>
        <v>-39.041768570535936</v>
      </c>
      <c r="AA564" s="147">
        <f t="shared" si="275"/>
        <v>92794</v>
      </c>
      <c r="AB564" s="147">
        <f t="shared" si="276"/>
        <v>8610726436</v>
      </c>
      <c r="AD564" s="583">
        <f t="shared" si="277"/>
        <v>16.765907517072804</v>
      </c>
      <c r="AE564" s="584">
        <f t="shared" si="278"/>
        <v>-18.713418485698213</v>
      </c>
      <c r="AG564" s="583">
        <f t="shared" si="279"/>
        <v>-5.6935933147623334</v>
      </c>
      <c r="AH564" s="584">
        <f t="shared" si="280"/>
        <v>13.361116890843876</v>
      </c>
      <c r="AJ564" s="147">
        <f t="shared" si="281"/>
        <v>0</v>
      </c>
      <c r="AK564" s="147">
        <f t="shared" si="293"/>
        <v>0</v>
      </c>
      <c r="AM564" s="147" t="str">
        <f t="shared" si="285"/>
        <v>1.69538585738276-0.718636562771505i</v>
      </c>
      <c r="AN564" s="147" t="str">
        <f t="shared" si="286"/>
        <v>3.94343228917361i</v>
      </c>
      <c r="AO564" s="147" t="str">
        <f t="shared" si="287"/>
        <v>-0.182236313463392-0.429926453165511i</v>
      </c>
      <c r="AP564" s="147" t="str">
        <f t="shared" si="288"/>
        <v>-0.115897642897127+0.119772760461917i</v>
      </c>
      <c r="AQ564" s="147" t="str">
        <f t="shared" si="289"/>
        <v>1.11589764289713-0.119772760461917i</v>
      </c>
      <c r="AR564" s="147" t="str">
        <f t="shared" si="290"/>
        <v>0.737982387379107+0.0792099421226395i</v>
      </c>
    </row>
    <row r="565" spans="7:44">
      <c r="G565" s="585">
        <v>93325</v>
      </c>
      <c r="H565" s="573">
        <f t="shared" si="282"/>
        <v>93.325000000000003</v>
      </c>
      <c r="I565" s="574">
        <f t="shared" si="262"/>
        <v>263.60286212750873</v>
      </c>
      <c r="J565" s="575">
        <f t="shared" si="263"/>
        <v>1.5670027321787641</v>
      </c>
      <c r="K565" s="575">
        <f t="shared" si="264"/>
        <v>1.0082865815377069</v>
      </c>
      <c r="L565" s="576">
        <f t="shared" si="265"/>
        <v>0.12829466406615647</v>
      </c>
      <c r="M565" s="575">
        <f t="shared" si="266"/>
        <v>1.0189700469514866</v>
      </c>
      <c r="N565" s="576">
        <f t="shared" si="267"/>
        <v>-0.19326115501826568</v>
      </c>
      <c r="O565" s="574">
        <f t="shared" si="268"/>
        <v>3870096.5696086292</v>
      </c>
      <c r="P565" s="577">
        <f t="shared" si="269"/>
        <v>1.5707960684034115</v>
      </c>
      <c r="Q565" s="586">
        <f t="shared" si="291"/>
        <v>156.09709814157193</v>
      </c>
      <c r="R565" s="587">
        <f t="shared" si="292"/>
        <v>1.5643900139801226</v>
      </c>
      <c r="S565" s="574">
        <f t="shared" si="270"/>
        <v>1.0541368297678291</v>
      </c>
      <c r="T565" s="577">
        <f t="shared" si="271"/>
        <v>0.32187653807826327</v>
      </c>
      <c r="U565" s="578">
        <f t="shared" si="283"/>
        <v>0.34368801969042834</v>
      </c>
      <c r="V565" s="579">
        <f t="shared" si="284"/>
        <v>-1.8735201203587932</v>
      </c>
      <c r="W565" s="580">
        <f t="shared" si="272"/>
        <v>-36.08738205431338</v>
      </c>
      <c r="X565" s="581">
        <f t="shared" si="273"/>
        <v>-219.65895179899258</v>
      </c>
      <c r="Y565" s="584">
        <f t="shared" si="274"/>
        <v>-39.658951798992575</v>
      </c>
      <c r="AA565" s="147">
        <f t="shared" si="275"/>
        <v>93325</v>
      </c>
      <c r="AB565" s="147">
        <f t="shared" si="276"/>
        <v>8709555625</v>
      </c>
      <c r="AD565" s="583">
        <f t="shared" si="277"/>
        <v>16.760970911024216</v>
      </c>
      <c r="AE565" s="584">
        <f t="shared" si="278"/>
        <v>-18.809207059444638</v>
      </c>
      <c r="AG565" s="583">
        <f t="shared" si="279"/>
        <v>-5.6676534310718898</v>
      </c>
      <c r="AH565" s="584">
        <f t="shared" si="280"/>
        <v>13.839846964572439</v>
      </c>
      <c r="AJ565" s="147">
        <f t="shared" si="281"/>
        <v>0</v>
      </c>
      <c r="AK565" s="147">
        <f t="shared" si="293"/>
        <v>0</v>
      </c>
      <c r="AM565" s="147" t="str">
        <f t="shared" si="285"/>
        <v>1.67899364729722-0.734144145880096i</v>
      </c>
      <c r="AN565" s="147" t="str">
        <f t="shared" si="286"/>
        <v>3.96599799973196i</v>
      </c>
      <c r="AO565" s="147" t="str">
        <f t="shared" si="287"/>
        <v>-0.185109560299756-0.423347073652254i</v>
      </c>
      <c r="AP565" s="147" t="str">
        <f t="shared" si="288"/>
        <v>-0.11316560788287+0.122357357646683i</v>
      </c>
      <c r="AQ565" s="147" t="str">
        <f t="shared" si="289"/>
        <v>1.11316560788287-0.122357357646683i</v>
      </c>
      <c r="AR565" s="147" t="str">
        <f t="shared" si="290"/>
        <v>0.739383064901252+0.0812717869375124i</v>
      </c>
    </row>
    <row r="566" spans="7:44">
      <c r="G566" s="585">
        <v>93868.5</v>
      </c>
      <c r="H566" s="573">
        <f t="shared" si="282"/>
        <v>93.868499999999997</v>
      </c>
      <c r="I566" s="574">
        <f t="shared" si="262"/>
        <v>265.13799311836277</v>
      </c>
      <c r="J566" s="575">
        <f t="shared" si="263"/>
        <v>1.567024696938655</v>
      </c>
      <c r="K566" s="575">
        <f t="shared" si="264"/>
        <v>1.0083829779049074</v>
      </c>
      <c r="L566" s="576">
        <f t="shared" si="265"/>
        <v>0.12903357593608236</v>
      </c>
      <c r="M566" s="575">
        <f t="shared" si="266"/>
        <v>1.0191895570009835</v>
      </c>
      <c r="N566" s="576">
        <f t="shared" si="267"/>
        <v>-0.19435860413887779</v>
      </c>
      <c r="O566" s="574">
        <f t="shared" si="268"/>
        <v>3892634.9835982588</v>
      </c>
      <c r="P566" s="577">
        <f t="shared" si="269"/>
        <v>1.570796069899502</v>
      </c>
      <c r="Q566" s="586">
        <f t="shared" si="291"/>
        <v>157.00612895981132</v>
      </c>
      <c r="R566" s="587">
        <f t="shared" si="292"/>
        <v>1.5644271056197727</v>
      </c>
      <c r="S566" s="574">
        <f t="shared" si="270"/>
        <v>1.0547528041534375</v>
      </c>
      <c r="T566" s="577">
        <f t="shared" si="271"/>
        <v>0.3236232254870276</v>
      </c>
      <c r="U566" s="578">
        <f t="shared" si="283"/>
        <v>0.34072670811003591</v>
      </c>
      <c r="V566" s="579">
        <f t="shared" si="284"/>
        <v>-1.8824932050852727</v>
      </c>
      <c r="W566" s="580">
        <f t="shared" si="272"/>
        <v>-36.215358025838334</v>
      </c>
      <c r="X566" s="581">
        <f t="shared" si="273"/>
        <v>-220.2928255510231</v>
      </c>
      <c r="Y566" s="584">
        <f t="shared" si="274"/>
        <v>-40.2928255510231</v>
      </c>
      <c r="AA566" s="147">
        <f t="shared" si="275"/>
        <v>93868.5</v>
      </c>
      <c r="AB566" s="147">
        <f t="shared" si="276"/>
        <v>8811295292.25</v>
      </c>
      <c r="AD566" s="583">
        <f t="shared" si="277"/>
        <v>16.755894822027933</v>
      </c>
      <c r="AE566" s="584">
        <f t="shared" si="278"/>
        <v>-18.907159767519897</v>
      </c>
      <c r="AG566" s="583">
        <f t="shared" si="279"/>
        <v>-5.6402246602860977</v>
      </c>
      <c r="AH566" s="584">
        <f t="shared" si="280"/>
        <v>14.332165689873262</v>
      </c>
      <c r="AJ566" s="147">
        <f t="shared" si="281"/>
        <v>0</v>
      </c>
      <c r="AK566" s="147">
        <f t="shared" si="293"/>
        <v>0</v>
      </c>
      <c r="AM566" s="147" t="str">
        <f t="shared" si="285"/>
        <v>1.66185758490348-0.749629600073084i</v>
      </c>
      <c r="AN566" s="147" t="str">
        <f t="shared" si="286"/>
        <v>3.98909491816597i</v>
      </c>
      <c r="AO566" s="147" t="str">
        <f t="shared" si="287"/>
        <v>-0.187919719999477-0.416600160937644i</v>
      </c>
      <c r="AP566" s="147" t="str">
        <f t="shared" si="288"/>
        <v>-0.110309597483914+0.124938266678847i</v>
      </c>
      <c r="AQ566" s="147" t="str">
        <f t="shared" si="289"/>
        <v>1.11030959748391-0.124938266678847i</v>
      </c>
      <c r="AR566" s="147" t="str">
        <f t="shared" si="290"/>
        <v>0.740860411308106+0.0833657709971779i</v>
      </c>
    </row>
    <row r="567" spans="7:44">
      <c r="G567" s="585">
        <v>94412</v>
      </c>
      <c r="H567" s="573">
        <f t="shared" si="282"/>
        <v>94.412000000000006</v>
      </c>
      <c r="I567" s="574">
        <f t="shared" si="262"/>
        <v>266.67312423566017</v>
      </c>
      <c r="J567" s="575">
        <f t="shared" si="263"/>
        <v>1.5670464088137819</v>
      </c>
      <c r="K567" s="575">
        <f t="shared" si="264"/>
        <v>1.0084799247344594</v>
      </c>
      <c r="L567" s="576">
        <f t="shared" si="265"/>
        <v>0.1297723461436851</v>
      </c>
      <c r="M567" s="575">
        <f t="shared" si="266"/>
        <v>1.0194102940273497</v>
      </c>
      <c r="N567" s="576">
        <f t="shared" si="267"/>
        <v>-0.19545557931002816</v>
      </c>
      <c r="O567" s="574">
        <f t="shared" si="268"/>
        <v>3915173.3975878879</v>
      </c>
      <c r="P567" s="577">
        <f t="shared" si="269"/>
        <v>1.5707960713783675</v>
      </c>
      <c r="Q567" s="586">
        <f t="shared" si="291"/>
        <v>157.91515999157127</v>
      </c>
      <c r="R567" s="587">
        <f t="shared" si="292"/>
        <v>1.5644637702269897</v>
      </c>
      <c r="S567" s="574">
        <f t="shared" si="270"/>
        <v>1.0553719927401144</v>
      </c>
      <c r="T567" s="577">
        <f t="shared" si="271"/>
        <v>0.32536786864427064</v>
      </c>
      <c r="U567" s="578">
        <f t="shared" si="283"/>
        <v>0.3377675504747415</v>
      </c>
      <c r="V567" s="579">
        <f t="shared" si="284"/>
        <v>-1.8915078683763862</v>
      </c>
      <c r="W567" s="580">
        <f t="shared" si="272"/>
        <v>-36.343652294055097</v>
      </c>
      <c r="X567" s="581">
        <f t="shared" si="273"/>
        <v>-220.92895539063238</v>
      </c>
      <c r="Y567" s="584">
        <f t="shared" si="274"/>
        <v>-40.928955390632382</v>
      </c>
      <c r="AA567" s="147">
        <f t="shared" si="275"/>
        <v>94412</v>
      </c>
      <c r="AB567" s="147">
        <f t="shared" si="276"/>
        <v>8913625744</v>
      </c>
      <c r="AD567" s="583">
        <f t="shared" si="277"/>
        <v>16.750795277375698</v>
      </c>
      <c r="AE567" s="584">
        <f t="shared" si="278"/>
        <v>-19.005019814779846</v>
      </c>
      <c r="AG567" s="583">
        <f t="shared" si="279"/>
        <v>-5.611889260861652</v>
      </c>
      <c r="AH567" s="584">
        <f t="shared" si="280"/>
        <v>14.826900219328886</v>
      </c>
      <c r="AJ567" s="147">
        <f t="shared" si="281"/>
        <v>0</v>
      </c>
      <c r="AK567" s="147">
        <f t="shared" si="293"/>
        <v>0</v>
      </c>
      <c r="AM567" s="147" t="str">
        <f t="shared" si="285"/>
        <v>1.64436845860125-0.764715168909219i</v>
      </c>
      <c r="AN567" s="147" t="str">
        <f t="shared" si="286"/>
        <v>4.01219183659998i</v>
      </c>
      <c r="AO567" s="147" t="str">
        <f t="shared" si="287"/>
        <v>-0.190597857742828-0.409842930141327i</v>
      </c>
      <c r="AP567" s="147" t="str">
        <f t="shared" si="288"/>
        <v>-0.107394743100208+0.127452528151536i</v>
      </c>
      <c r="AQ567" s="147" t="str">
        <f t="shared" si="289"/>
        <v>1.10739474310021-0.127452528151536i</v>
      </c>
      <c r="AR567" s="147" t="str">
        <f t="shared" si="290"/>
        <v>0.742382201547087+0.0854424215316301i</v>
      </c>
    </row>
    <row r="568" spans="7:44">
      <c r="G568" s="585">
        <v>94955.5</v>
      </c>
      <c r="H568" s="573">
        <f t="shared" si="282"/>
        <v>94.955500000000001</v>
      </c>
      <c r="I568" s="574">
        <f t="shared" si="262"/>
        <v>268.20825547722961</v>
      </c>
      <c r="J568" s="575">
        <f t="shared" si="263"/>
        <v>1.5670678721463993</v>
      </c>
      <c r="K568" s="575">
        <f t="shared" si="264"/>
        <v>1.008577421867628</v>
      </c>
      <c r="L568" s="576">
        <f t="shared" si="265"/>
        <v>0.13051097392351804</v>
      </c>
      <c r="M568" s="575">
        <f t="shared" si="266"/>
        <v>1.0196322572337122</v>
      </c>
      <c r="N568" s="576">
        <f t="shared" si="267"/>
        <v>-0.19655207820028925</v>
      </c>
      <c r="O568" s="574">
        <f t="shared" si="268"/>
        <v>3937711.8115775175</v>
      </c>
      <c r="P568" s="577">
        <f t="shared" si="269"/>
        <v>1.5707960728403036</v>
      </c>
      <c r="Q568" s="586">
        <f t="shared" si="291"/>
        <v>158.8241912331855</v>
      </c>
      <c r="R568" s="587">
        <f t="shared" si="292"/>
        <v>1.564500015134042</v>
      </c>
      <c r="S568" s="574">
        <f t="shared" si="270"/>
        <v>1.055994389873862</v>
      </c>
      <c r="T568" s="577">
        <f t="shared" si="271"/>
        <v>0.32711046053472109</v>
      </c>
      <c r="U568" s="578">
        <f t="shared" si="283"/>
        <v>0.33481007063825635</v>
      </c>
      <c r="V568" s="579">
        <f t="shared" si="284"/>
        <v>-1.9005653458697009</v>
      </c>
      <c r="W568" s="580">
        <f t="shared" si="272"/>
        <v>-36.472290568746494</v>
      </c>
      <c r="X568" s="581">
        <f t="shared" si="273"/>
        <v>-221.56741145167047</v>
      </c>
      <c r="Y568" s="584">
        <f t="shared" si="274"/>
        <v>-41.567411451670466</v>
      </c>
      <c r="AA568" s="147">
        <f t="shared" si="275"/>
        <v>94955.5</v>
      </c>
      <c r="AB568" s="147">
        <f t="shared" si="276"/>
        <v>9016546980.25</v>
      </c>
      <c r="AD568" s="583">
        <f t="shared" si="277"/>
        <v>16.745672365841056</v>
      </c>
      <c r="AE568" s="584">
        <f t="shared" si="278"/>
        <v>-19.102786379187918</v>
      </c>
      <c r="AG568" s="583">
        <f t="shared" si="279"/>
        <v>-5.5826281519564525</v>
      </c>
      <c r="AH568" s="584">
        <f t="shared" si="280"/>
        <v>15.324121190688253</v>
      </c>
      <c r="AJ568" s="147">
        <f t="shared" si="281"/>
        <v>0</v>
      </c>
      <c r="AK568" s="147">
        <f t="shared" si="293"/>
        <v>0</v>
      </c>
      <c r="AM568" s="147" t="str">
        <f t="shared" si="285"/>
        <v>1.6265355978587-0.779392805083444i</v>
      </c>
      <c r="AN568" s="147" t="str">
        <f t="shared" si="286"/>
        <v>4.035288755034i</v>
      </c>
      <c r="AO568" s="147" t="str">
        <f t="shared" si="287"/>
        <v>-0.193144246272626-0.403077870407565i</v>
      </c>
      <c r="AP568" s="147" t="str">
        <f t="shared" si="288"/>
        <v>-0.104422599643117+0.129898800847241i</v>
      </c>
      <c r="AQ568" s="147" t="str">
        <f t="shared" si="289"/>
        <v>1.10442259964312-0.129898800847241i</v>
      </c>
      <c r="AR568" s="147" t="str">
        <f t="shared" si="290"/>
        <v>0.743948675195198+0.0875009627935694i</v>
      </c>
    </row>
    <row r="569" spans="7:44">
      <c r="G569" s="585">
        <v>95499</v>
      </c>
      <c r="H569" s="573">
        <f t="shared" si="282"/>
        <v>95.498999999999995</v>
      </c>
      <c r="I569" s="574">
        <f t="shared" si="262"/>
        <v>269.74338684094943</v>
      </c>
      <c r="J569" s="575">
        <f t="shared" si="263"/>
        <v>1.5670890911799134</v>
      </c>
      <c r="K569" s="575">
        <f t="shared" si="264"/>
        <v>1.0086754691448383</v>
      </c>
      <c r="L569" s="576">
        <f t="shared" si="265"/>
        <v>0.13124945851105144</v>
      </c>
      <c r="M569" s="575">
        <f t="shared" si="266"/>
        <v>1.0198554458194666</v>
      </c>
      <c r="N569" s="576">
        <f t="shared" si="267"/>
        <v>-0.19764809848483858</v>
      </c>
      <c r="O569" s="574">
        <f t="shared" si="268"/>
        <v>3960250.2255671467</v>
      </c>
      <c r="P569" s="577">
        <f t="shared" si="269"/>
        <v>1.5707960742855998</v>
      </c>
      <c r="Q569" s="586">
        <f t="shared" si="291"/>
        <v>159.73322268107123</v>
      </c>
      <c r="R569" s="587">
        <f t="shared" si="292"/>
        <v>1.5645358475062934</v>
      </c>
      <c r="S569" s="574">
        <f t="shared" si="270"/>
        <v>1.0566199898847406</v>
      </c>
      <c r="T569" s="577">
        <f t="shared" si="271"/>
        <v>0.32885099420942532</v>
      </c>
      <c r="U569" s="578">
        <f t="shared" si="283"/>
        <v>0.33185379032433482</v>
      </c>
      <c r="V569" s="579">
        <f t="shared" si="284"/>
        <v>-1.9096668798143148</v>
      </c>
      <c r="W569" s="580">
        <f t="shared" si="272"/>
        <v>-36.601299254871293</v>
      </c>
      <c r="X569" s="581">
        <f t="shared" si="273"/>
        <v>-222.20826425482448</v>
      </c>
      <c r="Y569" s="584">
        <f t="shared" si="274"/>
        <v>-42.208264254824485</v>
      </c>
      <c r="AA569" s="147">
        <f t="shared" si="275"/>
        <v>95499</v>
      </c>
      <c r="AB569" s="147">
        <f t="shared" si="276"/>
        <v>9120059001</v>
      </c>
      <c r="AD569" s="583">
        <f t="shared" si="277"/>
        <v>16.740526176379525</v>
      </c>
      <c r="AE569" s="584">
        <f t="shared" si="278"/>
        <v>-19.200458652069898</v>
      </c>
      <c r="AG569" s="583">
        <f t="shared" si="279"/>
        <v>-5.5524214430491909</v>
      </c>
      <c r="AH569" s="584">
        <f t="shared" si="280"/>
        <v>15.823899625850784</v>
      </c>
      <c r="AJ569" s="147">
        <f t="shared" si="281"/>
        <v>0</v>
      </c>
      <c r="AK569" s="147">
        <f t="shared" si="293"/>
        <v>0</v>
      </c>
      <c r="AM569" s="147" t="str">
        <f t="shared" si="285"/>
        <v>1.60836851550711-0.793654678899879i</v>
      </c>
      <c r="AN569" s="147" t="str">
        <f t="shared" si="286"/>
        <v>4.05838567346801i</v>
      </c>
      <c r="AO569" s="147" t="str">
        <f t="shared" si="287"/>
        <v>-0.195559205742434-0.396307459397448i</v>
      </c>
      <c r="AP569" s="147" t="str">
        <f t="shared" si="288"/>
        <v>-0.101394752584519+0.132275779816646i</v>
      </c>
      <c r="AQ569" s="147" t="str">
        <f t="shared" si="289"/>
        <v>1.10139475258452-0.132275779816646i</v>
      </c>
      <c r="AR569" s="147" t="str">
        <f t="shared" si="290"/>
        <v>0.745560069422515+0.0895405932810161i</v>
      </c>
    </row>
    <row r="570" spans="7:44">
      <c r="G570" s="585">
        <v>96611.5</v>
      </c>
      <c r="H570" s="573">
        <f t="shared" si="282"/>
        <v>96.611500000000007</v>
      </c>
      <c r="I570" s="574">
        <f t="shared" si="262"/>
        <v>272.88567542319697</v>
      </c>
      <c r="J570" s="575">
        <f t="shared" si="263"/>
        <v>1.5671317803264797</v>
      </c>
      <c r="K570" s="575">
        <f t="shared" si="264"/>
        <v>1.0088778787847377</v>
      </c>
      <c r="L570" s="576">
        <f t="shared" si="265"/>
        <v>0.13276062625554283</v>
      </c>
      <c r="M570" s="575">
        <f t="shared" si="266"/>
        <v>1.0203161124111448</v>
      </c>
      <c r="N570" s="576">
        <f t="shared" si="267"/>
        <v>-0.19989006004217694</v>
      </c>
      <c r="O570" s="574">
        <f t="shared" si="268"/>
        <v>4006384.5136323948</v>
      </c>
      <c r="P570" s="577">
        <f t="shared" si="269"/>
        <v>1.5707960771932927</v>
      </c>
      <c r="Q570" s="586">
        <f t="shared" si="291"/>
        <v>161.59393625496804</v>
      </c>
      <c r="R570" s="587">
        <f t="shared" si="292"/>
        <v>1.564607936277898</v>
      </c>
      <c r="S570" s="574">
        <f t="shared" si="270"/>
        <v>1.0579105057894926</v>
      </c>
      <c r="T570" s="577">
        <f t="shared" si="271"/>
        <v>0.33240727692077876</v>
      </c>
      <c r="U570" s="578">
        <f t="shared" si="283"/>
        <v>0.32580424415338649</v>
      </c>
      <c r="V570" s="579">
        <f t="shared" si="284"/>
        <v>-1.9284396202900147</v>
      </c>
      <c r="W570" s="580">
        <f t="shared" si="272"/>
        <v>-36.866639527676114</v>
      </c>
      <c r="X570" s="581">
        <f t="shared" si="273"/>
        <v>-223.52781013893517</v>
      </c>
      <c r="Y570" s="584">
        <f t="shared" si="274"/>
        <v>-43.527810138935166</v>
      </c>
      <c r="AA570" s="147">
        <f t="shared" si="275"/>
        <v>96611.5</v>
      </c>
      <c r="AB570" s="147">
        <f t="shared" si="276"/>
        <v>9333781932.25</v>
      </c>
      <c r="AD570" s="583">
        <f t="shared" si="277"/>
        <v>16.729920133247411</v>
      </c>
      <c r="AE570" s="584">
        <f t="shared" si="278"/>
        <v>-19.400088426649205</v>
      </c>
      <c r="AG570" s="583">
        <f t="shared" si="279"/>
        <v>-5.4875538750338997</v>
      </c>
      <c r="AH570" s="584">
        <f t="shared" si="280"/>
        <v>16.855181117081539</v>
      </c>
      <c r="AJ570" s="147">
        <f t="shared" si="281"/>
        <v>0</v>
      </c>
      <c r="AK570" s="147">
        <f t="shared" si="293"/>
        <v>0</v>
      </c>
      <c r="AM570" s="147" t="str">
        <f t="shared" si="285"/>
        <v>1.57018070759275-0.821519300253521i</v>
      </c>
      <c r="AN570" s="147" t="str">
        <f t="shared" si="286"/>
        <v>4.1056631744024i</v>
      </c>
      <c r="AO570" s="147" t="str">
        <f t="shared" si="287"/>
        <v>-0.200094178542325-0.382442650771345i</v>
      </c>
      <c r="AP570" s="147" t="str">
        <f t="shared" si="288"/>
        <v>-0.0950301179321245+0.136919883375587i</v>
      </c>
      <c r="AQ570" s="147" t="str">
        <f t="shared" si="289"/>
        <v>1.09503011793212-0.136919883375587i</v>
      </c>
      <c r="AR570" s="147" t="str">
        <f t="shared" si="290"/>
        <v>0.748999520477758+0.0936530651648637i</v>
      </c>
    </row>
    <row r="571" spans="7:44">
      <c r="G571" s="585">
        <v>97724</v>
      </c>
      <c r="H571" s="573">
        <f t="shared" si="282"/>
        <v>97.724000000000004</v>
      </c>
      <c r="I571" s="574">
        <f t="shared" si="262"/>
        <v>276.02796449141891</v>
      </c>
      <c r="J571" s="575">
        <f t="shared" si="263"/>
        <v>1.5671734975307392</v>
      </c>
      <c r="K571" s="575">
        <f t="shared" si="264"/>
        <v>1.0090825913990236</v>
      </c>
      <c r="L571" s="576">
        <f t="shared" si="265"/>
        <v>0.13427118430713908</v>
      </c>
      <c r="M571" s="575">
        <f t="shared" si="266"/>
        <v>1.0207819028672873</v>
      </c>
      <c r="N571" s="576">
        <f t="shared" si="267"/>
        <v>-0.20212998680192015</v>
      </c>
      <c r="O571" s="574">
        <f t="shared" si="268"/>
        <v>4052518.8016976435</v>
      </c>
      <c r="P571" s="577">
        <f t="shared" si="269"/>
        <v>1.5707960800347829</v>
      </c>
      <c r="Q571" s="586">
        <f t="shared" si="291"/>
        <v>163.45465064951546</v>
      </c>
      <c r="R571" s="587">
        <f t="shared" si="292"/>
        <v>1.5646783837797666</v>
      </c>
      <c r="S571" s="574">
        <f t="shared" si="270"/>
        <v>1.0592143685425572</v>
      </c>
      <c r="T571" s="577">
        <f t="shared" si="271"/>
        <v>0.33595484904153367</v>
      </c>
      <c r="U571" s="578">
        <f t="shared" si="283"/>
        <v>0.31975356259509419</v>
      </c>
      <c r="V571" s="579">
        <f t="shared" si="284"/>
        <v>-1.9474129840867751</v>
      </c>
      <c r="W571" s="580">
        <f t="shared" si="272"/>
        <v>-37.133889124121559</v>
      </c>
      <c r="X571" s="581">
        <f t="shared" si="273"/>
        <v>-224.8583085059077</v>
      </c>
      <c r="Y571" s="584">
        <f t="shared" si="274"/>
        <v>-44.858308505907701</v>
      </c>
      <c r="AA571" s="147">
        <f t="shared" si="275"/>
        <v>97724</v>
      </c>
      <c r="AB571" s="147">
        <f t="shared" si="276"/>
        <v>9549980176</v>
      </c>
      <c r="AD571" s="583">
        <f t="shared" si="277"/>
        <v>16.719217698820167</v>
      </c>
      <c r="AE571" s="584">
        <f t="shared" si="278"/>
        <v>-19.599313155185463</v>
      </c>
      <c r="AG571" s="583">
        <f t="shared" si="279"/>
        <v>-5.4184472178486009</v>
      </c>
      <c r="AH571" s="584">
        <f t="shared" si="280"/>
        <v>17.898094818571042</v>
      </c>
      <c r="AJ571" s="147">
        <f t="shared" si="281"/>
        <v>0</v>
      </c>
      <c r="AK571" s="147">
        <f t="shared" si="293"/>
        <v>0</v>
      </c>
      <c r="AM571" s="147" t="str">
        <f t="shared" si="285"/>
        <v>1.53071869073885-0.847548034804188i</v>
      </c>
      <c r="AN571" s="147" t="str">
        <f t="shared" si="286"/>
        <v>4.15294067533679i</v>
      </c>
      <c r="AO571" s="147" t="str">
        <f t="shared" si="287"/>
        <v>-0.204083829041323-0.368586698054557i</v>
      </c>
      <c r="AP571" s="147" t="str">
        <f t="shared" si="288"/>
        <v>-0.0884531151231417+0.141258005800698i</v>
      </c>
      <c r="AQ571" s="147" t="str">
        <f t="shared" si="289"/>
        <v>1.08845311512314-0.141258005800698i</v>
      </c>
      <c r="AR571" s="147" t="str">
        <f t="shared" si="290"/>
        <v>0.752630099560074+0.0976753389670892i</v>
      </c>
    </row>
    <row r="572" spans="7:44">
      <c r="G572" s="585">
        <v>98862</v>
      </c>
      <c r="H572" s="573">
        <f t="shared" si="282"/>
        <v>98.861999999999995</v>
      </c>
      <c r="I572" s="574">
        <f t="shared" si="262"/>
        <v>279.24227954758567</v>
      </c>
      <c r="J572" s="575">
        <f t="shared" si="263"/>
        <v>1.5672151995421202</v>
      </c>
      <c r="K572" s="575">
        <f t="shared" si="264"/>
        <v>1.0092943776016883</v>
      </c>
      <c r="L572" s="576">
        <f t="shared" si="265"/>
        <v>0.13581572877267373</v>
      </c>
      <c r="M572" s="575">
        <f t="shared" si="266"/>
        <v>1.0212636639383761</v>
      </c>
      <c r="N572" s="576">
        <f t="shared" si="267"/>
        <v>-0.20441912989705355</v>
      </c>
      <c r="O572" s="574">
        <f t="shared" si="268"/>
        <v>4099710.5498488825</v>
      </c>
      <c r="P572" s="577">
        <f t="shared" si="269"/>
        <v>1.5707960828752374</v>
      </c>
      <c r="Q572" s="586">
        <f t="shared" si="291"/>
        <v>165.35801594701385</v>
      </c>
      <c r="R572" s="587">
        <f t="shared" si="292"/>
        <v>1.5647488056649559</v>
      </c>
      <c r="S572" s="574">
        <f t="shared" si="270"/>
        <v>1.0605618755103059</v>
      </c>
      <c r="T572" s="577">
        <f t="shared" si="271"/>
        <v>0.33957466451243362</v>
      </c>
      <c r="U572" s="578">
        <f t="shared" si="283"/>
        <v>0.31355865845962388</v>
      </c>
      <c r="V572" s="579">
        <f t="shared" si="284"/>
        <v>-1.9670401812975753</v>
      </c>
      <c r="W572" s="580">
        <f t="shared" si="272"/>
        <v>-37.409508355762263</v>
      </c>
      <c r="X572" s="581">
        <f t="shared" si="273"/>
        <v>-226.23128121452098</v>
      </c>
      <c r="Y572" s="584">
        <f t="shared" si="274"/>
        <v>-46.231281214520976</v>
      </c>
      <c r="AA572" s="147">
        <f t="shared" si="275"/>
        <v>98862</v>
      </c>
      <c r="AB572" s="147">
        <f t="shared" si="276"/>
        <v>9773695044</v>
      </c>
      <c r="AD572" s="583">
        <f t="shared" si="277"/>
        <v>16.708171021647793</v>
      </c>
      <c r="AE572" s="584">
        <f t="shared" si="278"/>
        <v>-19.80267859045593</v>
      </c>
      <c r="AG572" s="583">
        <f t="shared" si="279"/>
        <v>-5.3431560013567925</v>
      </c>
      <c r="AH572" s="584">
        <f t="shared" si="280"/>
        <v>18.977598675497777</v>
      </c>
      <c r="AJ572" s="147">
        <f t="shared" si="281"/>
        <v>0</v>
      </c>
      <c r="AK572" s="147">
        <f t="shared" si="293"/>
        <v>0</v>
      </c>
      <c r="AM572" s="147" t="str">
        <f t="shared" si="285"/>
        <v>1.48912575371936-0.872213274978353i</v>
      </c>
      <c r="AN572" s="147" t="str">
        <f t="shared" si="286"/>
        <v>4.20130184033754i</v>
      </c>
      <c r="AO572" s="147" t="str">
        <f t="shared" si="287"/>
        <v>-0.207605477569847-0.354443886754807i</v>
      </c>
      <c r="AP572" s="147" t="str">
        <f t="shared" si="288"/>
        <v>-0.0815209589532273+0.145368879163059i</v>
      </c>
      <c r="AQ572" s="147" t="str">
        <f t="shared" si="289"/>
        <v>1.08152095895323-0.145368879163059i</v>
      </c>
      <c r="AR572" s="147" t="str">
        <f t="shared" si="290"/>
        <v>0.756543549013425+0.101688170578376i</v>
      </c>
    </row>
    <row r="573" spans="7:44">
      <c r="G573" s="585">
        <v>100000</v>
      </c>
      <c r="H573" s="573">
        <f t="shared" si="282"/>
        <v>100</v>
      </c>
      <c r="I573" s="574">
        <f t="shared" si="262"/>
        <v>282.45659507831834</v>
      </c>
      <c r="J573" s="575">
        <f t="shared" si="263"/>
        <v>1.5672559524277569</v>
      </c>
      <c r="K573" s="575">
        <f t="shared" si="264"/>
        <v>1.0095085705811724</v>
      </c>
      <c r="L573" s="576">
        <f t="shared" si="265"/>
        <v>0.1373596214910808</v>
      </c>
      <c r="M573" s="575">
        <f t="shared" si="266"/>
        <v>1.0217507715479504</v>
      </c>
      <c r="N573" s="576">
        <f t="shared" si="267"/>
        <v>-0.20670610232299763</v>
      </c>
      <c r="O573" s="574">
        <f t="shared" si="268"/>
        <v>4146902.298000121</v>
      </c>
      <c r="P573" s="577">
        <f t="shared" si="269"/>
        <v>1.5707960856510432</v>
      </c>
      <c r="Q573" s="586">
        <f t="shared" si="291"/>
        <v>167.26138204589896</v>
      </c>
      <c r="R573" s="587">
        <f t="shared" si="292"/>
        <v>1.564817624805994</v>
      </c>
      <c r="S573" s="574">
        <f t="shared" si="270"/>
        <v>1.0619232437144996</v>
      </c>
      <c r="T573" s="577">
        <f t="shared" si="271"/>
        <v>0.34318524610416329</v>
      </c>
      <c r="U573" s="578">
        <f t="shared" si="283"/>
        <v>0.30735368497239085</v>
      </c>
      <c r="V573" s="579">
        <f t="shared" si="284"/>
        <v>-1.9869004845996394</v>
      </c>
      <c r="W573" s="580">
        <f t="shared" si="272"/>
        <v>-37.687687614400843</v>
      </c>
      <c r="X573" s="581">
        <f t="shared" si="273"/>
        <v>-227.61703127410061</v>
      </c>
      <c r="Y573" s="584">
        <f t="shared" si="274"/>
        <v>-47.617031274100611</v>
      </c>
      <c r="AA573" s="147">
        <f t="shared" si="275"/>
        <v>100000</v>
      </c>
      <c r="AB573" s="147">
        <f t="shared" si="276"/>
        <v>10000000000</v>
      </c>
      <c r="AD573" s="583">
        <f t="shared" si="277"/>
        <v>16.697025115334945</v>
      </c>
      <c r="AE573" s="584">
        <f t="shared" si="278"/>
        <v>-20.005606790192314</v>
      </c>
      <c r="AG573" s="583">
        <f t="shared" si="279"/>
        <v>-5.2629744225056152</v>
      </c>
      <c r="AH573" s="584">
        <f t="shared" si="280"/>
        <v>20.070599936371064</v>
      </c>
      <c r="AJ573" s="147">
        <f t="shared" si="281"/>
        <v>0</v>
      </c>
      <c r="AK573" s="147">
        <f t="shared" si="293"/>
        <v>0</v>
      </c>
      <c r="AM573" s="147" t="str">
        <f t="shared" si="285"/>
        <v>1.44638907121404-0.89483897830876i</v>
      </c>
      <c r="AN573" s="147" t="str">
        <f t="shared" si="286"/>
        <v>4.24966300533829i</v>
      </c>
      <c r="AO573" s="147" t="str">
        <f t="shared" si="287"/>
        <v>-0.210567044300852-0.340353827914621i</v>
      </c>
      <c r="AP573" s="147" t="str">
        <f t="shared" si="288"/>
        <v>-0.0743981785356737+0.149139829718127i</v>
      </c>
      <c r="AQ573" s="147" t="str">
        <f t="shared" si="289"/>
        <v>1.07439817853567-0.149139829718127i</v>
      </c>
      <c r="AR573" s="147" t="str">
        <f t="shared" si="290"/>
        <v>0.760660681050059+0.105589163041674i</v>
      </c>
    </row>
    <row r="574" spans="7:44">
      <c r="G574" s="585">
        <v>101165</v>
      </c>
      <c r="H574" s="573">
        <f t="shared" si="282"/>
        <v>101.16500000000001</v>
      </c>
      <c r="I574" s="574">
        <f t="shared" si="262"/>
        <v>285.74717340318955</v>
      </c>
      <c r="J574" s="575">
        <f t="shared" si="263"/>
        <v>1.5672967224793117</v>
      </c>
      <c r="K574" s="575">
        <f t="shared" si="264"/>
        <v>1.0097303369770765</v>
      </c>
      <c r="L574" s="576">
        <f t="shared" si="265"/>
        <v>0.13893946197889623</v>
      </c>
      <c r="M574" s="575">
        <f t="shared" si="266"/>
        <v>1.0222549665319294</v>
      </c>
      <c r="N574" s="576">
        <f t="shared" si="267"/>
        <v>-0.20904506482898108</v>
      </c>
      <c r="O574" s="574">
        <f t="shared" si="268"/>
        <v>4195213.7097718194</v>
      </c>
      <c r="P574" s="577">
        <f t="shared" si="269"/>
        <v>1.5707960884280172</v>
      </c>
      <c r="Q574" s="586">
        <f t="shared" si="291"/>
        <v>169.20990789630386</v>
      </c>
      <c r="R574" s="587">
        <f t="shared" si="292"/>
        <v>1.5648864729718062</v>
      </c>
      <c r="S574" s="574">
        <f t="shared" si="270"/>
        <v>1.0633312143694624</v>
      </c>
      <c r="T574" s="577">
        <f t="shared" si="271"/>
        <v>0.34687186560033167</v>
      </c>
      <c r="U574" s="578">
        <f t="shared" si="283"/>
        <v>0.30098632625333649</v>
      </c>
      <c r="V574" s="579">
        <f t="shared" si="284"/>
        <v>-2.0074858529187702</v>
      </c>
      <c r="W574" s="580">
        <f t="shared" si="272"/>
        <v>-37.975444542216358</v>
      </c>
      <c r="X574" s="581">
        <f t="shared" si="273"/>
        <v>-229.04959962738889</v>
      </c>
      <c r="Y574" s="584">
        <f t="shared" si="274"/>
        <v>-49.049599627388886</v>
      </c>
      <c r="AA574" s="147">
        <f t="shared" si="275"/>
        <v>101165</v>
      </c>
      <c r="AB574" s="147">
        <f t="shared" si="276"/>
        <v>10234357225</v>
      </c>
      <c r="AD574" s="583">
        <f t="shared" si="277"/>
        <v>16.685512840317319</v>
      </c>
      <c r="AE574" s="584">
        <f t="shared" si="278"/>
        <v>-20.212889978010899</v>
      </c>
      <c r="AG574" s="583">
        <f t="shared" si="279"/>
        <v>-5.1755527446874989</v>
      </c>
      <c r="AH574" s="584">
        <f t="shared" si="280"/>
        <v>21.204224222413831</v>
      </c>
      <c r="AJ574" s="147">
        <f t="shared" si="281"/>
        <v>0</v>
      </c>
      <c r="AK574" s="147">
        <f t="shared" si="293"/>
        <v>0</v>
      </c>
      <c r="AM574" s="147" t="str">
        <f t="shared" si="285"/>
        <v>1.40155800524318-0.915833592103456i</v>
      </c>
      <c r="AN574" s="147" t="str">
        <f t="shared" si="286"/>
        <v>4.29917157935048i</v>
      </c>
      <c r="AO574" s="147" t="str">
        <f t="shared" si="287"/>
        <v>-0.213025596955081-0.326006529252068i</v>
      </c>
      <c r="AP574" s="147" t="str">
        <f t="shared" si="288"/>
        <v>-0.0669263342071965+0.152638932017243i</v>
      </c>
      <c r="AQ574" s="147" t="str">
        <f t="shared" si="289"/>
        <v>1.0669263342072-0.152638932017243i</v>
      </c>
      <c r="AR574" s="147" t="str">
        <f t="shared" si="290"/>
        <v>0.765088104661785+0.109456695790951i</v>
      </c>
    </row>
    <row r="575" spans="7:44">
      <c r="G575" s="585">
        <v>102330</v>
      </c>
      <c r="H575" s="573">
        <f t="shared" si="282"/>
        <v>102.33</v>
      </c>
      <c r="I575" s="574">
        <f t="shared" si="262"/>
        <v>289.03775219221427</v>
      </c>
      <c r="J575" s="575">
        <f t="shared" si="263"/>
        <v>1.5673365642295878</v>
      </c>
      <c r="K575" s="575">
        <f t="shared" si="264"/>
        <v>1.0099546224444222</v>
      </c>
      <c r="L575" s="576">
        <f t="shared" si="265"/>
        <v>0.1405186047211264</v>
      </c>
      <c r="M575" s="575">
        <f t="shared" si="266"/>
        <v>1.0227647484810407</v>
      </c>
      <c r="N575" s="576">
        <f t="shared" si="267"/>
        <v>-0.21138170846510668</v>
      </c>
      <c r="O575" s="574">
        <f t="shared" si="268"/>
        <v>4243525.1215435173</v>
      </c>
      <c r="P575" s="577">
        <f t="shared" si="269"/>
        <v>1.5707960911417613</v>
      </c>
      <c r="Q575" s="586">
        <f t="shared" si="291"/>
        <v>171.15843453051355</v>
      </c>
      <c r="R575" s="587">
        <f t="shared" si="292"/>
        <v>1.5649537535554143</v>
      </c>
      <c r="S575" s="574">
        <f t="shared" si="270"/>
        <v>1.0647535985974186</v>
      </c>
      <c r="T575" s="577">
        <f t="shared" si="271"/>
        <v>0.35054868518730964</v>
      </c>
      <c r="U575" s="578">
        <f t="shared" si="283"/>
        <v>0.29459876807532814</v>
      </c>
      <c r="V575" s="579">
        <f t="shared" si="284"/>
        <v>-2.0283407872197161</v>
      </c>
      <c r="W575" s="580">
        <f t="shared" si="272"/>
        <v>-38.266568841005096</v>
      </c>
      <c r="X575" s="581">
        <f t="shared" si="273"/>
        <v>-230.49699522121341</v>
      </c>
      <c r="Y575" s="584">
        <f t="shared" si="274"/>
        <v>-50.49699522121341</v>
      </c>
      <c r="AA575" s="147">
        <f t="shared" si="275"/>
        <v>102330</v>
      </c>
      <c r="AB575" s="147">
        <f t="shared" si="276"/>
        <v>10471428900</v>
      </c>
      <c r="AD575" s="583">
        <f t="shared" si="277"/>
        <v>16.673898333069921</v>
      </c>
      <c r="AE575" s="584">
        <f t="shared" si="278"/>
        <v>-20.41970148461424</v>
      </c>
      <c r="AG575" s="583">
        <f t="shared" si="279"/>
        <v>-5.0824289476830824</v>
      </c>
      <c r="AH575" s="584">
        <f t="shared" si="280"/>
        <v>22.353439572856981</v>
      </c>
      <c r="AJ575" s="147">
        <f t="shared" si="281"/>
        <v>0</v>
      </c>
      <c r="AK575" s="147">
        <f t="shared" si="293"/>
        <v>0</v>
      </c>
      <c r="AM575" s="147" t="str">
        <f t="shared" si="285"/>
        <v>1.35574288191355-0.934583865668481i</v>
      </c>
      <c r="AN575" s="147" t="str">
        <f t="shared" si="286"/>
        <v>4.34868015336267i</v>
      </c>
      <c r="AO575" s="147" t="str">
        <f t="shared" si="287"/>
        <v>-0.214912072791972-0.31175962225348i</v>
      </c>
      <c r="AP575" s="147" t="str">
        <f t="shared" si="288"/>
        <v>-0.0592904803189253+0.155763977611414i</v>
      </c>
      <c r="AQ575" s="147" t="str">
        <f t="shared" si="289"/>
        <v>1.05929048031893-0.155763977611414i</v>
      </c>
      <c r="AR575" s="147" t="str">
        <f t="shared" si="290"/>
        <v>0.769731970050843+0.113185680016392i</v>
      </c>
    </row>
    <row r="576" spans="7:44">
      <c r="G576" s="585">
        <v>103520</v>
      </c>
      <c r="H576" s="573">
        <f t="shared" si="282"/>
        <v>103.52</v>
      </c>
      <c r="I576" s="574">
        <f t="shared" si="262"/>
        <v>292.39894472288029</v>
      </c>
      <c r="J576" s="575">
        <f t="shared" si="263"/>
        <v>1.5673763351449921</v>
      </c>
      <c r="K576" s="575">
        <f t="shared" si="264"/>
        <v>1.0101863198973022</v>
      </c>
      <c r="L576" s="576">
        <f t="shared" si="265"/>
        <v>0.14213090657764113</v>
      </c>
      <c r="M576" s="575">
        <f t="shared" si="266"/>
        <v>1.023291229363624</v>
      </c>
      <c r="N576" s="576">
        <f t="shared" si="267"/>
        <v>-0.21376607771611814</v>
      </c>
      <c r="O576" s="574">
        <f t="shared" si="268"/>
        <v>4292873.258889717</v>
      </c>
      <c r="P576" s="577">
        <f t="shared" si="269"/>
        <v>1.5707960938506795</v>
      </c>
      <c r="Q576" s="586">
        <f t="shared" si="291"/>
        <v>173.14877582269398</v>
      </c>
      <c r="R576" s="587">
        <f t="shared" si="292"/>
        <v>1.5650209145547505</v>
      </c>
      <c r="S576" s="574">
        <f t="shared" si="270"/>
        <v>1.0662213269556908</v>
      </c>
      <c r="T576" s="577">
        <f t="shared" si="271"/>
        <v>0.35429422649644632</v>
      </c>
      <c r="U576" s="578">
        <f t="shared" si="283"/>
        <v>0.28804817864272342</v>
      </c>
      <c r="V576" s="579">
        <f t="shared" si="284"/>
        <v>-2.0499349655633803</v>
      </c>
      <c r="W576" s="580">
        <f t="shared" si="272"/>
        <v>-38.567815203792712</v>
      </c>
      <c r="X576" s="581">
        <f t="shared" si="273"/>
        <v>-231.99152123527548</v>
      </c>
      <c r="Y576" s="584">
        <f t="shared" si="274"/>
        <v>-51.991521235275485</v>
      </c>
      <c r="AA576" s="147">
        <f t="shared" si="275"/>
        <v>103520</v>
      </c>
      <c r="AB576" s="147">
        <f t="shared" si="276"/>
        <v>10716390400</v>
      </c>
      <c r="AD576" s="583">
        <f t="shared" si="277"/>
        <v>16.661929971497315</v>
      </c>
      <c r="AE576" s="584">
        <f t="shared" si="278"/>
        <v>-20.630457307260244</v>
      </c>
      <c r="AG576" s="583">
        <f t="shared" si="279"/>
        <v>-4.9810752314715945</v>
      </c>
      <c r="AH576" s="584">
        <f t="shared" si="280"/>
        <v>23.544179946558</v>
      </c>
      <c r="AJ576" s="147">
        <f t="shared" si="281"/>
        <v>0</v>
      </c>
      <c r="AK576" s="147">
        <f t="shared" si="293"/>
        <v>0</v>
      </c>
      <c r="AM576" s="147" t="str">
        <f t="shared" si="285"/>
        <v>1.30804539749189-0.951371658755957i</v>
      </c>
      <c r="AN576" s="147" t="str">
        <f t="shared" si="286"/>
        <v>4.3992511431262i</v>
      </c>
      <c r="AO576" s="147" t="str">
        <f t="shared" si="287"/>
        <v>-0.216257637448698-0.297333649508895i</v>
      </c>
      <c r="AP576" s="147" t="str">
        <f t="shared" si="288"/>
        <v>-0.0513408995819823+0.158561943125993i</v>
      </c>
      <c r="AQ576" s="147" t="str">
        <f t="shared" si="289"/>
        <v>1.05134089958198-0.158561943125993i</v>
      </c>
      <c r="AR576" s="147" t="str">
        <f t="shared" si="290"/>
        <v>0.77469994258532+0.116839293786406i</v>
      </c>
    </row>
    <row r="577" spans="7:44">
      <c r="G577" s="585">
        <v>104710</v>
      </c>
      <c r="H577" s="573">
        <f t="shared" si="282"/>
        <v>104.71</v>
      </c>
      <c r="I577" s="574">
        <f t="shared" si="262"/>
        <v>295.76013770552902</v>
      </c>
      <c r="J577" s="575">
        <f t="shared" si="263"/>
        <v>1.5674152021000867</v>
      </c>
      <c r="K577" s="575">
        <f t="shared" si="264"/>
        <v>1.0104206421386688</v>
      </c>
      <c r="L577" s="576">
        <f t="shared" si="265"/>
        <v>0.14374246481804442</v>
      </c>
      <c r="M577" s="575">
        <f t="shared" si="266"/>
        <v>1.0238235218761338</v>
      </c>
      <c r="N577" s="576">
        <f t="shared" si="267"/>
        <v>-0.21614798119890896</v>
      </c>
      <c r="O577" s="574">
        <f t="shared" si="268"/>
        <v>4342221.3962359158</v>
      </c>
      <c r="P577" s="577">
        <f t="shared" si="269"/>
        <v>1.5707960964980259</v>
      </c>
      <c r="Q577" s="586">
        <f t="shared" si="291"/>
        <v>175.13911787812802</v>
      </c>
      <c r="R577" s="587">
        <f t="shared" si="292"/>
        <v>1.5650865490723085</v>
      </c>
      <c r="S577" s="574">
        <f t="shared" si="270"/>
        <v>1.0677039721711485</v>
      </c>
      <c r="T577" s="577">
        <f t="shared" si="271"/>
        <v>0.35802941774803027</v>
      </c>
      <c r="U577" s="578">
        <f t="shared" si="283"/>
        <v>0.28146615160529503</v>
      </c>
      <c r="V577" s="579">
        <f t="shared" si="284"/>
        <v>-2.0718376465564985</v>
      </c>
      <c r="W577" s="580">
        <f t="shared" si="272"/>
        <v>-38.873412720262543</v>
      </c>
      <c r="X577" s="581">
        <f t="shared" si="273"/>
        <v>-233.50306712680123</v>
      </c>
      <c r="Y577" s="584">
        <f t="shared" si="274"/>
        <v>-53.503067126801227</v>
      </c>
      <c r="AA577" s="147">
        <f t="shared" si="275"/>
        <v>104710</v>
      </c>
      <c r="AB577" s="147">
        <f t="shared" si="276"/>
        <v>10964184100</v>
      </c>
      <c r="AD577" s="583">
        <f t="shared" si="277"/>
        <v>16.649856832973281</v>
      </c>
      <c r="AE577" s="584">
        <f t="shared" si="278"/>
        <v>-20.840707572725758</v>
      </c>
      <c r="AG577" s="583">
        <f t="shared" si="279"/>
        <v>-4.8730412777057701</v>
      </c>
      <c r="AH577" s="584">
        <f t="shared" si="280"/>
        <v>24.752746685219837</v>
      </c>
      <c r="AJ577" s="147">
        <f t="shared" si="281"/>
        <v>0</v>
      </c>
      <c r="AK577" s="147">
        <f t="shared" si="293"/>
        <v>0</v>
      </c>
      <c r="AM577" s="147" t="str">
        <f t="shared" si="285"/>
        <v>1.2595602779491-0.96572690866051i</v>
      </c>
      <c r="AN577" s="147" t="str">
        <f t="shared" si="286"/>
        <v>4.44982213288972i</v>
      </c>
      <c r="AO577" s="147" t="str">
        <f t="shared" si="287"/>
        <v>-0.217025957402339-0.283058567361464i</v>
      </c>
      <c r="AP577" s="147" t="str">
        <f t="shared" si="288"/>
        <v>-0.04326004632485+0.160954484776752i</v>
      </c>
      <c r="AQ577" s="147" t="str">
        <f t="shared" si="289"/>
        <v>1.04326004632485-0.160954484776752i</v>
      </c>
      <c r="AR577" s="147" t="str">
        <f t="shared" si="290"/>
        <v>0.779895252115318+0.120322482324766i</v>
      </c>
    </row>
    <row r="578" spans="7:44">
      <c r="G578" s="585">
        <v>105930</v>
      </c>
      <c r="H578" s="573">
        <f t="shared" si="282"/>
        <v>105.93</v>
      </c>
      <c r="I578" s="574">
        <f t="shared" si="262"/>
        <v>299.20606709899573</v>
      </c>
      <c r="J578" s="575">
        <f t="shared" si="263"/>
        <v>1.5674541423552641</v>
      </c>
      <c r="K578" s="575">
        <f t="shared" si="264"/>
        <v>1.0106635946313645</v>
      </c>
      <c r="L578" s="576">
        <f t="shared" si="265"/>
        <v>0.14539387038639978</v>
      </c>
      <c r="M578" s="575">
        <f t="shared" si="266"/>
        <v>1.0243752572870575</v>
      </c>
      <c r="N578" s="576">
        <f t="shared" si="267"/>
        <v>-0.21858734862714005</v>
      </c>
      <c r="O578" s="574">
        <f t="shared" si="268"/>
        <v>4392813.6042715143</v>
      </c>
      <c r="P578" s="577">
        <f t="shared" si="269"/>
        <v>1.570796099150364</v>
      </c>
      <c r="Q578" s="586">
        <f t="shared" si="291"/>
        <v>177.17963738946673</v>
      </c>
      <c r="R578" s="587">
        <f t="shared" si="292"/>
        <v>1.5651523074035445</v>
      </c>
      <c r="S578" s="574">
        <f t="shared" si="270"/>
        <v>1.069239415712862</v>
      </c>
      <c r="T578" s="577">
        <f t="shared" si="271"/>
        <v>0.36184796495427057</v>
      </c>
      <c r="U578" s="578">
        <f t="shared" si="283"/>
        <v>0.27468007681192608</v>
      </c>
      <c r="V578" s="579">
        <f t="shared" si="284"/>
        <v>-2.0946272107271633</v>
      </c>
      <c r="W578" s="580">
        <f t="shared" si="272"/>
        <v>-39.191725626745956</v>
      </c>
      <c r="X578" s="581">
        <f t="shared" si="273"/>
        <v>-235.07121008968693</v>
      </c>
      <c r="Y578" s="584">
        <f t="shared" si="274"/>
        <v>-55.071210089686929</v>
      </c>
      <c r="AA578" s="147">
        <f t="shared" si="275"/>
        <v>105930</v>
      </c>
      <c r="AB578" s="147">
        <f t="shared" si="276"/>
        <v>11221164900</v>
      </c>
      <c r="AD578" s="583">
        <f t="shared" si="277"/>
        <v>16.637371560741688</v>
      </c>
      <c r="AE578" s="584">
        <f t="shared" si="278"/>
        <v>-21.055726688880622</v>
      </c>
      <c r="AG578" s="583">
        <f t="shared" si="279"/>
        <v>-4.7549083110642751</v>
      </c>
      <c r="AH578" s="584">
        <f t="shared" si="280"/>
        <v>26.011114529316391</v>
      </c>
      <c r="AJ578" s="147">
        <f t="shared" si="281"/>
        <v>0</v>
      </c>
      <c r="AK578" s="147">
        <f t="shared" si="293"/>
        <v>0</v>
      </c>
      <c r="AM578" s="147" t="str">
        <f t="shared" si="285"/>
        <v>1.20916496563203-0.977880369550464i</v>
      </c>
      <c r="AN578" s="147" t="str">
        <f t="shared" si="286"/>
        <v>4.50166802155485i</v>
      </c>
      <c r="AO578" s="147" t="str">
        <f t="shared" si="287"/>
        <v>-0.217226229226186-0.268603761948308i</v>
      </c>
      <c r="AP578" s="147" t="str">
        <f t="shared" si="288"/>
        <v>-0.0348608276053383+0.162980061591744i</v>
      </c>
      <c r="AQ578" s="147" t="str">
        <f t="shared" si="289"/>
        <v>1.03486082760534-0.162980061591744i</v>
      </c>
      <c r="AR578" s="147" t="str">
        <f t="shared" si="290"/>
        <v>0.785457416636601+0.123701559404223i</v>
      </c>
    </row>
    <row r="579" spans="7:44">
      <c r="G579" s="585">
        <v>107150</v>
      </c>
      <c r="H579" s="573">
        <f t="shared" si="282"/>
        <v>107.15</v>
      </c>
      <c r="I579" s="574">
        <f t="shared" si="262"/>
        <v>302.6519969358302</v>
      </c>
      <c r="J579" s="575">
        <f t="shared" si="263"/>
        <v>1.5674921958799395</v>
      </c>
      <c r="K579" s="575">
        <f t="shared" si="264"/>
        <v>1.010909302016338</v>
      </c>
      <c r="L579" s="576">
        <f t="shared" si="265"/>
        <v>0.14704447768692391</v>
      </c>
      <c r="M579" s="575">
        <f t="shared" si="266"/>
        <v>1.0249330816729376</v>
      </c>
      <c r="N579" s="576">
        <f t="shared" si="267"/>
        <v>-0.22102407526892731</v>
      </c>
      <c r="O579" s="574">
        <f t="shared" si="268"/>
        <v>4443405.8123071129</v>
      </c>
      <c r="P579" s="577">
        <f t="shared" si="269"/>
        <v>1.5707961017423036</v>
      </c>
      <c r="Q579" s="586">
        <f t="shared" si="291"/>
        <v>179.22015764951203</v>
      </c>
      <c r="R579" s="587">
        <f t="shared" si="292"/>
        <v>1.5652165683453745</v>
      </c>
      <c r="S579" s="574">
        <f t="shared" si="270"/>
        <v>1.0707904053131572</v>
      </c>
      <c r="T579" s="577">
        <f t="shared" si="271"/>
        <v>0.36565550557357329</v>
      </c>
      <c r="U579" s="578">
        <f t="shared" si="283"/>
        <v>0.26784984688269636</v>
      </c>
      <c r="V579" s="579">
        <f t="shared" si="284"/>
        <v>-2.1177703741299543</v>
      </c>
      <c r="W579" s="580">
        <f t="shared" si="272"/>
        <v>-39.515657067085918</v>
      </c>
      <c r="X579" s="581">
        <f t="shared" si="273"/>
        <v>-236.65891158143361</v>
      </c>
      <c r="Y579" s="584">
        <f t="shared" si="274"/>
        <v>-56.658911581433614</v>
      </c>
      <c r="AA579" s="147">
        <f t="shared" si="275"/>
        <v>107150</v>
      </c>
      <c r="AB579" s="147">
        <f t="shared" si="276"/>
        <v>11481122500</v>
      </c>
      <c r="AD579" s="583">
        <f t="shared" si="277"/>
        <v>16.624778204871554</v>
      </c>
      <c r="AE579" s="584">
        <f t="shared" si="278"/>
        <v>-21.270200964689174</v>
      </c>
      <c r="AG579" s="583">
        <f t="shared" si="279"/>
        <v>-4.6288160864971948</v>
      </c>
      <c r="AH579" s="584">
        <f t="shared" si="280"/>
        <v>27.289898491531687</v>
      </c>
      <c r="AJ579" s="147">
        <f t="shared" si="281"/>
        <v>0</v>
      </c>
      <c r="AK579" s="147">
        <f t="shared" si="293"/>
        <v>0</v>
      </c>
      <c r="AM579" s="147" t="str">
        <f t="shared" si="285"/>
        <v>1.15820754461723-0.987405880489978i</v>
      </c>
      <c r="AN579" s="147" t="str">
        <f t="shared" si="286"/>
        <v>4.55351391021998i</v>
      </c>
      <c r="AO579" s="147" t="str">
        <f t="shared" si="287"/>
        <v>-0.216844814786626-0.254354673654939i</v>
      </c>
      <c r="AP579" s="147" t="str">
        <f t="shared" si="288"/>
        <v>-0.0263679241028713+0.16456764674833i</v>
      </c>
      <c r="AQ579" s="147" t="str">
        <f t="shared" si="289"/>
        <v>1.02636792410287-0.16456764674833i</v>
      </c>
      <c r="AR579" s="147" t="str">
        <f t="shared" si="290"/>
        <v>0.791257472574189+0.126870079603651i</v>
      </c>
    </row>
    <row r="580" spans="7:44">
      <c r="G580" s="585">
        <v>108400</v>
      </c>
      <c r="H580" s="573">
        <f t="shared" si="282"/>
        <v>108.4</v>
      </c>
      <c r="I580" s="574">
        <f t="shared" si="262"/>
        <v>306.18266319646074</v>
      </c>
      <c r="J580" s="575">
        <f t="shared" si="263"/>
        <v>1.5675302967480356</v>
      </c>
      <c r="K580" s="575">
        <f t="shared" si="264"/>
        <v>1.0111639066260809</v>
      </c>
      <c r="L580" s="576">
        <f t="shared" si="265"/>
        <v>0.14873483694510584</v>
      </c>
      <c r="M580" s="575">
        <f t="shared" si="266"/>
        <v>1.0255109280702086</v>
      </c>
      <c r="N580" s="576">
        <f t="shared" si="267"/>
        <v>-0.22351795670084079</v>
      </c>
      <c r="O580" s="574">
        <f t="shared" si="268"/>
        <v>4495242.0910321111</v>
      </c>
      <c r="P580" s="577">
        <f t="shared" si="269"/>
        <v>1.5707961043374672</v>
      </c>
      <c r="Q580" s="586">
        <f t="shared" si="291"/>
        <v>181.31085538737921</v>
      </c>
      <c r="R580" s="587">
        <f t="shared" si="292"/>
        <v>1.5652809092659616</v>
      </c>
      <c r="S580" s="574">
        <f t="shared" si="270"/>
        <v>1.0723955876426625</v>
      </c>
      <c r="T580" s="577">
        <f t="shared" si="271"/>
        <v>0.3695451931050156</v>
      </c>
      <c r="U580" s="578">
        <f t="shared" si="283"/>
        <v>0.26080004610123009</v>
      </c>
      <c r="V580" s="579">
        <f t="shared" si="284"/>
        <v>-2.1418648067786146</v>
      </c>
      <c r="W580" s="580">
        <f t="shared" si="272"/>
        <v>-39.854003976154161</v>
      </c>
      <c r="X580" s="581">
        <f t="shared" si="273"/>
        <v>-238.30681869675337</v>
      </c>
      <c r="Y580" s="584">
        <f t="shared" si="274"/>
        <v>-58.306818696753368</v>
      </c>
      <c r="AA580" s="147">
        <f t="shared" si="275"/>
        <v>108400</v>
      </c>
      <c r="AB580" s="147">
        <f t="shared" si="276"/>
        <v>11750560000</v>
      </c>
      <c r="AD580" s="583">
        <f t="shared" si="277"/>
        <v>16.611764158003478</v>
      </c>
      <c r="AE580" s="584">
        <f t="shared" si="278"/>
        <v>-21.489377329608214</v>
      </c>
      <c r="AG580" s="583">
        <f t="shared" si="279"/>
        <v>-4.4907994041566397</v>
      </c>
      <c r="AH580" s="584">
        <f t="shared" si="280"/>
        <v>28.622186345346819</v>
      </c>
      <c r="AJ580" s="147">
        <f t="shared" si="281"/>
        <v>0</v>
      </c>
      <c r="AK580" s="147">
        <f t="shared" si="293"/>
        <v>0</v>
      </c>
      <c r="AM580" s="147" t="str">
        <f t="shared" si="285"/>
        <v>1.10555726737705-0.994413225628003i</v>
      </c>
      <c r="AN580" s="147" t="str">
        <f t="shared" si="286"/>
        <v>4.6066346977867i</v>
      </c>
      <c r="AO580" s="147" t="str">
        <f t="shared" si="287"/>
        <v>-0.215865439928583-0.239992389218148i</v>
      </c>
      <c r="AP580" s="147" t="str">
        <f t="shared" si="288"/>
        <v>-0.0175928778961755+0.165735537604667i</v>
      </c>
      <c r="AQ580" s="147" t="str">
        <f t="shared" si="289"/>
        <v>1.01759287789618-0.165735537604667i</v>
      </c>
      <c r="AR580" s="147" t="str">
        <f t="shared" si="290"/>
        <v>0.797444917456885+0.129879999138821i</v>
      </c>
    </row>
    <row r="581" spans="7:44">
      <c r="G581" s="585">
        <v>109650</v>
      </c>
      <c r="H581" s="573">
        <f t="shared" si="282"/>
        <v>109.65</v>
      </c>
      <c r="I581" s="574">
        <f t="shared" si="262"/>
        <v>309.71332989143559</v>
      </c>
      <c r="J581" s="575">
        <f t="shared" si="263"/>
        <v>1.56756752893245</v>
      </c>
      <c r="K581" s="575">
        <f t="shared" si="264"/>
        <v>1.0114213989896221</v>
      </c>
      <c r="L581" s="576">
        <f t="shared" si="265"/>
        <v>0.15042434034964994</v>
      </c>
      <c r="M581" s="575">
        <f t="shared" si="266"/>
        <v>1.0260951453690801</v>
      </c>
      <c r="N581" s="576">
        <f t="shared" si="267"/>
        <v>-0.22600901377958832</v>
      </c>
      <c r="O581" s="574">
        <f t="shared" si="268"/>
        <v>4547078.3697571103</v>
      </c>
      <c r="P581" s="577">
        <f t="shared" si="269"/>
        <v>1.5707961068734617</v>
      </c>
      <c r="Q581" s="586">
        <f t="shared" si="291"/>
        <v>183.40155385871611</v>
      </c>
      <c r="R581" s="587">
        <f t="shared" si="292"/>
        <v>1.5653437832694146</v>
      </c>
      <c r="S581" s="574">
        <f t="shared" si="270"/>
        <v>1.0740169463211671</v>
      </c>
      <c r="T581" s="577">
        <f t="shared" si="271"/>
        <v>0.37342319525348455</v>
      </c>
      <c r="U581" s="578">
        <f t="shared" si="283"/>
        <v>0.25369215107085424</v>
      </c>
      <c r="V581" s="579">
        <f t="shared" si="284"/>
        <v>-2.1663616331246858</v>
      </c>
      <c r="W581" s="580">
        <f t="shared" si="272"/>
        <v>-40.199569585700118</v>
      </c>
      <c r="X581" s="581">
        <f t="shared" si="273"/>
        <v>-239.97703323568351</v>
      </c>
      <c r="Y581" s="584">
        <f t="shared" si="274"/>
        <v>-59.977033235683507</v>
      </c>
      <c r="AA581" s="147">
        <f t="shared" si="275"/>
        <v>109650</v>
      </c>
      <c r="AB581" s="147">
        <f t="shared" si="276"/>
        <v>12023122500</v>
      </c>
      <c r="AD581" s="583">
        <f t="shared" si="277"/>
        <v>16.598638853178652</v>
      </c>
      <c r="AE581" s="584">
        <f t="shared" si="278"/>
        <v>-21.707968216170766</v>
      </c>
      <c r="AG581" s="583">
        <f t="shared" si="279"/>
        <v>-4.3432143909856675</v>
      </c>
      <c r="AH581" s="584">
        <f t="shared" si="280"/>
        <v>29.977692218376411</v>
      </c>
      <c r="AJ581" s="147">
        <f t="shared" si="281"/>
        <v>0</v>
      </c>
      <c r="AK581" s="147">
        <f t="shared" si="293"/>
        <v>0</v>
      </c>
      <c r="AM581" s="147" t="str">
        <f t="shared" si="285"/>
        <v>1.05260919676862-0.998615177340781i</v>
      </c>
      <c r="AN581" s="147" t="str">
        <f t="shared" si="286"/>
        <v>4.65975548535343i</v>
      </c>
      <c r="AO581" s="147" t="str">
        <f t="shared" si="287"/>
        <v>-0.214306347292177-0.22589365473729i</v>
      </c>
      <c r="AP581" s="147" t="str">
        <f t="shared" si="288"/>
        <v>-0.0087681994614373+0.16643586289013i</v>
      </c>
      <c r="AQ581" s="147" t="str">
        <f t="shared" si="289"/>
        <v>1.00876819946144-0.16643586289013i</v>
      </c>
      <c r="AR581" s="147" t="str">
        <f t="shared" si="290"/>
        <v>0.803876890681464+0.132631008817917i</v>
      </c>
    </row>
    <row r="582" spans="7:44">
      <c r="G582" s="585">
        <v>110925</v>
      </c>
      <c r="H582" s="573">
        <f t="shared" si="282"/>
        <v>110.925</v>
      </c>
      <c r="I582" s="574">
        <f t="shared" si="262"/>
        <v>313.31461035254341</v>
      </c>
      <c r="J582" s="575">
        <f t="shared" si="263"/>
        <v>1.5676046412980531</v>
      </c>
      <c r="K582" s="575">
        <f t="shared" si="264"/>
        <v>1.0116870138775818</v>
      </c>
      <c r="L582" s="576">
        <f t="shared" si="265"/>
        <v>0.15214674280095106</v>
      </c>
      <c r="M582" s="575">
        <f t="shared" si="266"/>
        <v>1.0266975990373854</v>
      </c>
      <c r="N582" s="576">
        <f t="shared" si="267"/>
        <v>-0.22854695531824143</v>
      </c>
      <c r="O582" s="574">
        <f t="shared" si="268"/>
        <v>4599951.3740566093</v>
      </c>
      <c r="P582" s="577">
        <f t="shared" si="269"/>
        <v>1.5707961094012943</v>
      </c>
      <c r="Q582" s="586">
        <f t="shared" si="291"/>
        <v>185.53406702938577</v>
      </c>
      <c r="R582" s="587">
        <f t="shared" si="292"/>
        <v>1.5654064549626556</v>
      </c>
      <c r="S582" s="574">
        <f t="shared" si="270"/>
        <v>1.0756873211860836</v>
      </c>
      <c r="T582" s="577">
        <f t="shared" si="271"/>
        <v>0.37736665328180602</v>
      </c>
      <c r="U582" s="578">
        <f t="shared" si="283"/>
        <v>0.24637625502269322</v>
      </c>
      <c r="V582" s="579">
        <f t="shared" si="284"/>
        <v>-2.1917789671734371</v>
      </c>
      <c r="W582" s="580">
        <f t="shared" si="272"/>
        <v>-40.560270453053455</v>
      </c>
      <c r="X582" s="581">
        <f t="shared" si="273"/>
        <v>-241.70454535780141</v>
      </c>
      <c r="Y582" s="584">
        <f t="shared" si="274"/>
        <v>-61.704545357801408</v>
      </c>
      <c r="AA582" s="147">
        <f t="shared" si="275"/>
        <v>110925</v>
      </c>
      <c r="AB582" s="147">
        <f t="shared" si="276"/>
        <v>12304355625</v>
      </c>
      <c r="AD582" s="583">
        <f t="shared" si="277"/>
        <v>16.585137585230591</v>
      </c>
      <c r="AE582" s="584">
        <f t="shared" si="278"/>
        <v>-21.930321039451137</v>
      </c>
      <c r="AG582" s="583">
        <f t="shared" si="279"/>
        <v>-4.18208673740767</v>
      </c>
      <c r="AH582" s="584">
        <f t="shared" si="280"/>
        <v>31.385144857802253</v>
      </c>
      <c r="AJ582" s="147">
        <f t="shared" si="281"/>
        <v>0</v>
      </c>
      <c r="AK582" s="147">
        <f t="shared" si="293"/>
        <v>0</v>
      </c>
      <c r="AM582" s="147" t="str">
        <f t="shared" si="285"/>
        <v>0.998450292333485-0.999998799202353i</v>
      </c>
      <c r="AN582" s="147" t="str">
        <f t="shared" si="286"/>
        <v>4.7139386886715i</v>
      </c>
      <c r="AO582" s="147" t="str">
        <f t="shared" si="287"/>
        <v>-0.212136573096621-0.211808077761587i</v>
      </c>
      <c r="AP582" s="147" t="str">
        <f t="shared" si="288"/>
        <v>0.000258284611085792+0.166666466533725i</v>
      </c>
      <c r="AQ582" s="147" t="str">
        <f t="shared" si="289"/>
        <v>0.999741715388914-0.166666466533725i</v>
      </c>
      <c r="AR582" s="147" t="str">
        <f t="shared" si="290"/>
        <v>0.810684606780698+0.135148845752485i</v>
      </c>
    </row>
    <row r="583" spans="7:44">
      <c r="G583" s="585">
        <v>112200</v>
      </c>
      <c r="H583" s="573">
        <f t="shared" si="282"/>
        <v>112.2</v>
      </c>
      <c r="I583" s="574">
        <f t="shared" si="262"/>
        <v>316.91589123538046</v>
      </c>
      <c r="J583" s="575">
        <f t="shared" si="263"/>
        <v>1.567640910209297</v>
      </c>
      <c r="K583" s="575">
        <f t="shared" si="264"/>
        <v>1.0119556285265037</v>
      </c>
      <c r="L583" s="576">
        <f t="shared" si="265"/>
        <v>0.15386823596418936</v>
      </c>
      <c r="M583" s="575">
        <f t="shared" si="266"/>
        <v>1.0273066580348962</v>
      </c>
      <c r="N583" s="576">
        <f t="shared" si="267"/>
        <v>-0.23108190383150617</v>
      </c>
      <c r="O583" s="574">
        <f t="shared" si="268"/>
        <v>4652824.3783561075</v>
      </c>
      <c r="P583" s="577">
        <f t="shared" si="269"/>
        <v>1.570796111871676</v>
      </c>
      <c r="Q583" s="586">
        <f t="shared" si="291"/>
        <v>187.66658091222362</v>
      </c>
      <c r="R583" s="587">
        <f t="shared" si="292"/>
        <v>1.5654677023401435</v>
      </c>
      <c r="S583" s="574">
        <f t="shared" si="270"/>
        <v>1.0773743718935926</v>
      </c>
      <c r="T583" s="577">
        <f t="shared" si="271"/>
        <v>0.38129782223449715</v>
      </c>
      <c r="U583" s="578">
        <f t="shared" si="283"/>
        <v>0.23898794246890956</v>
      </c>
      <c r="V583" s="579">
        <f t="shared" si="284"/>
        <v>-2.2176470575767722</v>
      </c>
      <c r="W583" s="580">
        <f t="shared" si="272"/>
        <v>-40.930152669776362</v>
      </c>
      <c r="X583" s="581">
        <f t="shared" si="273"/>
        <v>-243.45709369274681</v>
      </c>
      <c r="Y583" s="584">
        <f t="shared" si="274"/>
        <v>-63.45709369274681</v>
      </c>
      <c r="AA583" s="147">
        <f t="shared" si="275"/>
        <v>112200</v>
      </c>
      <c r="AB583" s="147">
        <f t="shared" si="276"/>
        <v>12588840000</v>
      </c>
      <c r="AD583" s="583">
        <f t="shared" si="277"/>
        <v>16.571522918652445</v>
      </c>
      <c r="AE583" s="584">
        <f t="shared" si="278"/>
        <v>-22.152051354552704</v>
      </c>
      <c r="AG583" s="583">
        <f t="shared" si="279"/>
        <v>-4.0094399161765084</v>
      </c>
      <c r="AH583" s="584">
        <f t="shared" si="280"/>
        <v>32.818591649693509</v>
      </c>
      <c r="AJ583" s="147">
        <f t="shared" si="281"/>
        <v>0</v>
      </c>
      <c r="AK583" s="147">
        <f t="shared" si="293"/>
        <v>0</v>
      </c>
      <c r="AM583" s="147" t="str">
        <f t="shared" si="285"/>
        <v>0.944295936447404-0.998447323249318i</v>
      </c>
      <c r="AN583" s="147" t="str">
        <f t="shared" si="286"/>
        <v>4.76812189198956i</v>
      </c>
      <c r="AO583" s="147" t="str">
        <f t="shared" si="287"/>
        <v>-0.209400545092337-0.198043581485159i</v>
      </c>
      <c r="AP583" s="147" t="str">
        <f t="shared" si="288"/>
        <v>0.0092840105920994+0.16640788720822i</v>
      </c>
      <c r="AQ583" s="147" t="str">
        <f t="shared" si="289"/>
        <v>0.990715989407901-0.16640788720822i</v>
      </c>
      <c r="AR583" s="147" t="str">
        <f t="shared" si="290"/>
        <v>0.817735276323855+0.137352784333287i</v>
      </c>
    </row>
    <row r="584" spans="7:44">
      <c r="G584" s="585">
        <v>113510</v>
      </c>
      <c r="H584" s="573">
        <f t="shared" si="282"/>
        <v>113.51</v>
      </c>
      <c r="I584" s="574">
        <f t="shared" si="262"/>
        <v>320.61603123343548</v>
      </c>
      <c r="J584" s="575">
        <f t="shared" si="263"/>
        <v>1.5676773261088872</v>
      </c>
      <c r="K584" s="575">
        <f t="shared" si="264"/>
        <v>1.0122347388113542</v>
      </c>
      <c r="L584" s="576">
        <f t="shared" si="265"/>
        <v>0.15563602877131638</v>
      </c>
      <c r="M584" s="575">
        <f t="shared" si="266"/>
        <v>1.0279393037593327</v>
      </c>
      <c r="N584" s="576">
        <f t="shared" si="267"/>
        <v>-0.23368329315242145</v>
      </c>
      <c r="O584" s="574">
        <f t="shared" si="268"/>
        <v>4707148.7984599061</v>
      </c>
      <c r="P584" s="577">
        <f t="shared" si="269"/>
        <v>1.5707961143520692</v>
      </c>
      <c r="Q584" s="586">
        <f t="shared" si="291"/>
        <v>189.85763510838291</v>
      </c>
      <c r="R584" s="587">
        <f t="shared" si="292"/>
        <v>1.5655291979632411</v>
      </c>
      <c r="S584" s="574">
        <f t="shared" si="270"/>
        <v>1.079125020363592</v>
      </c>
      <c r="T584" s="577">
        <f t="shared" si="271"/>
        <v>0.38532403908834245</v>
      </c>
      <c r="U584" s="578">
        <f t="shared" si="283"/>
        <v>0.23131536302485861</v>
      </c>
      <c r="V584" s="579">
        <f t="shared" si="284"/>
        <v>-2.2447110632687166</v>
      </c>
      <c r="W584" s="580">
        <f t="shared" si="272"/>
        <v>-41.320769794125141</v>
      </c>
      <c r="X584" s="581">
        <f t="shared" si="273"/>
        <v>-245.2847569726961</v>
      </c>
      <c r="Y584" s="584">
        <f t="shared" si="274"/>
        <v>-65.284756972696101</v>
      </c>
      <c r="AA584" s="147">
        <f t="shared" si="275"/>
        <v>113510</v>
      </c>
      <c r="AB584" s="147">
        <f t="shared" si="276"/>
        <v>12884520100</v>
      </c>
      <c r="AD584" s="583">
        <f t="shared" si="277"/>
        <v>16.55741765704898</v>
      </c>
      <c r="AE584" s="584">
        <f t="shared" si="278"/>
        <v>-22.379213290396105</v>
      </c>
      <c r="AG584" s="583">
        <f t="shared" si="279"/>
        <v>-3.819091280003835</v>
      </c>
      <c r="AH584" s="584">
        <f t="shared" si="280"/>
        <v>34.319396914864299</v>
      </c>
      <c r="AJ584" s="147">
        <f t="shared" si="281"/>
        <v>0</v>
      </c>
      <c r="AK584" s="147">
        <f t="shared" si="293"/>
        <v>0</v>
      </c>
      <c r="AM584" s="147" t="str">
        <f t="shared" si="285"/>
        <v>0.88882679336508-0.993801045545088i</v>
      </c>
      <c r="AN584" s="147" t="str">
        <f t="shared" si="286"/>
        <v>4.82379247735949i</v>
      </c>
      <c r="AO584" s="147" t="str">
        <f t="shared" si="287"/>
        <v>-0.206020688122365-0.18425892024518i</v>
      </c>
      <c r="AP584" s="147" t="str">
        <f t="shared" si="288"/>
        <v>0.0185288677724867+0.165633507590848i</v>
      </c>
      <c r="AQ584" s="147" t="str">
        <f t="shared" si="289"/>
        <v>0.981471132227513-0.165633507590848i</v>
      </c>
      <c r="AR584" s="147" t="str">
        <f t="shared" si="290"/>
        <v>0.825223492302584+0.139265085939137i</v>
      </c>
    </row>
    <row r="585" spans="7:44">
      <c r="G585" s="585">
        <v>114820</v>
      </c>
      <c r="H585" s="573">
        <f t="shared" si="282"/>
        <v>114.82</v>
      </c>
      <c r="I585" s="574">
        <f t="shared" si="262"/>
        <v>324.31617164696348</v>
      </c>
      <c r="J585" s="575">
        <f t="shared" si="263"/>
        <v>1.5677129110666617</v>
      </c>
      <c r="K585" s="575">
        <f t="shared" si="264"/>
        <v>1.0125170106725223</v>
      </c>
      <c r="L585" s="576">
        <f t="shared" si="265"/>
        <v>0.15740284143851271</v>
      </c>
      <c r="M585" s="575">
        <f t="shared" si="266"/>
        <v>1.0285788971971321</v>
      </c>
      <c r="N585" s="576">
        <f t="shared" si="267"/>
        <v>-0.23628146483312357</v>
      </c>
      <c r="O585" s="574">
        <f t="shared" si="268"/>
        <v>4761473.2185637057</v>
      </c>
      <c r="P585" s="577">
        <f t="shared" si="269"/>
        <v>1.5707961167758637</v>
      </c>
      <c r="Q585" s="586">
        <f t="shared" si="291"/>
        <v>192.04869000614624</v>
      </c>
      <c r="R585" s="587">
        <f t="shared" si="292"/>
        <v>1.5655892903977537</v>
      </c>
      <c r="S585" s="574">
        <f t="shared" si="270"/>
        <v>1.0808931050759634</v>
      </c>
      <c r="T585" s="577">
        <f t="shared" si="271"/>
        <v>0.38933714894857702</v>
      </c>
      <c r="U585" s="578">
        <f t="shared" si="283"/>
        <v>0.22355438312961529</v>
      </c>
      <c r="V585" s="579">
        <f t="shared" si="284"/>
        <v>-2.2722834639657545</v>
      </c>
      <c r="W585" s="580">
        <f t="shared" si="272"/>
        <v>-41.723260833150697</v>
      </c>
      <c r="X585" s="581">
        <f t="shared" si="273"/>
        <v>-247.14070275013805</v>
      </c>
      <c r="Y585" s="584">
        <f t="shared" si="274"/>
        <v>-67.140702750138047</v>
      </c>
      <c r="AA585" s="147">
        <f t="shared" si="275"/>
        <v>114820</v>
      </c>
      <c r="AB585" s="147">
        <f t="shared" si="276"/>
        <v>13183632400</v>
      </c>
      <c r="AD585" s="583">
        <f t="shared" si="277"/>
        <v>16.543195235307721</v>
      </c>
      <c r="AE585" s="584">
        <f t="shared" si="278"/>
        <v>-22.605704644363637</v>
      </c>
      <c r="AG585" s="583">
        <f t="shared" si="279"/>
        <v>-3.6145083573940018</v>
      </c>
      <c r="AH585" s="584">
        <f t="shared" si="280"/>
        <v>35.84950687696788</v>
      </c>
      <c r="AJ585" s="147">
        <f t="shared" si="281"/>
        <v>0</v>
      </c>
      <c r="AK585" s="147">
        <f t="shared" si="293"/>
        <v>0</v>
      </c>
      <c r="AM585" s="147" t="str">
        <f t="shared" si="285"/>
        <v>0.83370211087269-0.986075561035665i</v>
      </c>
      <c r="AN585" s="147" t="str">
        <f t="shared" si="286"/>
        <v>4.87946306272942i</v>
      </c>
      <c r="AO585" s="147" t="str">
        <f t="shared" si="287"/>
        <v>-0.202086899390132-0.170859395829988i</v>
      </c>
      <c r="AP585" s="147" t="str">
        <f t="shared" si="288"/>
        <v>0.0277163148545517+0.164345926839277i</v>
      </c>
      <c r="AQ585" s="147" t="str">
        <f t="shared" si="289"/>
        <v>0.972283685145448-0.164345926839277i</v>
      </c>
      <c r="AR585" s="147" t="str">
        <f t="shared" si="290"/>
        <v>0.832947345224945+0.140793788428971i</v>
      </c>
    </row>
    <row r="586" spans="7:44">
      <c r="G586" s="585">
        <v>116155</v>
      </c>
      <c r="H586" s="573">
        <f t="shared" si="282"/>
        <v>116.155</v>
      </c>
      <c r="I586" s="574">
        <f t="shared" si="262"/>
        <v>328.08692584004973</v>
      </c>
      <c r="J586" s="575">
        <f t="shared" si="263"/>
        <v>1.5677483493547646</v>
      </c>
      <c r="K586" s="575">
        <f t="shared" si="264"/>
        <v>1.0128079193194321</v>
      </c>
      <c r="L586" s="576">
        <f t="shared" si="265"/>
        <v>0.1592023529616966</v>
      </c>
      <c r="M586" s="575">
        <f t="shared" si="266"/>
        <v>1.0292378310689956</v>
      </c>
      <c r="N586" s="576">
        <f t="shared" si="267"/>
        <v>-0.23892587953673022</v>
      </c>
      <c r="O586" s="574">
        <f t="shared" si="268"/>
        <v>4816834.3642420033</v>
      </c>
      <c r="P586" s="577">
        <f t="shared" si="269"/>
        <v>1.5707961191896678</v>
      </c>
      <c r="Q586" s="586">
        <f t="shared" si="291"/>
        <v>194.28155962591521</v>
      </c>
      <c r="R586" s="587">
        <f t="shared" si="292"/>
        <v>1.5656491351749813</v>
      </c>
      <c r="S586" s="574">
        <f t="shared" si="270"/>
        <v>1.082712781964694</v>
      </c>
      <c r="T586" s="577">
        <f t="shared" si="271"/>
        <v>0.39341329328555108</v>
      </c>
      <c r="U586" s="578">
        <f t="shared" si="283"/>
        <v>0.21554865005571797</v>
      </c>
      <c r="V586" s="579">
        <f t="shared" si="284"/>
        <v>-2.3009209110469206</v>
      </c>
      <c r="W586" s="580">
        <f t="shared" si="272"/>
        <v>-42.146980074447427</v>
      </c>
      <c r="X586" s="581">
        <f t="shared" si="273"/>
        <v>-249.06206460912495</v>
      </c>
      <c r="Y586" s="584">
        <f t="shared" si="274"/>
        <v>-69.062064609124945</v>
      </c>
      <c r="AA586" s="147">
        <f t="shared" si="275"/>
        <v>116155</v>
      </c>
      <c r="AB586" s="147">
        <f t="shared" si="276"/>
        <v>13491984025</v>
      </c>
      <c r="AD586" s="583">
        <f t="shared" si="277"/>
        <v>16.528582197222232</v>
      </c>
      <c r="AE586" s="584">
        <f t="shared" si="278"/>
        <v>-22.835821796961085</v>
      </c>
      <c r="AG586" s="583">
        <f t="shared" si="279"/>
        <v>-3.3900992799482355</v>
      </c>
      <c r="AH586" s="584">
        <f t="shared" si="280"/>
        <v>37.43987188188833</v>
      </c>
      <c r="AJ586" s="147">
        <f t="shared" si="281"/>
        <v>0</v>
      </c>
      <c r="AK586" s="147">
        <f t="shared" si="293"/>
        <v>0</v>
      </c>
      <c r="AM586" s="147" t="str">
        <f t="shared" si="285"/>
        <v>0.778056644345744-0.975059560683822i</v>
      </c>
      <c r="AN586" s="147" t="str">
        <f t="shared" si="286"/>
        <v>4.93619606385069i</v>
      </c>
      <c r="AO586" s="147" t="str">
        <f t="shared" si="287"/>
        <v>-0.197532583404555-0.157622718846947i</v>
      </c>
      <c r="AP586" s="147" t="str">
        <f t="shared" si="288"/>
        <v>0.0369905592757093+0.162509926780637i</v>
      </c>
      <c r="AQ586" s="147" t="str">
        <f t="shared" si="289"/>
        <v>0.963009440724291-0.162509926780637i</v>
      </c>
      <c r="AR586" s="147" t="str">
        <f t="shared" si="290"/>
        <v>0.841045999022477+0.141928332101805i</v>
      </c>
    </row>
    <row r="587" spans="7:44">
      <c r="G587" s="585">
        <v>117490</v>
      </c>
      <c r="H587" s="573">
        <f t="shared" si="282"/>
        <v>117.49</v>
      </c>
      <c r="I587" s="574">
        <f t="shared" si="262"/>
        <v>331.85768043580777</v>
      </c>
      <c r="J587" s="575">
        <f t="shared" si="263"/>
        <v>1.5677829823031779</v>
      </c>
      <c r="K587" s="575">
        <f t="shared" si="264"/>
        <v>1.0131021057934917</v>
      </c>
      <c r="L587" s="576">
        <f t="shared" si="265"/>
        <v>0.16100082521495712</v>
      </c>
      <c r="M587" s="575">
        <f t="shared" si="266"/>
        <v>1.0299039530889307</v>
      </c>
      <c r="N587" s="576">
        <f t="shared" si="267"/>
        <v>-0.24156689197605299</v>
      </c>
      <c r="O587" s="574">
        <f t="shared" si="268"/>
        <v>4872195.5099203028</v>
      </c>
      <c r="P587" s="577">
        <f t="shared" si="269"/>
        <v>1.5707961215486175</v>
      </c>
      <c r="Q587" s="586">
        <f t="shared" si="291"/>
        <v>196.51442992567181</v>
      </c>
      <c r="R587" s="587">
        <f t="shared" si="292"/>
        <v>1.5657076199950239</v>
      </c>
      <c r="S587" s="574">
        <f t="shared" si="270"/>
        <v>1.0845503875357856</v>
      </c>
      <c r="T587" s="577">
        <f t="shared" si="271"/>
        <v>0.3974756921170095</v>
      </c>
      <c r="U587" s="578">
        <f t="shared" si="283"/>
        <v>0.20744009146059939</v>
      </c>
      <c r="V587" s="579">
        <f t="shared" si="284"/>
        <v>-2.3301172345223113</v>
      </c>
      <c r="W587" s="580">
        <f t="shared" si="272"/>
        <v>-42.58588102201972</v>
      </c>
      <c r="X587" s="581">
        <f t="shared" si="273"/>
        <v>-251.01455655184762</v>
      </c>
      <c r="Y587" s="584">
        <f t="shared" si="274"/>
        <v>-71.014556551847619</v>
      </c>
      <c r="AA587" s="147">
        <f t="shared" si="275"/>
        <v>117490</v>
      </c>
      <c r="AB587" s="147">
        <f t="shared" si="276"/>
        <v>13803900100</v>
      </c>
      <c r="AD587" s="583">
        <f t="shared" si="277"/>
        <v>16.513850197365489</v>
      </c>
      <c r="AE587" s="584">
        <f t="shared" si="278"/>
        <v>-23.065229306768508</v>
      </c>
      <c r="AG587" s="583">
        <f t="shared" si="279"/>
        <v>-3.1481637458984713</v>
      </c>
      <c r="AH587" s="584">
        <f t="shared" si="280"/>
        <v>39.062439677673275</v>
      </c>
      <c r="AJ587" s="147">
        <f t="shared" si="281"/>
        <v>0</v>
      </c>
      <c r="AK587" s="147">
        <f t="shared" si="293"/>
        <v>0</v>
      </c>
      <c r="AM587" s="147" t="str">
        <f t="shared" si="285"/>
        <v>0.723125340536653-0.960906042725851i</v>
      </c>
      <c r="AN587" s="147" t="str">
        <f t="shared" si="286"/>
        <v>4.99292906497196i</v>
      </c>
      <c r="AO587" s="147" t="str">
        <f t="shared" si="287"/>
        <v>-0.192453373605308-0.144829884648224i</v>
      </c>
      <c r="AP587" s="147" t="str">
        <f t="shared" si="288"/>
        <v>0.0461457765772245+0.160151007120975i</v>
      </c>
      <c r="AQ587" s="147" t="str">
        <f t="shared" si="289"/>
        <v>0.953854223422775-0.160151007120975i</v>
      </c>
      <c r="AR587" s="147" t="str">
        <f t="shared" si="290"/>
        <v>0.849355711711415+0.142605829375508i</v>
      </c>
    </row>
    <row r="588" spans="7:44">
      <c r="G588" s="585">
        <v>118860</v>
      </c>
      <c r="H588" s="573">
        <f t="shared" si="282"/>
        <v>118.86</v>
      </c>
      <c r="I588" s="574">
        <f t="shared" si="262"/>
        <v>335.72729417070201</v>
      </c>
      <c r="J588" s="575">
        <f t="shared" si="263"/>
        <v>1.5678177144030734</v>
      </c>
      <c r="K588" s="575">
        <f t="shared" si="264"/>
        <v>1.0134074098845132</v>
      </c>
      <c r="L588" s="576">
        <f t="shared" si="265"/>
        <v>0.16284535668220043</v>
      </c>
      <c r="M588" s="575">
        <f t="shared" si="266"/>
        <v>1.0305949976617572</v>
      </c>
      <c r="N588" s="576">
        <f t="shared" si="267"/>
        <v>-0.24427357553183801</v>
      </c>
      <c r="O588" s="574">
        <f t="shared" si="268"/>
        <v>4929008.0714029018</v>
      </c>
      <c r="P588" s="577">
        <f t="shared" si="269"/>
        <v>1.57079612391432</v>
      </c>
      <c r="Q588" s="586">
        <f t="shared" si="291"/>
        <v>198.80584057914217</v>
      </c>
      <c r="R588" s="587">
        <f t="shared" si="292"/>
        <v>1.5657662722753343</v>
      </c>
      <c r="S588" s="574">
        <f t="shared" si="270"/>
        <v>1.0864547145224213</v>
      </c>
      <c r="T588" s="577">
        <f t="shared" si="271"/>
        <v>0.40163023790642588</v>
      </c>
      <c r="U588" s="578">
        <f t="shared" si="283"/>
        <v>0.19900714656246457</v>
      </c>
      <c r="V588" s="579">
        <f t="shared" si="284"/>
        <v>-2.3606743461597022</v>
      </c>
      <c r="W588" s="580">
        <f t="shared" si="272"/>
        <v>-43.05385423984621</v>
      </c>
      <c r="X588" s="581">
        <f t="shared" si="273"/>
        <v>-253.0514153107687</v>
      </c>
      <c r="Y588" s="584">
        <f t="shared" si="274"/>
        <v>-73.051415310768704</v>
      </c>
      <c r="AA588" s="147">
        <f t="shared" si="275"/>
        <v>118860</v>
      </c>
      <c r="AB588" s="147">
        <f t="shared" si="276"/>
        <v>14127699600</v>
      </c>
      <c r="AD588" s="583">
        <f t="shared" si="277"/>
        <v>16.498609720813519</v>
      </c>
      <c r="AE588" s="584">
        <f t="shared" si="278"/>
        <v>-23.299906853988237</v>
      </c>
      <c r="AG588" s="583">
        <f t="shared" si="279"/>
        <v>-2.8799355845041203</v>
      </c>
      <c r="AH588" s="584">
        <f t="shared" si="280"/>
        <v>40.761845531838254</v>
      </c>
      <c r="AJ588" s="147">
        <f t="shared" si="281"/>
        <v>0</v>
      </c>
      <c r="AK588" s="147">
        <f t="shared" si="293"/>
        <v>0</v>
      </c>
      <c r="AM588" s="147" t="str">
        <f t="shared" si="285"/>
        <v>0.667681738553351-0.943167309181715i</v>
      </c>
      <c r="AN588" s="147" t="str">
        <f t="shared" si="286"/>
        <v>5.05114944814509i</v>
      </c>
      <c r="AO588" s="147" t="str">
        <f t="shared" si="287"/>
        <v>-0.186723303054925-0.132184118764995i</v>
      </c>
      <c r="AP588" s="147" t="str">
        <f t="shared" si="288"/>
        <v>0.0553863769077748+0.157194551530286i</v>
      </c>
      <c r="AQ588" s="147" t="str">
        <f t="shared" si="289"/>
        <v>0.944613623092225-0.157194551530286i</v>
      </c>
      <c r="AR588" s="147" t="str">
        <f t="shared" si="290"/>
        <v>0.858079429746107+0.142794268300674i</v>
      </c>
    </row>
    <row r="589" spans="7:44">
      <c r="G589" s="585">
        <v>120230</v>
      </c>
      <c r="H589" s="573">
        <f t="shared" si="282"/>
        <v>120.23</v>
      </c>
      <c r="I589" s="574">
        <f t="shared" ref="I589:I613" si="294">SQRT(1+(G589/pole1)^2)</f>
        <v>339.59690830136088</v>
      </c>
      <c r="J589" s="575">
        <f t="shared" ref="J589:J613" si="295">ATAN(G589/pole1)</f>
        <v>1.5678516549774015</v>
      </c>
      <c r="K589" s="575">
        <f t="shared" ref="K589:K613" si="296">SQRT(1+(G589/Zero1)^2)</f>
        <v>1.013716159804172</v>
      </c>
      <c r="L589" s="576">
        <f t="shared" ref="L589:L613" si="297">ATAN(G589/Zero1)</f>
        <v>0.16468877083152622</v>
      </c>
      <c r="M589" s="575">
        <f t="shared" ref="M589:M613" si="298">SQRT(1+(G589/z_RHP)^2)</f>
        <v>1.0312935823628091</v>
      </c>
      <c r="N589" s="576">
        <f t="shared" ref="N589:N613" si="299">-ATAN(G589/z_RHP)</f>
        <v>-0.24697661192455006</v>
      </c>
      <c r="O589" s="574">
        <f t="shared" ref="O589:O613" si="300">SQRT(1+(G589/Pole2)^2)</f>
        <v>4985820.6328855008</v>
      </c>
      <c r="P589" s="577">
        <f t="shared" ref="P589:P613" si="301">ATAN(G589/Pole2)</f>
        <v>1.570796126226109</v>
      </c>
      <c r="Q589" s="586">
        <f t="shared" si="291"/>
        <v>201.09725190093684</v>
      </c>
      <c r="R589" s="587">
        <f t="shared" si="292"/>
        <v>1.5658235879239557</v>
      </c>
      <c r="S589" s="574">
        <f t="shared" ref="S589:S613" si="302">SQRT(1+(G589/pole4)^2)</f>
        <v>1.0883777281792233</v>
      </c>
      <c r="T589" s="577">
        <f t="shared" ref="T589:T613" si="303">ATAN(G589/pole4)</f>
        <v>0.40577017392154596</v>
      </c>
      <c r="U589" s="578">
        <f t="shared" si="283"/>
        <v>0.19045676075575166</v>
      </c>
      <c r="V589" s="579">
        <f t="shared" si="284"/>
        <v>-2.3918473214764573</v>
      </c>
      <c r="W589" s="580">
        <f t="shared" ref="W589:W613" si="304">20*LOG10(((K589*Q589*M589*U589)/(I589*O589*S589))*Adc)</f>
        <v>-43.541672619878007</v>
      </c>
      <c r="X589" s="581">
        <f t="shared" ref="X589:X613" si="305">((L589+R589+N589+V589)-(J589+P589+T589))*radconv</f>
        <v>-255.12260966064605</v>
      </c>
      <c r="Y589" s="584">
        <f t="shared" ref="Y589:Y613" si="306">IF(X589&gt;0,X589,X589+180)</f>
        <v>-75.122609660646049</v>
      </c>
      <c r="AA589" s="147">
        <f t="shared" ref="AA589:AA613" si="307">IF(W589&lt;0,G589,1000000000)</f>
        <v>120230</v>
      </c>
      <c r="AB589" s="147">
        <f t="shared" ref="AB589:AB613" si="308">G589^2</f>
        <v>14455252900</v>
      </c>
      <c r="AD589" s="583">
        <f t="shared" ref="AD589:AD613" si="309">20*LOG10((Q589/(O589*S589))*Aea)</f>
        <v>16.483246885515076</v>
      </c>
      <c r="AE589" s="584">
        <f t="shared" ref="AE589:AE613" si="310">(R589-(P589+T589))*radconv</f>
        <v>-23.533823903065812</v>
      </c>
      <c r="AG589" s="583">
        <f t="shared" ref="AG589:AG613" si="311">20*LOG10((K589*M589/(I589*U589))*Acs*Am)</f>
        <v>-2.58949996931221</v>
      </c>
      <c r="AH589" s="584">
        <f t="shared" ref="AH589:AH613" si="312">(L589+N589-(J589+V589))*radconv</f>
        <v>42.496728076151349</v>
      </c>
      <c r="AJ589" s="147">
        <f t="shared" ref="AJ589:AJ613" si="313">SUM((W590&lt;0)*(W589&gt;0))*G589</f>
        <v>0</v>
      </c>
      <c r="AK589" s="147">
        <f t="shared" si="293"/>
        <v>0</v>
      </c>
      <c r="AM589" s="147" t="str">
        <f t="shared" si="285"/>
        <v>0.613364248730489-0.92223250638885i</v>
      </c>
      <c r="AN589" s="147" t="str">
        <f t="shared" si="286"/>
        <v>5.10936983131822i</v>
      </c>
      <c r="AO589" s="147" t="str">
        <f t="shared" si="287"/>
        <v>-0.180498287819364-0.120046946879991i</v>
      </c>
      <c r="AP589" s="147" t="str">
        <f t="shared" si="288"/>
        <v>0.0644392918782518+0.153705417731475i</v>
      </c>
      <c r="AQ589" s="147" t="str">
        <f t="shared" si="289"/>
        <v>0.935560708121748-0.153705417731475i</v>
      </c>
      <c r="AR589" s="147" t="str">
        <f t="shared" si="290"/>
        <v>0.86697382203568+0.142437120671496i</v>
      </c>
    </row>
    <row r="590" spans="7:44">
      <c r="G590" s="585">
        <v>126030</v>
      </c>
      <c r="H590" s="573">
        <f t="shared" ref="H590:H613" si="314">G590/1000</f>
        <v>126.03</v>
      </c>
      <c r="I590" s="574">
        <f t="shared" si="294"/>
        <v>355.97922038710453</v>
      </c>
      <c r="J590" s="575">
        <f t="shared" si="295"/>
        <v>1.5679871703667758</v>
      </c>
      <c r="K590" s="575">
        <f t="shared" si="296"/>
        <v>1.0150613773969317</v>
      </c>
      <c r="L590" s="576">
        <f t="shared" si="297"/>
        <v>0.17248036391531474</v>
      </c>
      <c r="M590" s="575">
        <f t="shared" si="298"/>
        <v>1.0343342718451725</v>
      </c>
      <c r="N590" s="576">
        <f t="shared" si="299"/>
        <v>-0.25837898683355537</v>
      </c>
      <c r="O590" s="574">
        <f t="shared" si="300"/>
        <v>5226340.9661694961</v>
      </c>
      <c r="P590" s="577">
        <f t="shared" si="301"/>
        <v>1.5707961354564428</v>
      </c>
      <c r="Q590" s="586">
        <f t="shared" si="291"/>
        <v>210.79812425312522</v>
      </c>
      <c r="R590" s="587">
        <f t="shared" si="292"/>
        <v>1.5660524337725727</v>
      </c>
      <c r="S590" s="574">
        <f t="shared" si="302"/>
        <v>1.0967236913087481</v>
      </c>
      <c r="T590" s="577">
        <f t="shared" si="303"/>
        <v>0.42313362473688609</v>
      </c>
      <c r="U590" s="578">
        <f t="shared" ref="U590:U613" si="315">IMABS(IMPRODUCT(AO590, AR590))</f>
        <v>0.15290411955612418</v>
      </c>
      <c r="V590" s="579">
        <f t="shared" ref="V590:V613" si="316">IMARGUMENT(IMPRODUCT(AO590, AR590))</f>
        <v>-2.5308433147824188</v>
      </c>
      <c r="W590" s="580">
        <f t="shared" si="304"/>
        <v>-45.887705732524026</v>
      </c>
      <c r="X590" s="581">
        <f t="shared" si="305"/>
        <v>-264.28288155304739</v>
      </c>
      <c r="Y590" s="584">
        <f t="shared" si="306"/>
        <v>-84.282881553047389</v>
      </c>
      <c r="AA590" s="147">
        <f t="shared" si="307"/>
        <v>126030</v>
      </c>
      <c r="AB590" s="147">
        <f t="shared" si="308"/>
        <v>15883560900</v>
      </c>
      <c r="AD590" s="583">
        <f t="shared" si="309"/>
        <v>16.416885647171124</v>
      </c>
      <c r="AE590" s="584">
        <f t="shared" si="310"/>
        <v>-24.515564981263907</v>
      </c>
      <c r="AG590" s="583">
        <f t="shared" si="311"/>
        <v>-1.0540835513054874</v>
      </c>
      <c r="AH590" s="584">
        <f t="shared" si="312"/>
        <v>50.245964851468699</v>
      </c>
      <c r="AJ590" s="147">
        <f t="shared" si="313"/>
        <v>0</v>
      </c>
      <c r="AK590" s="147">
        <f t="shared" si="293"/>
        <v>0</v>
      </c>
      <c r="AM590" s="147" t="str">
        <f t="shared" ref="AM590:AM613" si="317">IMSUB(1,IMEXP(COMPLEX(0,-2*Pi*G590*Tsw)))</f>
        <v>0.400031843315388-0.800023881496339i</v>
      </c>
      <c r="AN590" s="147" t="str">
        <f t="shared" ref="AN590:AN613" si="318">COMPLEX(0, 2*Pi*G590*Tsw)</f>
        <v>5.35585028562785i</v>
      </c>
      <c r="AO590" s="147" t="str">
        <f t="shared" ref="AO590:AO613" si="319">IMDIV(AM590, AN590)</f>
        <v>-0.149373832133277-0.0746906321091262i</v>
      </c>
      <c r="AP590" s="147" t="str">
        <f t="shared" ref="AP590:AP613" si="320">IMDIV(IMEXP(COMPLEX(0,-2*Pi*G590*Tsw)),6)</f>
        <v>0.0999946927807687+0.133337313582723i</v>
      </c>
      <c r="AQ590" s="147" t="str">
        <f t="shared" ref="AQ590:AQ613" si="321">IMSUB(1, AP590)</f>
        <v>0.900005307219231-0.133337313582723i</v>
      </c>
      <c r="AR590" s="147" t="str">
        <f t="shared" ref="AR590:AR613" si="322">IMDIV(0.833, AQ590)</f>
        <v>0.905671579794003+0.134176781480398i</v>
      </c>
    </row>
    <row r="591" spans="7:44">
      <c r="G591" s="585">
        <v>131830</v>
      </c>
      <c r="H591" s="573">
        <f t="shared" si="314"/>
        <v>131.83000000000001</v>
      </c>
      <c r="I591" s="574">
        <f t="shared" si="294"/>
        <v>372.36153843496936</v>
      </c>
      <c r="J591" s="575">
        <f t="shared" si="295"/>
        <v>1.568110761561045</v>
      </c>
      <c r="K591" s="575">
        <f t="shared" si="296"/>
        <v>1.0164680529862331</v>
      </c>
      <c r="L591" s="576">
        <f t="shared" si="297"/>
        <v>0.18025086232330789</v>
      </c>
      <c r="M591" s="575">
        <f t="shared" si="298"/>
        <v>1.0375086410129368</v>
      </c>
      <c r="N591" s="576">
        <f t="shared" si="299"/>
        <v>-0.26971305438603721</v>
      </c>
      <c r="O591" s="574">
        <f t="shared" si="300"/>
        <v>5466861.2994534913</v>
      </c>
      <c r="P591" s="577">
        <f t="shared" si="301"/>
        <v>1.5707961438745799</v>
      </c>
      <c r="Q591" s="586">
        <f t="shared" si="291"/>
        <v>220.49900667352497</v>
      </c>
      <c r="R591" s="587">
        <f t="shared" si="292"/>
        <v>1.5662611434257026</v>
      </c>
      <c r="S591" s="574">
        <f t="shared" si="302"/>
        <v>1.1053952544509345</v>
      </c>
      <c r="T591" s="577">
        <f t="shared" si="303"/>
        <v>0.44022973950623456</v>
      </c>
      <c r="U591" s="578">
        <f t="shared" si="315"/>
        <v>0.11324327192159912</v>
      </c>
      <c r="V591" s="579">
        <f t="shared" si="316"/>
        <v>-2.6812265839778799</v>
      </c>
      <c r="W591" s="580">
        <f t="shared" si="304"/>
        <v>-48.916415718523027</v>
      </c>
      <c r="X591" s="581">
        <f t="shared" si="305"/>
        <v>-274.07804444672917</v>
      </c>
      <c r="Y591" s="584">
        <f t="shared" si="306"/>
        <v>-94.078044446729166</v>
      </c>
      <c r="AA591" s="147">
        <f t="shared" si="307"/>
        <v>131830</v>
      </c>
      <c r="AB591" s="147">
        <f t="shared" si="308"/>
        <v>17379148900</v>
      </c>
      <c r="AD591" s="583">
        <f t="shared" si="309"/>
        <v>16.348469823725935</v>
      </c>
      <c r="AE591" s="584">
        <f t="shared" si="310"/>
        <v>-25.483142504780215</v>
      </c>
      <c r="AG591" s="583">
        <f t="shared" si="311"/>
        <v>1.2018933856322334</v>
      </c>
      <c r="AH591" s="584">
        <f t="shared" si="312"/>
        <v>58.651032769553687</v>
      </c>
      <c r="AJ591" s="147">
        <f t="shared" si="313"/>
        <v>0</v>
      </c>
      <c r="AK591" s="147">
        <f t="shared" si="293"/>
        <v>0</v>
      </c>
      <c r="AM591" s="147" t="str">
        <f t="shared" si="317"/>
        <v>0.222964911028963-0.629457282512302i</v>
      </c>
      <c r="AN591" s="147" t="str">
        <f t="shared" si="318"/>
        <v>5.60233073993747i</v>
      </c>
      <c r="AO591" s="147" t="str">
        <f t="shared" si="319"/>
        <v>-0.112356323061235-0.0397985983654102i</v>
      </c>
      <c r="AP591" s="147" t="str">
        <f t="shared" si="320"/>
        <v>0.129505848161839+0.104909547085384i</v>
      </c>
      <c r="AQ591" s="147" t="str">
        <f t="shared" si="321"/>
        <v>0.870494151838161-0.104909547085384i</v>
      </c>
      <c r="AR591" s="147" t="str">
        <f t="shared" si="322"/>
        <v>0.943227915453346+0.113675219069017i</v>
      </c>
    </row>
    <row r="592" spans="7:44">
      <c r="G592" s="585">
        <v>144540</v>
      </c>
      <c r="H592" s="573">
        <f t="shared" si="314"/>
        <v>144.54</v>
      </c>
      <c r="I592" s="574">
        <f t="shared" si="294"/>
        <v>408.26142860226878</v>
      </c>
      <c r="J592" s="575">
        <f t="shared" si="295"/>
        <v>1.5683469134291472</v>
      </c>
      <c r="K592" s="575">
        <f t="shared" si="296"/>
        <v>1.0197642580474269</v>
      </c>
      <c r="L592" s="576">
        <f t="shared" si="297"/>
        <v>0.19720108374770487</v>
      </c>
      <c r="M592" s="575">
        <f t="shared" si="298"/>
        <v>1.0449263072812505</v>
      </c>
      <c r="N592" s="576">
        <f t="shared" si="299"/>
        <v>-0.29430048040428064</v>
      </c>
      <c r="O592" s="574">
        <f t="shared" si="300"/>
        <v>5993932.581529283</v>
      </c>
      <c r="P592" s="577">
        <f t="shared" si="301"/>
        <v>1.5707961599595199</v>
      </c>
      <c r="Q592" s="586">
        <f t="shared" si="291"/>
        <v>241.75734898664658</v>
      </c>
      <c r="R592" s="587">
        <f t="shared" si="292"/>
        <v>1.5666599360881874</v>
      </c>
      <c r="S592" s="574">
        <f t="shared" si="302"/>
        <v>1.1254993063484928</v>
      </c>
      <c r="T592" s="577">
        <f t="shared" si="303"/>
        <v>0.47674230267649309</v>
      </c>
      <c r="U592" s="578">
        <f t="shared" si="315"/>
        <v>2.2827620428138771E-2</v>
      </c>
      <c r="V592" s="579">
        <f t="shared" si="316"/>
        <v>-3.0432424322138103</v>
      </c>
      <c r="W592" s="580">
        <f t="shared" si="304"/>
        <v>-63.693489612679663</v>
      </c>
      <c r="X592" s="581">
        <f t="shared" si="305"/>
        <v>-297.34030234394788</v>
      </c>
      <c r="Y592" s="584">
        <f t="shared" si="306"/>
        <v>-117.34030234394788</v>
      </c>
      <c r="AA592" s="147">
        <f t="shared" si="307"/>
        <v>144540</v>
      </c>
      <c r="AB592" s="147">
        <f t="shared" si="308"/>
        <v>20891811600</v>
      </c>
      <c r="AD592" s="583">
        <f t="shared" si="309"/>
        <v>16.191902087248419</v>
      </c>
      <c r="AE592" s="584">
        <f t="shared" si="310"/>
        <v>-27.552310061143217</v>
      </c>
      <c r="AG592" s="583">
        <f t="shared" si="311"/>
        <v>14.403457879296832</v>
      </c>
      <c r="AH592" s="584">
        <f t="shared" si="312"/>
        <v>78.941902917635005</v>
      </c>
      <c r="AJ592" s="147">
        <f t="shared" si="313"/>
        <v>0</v>
      </c>
      <c r="AK592" s="147">
        <f t="shared" si="293"/>
        <v>0</v>
      </c>
      <c r="AM592" s="147" t="str">
        <f t="shared" si="317"/>
        <v>0.00988506799925104-0.140258409477482i</v>
      </c>
      <c r="AN592" s="147" t="str">
        <f t="shared" si="318"/>
        <v>6.14246290791596i</v>
      </c>
      <c r="AO592" s="147" t="str">
        <f t="shared" si="319"/>
        <v>-0.0228342297837447-0.00160930039748582i</v>
      </c>
      <c r="AP592" s="147" t="str">
        <f t="shared" si="320"/>
        <v>0.165019155333458+0.0233764015795803i</v>
      </c>
      <c r="AQ592" s="147" t="str">
        <f t="shared" si="321"/>
        <v>0.834980844666542-0.0233764015795803i</v>
      </c>
      <c r="AR592" s="147" t="str">
        <f t="shared" si="322"/>
        <v>0.996846353678768+0.0279080422330423i</v>
      </c>
    </row>
    <row r="593" spans="7:44">
      <c r="G593" s="585">
        <v>158490</v>
      </c>
      <c r="H593" s="573">
        <f t="shared" si="314"/>
        <v>158.49</v>
      </c>
      <c r="I593" s="574">
        <f t="shared" si="294"/>
        <v>447.66376887810935</v>
      </c>
      <c r="J593" s="575">
        <f t="shared" si="295"/>
        <v>1.5685625055630239</v>
      </c>
      <c r="K593" s="575">
        <f t="shared" si="296"/>
        <v>1.0237169619270394</v>
      </c>
      <c r="L593" s="576">
        <f t="shared" si="297"/>
        <v>0.21567341764358447</v>
      </c>
      <c r="M593" s="575">
        <f t="shared" si="298"/>
        <v>1.053783776844154</v>
      </c>
      <c r="N593" s="576">
        <f t="shared" si="299"/>
        <v>-0.32087034116456253</v>
      </c>
      <c r="O593" s="574">
        <f t="shared" si="300"/>
        <v>6572425.452100276</v>
      </c>
      <c r="P593" s="577">
        <f t="shared" si="301"/>
        <v>1.5707961746440648</v>
      </c>
      <c r="Q593" s="586">
        <f t="shared" si="291"/>
        <v>265.08971272866847</v>
      </c>
      <c r="R593" s="587">
        <f t="shared" si="292"/>
        <v>1.5670240100141377</v>
      </c>
      <c r="S593" s="574">
        <f t="shared" si="302"/>
        <v>1.149227072943535</v>
      </c>
      <c r="T593" s="577">
        <f t="shared" si="303"/>
        <v>0.51528958650016687</v>
      </c>
      <c r="U593" s="578">
        <f t="shared" si="315"/>
        <v>6.4979633660099859E-2</v>
      </c>
      <c r="V593" s="579">
        <f t="shared" si="316"/>
        <v>-0.31149528763596751</v>
      </c>
      <c r="W593" s="580">
        <f t="shared" si="304"/>
        <v>-55.481734887085359</v>
      </c>
      <c r="X593" s="581">
        <f t="shared" si="305"/>
        <v>-143.48676433687586</v>
      </c>
      <c r="Y593" s="584">
        <f t="shared" si="306"/>
        <v>36.513235663124135</v>
      </c>
      <c r="AA593" s="147">
        <f t="shared" si="307"/>
        <v>158490</v>
      </c>
      <c r="AB593" s="147">
        <f t="shared" si="308"/>
        <v>25119080100</v>
      </c>
      <c r="AD593" s="583">
        <f t="shared" si="309"/>
        <v>16.010677249021114</v>
      </c>
      <c r="AE593" s="584">
        <f t="shared" si="310"/>
        <v>-29.740047680407237</v>
      </c>
      <c r="AG593" s="583">
        <f t="shared" si="311"/>
        <v>4.6237728044466984</v>
      </c>
      <c r="AH593" s="584">
        <f t="shared" si="312"/>
        <v>-78.051985976172361</v>
      </c>
      <c r="AJ593" s="147">
        <f t="shared" si="313"/>
        <v>0</v>
      </c>
      <c r="AK593" s="147">
        <f t="shared" si="293"/>
        <v>0</v>
      </c>
      <c r="AM593" s="147" t="str">
        <f t="shared" si="317"/>
        <v>0.100470752110815+0.436860540895968i</v>
      </c>
      <c r="AN593" s="147" t="str">
        <f t="shared" si="318"/>
        <v>6.73529089716065i</v>
      </c>
      <c r="AO593" s="147" t="str">
        <f t="shared" si="319"/>
        <v>0.0648614213649083-0.0149170620311544i</v>
      </c>
      <c r="AP593" s="147" t="str">
        <f t="shared" si="320"/>
        <v>0.149921541314864-0.072810090149328i</v>
      </c>
      <c r="AQ593" s="147" t="str">
        <f t="shared" si="321"/>
        <v>0.850078458685136+0.072810090149328i</v>
      </c>
      <c r="AR593" s="147" t="str">
        <f t="shared" si="322"/>
        <v>0.972773190788357-0.0833190195475638i</v>
      </c>
    </row>
    <row r="594" spans="7:44">
      <c r="G594" s="585">
        <v>173780</v>
      </c>
      <c r="H594" s="573">
        <f t="shared" si="314"/>
        <v>173.78</v>
      </c>
      <c r="I594" s="574">
        <f t="shared" si="294"/>
        <v>490.85101333268756</v>
      </c>
      <c r="J594" s="575">
        <f t="shared" si="295"/>
        <v>1.5687590473259962</v>
      </c>
      <c r="K594" s="575">
        <f t="shared" si="296"/>
        <v>1.0284472936274351</v>
      </c>
      <c r="L594" s="576">
        <f t="shared" si="297"/>
        <v>0.23574942143863667</v>
      </c>
      <c r="M594" s="575">
        <f t="shared" si="298"/>
        <v>1.0643313208381746</v>
      </c>
      <c r="N594" s="576">
        <f t="shared" si="299"/>
        <v>-0.34946200636788288</v>
      </c>
      <c r="O594" s="574">
        <f t="shared" si="300"/>
        <v>7206486.8134644702</v>
      </c>
      <c r="P594" s="577">
        <f t="shared" si="301"/>
        <v>1.5707961880310266</v>
      </c>
      <c r="Q594" s="586">
        <f t="shared" si="291"/>
        <v>290.66335501790604</v>
      </c>
      <c r="R594" s="587">
        <f t="shared" si="292"/>
        <v>1.5673559138378477</v>
      </c>
      <c r="S594" s="574">
        <f t="shared" si="302"/>
        <v>1.1771108758207478</v>
      </c>
      <c r="T594" s="577">
        <f t="shared" si="303"/>
        <v>0.55568811052682232</v>
      </c>
      <c r="U594" s="578">
        <f t="shared" si="315"/>
        <v>0.12609375209893325</v>
      </c>
      <c r="V594" s="579">
        <f t="shared" si="316"/>
        <v>-0.71036189600532962</v>
      </c>
      <c r="W594" s="580">
        <f t="shared" si="304"/>
        <v>-50.605054982253328</v>
      </c>
      <c r="X594" s="581">
        <f t="shared" si="305"/>
        <v>-169.13495909041649</v>
      </c>
      <c r="Y594" s="584">
        <f t="shared" si="306"/>
        <v>10.865040909583513</v>
      </c>
      <c r="AA594" s="147">
        <f t="shared" si="307"/>
        <v>173780</v>
      </c>
      <c r="AB594" s="147">
        <f t="shared" si="308"/>
        <v>30199488400</v>
      </c>
      <c r="AD594" s="583">
        <f t="shared" si="309"/>
        <v>15.802436372114714</v>
      </c>
      <c r="AE594" s="584">
        <f t="shared" si="310"/>
        <v>-32.035696687029187</v>
      </c>
      <c r="AG594" s="583">
        <f t="shared" si="311"/>
        <v>-1.807958789883054</v>
      </c>
      <c r="AH594" s="584">
        <f t="shared" si="312"/>
        <v>-55.697785174339607</v>
      </c>
      <c r="AJ594" s="147">
        <f t="shared" si="313"/>
        <v>0</v>
      </c>
      <c r="AK594" s="147">
        <f t="shared" si="293"/>
        <v>0</v>
      </c>
      <c r="AM594" s="147" t="str">
        <f t="shared" si="317"/>
        <v>0.548079313604161+0.892058122101645i</v>
      </c>
      <c r="AN594" s="147" t="str">
        <f t="shared" si="318"/>
        <v>7.38506437067688i</v>
      </c>
      <c r="AO594" s="147" t="str">
        <f t="shared" si="319"/>
        <v>0.120792193178931-0.0742145614573603i</v>
      </c>
      <c r="AP594" s="147" t="str">
        <f t="shared" si="320"/>
        <v>0.0753201143993065-0.148676353683608i</v>
      </c>
      <c r="AQ594" s="147" t="str">
        <f t="shared" si="321"/>
        <v>0.924679885600693+0.148676353683608i</v>
      </c>
      <c r="AR594" s="147" t="str">
        <f t="shared" si="322"/>
        <v>0.878150006919467-0.141194961682557i</v>
      </c>
    </row>
    <row r="595" spans="7:44">
      <c r="G595" s="585">
        <v>190550</v>
      </c>
      <c r="H595" s="573">
        <f t="shared" si="314"/>
        <v>190.55</v>
      </c>
      <c r="I595" s="574">
        <f t="shared" si="294"/>
        <v>538.21859781790204</v>
      </c>
      <c r="J595" s="575">
        <f t="shared" si="295"/>
        <v>1.5689383445932332</v>
      </c>
      <c r="K595" s="575">
        <f t="shared" si="296"/>
        <v>1.0341074393413461</v>
      </c>
      <c r="L595" s="576">
        <f t="shared" si="297"/>
        <v>0.25754770527911591</v>
      </c>
      <c r="M595" s="575">
        <f t="shared" si="298"/>
        <v>1.0768792167901828</v>
      </c>
      <c r="N595" s="576">
        <f t="shared" si="299"/>
        <v>-0.38014929599229302</v>
      </c>
      <c r="O595" s="574">
        <f t="shared" si="300"/>
        <v>7901922.3288390636</v>
      </c>
      <c r="P595" s="577">
        <f t="shared" si="301"/>
        <v>1.5707962002434122</v>
      </c>
      <c r="Q595" s="586">
        <f t="shared" si="291"/>
        <v>318.71243607936583</v>
      </c>
      <c r="R595" s="587">
        <f t="shared" si="292"/>
        <v>1.5676586969832389</v>
      </c>
      <c r="S595" s="574">
        <f t="shared" si="302"/>
        <v>1.2097936668877796</v>
      </c>
      <c r="T595" s="577">
        <f t="shared" si="303"/>
        <v>0.59777973891748715</v>
      </c>
      <c r="U595" s="578">
        <f t="shared" si="315"/>
        <v>0.15396732908665881</v>
      </c>
      <c r="V595" s="579">
        <f t="shared" si="316"/>
        <v>-1.0615242861817582</v>
      </c>
      <c r="W595" s="580">
        <f t="shared" si="304"/>
        <v>-49.758946819017389</v>
      </c>
      <c r="X595" s="581">
        <f t="shared" si="305"/>
        <v>-192.16898265274753</v>
      </c>
      <c r="Y595" s="584">
        <f t="shared" si="306"/>
        <v>-12.16898265274753</v>
      </c>
      <c r="AA595" s="147">
        <f t="shared" si="307"/>
        <v>190550</v>
      </c>
      <c r="AB595" s="147">
        <f t="shared" si="308"/>
        <v>36309302500</v>
      </c>
      <c r="AD595" s="583">
        <f t="shared" si="309"/>
        <v>15.564549035106205</v>
      </c>
      <c r="AE595" s="584">
        <f t="shared" si="310"/>
        <v>-34.430021852762764</v>
      </c>
      <c r="AG595" s="583">
        <f t="shared" si="311"/>
        <v>-4.1933636115026811</v>
      </c>
      <c r="AH595" s="584">
        <f t="shared" si="312"/>
        <v>-36.09723776328461</v>
      </c>
      <c r="AJ595" s="147">
        <f t="shared" si="313"/>
        <v>0</v>
      </c>
      <c r="AK595" s="147">
        <f t="shared" si="293"/>
        <v>0</v>
      </c>
      <c r="AM595" s="147" t="str">
        <f t="shared" si="317"/>
        <v>1.24134465050527+0.970439467289172i</v>
      </c>
      <c r="AN595" s="147" t="str">
        <f t="shared" si="318"/>
        <v>8.09773285667211i</v>
      </c>
      <c r="AO595" s="147" t="str">
        <f t="shared" si="319"/>
        <v>0.119840884413664-0.153295332468577i</v>
      </c>
      <c r="AP595" s="147" t="str">
        <f t="shared" si="320"/>
        <v>-0.0402241084175443-0.161739911214862i</v>
      </c>
      <c r="AQ595" s="147" t="str">
        <f t="shared" si="321"/>
        <v>1.04022410841754+0.161739911214862i</v>
      </c>
      <c r="AR595" s="147" t="str">
        <f t="shared" si="322"/>
        <v>0.781886263743987-0.121572086105998i</v>
      </c>
    </row>
    <row r="596" spans="7:44">
      <c r="G596" s="585">
        <v>208930</v>
      </c>
      <c r="H596" s="573">
        <f t="shared" si="314"/>
        <v>208.93</v>
      </c>
      <c r="I596" s="574">
        <f t="shared" si="294"/>
        <v>590.13371290740247</v>
      </c>
      <c r="J596" s="575">
        <f t="shared" si="295"/>
        <v>1.5691017947647798</v>
      </c>
      <c r="K596" s="575">
        <f t="shared" si="296"/>
        <v>1.0408687754095256</v>
      </c>
      <c r="L596" s="576">
        <f t="shared" si="297"/>
        <v>0.28115394151503298</v>
      </c>
      <c r="M596" s="575">
        <f t="shared" si="298"/>
        <v>1.091767820126188</v>
      </c>
      <c r="N596" s="576">
        <f t="shared" si="299"/>
        <v>-0.41293822162118504</v>
      </c>
      <c r="O596" s="574">
        <f t="shared" si="300"/>
        <v>8664122.9712114576</v>
      </c>
      <c r="P596" s="577">
        <f t="shared" si="301"/>
        <v>1.5707962113764056</v>
      </c>
      <c r="Q596" s="586">
        <f t="shared" si="291"/>
        <v>349.45439064367145</v>
      </c>
      <c r="R596" s="587">
        <f t="shared" si="292"/>
        <v>1.5679347191242672</v>
      </c>
      <c r="S596" s="574">
        <f t="shared" si="302"/>
        <v>1.2479381944994037</v>
      </c>
      <c r="T596" s="577">
        <f t="shared" si="303"/>
        <v>0.64129496955506293</v>
      </c>
      <c r="U596" s="578">
        <f t="shared" si="315"/>
        <v>0.15770961909463185</v>
      </c>
      <c r="V596" s="579">
        <f t="shared" si="316"/>
        <v>-1.3734231208649756</v>
      </c>
      <c r="W596" s="580">
        <f t="shared" si="304"/>
        <v>-50.443959541133637</v>
      </c>
      <c r="X596" s="581">
        <f t="shared" si="305"/>
        <v>-213.05238868500646</v>
      </c>
      <c r="Y596" s="584">
        <f t="shared" si="306"/>
        <v>-33.052388685006463</v>
      </c>
      <c r="AA596" s="147">
        <f t="shared" si="307"/>
        <v>208930</v>
      </c>
      <c r="AB596" s="147">
        <f t="shared" si="308"/>
        <v>43651744900</v>
      </c>
      <c r="AD596" s="583">
        <f t="shared" si="309"/>
        <v>15.294906438130651</v>
      </c>
      <c r="AE596" s="584">
        <f t="shared" si="310"/>
        <v>-36.907446649805543</v>
      </c>
      <c r="AG596" s="583">
        <f t="shared" si="311"/>
        <v>-5.0259180087760704</v>
      </c>
      <c r="AH596" s="584">
        <f t="shared" si="312"/>
        <v>-18.762245232866878</v>
      </c>
      <c r="AJ596" s="147">
        <f t="shared" si="313"/>
        <v>0</v>
      </c>
      <c r="AK596" s="147">
        <f t="shared" si="293"/>
        <v>0</v>
      </c>
      <c r="AM596" s="147" t="str">
        <f t="shared" si="317"/>
        <v>1.85463075046096+0.519236247161667i</v>
      </c>
      <c r="AN596" s="147" t="str">
        <f t="shared" si="318"/>
        <v>8.87882091705329i</v>
      </c>
      <c r="AO596" s="147" t="str">
        <f t="shared" si="319"/>
        <v>0.0584803153495736-0.208882549584802i</v>
      </c>
      <c r="AP596" s="147" t="str">
        <f t="shared" si="320"/>
        <v>-0.14243845841016-0.0865393745269445i</v>
      </c>
      <c r="AQ596" s="147" t="str">
        <f t="shared" si="321"/>
        <v>1.14243845841016+0.0865393745269445i</v>
      </c>
      <c r="AR596" s="147" t="str">
        <f t="shared" si="322"/>
        <v>0.724982160024221-0.0549171836870748i</v>
      </c>
    </row>
    <row r="597" spans="7:44">
      <c r="G597" s="585">
        <v>229090</v>
      </c>
      <c r="H597" s="573">
        <f t="shared" si="314"/>
        <v>229.09</v>
      </c>
      <c r="I597" s="574">
        <f t="shared" si="294"/>
        <v>647.07653104545284</v>
      </c>
      <c r="J597" s="575">
        <f t="shared" si="295"/>
        <v>1.5692509139262911</v>
      </c>
      <c r="K597" s="575">
        <f t="shared" si="296"/>
        <v>1.0489426586565112</v>
      </c>
      <c r="L597" s="576">
        <f t="shared" si="297"/>
        <v>0.30668051453334366</v>
      </c>
      <c r="M597" s="575">
        <f t="shared" si="298"/>
        <v>1.1094091690151571</v>
      </c>
      <c r="N597" s="576">
        <f t="shared" si="299"/>
        <v>-0.44784886476036162</v>
      </c>
      <c r="O597" s="574">
        <f t="shared" si="300"/>
        <v>9500138.4744882528</v>
      </c>
      <c r="P597" s="577">
        <f t="shared" si="301"/>
        <v>1.5707962215332731</v>
      </c>
      <c r="Q597" s="586">
        <f t="shared" si="291"/>
        <v>383.17355669829544</v>
      </c>
      <c r="R597" s="587">
        <f t="shared" si="292"/>
        <v>1.5681865403999746</v>
      </c>
      <c r="S597" s="574">
        <f t="shared" si="302"/>
        <v>1.2923227956814747</v>
      </c>
      <c r="T597" s="577">
        <f t="shared" si="303"/>
        <v>0.68597711959672758</v>
      </c>
      <c r="U597" s="578">
        <f t="shared" si="315"/>
        <v>0.14576919784715764</v>
      </c>
      <c r="V597" s="579">
        <f t="shared" si="316"/>
        <v>-1.6822259282007144</v>
      </c>
      <c r="W597" s="580">
        <f t="shared" si="304"/>
        <v>-52.025132348916181</v>
      </c>
      <c r="X597" s="581">
        <f t="shared" si="305"/>
        <v>-233.83736868467935</v>
      </c>
      <c r="Y597" s="584">
        <f t="shared" si="306"/>
        <v>-53.837368684679348</v>
      </c>
      <c r="AA597" s="147">
        <f t="shared" si="307"/>
        <v>229090</v>
      </c>
      <c r="AB597" s="147">
        <f t="shared" si="308"/>
        <v>52482228100</v>
      </c>
      <c r="AD597" s="583">
        <f t="shared" si="309"/>
        <v>14.991341892819978</v>
      </c>
      <c r="AE597" s="584">
        <f t="shared" si="310"/>
        <v>-39.453117555328078</v>
      </c>
      <c r="AG597" s="583">
        <f t="shared" si="311"/>
        <v>-4.9358295150187841</v>
      </c>
      <c r="AH597" s="584">
        <f t="shared" si="312"/>
        <v>-1.6153591623239403</v>
      </c>
      <c r="AJ597" s="147">
        <f t="shared" si="313"/>
        <v>0</v>
      </c>
      <c r="AK597" s="147">
        <f t="shared" si="293"/>
        <v>0</v>
      </c>
      <c r="AM597" s="147" t="str">
        <f t="shared" si="317"/>
        <v>1.95209685791518-0.305796620563479i</v>
      </c>
      <c r="AN597" s="147" t="str">
        <f t="shared" si="318"/>
        <v>9.73555297892948i</v>
      </c>
      <c r="AO597" s="147" t="str">
        <f t="shared" si="319"/>
        <v>-0.0314102980308679-0.200512170406763i</v>
      </c>
      <c r="AP597" s="147" t="str">
        <f t="shared" si="320"/>
        <v>-0.15868280965253+0.0509661034272465i</v>
      </c>
      <c r="AQ597" s="147" t="str">
        <f t="shared" si="321"/>
        <v>1.15868280965253-0.0509661034272465i</v>
      </c>
      <c r="AR597" s="147" t="str">
        <f t="shared" si="322"/>
        <v>0.717531515624069+0.0315615154837517i</v>
      </c>
    </row>
    <row r="598" spans="7:44">
      <c r="G598" s="585">
        <v>251190</v>
      </c>
      <c r="H598" s="573">
        <f t="shared" si="314"/>
        <v>251.19</v>
      </c>
      <c r="I598" s="574">
        <f t="shared" si="294"/>
        <v>709.49897936239563</v>
      </c>
      <c r="J598" s="575">
        <f t="shared" si="295"/>
        <v>1.5693868810308049</v>
      </c>
      <c r="K598" s="575">
        <f t="shared" si="296"/>
        <v>1.0585659253294368</v>
      </c>
      <c r="L598" s="576">
        <f t="shared" si="297"/>
        <v>0.33419617662260215</v>
      </c>
      <c r="M598" s="575">
        <f t="shared" si="298"/>
        <v>1.1302496242075473</v>
      </c>
      <c r="N598" s="576">
        <f t="shared" si="299"/>
        <v>-0.4848168871491329</v>
      </c>
      <c r="O598" s="574">
        <f t="shared" si="300"/>
        <v>10416603.882346248</v>
      </c>
      <c r="P598" s="577">
        <f t="shared" si="301"/>
        <v>1.570796230794318</v>
      </c>
      <c r="Q598" s="586">
        <f t="shared" si="291"/>
        <v>420.13754667609544</v>
      </c>
      <c r="R598" s="587">
        <f t="shared" si="292"/>
        <v>1.5684161516543558</v>
      </c>
      <c r="S598" s="574">
        <f t="shared" si="302"/>
        <v>1.3437340496093981</v>
      </c>
      <c r="T598" s="577">
        <f t="shared" si="303"/>
        <v>0.73146763319804031</v>
      </c>
      <c r="U598" s="578">
        <f t="shared" si="315"/>
        <v>0.1189134706615011</v>
      </c>
      <c r="V598" s="579">
        <f t="shared" si="316"/>
        <v>-2.0466240315757869</v>
      </c>
      <c r="W598" s="580">
        <f t="shared" si="304"/>
        <v>-54.691624721380947</v>
      </c>
      <c r="X598" s="581">
        <f t="shared" si="305"/>
        <v>-257.85847200298309</v>
      </c>
      <c r="Y598" s="584">
        <f t="shared" si="306"/>
        <v>-77.858472002983092</v>
      </c>
      <c r="AA598" s="147">
        <f t="shared" si="307"/>
        <v>251190</v>
      </c>
      <c r="AB598" s="147">
        <f t="shared" si="308"/>
        <v>63096416100</v>
      </c>
      <c r="AD598" s="583">
        <f t="shared" si="309"/>
        <v>14.652490575255561</v>
      </c>
      <c r="AE598" s="584">
        <f t="shared" si="310"/>
        <v>-42.046376770343052</v>
      </c>
      <c r="AG598" s="583">
        <f t="shared" si="311"/>
        <v>-3.7260822058021477</v>
      </c>
      <c r="AH598" s="584">
        <f t="shared" si="312"/>
        <v>18.713743554028625</v>
      </c>
      <c r="AJ598" s="147">
        <f t="shared" si="313"/>
        <v>0</v>
      </c>
      <c r="AK598" s="147">
        <f t="shared" si="293"/>
        <v>0</v>
      </c>
      <c r="AM598" s="147" t="str">
        <f t="shared" si="317"/>
        <v>1.31536929656842-0.94896902308871i</v>
      </c>
      <c r="AN598" s="147" t="str">
        <f t="shared" si="318"/>
        <v>10.6747285031092i</v>
      </c>
      <c r="AO598" s="147" t="str">
        <f t="shared" si="319"/>
        <v>-0.0888986565618326-0.123222740155433i</v>
      </c>
      <c r="AP598" s="147" t="str">
        <f t="shared" si="320"/>
        <v>-0.05256154942807+0.158161503848118i</v>
      </c>
      <c r="AQ598" s="147" t="str">
        <f t="shared" si="321"/>
        <v>1.05256154942807-0.158161503848118i</v>
      </c>
      <c r="AR598" s="147" t="str">
        <f t="shared" si="322"/>
        <v>0.773928053863536+0.11629308037693i</v>
      </c>
    </row>
    <row r="599" spans="7:44">
      <c r="G599" s="585">
        <v>275420</v>
      </c>
      <c r="H599" s="573">
        <f t="shared" si="314"/>
        <v>275.42</v>
      </c>
      <c r="I599" s="574">
        <f t="shared" si="294"/>
        <v>777.93772143530794</v>
      </c>
      <c r="J599" s="575">
        <f t="shared" si="295"/>
        <v>1.5695108764974717</v>
      </c>
      <c r="K599" s="575">
        <f t="shared" si="296"/>
        <v>1.0700199060122879</v>
      </c>
      <c r="L599" s="576">
        <f t="shared" si="297"/>
        <v>0.36377013820853704</v>
      </c>
      <c r="M599" s="575">
        <f t="shared" si="298"/>
        <v>1.1548050911369723</v>
      </c>
      <c r="N599" s="576">
        <f t="shared" si="299"/>
        <v>-0.52375556924607658</v>
      </c>
      <c r="O599" s="574">
        <f t="shared" si="300"/>
        <v>11421398.309151644</v>
      </c>
      <c r="P599" s="577">
        <f t="shared" si="301"/>
        <v>1.5707962392399428</v>
      </c>
      <c r="Q599" s="586">
        <f t="shared" ref="Q599:Q613" si="323">SQRT(1+(G599/Zero2)^2)</f>
        <v>460.66415052649029</v>
      </c>
      <c r="R599" s="587">
        <f t="shared" ref="R599:R613" si="324">ATAN(G599/Zero2)</f>
        <v>1.5686255462289704</v>
      </c>
      <c r="S599" s="574">
        <f t="shared" si="302"/>
        <v>1.4030463500387873</v>
      </c>
      <c r="T599" s="577">
        <f t="shared" si="303"/>
        <v>0.77740688709416295</v>
      </c>
      <c r="U599" s="578">
        <f t="shared" si="315"/>
        <v>6.6037933971048221E-2</v>
      </c>
      <c r="V599" s="579">
        <f t="shared" si="316"/>
        <v>-2.5696440021157581</v>
      </c>
      <c r="W599" s="580">
        <f t="shared" si="304"/>
        <v>-60.695250125260962</v>
      </c>
      <c r="X599" s="581">
        <f t="shared" si="305"/>
        <v>-290.98910075310454</v>
      </c>
      <c r="Y599" s="584">
        <f t="shared" si="306"/>
        <v>-110.98910075310454</v>
      </c>
      <c r="AA599" s="147">
        <f t="shared" si="307"/>
        <v>275420</v>
      </c>
      <c r="AB599" s="147">
        <f t="shared" si="308"/>
        <v>75856176400</v>
      </c>
      <c r="AD599" s="583">
        <f t="shared" si="309"/>
        <v>14.27731251306226</v>
      </c>
      <c r="AE599" s="584">
        <f t="shared" si="310"/>
        <v>-44.666505194085019</v>
      </c>
      <c r="AG599" s="583">
        <f t="shared" si="311"/>
        <v>0.86297353730668624</v>
      </c>
      <c r="AH599" s="584">
        <f t="shared" si="312"/>
        <v>48.136917122127343</v>
      </c>
      <c r="AJ599" s="147">
        <f t="shared" si="313"/>
        <v>0</v>
      </c>
      <c r="AK599" s="147">
        <f t="shared" ref="AK599:AK613" si="325">IF(AJ599&gt;0,Y599,0)</f>
        <v>0</v>
      </c>
      <c r="AM599" s="147" t="str">
        <f t="shared" si="317"/>
        <v>0.349040626881735-0.759112570406706i</v>
      </c>
      <c r="AN599" s="147" t="str">
        <f t="shared" si="318"/>
        <v>11.7044218493027i</v>
      </c>
      <c r="AO599" s="147" t="str">
        <f t="shared" si="319"/>
        <v>-0.064856904525526-0.0298212616885924i</v>
      </c>
      <c r="AP599" s="147" t="str">
        <f t="shared" si="320"/>
        <v>0.108493228853044+0.126518761734451i</v>
      </c>
      <c r="AQ599" s="147" t="str">
        <f t="shared" si="321"/>
        <v>0.891506771146956-0.126518761734451i</v>
      </c>
      <c r="AR599" s="147" t="str">
        <f t="shared" si="322"/>
        <v>0.915926357351423+0.129984283151279i</v>
      </c>
    </row>
    <row r="600" spans="7:44">
      <c r="G600" s="585">
        <v>302000</v>
      </c>
      <c r="H600" s="573">
        <f t="shared" si="314"/>
        <v>302</v>
      </c>
      <c r="I600" s="574">
        <f t="shared" si="294"/>
        <v>853.01415732258715</v>
      </c>
      <c r="J600" s="575">
        <f t="shared" si="295"/>
        <v>1.5696240130408177</v>
      </c>
      <c r="K600" s="575">
        <f t="shared" si="296"/>
        <v>1.0836367178175665</v>
      </c>
      <c r="L600" s="576">
        <f t="shared" si="297"/>
        <v>0.3954625039901315</v>
      </c>
      <c r="M600" s="575">
        <f t="shared" si="298"/>
        <v>1.1836664644164805</v>
      </c>
      <c r="N600" s="576">
        <f t="shared" si="299"/>
        <v>-0.56454414260229357</v>
      </c>
      <c r="O600" s="574">
        <f t="shared" si="300"/>
        <v>12523644.939960042</v>
      </c>
      <c r="P600" s="577">
        <f t="shared" si="301"/>
        <v>1.5707962469459384</v>
      </c>
      <c r="Q600" s="586">
        <f t="shared" si="323"/>
        <v>505.12133577386692</v>
      </c>
      <c r="R600" s="587">
        <f t="shared" si="324"/>
        <v>1.5688166031475359</v>
      </c>
      <c r="S600" s="574">
        <f t="shared" si="302"/>
        <v>1.4712245135686373</v>
      </c>
      <c r="T600" s="577">
        <f t="shared" si="303"/>
        <v>0.82343471273572555</v>
      </c>
      <c r="U600" s="578">
        <f t="shared" si="315"/>
        <v>2.0606033660776388E-2</v>
      </c>
      <c r="V600" s="579">
        <f t="shared" si="316"/>
        <v>-0.18626958622680248</v>
      </c>
      <c r="W600" s="580">
        <f t="shared" si="304"/>
        <v>-71.699351709212721</v>
      </c>
      <c r="X600" s="581">
        <f t="shared" si="305"/>
        <v>-157.58571595668323</v>
      </c>
      <c r="Y600" s="584">
        <f t="shared" si="306"/>
        <v>22.414284043316769</v>
      </c>
      <c r="AA600" s="147">
        <f t="shared" si="307"/>
        <v>302000</v>
      </c>
      <c r="AB600" s="147">
        <f t="shared" si="308"/>
        <v>91204000000</v>
      </c>
      <c r="AD600" s="583">
        <f t="shared" si="309"/>
        <v>13.865170385089874</v>
      </c>
      <c r="AE600" s="584">
        <f t="shared" si="310"/>
        <v>-47.292759032951992</v>
      </c>
      <c r="AG600" s="583">
        <f t="shared" si="311"/>
        <v>10.502976991770529</v>
      </c>
      <c r="AH600" s="584">
        <f t="shared" si="312"/>
        <v>-88.948034614453235</v>
      </c>
      <c r="AJ600" s="147">
        <f t="shared" si="313"/>
        <v>0</v>
      </c>
      <c r="AK600" s="147">
        <f t="shared" si="325"/>
        <v>0</v>
      </c>
      <c r="AM600" s="147" t="str">
        <f t="shared" si="317"/>
        <v>0.035594808100505+0.264428867254123i</v>
      </c>
      <c r="AN600" s="147" t="str">
        <f t="shared" si="318"/>
        <v>12.8339822761216i</v>
      </c>
      <c r="AO600" s="147" t="str">
        <f t="shared" si="319"/>
        <v>0.0206038049270263-0.00277348116388873i</v>
      </c>
      <c r="AP600" s="147" t="str">
        <f t="shared" si="320"/>
        <v>0.160734198649916-0.0440714778756872i</v>
      </c>
      <c r="AQ600" s="147" t="str">
        <f t="shared" si="321"/>
        <v>0.839265801350084+0.0440714778756872i</v>
      </c>
      <c r="AR600" s="147" t="str">
        <f t="shared" si="322"/>
        <v>0.989804796379098-0.0519765729935591i</v>
      </c>
    </row>
    <row r="601" spans="7:44">
      <c r="G601" s="585">
        <v>331130</v>
      </c>
      <c r="H601" s="573">
        <f t="shared" si="314"/>
        <v>331.13</v>
      </c>
      <c r="I601" s="574">
        <f t="shared" si="294"/>
        <v>935.29319624776622</v>
      </c>
      <c r="J601" s="575">
        <f t="shared" si="295"/>
        <v>1.5697271431479531</v>
      </c>
      <c r="K601" s="575">
        <f t="shared" si="296"/>
        <v>1.0997766796597566</v>
      </c>
      <c r="L601" s="576">
        <f t="shared" si="297"/>
        <v>0.42925633906719085</v>
      </c>
      <c r="M601" s="575">
        <f t="shared" si="298"/>
        <v>1.2174436595382228</v>
      </c>
      <c r="N601" s="576">
        <f t="shared" si="299"/>
        <v>-0.60694684754552919</v>
      </c>
      <c r="O601" s="574">
        <f t="shared" si="300"/>
        <v>13731637.579367438</v>
      </c>
      <c r="P601" s="577">
        <f t="shared" si="301"/>
        <v>1.5707962539703704</v>
      </c>
      <c r="Q601" s="586">
        <f t="shared" si="323"/>
        <v>553.84361848379797</v>
      </c>
      <c r="R601" s="587">
        <f t="shared" si="324"/>
        <v>1.5689907619929009</v>
      </c>
      <c r="S601" s="574">
        <f t="shared" si="302"/>
        <v>1.5491883598783174</v>
      </c>
      <c r="T601" s="577">
        <f t="shared" si="303"/>
        <v>0.86911948694393992</v>
      </c>
      <c r="U601" s="578">
        <f t="shared" si="315"/>
        <v>8.0696722904883458E-2</v>
      </c>
      <c r="V601" s="579">
        <f t="shared" si="316"/>
        <v>-0.91935046079759886</v>
      </c>
      <c r="W601" s="580">
        <f t="shared" si="304"/>
        <v>-60.717654414977886</v>
      </c>
      <c r="X601" s="581">
        <f t="shared" si="305"/>
        <v>-202.69488357828757</v>
      </c>
      <c r="Y601" s="584">
        <f t="shared" si="306"/>
        <v>-22.694883578287573</v>
      </c>
      <c r="AA601" s="147">
        <f t="shared" si="307"/>
        <v>331130</v>
      </c>
      <c r="AB601" s="147">
        <f t="shared" si="308"/>
        <v>109647076900</v>
      </c>
      <c r="AD601" s="583">
        <f t="shared" si="309"/>
        <v>13.416662068848066</v>
      </c>
      <c r="AE601" s="584">
        <f t="shared" si="310"/>
        <v>-49.900325621736378</v>
      </c>
      <c r="AG601" s="583">
        <f t="shared" si="311"/>
        <v>-1.7812771356385773</v>
      </c>
      <c r="AH601" s="584">
        <f t="shared" si="312"/>
        <v>-47.444755241951768</v>
      </c>
      <c r="AJ601" s="147">
        <f t="shared" si="313"/>
        <v>0</v>
      </c>
      <c r="AK601" s="147">
        <f t="shared" si="325"/>
        <v>0</v>
      </c>
      <c r="AM601" s="147" t="str">
        <f t="shared" si="317"/>
        <v>0.934788476227149+0.997871463249262i</v>
      </c>
      <c r="AN601" s="147" t="str">
        <f t="shared" si="318"/>
        <v>14.0719091095767i</v>
      </c>
      <c r="AO601" s="147" t="str">
        <f t="shared" si="319"/>
        <v>0.0709123016272295-0.0664293998026874i</v>
      </c>
      <c r="AP601" s="147" t="str">
        <f t="shared" si="320"/>
        <v>0.0108685872954752-0.166311910541544i</v>
      </c>
      <c r="AQ601" s="147" t="str">
        <f t="shared" si="321"/>
        <v>0.989131412704525+0.166311910541544i</v>
      </c>
      <c r="AR601" s="147" t="str">
        <f t="shared" si="322"/>
        <v>0.818999217499632-0.137705994213614i</v>
      </c>
    </row>
    <row r="602" spans="7:44">
      <c r="G602" s="585">
        <v>363080</v>
      </c>
      <c r="H602" s="573">
        <f t="shared" si="314"/>
        <v>363.08</v>
      </c>
      <c r="I602" s="574">
        <f t="shared" si="294"/>
        <v>1025.5374657573627</v>
      </c>
      <c r="J602" s="575">
        <f t="shared" si="295"/>
        <v>1.5698212281838175</v>
      </c>
      <c r="K602" s="575">
        <f t="shared" si="296"/>
        <v>1.118878598516412</v>
      </c>
      <c r="L602" s="576">
        <f t="shared" si="297"/>
        <v>0.46515508046044324</v>
      </c>
      <c r="M602" s="575">
        <f t="shared" si="298"/>
        <v>1.2568631013678526</v>
      </c>
      <c r="N602" s="576">
        <f t="shared" si="299"/>
        <v>-0.65074683903662178</v>
      </c>
      <c r="O602" s="574">
        <f t="shared" si="300"/>
        <v>15056572.863578435</v>
      </c>
      <c r="P602" s="577">
        <f t="shared" si="301"/>
        <v>1.5707962603787202</v>
      </c>
      <c r="Q602" s="586">
        <f t="shared" si="323"/>
        <v>607.28259550480095</v>
      </c>
      <c r="R602" s="587">
        <f t="shared" si="324"/>
        <v>1.5691496462225758</v>
      </c>
      <c r="S602" s="574">
        <f t="shared" si="302"/>
        <v>1.6380418491081394</v>
      </c>
      <c r="T602" s="577">
        <f t="shared" si="303"/>
        <v>0.91412351128504743</v>
      </c>
      <c r="U602" s="578">
        <f t="shared" si="315"/>
        <v>9.2089309088637758E-2</v>
      </c>
      <c r="V602" s="579">
        <f t="shared" si="316"/>
        <v>-1.4710934428891163</v>
      </c>
      <c r="W602" s="580">
        <f t="shared" si="304"/>
        <v>-60.428729650406069</v>
      </c>
      <c r="X602" s="581">
        <f t="shared" si="305"/>
        <v>-237.33496445385893</v>
      </c>
      <c r="Y602" s="584">
        <f t="shared" si="306"/>
        <v>-57.33496445385893</v>
      </c>
      <c r="AA602" s="147">
        <f t="shared" si="307"/>
        <v>363080</v>
      </c>
      <c r="AB602" s="147">
        <f t="shared" si="308"/>
        <v>131827086400</v>
      </c>
      <c r="AD602" s="583">
        <f t="shared" si="309"/>
        <v>12.932244329517514</v>
      </c>
      <c r="AE602" s="584">
        <f t="shared" si="310"/>
        <v>-52.469763251901711</v>
      </c>
      <c r="AG602" s="583">
        <f t="shared" si="311"/>
        <v>-3.3020672821159462</v>
      </c>
      <c r="AH602" s="584">
        <f t="shared" si="312"/>
        <v>-16.290309915500458</v>
      </c>
      <c r="AJ602" s="147">
        <f t="shared" si="313"/>
        <v>0</v>
      </c>
      <c r="AK602" s="147">
        <f t="shared" si="325"/>
        <v>0</v>
      </c>
      <c r="AM602" s="147" t="str">
        <f t="shared" si="317"/>
        <v>1.96152747246408+0.274708790716331i</v>
      </c>
      <c r="AN602" s="147" t="str">
        <f t="shared" si="318"/>
        <v>15.4296764397823i</v>
      </c>
      <c r="AO602" s="147" t="str">
        <f t="shared" si="319"/>
        <v>0.0178039242616942-0.127126934911394i</v>
      </c>
      <c r="AP602" s="147" t="str">
        <f t="shared" si="320"/>
        <v>-0.160254578744014-0.0457847984527218i</v>
      </c>
      <c r="AQ602" s="147" t="str">
        <f t="shared" si="321"/>
        <v>1.16025457874401+0.0457847984527218i</v>
      </c>
      <c r="AR602" s="147" t="str">
        <f t="shared" si="322"/>
        <v>0.716829659039327-0.0282868105546085i</v>
      </c>
    </row>
    <row r="603" spans="7:44">
      <c r="G603" s="585">
        <v>398110</v>
      </c>
      <c r="H603" s="573">
        <f t="shared" si="314"/>
        <v>398.11</v>
      </c>
      <c r="I603" s="574">
        <f t="shared" si="294"/>
        <v>1124.4813480162618</v>
      </c>
      <c r="J603" s="575">
        <f t="shared" si="295"/>
        <v>1.5699070278006777</v>
      </c>
      <c r="K603" s="575">
        <f t="shared" si="296"/>
        <v>1.1414195672330325</v>
      </c>
      <c r="L603" s="576">
        <f t="shared" si="297"/>
        <v>0.5030794627182118</v>
      </c>
      <c r="M603" s="575">
        <f t="shared" si="298"/>
        <v>1.3026745446508696</v>
      </c>
      <c r="N603" s="576">
        <f t="shared" si="299"/>
        <v>-0.69562790742594904</v>
      </c>
      <c r="O603" s="574">
        <f t="shared" si="300"/>
        <v>16509232.738567831</v>
      </c>
      <c r="P603" s="577">
        <f t="shared" si="301"/>
        <v>1.5707962662227297</v>
      </c>
      <c r="Q603" s="586">
        <f t="shared" si="323"/>
        <v>665.87313801644154</v>
      </c>
      <c r="R603" s="587">
        <f t="shared" si="324"/>
        <v>1.5692945386631909</v>
      </c>
      <c r="S603" s="574">
        <f t="shared" si="302"/>
        <v>1.7388605044906418</v>
      </c>
      <c r="T603" s="577">
        <f t="shared" si="303"/>
        <v>0.95808307576114426</v>
      </c>
      <c r="U603" s="578">
        <f t="shared" si="315"/>
        <v>7.5671525430727055E-2</v>
      </c>
      <c r="V603" s="579">
        <f t="shared" si="316"/>
        <v>-2.0297333983126009</v>
      </c>
      <c r="W603" s="580">
        <f t="shared" si="304"/>
        <v>-62.968869721910252</v>
      </c>
      <c r="X603" s="581">
        <f t="shared" si="305"/>
        <v>-272.25657704079032</v>
      </c>
      <c r="Y603" s="584">
        <f t="shared" si="306"/>
        <v>-92.256577040790319</v>
      </c>
      <c r="AA603" s="147">
        <f t="shared" si="307"/>
        <v>398110</v>
      </c>
      <c r="AB603" s="147">
        <f t="shared" si="308"/>
        <v>158491572100</v>
      </c>
      <c r="AD603" s="583">
        <f t="shared" si="309"/>
        <v>12.41344734358548</v>
      </c>
      <c r="AE603" s="584">
        <f t="shared" si="310"/>
        <v>-54.980159377990311</v>
      </c>
      <c r="AG603" s="583">
        <f t="shared" si="311"/>
        <v>-1.9123413350030001</v>
      </c>
      <c r="AH603" s="584">
        <f t="shared" si="312"/>
        <v>15.313897123089292</v>
      </c>
      <c r="AJ603" s="147">
        <f t="shared" si="313"/>
        <v>0</v>
      </c>
      <c r="AK603" s="147">
        <f t="shared" si="325"/>
        <v>0</v>
      </c>
      <c r="AM603" s="147" t="str">
        <f t="shared" si="317"/>
        <v>1.35267308441683-0.935746597924845i</v>
      </c>
      <c r="AN603" s="147" t="str">
        <f t="shared" si="318"/>
        <v>16.9183333905523i</v>
      </c>
      <c r="AO603" s="147" t="str">
        <f t="shared" si="319"/>
        <v>-0.0553096204173039-0.0799530930849373i</v>
      </c>
      <c r="AP603" s="147" t="str">
        <f t="shared" si="320"/>
        <v>-0.0587788474028047+0.155957766320808i</v>
      </c>
      <c r="AQ603" s="147" t="str">
        <f t="shared" si="321"/>
        <v>1.0587788474028-0.155957766320808i</v>
      </c>
      <c r="AR603" s="147" t="str">
        <f t="shared" si="322"/>
        <v>0.770047554623633+0.113427744494987i</v>
      </c>
    </row>
    <row r="604" spans="7:44">
      <c r="G604" s="585">
        <v>436520</v>
      </c>
      <c r="H604" s="573">
        <f t="shared" si="314"/>
        <v>436.52</v>
      </c>
      <c r="I604" s="574">
        <f t="shared" si="294"/>
        <v>1232.9722071309218</v>
      </c>
      <c r="J604" s="575">
        <f t="shared" si="295"/>
        <v>1.5699852784161499</v>
      </c>
      <c r="K604" s="575">
        <f t="shared" si="296"/>
        <v>1.1679443007179133</v>
      </c>
      <c r="L604" s="576">
        <f t="shared" si="297"/>
        <v>0.54291716583645155</v>
      </c>
      <c r="M604" s="575">
        <f t="shared" si="298"/>
        <v>1.3557047892760405</v>
      </c>
      <c r="N604" s="576">
        <f t="shared" si="299"/>
        <v>-0.74125208738289916</v>
      </c>
      <c r="O604" s="574">
        <f t="shared" si="300"/>
        <v>18102057.911229629</v>
      </c>
      <c r="P604" s="577">
        <f t="shared" si="301"/>
        <v>1.5707962715525587</v>
      </c>
      <c r="Q604" s="586">
        <f t="shared" si="323"/>
        <v>730.11702057497666</v>
      </c>
      <c r="R604" s="587">
        <f t="shared" si="324"/>
        <v>1.5694266829097745</v>
      </c>
      <c r="S604" s="574">
        <f t="shared" si="302"/>
        <v>1.8528241393330016</v>
      </c>
      <c r="T604" s="577">
        <f t="shared" si="303"/>
        <v>1.0006958592316286</v>
      </c>
      <c r="U604" s="578">
        <f t="shared" si="315"/>
        <v>1.5879642644022526E-2</v>
      </c>
      <c r="V604" s="579">
        <f t="shared" si="316"/>
        <v>-2.9338141800746662</v>
      </c>
      <c r="W604" s="580">
        <f t="shared" si="304"/>
        <v>-77.335995970521935</v>
      </c>
      <c r="X604" s="581">
        <f t="shared" si="305"/>
        <v>-326.82657601204329</v>
      </c>
      <c r="Y604" s="584">
        <f t="shared" si="306"/>
        <v>-146.82657601204329</v>
      </c>
      <c r="AA604" s="147">
        <f t="shared" si="307"/>
        <v>436520</v>
      </c>
      <c r="AB604" s="147">
        <f t="shared" si="308"/>
        <v>190549710400</v>
      </c>
      <c r="AD604" s="583">
        <f t="shared" si="309"/>
        <v>11.862056556116618</v>
      </c>
      <c r="AE604" s="584">
        <f t="shared" si="310"/>
        <v>-57.414121024695632</v>
      </c>
      <c r="AG604" s="583">
        <f t="shared" si="311"/>
        <v>11.395593763566527</v>
      </c>
      <c r="AH604" s="584">
        <f t="shared" si="312"/>
        <v>66.777886184630702</v>
      </c>
      <c r="AJ604" s="147">
        <f t="shared" si="313"/>
        <v>0</v>
      </c>
      <c r="AK604" s="147">
        <f t="shared" si="325"/>
        <v>0</v>
      </c>
      <c r="AM604" s="147" t="str">
        <f t="shared" si="317"/>
        <v>0.044346959059211-0.294494932622995i</v>
      </c>
      <c r="AN604" s="147" t="str">
        <f t="shared" si="318"/>
        <v>18.5506289509027i</v>
      </c>
      <c r="AO604" s="147" t="str">
        <f t="shared" si="319"/>
        <v>-0.0158751993478186-0.00239059059272775i</v>
      </c>
      <c r="AP604" s="147" t="str">
        <f t="shared" si="320"/>
        <v>0.159275506823465+0.0490824887704992i</v>
      </c>
      <c r="AQ604" s="147" t="str">
        <f t="shared" si="321"/>
        <v>0.840724493176535-0.0490824887704992i</v>
      </c>
      <c r="AR604" s="147" t="str">
        <f t="shared" si="322"/>
        <v>0.987446523784667+0.0576482941897025i</v>
      </c>
    </row>
    <row r="605" spans="7:44">
      <c r="G605" s="585">
        <v>478630</v>
      </c>
      <c r="H605" s="573">
        <f t="shared" si="314"/>
        <v>478.63</v>
      </c>
      <c r="I605" s="574">
        <f t="shared" si="294"/>
        <v>1351.9138982136776</v>
      </c>
      <c r="J605" s="575">
        <f t="shared" si="295"/>
        <v>1.5700566346499218</v>
      </c>
      <c r="K605" s="575">
        <f t="shared" si="296"/>
        <v>1.1990532126286451</v>
      </c>
      <c r="L605" s="576">
        <f t="shared" si="297"/>
        <v>0.58449408754562537</v>
      </c>
      <c r="M605" s="575">
        <f t="shared" si="298"/>
        <v>1.4168275813511477</v>
      </c>
      <c r="N605" s="576">
        <f t="shared" si="299"/>
        <v>-0.78724144589794365</v>
      </c>
      <c r="O605" s="574">
        <f t="shared" si="300"/>
        <v>19848318.468917426</v>
      </c>
      <c r="P605" s="577">
        <f t="shared" si="301"/>
        <v>1.570796276412795</v>
      </c>
      <c r="Q605" s="586">
        <f t="shared" si="323"/>
        <v>800.54946948426687</v>
      </c>
      <c r="R605" s="587">
        <f t="shared" si="324"/>
        <v>1.5695471844268383</v>
      </c>
      <c r="S605" s="574">
        <f t="shared" si="302"/>
        <v>1.9811615378374985</v>
      </c>
      <c r="T605" s="577">
        <f t="shared" si="303"/>
        <v>1.041698889038235</v>
      </c>
      <c r="U605" s="578">
        <f t="shared" si="315"/>
        <v>5.5518955536958833E-2</v>
      </c>
      <c r="V605" s="579">
        <f t="shared" si="316"/>
        <v>-0.91211738838630541</v>
      </c>
      <c r="W605" s="580">
        <f t="shared" si="304"/>
        <v>-67.234250808183191</v>
      </c>
      <c r="X605" s="581">
        <f t="shared" si="305"/>
        <v>-213.59118128643846</v>
      </c>
      <c r="Y605" s="584">
        <f t="shared" si="306"/>
        <v>-33.591181286438456</v>
      </c>
      <c r="AA605" s="147">
        <f t="shared" si="307"/>
        <v>478630</v>
      </c>
      <c r="AB605" s="147">
        <f t="shared" si="308"/>
        <v>229086676900</v>
      </c>
      <c r="AD605" s="583">
        <f t="shared" si="309"/>
        <v>11.280341430090981</v>
      </c>
      <c r="AE605" s="584">
        <f t="shared" si="310"/>
        <v>-59.756517632658216</v>
      </c>
      <c r="AG605" s="583">
        <f t="shared" si="311"/>
        <v>0.33503155452791411</v>
      </c>
      <c r="AH605" s="584">
        <f t="shared" si="312"/>
        <v>-49.313709984287186</v>
      </c>
      <c r="AJ605" s="147">
        <f t="shared" si="313"/>
        <v>0</v>
      </c>
      <c r="AK605" s="147">
        <f t="shared" si="325"/>
        <v>0</v>
      </c>
      <c r="AM605" s="147" t="str">
        <f t="shared" si="317"/>
        <v>0.919895709928879+0.996786488026499i</v>
      </c>
      <c r="AN605" s="147" t="str">
        <f t="shared" si="318"/>
        <v>20.3401620424507i</v>
      </c>
      <c r="AO605" s="147" t="str">
        <f t="shared" si="319"/>
        <v>0.0490058282695176-0.045225584142792i</v>
      </c>
      <c r="AP605" s="147" t="str">
        <f t="shared" si="320"/>
        <v>0.0133507150118534-0.16613108133775i</v>
      </c>
      <c r="AQ605" s="147" t="str">
        <f t="shared" si="321"/>
        <v>0.986649284988147+0.16613108133775i</v>
      </c>
      <c r="AR605" s="147" t="str">
        <f t="shared" si="322"/>
        <v>0.820995178079097-0.138238398164954i</v>
      </c>
    </row>
    <row r="606" spans="7:44">
      <c r="G606" s="585">
        <v>524810</v>
      </c>
      <c r="H606" s="573">
        <f t="shared" si="314"/>
        <v>524.80999999999995</v>
      </c>
      <c r="I606" s="574">
        <f t="shared" si="294"/>
        <v>1482.3515038034132</v>
      </c>
      <c r="J606" s="575">
        <f t="shared" si="295"/>
        <v>1.570121722914992</v>
      </c>
      <c r="K606" s="575">
        <f t="shared" si="296"/>
        <v>1.2354233414167757</v>
      </c>
      <c r="L606" s="576">
        <f t="shared" si="297"/>
        <v>0.62759998796289207</v>
      </c>
      <c r="M606" s="575">
        <f t="shared" si="298"/>
        <v>1.487001632989196</v>
      </c>
      <c r="N606" s="576">
        <f t="shared" si="299"/>
        <v>-0.83322257897647223</v>
      </c>
      <c r="O606" s="574">
        <f t="shared" si="300"/>
        <v>21763357.950133823</v>
      </c>
      <c r="P606" s="577">
        <f t="shared" si="301"/>
        <v>1.5707962808461049</v>
      </c>
      <c r="Q606" s="586">
        <f t="shared" si="323"/>
        <v>877.78934026833122</v>
      </c>
      <c r="R606" s="587">
        <f t="shared" si="324"/>
        <v>1.5696571010485458</v>
      </c>
      <c r="S606" s="574">
        <f t="shared" si="302"/>
        <v>2.1252435422366363</v>
      </c>
      <c r="T606" s="577">
        <f t="shared" si="303"/>
        <v>1.0809001168666685</v>
      </c>
      <c r="U606" s="578">
        <f t="shared" si="315"/>
        <v>6.3629265401778767E-2</v>
      </c>
      <c r="V606" s="579">
        <f t="shared" si="316"/>
        <v>-1.6824907656062353</v>
      </c>
      <c r="W606" s="580">
        <f t="shared" si="304"/>
        <v>-66.780323396848786</v>
      </c>
      <c r="X606" s="581">
        <f t="shared" si="305"/>
        <v>-260.13855988484892</v>
      </c>
      <c r="Y606" s="584">
        <f t="shared" si="306"/>
        <v>-80.138559884848917</v>
      </c>
      <c r="AA606" s="147">
        <f t="shared" si="307"/>
        <v>524810</v>
      </c>
      <c r="AB606" s="147">
        <f t="shared" si="308"/>
        <v>275425536100</v>
      </c>
      <c r="AD606" s="583">
        <f t="shared" si="309"/>
        <v>10.670563946336991</v>
      </c>
      <c r="AE606" s="584">
        <f t="shared" si="310"/>
        <v>-61.996285037005322</v>
      </c>
      <c r="AG606" s="583">
        <f t="shared" si="311"/>
        <v>-0.96988843387085155</v>
      </c>
      <c r="AH606" s="584">
        <f t="shared" si="312"/>
        <v>-5.3430347495944837</v>
      </c>
      <c r="AJ606" s="147">
        <f t="shared" si="313"/>
        <v>0</v>
      </c>
      <c r="AK606" s="147">
        <f t="shared" si="325"/>
        <v>0</v>
      </c>
      <c r="AM606" s="147" t="str">
        <f t="shared" si="317"/>
        <v>1.95187250686496-0.306494258795514i</v>
      </c>
      <c r="AN606" s="147" t="str">
        <f t="shared" si="318"/>
        <v>22.3026564183159i</v>
      </c>
      <c r="AO606" s="147" t="str">
        <f t="shared" si="319"/>
        <v>-0.0137425001330249-0.0875174898565894i</v>
      </c>
      <c r="AP606" s="147" t="str">
        <f t="shared" si="320"/>
        <v>-0.158645417810827+0.051082376465919i</v>
      </c>
      <c r="AQ606" s="147" t="str">
        <f t="shared" si="321"/>
        <v>1.15864541781083-0.051082376465919i</v>
      </c>
      <c r="AR606" s="147" t="str">
        <f t="shared" si="322"/>
        <v>0.717548252499298+0.031635278061071i</v>
      </c>
    </row>
    <row r="607" spans="7:44">
      <c r="G607" s="585">
        <v>575440</v>
      </c>
      <c r="H607" s="573">
        <f t="shared" si="314"/>
        <v>575.44000000000005</v>
      </c>
      <c r="I607" s="574">
        <f t="shared" si="294"/>
        <v>1625.3583519674041</v>
      </c>
      <c r="J607" s="575">
        <f t="shared" si="295"/>
        <v>1.5701810778180305</v>
      </c>
      <c r="K607" s="575">
        <f t="shared" si="296"/>
        <v>1.27777569190532</v>
      </c>
      <c r="L607" s="576">
        <f t="shared" si="297"/>
        <v>0.67194884425064771</v>
      </c>
      <c r="M607" s="575">
        <f t="shared" si="298"/>
        <v>1.5672069025113862</v>
      </c>
      <c r="N607" s="576">
        <f t="shared" si="299"/>
        <v>-0.87879705030074895</v>
      </c>
      <c r="O607" s="574">
        <f t="shared" si="300"/>
        <v>23862934.583611224</v>
      </c>
      <c r="P607" s="577">
        <f t="shared" si="301"/>
        <v>1.5707962848889023</v>
      </c>
      <c r="Q607" s="586">
        <f t="shared" si="323"/>
        <v>962.47221436797486</v>
      </c>
      <c r="R607" s="587">
        <f t="shared" si="324"/>
        <v>1.5697573355752137</v>
      </c>
      <c r="S607" s="574">
        <f t="shared" si="302"/>
        <v>2.2864635101165511</v>
      </c>
      <c r="T607" s="577">
        <f t="shared" si="303"/>
        <v>1.1181391523660571</v>
      </c>
      <c r="U607" s="578">
        <f t="shared" si="315"/>
        <v>2.586479155007761E-2</v>
      </c>
      <c r="V607" s="579">
        <f t="shared" si="316"/>
        <v>-2.6827282993085895</v>
      </c>
      <c r="W607" s="580">
        <f t="shared" si="304"/>
        <v>-75.285278652179571</v>
      </c>
      <c r="X607" s="581">
        <f t="shared" si="305"/>
        <v>-319.64946928245581</v>
      </c>
      <c r="Y607" s="584">
        <f t="shared" si="306"/>
        <v>-139.64946928245581</v>
      </c>
      <c r="AA607" s="147">
        <f t="shared" si="307"/>
        <v>575440</v>
      </c>
      <c r="AB607" s="147">
        <f t="shared" si="308"/>
        <v>331131193600</v>
      </c>
      <c r="AD607" s="583">
        <f t="shared" si="309"/>
        <v>10.035451605702674</v>
      </c>
      <c r="AE607" s="584">
        <f t="shared" si="310"/>
        <v>-64.124181822985278</v>
      </c>
      <c r="AG607" s="583">
        <f t="shared" si="311"/>
        <v>6.7981857178376792</v>
      </c>
      <c r="AH607" s="584">
        <f t="shared" si="312"/>
        <v>51.892731153188294</v>
      </c>
      <c r="AJ607" s="147">
        <f t="shared" si="313"/>
        <v>0</v>
      </c>
      <c r="AK607" s="147">
        <f t="shared" si="325"/>
        <v>0</v>
      </c>
      <c r="AM607" s="147" t="str">
        <f t="shared" si="317"/>
        <v>0.221472684846897-0.627610722948948i</v>
      </c>
      <c r="AN607" s="147" t="str">
        <f t="shared" si="318"/>
        <v>24.4542607979186i</v>
      </c>
      <c r="AO607" s="147" t="str">
        <f t="shared" si="319"/>
        <v>-0.025664677748197-0.00905660926237228i</v>
      </c>
      <c r="AP607" s="147" t="str">
        <f t="shared" si="320"/>
        <v>0.129754552525517+0.104601787158158i</v>
      </c>
      <c r="AQ607" s="147" t="str">
        <f t="shared" si="321"/>
        <v>0.870245447474483-0.104601787158158i</v>
      </c>
      <c r="AR607" s="147" t="str">
        <f t="shared" si="322"/>
        <v>0.943568940763097+0.11341512649929i</v>
      </c>
    </row>
    <row r="608" spans="7:44">
      <c r="G608" s="585">
        <v>630960</v>
      </c>
      <c r="H608" s="573">
        <f t="shared" si="314"/>
        <v>630.96</v>
      </c>
      <c r="I608" s="574">
        <f t="shared" si="294"/>
        <v>1782.1772436771682</v>
      </c>
      <c r="J608" s="575">
        <f t="shared" si="295"/>
        <v>1.5702352153476362</v>
      </c>
      <c r="K608" s="575">
        <f t="shared" si="296"/>
        <v>1.3269106345203403</v>
      </c>
      <c r="L608" s="576">
        <f t="shared" si="297"/>
        <v>0.71722860485826179</v>
      </c>
      <c r="M608" s="575">
        <f t="shared" si="298"/>
        <v>1.6585164012663363</v>
      </c>
      <c r="N608" s="576">
        <f t="shared" si="299"/>
        <v>-0.92360445867880825</v>
      </c>
      <c r="O608" s="574">
        <f t="shared" si="300"/>
        <v>26165294.739460818</v>
      </c>
      <c r="P608" s="577">
        <f t="shared" si="301"/>
        <v>1.5707962885763322</v>
      </c>
      <c r="Q608" s="586">
        <f t="shared" si="323"/>
        <v>1055.3340282753343</v>
      </c>
      <c r="R608" s="587">
        <f t="shared" si="324"/>
        <v>1.5698487593680397</v>
      </c>
      <c r="S608" s="574">
        <f t="shared" si="302"/>
        <v>2.4663969625969373</v>
      </c>
      <c r="T608" s="577">
        <f t="shared" si="303"/>
        <v>1.1533255592971106</v>
      </c>
      <c r="U608" s="578">
        <f t="shared" si="315"/>
        <v>4.4863447509459517E-2</v>
      </c>
      <c r="V608" s="579">
        <f t="shared" si="316"/>
        <v>-1.0017303776669035</v>
      </c>
      <c r="W608" s="580">
        <f t="shared" si="304"/>
        <v>-71.140005842402857</v>
      </c>
      <c r="X608" s="581">
        <f t="shared" si="305"/>
        <v>-225.32221558427952</v>
      </c>
      <c r="Y608" s="584">
        <f t="shared" si="306"/>
        <v>-45.322215584279519</v>
      </c>
      <c r="AA608" s="147">
        <f t="shared" si="307"/>
        <v>630960</v>
      </c>
      <c r="AB608" s="147">
        <f t="shared" si="308"/>
        <v>398110521600</v>
      </c>
      <c r="AD608" s="583">
        <f t="shared" si="309"/>
        <v>9.3774767758846771</v>
      </c>
      <c r="AE608" s="584">
        <f t="shared" si="310"/>
        <v>-66.134976452460364</v>
      </c>
      <c r="AG608" s="583">
        <f t="shared" si="311"/>
        <v>2.0340869179246583</v>
      </c>
      <c r="AH608" s="584">
        <f t="shared" si="312"/>
        <v>-44.397393299933469</v>
      </c>
      <c r="AJ608" s="147">
        <f t="shared" si="313"/>
        <v>0</v>
      </c>
      <c r="AK608" s="147">
        <f t="shared" si="325"/>
        <v>0</v>
      </c>
      <c r="AM608" s="147" t="str">
        <f t="shared" si="317"/>
        <v>1.10991361995388+0.993941143201465i</v>
      </c>
      <c r="AN608" s="147" t="str">
        <f t="shared" si="318"/>
        <v>26.8136736984825i</v>
      </c>
      <c r="AO608" s="147" t="str">
        <f t="shared" si="319"/>
        <v>0.037068443301662-0.0413935677906267i</v>
      </c>
      <c r="AP608" s="147" t="str">
        <f t="shared" si="320"/>
        <v>-0.0183189366589798-0.165656857200244i</v>
      </c>
      <c r="AQ608" s="147" t="str">
        <f t="shared" si="321"/>
        <v>1.01831893665898+0.165656857200244i</v>
      </c>
      <c r="AR608" s="147" t="str">
        <f t="shared" si="322"/>
        <v>0.796925217478444-0.129641237335951i</v>
      </c>
    </row>
    <row r="609" spans="7:44">
      <c r="G609" s="585">
        <v>691830</v>
      </c>
      <c r="H609" s="573">
        <f t="shared" si="314"/>
        <v>691.83</v>
      </c>
      <c r="I609" s="574">
        <f t="shared" si="294"/>
        <v>1954.1074709028526</v>
      </c>
      <c r="J609" s="575">
        <f t="shared" si="295"/>
        <v>1.5702845841919246</v>
      </c>
      <c r="K609" s="575">
        <f t="shared" si="296"/>
        <v>1.3836699282104066</v>
      </c>
      <c r="L609" s="576">
        <f t="shared" si="297"/>
        <v>0.76307274262958014</v>
      </c>
      <c r="M609" s="575">
        <f t="shared" si="298"/>
        <v>1.7620308318505866</v>
      </c>
      <c r="N609" s="576">
        <f t="shared" si="299"/>
        <v>-0.96729720676503839</v>
      </c>
      <c r="O609" s="574">
        <f t="shared" si="300"/>
        <v>28689514.168253422</v>
      </c>
      <c r="P609" s="577">
        <f t="shared" si="301"/>
        <v>1.570796291938956</v>
      </c>
      <c r="Q609" s="586">
        <f t="shared" si="323"/>
        <v>1157.1441702179093</v>
      </c>
      <c r="R609" s="587">
        <f t="shared" si="324"/>
        <v>1.5699321301371161</v>
      </c>
      <c r="S609" s="574">
        <f t="shared" si="302"/>
        <v>2.6666793129579713</v>
      </c>
      <c r="T609" s="577">
        <f t="shared" si="303"/>
        <v>1.1864014706681838</v>
      </c>
      <c r="U609" s="578">
        <f t="shared" si="315"/>
        <v>4.427829021328468E-2</v>
      </c>
      <c r="V609" s="579">
        <f t="shared" si="316"/>
        <v>-1.9943707275245994</v>
      </c>
      <c r="W609" s="580">
        <f t="shared" si="304"/>
        <v>-71.842458639628788</v>
      </c>
      <c r="X609" s="581">
        <f t="shared" si="305"/>
        <v>-283.96621487447169</v>
      </c>
      <c r="Y609" s="584">
        <f t="shared" si="306"/>
        <v>-103.96621487447169</v>
      </c>
      <c r="AA609" s="147">
        <f t="shared" si="307"/>
        <v>691830</v>
      </c>
      <c r="AB609" s="147">
        <f t="shared" si="308"/>
        <v>478628748900</v>
      </c>
      <c r="AD609" s="583">
        <f t="shared" si="309"/>
        <v>8.6993198205122848</v>
      </c>
      <c r="AE609" s="584">
        <f t="shared" si="310"/>
        <v>-68.025309979192954</v>
      </c>
      <c r="AG609" s="583">
        <f t="shared" si="311"/>
        <v>2.2378631254416836</v>
      </c>
      <c r="AH609" s="584">
        <f t="shared" si="312"/>
        <v>12.597146309054095</v>
      </c>
      <c r="AJ609" s="147">
        <f t="shared" si="313"/>
        <v>0</v>
      </c>
      <c r="AK609" s="147">
        <f t="shared" si="325"/>
        <v>0</v>
      </c>
      <c r="AM609" s="147" t="str">
        <f t="shared" si="317"/>
        <v>1.43017501643515-0.902745509673138i</v>
      </c>
      <c r="AN609" s="147" t="str">
        <f t="shared" si="318"/>
        <v>29.4004435698319i</v>
      </c>
      <c r="AO609" s="147" t="str">
        <f t="shared" si="319"/>
        <v>-0.0307051663193087-0.0486446748001676i</v>
      </c>
      <c r="AP609" s="147" t="str">
        <f t="shared" si="320"/>
        <v>-0.0716958360725258+0.150457584945523i</v>
      </c>
      <c r="AQ609" s="147" t="str">
        <f t="shared" si="321"/>
        <v>1.07169583607253-0.150457584945523i</v>
      </c>
      <c r="AR609" s="147" t="str">
        <f t="shared" si="322"/>
        <v>0.762248905576588+0.107013693251543i</v>
      </c>
    </row>
    <row r="610" spans="7:44">
      <c r="G610" s="585">
        <v>758580</v>
      </c>
      <c r="H610" s="573">
        <f t="shared" si="314"/>
        <v>758.58</v>
      </c>
      <c r="I610" s="574">
        <f t="shared" si="294"/>
        <v>2142.6460440014785</v>
      </c>
      <c r="J610" s="575">
        <f t="shared" si="295"/>
        <v>1.5703296141341176</v>
      </c>
      <c r="K610" s="575">
        <f t="shared" si="296"/>
        <v>1.4489761909202112</v>
      </c>
      <c r="L610" s="576">
        <f t="shared" si="297"/>
        <v>0.80911042901167274</v>
      </c>
      <c r="M610" s="575">
        <f t="shared" si="298"/>
        <v>1.8789604941946847</v>
      </c>
      <c r="N610" s="576">
        <f t="shared" si="299"/>
        <v>-1.0095884767787968</v>
      </c>
      <c r="O610" s="574">
        <f t="shared" si="300"/>
        <v>31457571.452168416</v>
      </c>
      <c r="P610" s="577">
        <f t="shared" si="301"/>
        <v>1.5707962950060472</v>
      </c>
      <c r="Q610" s="586">
        <f t="shared" si="323"/>
        <v>1268.7891093140422</v>
      </c>
      <c r="R610" s="587">
        <f t="shared" si="324"/>
        <v>1.5700081736682738</v>
      </c>
      <c r="S610" s="574">
        <f t="shared" si="302"/>
        <v>2.8891729320147093</v>
      </c>
      <c r="T610" s="577">
        <f t="shared" si="303"/>
        <v>1.2173642139182188</v>
      </c>
      <c r="U610" s="578">
        <f t="shared" si="315"/>
        <v>2.3052944795237916E-2</v>
      </c>
      <c r="V610" s="579">
        <f t="shared" si="316"/>
        <v>-0.54734287926644176</v>
      </c>
      <c r="W610" s="580">
        <f t="shared" si="304"/>
        <v>-78.049184652642751</v>
      </c>
      <c r="X610" s="581">
        <f t="shared" si="305"/>
        <v>-202.61523013057138</v>
      </c>
      <c r="Y610" s="584">
        <f t="shared" si="306"/>
        <v>-22.615230130571376</v>
      </c>
      <c r="AA610" s="147">
        <f t="shared" si="307"/>
        <v>758580</v>
      </c>
      <c r="AB610" s="147">
        <f t="shared" si="308"/>
        <v>575443616400</v>
      </c>
      <c r="AD610" s="583">
        <f t="shared" si="309"/>
        <v>8.003264363697566</v>
      </c>
      <c r="AE610" s="584">
        <f t="shared" si="310"/>
        <v>-69.794987693926046</v>
      </c>
      <c r="AG610" s="583">
        <f t="shared" si="311"/>
        <v>8.0657698558874156</v>
      </c>
      <c r="AH610" s="584">
        <f t="shared" si="312"/>
        <v>-70.099368507964897</v>
      </c>
      <c r="AJ610" s="147">
        <f t="shared" si="313"/>
        <v>0</v>
      </c>
      <c r="AK610" s="147">
        <f t="shared" si="325"/>
        <v>0</v>
      </c>
      <c r="AM610" s="147" t="str">
        <f t="shared" si="317"/>
        <v>0.318632570129468+0.731941545146623i</v>
      </c>
      <c r="AN610" s="147" t="str">
        <f t="shared" si="318"/>
        <v>32.2370936258952i</v>
      </c>
      <c r="AO610" s="147" t="str">
        <f t="shared" si="319"/>
        <v>0.0227049483319015-0.00988403526158819i</v>
      </c>
      <c r="AP610" s="147" t="str">
        <f t="shared" si="320"/>
        <v>0.113561238311755-0.121990257524437i</v>
      </c>
      <c r="AQ610" s="147" t="str">
        <f t="shared" si="321"/>
        <v>0.886438761688245+0.121990257524437i</v>
      </c>
      <c r="AR610" s="147" t="str">
        <f t="shared" si="322"/>
        <v>0.922248922128894-0.126918393435175i</v>
      </c>
    </row>
    <row r="611" spans="7:44">
      <c r="G611" s="585">
        <v>831760</v>
      </c>
      <c r="H611" s="573">
        <f t="shared" si="314"/>
        <v>831.76</v>
      </c>
      <c r="I611" s="574">
        <f t="shared" si="294"/>
        <v>2349.3464643242764</v>
      </c>
      <c r="J611" s="575">
        <f t="shared" si="295"/>
        <v>1.5703706764936822</v>
      </c>
      <c r="K611" s="575">
        <f t="shared" si="296"/>
        <v>1.5237807526375562</v>
      </c>
      <c r="L611" s="576">
        <f t="shared" si="297"/>
        <v>0.85494184467791867</v>
      </c>
      <c r="M611" s="575">
        <f t="shared" si="298"/>
        <v>2.0105407590528488</v>
      </c>
      <c r="N611" s="576">
        <f t="shared" si="299"/>
        <v>-1.0502218176471418</v>
      </c>
      <c r="O611" s="574">
        <f t="shared" si="300"/>
        <v>34492274.553844817</v>
      </c>
      <c r="P611" s="577">
        <f t="shared" si="301"/>
        <v>1.5707962978028973</v>
      </c>
      <c r="Q611" s="586">
        <f t="shared" si="323"/>
        <v>1391.188766409977</v>
      </c>
      <c r="R611" s="587">
        <f t="shared" si="324"/>
        <v>1.5700775170184957</v>
      </c>
      <c r="S611" s="574">
        <f t="shared" si="302"/>
        <v>3.1358069502603563</v>
      </c>
      <c r="T611" s="577">
        <f t="shared" si="303"/>
        <v>1.2462306362497331</v>
      </c>
      <c r="U611" s="578">
        <f t="shared" si="315"/>
        <v>3.8721420751823381E-2</v>
      </c>
      <c r="V611" s="579">
        <f t="shared" si="316"/>
        <v>-1.8600271284764769</v>
      </c>
      <c r="W611" s="580">
        <f t="shared" si="304"/>
        <v>-74.031006605793465</v>
      </c>
      <c r="X611" s="581">
        <f t="shared" si="305"/>
        <v>-279.18097373166211</v>
      </c>
      <c r="Y611" s="584">
        <f t="shared" si="306"/>
        <v>-99.180973731662107</v>
      </c>
      <c r="AA611" s="147">
        <f t="shared" si="307"/>
        <v>831760</v>
      </c>
      <c r="AB611" s="147">
        <f t="shared" si="308"/>
        <v>691824697600</v>
      </c>
      <c r="AD611" s="583">
        <f t="shared" si="309"/>
        <v>7.2917482908201281</v>
      </c>
      <c r="AE611" s="584">
        <f t="shared" si="310"/>
        <v>-71.444938943992042</v>
      </c>
      <c r="AG611" s="583">
        <f t="shared" si="311"/>
        <v>3.7864690306190467</v>
      </c>
      <c r="AH611" s="584">
        <f t="shared" si="312"/>
        <v>5.4073739389614586</v>
      </c>
      <c r="AJ611" s="147">
        <f t="shared" si="313"/>
        <v>0</v>
      </c>
      <c r="AK611" s="147">
        <f t="shared" si="325"/>
        <v>0</v>
      </c>
      <c r="AM611" s="147" t="str">
        <f t="shared" si="317"/>
        <v>1.70421614931086-0.70998564425612i</v>
      </c>
      <c r="AN611" s="147" t="str">
        <f t="shared" si="318"/>
        <v>35.3469970132017i</v>
      </c>
      <c r="AO611" s="147" t="str">
        <f t="shared" si="319"/>
        <v>-0.0200861658485712-0.0482138878353472i</v>
      </c>
      <c r="AP611" s="147" t="str">
        <f t="shared" si="320"/>
        <v>-0.117369358218477+0.118330940709353i</v>
      </c>
      <c r="AQ611" s="147" t="str">
        <f t="shared" si="321"/>
        <v>1.11736935821848-0.118330940709353i</v>
      </c>
      <c r="AR611" s="147" t="str">
        <f t="shared" si="322"/>
        <v>0.737232883420596+0.0780739689838267i</v>
      </c>
    </row>
    <row r="612" spans="7:44">
      <c r="G612" s="585">
        <v>912010</v>
      </c>
      <c r="H612" s="573">
        <f t="shared" si="314"/>
        <v>912.01</v>
      </c>
      <c r="I612" s="574">
        <f t="shared" si="294"/>
        <v>2576.0164425709222</v>
      </c>
      <c r="J612" s="575">
        <f t="shared" si="295"/>
        <v>1.570408130505234</v>
      </c>
      <c r="K612" s="575">
        <f t="shared" si="296"/>
        <v>1.6091283970456143</v>
      </c>
      <c r="L612" s="576">
        <f t="shared" si="297"/>
        <v>0.90019852230715536</v>
      </c>
      <c r="M612" s="575">
        <f t="shared" si="298"/>
        <v>2.1581576488834004</v>
      </c>
      <c r="N612" s="576">
        <f t="shared" si="299"/>
        <v>-1.0890153273011567</v>
      </c>
      <c r="O612" s="574">
        <f t="shared" si="300"/>
        <v>37820163.647989817</v>
      </c>
      <c r="P612" s="577">
        <f t="shared" si="301"/>
        <v>1.5707963003539744</v>
      </c>
      <c r="Q612" s="586">
        <f t="shared" si="323"/>
        <v>1525.4135949155789</v>
      </c>
      <c r="R612" s="587">
        <f t="shared" si="324"/>
        <v>1.5701407668372827</v>
      </c>
      <c r="S612" s="574">
        <f t="shared" si="302"/>
        <v>3.4088152521695738</v>
      </c>
      <c r="T612" s="577">
        <f t="shared" si="303"/>
        <v>1.2730598198159555</v>
      </c>
      <c r="U612" s="578">
        <f t="shared" si="315"/>
        <v>2.3339051637202929E-2</v>
      </c>
      <c r="V612" s="579">
        <f t="shared" si="316"/>
        <v>-0.68599760246153407</v>
      </c>
      <c r="W612" s="580">
        <f t="shared" si="304"/>
        <v>-78.864712748364084</v>
      </c>
      <c r="X612" s="581">
        <f t="shared" si="305"/>
        <v>-213.07944568587362</v>
      </c>
      <c r="Y612" s="584">
        <f t="shared" si="306"/>
        <v>-33.079445685873623</v>
      </c>
      <c r="AA612" s="147">
        <f t="shared" si="307"/>
        <v>912010</v>
      </c>
      <c r="AB612" s="147">
        <f t="shared" si="308"/>
        <v>831762240100</v>
      </c>
      <c r="AD612" s="583">
        <f t="shared" si="309"/>
        <v>6.5666649929362242</v>
      </c>
      <c r="AE612" s="584">
        <f t="shared" si="310"/>
        <v>-72.978514130365198</v>
      </c>
      <c r="AG612" s="583">
        <f t="shared" si="311"/>
        <v>8.4725693468515182</v>
      </c>
      <c r="AH612" s="584">
        <f t="shared" si="312"/>
        <v>-61.491396711405656</v>
      </c>
      <c r="AJ612" s="147">
        <f t="shared" si="313"/>
        <v>0</v>
      </c>
      <c r="AK612" s="147">
        <f t="shared" si="325"/>
        <v>0</v>
      </c>
      <c r="AM612" s="147" t="str">
        <f t="shared" si="317"/>
        <v>0.509593096807758+0.871493585347245i</v>
      </c>
      <c r="AN612" s="147" t="str">
        <f t="shared" si="318"/>
        <v>38.7573515749857i</v>
      </c>
      <c r="AO612" s="147" t="str">
        <f t="shared" si="319"/>
        <v>0.0224858910614964-0.0131482951259408i</v>
      </c>
      <c r="AP612" s="147" t="str">
        <f t="shared" si="320"/>
        <v>0.0817344838653737-0.145248930891207i</v>
      </c>
      <c r="AQ612" s="147" t="str">
        <f t="shared" si="321"/>
        <v>0.918265516134626+0.145248930891207i</v>
      </c>
      <c r="AR612" s="147" t="str">
        <f t="shared" si="322"/>
        <v>0.885002172890638-0.139987418878435i</v>
      </c>
    </row>
    <row r="613" spans="7:44">
      <c r="G613" s="585">
        <v>1000000</v>
      </c>
      <c r="H613" s="573">
        <f t="shared" si="314"/>
        <v>1000</v>
      </c>
      <c r="I613" s="574">
        <f t="shared" si="294"/>
        <v>2824.5484259123095</v>
      </c>
      <c r="J613" s="575">
        <f t="shared" si="295"/>
        <v>1.5704422878937694</v>
      </c>
      <c r="K613" s="575">
        <f t="shared" si="296"/>
        <v>1.7060936104693043</v>
      </c>
      <c r="L613" s="576">
        <f t="shared" si="297"/>
        <v>0.94451696467950974</v>
      </c>
      <c r="M613" s="575">
        <f t="shared" si="298"/>
        <v>2.3232442652212013</v>
      </c>
      <c r="N613" s="576">
        <f t="shared" si="299"/>
        <v>-1.1258243677364088</v>
      </c>
      <c r="O613" s="574">
        <f t="shared" si="300"/>
        <v>41469022.980000019</v>
      </c>
      <c r="P613" s="577">
        <f t="shared" si="301"/>
        <v>1.5707963026805112</v>
      </c>
      <c r="Q613" s="586">
        <f t="shared" si="323"/>
        <v>1672.5842257986344</v>
      </c>
      <c r="R613" s="587">
        <f t="shared" si="324"/>
        <v>1.5701984495435439</v>
      </c>
      <c r="S613" s="574">
        <f t="shared" si="302"/>
        <v>3.7105387148111615</v>
      </c>
      <c r="T613" s="577">
        <f t="shared" si="303"/>
        <v>1.2979197964872413</v>
      </c>
      <c r="U613" s="578">
        <f t="shared" si="315"/>
        <v>2.6523593546637584E-2</v>
      </c>
      <c r="V613" s="579">
        <f t="shared" si="316"/>
        <v>-2.2318755658894567</v>
      </c>
      <c r="W613" s="580">
        <f t="shared" si="304"/>
        <v>-78.141930512720776</v>
      </c>
      <c r="X613" s="581">
        <f t="shared" si="305"/>
        <v>-302.64449567119402</v>
      </c>
      <c r="Y613" s="584">
        <f t="shared" si="306"/>
        <v>-122.64449567119402</v>
      </c>
      <c r="AA613" s="147">
        <f t="shared" si="307"/>
        <v>1000000</v>
      </c>
      <c r="AB613" s="147">
        <f t="shared" si="308"/>
        <v>1000000000000</v>
      </c>
      <c r="AD613" s="583">
        <f t="shared" si="309"/>
        <v>5.8299946210981712</v>
      </c>
      <c r="AE613" s="584">
        <f t="shared" si="310"/>
        <v>-74.399581031728431</v>
      </c>
      <c r="AG613" s="583">
        <f t="shared" si="311"/>
        <v>7.7100555866763862</v>
      </c>
      <c r="AH613" s="584">
        <f t="shared" si="312"/>
        <v>27.509186300452374</v>
      </c>
      <c r="AJ613" s="147">
        <f t="shared" si="313"/>
        <v>0</v>
      </c>
      <c r="AK613" s="147">
        <f t="shared" si="325"/>
        <v>0</v>
      </c>
      <c r="AM613" s="147" t="str">
        <f t="shared" si="317"/>
        <v>0.914973554548239-0.996378694861466i</v>
      </c>
      <c r="AN613" s="147" t="str">
        <f t="shared" si="318"/>
        <v>42.4966300533829i</v>
      </c>
      <c r="AO613" s="147" t="str">
        <f t="shared" si="319"/>
        <v>-0.0234460636904584-0.0215304967334793i</v>
      </c>
      <c r="AP613" s="147" t="str">
        <f t="shared" si="320"/>
        <v>0.0141710742419602+0.166063115810244i</v>
      </c>
      <c r="AQ613" s="147" t="str">
        <f t="shared" si="321"/>
        <v>0.98582892575804-0.166063115810244i</v>
      </c>
      <c r="AR613" s="147" t="str">
        <f t="shared" si="322"/>
        <v>0.821659215548134+0.138408689279638i</v>
      </c>
    </row>
    <row r="614" spans="7:44">
      <c r="G614" s="588"/>
      <c r="H614" s="588"/>
      <c r="I614" s="589"/>
      <c r="J614" s="589"/>
      <c r="K614" s="589"/>
      <c r="L614" s="589"/>
      <c r="M614" s="575"/>
      <c r="N614" s="576"/>
      <c r="O614" s="589"/>
      <c r="P614" s="589"/>
      <c r="Q614" s="589"/>
      <c r="R614" s="589"/>
      <c r="S614" s="589"/>
      <c r="T614" s="589"/>
      <c r="U614" s="589"/>
      <c r="V614" s="590"/>
      <c r="W614" s="591"/>
      <c r="X614" s="581"/>
      <c r="Y614" s="592"/>
      <c r="AG614" s="583"/>
      <c r="AH614" s="584"/>
    </row>
    <row r="615" spans="7:44">
      <c r="G615" s="588"/>
      <c r="H615" s="588"/>
      <c r="I615" s="589"/>
      <c r="J615" s="589"/>
      <c r="K615" s="589"/>
      <c r="L615" s="589"/>
      <c r="M615" s="575"/>
      <c r="N615" s="576"/>
      <c r="O615" s="589"/>
      <c r="P615" s="589"/>
      <c r="Q615" s="589"/>
      <c r="R615" s="589"/>
      <c r="S615" s="589"/>
      <c r="T615" s="589"/>
      <c r="U615" s="589"/>
      <c r="V615" s="590"/>
      <c r="W615" s="592"/>
      <c r="X615" s="581"/>
      <c r="Y615" s="592"/>
      <c r="AG615" s="583"/>
      <c r="AH615" s="584"/>
    </row>
    <row r="616" spans="7:44">
      <c r="G616" s="147" t="s">
        <v>724</v>
      </c>
      <c r="M616" s="575"/>
      <c r="N616" s="576"/>
      <c r="W616" s="580"/>
      <c r="X616" s="581"/>
      <c r="Y616" s="592"/>
      <c r="AG616" s="583"/>
      <c r="AH616" s="584"/>
    </row>
    <row r="617" spans="7:44">
      <c r="G617" s="593">
        <f>W4*1000</f>
        <v>4365.2</v>
      </c>
      <c r="H617" s="593"/>
      <c r="I617" s="594">
        <f t="shared" ref="I617:I626" si="326">SQRT(1+(G617/pole1)^2)</f>
        <v>12.370203973893464</v>
      </c>
      <c r="J617" s="586">
        <f t="shared" ref="J617:J626" si="327">ATAN(G617/pole1)</f>
        <v>1.4898686083843669</v>
      </c>
      <c r="K617" s="586">
        <f t="shared" ref="K617:K626" si="328">SQRT(1+(G617/Zero1)^2)</f>
        <v>1.0000182045287767</v>
      </c>
      <c r="L617" s="587">
        <f t="shared" ref="L617:L626" si="329">ATAN(G617/Zero1)</f>
        <v>6.0339460736910126E-3</v>
      </c>
      <c r="M617" s="575">
        <v>1</v>
      </c>
      <c r="N617" s="576">
        <v>0</v>
      </c>
      <c r="O617" s="594">
        <f t="shared" ref="O617:O626" si="330">SQRT(1+(G617/Pole2)^2)</f>
        <v>181020.57911505812</v>
      </c>
      <c r="P617" s="595">
        <f t="shared" ref="P617:P626" si="331">ATAN(G617/Pole2)</f>
        <v>1.5707908025611057</v>
      </c>
      <c r="Q617" s="586">
        <f t="shared" ref="Q617:Q626" si="332">SQRT(1+(G617/Zero2)^2)</f>
        <v>7.3693274030489437</v>
      </c>
      <c r="R617" s="587">
        <f t="shared" ref="R617:R626" si="333">ATAN(G617/Zero2)</f>
        <v>1.4346787911687799</v>
      </c>
      <c r="S617" s="594">
        <f t="shared" ref="S617:S626" si="334">SQRT(1+(G617/pole4)^2)</f>
        <v>1.0001216404663631</v>
      </c>
      <c r="T617" s="595">
        <f t="shared" ref="T617:T626" si="335">ATAN(G617/pole4)</f>
        <v>1.5596675114080961E-2</v>
      </c>
      <c r="U617" s="594" t="e">
        <v>#DIV/0!</v>
      </c>
      <c r="V617" s="596" t="e">
        <v>#DIV/0!</v>
      </c>
      <c r="W617" s="580" t="e">
        <f>20*LOG10(((K617*Q617*M617)/(I617*O617*U617*S617))*Adc)</f>
        <v>#DIV/0!</v>
      </c>
      <c r="X617" s="581" t="e">
        <f>((L617+R617+N617)-(J617+P617+V617+T617))*radconv</f>
        <v>#DIV/0!</v>
      </c>
      <c r="Y617" s="584" t="e">
        <f t="shared" ref="Y617:Y626" si="336">IF(X617&gt;0,X617,X617+180)</f>
        <v>#DIV/0!</v>
      </c>
      <c r="Z617" s="147" t="s">
        <v>725</v>
      </c>
      <c r="AD617" s="583">
        <f>20*LOG10((Q617/(O617*S617))*Aea)</f>
        <v>17.298391645875121</v>
      </c>
      <c r="AE617" s="584">
        <f>(R617-(P617+T617))*radconv</f>
        <v>-8.6922674622227731</v>
      </c>
      <c r="AG617" s="583" t="e">
        <f>20*LOG10((K617*M617/(I617*U617))*Acs*Am)</f>
        <v>#DIV/0!</v>
      </c>
      <c r="AH617" s="584" t="e">
        <f>(L617+N617-(J617+V617))*radconv</f>
        <v>#DIV/0!</v>
      </c>
    </row>
    <row r="618" spans="7:44">
      <c r="G618" s="593">
        <f>G617</f>
        <v>4365.2</v>
      </c>
      <c r="H618" s="593"/>
      <c r="I618" s="594"/>
      <c r="J618" s="586"/>
      <c r="K618" s="586"/>
      <c r="L618" s="587"/>
      <c r="M618" s="575"/>
      <c r="N618" s="576"/>
      <c r="O618" s="594"/>
      <c r="P618" s="595"/>
      <c r="Q618" s="586"/>
      <c r="R618" s="587"/>
      <c r="S618" s="574"/>
      <c r="T618" s="577"/>
      <c r="U618" s="594"/>
      <c r="V618" s="579"/>
      <c r="W618" s="580"/>
      <c r="X618" s="581">
        <v>-135</v>
      </c>
      <c r="Y618" s="584"/>
      <c r="AD618" s="583"/>
      <c r="AE618" s="584"/>
      <c r="AG618" s="583"/>
      <c r="AH618" s="584"/>
    </row>
    <row r="619" spans="7:44">
      <c r="G619" s="147">
        <f>G618</f>
        <v>4365.2</v>
      </c>
      <c r="H619" s="593"/>
      <c r="I619" s="594"/>
      <c r="J619" s="586"/>
      <c r="K619" s="586"/>
      <c r="L619" s="587"/>
      <c r="M619" s="575"/>
      <c r="N619" s="576"/>
      <c r="O619" s="594"/>
      <c r="P619" s="595"/>
      <c r="Q619" s="586"/>
      <c r="R619" s="587"/>
      <c r="S619" s="574"/>
      <c r="T619" s="577"/>
      <c r="U619" s="594"/>
      <c r="V619" s="579"/>
      <c r="W619" s="580"/>
      <c r="X619" s="581"/>
      <c r="Y619" s="584"/>
      <c r="AD619" s="583"/>
      <c r="AE619" s="584"/>
      <c r="AG619" s="583"/>
      <c r="AH619" s="584"/>
    </row>
    <row r="620" spans="7:44">
      <c r="G620" s="593">
        <v>1000000</v>
      </c>
      <c r="H620" s="593"/>
      <c r="I620" s="594"/>
      <c r="J620" s="586"/>
      <c r="K620" s="586"/>
      <c r="L620" s="587"/>
      <c r="M620" s="575"/>
      <c r="N620" s="576"/>
      <c r="O620" s="594"/>
      <c r="P620" s="595"/>
      <c r="Q620" s="586"/>
      <c r="R620" s="587"/>
      <c r="S620" s="574"/>
      <c r="T620" s="577"/>
      <c r="U620" s="594"/>
      <c r="V620" s="579"/>
      <c r="W620" s="580"/>
      <c r="X620" s="581" t="e">
        <f>X617</f>
        <v>#DIV/0!</v>
      </c>
      <c r="Y620" s="584"/>
      <c r="AD620" s="583"/>
      <c r="AE620" s="584"/>
      <c r="AG620" s="583"/>
      <c r="AH620" s="584"/>
    </row>
    <row r="621" spans="7:44">
      <c r="G621" s="593"/>
      <c r="H621" s="593"/>
      <c r="I621" s="594"/>
      <c r="J621" s="586"/>
      <c r="K621" s="586"/>
      <c r="L621" s="587"/>
      <c r="M621" s="575"/>
      <c r="N621" s="576"/>
      <c r="O621" s="594"/>
      <c r="P621" s="595"/>
      <c r="Q621" s="586"/>
      <c r="R621" s="587"/>
      <c r="S621" s="574"/>
      <c r="T621" s="577"/>
      <c r="U621" s="594"/>
      <c r="V621" s="579"/>
      <c r="W621" s="580"/>
      <c r="X621" s="581"/>
      <c r="Y621" s="584"/>
      <c r="AD621" s="583"/>
      <c r="AE621" s="584"/>
      <c r="AG621" s="583"/>
      <c r="AH621" s="584"/>
    </row>
    <row r="622" spans="7:44">
      <c r="G622" s="597">
        <f>pole1</f>
        <v>354.03891591937634</v>
      </c>
      <c r="H622" s="593"/>
      <c r="I622" s="594">
        <f t="shared" si="326"/>
        <v>1.4142135623730951</v>
      </c>
      <c r="J622" s="586">
        <f t="shared" si="327"/>
        <v>0.78539816339744828</v>
      </c>
      <c r="K622" s="586">
        <f t="shared" si="328"/>
        <v>1.0000001197504296</v>
      </c>
      <c r="L622" s="587">
        <f t="shared" si="329"/>
        <v>4.8938822559953005E-4</v>
      </c>
      <c r="M622" s="575">
        <v>1</v>
      </c>
      <c r="N622" s="576">
        <v>0</v>
      </c>
      <c r="O622" s="594">
        <f t="shared" si="330"/>
        <v>14681.647974131029</v>
      </c>
      <c r="P622" s="595">
        <f t="shared" si="331"/>
        <v>1.570728214550104</v>
      </c>
      <c r="Q622" s="586">
        <f t="shared" si="332"/>
        <v>1.1621760748835566</v>
      </c>
      <c r="R622" s="587">
        <f t="shared" si="333"/>
        <v>0.53463470271424385</v>
      </c>
      <c r="S622" s="574">
        <f t="shared" si="334"/>
        <v>1.0000008001990424</v>
      </c>
      <c r="T622" s="577">
        <f t="shared" si="335"/>
        <v>1.2650679892990098E-3</v>
      </c>
      <c r="U622" s="594" t="e">
        <f>SQRT((1-(G622^2/(pole3^2)))^2+(G622/(Q*pole3))^2)</f>
        <v>#DIV/0!</v>
      </c>
      <c r="V622" s="579" t="e">
        <f>ATAN((G622/(Q*pole3))/(1-G622^2/pole3^2))</f>
        <v>#NAME?</v>
      </c>
      <c r="W622" s="580" t="e">
        <f t="shared" ref="W622:W628" si="337">20*LOG10(((K622*Q622*M622)/(I622*O622*U622*S622))*Adc)</f>
        <v>#DIV/0!</v>
      </c>
      <c r="X622" s="581" t="e">
        <f t="shared" ref="X622:X628" si="338">((L622+R622+N622)-(J622+P622+V622+T622))*radconv</f>
        <v>#NAME?</v>
      </c>
      <c r="Y622" s="584" t="e">
        <f t="shared" si="336"/>
        <v>#NAME?</v>
      </c>
      <c r="Z622" s="147" t="s">
        <v>713</v>
      </c>
      <c r="AD622" s="583">
        <f>20*LOG10((Q622/(O622*S622))*Aea)</f>
        <v>23.075385630350503</v>
      </c>
      <c r="AE622" s="584">
        <f>(R622-(P622+T622))*radconv</f>
        <v>-59.436268533582364</v>
      </c>
      <c r="AG622" s="583" t="e">
        <f t="shared" ref="AG622:AG628" si="339">20*LOG10((K622*M622/(I622*U622))*Acs*Am)</f>
        <v>#DIV/0!</v>
      </c>
      <c r="AH622" s="584" t="e">
        <f t="shared" ref="AH622:AH628" si="340">(L622+N622-(J622+V622))*radconv</f>
        <v>#NAME?</v>
      </c>
    </row>
    <row r="623" spans="7:44">
      <c r="G623" s="597">
        <f>Zero1</f>
        <v>723431.56033525639</v>
      </c>
      <c r="H623" s="593"/>
      <c r="I623" s="594">
        <f t="shared" si="326"/>
        <v>2043.3675916328934</v>
      </c>
      <c r="J623" s="586">
        <f t="shared" si="327"/>
        <v>1.5703069385692972</v>
      </c>
      <c r="K623" s="586">
        <f t="shared" si="328"/>
        <v>1.4142135623730951</v>
      </c>
      <c r="L623" s="587">
        <f t="shared" si="329"/>
        <v>0.78539816339744828</v>
      </c>
      <c r="M623" s="575">
        <v>1</v>
      </c>
      <c r="N623" s="576">
        <v>0</v>
      </c>
      <c r="O623" s="594">
        <f t="shared" si="330"/>
        <v>30000000.000000026</v>
      </c>
      <c r="P623" s="595">
        <f t="shared" si="331"/>
        <v>1.5707962934615634</v>
      </c>
      <c r="Q623" s="586">
        <f t="shared" si="332"/>
        <v>1210.0004132230699</v>
      </c>
      <c r="R623" s="587">
        <f t="shared" si="333"/>
        <v>1.5699698807020628</v>
      </c>
      <c r="S623" s="574">
        <f t="shared" si="334"/>
        <v>2.7716827018978925</v>
      </c>
      <c r="T623" s="577">
        <f t="shared" si="335"/>
        <v>1.2016797418915088</v>
      </c>
      <c r="U623" s="594" t="e">
        <f>SQRT((1-(G623^2/(pole3^2)))^2+(G623/(Q*pole3))^2)</f>
        <v>#DIV/0!</v>
      </c>
      <c r="V623" s="579" t="e">
        <f>ATAN((G623/(Q*pole3))/(1-G623^2/pole3^2))</f>
        <v>#NAME?</v>
      </c>
      <c r="W623" s="580" t="e">
        <f t="shared" si="337"/>
        <v>#DIV/0!</v>
      </c>
      <c r="X623" s="581" t="e">
        <f t="shared" si="338"/>
        <v>#NAME?</v>
      </c>
      <c r="Y623" s="584" t="e">
        <f t="shared" si="336"/>
        <v>#NAME?</v>
      </c>
      <c r="Z623" s="147" t="s">
        <v>714</v>
      </c>
      <c r="AD623" s="583">
        <f>20*LOG10((Q623/(O623*S623))*Aea)</f>
        <v>8.3638651522757268</v>
      </c>
      <c r="AE623" s="584">
        <f>(R623-(P623+T623))*radconv</f>
        <v>-68.898527578736747</v>
      </c>
      <c r="AG623" s="583" t="e">
        <f t="shared" si="339"/>
        <v>#DIV/0!</v>
      </c>
      <c r="AH623" s="584" t="e">
        <f t="shared" si="340"/>
        <v>#NAME?</v>
      </c>
    </row>
    <row r="624" spans="7:44">
      <c r="G624" s="597">
        <f>Pole2</f>
        <v>2.4114385344508542E-2</v>
      </c>
      <c r="H624" s="593"/>
      <c r="I624" s="594">
        <f t="shared" si="326"/>
        <v>1.0000000023196389</v>
      </c>
      <c r="J624" s="586">
        <f t="shared" si="327"/>
        <v>6.8112244792628646E-5</v>
      </c>
      <c r="K624" s="586">
        <f t="shared" si="328"/>
        <v>1.0000000000000004</v>
      </c>
      <c r="L624" s="587">
        <f t="shared" si="329"/>
        <v>3.3333333333333314E-8</v>
      </c>
      <c r="M624" s="575">
        <v>1</v>
      </c>
      <c r="N624" s="576">
        <v>0</v>
      </c>
      <c r="O624" s="594">
        <f t="shared" si="330"/>
        <v>1.4142135623730951</v>
      </c>
      <c r="P624" s="595">
        <f t="shared" si="331"/>
        <v>0.78539816339744828</v>
      </c>
      <c r="Q624" s="586">
        <f t="shared" si="332"/>
        <v>1.0000000008133889</v>
      </c>
      <c r="R624" s="587">
        <f t="shared" si="333"/>
        <v>4.03333333114622E-5</v>
      </c>
      <c r="S624" s="574">
        <f t="shared" si="334"/>
        <v>1.0000000000000036</v>
      </c>
      <c r="T624" s="577">
        <f t="shared" si="335"/>
        <v>8.6166666666666439E-8</v>
      </c>
      <c r="U624" s="594" t="e">
        <f>SQRT((1-(G624^2/(pole3^2)))^2+(G624/(Q*pole3))^2)</f>
        <v>#DIV/0!</v>
      </c>
      <c r="V624" s="579" t="e">
        <f>ATAN((G624/(Q*pole3))/(1-G624^2/pole3^2))</f>
        <v>#NAME?</v>
      </c>
      <c r="W624" s="580" t="e">
        <f t="shared" si="337"/>
        <v>#DIV/0!</v>
      </c>
      <c r="X624" s="581" t="e">
        <f t="shared" si="338"/>
        <v>#NAME?</v>
      </c>
      <c r="Y624" s="584" t="e">
        <f t="shared" si="336"/>
        <v>#NAME?</v>
      </c>
      <c r="Z624" s="147" t="s">
        <v>715</v>
      </c>
      <c r="AC624" s="147">
        <f>Pole2</f>
        <v>2.4114385344508542E-2</v>
      </c>
      <c r="AD624" s="583">
        <f>20*LOG10((Q624/(O624*S624))*Aea)</f>
        <v>102.09515015249127</v>
      </c>
      <c r="AE624" s="584">
        <f>(R624-(P624+T624))*radconv</f>
        <v>-44.997694058631254</v>
      </c>
      <c r="AG624" s="583" t="e">
        <f t="shared" si="339"/>
        <v>#DIV/0!</v>
      </c>
      <c r="AH624" s="584" t="e">
        <f t="shared" si="340"/>
        <v>#NAME?</v>
      </c>
    </row>
    <row r="625" spans="7:34">
      <c r="G625" s="597">
        <f>Zero2</f>
        <v>597.87732259112101</v>
      </c>
      <c r="H625" s="593"/>
      <c r="I625" s="594">
        <f t="shared" si="326"/>
        <v>1.9626054899260605</v>
      </c>
      <c r="J625" s="586">
        <f t="shared" si="327"/>
        <v>1.0361616240806528</v>
      </c>
      <c r="K625" s="586">
        <f t="shared" si="328"/>
        <v>1.0000003415066694</v>
      </c>
      <c r="L625" s="587">
        <f t="shared" si="329"/>
        <v>8.264460928338361E-4</v>
      </c>
      <c r="M625" s="575">
        <v>1</v>
      </c>
      <c r="N625" s="576">
        <v>0</v>
      </c>
      <c r="O625" s="594">
        <f t="shared" si="330"/>
        <v>24793.388449918737</v>
      </c>
      <c r="P625" s="595">
        <f t="shared" si="331"/>
        <v>1.5707559934615851</v>
      </c>
      <c r="Q625" s="586">
        <f t="shared" si="332"/>
        <v>1.4142135623730951</v>
      </c>
      <c r="R625" s="587">
        <f t="shared" si="333"/>
        <v>0.78539816339744828</v>
      </c>
      <c r="S625" s="574">
        <f t="shared" si="334"/>
        <v>1.0000022820221894</v>
      </c>
      <c r="T625" s="577">
        <f t="shared" si="335"/>
        <v>2.1363603862160131E-3</v>
      </c>
      <c r="U625" s="594" t="e">
        <f>SQRT((1-(G625^2/(pole3^2)))^2+(G625/(Q*pole3))^2)</f>
        <v>#DIV/0!</v>
      </c>
      <c r="V625" s="579" t="e">
        <f>ATAN((G625/(Q*pole3))/(1-G625^2/pole3^2))</f>
        <v>#NAME?</v>
      </c>
      <c r="W625" s="580" t="e">
        <f t="shared" si="337"/>
        <v>#DIV/0!</v>
      </c>
      <c r="X625" s="581" t="e">
        <f t="shared" si="338"/>
        <v>#NAME?</v>
      </c>
      <c r="Y625" s="584" t="e">
        <f t="shared" si="336"/>
        <v>#NAME?</v>
      </c>
      <c r="Z625" s="147" t="s">
        <v>726</v>
      </c>
      <c r="AC625" s="147">
        <f>Zero2</f>
        <v>597.87732259112101</v>
      </c>
      <c r="AD625" s="583">
        <f>20*LOG10((Q625/(O625*S625))*Aea)</f>
        <v>20.229012542206405</v>
      </c>
      <c r="AE625" s="584">
        <f>(R625-(P625+T625))*radconv</f>
        <v>-45.120093555433904</v>
      </c>
      <c r="AG625" s="583" t="e">
        <f t="shared" si="339"/>
        <v>#DIV/0!</v>
      </c>
      <c r="AH625" s="584" t="e">
        <f t="shared" si="340"/>
        <v>#NAME?</v>
      </c>
    </row>
    <row r="626" spans="7:34">
      <c r="G626" s="597">
        <f>pole3</f>
        <v>0</v>
      </c>
      <c r="H626" s="593"/>
      <c r="I626" s="594">
        <f t="shared" si="326"/>
        <v>1</v>
      </c>
      <c r="J626" s="586">
        <f t="shared" si="327"/>
        <v>0</v>
      </c>
      <c r="K626" s="586">
        <f t="shared" si="328"/>
        <v>1</v>
      </c>
      <c r="L626" s="587">
        <f t="shared" si="329"/>
        <v>0</v>
      </c>
      <c r="M626" s="575">
        <v>1</v>
      </c>
      <c r="N626" s="576">
        <v>0</v>
      </c>
      <c r="O626" s="594">
        <f t="shared" si="330"/>
        <v>1</v>
      </c>
      <c r="P626" s="595">
        <f t="shared" si="331"/>
        <v>0</v>
      </c>
      <c r="Q626" s="586">
        <f t="shared" si="332"/>
        <v>1</v>
      </c>
      <c r="R626" s="587">
        <f t="shared" si="333"/>
        <v>0</v>
      </c>
      <c r="S626" s="574">
        <f t="shared" si="334"/>
        <v>1</v>
      </c>
      <c r="T626" s="577">
        <f t="shared" si="335"/>
        <v>0</v>
      </c>
      <c r="U626" s="594" t="e">
        <f>SQRT((1-(G626^2/(pole3^2)))^2+(G626/(Q*pole3))^2)</f>
        <v>#DIV/0!</v>
      </c>
      <c r="V626" s="579" t="e">
        <f>ATAN((G626/(Q*pole3))/(1-G626^2/pole3^2))</f>
        <v>#NAME?</v>
      </c>
      <c r="W626" s="580" t="e">
        <f t="shared" si="337"/>
        <v>#DIV/0!</v>
      </c>
      <c r="X626" s="581" t="e">
        <f t="shared" si="338"/>
        <v>#NAME?</v>
      </c>
      <c r="Y626" s="584" t="e">
        <f t="shared" si="336"/>
        <v>#NAME?</v>
      </c>
      <c r="Z626" s="147" t="s">
        <v>691</v>
      </c>
      <c r="AD626" s="583">
        <f>20*LOG10((Q626/(O626*S626))*Aea)</f>
        <v>105.10545010206611</v>
      </c>
      <c r="AE626" s="584">
        <f>(R626-(P626+T626))*radconv</f>
        <v>0</v>
      </c>
      <c r="AG626" s="583" t="e">
        <f t="shared" si="339"/>
        <v>#DIV/0!</v>
      </c>
      <c r="AH626" s="584" t="e">
        <f t="shared" si="340"/>
        <v>#NAME?</v>
      </c>
    </row>
    <row r="627" spans="7:34" ht="13.5" thickBot="1">
      <c r="G627" s="172">
        <v>195034.73926858415</v>
      </c>
      <c r="I627" s="594">
        <f>SQRT(1+(G627/pole1)^2)</f>
        <v>550.88593890400432</v>
      </c>
      <c r="J627" s="586">
        <f>ATAN(G627/pole1)</f>
        <v>1.5689810679934397</v>
      </c>
      <c r="K627" s="586">
        <f>SQRT(1+(G627/Zero1)^2)</f>
        <v>1.0357038013828048</v>
      </c>
      <c r="L627" s="587">
        <f>ATAN(G627/Zero1)</f>
        <v>0.26333587077918175</v>
      </c>
      <c r="M627" s="575">
        <v>1</v>
      </c>
      <c r="N627" s="576">
        <v>0</v>
      </c>
      <c r="O627" s="594">
        <f>SQRT(1+(G627/Pole2)^2)</f>
        <v>8087900.0846272875</v>
      </c>
      <c r="P627" s="595">
        <f>ATAN(G627/Pole2)</f>
        <v>1.5707962031534088</v>
      </c>
      <c r="Q627" s="586">
        <f>SQRT(1+(G627/Zero2)^2)</f>
        <v>326.21350282208084</v>
      </c>
      <c r="R627" s="587">
        <f>ATAN(G627/Zero2)</f>
        <v>1.5677308449630682</v>
      </c>
      <c r="S627" s="574">
        <f>SQRT(1+(G627/pole4)^2)</f>
        <v>1.2188846996776499</v>
      </c>
      <c r="T627" s="577">
        <f>ATAN(G627/pole4)</f>
        <v>0.60864737062028507</v>
      </c>
      <c r="U627" s="594" t="e">
        <v>#DIV/0!</v>
      </c>
      <c r="V627" s="579" t="e">
        <v>#DIV/0!</v>
      </c>
      <c r="W627" s="580" t="e">
        <f t="shared" si="337"/>
        <v>#DIV/0!</v>
      </c>
      <c r="X627" s="581" t="e">
        <f t="shared" si="338"/>
        <v>#DIV/0!</v>
      </c>
      <c r="Y627" s="584" t="e">
        <f>IF(X627&gt;0,X627,X627+180)</f>
        <v>#DIV/0!</v>
      </c>
      <c r="Z627" s="147" t="s">
        <v>727</v>
      </c>
      <c r="AD627" s="598"/>
      <c r="AE627" s="599"/>
      <c r="AG627" s="583" t="e">
        <f t="shared" si="339"/>
        <v>#DIV/0!</v>
      </c>
      <c r="AH627" s="584" t="e">
        <f t="shared" si="340"/>
        <v>#DIV/0!</v>
      </c>
    </row>
    <row r="628" spans="7:34">
      <c r="G628" s="172">
        <f>z_RHP</f>
        <v>476868.74389140494</v>
      </c>
      <c r="I628" s="594">
        <f>SQRT(1+(G628/pole1)^2)</f>
        <v>1346.9391467222742</v>
      </c>
      <c r="J628" s="586">
        <f>ATAN(G628/pole1)</f>
        <v>1.5700539026888789</v>
      </c>
      <c r="K628" s="586">
        <f>SQRT(1+(G628/Zero1)^2)</f>
        <v>1.1977115840122714</v>
      </c>
      <c r="L628" s="587">
        <f>ATAN(G628/Zero1)</f>
        <v>0.58279883438757163</v>
      </c>
      <c r="M628" s="575">
        <v>1</v>
      </c>
      <c r="N628" s="576">
        <v>0</v>
      </c>
      <c r="O628" s="594">
        <f>SQRT(1+(G628/Pole2)^2)</f>
        <v>19775280.898876432</v>
      </c>
      <c r="P628" s="595">
        <f>ATAN(G628/Pole2)</f>
        <v>1.5707962762267147</v>
      </c>
      <c r="Q628" s="586">
        <f>SQRT(1+(G628/Zero2)^2)</f>
        <v>797.60362313272219</v>
      </c>
      <c r="R628" s="587">
        <f>ATAN(G628/Zero2)</f>
        <v>1.5695425708778206</v>
      </c>
      <c r="S628" s="574">
        <f>SQRT(1+(G628/pole4)^2)</f>
        <v>1.9757312288209152</v>
      </c>
      <c r="T628" s="577">
        <f>ATAN(G628/pole4)</f>
        <v>1.0400910667558336</v>
      </c>
      <c r="U628" s="594" t="e">
        <v>#DIV/0!</v>
      </c>
      <c r="V628" s="579" t="e">
        <v>#DIV/0!</v>
      </c>
      <c r="W628" s="580" t="e">
        <f t="shared" si="337"/>
        <v>#DIV/0!</v>
      </c>
      <c r="X628" s="581" t="e">
        <f t="shared" si="338"/>
        <v>#DIV/0!</v>
      </c>
      <c r="Y628" s="584" t="e">
        <f>IF(X628&gt;0,X628,X628+180)</f>
        <v>#DIV/0!</v>
      </c>
      <c r="Z628" s="147" t="s">
        <v>712</v>
      </c>
      <c r="AD628" s="592"/>
      <c r="AE628" s="592"/>
      <c r="AG628" s="583" t="e">
        <f t="shared" si="339"/>
        <v>#DIV/0!</v>
      </c>
      <c r="AH628" s="584" t="e">
        <f t="shared" si="340"/>
        <v>#DIV/0!</v>
      </c>
    </row>
    <row r="629" spans="7:34">
      <c r="G629" s="172">
        <v>195034.73926858415</v>
      </c>
      <c r="W629" s="580">
        <v>-25</v>
      </c>
    </row>
    <row r="631" spans="7:34">
      <c r="J631" s="147" t="s">
        <v>728</v>
      </c>
      <c r="K631" s="147" t="s">
        <v>729</v>
      </c>
    </row>
    <row r="632" spans="7:34">
      <c r="G632" s="147" t="s">
        <v>713</v>
      </c>
      <c r="H632" s="147" t="s">
        <v>730</v>
      </c>
      <c r="I632" s="149">
        <f>pole1</f>
        <v>354.03891591937634</v>
      </c>
      <c r="J632" s="149" t="e">
        <f>W622</f>
        <v>#DIV/0!</v>
      </c>
      <c r="K632" s="149" t="e">
        <f>AG622</f>
        <v>#DIV/0!</v>
      </c>
    </row>
    <row r="633" spans="7:34">
      <c r="G633" s="147" t="s">
        <v>714</v>
      </c>
      <c r="H633" s="147" t="s">
        <v>731</v>
      </c>
      <c r="I633" s="149">
        <f>Zero1</f>
        <v>723431.56033525639</v>
      </c>
      <c r="J633" s="149" t="e">
        <f>W623</f>
        <v>#DIV/0!</v>
      </c>
      <c r="K633" s="149" t="e">
        <f>AG623</f>
        <v>#DIV/0!</v>
      </c>
    </row>
    <row r="634" spans="7:34">
      <c r="G634" s="147" t="s">
        <v>715</v>
      </c>
      <c r="H634" s="147" t="s">
        <v>732</v>
      </c>
      <c r="I634" s="149">
        <f>Pole2</f>
        <v>2.4114385344508542E-2</v>
      </c>
      <c r="J634" s="149" t="e">
        <f>W624</f>
        <v>#DIV/0!</v>
      </c>
      <c r="K634" s="149" t="e">
        <f>AG624</f>
        <v>#DIV/0!</v>
      </c>
    </row>
    <row r="635" spans="7:34">
      <c r="G635" s="147" t="s">
        <v>726</v>
      </c>
      <c r="H635" s="147" t="s">
        <v>733</v>
      </c>
      <c r="I635" s="149">
        <f>Zero2</f>
        <v>597.87732259112101</v>
      </c>
      <c r="J635" s="149" t="e">
        <f>W625</f>
        <v>#DIV/0!</v>
      </c>
      <c r="K635" s="149" t="e">
        <f>AG625</f>
        <v>#DIV/0!</v>
      </c>
    </row>
    <row r="636" spans="7:34">
      <c r="G636" s="147" t="s">
        <v>691</v>
      </c>
      <c r="H636" s="147" t="s">
        <v>734</v>
      </c>
      <c r="I636" s="147">
        <f>pole3</f>
        <v>0</v>
      </c>
      <c r="J636" s="149" t="e">
        <f>W626</f>
        <v>#DIV/0!</v>
      </c>
      <c r="K636" s="149" t="e">
        <f>AG626</f>
        <v>#DIV/0!</v>
      </c>
    </row>
    <row r="637" spans="7:34">
      <c r="I637" s="172"/>
      <c r="J637" s="149"/>
      <c r="K637" s="149"/>
    </row>
    <row r="639" spans="7:34">
      <c r="G639" s="149">
        <f>W4*1000</f>
        <v>4365.2</v>
      </c>
    </row>
    <row r="640" spans="7:34">
      <c r="G640" s="149">
        <f>W4*1000</f>
        <v>4365.2</v>
      </c>
    </row>
    <row r="687" spans="36:37">
      <c r="AJ687" s="147" t="s">
        <v>705</v>
      </c>
      <c r="AK687" s="149">
        <f>SUM(AK689:AK1306)</f>
        <v>0</v>
      </c>
    </row>
  </sheetData>
  <sheetProtection algorithmName="SHA-512" hashValue="3wRbkLafQbWEivON440wq1tRtzjKSQuX0+eAYjdySUS0l8YP+HdKBoadk1H5JN48H/8nnVQKvlUIHNGXSS7ncQ==" saltValue="FWF0zQLVZY8DG1HaDs4a7Q==" spinCount="100000" sheet="1" selectLockedCells="1" selectUnlockedCells="1"/>
  <mergeCells count="20">
    <mergeCell ref="W10:Y10"/>
    <mergeCell ref="AD10:AE10"/>
    <mergeCell ref="AG10:AH10"/>
    <mergeCell ref="I11:J11"/>
    <mergeCell ref="K11:L11"/>
    <mergeCell ref="M11:N11"/>
    <mergeCell ref="O11:P11"/>
    <mergeCell ref="Q11:R11"/>
    <mergeCell ref="S11:T11"/>
    <mergeCell ref="U11:V11"/>
    <mergeCell ref="G2:J2"/>
    <mergeCell ref="K2:M2"/>
    <mergeCell ref="P2:R2"/>
    <mergeCell ref="S2:U2"/>
    <mergeCell ref="V2:X2"/>
    <mergeCell ref="G10:G12"/>
    <mergeCell ref="H10:H11"/>
    <mergeCell ref="I10:N10"/>
    <mergeCell ref="O10:T10"/>
    <mergeCell ref="U10:V10"/>
  </mergeCells>
  <phoneticPr fontId="83"/>
  <hyperlinks>
    <hyperlink ref="C50" r:id="rId1" display="Gpwr_@Fco" xr:uid="{4F4202D4-BC5C-4B6D-9289-7BEBC6947453}"/>
  </hyperlinks>
  <pageMargins left="0.75" right="0.75" top="1" bottom="1" header="0.5" footer="0.5"/>
  <pageSetup scale="48" orientation="portrait" horizontalDpi="300" verticalDpi="300" r:id="rId2"/>
  <headerFooter alignWithMargins="0"/>
  <colBreaks count="1" manualBreakCount="1">
    <brk id="25"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40353" r:id="rId5" name="Drop Down 1">
              <controlPr locked="0" defaultSize="0" autoLine="0" autoPict="0">
                <anchor moveWithCells="1">
                  <from>
                    <xdr:col>0</xdr:col>
                    <xdr:colOff>38100</xdr:colOff>
                    <xdr:row>2</xdr:row>
                    <xdr:rowOff>123825</xdr:rowOff>
                  </from>
                  <to>
                    <xdr:col>1</xdr:col>
                    <xdr:colOff>104775</xdr:colOff>
                    <xdr:row>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sheetPr>
  <dimension ref="A1:Z315"/>
  <sheetViews>
    <sheetView zoomScale="70" zoomScaleNormal="70" workbookViewId="0">
      <pane ySplit="5" topLeftCell="A84" activePane="bottomLeft" state="frozenSplit"/>
      <selection pane="bottomLeft" activeCell="S122" sqref="S122"/>
    </sheetView>
  </sheetViews>
  <sheetFormatPr defaultRowHeight="12.75"/>
  <cols>
    <col min="1" max="1" width="40.42578125" customWidth="1"/>
    <col min="2" max="2" width="11.85546875" customWidth="1"/>
    <col min="3" max="3" width="9.42578125" style="3" customWidth="1"/>
    <col min="4" max="4" width="10.28515625" customWidth="1"/>
    <col min="5" max="5" width="11.5703125" customWidth="1"/>
    <col min="6" max="6" width="14.85546875" customWidth="1"/>
    <col min="7" max="7" width="12.42578125" bestFit="1" customWidth="1"/>
    <col min="8" max="8" width="20.140625" customWidth="1"/>
    <col min="9" max="9" width="14.42578125" customWidth="1"/>
    <col min="10" max="10" width="12.42578125" bestFit="1" customWidth="1"/>
    <col min="11" max="11" width="12" customWidth="1"/>
    <col min="12" max="12" width="8.85546875" customWidth="1"/>
    <col min="13" max="13" width="7" customWidth="1"/>
    <col min="14" max="14" width="9.28515625" customWidth="1"/>
    <col min="16" max="16" width="7.140625" customWidth="1"/>
    <col min="17" max="17" width="11" customWidth="1"/>
    <col min="18" max="18" width="13.85546875" customWidth="1"/>
    <col min="19" max="19" width="5.42578125" customWidth="1"/>
    <col min="20" max="20" width="16.28515625" customWidth="1"/>
    <col min="22" max="22" width="9.7109375" customWidth="1"/>
    <col min="23" max="23" width="11.28515625" customWidth="1"/>
    <col min="24" max="24" width="5.85546875" customWidth="1"/>
    <col min="25" max="25" width="12" bestFit="1" customWidth="1"/>
    <col min="26" max="26" width="7.85546875" customWidth="1"/>
  </cols>
  <sheetData>
    <row r="1" spans="1:26" ht="30.75" customHeight="1">
      <c r="A1" s="809" t="s">
        <v>171</v>
      </c>
      <c r="B1" s="809"/>
      <c r="C1" s="809"/>
      <c r="D1" s="809"/>
      <c r="E1" s="809"/>
      <c r="F1" s="809"/>
      <c r="G1" s="809"/>
      <c r="H1" s="809"/>
      <c r="I1" s="809"/>
    </row>
    <row r="2" spans="1:26" ht="12" customHeight="1">
      <c r="A2" s="14"/>
      <c r="B2" s="14" t="s">
        <v>81</v>
      </c>
      <c r="C2" s="15"/>
      <c r="E2" s="14"/>
      <c r="F2" s="14"/>
      <c r="G2" s="14"/>
      <c r="H2" s="14"/>
      <c r="I2" s="14"/>
    </row>
    <row r="3" spans="1:26" ht="11.25" customHeight="1">
      <c r="A3" s="14"/>
      <c r="B3" s="14" t="s">
        <v>100</v>
      </c>
      <c r="C3" s="16"/>
      <c r="E3" s="14"/>
      <c r="F3" s="14"/>
      <c r="G3" s="14"/>
      <c r="H3" s="14"/>
      <c r="I3" s="14"/>
    </row>
    <row r="4" spans="1:26" ht="11.25" customHeight="1">
      <c r="A4" s="14"/>
      <c r="B4" s="14" t="s">
        <v>82</v>
      </c>
      <c r="C4" s="17"/>
      <c r="E4" s="14"/>
      <c r="F4" s="14"/>
      <c r="G4" s="14"/>
      <c r="H4" s="14"/>
      <c r="I4" s="14"/>
    </row>
    <row r="5" spans="1:26">
      <c r="A5" s="3" t="s">
        <v>19</v>
      </c>
      <c r="B5" s="3" t="s">
        <v>6</v>
      </c>
      <c r="C5" s="3" t="s">
        <v>7</v>
      </c>
      <c r="E5" s="808" t="s">
        <v>9</v>
      </c>
      <c r="F5" s="808"/>
      <c r="G5" s="808"/>
      <c r="H5" s="808"/>
      <c r="I5" s="3" t="s">
        <v>173</v>
      </c>
    </row>
    <row r="6" spans="1:26" ht="16.5" thickBot="1">
      <c r="A6" s="39" t="s">
        <v>61</v>
      </c>
      <c r="B6" s="3"/>
      <c r="D6" s="3"/>
      <c r="E6" s="14"/>
      <c r="F6" s="14"/>
      <c r="G6" s="14"/>
      <c r="H6" s="14"/>
      <c r="I6" s="3"/>
    </row>
    <row r="7" spans="1:26">
      <c r="A7" s="88" t="s">
        <v>145</v>
      </c>
      <c r="B7" s="7">
        <f>'Design Converter'!E6</f>
        <v>9</v>
      </c>
      <c r="C7" s="26" t="s">
        <v>0</v>
      </c>
      <c r="D7" s="61" t="s">
        <v>146</v>
      </c>
      <c r="E7" s="26"/>
      <c r="F7" s="26"/>
      <c r="G7" s="26"/>
      <c r="H7" s="26"/>
      <c r="I7" s="27">
        <v>1</v>
      </c>
    </row>
    <row r="8" spans="1:26">
      <c r="A8" s="89" t="s">
        <v>143</v>
      </c>
      <c r="B8" s="8">
        <f>'Design Converter'!E7</f>
        <v>48</v>
      </c>
      <c r="C8" t="s">
        <v>0</v>
      </c>
      <c r="D8" t="s">
        <v>10</v>
      </c>
      <c r="I8" s="20"/>
    </row>
    <row r="9" spans="1:26">
      <c r="A9" s="89" t="s">
        <v>144</v>
      </c>
      <c r="B9" s="8">
        <f>'Design Converter'!E8</f>
        <v>60</v>
      </c>
      <c r="C9" t="s">
        <v>0</v>
      </c>
      <c r="D9" s="59" t="s">
        <v>147</v>
      </c>
      <c r="I9" s="20"/>
    </row>
    <row r="10" spans="1:26" ht="13.5" thickBot="1">
      <c r="A10" s="89"/>
      <c r="B10" s="177"/>
      <c r="C10"/>
      <c r="D10" s="59"/>
      <c r="I10" s="20"/>
    </row>
    <row r="11" spans="1:26">
      <c r="A11" s="19" t="s">
        <v>4</v>
      </c>
      <c r="B11" s="8">
        <f>'Design Converter'!E10</f>
        <v>5</v>
      </c>
      <c r="C11" t="s">
        <v>0</v>
      </c>
      <c r="D11" s="59" t="s">
        <v>563</v>
      </c>
      <c r="G11">
        <f>(Vout+Vfwd2)*Nps</f>
        <v>5.7</v>
      </c>
      <c r="I11" s="20">
        <v>1</v>
      </c>
      <c r="K11" t="str">
        <f>'Variable Mgmt'!B73&amp;" Output PSR Flyback Converter, "&amp;"VIN = "&amp;Vin&amp;" V, VOUT = "&amp;Vout&amp;" V, IOUT = "&amp;Iout&amp;" A"</f>
        <v>SINGLE Output PSR Flyback Converter, VIN = 48 V, VOUT = 5 V, IOUT = 1.2 A</v>
      </c>
      <c r="W11" s="640" t="s">
        <v>788</v>
      </c>
      <c r="X11" s="129"/>
      <c r="Y11" s="129"/>
      <c r="Z11" s="627"/>
    </row>
    <row r="12" spans="1:26">
      <c r="A12" s="19" t="s">
        <v>5</v>
      </c>
      <c r="B12" s="8">
        <f>'Design Converter'!E11</f>
        <v>1.2</v>
      </c>
      <c r="C12" s="59" t="s">
        <v>1</v>
      </c>
      <c r="D12" s="59" t="s">
        <v>648</v>
      </c>
      <c r="I12" s="20">
        <v>1</v>
      </c>
      <c r="K12" t="str">
        <f>'Variable Mgmt'!B73&amp;" Output PSR Flyback Converter, "&amp;"VIN = "&amp;Vin&amp;" V, VOUT1 = "&amp;Vout&amp;" V, IOUT1 = "&amp;Iout&amp;" A"&amp;", VOUT2 = "&amp;Vout2_actual&amp;" V, IOUT2 = "&amp;Iout2_actual&amp;" A"</f>
        <v>SINGLE Output PSR Flyback Converter, VIN = 48 V, VOUT1 = 5 V, IOUT1 = 1.2 A, VOUT2 = 8 V, IOUT2 = 0.25 A</v>
      </c>
      <c r="L12" s="59"/>
      <c r="W12" s="19"/>
      <c r="X12" t="s">
        <v>787</v>
      </c>
      <c r="Y12">
        <f>'Calculations - Single'!AQ105*1000</f>
        <v>147851.37767647146</v>
      </c>
      <c r="Z12" s="20" t="s">
        <v>8</v>
      </c>
    </row>
    <row r="13" spans="1:26">
      <c r="A13" s="89" t="s">
        <v>168</v>
      </c>
      <c r="B13" s="130">
        <f>Vout/Iout</f>
        <v>4.166666666666667</v>
      </c>
      <c r="C13" s="91" t="s">
        <v>45</v>
      </c>
      <c r="D13" s="59" t="s">
        <v>169</v>
      </c>
      <c r="I13" s="20"/>
      <c r="W13" s="19"/>
      <c r="X13" t="s">
        <v>789</v>
      </c>
      <c r="Y13">
        <f>Lmag</f>
        <v>1.2E-5</v>
      </c>
      <c r="Z13" s="20" t="s">
        <v>11</v>
      </c>
    </row>
    <row r="14" spans="1:26">
      <c r="A14" s="89" t="s">
        <v>152</v>
      </c>
      <c r="B14" s="130">
        <f>Vout*Iout</f>
        <v>6</v>
      </c>
      <c r="C14" t="s">
        <v>45</v>
      </c>
      <c r="D14" s="59" t="s">
        <v>158</v>
      </c>
      <c r="I14" s="20"/>
      <c r="L14" s="59"/>
      <c r="W14" s="19"/>
      <c r="X14" t="s">
        <v>791</v>
      </c>
      <c r="Y14">
        <f>G11/(G11+VIN_nom/Npri_sec)</f>
        <v>0.10614525139664804</v>
      </c>
      <c r="Z14" s="20"/>
    </row>
    <row r="15" spans="1:26">
      <c r="B15" s="5"/>
      <c r="C15"/>
      <c r="D15" s="59"/>
      <c r="I15" s="20"/>
      <c r="L15" s="59"/>
      <c r="W15" s="19"/>
      <c r="X15" t="s">
        <v>790</v>
      </c>
      <c r="Y15">
        <f>VIN_nom/Lmag*Y14/Y12</f>
        <v>2.8716743276864203</v>
      </c>
      <c r="Z15" s="20" t="s">
        <v>1</v>
      </c>
    </row>
    <row r="16" spans="1:26">
      <c r="A16" s="89" t="s">
        <v>608</v>
      </c>
      <c r="B16" s="492">
        <f>ABS('Design Converter'!E12)</f>
        <v>8</v>
      </c>
      <c r="C16" t="s">
        <v>0</v>
      </c>
      <c r="D16" s="59" t="s">
        <v>565</v>
      </c>
      <c r="I16" s="20"/>
      <c r="L16" s="59"/>
      <c r="W16" s="19"/>
      <c r="X16" t="s">
        <v>792</v>
      </c>
      <c r="Y16">
        <f>0.5*Y15^2*Y13*Y12</f>
        <v>7.3155502425978076</v>
      </c>
      <c r="Z16" s="20"/>
    </row>
    <row r="17" spans="1:26">
      <c r="A17" s="89" t="s">
        <v>609</v>
      </c>
      <c r="B17" s="525">
        <f>'Design Converter'!E12</f>
        <v>8</v>
      </c>
      <c r="C17" t="s">
        <v>0</v>
      </c>
      <c r="D17" s="59"/>
      <c r="I17" s="20"/>
      <c r="L17" s="59"/>
      <c r="P17" s="3" t="s">
        <v>769</v>
      </c>
      <c r="W17" s="19"/>
      <c r="X17" t="s">
        <v>769</v>
      </c>
      <c r="Y17" s="3" t="str">
        <f>IF((Y16/(G11*Iout))&lt;1.01, "BCM", "DCM")</f>
        <v>DCM</v>
      </c>
      <c r="Z17" s="20"/>
    </row>
    <row r="18" spans="1:26">
      <c r="A18" s="89" t="s">
        <v>498</v>
      </c>
      <c r="B18" s="492">
        <f>ABS('Design Converter'!E13)</f>
        <v>0.25</v>
      </c>
      <c r="C18" s="59" t="s">
        <v>1</v>
      </c>
      <c r="D18" s="59" t="s">
        <v>564</v>
      </c>
      <c r="I18" s="20"/>
      <c r="L18" s="59"/>
      <c r="P18" s="3" t="s">
        <v>768</v>
      </c>
      <c r="Q18">
        <v>1</v>
      </c>
      <c r="W18" s="19"/>
      <c r="Z18" s="20"/>
    </row>
    <row r="19" spans="1:26" ht="13.5" thickBot="1">
      <c r="A19" s="59" t="s">
        <v>647</v>
      </c>
      <c r="B19">
        <f>Iout2*SIGN(Vout2_actual)</f>
        <v>0.25</v>
      </c>
      <c r="C19" s="59" t="s">
        <v>1</v>
      </c>
      <c r="I19" s="20"/>
      <c r="L19" s="59"/>
      <c r="P19" s="3" t="s">
        <v>767</v>
      </c>
      <c r="Q19">
        <v>2</v>
      </c>
      <c r="W19" s="637"/>
      <c r="X19" s="157" t="s">
        <v>793</v>
      </c>
      <c r="Y19" s="157">
        <f>Vout*Iout</f>
        <v>6</v>
      </c>
      <c r="Z19" s="639"/>
    </row>
    <row r="20" spans="1:26">
      <c r="A20" s="89" t="s">
        <v>499</v>
      </c>
      <c r="B20" s="130">
        <f>ABS(Vout2/Iout2)</f>
        <v>32</v>
      </c>
      <c r="C20" s="91" t="s">
        <v>45</v>
      </c>
      <c r="D20" s="59" t="s">
        <v>501</v>
      </c>
      <c r="I20" s="20"/>
      <c r="K20" s="59" t="s">
        <v>530</v>
      </c>
      <c r="L20" s="59" t="s">
        <v>531</v>
      </c>
      <c r="Q20" s="3">
        <v>2</v>
      </c>
    </row>
    <row r="21" spans="1:26">
      <c r="A21" s="89" t="s">
        <v>500</v>
      </c>
      <c r="B21" s="130">
        <f>ABS(Vout2*Iout2)</f>
        <v>2</v>
      </c>
      <c r="C21" t="s">
        <v>45</v>
      </c>
      <c r="D21" s="59" t="s">
        <v>502</v>
      </c>
      <c r="I21" s="20"/>
      <c r="K21">
        <v>5</v>
      </c>
      <c r="L21" s="59">
        <v>-5</v>
      </c>
    </row>
    <row r="22" spans="1:26">
      <c r="A22" s="89" t="s">
        <v>503</v>
      </c>
      <c r="B22" s="130">
        <f>CHOOSE(MODE, Pout, Pout + Pout2)</f>
        <v>6</v>
      </c>
      <c r="C22" t="s">
        <v>45</v>
      </c>
      <c r="D22" s="59" t="s">
        <v>504</v>
      </c>
      <c r="I22" s="20"/>
      <c r="K22">
        <v>0.2</v>
      </c>
      <c r="L22" s="59">
        <v>0.2</v>
      </c>
    </row>
    <row r="23" spans="1:26">
      <c r="A23" s="89"/>
      <c r="B23" s="5"/>
      <c r="C23"/>
      <c r="D23" s="59"/>
      <c r="I23" s="20"/>
      <c r="L23" s="59"/>
    </row>
    <row r="24" spans="1:26">
      <c r="A24" s="29" t="str">
        <f>CHOOSE(MODE, "Turns Ratio, PRI : SEC", "Turns Ratio, PRI : SEC1")</f>
        <v>Turns Ratio, PRI : SEC</v>
      </c>
      <c r="B24" s="90" t="str">
        <f>Nps</f>
        <v>1</v>
      </c>
      <c r="C24"/>
      <c r="D24" s="59" t="str">
        <f>CHOOSE(MODE, "TR primary-secondary (single output) = Np/Ns", "TR primary-secondary1 (dual output) = Np/Nsec1")</f>
        <v>TR primary-secondary (single output) = Np/Ns</v>
      </c>
      <c r="I24" s="20"/>
      <c r="L24" s="59"/>
    </row>
    <row r="25" spans="1:26">
      <c r="A25" s="29" t="s">
        <v>576</v>
      </c>
      <c r="B25" s="150">
        <f>Npri_sec2</f>
        <v>0.67058823529411771</v>
      </c>
      <c r="D25" s="59" t="s">
        <v>577</v>
      </c>
      <c r="I25" s="20"/>
      <c r="L25" s="59"/>
    </row>
    <row r="26" spans="1:26" ht="13.5" thickBot="1">
      <c r="A26" s="29" t="s">
        <v>589</v>
      </c>
      <c r="B26" s="524">
        <f>Nsec1sec2</f>
        <v>1.4912280701754386</v>
      </c>
      <c r="D26" s="59" t="s">
        <v>578</v>
      </c>
      <c r="I26" s="20"/>
      <c r="L26" s="59"/>
      <c r="R26" s="134" t="s">
        <v>389</v>
      </c>
      <c r="V26" s="134" t="s">
        <v>389</v>
      </c>
    </row>
    <row r="27" spans="1:26">
      <c r="I27" s="20"/>
      <c r="K27" s="134" t="s">
        <v>529</v>
      </c>
      <c r="P27" s="626"/>
      <c r="Q27" s="129"/>
      <c r="R27" s="132" t="s">
        <v>571</v>
      </c>
      <c r="S27" s="129"/>
      <c r="T27" s="129"/>
      <c r="U27" s="129"/>
      <c r="V27" s="132" t="s">
        <v>572</v>
      </c>
      <c r="W27" s="627"/>
    </row>
    <row r="28" spans="1:26">
      <c r="A28" s="59" t="s">
        <v>610</v>
      </c>
      <c r="B28" s="5">
        <f>Vout+VIN_max/Nps</f>
        <v>65</v>
      </c>
      <c r="C28" s="59" t="s">
        <v>0</v>
      </c>
      <c r="I28" s="20"/>
      <c r="K28" s="59" t="s">
        <v>526</v>
      </c>
      <c r="L28">
        <v>1</v>
      </c>
      <c r="P28" s="19"/>
      <c r="R28" t="str">
        <f>"20 : 1"</f>
        <v>20 : 1</v>
      </c>
      <c r="S28">
        <v>1</v>
      </c>
      <c r="T28">
        <v>20</v>
      </c>
      <c r="V28" t="str">
        <f>"20 : 1"</f>
        <v>20 : 1</v>
      </c>
      <c r="W28">
        <v>1</v>
      </c>
    </row>
    <row r="29" spans="1:26">
      <c r="A29" s="59"/>
      <c r="B29" s="5"/>
      <c r="C29" s="59"/>
      <c r="I29" s="722"/>
      <c r="K29" s="59"/>
      <c r="P29" s="19"/>
      <c r="R29" t="str">
        <f>"15 : 1"</f>
        <v>15 : 1</v>
      </c>
      <c r="S29">
        <v>2</v>
      </c>
      <c r="T29">
        <v>15</v>
      </c>
      <c r="V29" t="str">
        <f>"15 : 1"</f>
        <v>15 : 1</v>
      </c>
      <c r="W29">
        <v>2</v>
      </c>
    </row>
    <row r="30" spans="1:26">
      <c r="A30" s="59"/>
      <c r="B30" s="5"/>
      <c r="C30" s="59"/>
      <c r="I30" s="722"/>
      <c r="K30" s="59"/>
      <c r="P30" s="19"/>
      <c r="R30" t="str">
        <f>"10 : 1"</f>
        <v>10 : 1</v>
      </c>
      <c r="S30">
        <v>3</v>
      </c>
      <c r="T30">
        <v>10</v>
      </c>
      <c r="V30" t="str">
        <f>"10 : 1"</f>
        <v>10 : 1</v>
      </c>
      <c r="W30">
        <v>3</v>
      </c>
    </row>
    <row r="31" spans="1:26">
      <c r="A31" s="59"/>
      <c r="B31" s="5"/>
      <c r="C31" s="59"/>
      <c r="I31" s="722"/>
      <c r="K31" s="59"/>
      <c r="P31" s="19"/>
      <c r="R31" t="str">
        <f>"8 : 1"</f>
        <v>8 : 1</v>
      </c>
      <c r="S31">
        <v>4</v>
      </c>
      <c r="T31">
        <v>8</v>
      </c>
      <c r="V31" t="str">
        <f>"8 : 1"</f>
        <v>8 : 1</v>
      </c>
      <c r="W31">
        <v>4</v>
      </c>
    </row>
    <row r="32" spans="1:26">
      <c r="A32" s="59"/>
      <c r="B32" s="5"/>
      <c r="C32" s="59"/>
      <c r="I32" s="722"/>
      <c r="K32" s="59"/>
      <c r="P32" s="19"/>
      <c r="R32" t="str">
        <f>"6 : 1"</f>
        <v>6 : 1</v>
      </c>
      <c r="S32">
        <v>5</v>
      </c>
      <c r="T32">
        <v>6</v>
      </c>
      <c r="V32" t="str">
        <f>"6 : 1"</f>
        <v>6 : 1</v>
      </c>
      <c r="W32">
        <v>5</v>
      </c>
    </row>
    <row r="33" spans="1:23">
      <c r="A33" s="59"/>
      <c r="B33" s="5"/>
      <c r="C33" s="59"/>
      <c r="I33" s="722"/>
      <c r="K33" s="59"/>
      <c r="P33" s="19"/>
      <c r="R33" t="str">
        <f>"5 : 1"</f>
        <v>5 : 1</v>
      </c>
      <c r="S33">
        <v>6</v>
      </c>
      <c r="T33">
        <v>5</v>
      </c>
      <c r="V33" t="str">
        <f>"5 : 1"</f>
        <v>5 : 1</v>
      </c>
      <c r="W33">
        <v>6</v>
      </c>
    </row>
    <row r="34" spans="1:23">
      <c r="I34" s="20"/>
      <c r="K34" s="59" t="s">
        <v>527</v>
      </c>
      <c r="L34">
        <v>2</v>
      </c>
      <c r="P34" s="19"/>
      <c r="R34" t="str">
        <f>"4 : 1"</f>
        <v>4 : 1</v>
      </c>
      <c r="S34">
        <v>7</v>
      </c>
      <c r="T34">
        <v>4</v>
      </c>
      <c r="V34" t="str">
        <f>"4 : 1"</f>
        <v>4 : 1</v>
      </c>
      <c r="W34">
        <v>7</v>
      </c>
    </row>
    <row r="35" spans="1:23">
      <c r="A35" s="89" t="s">
        <v>436</v>
      </c>
      <c r="B35" s="314">
        <f>1%*Vout*1000</f>
        <v>50</v>
      </c>
      <c r="C35" t="s">
        <v>149</v>
      </c>
      <c r="D35" s="59" t="s">
        <v>454</v>
      </c>
      <c r="I35" s="20"/>
      <c r="K35" s="59" t="s">
        <v>528</v>
      </c>
      <c r="L35">
        <v>3</v>
      </c>
      <c r="P35" s="19"/>
      <c r="R35" t="str">
        <f>"3 : 1"</f>
        <v>3 : 1</v>
      </c>
      <c r="S35">
        <v>8</v>
      </c>
      <c r="T35">
        <v>3</v>
      </c>
      <c r="V35" t="str">
        <f>"3 : 1"</f>
        <v>3 : 1</v>
      </c>
      <c r="W35">
        <v>8</v>
      </c>
    </row>
    <row r="36" spans="1:23">
      <c r="A36" s="89" t="s">
        <v>547</v>
      </c>
      <c r="B36" s="314">
        <f>1%*Vout2*1000</f>
        <v>80</v>
      </c>
      <c r="C36" t="s">
        <v>149</v>
      </c>
      <c r="D36" s="59" t="s">
        <v>546</v>
      </c>
      <c r="I36" s="20"/>
      <c r="P36" s="19"/>
      <c r="R36" t="str">
        <f>"2.5 : 1"</f>
        <v>2.5 : 1</v>
      </c>
      <c r="S36">
        <v>9</v>
      </c>
      <c r="T36">
        <v>2.5</v>
      </c>
      <c r="V36" t="str">
        <f>"2.5 : 1"</f>
        <v>2.5 : 1</v>
      </c>
      <c r="W36">
        <v>9</v>
      </c>
    </row>
    <row r="37" spans="1:23">
      <c r="I37" s="20"/>
      <c r="P37" s="19"/>
      <c r="Q37" s="628"/>
      <c r="R37" t="str">
        <f>"2 : 1"</f>
        <v>2 : 1</v>
      </c>
      <c r="S37">
        <v>10</v>
      </c>
      <c r="T37">
        <v>2</v>
      </c>
      <c r="V37" t="str">
        <f>"2 : 1"</f>
        <v>2 : 1</v>
      </c>
      <c r="W37">
        <v>10</v>
      </c>
    </row>
    <row r="38" spans="1:23">
      <c r="I38" s="20"/>
      <c r="P38" s="19"/>
      <c r="Q38" s="628"/>
      <c r="R38" t="str">
        <f>"1.8 :1"</f>
        <v>1.8 :1</v>
      </c>
      <c r="S38">
        <v>11</v>
      </c>
      <c r="T38">
        <v>1.8</v>
      </c>
      <c r="V38" t="str">
        <f>"1.8 : 1"</f>
        <v>1.8 : 1</v>
      </c>
      <c r="W38">
        <v>11</v>
      </c>
    </row>
    <row r="39" spans="1:23">
      <c r="A39" s="89" t="s">
        <v>47</v>
      </c>
      <c r="B39" s="526">
        <v>1</v>
      </c>
      <c r="C39"/>
      <c r="D39" s="59" t="s">
        <v>175</v>
      </c>
      <c r="I39" s="20"/>
      <c r="P39" s="19"/>
      <c r="R39" t="str">
        <f>"1.5 : 1"</f>
        <v>1.5 : 1</v>
      </c>
      <c r="S39">
        <v>12</v>
      </c>
      <c r="T39">
        <v>1.5</v>
      </c>
      <c r="V39" t="str">
        <f>"1.5 : 1"</f>
        <v>1.5 : 1</v>
      </c>
      <c r="W39">
        <v>12</v>
      </c>
    </row>
    <row r="40" spans="1:23">
      <c r="A40" s="89"/>
      <c r="B40" s="526"/>
      <c r="C40"/>
      <c r="D40" s="59"/>
      <c r="I40" s="20"/>
      <c r="P40" s="19"/>
      <c r="R40" t="str">
        <f>"1.2 : 1"</f>
        <v>1.2 : 1</v>
      </c>
      <c r="S40">
        <v>13</v>
      </c>
      <c r="T40">
        <v>1.2</v>
      </c>
      <c r="V40" s="629" t="s">
        <v>785</v>
      </c>
      <c r="W40">
        <v>13</v>
      </c>
    </row>
    <row r="41" spans="1:23">
      <c r="A41" s="89" t="s">
        <v>156</v>
      </c>
      <c r="B41" s="359">
        <f>Pout_total/Efficiency</f>
        <v>6</v>
      </c>
      <c r="C41" t="s">
        <v>45</v>
      </c>
      <c r="D41" s="59" t="s">
        <v>455</v>
      </c>
      <c r="I41" s="20"/>
      <c r="P41" s="19"/>
      <c r="R41" t="str">
        <f>"1 : 1"</f>
        <v>1 : 1</v>
      </c>
      <c r="S41">
        <v>14</v>
      </c>
      <c r="T41">
        <v>1</v>
      </c>
      <c r="V41" t="str">
        <f>"1 : 1"</f>
        <v>1 : 1</v>
      </c>
      <c r="W41">
        <v>14</v>
      </c>
    </row>
    <row r="42" spans="1:23">
      <c r="A42" s="89"/>
      <c r="B42" s="359"/>
      <c r="C42"/>
      <c r="D42" s="59"/>
      <c r="I42" s="20"/>
      <c r="P42" s="19"/>
      <c r="R42" t="str">
        <f>"1 : 1.2"</f>
        <v>1 : 1.2</v>
      </c>
      <c r="S42">
        <v>15</v>
      </c>
      <c r="T42">
        <f>0.833</f>
        <v>0.83299999999999996</v>
      </c>
      <c r="V42" s="629" t="s">
        <v>786</v>
      </c>
      <c r="W42">
        <v>15</v>
      </c>
    </row>
    <row r="43" spans="1:23">
      <c r="A43" s="89" t="s">
        <v>153</v>
      </c>
      <c r="B43" s="139">
        <f>Pin/VIN_min</f>
        <v>0.66666666666666663</v>
      </c>
      <c r="C43" t="s">
        <v>1</v>
      </c>
      <c r="D43" s="59"/>
      <c r="I43" s="20"/>
      <c r="P43" s="19"/>
      <c r="R43" t="str">
        <f>"1 : 1.5"</f>
        <v>1 : 1.5</v>
      </c>
      <c r="S43">
        <v>16</v>
      </c>
      <c r="T43">
        <f>0.667</f>
        <v>0.66700000000000004</v>
      </c>
      <c r="V43" t="str">
        <f>"1 : 1.5"</f>
        <v>1 : 1.5</v>
      </c>
      <c r="W43">
        <v>16</v>
      </c>
    </row>
    <row r="44" spans="1:23">
      <c r="A44" s="89"/>
      <c r="B44" s="139"/>
      <c r="C44"/>
      <c r="D44" s="59"/>
      <c r="I44" s="20"/>
      <c r="P44" s="19"/>
      <c r="R44" t="str">
        <f>"1 : 1.8"</f>
        <v>1 : 1.8</v>
      </c>
      <c r="S44">
        <v>17</v>
      </c>
      <c r="T44">
        <f>0.556</f>
        <v>0.55600000000000005</v>
      </c>
      <c r="V44" t="str">
        <f>"1 : 1.8"</f>
        <v>1 : 1.8</v>
      </c>
      <c r="W44">
        <v>17</v>
      </c>
    </row>
    <row r="45" spans="1:23">
      <c r="A45" s="89" t="s">
        <v>154</v>
      </c>
      <c r="B45" s="139">
        <f>Pin/VIN_nom</f>
        <v>0.125</v>
      </c>
      <c r="C45" t="s">
        <v>1</v>
      </c>
      <c r="D45" s="59" t="s">
        <v>159</v>
      </c>
      <c r="I45" s="20">
        <v>1</v>
      </c>
      <c r="K45" s="59"/>
      <c r="P45" s="19"/>
      <c r="R45" t="str">
        <f>"1 : 2"</f>
        <v>1 : 2</v>
      </c>
      <c r="S45">
        <v>18</v>
      </c>
      <c r="T45">
        <f>1/2</f>
        <v>0.5</v>
      </c>
      <c r="V45" t="str">
        <f>"1 : 2"</f>
        <v>1 : 2</v>
      </c>
      <c r="W45">
        <v>18</v>
      </c>
    </row>
    <row r="46" spans="1:23">
      <c r="A46" s="89"/>
      <c r="B46" s="139"/>
      <c r="C46"/>
      <c r="D46" s="59"/>
      <c r="I46" s="20"/>
      <c r="K46" s="59"/>
      <c r="P46" s="19"/>
      <c r="R46" t="str">
        <f>"1 : 2.5"</f>
        <v>1 : 2.5</v>
      </c>
      <c r="S46">
        <v>19</v>
      </c>
      <c r="T46">
        <f>1/2.5</f>
        <v>0.4</v>
      </c>
      <c r="V46" t="str">
        <f>"1 : 2.5"</f>
        <v>1 : 2.5</v>
      </c>
      <c r="W46">
        <v>19</v>
      </c>
    </row>
    <row r="47" spans="1:23">
      <c r="A47" s="89" t="s">
        <v>155</v>
      </c>
      <c r="B47" s="139">
        <f>Pin/VIN_max</f>
        <v>0.1</v>
      </c>
      <c r="C47" t="s">
        <v>1</v>
      </c>
      <c r="D47" s="59"/>
      <c r="I47" s="20"/>
      <c r="P47" s="19"/>
      <c r="R47" t="str">
        <f>"1 : 3"</f>
        <v>1 : 3</v>
      </c>
      <c r="S47">
        <v>20</v>
      </c>
      <c r="T47">
        <f>0.333</f>
        <v>0.33300000000000002</v>
      </c>
      <c r="V47" t="str">
        <f>"1 : 3"</f>
        <v>1 : 3</v>
      </c>
      <c r="W47">
        <v>20</v>
      </c>
    </row>
    <row r="48" spans="1:23">
      <c r="A48" s="89" t="s">
        <v>607</v>
      </c>
      <c r="B48" s="139">
        <f>CHOOSE(MODE,'Calculations - Single'!H212,'Calculations - Dual'!H212+'Calculations - Dual'!I212)*0+CHOOSE(MODE,'Calculations - Single'!H212,'Calculations - Dual'!O212+'Calculations - Dual'!P212)</f>
        <v>8.4754704531439007</v>
      </c>
      <c r="C48" t="s">
        <v>45</v>
      </c>
      <c r="D48" s="59" t="b">
        <f>B48&lt;Pout_total</f>
        <v>0</v>
      </c>
      <c r="I48" s="20"/>
      <c r="P48" s="19"/>
      <c r="R48" t="str">
        <f>"1 : 4"</f>
        <v>1 : 4</v>
      </c>
      <c r="S48">
        <v>21</v>
      </c>
      <c r="T48">
        <f>1/4</f>
        <v>0.25</v>
      </c>
      <c r="V48" t="str">
        <f>R48</f>
        <v>1 : 4</v>
      </c>
      <c r="W48">
        <v>21</v>
      </c>
    </row>
    <row r="49" spans="1:23">
      <c r="A49" s="89"/>
      <c r="B49" s="139"/>
      <c r="C49"/>
      <c r="D49" s="59"/>
      <c r="I49" s="722"/>
      <c r="P49" s="19"/>
      <c r="R49" t="str">
        <f>"1 : 5"</f>
        <v>1 : 5</v>
      </c>
      <c r="S49">
        <v>22</v>
      </c>
      <c r="T49">
        <v>0.2</v>
      </c>
      <c r="V49" t="str">
        <f>"1 : 5"</f>
        <v>1 : 5</v>
      </c>
      <c r="W49">
        <v>22</v>
      </c>
    </row>
    <row r="50" spans="1:23">
      <c r="A50" s="89"/>
      <c r="B50" s="139"/>
      <c r="C50"/>
      <c r="D50" s="59"/>
      <c r="I50" s="722"/>
      <c r="P50" s="19"/>
      <c r="R50" t="str">
        <f>"1 : 6"</f>
        <v>1 : 6</v>
      </c>
      <c r="S50">
        <v>23</v>
      </c>
      <c r="T50">
        <f>0.167</f>
        <v>0.16700000000000001</v>
      </c>
      <c r="V50" t="str">
        <f>"1 : 6"</f>
        <v>1 : 6</v>
      </c>
      <c r="W50">
        <v>23</v>
      </c>
    </row>
    <row r="51" spans="1:23">
      <c r="A51" s="89"/>
      <c r="B51" s="139"/>
      <c r="C51"/>
      <c r="D51" s="59"/>
      <c r="I51" s="722"/>
      <c r="P51" s="19"/>
      <c r="R51" t="str">
        <f>"1 : 8"</f>
        <v>1 : 8</v>
      </c>
      <c r="S51">
        <v>24</v>
      </c>
      <c r="T51">
        <f>1/8</f>
        <v>0.125</v>
      </c>
      <c r="V51" t="str">
        <f>"1 : 8"</f>
        <v>1 : 8</v>
      </c>
      <c r="W51">
        <v>24</v>
      </c>
    </row>
    <row r="52" spans="1:23">
      <c r="A52" s="89"/>
      <c r="B52" s="139"/>
      <c r="C52"/>
      <c r="D52" s="59"/>
      <c r="I52" s="722"/>
      <c r="P52" s="19"/>
      <c r="R52" t="str">
        <f>"1 : 10"</f>
        <v>1 : 10</v>
      </c>
      <c r="S52">
        <v>25</v>
      </c>
      <c r="T52">
        <f>1/10</f>
        <v>0.1</v>
      </c>
      <c r="V52" t="str">
        <f>"1 : 10"</f>
        <v>1 : 10</v>
      </c>
      <c r="W52">
        <v>25</v>
      </c>
    </row>
    <row r="53" spans="1:23">
      <c r="A53" s="89"/>
      <c r="B53" s="139"/>
      <c r="C53"/>
      <c r="D53" s="59"/>
      <c r="I53" s="722"/>
      <c r="P53" s="19"/>
      <c r="R53" t="str">
        <f>"1 : 15"</f>
        <v>1 : 15</v>
      </c>
      <c r="S53">
        <v>26</v>
      </c>
      <c r="T53">
        <f>0.0667</f>
        <v>6.6699999999999995E-2</v>
      </c>
      <c r="V53" t="str">
        <f>"1 : 15"</f>
        <v>1 : 15</v>
      </c>
      <c r="W53">
        <v>26</v>
      </c>
    </row>
    <row r="54" spans="1:23">
      <c r="A54" s="89"/>
      <c r="B54" s="139"/>
      <c r="C54"/>
      <c r="D54" s="59"/>
      <c r="I54" s="722"/>
      <c r="P54" s="19"/>
      <c r="R54" t="str">
        <f>"1 : 20"</f>
        <v>1 : 20</v>
      </c>
      <c r="S54">
        <v>27</v>
      </c>
      <c r="T54">
        <f>1/20</f>
        <v>0.05</v>
      </c>
      <c r="V54" t="str">
        <f>"1 : 20"</f>
        <v>1 : 20</v>
      </c>
      <c r="W54">
        <v>27</v>
      </c>
    </row>
    <row r="55" spans="1:23">
      <c r="A55" s="89"/>
      <c r="B55" s="139"/>
      <c r="C55"/>
      <c r="D55" s="59"/>
      <c r="I55" s="722"/>
      <c r="P55" s="19"/>
      <c r="R55" t="str">
        <f>"1 : 30"</f>
        <v>1 : 30</v>
      </c>
      <c r="S55">
        <v>28</v>
      </c>
      <c r="T55">
        <f>0.0333</f>
        <v>3.3300000000000003E-2</v>
      </c>
      <c r="V55" t="str">
        <f>"1 : 30"</f>
        <v>1 : 30</v>
      </c>
      <c r="W55">
        <v>28</v>
      </c>
    </row>
    <row r="56" spans="1:23">
      <c r="A56" s="89"/>
      <c r="B56" s="139"/>
      <c r="C56"/>
      <c r="D56" s="59"/>
      <c r="I56" s="722"/>
      <c r="P56" s="19"/>
      <c r="R56" t="str">
        <f>"1 : 40"</f>
        <v>1 : 40</v>
      </c>
      <c r="S56">
        <v>29</v>
      </c>
      <c r="T56">
        <f>1/40</f>
        <v>2.5000000000000001E-2</v>
      </c>
      <c r="V56" t="str">
        <f>"1 : 40"</f>
        <v>1 : 40</v>
      </c>
      <c r="W56">
        <v>29</v>
      </c>
    </row>
    <row r="57" spans="1:23">
      <c r="A57" s="89"/>
      <c r="B57" s="139"/>
      <c r="C57"/>
      <c r="D57" s="59"/>
      <c r="I57" s="722"/>
      <c r="P57" s="19"/>
      <c r="R57" t="str">
        <f>"1 : 50"</f>
        <v>1 : 50</v>
      </c>
      <c r="S57">
        <v>30</v>
      </c>
      <c r="T57">
        <f>1/50</f>
        <v>0.02</v>
      </c>
      <c r="V57" t="str">
        <f>"1 : 50"</f>
        <v>1 : 50</v>
      </c>
      <c r="W57">
        <v>30</v>
      </c>
    </row>
    <row r="58" spans="1:23">
      <c r="A58" s="89"/>
      <c r="B58" s="139"/>
      <c r="C58"/>
      <c r="D58" s="59"/>
      <c r="I58" s="722"/>
      <c r="P58" s="19"/>
      <c r="R58" t="str">
        <f>"1 : 60"</f>
        <v>1 : 60</v>
      </c>
      <c r="S58">
        <v>31</v>
      </c>
      <c r="T58">
        <f>0.0167</f>
        <v>1.67E-2</v>
      </c>
      <c r="V58" t="str">
        <f>"1 : 60"</f>
        <v>1 : 60</v>
      </c>
      <c r="W58">
        <v>31</v>
      </c>
    </row>
    <row r="59" spans="1:23">
      <c r="A59" s="89"/>
      <c r="B59" s="139"/>
      <c r="C59"/>
      <c r="D59" s="59"/>
      <c r="I59" s="722"/>
      <c r="P59" s="19"/>
      <c r="R59" t="str">
        <f>"1 : 80"</f>
        <v>1 : 80</v>
      </c>
      <c r="S59">
        <v>32</v>
      </c>
      <c r="T59">
        <f>1/80</f>
        <v>1.2500000000000001E-2</v>
      </c>
      <c r="V59" t="str">
        <f>"1 : 80"</f>
        <v>1 : 80</v>
      </c>
      <c r="W59">
        <v>32</v>
      </c>
    </row>
    <row r="60" spans="1:23">
      <c r="A60" s="89"/>
      <c r="B60" s="150"/>
      <c r="C60" s="59"/>
      <c r="D60" s="59"/>
      <c r="I60" s="20"/>
      <c r="P60" s="19"/>
      <c r="R60" t="str">
        <f>"1 : 100"</f>
        <v>1 : 100</v>
      </c>
      <c r="S60">
        <v>33</v>
      </c>
      <c r="T60">
        <f>1/100</f>
        <v>0.01</v>
      </c>
      <c r="U60" s="630"/>
      <c r="V60" t="str">
        <f>"1 : 100"</f>
        <v>1 : 100</v>
      </c>
      <c r="W60">
        <v>33</v>
      </c>
    </row>
    <row r="61" spans="1:23">
      <c r="A61" s="89" t="s">
        <v>428</v>
      </c>
      <c r="B61" s="110">
        <v>350000</v>
      </c>
      <c r="C61" s="59" t="s">
        <v>8</v>
      </c>
      <c r="D61" s="59" t="s">
        <v>566</v>
      </c>
      <c r="I61" s="20"/>
      <c r="P61" s="19"/>
      <c r="Q61" s="630" t="s">
        <v>388</v>
      </c>
      <c r="R61" s="316" t="str">
        <f>CHOOSE(Turns_Ratio,"20 : 1", "15 : 1", "10 : 1", "8 : 1", "6 : 1",  "5 : 1", "4 : 1", "3 : 1", "2.5 : 1", "2 : 1", "1.8 : 1", "1.5 : 1", "1.2 : 1", "1 : 1", "1 : 1.2", "1 : 1.5", "1 : 1.8", "1 : 2",  "1 : 2.5","1 : 3", "1 : 4", "1 : 5", "1 : 6", "1 : 8", "1 : 10", "1 : 15", "1 : 20", "1 : 30", "1 : 40", "1 : 50", "1 : 60", "1 : 80", "1 : 100")</f>
        <v>1 : 1</v>
      </c>
      <c r="S61" s="3">
        <v>14</v>
      </c>
      <c r="U61" s="630" t="s">
        <v>570</v>
      </c>
      <c r="V61" s="159" t="str">
        <f>CHOOSE(Turns_Ratio2, "20 : 1", "15 : 1", "10 : 1", "8 : 1", "6 : 1",  "5 : 1", "4 : 1", "3 : 1", "2.5 : 1", "2 : 1", "1.8 : 1", "1.5 : 1", "1.2 : 1", "1 : 1", "1 : 1.2", "1 : 1.5", "1 : 1.8", "1 : 2",  "1 : 2.5","1 : 3", "1 : 4", "1 : 5", "1 : 6", "1 : 8", "1 : 10", "1 : 15", "1 : 20", "1 : 30", "1 : 40", "1 : 50", "1 : 60", "1 : 80", "1 : 100")</f>
        <v>2.5 : 1</v>
      </c>
      <c r="W61" s="20">
        <v>9</v>
      </c>
    </row>
    <row r="62" spans="1:23">
      <c r="A62" s="21" t="s">
        <v>18</v>
      </c>
      <c r="B62" s="620">
        <v>1</v>
      </c>
      <c r="C62" t="s">
        <v>0</v>
      </c>
      <c r="D62" s="621" t="s">
        <v>782</v>
      </c>
      <c r="I62" s="20"/>
      <c r="P62" s="19"/>
      <c r="W62" s="20"/>
    </row>
    <row r="63" spans="1:23">
      <c r="A63" s="89" t="s">
        <v>386</v>
      </c>
      <c r="B63" s="140">
        <f>'Design Converter'!E40*1000</f>
        <v>168000</v>
      </c>
      <c r="C63" s="91" t="s">
        <v>45</v>
      </c>
      <c r="D63" s="59" t="s">
        <v>567</v>
      </c>
      <c r="I63" s="20"/>
      <c r="P63" s="19"/>
      <c r="Q63" s="59" t="s">
        <v>447</v>
      </c>
      <c r="R63" s="316" t="str">
        <f>CHOOSE(Turns_Ratio,"20", "15", "10", "8", "6", "5", "4 ", "3", "2.5", "2", "1.8", "1.5", "1.2", "1", "0.833",  "0.667", "0.556", "0.5", "0.4", "0.33", "0.25", "0.2", "0.167", "0.125", "0.1", "0.0667", "0.05", "0.0333", "0.025", "0.02", "0.0167", "0.0125", "0.01")</f>
        <v>1</v>
      </c>
      <c r="V63" s="59" t="s">
        <v>574</v>
      </c>
      <c r="W63" s="631" t="str">
        <f>CHOOSE(Turns_Ratio,"1", "1", "1", "1", "1", "1", "1", "1", "1", "1", "1", "1", "1", "1", "1.2", "1.5", "1.8",  "2", "2.5", "3", "4", "5", "6", "8", "10", "15", "20", "30", "40", "50", "60", "80", "100")</f>
        <v>1</v>
      </c>
    </row>
    <row r="64" spans="1:23">
      <c r="A64" s="89"/>
      <c r="B64" s="314"/>
      <c r="C64" s="91"/>
      <c r="I64" s="20"/>
      <c r="K64" s="59" t="s">
        <v>390</v>
      </c>
      <c r="P64" s="19"/>
      <c r="Q64" s="59" t="s">
        <v>494</v>
      </c>
      <c r="R64" s="316" t="str">
        <f>CHOOSE(Turns_Ratio, "20", "15", "10", "8", "6", "5", "4 ", "3", "2.5", "2", "1.8", "1.5", "1.2", "1", "0.833",  "0.667", "0.556", "0.5", "0.4", "0.33", "0.25", "0.2", "0.167", "0.125", "0.1", "0.0667", "0.05", "0.0333", "0.025", "0.02", "0.0167", "0.0125", "0.01")</f>
        <v>1</v>
      </c>
      <c r="V64" s="59" t="s">
        <v>573</v>
      </c>
      <c r="W64" s="632">
        <f>Nsec1sec2</f>
        <v>1.4912280701754386</v>
      </c>
    </row>
    <row r="65" spans="1:23" ht="15.75">
      <c r="A65" s="89" t="s">
        <v>387</v>
      </c>
      <c r="B65" s="150">
        <v>0.1</v>
      </c>
      <c r="C65" s="59" t="s">
        <v>45</v>
      </c>
      <c r="D65" s="59" t="s">
        <v>568</v>
      </c>
      <c r="F65" s="159" t="s">
        <v>569</v>
      </c>
      <c r="I65" s="20"/>
      <c r="P65" s="19"/>
      <c r="Q65" s="59" t="s">
        <v>573</v>
      </c>
      <c r="R65" s="633">
        <f>ABS((Vout2+Vfwd22)/(Vout+Vfwd2))</f>
        <v>1.4912280701754386</v>
      </c>
      <c r="V65" s="3"/>
      <c r="W65" s="634">
        <f>W63*W64</f>
        <v>1.4912280701754386</v>
      </c>
    </row>
    <row r="66" spans="1:23" ht="13.5" thickBot="1">
      <c r="A66" s="23"/>
      <c r="B66" s="24"/>
      <c r="C66" s="62"/>
      <c r="D66" s="24"/>
      <c r="E66" s="24"/>
      <c r="F66" s="24"/>
      <c r="G66" s="24"/>
      <c r="H66" s="24"/>
      <c r="I66" s="25"/>
      <c r="K66" s="377" t="str">
        <f>"SCH_"&amp;B73&amp;"_"&amp;F78&amp;"_"&amp;I78&amp;"_"&amp;F72</f>
        <v>SCH_SINGLE_UVLOadj_SSint_TCno</v>
      </c>
      <c r="P66" s="19"/>
      <c r="Q66" s="327" t="s">
        <v>495</v>
      </c>
      <c r="R66" s="635">
        <f>Nps/Nsec1sec2</f>
        <v>0.67058823529411771</v>
      </c>
      <c r="V66" s="134" t="s">
        <v>575</v>
      </c>
      <c r="W66" s="636" t="str">
        <f>CHOOSE(MODE, R61, R61&amp;" : "&amp;ROUND(W65,2))</f>
        <v>1 : 1</v>
      </c>
    </row>
    <row r="67" spans="1:23" ht="13.5" thickBot="1">
      <c r="P67" s="637"/>
      <c r="Q67" s="157"/>
      <c r="R67" s="638">
        <f>ROUND(Nsec1sec2,1)</f>
        <v>1.5</v>
      </c>
      <c r="S67" s="157"/>
      <c r="T67" s="157"/>
      <c r="U67" s="157"/>
      <c r="V67" s="157"/>
      <c r="W67" s="639"/>
    </row>
    <row r="68" spans="1:23" ht="16.5" thickBot="1">
      <c r="A68" s="39" t="s">
        <v>557</v>
      </c>
    </row>
    <row r="69" spans="1:23" ht="15.75">
      <c r="A69" s="321"/>
      <c r="B69" s="322"/>
      <c r="C69" s="323"/>
      <c r="D69" s="322"/>
      <c r="E69" s="322"/>
      <c r="F69" s="322"/>
      <c r="G69" s="322"/>
      <c r="H69" s="322"/>
      <c r="I69" s="371"/>
      <c r="J69" s="371"/>
      <c r="K69" s="371"/>
      <c r="L69" s="371"/>
      <c r="M69" s="371"/>
      <c r="N69" s="371"/>
      <c r="O69" s="19"/>
    </row>
    <row r="70" spans="1:23">
      <c r="A70" s="134" t="s">
        <v>361</v>
      </c>
      <c r="B70" s="59" t="s">
        <v>362</v>
      </c>
      <c r="C70" s="372">
        <v>1</v>
      </c>
      <c r="E70" s="134" t="s">
        <v>375</v>
      </c>
      <c r="F70" s="59" t="s">
        <v>364</v>
      </c>
      <c r="G70" s="137" t="b">
        <v>1</v>
      </c>
      <c r="I70" s="131" t="s">
        <v>300</v>
      </c>
      <c r="J70" s="137">
        <v>1</v>
      </c>
      <c r="K70" t="str">
        <f>B73&amp;", "&amp;F72&amp;", "&amp;I72&amp;", "&amp;F78&amp;", "&amp;I78</f>
        <v>SINGLE, TCno, IlimRes, UVLOadj, SSint</v>
      </c>
      <c r="O70" s="19"/>
    </row>
    <row r="71" spans="1:23">
      <c r="A71" s="318"/>
      <c r="B71" s="59" t="s">
        <v>363</v>
      </c>
      <c r="C71" s="372">
        <v>2</v>
      </c>
      <c r="E71" s="11"/>
      <c r="F71" s="59" t="s">
        <v>365</v>
      </c>
      <c r="G71" s="137" t="b">
        <v>0</v>
      </c>
      <c r="I71" s="131" t="s">
        <v>301</v>
      </c>
      <c r="J71" s="137">
        <v>2</v>
      </c>
      <c r="K71" t="str">
        <f>C73&amp;", "&amp;G72&amp;", "&amp;J72&amp;", "&amp;G78&amp;", "&amp;J78</f>
        <v>1, 2, 2, 1, 2</v>
      </c>
      <c r="O71" s="19"/>
      <c r="Q71" s="131" t="s">
        <v>333</v>
      </c>
      <c r="R71" s="3" t="s">
        <v>328</v>
      </c>
      <c r="S71" s="60">
        <v>1</v>
      </c>
    </row>
    <row r="72" spans="1:23">
      <c r="B72" s="59" t="s">
        <v>506</v>
      </c>
      <c r="C72" s="137">
        <v>3</v>
      </c>
      <c r="E72" s="376" t="s">
        <v>376</v>
      </c>
      <c r="F72" s="320" t="str">
        <f>CHOOSE(G72, "TCyes", "TCno")</f>
        <v>TCno</v>
      </c>
      <c r="G72" s="316">
        <v>2</v>
      </c>
      <c r="H72" s="376" t="s">
        <v>299</v>
      </c>
      <c r="I72" s="320" t="str">
        <f>CHOOSE(J72, "IlimGND", "IlimRes")</f>
        <v>IlimRes</v>
      </c>
      <c r="J72" s="316">
        <f>IF(C78=4, 1, 2)</f>
        <v>2</v>
      </c>
      <c r="K72" t="str">
        <f>C73&amp;G72&amp;J72&amp;G78&amp;J78</f>
        <v>12212</v>
      </c>
      <c r="O72" s="19"/>
      <c r="Q72" s="131" t="s">
        <v>335</v>
      </c>
      <c r="R72" s="3" t="s">
        <v>329</v>
      </c>
      <c r="S72" s="60">
        <v>2</v>
      </c>
    </row>
    <row r="73" spans="1:23">
      <c r="A73" s="374" t="s">
        <v>286</v>
      </c>
      <c r="B73" s="373" t="str">
        <f>CHOOSE(C73,"SINGLE", IF(Vout2_actual&gt;0, "DUAL", "BIPOLAR"))</f>
        <v>SINGLE</v>
      </c>
      <c r="C73" s="319">
        <v>1</v>
      </c>
      <c r="G73" s="60">
        <f>TC</f>
        <v>2</v>
      </c>
      <c r="I73" s="316"/>
      <c r="O73" s="19"/>
      <c r="Q73" s="131" t="s">
        <v>336</v>
      </c>
      <c r="R73" s="3" t="s">
        <v>330</v>
      </c>
      <c r="S73" s="60">
        <v>3</v>
      </c>
    </row>
    <row r="74" spans="1:23">
      <c r="A74" s="318"/>
      <c r="B74" s="3" t="b">
        <f>CHOOSE(C73, TRUE, FALSE)</f>
        <v>1</v>
      </c>
      <c r="C74" s="60" t="str">
        <f>CHOOSE(C73,"1", IF(Vout2&gt;0, "2", "3"))</f>
        <v>1</v>
      </c>
      <c r="O74" s="19"/>
      <c r="Q74" s="131" t="s">
        <v>334</v>
      </c>
      <c r="R74" s="3" t="s">
        <v>331</v>
      </c>
      <c r="S74" s="60">
        <v>4</v>
      </c>
    </row>
    <row r="75" spans="1:23">
      <c r="O75" s="19"/>
      <c r="Q75" s="131" t="s">
        <v>338</v>
      </c>
      <c r="R75" s="3" t="s">
        <v>337</v>
      </c>
      <c r="S75" s="60">
        <v>5</v>
      </c>
    </row>
    <row r="76" spans="1:23">
      <c r="A76" s="324" t="s">
        <v>188</v>
      </c>
      <c r="B76" s="59" t="s">
        <v>364</v>
      </c>
      <c r="C76" s="372">
        <v>1</v>
      </c>
      <c r="E76" s="134" t="s">
        <v>318</v>
      </c>
      <c r="F76" s="327" t="s">
        <v>534</v>
      </c>
      <c r="G76" s="137">
        <v>1</v>
      </c>
      <c r="H76" s="134" t="s">
        <v>296</v>
      </c>
      <c r="I76" s="59" t="s">
        <v>534</v>
      </c>
      <c r="J76" s="137">
        <v>1</v>
      </c>
      <c r="L76" s="131" t="s">
        <v>316</v>
      </c>
      <c r="M76" s="137">
        <v>1</v>
      </c>
      <c r="O76" s="19"/>
      <c r="Q76" s="376" t="s">
        <v>332</v>
      </c>
      <c r="R76" s="159" t="str">
        <f>CHOOSE(S76,"6.3V","10V","16V","25V","50V")</f>
        <v>6.3V</v>
      </c>
      <c r="S76" s="316">
        <f>IF(Vout&lt;=5, 1, IF(Vout&lt;=8, 2, IF(Vout&lt;=12, 3, IF(Vout&lt;=20, 4, 5))))</f>
        <v>1</v>
      </c>
    </row>
    <row r="77" spans="1:23">
      <c r="A77" s="325"/>
      <c r="B77" s="59" t="s">
        <v>365</v>
      </c>
      <c r="C77" s="372">
        <v>2</v>
      </c>
      <c r="F77" s="327" t="s">
        <v>535</v>
      </c>
      <c r="G77" s="137">
        <v>2</v>
      </c>
      <c r="H77" s="11"/>
      <c r="I77" s="59" t="s">
        <v>649</v>
      </c>
      <c r="J77" s="137">
        <v>2</v>
      </c>
      <c r="L77" s="131" t="s">
        <v>317</v>
      </c>
      <c r="M77" s="137">
        <v>2</v>
      </c>
      <c r="O77" s="19"/>
      <c r="T77" s="3" t="s">
        <v>116</v>
      </c>
      <c r="U77" s="3" t="s">
        <v>634</v>
      </c>
    </row>
    <row r="78" spans="1:23">
      <c r="A78" s="375" t="s">
        <v>287</v>
      </c>
      <c r="B78" s="373" t="str">
        <f>CHOOSE(C78, "YES", "NO")</f>
        <v>YES</v>
      </c>
      <c r="C78" s="319">
        <v>1</v>
      </c>
      <c r="E78" s="376" t="s">
        <v>304</v>
      </c>
      <c r="F78" s="320" t="str">
        <f>CHOOSE(G78, "UVLOadj", "UVLOint")</f>
        <v>UVLOadj</v>
      </c>
      <c r="G78" s="316">
        <v>1</v>
      </c>
      <c r="H78" s="376" t="s">
        <v>288</v>
      </c>
      <c r="I78" s="320" t="str">
        <f>CHOOSE(J78, "SSadj", "SSint")</f>
        <v>SSint</v>
      </c>
      <c r="J78" s="316">
        <v>2</v>
      </c>
      <c r="L78" s="317" t="s">
        <v>297</v>
      </c>
      <c r="M78" s="316">
        <v>1</v>
      </c>
      <c r="O78" s="19"/>
      <c r="R78" s="3" t="s">
        <v>633</v>
      </c>
      <c r="S78" s="3"/>
      <c r="T78" s="59" t="s">
        <v>347</v>
      </c>
      <c r="U78" s="144">
        <v>0.5</v>
      </c>
    </row>
    <row r="79" spans="1:23" ht="13.5" thickBot="1">
      <c r="A79" s="23"/>
      <c r="B79" s="24"/>
      <c r="C79" s="136"/>
      <c r="D79" s="24"/>
      <c r="E79" s="24"/>
      <c r="F79" s="24"/>
      <c r="G79" s="24"/>
      <c r="H79" s="24"/>
      <c r="I79" s="24"/>
      <c r="J79" s="24"/>
      <c r="K79" s="24"/>
      <c r="L79" s="24"/>
      <c r="M79" s="24"/>
      <c r="N79" s="24"/>
      <c r="O79" s="19"/>
      <c r="R79" s="390" t="s">
        <v>341</v>
      </c>
      <c r="S79" s="60">
        <v>1</v>
      </c>
      <c r="T79" s="59" t="s">
        <v>351</v>
      </c>
      <c r="U79" s="144">
        <v>1.3</v>
      </c>
    </row>
    <row r="80" spans="1:23">
      <c r="B80" t="b">
        <f>(CONFIG="2")</f>
        <v>0</v>
      </c>
      <c r="C80" s="3" t="str">
        <f>CONFIG</f>
        <v>1</v>
      </c>
      <c r="R80" s="390" t="s">
        <v>119</v>
      </c>
      <c r="S80" s="60">
        <v>2</v>
      </c>
      <c r="T80" s="59" t="s">
        <v>352</v>
      </c>
      <c r="U80" s="144">
        <v>2.5</v>
      </c>
    </row>
    <row r="81" spans="1:26" ht="16.5" thickBot="1">
      <c r="A81" s="39" t="s">
        <v>558</v>
      </c>
      <c r="B81" s="3"/>
      <c r="R81" s="390" t="s">
        <v>342</v>
      </c>
      <c r="S81" s="60">
        <v>3</v>
      </c>
      <c r="T81" s="59" t="s">
        <v>350</v>
      </c>
      <c r="U81" s="144">
        <v>5.0999999999999996</v>
      </c>
    </row>
    <row r="82" spans="1:26">
      <c r="A82" s="88"/>
      <c r="B82" s="509"/>
      <c r="C82" s="510"/>
      <c r="D82" s="129"/>
      <c r="E82" s="61"/>
      <c r="F82" s="26"/>
      <c r="G82" s="26"/>
      <c r="H82" s="26"/>
      <c r="I82" s="27">
        <v>1</v>
      </c>
      <c r="K82" s="59"/>
      <c r="R82" s="390" t="s">
        <v>343</v>
      </c>
      <c r="S82" s="60">
        <v>4</v>
      </c>
      <c r="T82" s="59" t="s">
        <v>353</v>
      </c>
      <c r="U82" s="144">
        <v>8</v>
      </c>
    </row>
    <row r="83" spans="1:26">
      <c r="A83" s="89" t="s">
        <v>150</v>
      </c>
      <c r="B83" s="138">
        <f>Nps*(Vout+Vfwd2)/(VIN_min+Nps*(Vout+Vfwd2))*0+IF(H83="BAD",'Calculations - Single'!CQ210,CHOOSE(MODE,'Calculations - Single'!M210,'Calculations - Dual'!N210))</f>
        <v>0.38002954672285122</v>
      </c>
      <c r="C83"/>
      <c r="D83" t="b">
        <f>B83&gt;0.75</f>
        <v>0</v>
      </c>
      <c r="E83" s="59"/>
      <c r="G83">
        <f>Vfwd2</f>
        <v>0.7</v>
      </c>
      <c r="H83">
        <f>'Calculations - Single'!DT210</f>
        <v>1200</v>
      </c>
      <c r="I83" s="20">
        <v>1</v>
      </c>
      <c r="R83" s="390" t="s">
        <v>344</v>
      </c>
      <c r="S83" s="60">
        <v>5</v>
      </c>
      <c r="T83" s="159" t="str">
        <f>CHOOSE(S85,T78,T79, T80,T81,T82)</f>
        <v>3.2 x 2.5</v>
      </c>
      <c r="U83" s="144">
        <v>8</v>
      </c>
    </row>
    <row r="84" spans="1:26">
      <c r="A84" s="89"/>
      <c r="B84" s="138"/>
      <c r="C84"/>
      <c r="E84" s="59"/>
      <c r="I84" s="722"/>
      <c r="R84" s="390" t="s">
        <v>943</v>
      </c>
      <c r="S84" s="60">
        <v>6</v>
      </c>
      <c r="T84" s="159" t="s">
        <v>944</v>
      </c>
      <c r="U84" s="144">
        <v>25.1</v>
      </c>
    </row>
    <row r="85" spans="1:26">
      <c r="A85" s="89" t="s">
        <v>157</v>
      </c>
      <c r="B85" s="138">
        <f>Nps*(Vout+Vfwd1)/(VIN_nom+Nps*(Vout+Vfwd1))</f>
        <v>0.10112359550561799</v>
      </c>
      <c r="C85"/>
      <c r="I85" s="20"/>
      <c r="Q85" s="376" t="s">
        <v>345</v>
      </c>
      <c r="R85" s="159" t="str">
        <f>CHOOSE(S85,"0402","0603","0805","1206","1210")</f>
        <v>1210</v>
      </c>
      <c r="S85" s="316">
        <v>5</v>
      </c>
    </row>
    <row r="86" spans="1:26">
      <c r="A86" s="89" t="s">
        <v>151</v>
      </c>
      <c r="B86" s="138">
        <f>Nps*(Vout+Vfwd1)/(VIN_max+Nps*(Vout+Vfwd1))*0+CHOOSE(MODE, 'Calculations - Single'!M316, 'Calculations - Dual'!N316)</f>
        <v>8.3202868604075678E-2</v>
      </c>
      <c r="C86"/>
      <c r="E86" s="59"/>
      <c r="I86" s="20"/>
    </row>
    <row r="87" spans="1:26">
      <c r="A87" s="59"/>
      <c r="C87"/>
      <c r="E87" s="59"/>
      <c r="I87" s="20"/>
      <c r="T87" s="3" t="s">
        <v>116</v>
      </c>
      <c r="U87" s="3" t="s">
        <v>634</v>
      </c>
      <c r="W87" s="3" t="s">
        <v>633</v>
      </c>
      <c r="X87" s="3"/>
      <c r="Y87" s="3" t="s">
        <v>116</v>
      </c>
      <c r="Z87" s="3" t="s">
        <v>634</v>
      </c>
    </row>
    <row r="88" spans="1:26">
      <c r="A88" s="89" t="s">
        <v>832</v>
      </c>
      <c r="B88" s="670">
        <f>MIN(0.667*VIN_nom/Vout, 1.857*VIN_min/Vout*1+0*3.33*VIN_min/Vout)</f>
        <v>3.3426</v>
      </c>
      <c r="C88" s="59"/>
      <c r="D88" s="59" t="s">
        <v>834</v>
      </c>
      <c r="I88" s="20"/>
      <c r="R88" s="3" t="s">
        <v>633</v>
      </c>
      <c r="S88" s="3"/>
      <c r="T88" s="327" t="s">
        <v>621</v>
      </c>
      <c r="U88" s="144">
        <v>36</v>
      </c>
      <c r="W88" s="59" t="s">
        <v>639</v>
      </c>
      <c r="X88" s="60">
        <v>1</v>
      </c>
      <c r="Y88" s="59" t="s">
        <v>351</v>
      </c>
      <c r="Z88">
        <v>1.3</v>
      </c>
    </row>
    <row r="89" spans="1:26">
      <c r="A89" s="89"/>
      <c r="B89" s="542"/>
      <c r="C89"/>
      <c r="D89" s="59"/>
      <c r="I89" s="20"/>
      <c r="R89" s="59" t="s">
        <v>348</v>
      </c>
      <c r="S89" s="60">
        <v>1</v>
      </c>
      <c r="T89" s="327" t="s">
        <v>620</v>
      </c>
      <c r="U89" s="144">
        <v>49</v>
      </c>
      <c r="W89" s="59" t="s">
        <v>630</v>
      </c>
      <c r="X89" s="60">
        <v>2</v>
      </c>
      <c r="Y89" s="59" t="s">
        <v>638</v>
      </c>
      <c r="Z89">
        <v>3.2</v>
      </c>
    </row>
    <row r="90" spans="1:26">
      <c r="A90" s="89"/>
      <c r="B90" s="542"/>
      <c r="C90" s="59"/>
      <c r="D90" s="59"/>
      <c r="I90" s="20"/>
      <c r="R90" s="59" t="s">
        <v>349</v>
      </c>
      <c r="S90" s="60">
        <v>2</v>
      </c>
      <c r="T90" s="327" t="s">
        <v>619</v>
      </c>
      <c r="U90" s="144">
        <v>64</v>
      </c>
      <c r="W90" s="59" t="s">
        <v>631</v>
      </c>
      <c r="X90" s="60">
        <v>3</v>
      </c>
      <c r="Y90" s="59" t="s">
        <v>637</v>
      </c>
      <c r="Z90">
        <v>6.5</v>
      </c>
    </row>
    <row r="91" spans="1:26">
      <c r="A91" s="59"/>
      <c r="C91"/>
      <c r="I91" s="20">
        <v>1</v>
      </c>
      <c r="R91" s="59" t="s">
        <v>611</v>
      </c>
      <c r="S91" s="60">
        <v>3</v>
      </c>
      <c r="T91" s="327" t="s">
        <v>618</v>
      </c>
      <c r="U91" s="144">
        <v>81</v>
      </c>
      <c r="W91" s="59" t="s">
        <v>632</v>
      </c>
      <c r="X91" s="60">
        <v>4</v>
      </c>
      <c r="Y91" s="59" t="s">
        <v>636</v>
      </c>
      <c r="Z91">
        <v>12.5</v>
      </c>
    </row>
    <row r="92" spans="1:26">
      <c r="A92" s="59" t="s">
        <v>850</v>
      </c>
      <c r="B92" s="13">
        <f>VIN_max+Nps*(Vout+Vfwd2)*1.5</f>
        <v>68.55</v>
      </c>
      <c r="C92" s="59"/>
      <c r="D92" s="59"/>
      <c r="E92" s="59"/>
      <c r="I92" s="20"/>
      <c r="R92" s="59" t="s">
        <v>612</v>
      </c>
      <c r="S92" s="60">
        <v>4</v>
      </c>
      <c r="T92" s="327" t="s">
        <v>617</v>
      </c>
      <c r="U92" s="144">
        <v>100</v>
      </c>
      <c r="W92" s="376" t="s">
        <v>635</v>
      </c>
    </row>
    <row r="93" spans="1:26">
      <c r="A93" s="59"/>
      <c r="B93" s="13"/>
      <c r="C93"/>
      <c r="D93" s="59">
        <f>Isw_min</f>
        <v>1</v>
      </c>
      <c r="E93" s="59"/>
      <c r="I93" s="20"/>
      <c r="R93" s="59" t="s">
        <v>613</v>
      </c>
      <c r="S93" s="60">
        <v>5</v>
      </c>
      <c r="T93" s="327" t="s">
        <v>616</v>
      </c>
      <c r="U93" s="144">
        <v>120</v>
      </c>
    </row>
    <row r="94" spans="1:26">
      <c r="A94" s="59"/>
      <c r="B94" s="13"/>
      <c r="C94" s="59"/>
      <c r="D94" s="59"/>
      <c r="E94" s="59"/>
      <c r="I94" s="20"/>
      <c r="R94" s="59" t="s">
        <v>614</v>
      </c>
      <c r="S94" s="60">
        <v>6</v>
      </c>
      <c r="T94" s="327" t="s">
        <v>622</v>
      </c>
      <c r="U94" s="144">
        <v>143</v>
      </c>
    </row>
    <row r="95" spans="1:26" ht="15.75">
      <c r="A95" s="59"/>
      <c r="C95" s="59"/>
      <c r="E95" s="59"/>
      <c r="I95" s="20"/>
      <c r="K95" s="59" t="s">
        <v>320</v>
      </c>
      <c r="R95" s="59" t="s">
        <v>615</v>
      </c>
      <c r="S95" s="60">
        <v>7</v>
      </c>
      <c r="T95" s="327" t="s">
        <v>955</v>
      </c>
      <c r="U95">
        <f>11*14</f>
        <v>154</v>
      </c>
    </row>
    <row r="96" spans="1:26">
      <c r="A96" s="89" t="s">
        <v>680</v>
      </c>
      <c r="B96" s="34">
        <f>'Design Converter'!L7/1000000</f>
        <v>1.2E-5</v>
      </c>
      <c r="C96" t="s">
        <v>11</v>
      </c>
      <c r="D96" s="59" t="s">
        <v>452</v>
      </c>
      <c r="I96" s="20"/>
      <c r="Q96" s="376" t="s">
        <v>453</v>
      </c>
      <c r="R96" s="59" t="s">
        <v>954</v>
      </c>
      <c r="S96" s="60">
        <v>8</v>
      </c>
      <c r="T96" s="327" t="s">
        <v>956</v>
      </c>
      <c r="U96">
        <f>23*17</f>
        <v>391</v>
      </c>
    </row>
    <row r="97" spans="1:17">
      <c r="A97" s="89" t="s">
        <v>661</v>
      </c>
      <c r="B97" s="110">
        <f>'Design Converter'!L11</f>
        <v>2</v>
      </c>
      <c r="C97" t="s">
        <v>662</v>
      </c>
      <c r="D97" s="59"/>
      <c r="I97" s="20"/>
    </row>
    <row r="98" spans="1:17">
      <c r="A98" s="89" t="s">
        <v>826</v>
      </c>
      <c r="B98" s="34">
        <f>Lmag/(Nps)^2</f>
        <v>1.2E-5</v>
      </c>
      <c r="C98" t="s">
        <v>11</v>
      </c>
      <c r="D98" s="59"/>
      <c r="I98" s="20"/>
    </row>
    <row r="99" spans="1:17">
      <c r="A99" s="89" t="s">
        <v>827</v>
      </c>
      <c r="B99" s="34">
        <f>Lmag/(Nps/Nsec1sec2)^2</f>
        <v>2.668513388734995E-5</v>
      </c>
      <c r="C99" t="s">
        <v>11</v>
      </c>
      <c r="D99" s="59"/>
      <c r="I99" s="20"/>
    </row>
    <row r="100" spans="1:17">
      <c r="A100" s="89"/>
      <c r="B100" s="110"/>
      <c r="C100"/>
      <c r="D100" s="59"/>
      <c r="I100" s="20"/>
    </row>
    <row r="101" spans="1:17">
      <c r="A101" s="89" t="s">
        <v>385</v>
      </c>
      <c r="B101" s="8">
        <f>'Design Converter'!L8/1000</f>
        <v>0.03</v>
      </c>
      <c r="C101" s="91" t="s">
        <v>45</v>
      </c>
      <c r="D101" s="59" t="s">
        <v>450</v>
      </c>
      <c r="I101" s="20"/>
    </row>
    <row r="102" spans="1:17" ht="13.5" thickBot="1">
      <c r="A102" s="89" t="s">
        <v>448</v>
      </c>
      <c r="B102" s="8">
        <f>'Design Converter'!L9/1000</f>
        <v>0.03</v>
      </c>
      <c r="C102" s="91" t="s">
        <v>45</v>
      </c>
      <c r="D102" s="59" t="s">
        <v>451</v>
      </c>
      <c r="I102" s="20">
        <v>2</v>
      </c>
    </row>
    <row r="103" spans="1:17">
      <c r="A103" s="89" t="s">
        <v>449</v>
      </c>
      <c r="B103" s="8">
        <f>'Design Converter'!L10/1000</f>
        <v>5.0000000000000001E-3</v>
      </c>
      <c r="C103" s="91" t="s">
        <v>45</v>
      </c>
      <c r="D103" s="59" t="s">
        <v>540</v>
      </c>
      <c r="E103" s="59"/>
      <c r="I103" s="20">
        <v>1</v>
      </c>
      <c r="K103" s="721" t="s">
        <v>880</v>
      </c>
      <c r="L103" s="627"/>
    </row>
    <row r="104" spans="1:17">
      <c r="A104" s="89"/>
      <c r="C104"/>
      <c r="I104" s="20"/>
      <c r="K104" s="89" t="s">
        <v>644</v>
      </c>
      <c r="L104" s="722">
        <f>Vfwd1</f>
        <v>0.4</v>
      </c>
      <c r="Q104">
        <f>ktr_rcmd</f>
        <v>3.3426</v>
      </c>
    </row>
    <row r="105" spans="1:17" ht="15.75" customHeight="1">
      <c r="A105" s="59" t="s">
        <v>539</v>
      </c>
      <c r="B105" s="166">
        <v>100</v>
      </c>
      <c r="C105" s="59" t="s">
        <v>102</v>
      </c>
      <c r="D105" s="59"/>
      <c r="I105" s="20"/>
      <c r="K105" s="89" t="s">
        <v>645</v>
      </c>
      <c r="L105" s="722">
        <f>Vfwd2</f>
        <v>0.7</v>
      </c>
      <c r="M105" s="59"/>
      <c r="Q105" t="str">
        <f>Nps</f>
        <v>1</v>
      </c>
    </row>
    <row r="106" spans="1:17" ht="13.5" thickBot="1">
      <c r="A106" s="89" t="s">
        <v>536</v>
      </c>
      <c r="B106" s="160">
        <f>Rdcr_pri*(1+0.0039*(B105-25))</f>
        <v>3.8774999999999997E-2</v>
      </c>
      <c r="C106" s="91" t="s">
        <v>45</v>
      </c>
      <c r="I106" s="20"/>
      <c r="K106" s="723" t="s">
        <v>881</v>
      </c>
      <c r="L106" s="639">
        <f>'Design Converter'!S31</f>
        <v>0.5</v>
      </c>
      <c r="M106" s="59"/>
    </row>
    <row r="107" spans="1:17">
      <c r="A107" s="89" t="s">
        <v>537</v>
      </c>
      <c r="B107" s="160">
        <f>Rdcr_sec*(1+0.0039*(B105-25))</f>
        <v>3.8774999999999997E-2</v>
      </c>
      <c r="C107" s="91" t="s">
        <v>45</v>
      </c>
      <c r="I107" s="20"/>
    </row>
    <row r="108" spans="1:17">
      <c r="A108" s="89" t="s">
        <v>538</v>
      </c>
      <c r="B108" s="160">
        <f>Rdcr_sec2*(1+0.0039*(B105-25))</f>
        <v>6.4625000000000004E-3</v>
      </c>
      <c r="C108" s="91" t="s">
        <v>45</v>
      </c>
      <c r="I108" s="20"/>
    </row>
    <row r="109" spans="1:17">
      <c r="A109" s="621" t="s">
        <v>957</v>
      </c>
      <c r="B109" s="780">
        <v>3.9999999999999998E-7</v>
      </c>
      <c r="C109" s="3" t="s">
        <v>51</v>
      </c>
      <c r="I109" s="20"/>
      <c r="K109" t="s">
        <v>883</v>
      </c>
    </row>
    <row r="110" spans="1:17">
      <c r="A110" s="377" t="s">
        <v>660</v>
      </c>
      <c r="B110" s="536">
        <f>(Vout+Vfwd1)*Nps*0.00000045/Isw_min*1000000*0+0.32*VIN_nom^2/Pin*0+MAX(2*(Vout+Vfwd2)^2*VIN_nom^2/(Pin*(Vout+Vfwd2+VIN_nom/ktr_rcmd)^2),B111)</f>
        <v>62.007704493966465</v>
      </c>
      <c r="C110" s="3" t="s">
        <v>833</v>
      </c>
      <c r="I110" s="20"/>
      <c r="K110" t="s">
        <v>884</v>
      </c>
      <c r="L110">
        <f>MAX('Calculations - Single'!BM316,'Calculations - Single'!BM210,'Calculations - Single'!BM105)</f>
        <v>0.56465786612573998</v>
      </c>
    </row>
    <row r="111" spans="1:17">
      <c r="A111" s="621" t="s">
        <v>846</v>
      </c>
      <c r="B111" s="536">
        <f>(Vout+Vfwd1)*Nps*toff_max/(0.02/RCS/1000)</f>
        <v>2.16</v>
      </c>
      <c r="C111" s="3" t="s">
        <v>833</v>
      </c>
      <c r="I111" s="20"/>
      <c r="K111" t="s">
        <v>885</v>
      </c>
      <c r="L111">
        <f>MAX('Calculations - Dual'!BK316,'Calculations - Dual'!BK210,'Calculations - Dual'!BK105)</f>
        <v>0.58963555903875819</v>
      </c>
    </row>
    <row r="112" spans="1:17">
      <c r="A112" t="s">
        <v>837</v>
      </c>
      <c r="B112" s="536">
        <f>MIN(350000,('Calculations - Single'!CQ210*VIN_min)^2/(2*Pin*Lmag))</f>
        <v>79101.5625</v>
      </c>
      <c r="C112" s="3" t="s">
        <v>8</v>
      </c>
      <c r="D112" s="59" t="s">
        <v>845</v>
      </c>
      <c r="I112" s="20"/>
      <c r="K112" t="s">
        <v>886</v>
      </c>
      <c r="L112">
        <f>CHOOSE(MODE,L110,L111)</f>
        <v>0.56465786612573998</v>
      </c>
    </row>
    <row r="113" spans="1:12">
      <c r="A113" t="s">
        <v>838</v>
      </c>
      <c r="B113" s="536">
        <f>VIN_min/Lmag*'Calculations - Single'!CQ210/B112*1.2</f>
        <v>4.2666666666666666</v>
      </c>
      <c r="C113" s="3" t="s">
        <v>1</v>
      </c>
      <c r="I113" s="20"/>
    </row>
    <row r="114" spans="1:12">
      <c r="A114" t="s">
        <v>839</v>
      </c>
      <c r="B114" s="160">
        <f>0.1/B113</f>
        <v>2.34375E-2</v>
      </c>
      <c r="C114" s="91" t="s">
        <v>45</v>
      </c>
      <c r="D114" t="s">
        <v>841</v>
      </c>
      <c r="I114" s="20"/>
    </row>
    <row r="115" spans="1:12">
      <c r="A115" t="s">
        <v>840</v>
      </c>
      <c r="B115" s="160">
        <f>0.02*Lmag/((Vout+Vfwd1)*0.00000045*Nps)</f>
        <v>9.876543209876544E-2</v>
      </c>
      <c r="C115" s="91"/>
      <c r="D115" t="s">
        <v>842</v>
      </c>
      <c r="I115" s="20"/>
    </row>
    <row r="116" spans="1:12">
      <c r="B116" s="160"/>
      <c r="C116" s="91"/>
      <c r="I116" s="20"/>
    </row>
    <row r="117" spans="1:12" ht="13.5" thickBot="1">
      <c r="A117" s="142" t="s">
        <v>773</v>
      </c>
      <c r="B117" s="143">
        <f>Iout*((Vout+Parameters!B49)/VIN_min+1/'Variable Mgmt'!B24)*0+CHOOSE(MODE, 'Calculations - Single'!U210,'Calculations - Dual'!T210)*1.1</f>
        <v>4.2582674481421243</v>
      </c>
      <c r="C117" s="24" t="s">
        <v>1</v>
      </c>
      <c r="D117" s="24"/>
      <c r="E117" s="24"/>
      <c r="F117" s="24"/>
      <c r="G117" s="24"/>
      <c r="H117" s="24"/>
      <c r="I117" s="25"/>
    </row>
    <row r="118" spans="1:12">
      <c r="A118" s="3" t="s">
        <v>774</v>
      </c>
      <c r="B118" s="616">
        <f>MIN(B114,B115)</f>
        <v>2.34375E-2</v>
      </c>
      <c r="C118" s="91" t="s">
        <v>45</v>
      </c>
    </row>
    <row r="120" spans="1:12" ht="16.5" thickBot="1">
      <c r="A120" s="39" t="s">
        <v>559</v>
      </c>
      <c r="D120" s="3"/>
    </row>
    <row r="121" spans="1:12">
      <c r="A121" s="88" t="s">
        <v>164</v>
      </c>
      <c r="B121" s="358"/>
      <c r="C121" s="141" t="s">
        <v>1</v>
      </c>
      <c r="D121" s="61" t="s">
        <v>163</v>
      </c>
      <c r="E121" s="26"/>
      <c r="F121" s="26"/>
      <c r="G121" s="26"/>
      <c r="H121" s="26"/>
      <c r="I121" s="27"/>
      <c r="L121" s="5"/>
    </row>
    <row r="122" spans="1:12">
      <c r="A122" s="89" t="s">
        <v>165</v>
      </c>
      <c r="B122" s="359"/>
      <c r="C122" s="59" t="s">
        <v>1</v>
      </c>
      <c r="E122" s="59"/>
      <c r="I122" s="20"/>
      <c r="L122" s="5"/>
    </row>
    <row r="123" spans="1:12">
      <c r="A123" s="89" t="s">
        <v>166</v>
      </c>
      <c r="B123" s="359"/>
      <c r="C123" s="59" t="s">
        <v>1</v>
      </c>
      <c r="E123" s="59"/>
      <c r="I123" s="20"/>
      <c r="L123" s="5"/>
    </row>
    <row r="124" spans="1:12">
      <c r="A124" s="89"/>
      <c r="B124" s="144"/>
      <c r="C124" s="59"/>
      <c r="E124" s="59"/>
      <c r="I124" s="20"/>
      <c r="L124" s="5"/>
    </row>
    <row r="125" spans="1:12">
      <c r="A125" s="89" t="s">
        <v>174</v>
      </c>
      <c r="B125" s="472">
        <f>Vout_ripple</f>
        <v>50</v>
      </c>
      <c r="C125" s="59" t="s">
        <v>149</v>
      </c>
      <c r="D125" s="59" t="s">
        <v>594</v>
      </c>
      <c r="I125" s="20"/>
      <c r="L125" s="5"/>
    </row>
    <row r="126" spans="1:12">
      <c r="A126" s="429" t="s">
        <v>12</v>
      </c>
      <c r="B126" s="167">
        <f>MAX(4.7, CHOOSE(MODE, 'Calculations - Single'!EE212, 'Calculations - Dual'!AW105))</f>
        <v>113.77777777777777</v>
      </c>
      <c r="C126" s="9" t="s">
        <v>97</v>
      </c>
      <c r="D126" s="59" t="s">
        <v>593</v>
      </c>
      <c r="E126" s="59"/>
      <c r="I126" s="20"/>
    </row>
    <row r="127" spans="1:12">
      <c r="A127" s="89" t="s">
        <v>14</v>
      </c>
      <c r="B127" s="508">
        <f>'Design Converter'!E34</f>
        <v>110</v>
      </c>
      <c r="C127" s="9" t="s">
        <v>97</v>
      </c>
      <c r="D127" s="59" t="s">
        <v>167</v>
      </c>
      <c r="I127" s="20"/>
    </row>
    <row r="128" spans="1:12">
      <c r="A128" s="173" t="s">
        <v>181</v>
      </c>
      <c r="B128" s="473">
        <f>(Vripple1_spec-Iout*B130/Cout*1000)/Iout</f>
        <v>35.584529273710608</v>
      </c>
      <c r="C128" s="91" t="s">
        <v>258</v>
      </c>
      <c r="D128" s="59" t="s">
        <v>107</v>
      </c>
      <c r="I128" s="20"/>
    </row>
    <row r="129" spans="1:9">
      <c r="A129" s="89" t="s">
        <v>54</v>
      </c>
      <c r="B129" s="168">
        <f>'Design Converter'!E35</f>
        <v>2</v>
      </c>
      <c r="C129" s="91" t="s">
        <v>258</v>
      </c>
      <c r="D129" s="59" t="s">
        <v>108</v>
      </c>
      <c r="I129" s="20"/>
    </row>
    <row r="130" spans="1:9">
      <c r="A130" s="89" t="s">
        <v>438</v>
      </c>
      <c r="B130" s="167">
        <f>CHOOSE(MODE, 'Calculations - Single'!AT105, 'Calculations - Dual'!AR105)</f>
        <v>0.66903511322516673</v>
      </c>
      <c r="C130" s="9" t="s">
        <v>247</v>
      </c>
      <c r="D130" s="59"/>
      <c r="I130" s="20"/>
    </row>
    <row r="131" spans="1:9">
      <c r="A131" s="29" t="s">
        <v>437</v>
      </c>
      <c r="B131" s="506">
        <f>Iout*B130/Cout*1000+Iout*CoutEsr</f>
        <v>9.6985648715472728</v>
      </c>
      <c r="C131" s="59" t="s">
        <v>443</v>
      </c>
      <c r="D131" s="59" t="s">
        <v>596</v>
      </c>
      <c r="H131" s="159" t="s">
        <v>562</v>
      </c>
      <c r="I131" s="20"/>
    </row>
    <row r="132" spans="1:9">
      <c r="A132" s="29"/>
      <c r="B132" s="167"/>
      <c r="C132" s="59"/>
      <c r="D132" s="59"/>
      <c r="I132" s="20"/>
    </row>
    <row r="133" spans="1:9">
      <c r="A133" s="29"/>
      <c r="B133" s="167"/>
      <c r="C133" s="59"/>
      <c r="D133" s="59"/>
      <c r="I133" s="20"/>
    </row>
    <row r="134" spans="1:9" ht="15.75">
      <c r="A134" s="545" t="s">
        <v>560</v>
      </c>
      <c r="B134" s="167"/>
      <c r="C134" s="9"/>
      <c r="D134" s="59"/>
      <c r="I134" s="20"/>
    </row>
    <row r="135" spans="1:9">
      <c r="A135" s="89" t="s">
        <v>541</v>
      </c>
      <c r="B135" s="472">
        <f>Vout_ripple2</f>
        <v>80</v>
      </c>
      <c r="C135" s="59" t="s">
        <v>149</v>
      </c>
      <c r="D135" s="59" t="s">
        <v>597</v>
      </c>
      <c r="I135" s="20"/>
    </row>
    <row r="136" spans="1:9">
      <c r="A136" s="429" t="s">
        <v>543</v>
      </c>
      <c r="B136" s="167">
        <f>MAX(4.7, 'Calculations - Dual'!AX105)</f>
        <v>4.7</v>
      </c>
      <c r="C136" s="9" t="s">
        <v>97</v>
      </c>
      <c r="D136" s="59" t="s">
        <v>593</v>
      </c>
      <c r="I136" s="20"/>
    </row>
    <row r="137" spans="1:9">
      <c r="A137" s="89" t="s">
        <v>542</v>
      </c>
      <c r="B137" s="508">
        <f>MAX(4.7,'Design Converter'!L34)</f>
        <v>55</v>
      </c>
      <c r="C137" s="9" t="s">
        <v>97</v>
      </c>
      <c r="D137" s="59" t="s">
        <v>167</v>
      </c>
      <c r="I137" s="20"/>
    </row>
    <row r="138" spans="1:9">
      <c r="A138" s="173" t="s">
        <v>544</v>
      </c>
      <c r="B138" s="473">
        <f>(Vout_ripple2-Iout2*B140/Cout2*1000)/Iout2</f>
        <v>183.62902211796774</v>
      </c>
      <c r="C138" s="91" t="s">
        <v>258</v>
      </c>
      <c r="D138" s="59" t="s">
        <v>107</v>
      </c>
      <c r="H138" s="159" t="s">
        <v>561</v>
      </c>
      <c r="I138" s="20"/>
    </row>
    <row r="139" spans="1:9">
      <c r="A139" s="89" t="s">
        <v>545</v>
      </c>
      <c r="B139" s="168">
        <f>'Design Converter'!L35</f>
        <v>8</v>
      </c>
      <c r="C139" s="91" t="s">
        <v>258</v>
      </c>
      <c r="D139" s="59" t="s">
        <v>108</v>
      </c>
      <c r="I139" s="20"/>
    </row>
    <row r="140" spans="1:9">
      <c r="A140" s="89" t="s">
        <v>438</v>
      </c>
      <c r="B140" s="167">
        <f>'Calculations - Dual'!AR105</f>
        <v>7.5004037835117741</v>
      </c>
      <c r="C140" s="9" t="s">
        <v>247</v>
      </c>
      <c r="D140" s="59"/>
      <c r="H140" s="159" t="s">
        <v>561</v>
      </c>
      <c r="I140" s="20"/>
    </row>
    <row r="141" spans="1:9">
      <c r="A141" s="29" t="s">
        <v>437</v>
      </c>
      <c r="B141" s="506">
        <f>Iout2*B140/Cout2*1000+Iout2*CoutEsr2</f>
        <v>36.092744470508066</v>
      </c>
      <c r="C141" s="59" t="s">
        <v>443</v>
      </c>
      <c r="D141" s="59" t="s">
        <v>595</v>
      </c>
      <c r="I141" s="20"/>
    </row>
    <row r="142" spans="1:9">
      <c r="A142" s="3"/>
      <c r="B142" s="167"/>
      <c r="C142" s="59"/>
      <c r="D142" s="59"/>
      <c r="I142" s="20"/>
    </row>
    <row r="143" spans="1:9" ht="13.5" thickBot="1">
      <c r="A143" s="24"/>
      <c r="B143" s="24"/>
      <c r="C143" s="24"/>
      <c r="D143" s="24"/>
      <c r="E143" s="24"/>
      <c r="F143" s="24"/>
      <c r="G143" s="24"/>
      <c r="H143" s="24"/>
      <c r="I143" s="25"/>
    </row>
    <row r="145" spans="1:9" ht="13.5" thickBot="1"/>
    <row r="146" spans="1:9" ht="15.75">
      <c r="A146" s="45" t="s">
        <v>55</v>
      </c>
      <c r="B146" s="46"/>
      <c r="C146" s="145"/>
      <c r="D146" s="46"/>
      <c r="E146" s="46"/>
      <c r="F146" s="46"/>
      <c r="G146" s="46"/>
      <c r="H146" s="46"/>
      <c r="I146" s="47"/>
    </row>
    <row r="147" spans="1:9">
      <c r="A147" s="475" t="s">
        <v>507</v>
      </c>
      <c r="B147" s="478">
        <f>0.05*VIN_nom</f>
        <v>2.4000000000000004</v>
      </c>
      <c r="C147" s="59" t="s">
        <v>444</v>
      </c>
      <c r="D147" s="59" t="s">
        <v>439</v>
      </c>
      <c r="I147" s="49"/>
    </row>
    <row r="148" spans="1:9">
      <c r="A148" s="48"/>
      <c r="C148"/>
      <c r="I148" s="49"/>
    </row>
    <row r="149" spans="1:9">
      <c r="A149" s="50" t="s">
        <v>58</v>
      </c>
      <c r="B149" s="360"/>
      <c r="C149" s="9" t="s">
        <v>30</v>
      </c>
      <c r="I149" s="49"/>
    </row>
    <row r="150" spans="1:9">
      <c r="A150" s="50" t="s">
        <v>98</v>
      </c>
      <c r="B150" s="162">
        <f>'Calculations - Single'!BB105</f>
        <v>0.31786868112337846</v>
      </c>
      <c r="C150" s="9" t="s">
        <v>97</v>
      </c>
      <c r="I150" s="49"/>
    </row>
    <row r="151" spans="1:9">
      <c r="A151" s="173" t="s">
        <v>180</v>
      </c>
      <c r="B151" s="511">
        <f>MAX(2.2,Cinmin)</f>
        <v>2.2000000000000002</v>
      </c>
      <c r="C151" s="9" t="s">
        <v>97</v>
      </c>
      <c r="I151" s="49"/>
    </row>
    <row r="152" spans="1:9">
      <c r="A152" s="50" t="s">
        <v>28</v>
      </c>
      <c r="B152" s="476">
        <f>'Design Converter'!E30</f>
        <v>22</v>
      </c>
      <c r="C152" s="9" t="s">
        <v>97</v>
      </c>
      <c r="D152" t="s">
        <v>60</v>
      </c>
      <c r="I152" s="49"/>
    </row>
    <row r="153" spans="1:9">
      <c r="A153" s="50"/>
      <c r="B153" s="474"/>
      <c r="C153" s="43"/>
      <c r="I153" s="49"/>
    </row>
    <row r="154" spans="1:9">
      <c r="A154" s="50" t="s">
        <v>99</v>
      </c>
      <c r="B154" s="359">
        <f>(Vinripple1-B157*B159/Cin)/B158</f>
        <v>0.88511658703296203</v>
      </c>
      <c r="C154" s="91" t="s">
        <v>45</v>
      </c>
      <c r="I154" s="49"/>
    </row>
    <row r="155" spans="1:9">
      <c r="A155" s="50" t="s">
        <v>37</v>
      </c>
      <c r="B155" s="44">
        <f>'Design Converter'!E31/1000</f>
        <v>3.0000000000000001E-3</v>
      </c>
      <c r="C155" s="91" t="s">
        <v>45</v>
      </c>
      <c r="D155" s="59" t="s">
        <v>109</v>
      </c>
      <c r="I155" s="49"/>
    </row>
    <row r="156" spans="1:9">
      <c r="A156" s="173" t="s">
        <v>182</v>
      </c>
      <c r="B156" s="312">
        <f>'Design Converter'!E31</f>
        <v>3</v>
      </c>
      <c r="C156" s="12" t="s">
        <v>161</v>
      </c>
      <c r="D156" s="59"/>
      <c r="I156" s="49"/>
    </row>
    <row r="157" spans="1:9">
      <c r="A157" s="173" t="s">
        <v>441</v>
      </c>
      <c r="B157" s="365">
        <f>Vout*Iout/VIN_nom/Efficiency</f>
        <v>0.125</v>
      </c>
      <c r="C157" s="59" t="s">
        <v>1</v>
      </c>
      <c r="D157" s="59"/>
      <c r="I157" s="49"/>
    </row>
    <row r="158" spans="1:9">
      <c r="A158" s="173" t="s">
        <v>445</v>
      </c>
      <c r="B158" s="365">
        <f>CHOOSE(MODE, 'Calculations - Single'!AJ105, 'Calculations - Dual'!$AI$105)</f>
        <v>2.672384764095348</v>
      </c>
      <c r="C158" s="59" t="s">
        <v>1</v>
      </c>
      <c r="D158" s="59"/>
      <c r="I158" s="49"/>
    </row>
    <row r="159" spans="1:9">
      <c r="A159" s="173" t="s">
        <v>442</v>
      </c>
      <c r="B159" s="365">
        <f>CHOOSE(MODE, 'Calculations - Single'!AU105, 'Calculations - Dual'!$AT$105)</f>
        <v>6.0945136322467963</v>
      </c>
      <c r="C159" s="9" t="s">
        <v>247</v>
      </c>
      <c r="D159" s="59"/>
      <c r="I159" s="49"/>
    </row>
    <row r="160" spans="1:9">
      <c r="A160" s="173" t="s">
        <v>440</v>
      </c>
      <c r="B160" s="162">
        <f>B157*B159/Cin+B158*RCinEsr</f>
        <v>4.2645072657324659E-2</v>
      </c>
      <c r="C160" s="9" t="s">
        <v>444</v>
      </c>
      <c r="D160" s="59" t="s">
        <v>446</v>
      </c>
      <c r="E160" s="477"/>
      <c r="F160" s="9"/>
      <c r="I160" s="49"/>
    </row>
    <row r="161" spans="1:9" ht="13.5" thickBot="1">
      <c r="A161" s="51"/>
      <c r="B161" s="52"/>
      <c r="C161" s="52"/>
      <c r="D161" s="52"/>
      <c r="E161" s="53"/>
      <c r="F161" s="53"/>
      <c r="G161" s="53"/>
      <c r="H161" s="53"/>
      <c r="I161" s="54"/>
    </row>
    <row r="163" spans="1:9" ht="16.5" thickBot="1">
      <c r="A163" s="39" t="s">
        <v>62</v>
      </c>
    </row>
    <row r="164" spans="1:9">
      <c r="A164" s="40" t="s">
        <v>64</v>
      </c>
      <c r="B164" s="7">
        <f>'Design Converter'!E42/1000</f>
        <v>0.01</v>
      </c>
      <c r="C164" s="26" t="s">
        <v>51</v>
      </c>
      <c r="D164" s="61" t="s">
        <v>176</v>
      </c>
      <c r="E164" s="26"/>
      <c r="F164" s="26"/>
      <c r="G164" s="26"/>
      <c r="H164" s="26"/>
      <c r="I164" s="27"/>
    </row>
    <row r="165" spans="1:9">
      <c r="A165" s="19" t="s">
        <v>65</v>
      </c>
      <c r="B165" s="170">
        <v>5.0000000000000004E-6</v>
      </c>
      <c r="C165" t="s">
        <v>1</v>
      </c>
      <c r="D165" s="59" t="s">
        <v>306</v>
      </c>
      <c r="I165" s="20"/>
    </row>
    <row r="166" spans="1:9">
      <c r="A166" s="19" t="s">
        <v>66</v>
      </c>
      <c r="B166" s="170">
        <f>0.000005*Tss/1</f>
        <v>5.0000000000000004E-8</v>
      </c>
      <c r="C166" t="s">
        <v>13</v>
      </c>
      <c r="D166" s="59" t="s">
        <v>308</v>
      </c>
      <c r="I166" s="20"/>
    </row>
    <row r="167" spans="1:9" ht="13.5" thickBot="1">
      <c r="A167" s="23" t="s">
        <v>72</v>
      </c>
      <c r="B167" s="171">
        <f>'Standard Value Calculator'!B4</f>
        <v>4.6999999999999997E-8</v>
      </c>
      <c r="C167" s="24" t="s">
        <v>13</v>
      </c>
      <c r="D167" s="62" t="s">
        <v>309</v>
      </c>
      <c r="E167" s="24"/>
      <c r="F167" s="24"/>
      <c r="G167" s="24"/>
      <c r="H167" s="24"/>
      <c r="I167" s="25"/>
    </row>
    <row r="169" spans="1:9" ht="16.5" thickBot="1">
      <c r="A169" s="39" t="s">
        <v>556</v>
      </c>
    </row>
    <row r="170" spans="1:9" ht="12.75" customHeight="1">
      <c r="A170" s="88"/>
      <c r="B170" s="41"/>
      <c r="C170" s="132"/>
      <c r="D170" s="61"/>
      <c r="E170" s="26"/>
      <c r="F170" s="26"/>
      <c r="G170" s="26"/>
      <c r="H170" s="26"/>
      <c r="I170" s="27"/>
    </row>
    <row r="171" spans="1:9" ht="12.75" customHeight="1">
      <c r="A171" s="89" t="s">
        <v>111</v>
      </c>
      <c r="B171" s="163">
        <v>1.5</v>
      </c>
      <c r="C171" s="59" t="s">
        <v>0</v>
      </c>
      <c r="D171" s="59"/>
      <c r="I171" s="20"/>
    </row>
    <row r="172" spans="1:9" ht="12.75" customHeight="1">
      <c r="A172" s="89" t="s">
        <v>112</v>
      </c>
      <c r="B172" s="163">
        <v>1.45</v>
      </c>
      <c r="C172" s="59" t="s">
        <v>0</v>
      </c>
      <c r="D172" s="59"/>
      <c r="I172" s="20"/>
    </row>
    <row r="173" spans="1:9" ht="12.75" customHeight="1">
      <c r="A173" s="89" t="s">
        <v>148</v>
      </c>
      <c r="B173" s="11">
        <f>B171-B172</f>
        <v>5.0000000000000044E-2</v>
      </c>
      <c r="C173" s="59" t="s">
        <v>0</v>
      </c>
      <c r="D173" s="59"/>
      <c r="I173" s="20"/>
    </row>
    <row r="174" spans="1:9" ht="12.75" customHeight="1">
      <c r="A174" s="89" t="s">
        <v>373</v>
      </c>
      <c r="B174">
        <v>0</v>
      </c>
      <c r="C174" s="59" t="s">
        <v>1</v>
      </c>
      <c r="D174" s="59"/>
      <c r="I174" s="20"/>
    </row>
    <row r="175" spans="1:9" ht="12.75" customHeight="1">
      <c r="A175" s="89" t="s">
        <v>372</v>
      </c>
      <c r="B175" s="447">
        <v>5.0000000000000001E-3</v>
      </c>
      <c r="C175" s="59" t="s">
        <v>30</v>
      </c>
      <c r="D175" s="59"/>
      <c r="I175" s="20"/>
    </row>
    <row r="176" spans="1:9" ht="12.75" customHeight="1">
      <c r="A176" s="89" t="s">
        <v>371</v>
      </c>
      <c r="B176" s="448">
        <f>Iuvlo2-Iuvlo1</f>
        <v>5.0000000000000001E-3</v>
      </c>
      <c r="C176" s="59" t="s">
        <v>30</v>
      </c>
      <c r="D176" s="59"/>
      <c r="I176" s="20"/>
    </row>
    <row r="177" spans="1:9" ht="12.75" customHeight="1">
      <c r="A177" s="89"/>
      <c r="B177" s="11"/>
      <c r="C177" s="134"/>
      <c r="D177" s="59"/>
      <c r="I177" s="20"/>
    </row>
    <row r="178" spans="1:9" ht="12.75" customHeight="1">
      <c r="A178" s="89" t="s">
        <v>110</v>
      </c>
      <c r="B178" s="161">
        <f>'Design Converter'!E48</f>
        <v>18.8</v>
      </c>
      <c r="C178" s="59" t="s">
        <v>0</v>
      </c>
      <c r="I178" s="20"/>
    </row>
    <row r="179" spans="1:9" ht="12.75" customHeight="1">
      <c r="A179" s="89" t="s">
        <v>294</v>
      </c>
      <c r="B179" s="161">
        <f>'Design Converter'!E49</f>
        <v>17.2</v>
      </c>
      <c r="C179" s="59" t="s">
        <v>0</v>
      </c>
      <c r="I179" s="20"/>
    </row>
    <row r="180" spans="1:9" ht="12.75" customHeight="1">
      <c r="A180" s="89"/>
      <c r="B180" s="11"/>
      <c r="C180" s="59"/>
      <c r="I180" s="20"/>
    </row>
    <row r="181" spans="1:9" ht="12.75" customHeight="1">
      <c r="A181" s="89" t="s">
        <v>126</v>
      </c>
      <c r="B181" s="130">
        <f>(VINuvlo_off-VINuvlo_on*Vuvlo_off/Vuvlo_on)/(Iuvlo1*Vuvlo_off/Vuvlo_on-Iuvlo2)</f>
        <v>194.66666666666725</v>
      </c>
      <c r="C181" s="12" t="s">
        <v>113</v>
      </c>
      <c r="D181">
        <f>'Standard Value Calculator'!J16</f>
        <v>196</v>
      </c>
      <c r="E181" s="12" t="s">
        <v>113</v>
      </c>
      <c r="F181" s="11">
        <f>IF(Ruvlo1&lt;0,"N/A",D181)</f>
        <v>196</v>
      </c>
      <c r="G181" s="11" t="str">
        <f>IF(Ruvlo1&lt;0,"N/A",D181&amp;"kΩ")</f>
        <v>196kΩ</v>
      </c>
      <c r="I181" s="20"/>
    </row>
    <row r="182" spans="1:9" ht="12.75" customHeight="1">
      <c r="A182" s="89" t="s">
        <v>127</v>
      </c>
      <c r="B182" s="164">
        <f>D181*Vuvlo_on/(VINuvlo_on-Vuvlo_on+Ruvlo1*Iuvlo1)</f>
        <v>16.99421965317919</v>
      </c>
      <c r="C182" s="12" t="s">
        <v>113</v>
      </c>
      <c r="D182">
        <f>'Standard Value Calculator'!J17</f>
        <v>16.900000000000002</v>
      </c>
      <c r="E182" s="12" t="s">
        <v>113</v>
      </c>
      <c r="F182" s="11">
        <f>IF(F181="N/A","N/A",D182)</f>
        <v>16.900000000000002</v>
      </c>
      <c r="G182" s="11" t="str">
        <f>IF(G181="N/A","N/A",D182&amp;"kΩ")</f>
        <v>16.9kΩ</v>
      </c>
      <c r="I182" s="20"/>
    </row>
    <row r="183" spans="1:9" ht="12.75" customHeight="1">
      <c r="A183" s="89"/>
      <c r="B183" s="90"/>
      <c r="C183" s="12"/>
      <c r="D183" s="11"/>
      <c r="E183" s="12"/>
      <c r="F183" s="11"/>
      <c r="G183" s="11"/>
      <c r="I183" s="20"/>
    </row>
    <row r="184" spans="1:9" ht="12.75" customHeight="1">
      <c r="A184" s="89" t="s">
        <v>114</v>
      </c>
      <c r="B184" s="507">
        <f>(D181+D182)/D182*Vuvlo_on</f>
        <v>18.896449704142011</v>
      </c>
      <c r="C184" s="3" t="s">
        <v>0</v>
      </c>
      <c r="F184" s="12"/>
      <c r="I184" s="20"/>
    </row>
    <row r="185" spans="1:9" ht="12.75" customHeight="1">
      <c r="A185" s="89" t="s">
        <v>115</v>
      </c>
      <c r="B185" s="507">
        <f>(D181+D182)/D182*Vuvlo_off-Iuvlo2*D181</f>
        <v>17.286568047337276</v>
      </c>
      <c r="C185" s="3" t="s">
        <v>0</v>
      </c>
      <c r="F185" s="12"/>
      <c r="I185" s="20"/>
    </row>
    <row r="186" spans="1:9" ht="12.75" customHeight="1" thickBot="1">
      <c r="A186" s="23"/>
      <c r="B186" s="32"/>
      <c r="C186" s="133"/>
      <c r="D186" s="24"/>
      <c r="E186" s="24"/>
      <c r="F186" s="24"/>
      <c r="G186" s="24"/>
      <c r="H186" s="24"/>
      <c r="I186" s="25"/>
    </row>
    <row r="187" spans="1:9">
      <c r="B187" s="11"/>
      <c r="C187" s="134"/>
    </row>
    <row r="188" spans="1:9" ht="16.5" thickBot="1">
      <c r="A188" s="39" t="s">
        <v>518</v>
      </c>
    </row>
    <row r="189" spans="1:9">
      <c r="A189" s="152" t="s">
        <v>16</v>
      </c>
      <c r="B189" s="153">
        <v>3.1415926500000002</v>
      </c>
      <c r="C189" s="154"/>
      <c r="D189" s="155" t="s">
        <v>170</v>
      </c>
      <c r="E189" s="26"/>
      <c r="F189" s="26"/>
      <c r="G189" s="26"/>
      <c r="H189" s="26"/>
      <c r="I189" s="27"/>
    </row>
    <row r="190" spans="1:9">
      <c r="A190" s="59" t="s">
        <v>185</v>
      </c>
      <c r="B190" s="176"/>
      <c r="C190" s="156" t="s">
        <v>184</v>
      </c>
      <c r="D190" s="158" t="s">
        <v>548</v>
      </c>
      <c r="I190" s="20"/>
    </row>
    <row r="191" spans="1:9">
      <c r="A191" s="59" t="s">
        <v>186</v>
      </c>
      <c r="B191" s="176"/>
      <c r="C191" s="156" t="s">
        <v>184</v>
      </c>
      <c r="D191" s="158"/>
      <c r="I191" s="20"/>
    </row>
    <row r="192" spans="1:9">
      <c r="C192"/>
      <c r="I192" s="20"/>
    </row>
    <row r="193" spans="1:9">
      <c r="A193" s="89" t="s">
        <v>386</v>
      </c>
      <c r="B193" s="146">
        <f>(Vout+Vfwd1)*Nps*10</f>
        <v>54</v>
      </c>
      <c r="C193" s="12" t="s">
        <v>113</v>
      </c>
      <c r="D193" s="59" t="s">
        <v>520</v>
      </c>
      <c r="I193" s="20">
        <v>1</v>
      </c>
    </row>
    <row r="194" spans="1:9">
      <c r="A194" s="29" t="s">
        <v>519</v>
      </c>
      <c r="B194" s="151">
        <f>Rfb/1000</f>
        <v>168</v>
      </c>
      <c r="C194" s="12" t="s">
        <v>113</v>
      </c>
      <c r="D194" s="59" t="s">
        <v>517</v>
      </c>
      <c r="I194" s="20"/>
    </row>
    <row r="195" spans="1:9">
      <c r="A195" s="89" t="s">
        <v>53</v>
      </c>
      <c r="B195" s="31">
        <f>'Standard Value Calculator'!J10/1000</f>
        <v>169</v>
      </c>
      <c r="C195" s="12" t="s">
        <v>113</v>
      </c>
      <c r="D195" s="59" t="s">
        <v>359</v>
      </c>
      <c r="I195" s="20"/>
    </row>
    <row r="196" spans="1:9">
      <c r="A196" s="59"/>
      <c r="C196" s="12"/>
      <c r="D196" s="59"/>
      <c r="I196" s="20"/>
    </row>
    <row r="197" spans="1:9">
      <c r="A197" s="59" t="s">
        <v>521</v>
      </c>
      <c r="B197" s="458">
        <f>'Design Converter'!E45</f>
        <v>-1.875</v>
      </c>
      <c r="C197" s="59" t="s">
        <v>380</v>
      </c>
      <c r="D197" s="59"/>
      <c r="I197" s="20"/>
    </row>
    <row r="198" spans="1:9" ht="15.75">
      <c r="A198" s="19" t="s">
        <v>516</v>
      </c>
      <c r="B198" s="314">
        <f>4*B194/Nps/ABS(Diode_TC)*1000</f>
        <v>358400</v>
      </c>
      <c r="C198" s="12" t="s">
        <v>136</v>
      </c>
      <c r="D198" s="59"/>
      <c r="I198" s="20"/>
    </row>
    <row r="199" spans="1:9">
      <c r="A199" t="s">
        <v>522</v>
      </c>
      <c r="B199" s="144">
        <f>'Standard Value Calculator'!J9/1000</f>
        <v>357</v>
      </c>
      <c r="C199" s="12" t="s">
        <v>113</v>
      </c>
      <c r="D199" s="59"/>
      <c r="I199" s="20"/>
    </row>
    <row r="200" spans="1:9" ht="13.5" thickBot="1">
      <c r="A200" s="157"/>
      <c r="B200" s="157"/>
      <c r="C200" s="33"/>
      <c r="D200" s="24"/>
      <c r="E200" s="33"/>
      <c r="F200" s="24"/>
      <c r="G200" s="24"/>
      <c r="H200" s="24"/>
      <c r="I200" s="25"/>
    </row>
    <row r="201" spans="1:9">
      <c r="A201" s="2"/>
      <c r="B201" s="13"/>
      <c r="C201" s="13"/>
      <c r="E201" s="13"/>
    </row>
    <row r="202" spans="1:9">
      <c r="A202" s="2"/>
      <c r="B202" s="13"/>
      <c r="C202" s="13"/>
      <c r="E202" s="13"/>
    </row>
    <row r="203" spans="1:9" ht="16.5" thickBot="1">
      <c r="A203" s="42" t="s">
        <v>83</v>
      </c>
    </row>
    <row r="204" spans="1:9">
      <c r="A204" s="40"/>
      <c r="B204" s="26"/>
      <c r="C204" s="135"/>
      <c r="D204" s="26"/>
      <c r="E204" s="26"/>
      <c r="F204" s="26"/>
      <c r="G204" s="26"/>
      <c r="H204" s="26"/>
      <c r="I204" s="27"/>
    </row>
    <row r="205" spans="1:9">
      <c r="A205" s="29" t="s">
        <v>26</v>
      </c>
      <c r="I205" s="20"/>
    </row>
    <row r="206" spans="1:9">
      <c r="A206" s="19" t="s">
        <v>36</v>
      </c>
      <c r="B206" s="110">
        <f>'Design Converter'!E83</f>
        <v>85</v>
      </c>
      <c r="C206" s="59" t="s">
        <v>102</v>
      </c>
      <c r="D206" t="s">
        <v>40</v>
      </c>
      <c r="I206" s="20"/>
    </row>
    <row r="207" spans="1:9">
      <c r="A207" s="29" t="s">
        <v>29</v>
      </c>
      <c r="C207"/>
      <c r="I207" s="20"/>
    </row>
    <row r="208" spans="1:9">
      <c r="A208" s="19" t="s">
        <v>35</v>
      </c>
      <c r="B208" s="22">
        <f>4000/1000000</f>
        <v>4.0000000000000001E-3</v>
      </c>
      <c r="C208" s="59" t="s">
        <v>138</v>
      </c>
      <c r="D208" s="59" t="s">
        <v>549</v>
      </c>
      <c r="I208" s="20"/>
    </row>
    <row r="209" spans="1:9" ht="15.75">
      <c r="A209" s="89" t="s">
        <v>177</v>
      </c>
      <c r="B209" s="22">
        <v>20</v>
      </c>
      <c r="C209" s="59" t="s">
        <v>84</v>
      </c>
      <c r="D209" s="59" t="s">
        <v>550</v>
      </c>
      <c r="I209" s="20"/>
    </row>
    <row r="210" spans="1:9">
      <c r="A210" s="19" t="s">
        <v>37</v>
      </c>
      <c r="B210" s="8">
        <f>RCinEsr</f>
        <v>3.0000000000000001E-3</v>
      </c>
      <c r="C210" s="91" t="s">
        <v>45</v>
      </c>
      <c r="D210" s="59" t="s">
        <v>178</v>
      </c>
      <c r="I210" s="20"/>
    </row>
    <row r="211" spans="1:9">
      <c r="A211" s="19"/>
      <c r="B211" s="8"/>
      <c r="C211" s="91"/>
      <c r="D211" s="59"/>
      <c r="I211" s="20"/>
    </row>
    <row r="212" spans="1:9">
      <c r="A212" s="28" t="s">
        <v>52</v>
      </c>
      <c r="C212"/>
      <c r="I212" s="20"/>
    </row>
    <row r="213" spans="1:9">
      <c r="A213" s="89" t="s">
        <v>285</v>
      </c>
      <c r="B213" s="22">
        <f>Vdd</f>
        <v>5</v>
      </c>
      <c r="C213" t="s">
        <v>0</v>
      </c>
      <c r="D213" s="159"/>
      <c r="I213" s="20"/>
    </row>
    <row r="214" spans="1:9">
      <c r="A214" s="19" t="s">
        <v>49</v>
      </c>
      <c r="B214" s="30">
        <f>IQ</f>
        <v>4.4999999999999999E-4</v>
      </c>
      <c r="C214" t="s">
        <v>1</v>
      </c>
      <c r="D214" t="s">
        <v>50</v>
      </c>
      <c r="I214" s="20"/>
    </row>
    <row r="215" spans="1:9">
      <c r="A215" s="19"/>
      <c r="C215"/>
      <c r="I215" s="20"/>
    </row>
    <row r="216" spans="1:9">
      <c r="A216" s="29" t="s">
        <v>172</v>
      </c>
      <c r="B216" s="3" t="s">
        <v>6</v>
      </c>
      <c r="C216" s="3" t="s">
        <v>33</v>
      </c>
      <c r="I216" s="20"/>
    </row>
    <row r="217" spans="1:9">
      <c r="A217" s="21" t="s">
        <v>44</v>
      </c>
      <c r="B217" s="4"/>
      <c r="C217" s="4" t="s">
        <v>45</v>
      </c>
      <c r="I217" s="20"/>
    </row>
    <row r="218" spans="1:9">
      <c r="A218" s="21" t="s">
        <v>46</v>
      </c>
      <c r="B218" s="9">
        <v>0</v>
      </c>
      <c r="C218" s="59" t="s">
        <v>102</v>
      </c>
      <c r="I218" s="20"/>
    </row>
    <row r="219" spans="1:9">
      <c r="A219" s="21" t="s">
        <v>87</v>
      </c>
      <c r="B219" s="9" t="e">
        <v>#NAME?</v>
      </c>
      <c r="C219" t="s">
        <v>1</v>
      </c>
      <c r="I219" s="20"/>
    </row>
    <row r="220" spans="1:9">
      <c r="A220" s="21" t="s">
        <v>88</v>
      </c>
      <c r="B220" t="e">
        <v>#NAME?</v>
      </c>
      <c r="C220" t="s">
        <v>1</v>
      </c>
      <c r="I220" s="20"/>
    </row>
    <row r="221" spans="1:9">
      <c r="A221" s="21" t="s">
        <v>89</v>
      </c>
      <c r="B221" t="e">
        <f>C221/Vin</f>
        <v>#NAME?</v>
      </c>
      <c r="C221" t="e">
        <v>#NAME?</v>
      </c>
      <c r="I221" s="20"/>
    </row>
    <row r="222" spans="1:9">
      <c r="A222" s="21" t="s">
        <v>91</v>
      </c>
      <c r="B222" t="e">
        <f>SUM(B219:B221)</f>
        <v>#NAME?</v>
      </c>
      <c r="C222" t="s">
        <v>1</v>
      </c>
      <c r="I222" s="20"/>
    </row>
    <row r="223" spans="1:9" ht="13.5" thickBot="1">
      <c r="A223" s="23"/>
      <c r="B223" s="24"/>
      <c r="C223" s="136"/>
      <c r="D223" s="24"/>
      <c r="E223" s="24"/>
      <c r="F223" s="24"/>
      <c r="G223" s="24"/>
      <c r="H223" s="24"/>
      <c r="I223" s="25"/>
    </row>
    <row r="224" spans="1:9">
      <c r="A224" s="2"/>
      <c r="B224" s="2"/>
      <c r="C224" s="2"/>
    </row>
    <row r="225" spans="1:9" ht="21.75" customHeight="1" thickBot="1">
      <c r="A225" s="39" t="s">
        <v>85</v>
      </c>
    </row>
    <row r="226" spans="1:9">
      <c r="A226" s="40"/>
      <c r="B226" s="26"/>
      <c r="C226" s="135"/>
      <c r="D226" s="26"/>
      <c r="E226" s="26"/>
      <c r="F226" s="26"/>
      <c r="G226" s="26"/>
      <c r="H226" s="26"/>
      <c r="I226" s="27"/>
    </row>
    <row r="227" spans="1:9">
      <c r="A227" s="19"/>
      <c r="B227" s="59"/>
      <c r="I227" s="20"/>
    </row>
    <row r="228" spans="1:9">
      <c r="A228" s="19" t="str">
        <f>"RUV1 = "&amp;'Design Converter'!E50&amp;"MΩ"</f>
        <v>RUV1 = 196MΩ</v>
      </c>
      <c r="B228" t="str">
        <f>C269</f>
        <v>196kΩ</v>
      </c>
      <c r="I228" s="20"/>
    </row>
    <row r="229" spans="1:9">
      <c r="A229" s="19" t="str">
        <f>"RUV2 = "&amp;'Design Converter'!E51&amp;"kΩ"</f>
        <v>RUV2 = 16.9kΩ</v>
      </c>
      <c r="B229" t="str">
        <f>C270</f>
        <v>16.9kΩ</v>
      </c>
      <c r="I229" s="20"/>
    </row>
    <row r="230" spans="1:9">
      <c r="A230" s="19"/>
      <c r="I230" s="20"/>
    </row>
    <row r="231" spans="1:9">
      <c r="A231" s="19" t="str">
        <f>"Lmag = "&amp;'Design Converter'!L7&amp;"µH"</f>
        <v>Lmag = 12µH</v>
      </c>
      <c r="B231" t="str">
        <f>'Design Converter'!L7&amp;"µH"</f>
        <v>12µH</v>
      </c>
      <c r="I231" s="20"/>
    </row>
    <row r="232" spans="1:9">
      <c r="A232" s="19" t="str">
        <f>"Rdcr = "&amp;Rdcr_pri*1000&amp;"mΩ"</f>
        <v>Rdcr = 30mΩ</v>
      </c>
      <c r="B232" t="str">
        <f>Rdcr_pri*1000&amp;"mΩ"</f>
        <v>30mΩ</v>
      </c>
      <c r="I232" s="20"/>
    </row>
    <row r="233" spans="1:9">
      <c r="A233" s="89" t="s">
        <v>384</v>
      </c>
      <c r="B233" t="str">
        <f>W66</f>
        <v>1 : 1</v>
      </c>
      <c r="I233" s="20"/>
    </row>
    <row r="234" spans="1:9">
      <c r="A234" s="19"/>
      <c r="I234" s="20"/>
    </row>
    <row r="235" spans="1:9">
      <c r="A235" s="19" t="str">
        <f>"Css = "&amp;ROUND(Css_u*1000000000,1)&amp;"nF"</f>
        <v>Css = 47nF</v>
      </c>
      <c r="B235" t="str">
        <f>ROUND(Css_u*1000000000,1)&amp;"nF"</f>
        <v>47nF</v>
      </c>
      <c r="I235" s="20"/>
    </row>
    <row r="236" spans="1:9">
      <c r="A236" s="19"/>
      <c r="I236" s="20"/>
    </row>
    <row r="237" spans="1:9">
      <c r="A237" s="19" t="s">
        <v>57</v>
      </c>
      <c r="B237" t="str">
        <f>VIN_nom&amp;"V"</f>
        <v>48V</v>
      </c>
      <c r="I237" s="20"/>
    </row>
    <row r="238" spans="1:9">
      <c r="A238" s="89" t="s">
        <v>187</v>
      </c>
      <c r="B238" t="str">
        <f>VIN_min&amp;"V..."&amp;VIN_max&amp;"V"</f>
        <v>9V...60V</v>
      </c>
      <c r="I238" s="20"/>
    </row>
    <row r="239" spans="1:9">
      <c r="A239" s="89"/>
      <c r="I239" s="20"/>
    </row>
    <row r="240" spans="1:9">
      <c r="A240" s="19" t="str">
        <f>"VOUT = "&amp;'Design Converter'!E10&amp;"V"</f>
        <v>VOUT = 5V</v>
      </c>
      <c r="B240" t="str">
        <f>'Design Converter'!E10&amp;"V"</f>
        <v>5V</v>
      </c>
      <c r="D240">
        <f>MODE</f>
        <v>1</v>
      </c>
      <c r="I240" s="20"/>
    </row>
    <row r="241" spans="1:9">
      <c r="A241" s="19" t="str">
        <f>"VOUT2 = "&amp;'Design Converter'!E12&amp;"V"</f>
        <v>VOUT2 = 8V</v>
      </c>
      <c r="B241" t="str">
        <f>IF(MODE_TOP="DUAL", 'Design Converter'!E12&amp;"V", "")</f>
        <v/>
      </c>
      <c r="D241" s="59" t="b">
        <f>MODE=2</f>
        <v>0</v>
      </c>
      <c r="I241" s="20"/>
    </row>
    <row r="242" spans="1:9">
      <c r="A242" s="19" t="str">
        <f>"VOUT2 = "&amp;'Design Converter'!E12&amp;"V"</f>
        <v>VOUT2 = 8V</v>
      </c>
      <c r="B242" t="str">
        <f>IF(MODE_TOP="BIPOLAR", 'Design Converter'!E12&amp;"V", "")</f>
        <v/>
      </c>
      <c r="I242" s="20"/>
    </row>
    <row r="243" spans="1:9">
      <c r="A243" s="19"/>
      <c r="I243" s="20"/>
    </row>
    <row r="244" spans="1:9">
      <c r="A244" s="335" t="s">
        <v>510</v>
      </c>
      <c r="B244" s="59" t="str">
        <f>IF(MODE=1, "", "Co1")</f>
        <v/>
      </c>
      <c r="C244" s="59" t="str">
        <f>IF(MODE_TOP="DUAL", "Co2", "")</f>
        <v/>
      </c>
      <c r="D244" s="59" t="str">
        <f>IF(MODE_TOP="BIPOLAR", "Co2", "")</f>
        <v/>
      </c>
      <c r="F244" s="59" t="str">
        <f>MODE_TOP</f>
        <v>SINGLE</v>
      </c>
      <c r="I244" s="20"/>
    </row>
    <row r="245" spans="1:9">
      <c r="A245" s="19" t="str">
        <f>"COUT = "&amp;'Design Converter'!$E$34&amp;"µF"</f>
        <v>COUT = 110µF</v>
      </c>
      <c r="B245" t="str">
        <f>'Design Converter'!$E$34&amp;"µF"</f>
        <v>110µF</v>
      </c>
      <c r="C245" t="str">
        <f>IF(MODE_TOP="DUAL", 'Design Converter'!$L$34&amp;"µF", "")</f>
        <v/>
      </c>
      <c r="D245" t="str">
        <f>IF(MODE_TOP="BIPOLAR", 'Design Converter'!$L$34&amp;"µF", "")</f>
        <v/>
      </c>
      <c r="F245" t="str">
        <f>'Design Converter'!$L$34&amp;"µF"</f>
        <v>55µF</v>
      </c>
      <c r="I245" s="20"/>
    </row>
    <row r="246" spans="1:9">
      <c r="A246" s="89" t="s">
        <v>134</v>
      </c>
      <c r="B246" t="str">
        <f>"22µF"</f>
        <v>22µF</v>
      </c>
      <c r="I246" s="20"/>
    </row>
    <row r="247" spans="1:9">
      <c r="A247" s="89" t="s">
        <v>135</v>
      </c>
      <c r="B247" s="60" t="str">
        <f>ROUNDUP(Cout/22,0)&amp;" x"</f>
        <v>5 x</v>
      </c>
      <c r="C247" s="137"/>
      <c r="I247" s="20"/>
    </row>
    <row r="248" spans="1:9">
      <c r="A248" s="89"/>
      <c r="B248" s="60">
        <f>Cout</f>
        <v>110</v>
      </c>
      <c r="C248" s="137"/>
      <c r="I248" s="20"/>
    </row>
    <row r="249" spans="1:9">
      <c r="A249" s="335" t="s">
        <v>511</v>
      </c>
      <c r="I249" s="20"/>
    </row>
    <row r="250" spans="1:9">
      <c r="A250" s="19" t="s">
        <v>95</v>
      </c>
      <c r="B250" t="str">
        <f>Cin&amp;"µF"</f>
        <v>22µF</v>
      </c>
      <c r="I250" s="20"/>
    </row>
    <row r="251" spans="1:9">
      <c r="A251" s="89" t="s">
        <v>133</v>
      </c>
      <c r="B251" t="str">
        <f>"4.7µF"</f>
        <v>4.7µF</v>
      </c>
      <c r="I251" s="20"/>
    </row>
    <row r="252" spans="1:9">
      <c r="A252" s="89" t="s">
        <v>132</v>
      </c>
      <c r="B252" s="60" t="str">
        <f>ROUNDUP(Cin/4.7,0)&amp;" x"</f>
        <v>5 x</v>
      </c>
      <c r="C252" s="137"/>
      <c r="I252" s="20"/>
    </row>
    <row r="253" spans="1:9">
      <c r="A253" s="89"/>
      <c r="B253" s="60"/>
      <c r="I253" s="20"/>
    </row>
    <row r="254" spans="1:9" ht="15.75">
      <c r="A254" s="89" t="s">
        <v>512</v>
      </c>
      <c r="B254" s="495" t="s">
        <v>513</v>
      </c>
      <c r="C254" s="495" t="s">
        <v>551</v>
      </c>
      <c r="I254" s="20"/>
    </row>
    <row r="255" spans="1:9">
      <c r="A255" s="89"/>
      <c r="B255" s="60"/>
      <c r="I255" s="20"/>
    </row>
    <row r="256" spans="1:9">
      <c r="A256" s="335" t="s">
        <v>383</v>
      </c>
      <c r="B256" s="137" t="str">
        <f>IF(MODE_TC=1, "YES", "NO")</f>
        <v>NO</v>
      </c>
      <c r="I256" s="20"/>
    </row>
    <row r="257" spans="1:9">
      <c r="A257" s="89" t="s">
        <v>298</v>
      </c>
      <c r="B257" s="137" t="str">
        <f>IF(MODE_TC=2, "YES", "NO")</f>
        <v>YES</v>
      </c>
      <c r="C257" s="327" t="str">
        <f>IF(MODE_TC=2, "R1", "")</f>
        <v>R1</v>
      </c>
      <c r="D257" s="327" t="str">
        <f>IF(MODE_TC=2, "R2", "")</f>
        <v>R2</v>
      </c>
      <c r="E257" s="327"/>
      <c r="I257" s="20"/>
    </row>
    <row r="258" spans="1:9">
      <c r="A258" s="19" t="str">
        <f>"RFB = "&amp;'Design Converter'!E39&amp;"kΩ"</f>
        <v>RFB = 54kΩ</v>
      </c>
      <c r="B258" t="str">
        <f>IF(MODE_TC=1, "", 'Design Converter'!E39&amp;"kΩ")</f>
        <v>54kΩ</v>
      </c>
      <c r="C258" s="59" t="str">
        <f>'Design Converter'!E39&amp;"kΩ"</f>
        <v>54kΩ</v>
      </c>
      <c r="I258" s="20"/>
    </row>
    <row r="259" spans="1:9">
      <c r="A259" s="19" t="str">
        <f>"RFB2 = "&amp;IF(Vout=Vref,"OPEN",'Design Converter'!E40&amp;"kΩ")</f>
        <v>RFB2 = 168kΩ</v>
      </c>
      <c r="B259" t="str">
        <f>IF(MODE_TC=1, "", IF(Vout=Vref,"OPEN",Rfb2_u/1000&amp;"kΩ"))</f>
        <v>0.169kΩ</v>
      </c>
      <c r="C259" s="59" t="str">
        <f>'Design Converter'!E40&amp;"kΩ"</f>
        <v>168kΩ</v>
      </c>
      <c r="I259" s="20"/>
    </row>
    <row r="260" spans="1:9">
      <c r="A260" s="19"/>
      <c r="C260" s="59"/>
      <c r="I260" s="20"/>
    </row>
    <row r="261" spans="1:9">
      <c r="A261" s="89" t="s">
        <v>302</v>
      </c>
      <c r="B261" s="3" t="str">
        <f>IF(MODE=1, "YES", "NO")</f>
        <v>YES</v>
      </c>
      <c r="C261" t="str">
        <f>IF(MODE=1,"Rt", "")</f>
        <v>Rt</v>
      </c>
      <c r="I261" s="20"/>
    </row>
    <row r="262" spans="1:9">
      <c r="A262" s="89" t="s">
        <v>139</v>
      </c>
      <c r="B262" t="e">
        <f>IF(MODE=2, "", 'Standard Value Calculator'!J4/1000&amp;"kΩ")</f>
        <v>#NAME?</v>
      </c>
      <c r="I262" s="20"/>
    </row>
    <row r="263" spans="1:9">
      <c r="A263" s="89"/>
      <c r="I263" s="20"/>
    </row>
    <row r="264" spans="1:9">
      <c r="A264" s="335" t="s">
        <v>374</v>
      </c>
      <c r="B264" s="137" t="str">
        <f>IF(MODE=1, "YES", "NO")</f>
        <v>YES</v>
      </c>
      <c r="C264" s="59" t="str">
        <f>IF(TC=1,"Rtc", "")</f>
        <v/>
      </c>
      <c r="I264" s="20"/>
    </row>
    <row r="265" spans="1:9">
      <c r="A265" s="449" t="str">
        <f>"RTC = "&amp;RTC&amp;"kΩ"</f>
        <v>RTC = 357kΩ</v>
      </c>
      <c r="B265" t="str">
        <f>IF(TC=1, RTC&amp;"kΩ", "")</f>
        <v/>
      </c>
      <c r="C265" s="59" t="str">
        <f>CHOOSE(TC,"Rtc","")</f>
        <v/>
      </c>
      <c r="F265" s="5"/>
      <c r="I265" s="20"/>
    </row>
    <row r="266" spans="1:9">
      <c r="A266" s="89" t="s">
        <v>377</v>
      </c>
      <c r="B266" s="60"/>
      <c r="C266"/>
      <c r="F266" s="5"/>
      <c r="I266" s="20"/>
    </row>
    <row r="267" spans="1:9">
      <c r="A267" s="19"/>
      <c r="B267" s="60"/>
      <c r="C267" s="137"/>
      <c r="E267" s="91"/>
      <c r="I267" s="20"/>
    </row>
    <row r="268" spans="1:9">
      <c r="A268" s="335" t="s">
        <v>305</v>
      </c>
      <c r="B268" s="137" t="str">
        <f>IF(MODE_UVLO=1, "YES", "NO")</f>
        <v>YES</v>
      </c>
      <c r="C268" s="327" t="str">
        <f>IF(MODE_UVLO=1, "Ruv1", "")</f>
        <v>Ruv1</v>
      </c>
      <c r="D268" s="327" t="str">
        <f>IF(MODE_UVLO=1, "Ruv2", "")</f>
        <v>Ruv2</v>
      </c>
      <c r="E268" s="327"/>
      <c r="F268" s="327" t="s">
        <v>6</v>
      </c>
      <c r="G268" s="327" t="s">
        <v>33</v>
      </c>
      <c r="H268" s="59" t="s">
        <v>339</v>
      </c>
      <c r="I268" s="20"/>
    </row>
    <row r="269" spans="1:9">
      <c r="A269" s="19" t="str">
        <f>"RUV1 = "&amp;C269</f>
        <v>RUV1 = 196kΩ</v>
      </c>
      <c r="B269" t="str">
        <f>'Design Converter'!E50&amp;" kΩ"</f>
        <v>196 kΩ</v>
      </c>
      <c r="C269" s="327" t="str">
        <f>IF(MODE_UVLO=1,'Design Converter'!E50&amp;"kΩ", "")</f>
        <v>196kΩ</v>
      </c>
      <c r="F269">
        <f>IF(MODE_UVLO=1,'Design Converter'!E50, "")</f>
        <v>196</v>
      </c>
      <c r="G269" s="59" t="str">
        <f>IF(MODE_UVLO=1,"kΩ", "")</f>
        <v>kΩ</v>
      </c>
      <c r="H269" s="327" t="str">
        <f>IF(MODE_UVLO=1,'Design Converter'!E50&amp;"k", "")</f>
        <v>196k</v>
      </c>
      <c r="I269" s="20"/>
    </row>
    <row r="270" spans="1:9">
      <c r="A270" s="19" t="str">
        <f>"RUV2 = "&amp;C270</f>
        <v>RUV2 = 16.9kΩ</v>
      </c>
      <c r="B270" t="str">
        <f>IF(D182&gt;=1000, D182/1000&amp;" MΩ", D182&amp;" kΩ")</f>
        <v>16.9 kΩ</v>
      </c>
      <c r="C270" s="327" t="str">
        <f>IF(MODE_UVLO=1, IF(D182&lt;1, D182*1000&amp;"Ω", IF(D182&lt;1000, D182&amp;"kΩ", D182/1000&amp;"MΩ")), "")</f>
        <v>16.9kΩ</v>
      </c>
      <c r="F270">
        <f>IF(MODE_UVLO=1, IF(D182&lt;1, D182*1000, IF(D182&lt;1000, D182, D182/1000)), "")</f>
        <v>16.900000000000002</v>
      </c>
      <c r="G270" s="59" t="str">
        <f>IF(MODE_UVLO=1, IF(D182&lt;1, "Ω", IF(D182&lt;1000,"kΩ", "MΩ")), "")</f>
        <v>kΩ</v>
      </c>
      <c r="H270" s="327" t="str">
        <f>IF(MODE_UVLO=1, IF(D182&lt;1, D182*1000, IF(D182&lt;1000, D182&amp;"k", D182/1000&amp;"M")), "")</f>
        <v>16.9k</v>
      </c>
      <c r="I270" s="20"/>
    </row>
    <row r="271" spans="1:9">
      <c r="A271" s="19"/>
      <c r="C271" s="327"/>
      <c r="G271" s="59"/>
      <c r="H271" s="327"/>
      <c r="I271" s="20"/>
    </row>
    <row r="272" spans="1:9">
      <c r="A272" s="335" t="s">
        <v>378</v>
      </c>
      <c r="C272" s="327"/>
      <c r="G272" s="59"/>
      <c r="H272" s="327"/>
      <c r="I272" s="20"/>
    </row>
    <row r="273" spans="1:9">
      <c r="A273" s="19" t="str">
        <f>"RSET = "&amp;C273</f>
        <v>RSET = 10kΩ</v>
      </c>
      <c r="B273" s="59" t="s">
        <v>783</v>
      </c>
      <c r="C273" s="59" t="s">
        <v>784</v>
      </c>
      <c r="F273">
        <f>IF(MODE_UVLO=1, IF(D183&lt;1, D183*1000, IF(D183&lt;1000, D183, D183/1000)), "")</f>
        <v>0</v>
      </c>
      <c r="G273" s="59" t="str">
        <f>IF(MODE_UVLO=1, IF(D183&lt;1, "Ω", IF(D183&lt;1000,"kΩ", "MΩ")), "")</f>
        <v>Ω</v>
      </c>
      <c r="H273" s="327">
        <f>IF(MODE_UVLO=1, IF(D183&lt;1, D183*1000, IF(D183&lt;1000, D183&amp;"k", D183&amp;"M")), "")</f>
        <v>0</v>
      </c>
      <c r="I273" s="20"/>
    </row>
    <row r="274" spans="1:9">
      <c r="A274" s="19"/>
      <c r="B274" s="59"/>
      <c r="C274" s="59"/>
      <c r="G274" s="59"/>
      <c r="H274" s="327"/>
      <c r="I274" s="20"/>
    </row>
    <row r="275" spans="1:9">
      <c r="A275" s="335" t="s">
        <v>379</v>
      </c>
      <c r="B275" s="60"/>
      <c r="C275" s="137"/>
      <c r="E275" s="91"/>
      <c r="I275" s="20"/>
    </row>
    <row r="276" spans="1:9">
      <c r="A276" s="19" t="str">
        <f>"Css = "&amp;Css*1000000000&amp;"nF"</f>
        <v>Css = 50nF</v>
      </c>
      <c r="B276" t="str">
        <f>Css*1000000000&amp;"nF"</f>
        <v>50nF</v>
      </c>
      <c r="I276" s="20"/>
    </row>
    <row r="277" spans="1:9">
      <c r="A277" s="19" t="s">
        <v>66</v>
      </c>
      <c r="B277" t="str">
        <f>CHOOSE(MODE_SS,'Standard Value Calculator'!B4*1000000000&amp;"nF","")</f>
        <v/>
      </c>
      <c r="C277" t="str">
        <f>CHOOSE(MODE_SS,"Css","")</f>
        <v/>
      </c>
      <c r="D277" s="336" t="str">
        <f>B277</f>
        <v/>
      </c>
      <c r="I277" s="20"/>
    </row>
    <row r="278" spans="1:9">
      <c r="A278" s="19"/>
      <c r="C278" s="59" t="str">
        <f>C277</f>
        <v/>
      </c>
      <c r="D278" s="3"/>
      <c r="I278" s="20"/>
    </row>
    <row r="279" spans="1:9">
      <c r="A279" s="19"/>
      <c r="C279" s="59"/>
      <c r="D279" s="3"/>
      <c r="I279" s="20"/>
    </row>
    <row r="280" spans="1:9">
      <c r="A280" s="89" t="s">
        <v>640</v>
      </c>
      <c r="B280" s="59">
        <f>ROUND(Iout*2,1)</f>
        <v>2.4</v>
      </c>
      <c r="C280" s="59" t="s">
        <v>1</v>
      </c>
      <c r="I280" s="20"/>
    </row>
    <row r="281" spans="1:9">
      <c r="A281" s="89" t="s">
        <v>641</v>
      </c>
      <c r="B281">
        <f>ROUND(VRRM_DIODE,0)</f>
        <v>65</v>
      </c>
      <c r="C281" s="59" t="s">
        <v>0</v>
      </c>
      <c r="I281" s="20"/>
    </row>
    <row r="282" spans="1:9">
      <c r="I282" s="20"/>
    </row>
    <row r="283" spans="1:9">
      <c r="A283" s="89"/>
      <c r="B283" s="60"/>
      <c r="C283"/>
      <c r="I283" s="20"/>
    </row>
    <row r="284" spans="1:9">
      <c r="A284" s="89" t="s">
        <v>129</v>
      </c>
      <c r="B284" s="59" t="s">
        <v>310</v>
      </c>
      <c r="C284"/>
      <c r="I284" s="20"/>
    </row>
    <row r="285" spans="1:9">
      <c r="A285" s="89"/>
      <c r="B285" s="59"/>
      <c r="C285"/>
      <c r="I285" s="20"/>
    </row>
    <row r="286" spans="1:9">
      <c r="A286" s="89" t="s">
        <v>183</v>
      </c>
      <c r="B286" s="60" t="str">
        <f>CHOOSE(MODE, ROUND('Calculations - Single'!$CB$105,1)&amp;"%", ROUND('Calculations - Dual'!CB105,1)&amp;"%")</f>
        <v>79.3%</v>
      </c>
      <c r="C286"/>
      <c r="I286" s="20"/>
    </row>
    <row r="287" spans="1:9">
      <c r="A287" s="89" t="s">
        <v>492</v>
      </c>
      <c r="B287" s="60" t="str">
        <f>ROUND('Calculations - Single'!$CB$55,1)&amp;"%"</f>
        <v>70.2%</v>
      </c>
      <c r="C287"/>
      <c r="I287" s="20"/>
    </row>
    <row r="288" spans="1:9">
      <c r="A288" s="89" t="s">
        <v>307</v>
      </c>
      <c r="B288" s="60" t="str">
        <f>ROUND('Calculations - Single'!$CB$15,1)&amp;"%"</f>
        <v>60.8%</v>
      </c>
      <c r="C288" s="59" t="s">
        <v>312</v>
      </c>
      <c r="I288" s="20"/>
    </row>
    <row r="289" spans="1:9">
      <c r="A289" s="89" t="s">
        <v>311</v>
      </c>
      <c r="B289" s="60" t="str">
        <f>ROUND(Parameters!BZ56,1)&amp;"%"</f>
        <v>0%</v>
      </c>
      <c r="C289" s="59" t="s">
        <v>313</v>
      </c>
      <c r="I289" s="20"/>
    </row>
    <row r="290" spans="1:9">
      <c r="A290" s="19"/>
      <c r="I290" s="20"/>
    </row>
    <row r="291" spans="1:9">
      <c r="A291" s="19"/>
      <c r="I291" s="20"/>
    </row>
    <row r="292" spans="1:9">
      <c r="A292" s="19"/>
      <c r="I292" s="20"/>
    </row>
    <row r="293" spans="1:9">
      <c r="A293" s="19" t="s">
        <v>80</v>
      </c>
      <c r="B293" t="str">
        <f>IF(C293="y","","|")</f>
        <v>|</v>
      </c>
      <c r="C293" s="3" t="s">
        <v>319</v>
      </c>
      <c r="I293" s="20"/>
    </row>
    <row r="294" spans="1:9">
      <c r="A294" s="19"/>
      <c r="I294" s="20"/>
    </row>
    <row r="295" spans="1:9">
      <c r="A295" s="429" t="s">
        <v>86</v>
      </c>
      <c r="B295" t="str">
        <f>'Design Converter'!$E$11&amp;"A"</f>
        <v>1.2A</v>
      </c>
      <c r="I295" s="20"/>
    </row>
    <row r="296" spans="1:9">
      <c r="A296" s="429" t="s">
        <v>509</v>
      </c>
      <c r="B296" t="str">
        <f>IF(MODE_TOP="DUAL", 'Design Converter'!$E$13&amp;"A", "")</f>
        <v/>
      </c>
      <c r="D296" s="59">
        <f>MODE</f>
        <v>1</v>
      </c>
      <c r="I296" s="20"/>
    </row>
    <row r="297" spans="1:9">
      <c r="A297" s="429" t="s">
        <v>508</v>
      </c>
      <c r="B297" t="str">
        <f>IF(MODE_TOP="BIPOLAR", Iout2_actual&amp;"A", "")</f>
        <v/>
      </c>
      <c r="I297" s="20"/>
    </row>
    <row r="298" spans="1:9">
      <c r="A298" s="19"/>
      <c r="I298" s="20"/>
    </row>
    <row r="299" spans="1:9">
      <c r="A299" s="89" t="s">
        <v>94</v>
      </c>
      <c r="B299">
        <v>1</v>
      </c>
      <c r="I299" s="20"/>
    </row>
    <row r="300" spans="1:9">
      <c r="A300" s="89" t="s">
        <v>93</v>
      </c>
      <c r="B300">
        <v>2</v>
      </c>
      <c r="I300" s="20"/>
    </row>
    <row r="301" spans="1:9">
      <c r="A301" s="89" t="s">
        <v>57</v>
      </c>
      <c r="B301">
        <v>3</v>
      </c>
      <c r="I301" s="20"/>
    </row>
    <row r="302" spans="1:9">
      <c r="A302" s="89" t="s">
        <v>552</v>
      </c>
      <c r="B302">
        <v>4</v>
      </c>
      <c r="I302" s="20"/>
    </row>
    <row r="303" spans="1:9">
      <c r="A303" s="89" t="s">
        <v>553</v>
      </c>
      <c r="B303">
        <v>5</v>
      </c>
      <c r="I303" s="20"/>
    </row>
    <row r="304" spans="1:9">
      <c r="A304" s="89" t="s">
        <v>554</v>
      </c>
      <c r="B304">
        <v>6</v>
      </c>
      <c r="I304" s="20"/>
    </row>
    <row r="305" spans="1:9">
      <c r="A305" s="89" t="s">
        <v>555</v>
      </c>
      <c r="B305">
        <v>7</v>
      </c>
      <c r="I305" s="20"/>
    </row>
    <row r="306" spans="1:9">
      <c r="A306" s="89" t="s">
        <v>92</v>
      </c>
      <c r="B306">
        <v>8</v>
      </c>
      <c r="I306" s="20"/>
    </row>
    <row r="307" spans="1:9" ht="13.5" thickBot="1">
      <c r="A307" s="142"/>
      <c r="B307" s="24"/>
      <c r="C307" s="136"/>
      <c r="D307" s="24"/>
      <c r="E307" s="24"/>
      <c r="F307" s="24"/>
      <c r="G307" s="24"/>
      <c r="H307" s="24"/>
      <c r="I307" s="25"/>
    </row>
    <row r="309" spans="1:9">
      <c r="A309" t="s">
        <v>743</v>
      </c>
      <c r="B309">
        <f>'Design Converter'!$E$60</f>
        <v>12.1</v>
      </c>
      <c r="C309" s="3" t="s">
        <v>866</v>
      </c>
      <c r="D309" t="str">
        <f>B309&amp;"kΩ"</f>
        <v>12.1kΩ</v>
      </c>
    </row>
    <row r="310" spans="1:9">
      <c r="A310" t="s">
        <v>865</v>
      </c>
      <c r="B310">
        <f>'Design Converter'!$E$62</f>
        <v>22</v>
      </c>
      <c r="C310" s="3" t="s">
        <v>319</v>
      </c>
      <c r="D310" t="str">
        <f>B310&amp;"nF"</f>
        <v>22nF</v>
      </c>
    </row>
    <row r="311" spans="1:9">
      <c r="A311" t="s">
        <v>750</v>
      </c>
      <c r="B311">
        <f>'Design Converter'!$E$64</f>
        <v>47</v>
      </c>
      <c r="C311" s="3" t="s">
        <v>170</v>
      </c>
      <c r="D311" t="str">
        <f>B311&amp;"pF"</f>
        <v>47pF</v>
      </c>
    </row>
    <row r="313" spans="1:9">
      <c r="A313" t="s">
        <v>771</v>
      </c>
      <c r="B313">
        <f>RCS</f>
        <v>20</v>
      </c>
      <c r="C313" s="3" t="s">
        <v>867</v>
      </c>
      <c r="D313" t="str">
        <f>B313&amp;"mΩ"</f>
        <v>20mΩ</v>
      </c>
    </row>
    <row r="314" spans="1:9">
      <c r="A314" t="s">
        <v>868</v>
      </c>
      <c r="B314">
        <v>100</v>
      </c>
      <c r="D314" t="s">
        <v>869</v>
      </c>
    </row>
    <row r="315" spans="1:9">
      <c r="A315" t="s">
        <v>870</v>
      </c>
      <c r="B315">
        <v>100</v>
      </c>
      <c r="D315" t="str">
        <f>100&amp;"Ω"</f>
        <v>100Ω</v>
      </c>
    </row>
  </sheetData>
  <sheetProtection selectLockedCells="1" selectUnlockedCells="1"/>
  <mergeCells count="2">
    <mergeCell ref="E5:H5"/>
    <mergeCell ref="A1:I1"/>
  </mergeCells>
  <phoneticPr fontId="6" type="noConversion"/>
  <pageMargins left="0.75" right="0.75" top="1" bottom="1" header="0.5" footer="0.5"/>
  <pageSetup orientation="portrait" r:id="rId1"/>
  <headerFooter alignWithMargins="0"/>
  <ignoredErrors>
    <ignoredError sqref="R79:R83"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CC133"/>
  <sheetViews>
    <sheetView showWhiteSpace="0" zoomScale="70" zoomScaleNormal="70" workbookViewId="0">
      <pane ySplit="5" topLeftCell="A6" activePane="bottomLeft" state="frozen"/>
      <selection pane="bottomLeft" activeCell="F12" sqref="F12"/>
    </sheetView>
  </sheetViews>
  <sheetFormatPr defaultColWidth="9.140625" defaultRowHeight="12.75"/>
  <cols>
    <col min="1" max="1" width="15.7109375" style="147" customWidth="1"/>
    <col min="2" max="2" width="11.5703125" style="147" customWidth="1"/>
    <col min="3" max="3" width="9.140625" style="147"/>
    <col min="4" max="4" width="12.42578125" style="147" bestFit="1" customWidth="1"/>
    <col min="5" max="5" width="51.42578125" style="147" customWidth="1"/>
    <col min="6" max="6" width="13.42578125" style="147" customWidth="1"/>
    <col min="7" max="7" width="10" style="147" customWidth="1"/>
    <col min="8" max="8" width="6.85546875" style="147" customWidth="1"/>
    <col min="9" max="9" width="12.42578125" style="147" bestFit="1" customWidth="1"/>
    <col min="10" max="10" width="9.140625" style="187" customWidth="1"/>
    <col min="11" max="11" width="8.85546875"/>
    <col min="13" max="13" width="10.85546875" customWidth="1"/>
    <col min="14" max="14" width="12" style="147" customWidth="1"/>
    <col min="15" max="15" width="12.7109375" style="187" customWidth="1"/>
    <col min="16" max="16" width="11.42578125" style="187" customWidth="1"/>
    <col min="17" max="17" width="12.42578125" style="187" customWidth="1"/>
    <col min="18" max="19" width="10.5703125" style="172" customWidth="1"/>
    <col min="20" max="20" width="10" style="172" customWidth="1"/>
    <col min="21" max="21" width="10.5703125" style="172" customWidth="1"/>
    <col min="22" max="22" width="8.42578125" style="187" customWidth="1"/>
    <col min="23" max="23" width="9.28515625" style="187" customWidth="1"/>
    <col min="24" max="24" width="9.42578125" style="147" customWidth="1"/>
    <col min="25" max="25" width="9.42578125" style="187" customWidth="1"/>
    <col min="26" max="26" width="8.28515625" style="188" customWidth="1"/>
    <col min="27" max="27" width="9.5703125" style="187" customWidth="1"/>
    <col min="28" max="28" width="9.42578125" style="187" bestFit="1" customWidth="1"/>
    <col min="29" max="29" width="8.5703125" style="187" customWidth="1"/>
    <col min="30" max="30" width="9.7109375" style="189" customWidth="1"/>
    <col min="31" max="31" width="9.140625" style="189" customWidth="1"/>
    <col min="32" max="32" width="8.140625" style="187" customWidth="1"/>
    <col min="33" max="33" width="10.28515625" style="187" customWidth="1"/>
    <col min="34" max="34" width="9.42578125" style="187" customWidth="1"/>
    <col min="35" max="35" width="8.85546875"/>
    <col min="36" max="36" width="9.7109375" style="187" customWidth="1"/>
    <col min="37" max="37" width="11.5703125" style="187" customWidth="1"/>
    <col min="38" max="38" width="10.140625" style="187" customWidth="1"/>
    <col min="39" max="39" width="11.140625" style="187" customWidth="1"/>
    <col min="40" max="40" width="9.140625" style="187"/>
    <col min="41" max="41" width="10.28515625" style="187" customWidth="1"/>
    <col min="42" max="42" width="9.85546875" style="187" customWidth="1"/>
    <col min="43" max="43" width="9.7109375" style="187" customWidth="1"/>
    <col min="44" max="44" width="10.28515625" style="187" customWidth="1"/>
    <col min="45" max="45" width="10.140625" style="187" customWidth="1"/>
    <col min="46" max="46" width="10.42578125" style="187" customWidth="1"/>
    <col min="47" max="47" width="11.28515625" style="187" customWidth="1"/>
    <col min="48" max="48" width="11.7109375" style="187" customWidth="1"/>
    <col min="49" max="49" width="10.42578125" style="187" customWidth="1"/>
    <col min="50" max="50" width="11.42578125" style="187" customWidth="1"/>
    <col min="51" max="51" width="10.140625" style="187" customWidth="1"/>
    <col min="52" max="52" width="10" style="149" bestFit="1" customWidth="1"/>
    <col min="53" max="55" width="12.7109375" style="296" customWidth="1"/>
    <col min="56" max="56" width="14" style="296" customWidth="1"/>
    <col min="57" max="57" width="12.85546875" style="296" customWidth="1"/>
    <col min="58" max="58" width="10.42578125" style="296" customWidth="1"/>
    <col min="59" max="59" width="9" style="296" customWidth="1"/>
    <col min="60" max="60" width="8.85546875" style="296" customWidth="1"/>
    <col min="61" max="61" width="10.85546875" style="296" customWidth="1"/>
    <col min="62" max="62" width="11.140625" style="296" customWidth="1"/>
    <col min="63" max="64" width="9.140625" style="296"/>
    <col min="65" max="65" width="8.85546875" style="149" customWidth="1"/>
    <col min="66" max="66" width="9.140625" style="188"/>
    <col min="67" max="67" width="12.5703125" style="147" customWidth="1"/>
    <col min="68" max="68" width="13.5703125" style="149" customWidth="1"/>
    <col min="69" max="69" width="12.7109375" style="172" customWidth="1"/>
    <col min="70" max="70" width="3.7109375" style="147" customWidth="1"/>
    <col min="71" max="71" width="12.42578125" style="147" bestFit="1" customWidth="1"/>
    <col min="72" max="72" width="3.5703125" style="147" customWidth="1"/>
    <col min="73" max="73" width="9.140625" style="149"/>
    <col min="74" max="74" width="11.140625" style="149" customWidth="1"/>
    <col min="75" max="75" width="9.140625" style="149"/>
    <col min="76" max="76" width="4.7109375" style="147" customWidth="1"/>
    <col min="77" max="77" width="3.7109375" style="147" customWidth="1"/>
    <col min="78" max="78" width="12.42578125" style="147" customWidth="1"/>
    <col min="79" max="79" width="11.85546875" style="147" customWidth="1"/>
    <col min="80" max="80" width="11.5703125" style="147" customWidth="1"/>
    <col min="81" max="81" width="11.7109375" style="147" customWidth="1"/>
    <col min="82" max="82" width="9.140625" style="147"/>
    <col min="83" max="83" width="9.140625" style="147" customWidth="1"/>
    <col min="84" max="16384" width="9.140625" style="147"/>
  </cols>
  <sheetData>
    <row r="1" spans="1:81">
      <c r="A1" s="810" t="s">
        <v>794</v>
      </c>
      <c r="B1" s="810"/>
      <c r="C1" s="810"/>
      <c r="D1" s="810"/>
      <c r="E1" s="810"/>
    </row>
    <row r="2" spans="1:81" ht="15.75">
      <c r="A2" s="810"/>
      <c r="B2" s="810"/>
      <c r="C2" s="810"/>
      <c r="D2" s="810"/>
      <c r="E2" s="810"/>
      <c r="G2" s="811" t="s">
        <v>22</v>
      </c>
      <c r="H2" s="811"/>
      <c r="AF2" s="187">
        <v>1.9257738538542499E-2</v>
      </c>
      <c r="AG2" s="187">
        <v>7.417209872377299E-4</v>
      </c>
      <c r="AH2" s="187">
        <v>1.2403450565440797E-3</v>
      </c>
      <c r="AI2">
        <v>20</v>
      </c>
      <c r="AJ2" s="187">
        <v>7.1523178807947021</v>
      </c>
      <c r="AK2" s="187">
        <v>0</v>
      </c>
      <c r="AL2" s="187">
        <v>8.3629954314142624E-4</v>
      </c>
      <c r="AM2" s="187">
        <v>1.5780205303791562E-3</v>
      </c>
      <c r="AO2" s="237" t="e">
        <f>Ifb</f>
        <v>#NAME?</v>
      </c>
    </row>
    <row r="3" spans="1:81" ht="13.5" thickBot="1">
      <c r="A3" s="810"/>
      <c r="B3" s="810"/>
      <c r="C3" s="810"/>
      <c r="D3" s="810"/>
      <c r="E3" s="810"/>
    </row>
    <row r="4" spans="1:81" ht="13.5" thickBot="1">
      <c r="A4" s="812"/>
      <c r="B4" s="812"/>
      <c r="C4" s="812"/>
      <c r="D4" s="812"/>
      <c r="E4" s="812"/>
      <c r="H4" s="191" t="s">
        <v>23</v>
      </c>
      <c r="I4" s="192"/>
      <c r="J4" s="193"/>
      <c r="K4" s="813" t="s">
        <v>189</v>
      </c>
      <c r="L4" s="814"/>
      <c r="M4" s="815"/>
      <c r="N4" s="815"/>
      <c r="O4" s="815"/>
      <c r="P4" s="814"/>
      <c r="Q4" s="814"/>
      <c r="R4" s="815"/>
      <c r="S4" s="815"/>
      <c r="T4" s="815"/>
      <c r="U4" s="816"/>
      <c r="V4" s="194" t="s">
        <v>190</v>
      </c>
      <c r="W4" s="195"/>
      <c r="X4" s="196"/>
      <c r="Y4" s="197"/>
      <c r="Z4" s="198" t="s">
        <v>14</v>
      </c>
      <c r="AA4" s="199"/>
      <c r="AB4" s="193"/>
      <c r="AC4" s="194" t="s">
        <v>28</v>
      </c>
      <c r="AD4" s="200"/>
      <c r="AE4" s="201"/>
      <c r="AF4" s="194" t="s">
        <v>191</v>
      </c>
      <c r="AG4" s="195"/>
      <c r="AH4" s="195"/>
      <c r="AI4" s="378"/>
      <c r="AJ4" s="378"/>
      <c r="AK4" s="195"/>
      <c r="AL4" s="195"/>
      <c r="AM4" s="193"/>
      <c r="AN4" s="202" t="s">
        <v>192</v>
      </c>
      <c r="AO4" s="203"/>
      <c r="AP4" s="203"/>
      <c r="AQ4" s="202" t="s">
        <v>193</v>
      </c>
      <c r="AR4" s="386"/>
      <c r="AS4" s="386"/>
      <c r="AT4" s="203"/>
      <c r="AU4" s="204"/>
      <c r="AV4" s="205"/>
      <c r="AW4" s="206"/>
      <c r="AX4" s="194" t="s">
        <v>179</v>
      </c>
      <c r="AY4" s="195"/>
      <c r="AZ4" s="196"/>
      <c r="BA4" s="297"/>
      <c r="BB4" s="297"/>
      <c r="BC4" s="297"/>
      <c r="BD4" s="297"/>
      <c r="BE4" s="297"/>
      <c r="BF4" s="297"/>
      <c r="BG4" s="297"/>
      <c r="BH4" s="297"/>
      <c r="BI4" s="297"/>
      <c r="BJ4" s="297"/>
      <c r="BK4" s="297"/>
      <c r="BL4" s="297"/>
      <c r="BM4" s="290"/>
      <c r="BN4" s="294"/>
      <c r="BO4" s="196"/>
      <c r="BP4" s="292"/>
      <c r="BQ4" s="383"/>
      <c r="BR4" s="384"/>
      <c r="BS4" s="384"/>
      <c r="BT4" s="384"/>
      <c r="BU4" s="384"/>
      <c r="BV4" s="384"/>
      <c r="BW4" s="384"/>
      <c r="BX4" s="384"/>
      <c r="BY4" s="384"/>
      <c r="BZ4" s="384"/>
      <c r="CA4" s="384"/>
      <c r="CB4" s="384"/>
      <c r="CC4" s="385"/>
    </row>
    <row r="5" spans="1:81" ht="78" customHeight="1" thickBot="1">
      <c r="A5" s="207" t="s">
        <v>42</v>
      </c>
      <c r="B5" s="208"/>
      <c r="C5" s="208"/>
      <c r="D5" s="209"/>
      <c r="E5" s="210"/>
      <c r="H5" s="211" t="s">
        <v>25</v>
      </c>
      <c r="I5" s="212" t="s">
        <v>194</v>
      </c>
      <c r="J5" s="213" t="s">
        <v>195</v>
      </c>
      <c r="K5" s="221" t="s">
        <v>322</v>
      </c>
      <c r="L5" s="214" t="s">
        <v>48</v>
      </c>
      <c r="M5" s="214" t="s">
        <v>323</v>
      </c>
      <c r="N5" s="380" t="s">
        <v>196</v>
      </c>
      <c r="O5" s="453" t="s">
        <v>404</v>
      </c>
      <c r="P5" s="453" t="s">
        <v>405</v>
      </c>
      <c r="Q5" s="453" t="s">
        <v>406</v>
      </c>
      <c r="R5" s="215" t="s">
        <v>197</v>
      </c>
      <c r="S5" s="216" t="s">
        <v>198</v>
      </c>
      <c r="T5" s="216" t="s">
        <v>199</v>
      </c>
      <c r="U5" s="215" t="s">
        <v>327</v>
      </c>
      <c r="V5" s="217" t="s">
        <v>200</v>
      </c>
      <c r="W5" s="214" t="s">
        <v>201</v>
      </c>
      <c r="X5" s="212" t="s">
        <v>202</v>
      </c>
      <c r="Y5" s="213" t="s">
        <v>203</v>
      </c>
      <c r="Z5" s="218" t="s">
        <v>200</v>
      </c>
      <c r="AA5" s="214" t="s">
        <v>204</v>
      </c>
      <c r="AB5" s="213" t="s">
        <v>205</v>
      </c>
      <c r="AC5" s="217" t="s">
        <v>200</v>
      </c>
      <c r="AD5" s="219" t="s">
        <v>206</v>
      </c>
      <c r="AE5" s="220" t="s">
        <v>207</v>
      </c>
      <c r="AF5" s="217" t="s">
        <v>200</v>
      </c>
      <c r="AG5" s="214" t="s">
        <v>208</v>
      </c>
      <c r="AH5" s="214" t="s">
        <v>209</v>
      </c>
      <c r="AI5" s="214" t="s">
        <v>324</v>
      </c>
      <c r="AJ5" s="214" t="s">
        <v>321</v>
      </c>
      <c r="AK5" s="214" t="s">
        <v>210</v>
      </c>
      <c r="AL5" s="221" t="s">
        <v>211</v>
      </c>
      <c r="AM5" s="213" t="s">
        <v>212</v>
      </c>
      <c r="AN5" s="222" t="s">
        <v>200</v>
      </c>
      <c r="AO5" s="223" t="s">
        <v>213</v>
      </c>
      <c r="AP5" s="223" t="s">
        <v>214</v>
      </c>
      <c r="AQ5" s="223" t="s">
        <v>215</v>
      </c>
      <c r="AR5" s="223" t="s">
        <v>216</v>
      </c>
      <c r="AS5" s="224" t="s">
        <v>217</v>
      </c>
      <c r="AT5" s="222" t="s">
        <v>218</v>
      </c>
      <c r="AU5" s="222" t="s">
        <v>219</v>
      </c>
      <c r="AV5" s="222" t="s">
        <v>220</v>
      </c>
      <c r="AW5" s="225" t="s">
        <v>221</v>
      </c>
      <c r="AX5" s="217" t="s">
        <v>222</v>
      </c>
      <c r="AY5" s="214" t="s">
        <v>223</v>
      </c>
      <c r="AZ5" s="226" t="s">
        <v>224</v>
      </c>
      <c r="BA5" s="298" t="s">
        <v>225</v>
      </c>
      <c r="BB5" s="298" t="s">
        <v>226</v>
      </c>
      <c r="BC5" s="298" t="s">
        <v>227</v>
      </c>
      <c r="BD5" s="298" t="s">
        <v>228</v>
      </c>
      <c r="BE5" s="298" t="s">
        <v>229</v>
      </c>
      <c r="BF5" s="298" t="s">
        <v>230</v>
      </c>
      <c r="BG5" s="298" t="s">
        <v>231</v>
      </c>
      <c r="BH5" s="299" t="s">
        <v>232</v>
      </c>
      <c r="BI5" s="300" t="s">
        <v>233</v>
      </c>
      <c r="BJ5" s="301" t="s">
        <v>234</v>
      </c>
      <c r="BK5" s="302" t="s">
        <v>235</v>
      </c>
      <c r="BL5" s="301" t="s">
        <v>281</v>
      </c>
      <c r="BM5" s="291" t="s">
        <v>236</v>
      </c>
      <c r="BN5" s="295" t="s">
        <v>237</v>
      </c>
      <c r="BO5" s="227" t="s">
        <v>238</v>
      </c>
      <c r="BP5" s="293" t="s">
        <v>238</v>
      </c>
      <c r="BQ5" s="228" t="s">
        <v>239</v>
      </c>
      <c r="BR5" s="229"/>
      <c r="BS5" s="230" t="s">
        <v>240</v>
      </c>
      <c r="BT5" s="229"/>
      <c r="BU5" s="304" t="s">
        <v>283</v>
      </c>
      <c r="BV5" s="305" t="s">
        <v>284</v>
      </c>
      <c r="BW5" s="382" t="s">
        <v>282</v>
      </c>
      <c r="BX5" s="229"/>
      <c r="BY5" s="229"/>
      <c r="BZ5" s="381" t="s">
        <v>289</v>
      </c>
      <c r="CA5" s="225" t="s">
        <v>340</v>
      </c>
      <c r="CB5" s="305" t="s">
        <v>291</v>
      </c>
      <c r="CC5" s="382" t="s">
        <v>290</v>
      </c>
    </row>
    <row r="6" spans="1:81">
      <c r="A6" s="231" t="s">
        <v>26</v>
      </c>
      <c r="B6" s="232" t="s">
        <v>43</v>
      </c>
      <c r="C6" s="233" t="s">
        <v>33</v>
      </c>
      <c r="D6" s="233" t="s">
        <v>90</v>
      </c>
      <c r="E6" s="234" t="s">
        <v>41</v>
      </c>
      <c r="F6" s="235"/>
      <c r="G6" s="235"/>
      <c r="H6" s="147">
        <v>0.1</v>
      </c>
      <c r="I6" s="389">
        <f t="shared" ref="I6:I37" si="0">IF(PLOT_TYPE=1, H6/100*Iout_max, min_I*EXP(H6*rr/100))</f>
        <v>1.1999999999999999E-3</v>
      </c>
      <c r="J6" s="188"/>
      <c r="K6" s="188"/>
      <c r="L6" s="188"/>
      <c r="M6" s="188"/>
      <c r="N6" s="236"/>
      <c r="O6" s="149"/>
      <c r="P6" s="188"/>
      <c r="Q6" s="379"/>
      <c r="S6" s="237"/>
      <c r="T6" s="237"/>
      <c r="U6" s="237"/>
      <c r="AJ6" s="379"/>
      <c r="AY6" s="187">
        <f>Vout*I6</f>
        <v>5.9999999999999993E-3</v>
      </c>
      <c r="AZ6" s="238">
        <f>AY6/(AY6+AX6)</f>
        <v>1</v>
      </c>
      <c r="BA6" s="296">
        <f>AG6/($AY6+$AX6)</f>
        <v>0</v>
      </c>
      <c r="BB6" s="296">
        <f>AO6/($AY6+$AX6)</f>
        <v>0</v>
      </c>
      <c r="BC6" s="296" t="e">
        <f>Vin*R6*(QgBot+Qg)/($AY6+$AX6)</f>
        <v>#NAME?</v>
      </c>
      <c r="BD6" s="296">
        <f>AK6/($AY6+$AX6)</f>
        <v>0</v>
      </c>
      <c r="BE6" s="296">
        <f>AQ6/(AX6+AY6)</f>
        <v>0</v>
      </c>
      <c r="BF6" s="296">
        <f>AR6/($AY6+$AX6)</f>
        <v>0</v>
      </c>
      <c r="BG6" s="296">
        <f t="shared" ref="BG6:BH9" si="1">W6/($AY6+$AX6)</f>
        <v>0</v>
      </c>
      <c r="BH6" s="296">
        <f t="shared" si="1"/>
        <v>0</v>
      </c>
      <c r="BI6" s="296">
        <f>(AB6+AE6)/($AY6+$AX6)</f>
        <v>0</v>
      </c>
      <c r="BJ6" s="190">
        <f>AT6/($AY6+$AX6)</f>
        <v>0</v>
      </c>
      <c r="BK6" s="190">
        <f>AX6/($AY6+$AX6)</f>
        <v>0</v>
      </c>
      <c r="BL6" s="190">
        <f>AZ6</f>
        <v>1</v>
      </c>
      <c r="BM6" s="149">
        <f>100*BL6</f>
        <v>100</v>
      </c>
      <c r="BN6" s="188">
        <f xml:space="preserve"> CHOOSE(MODE, I6*1000,#REF!)</f>
        <v>1.2</v>
      </c>
      <c r="BO6" s="149">
        <v>59.702372085750142</v>
      </c>
      <c r="BP6" s="190">
        <f>BO6/100</f>
        <v>0.59702372085750144</v>
      </c>
      <c r="BQ6" s="239">
        <f>R6/1000</f>
        <v>0</v>
      </c>
      <c r="BR6" s="240"/>
      <c r="BS6" s="190">
        <f>AL6/($AY6+$AX6)</f>
        <v>0</v>
      </c>
      <c r="BT6" s="240"/>
      <c r="BU6" s="149">
        <f>1000*AW6</f>
        <v>0</v>
      </c>
      <c r="BV6" s="149">
        <f>1000*AU6</f>
        <v>0</v>
      </c>
      <c r="BW6" s="149">
        <f>1000*Y6</f>
        <v>0</v>
      </c>
      <c r="BX6" s="190"/>
      <c r="BY6" s="190"/>
      <c r="BZ6" s="149">
        <f xml:space="preserve"> IF(MODE=1, BM6,#REF!)</f>
        <v>100</v>
      </c>
      <c r="CA6" s="149">
        <f xml:space="preserve"> IF(MODE=1, BU6,#REF!)</f>
        <v>0</v>
      </c>
      <c r="CB6" s="149">
        <f xml:space="preserve"> IF(MODE=1, BV6,#REF!)</f>
        <v>0</v>
      </c>
      <c r="CC6" s="149">
        <f xml:space="preserve"> IF(MODE=1, BW6,#REF!)</f>
        <v>0</v>
      </c>
    </row>
    <row r="7" spans="1:81">
      <c r="A7" s="357"/>
      <c r="B7" s="232"/>
      <c r="C7" s="233"/>
      <c r="D7" s="233"/>
      <c r="E7" s="234"/>
      <c r="F7" s="235"/>
      <c r="G7" s="235"/>
      <c r="H7" s="147">
        <v>1</v>
      </c>
      <c r="I7" s="389">
        <f t="shared" si="0"/>
        <v>1.2E-2</v>
      </c>
      <c r="J7" s="188"/>
      <c r="K7" s="188"/>
      <c r="L7" s="188"/>
      <c r="M7" s="188"/>
      <c r="N7" s="236"/>
      <c r="O7" s="149"/>
      <c r="P7" s="188"/>
      <c r="Q7" s="379"/>
      <c r="S7" s="237"/>
      <c r="T7" s="237"/>
      <c r="U7" s="237"/>
      <c r="AJ7" s="379"/>
      <c r="AY7" s="187">
        <f>Vout*I7</f>
        <v>0.06</v>
      </c>
      <c r="AZ7" s="238">
        <f>AY7/(AY7+AX7)</f>
        <v>1</v>
      </c>
      <c r="BA7" s="296">
        <f>AG7/($AY7+$AX7)</f>
        <v>0</v>
      </c>
      <c r="BB7" s="296">
        <f>AO7/($AY7+$AX7)</f>
        <v>0</v>
      </c>
      <c r="BC7" s="296" t="e">
        <f>Vin*R7*(QgBot+Qg)/($AY7+$AX7)</f>
        <v>#NAME?</v>
      </c>
      <c r="BD7" s="296">
        <f>AK7/($AY7+$AX7)</f>
        <v>0</v>
      </c>
      <c r="BE7" s="296">
        <f>AQ7/(AX7+AY7)</f>
        <v>0</v>
      </c>
      <c r="BF7" s="296">
        <f>AR7/($AY7+$AX7)</f>
        <v>0</v>
      </c>
      <c r="BG7" s="296">
        <f t="shared" si="1"/>
        <v>0</v>
      </c>
      <c r="BH7" s="296">
        <f t="shared" si="1"/>
        <v>0</v>
      </c>
      <c r="BI7" s="296">
        <f>(AB7+AE7)/($AY7+$AX7)</f>
        <v>0</v>
      </c>
      <c r="BJ7" s="190">
        <f>AT7/($AY7+$AX7)</f>
        <v>0</v>
      </c>
      <c r="BK7" s="190">
        <f>AX7/($AY7+$AX7)</f>
        <v>0</v>
      </c>
      <c r="BL7" s="190">
        <f>AZ7</f>
        <v>1</v>
      </c>
      <c r="BM7" s="149">
        <f>100*BL7</f>
        <v>100</v>
      </c>
      <c r="BN7" s="188">
        <f xml:space="preserve"> CHOOSE(MODE, I7*1000,#REF!)</f>
        <v>12</v>
      </c>
      <c r="BO7" s="149">
        <v>83.682599061581868</v>
      </c>
      <c r="BP7" s="190">
        <f>BO7/100</f>
        <v>0.83682599061581864</v>
      </c>
      <c r="BQ7" s="239">
        <f>R7/1000</f>
        <v>0</v>
      </c>
      <c r="BR7" s="240"/>
      <c r="BS7" s="190">
        <f>AL7/($AY7+$AX7)</f>
        <v>0</v>
      </c>
      <c r="BT7" s="240"/>
      <c r="BU7" s="149">
        <f>1000*AW7</f>
        <v>0</v>
      </c>
      <c r="BV7" s="149">
        <f>1000*AU7</f>
        <v>0</v>
      </c>
      <c r="BW7" s="149">
        <f>1000*Y7</f>
        <v>0</v>
      </c>
      <c r="BX7" s="190"/>
      <c r="BY7" s="190"/>
      <c r="BZ7" s="149">
        <f xml:space="preserve"> IF(MODE=1, BM7,#REF!)</f>
        <v>100</v>
      </c>
      <c r="CA7" s="149">
        <f xml:space="preserve"> IF(MODE=1, BU7,#REF!)</f>
        <v>0</v>
      </c>
      <c r="CB7" s="149">
        <f xml:space="preserve"> IF(MODE=1, BV7,#REF!)</f>
        <v>0</v>
      </c>
      <c r="CC7" s="149">
        <f xml:space="preserve"> IF(MODE=1, BW7,#REF!)</f>
        <v>0</v>
      </c>
    </row>
    <row r="8" spans="1:81">
      <c r="A8" s="241" t="s">
        <v>3</v>
      </c>
      <c r="B8" s="242">
        <f>Vin</f>
        <v>48</v>
      </c>
      <c r="C8" s="148" t="s">
        <v>0</v>
      </c>
      <c r="D8" s="169">
        <f>B8</f>
        <v>48</v>
      </c>
      <c r="E8" s="148" t="s">
        <v>3</v>
      </c>
      <c r="F8" s="235"/>
      <c r="G8" s="235"/>
      <c r="H8" s="147">
        <v>2</v>
      </c>
      <c r="I8" s="389">
        <f t="shared" si="0"/>
        <v>2.4E-2</v>
      </c>
      <c r="J8" s="188"/>
      <c r="K8" s="188"/>
      <c r="L8" s="188"/>
      <c r="M8" s="188"/>
      <c r="N8" s="236"/>
      <c r="O8" s="149"/>
      <c r="P8" s="188"/>
      <c r="Q8" s="379"/>
      <c r="S8" s="237"/>
      <c r="T8" s="237"/>
      <c r="U8" s="237"/>
      <c r="AJ8" s="379"/>
      <c r="AY8" s="187">
        <f>Vout*I8</f>
        <v>0.12</v>
      </c>
      <c r="AZ8" s="238">
        <f>AY8/(AY8+AX8)</f>
        <v>1</v>
      </c>
      <c r="BA8" s="296">
        <f>AG8/($AY8+$AX8)</f>
        <v>0</v>
      </c>
      <c r="BB8" s="296">
        <f>AO8/($AY8+$AX8)</f>
        <v>0</v>
      </c>
      <c r="BC8" s="296" t="e">
        <f>Vin*R8*(QgBot+Qg)/($AY8+$AX8)</f>
        <v>#NAME?</v>
      </c>
      <c r="BD8" s="296">
        <f>AK8/($AY8+$AX8)</f>
        <v>0</v>
      </c>
      <c r="BE8" s="296">
        <f>AQ8/(AX8+AY8)</f>
        <v>0</v>
      </c>
      <c r="BF8" s="296">
        <f>AR8/($AY8+$AX8)</f>
        <v>0</v>
      </c>
      <c r="BG8" s="296">
        <f t="shared" si="1"/>
        <v>0</v>
      </c>
      <c r="BH8" s="296">
        <f t="shared" si="1"/>
        <v>0</v>
      </c>
      <c r="BI8" s="296">
        <f>(AB8+AE8)/($AY8+$AX8)</f>
        <v>0</v>
      </c>
      <c r="BJ8" s="190">
        <f>AT8/($AY8+$AX8)</f>
        <v>0</v>
      </c>
      <c r="BK8" s="190">
        <f>AX8/($AY8+$AX8)</f>
        <v>0</v>
      </c>
      <c r="BL8" s="190">
        <f>AZ8</f>
        <v>1</v>
      </c>
      <c r="BM8" s="149">
        <f>100*BL8</f>
        <v>100</v>
      </c>
      <c r="BN8" s="188">
        <f xml:space="preserve"> CHOOSE(MODE, I8*1000,#REF!)</f>
        <v>24</v>
      </c>
      <c r="BO8" s="149">
        <v>85.591306536493136</v>
      </c>
      <c r="BP8" s="190">
        <f>BO8/100</f>
        <v>0.85591306536493139</v>
      </c>
      <c r="BQ8" s="239">
        <f>R8/1000</f>
        <v>0</v>
      </c>
      <c r="BR8" s="240"/>
      <c r="BS8" s="190">
        <f>AL8/($AY8+$AX8)</f>
        <v>0</v>
      </c>
      <c r="BT8" s="240"/>
      <c r="BU8" s="149">
        <f>1000*AW8</f>
        <v>0</v>
      </c>
      <c r="BV8" s="149">
        <f>1000*AU8</f>
        <v>0</v>
      </c>
      <c r="BW8" s="149">
        <f>1000*Y8</f>
        <v>0</v>
      </c>
      <c r="BX8" s="190"/>
      <c r="BY8" s="190"/>
      <c r="BZ8" s="149">
        <f xml:space="preserve"> IF(MODE=1, BM8,#REF!)</f>
        <v>100</v>
      </c>
      <c r="CA8" s="149">
        <f xml:space="preserve"> IF(MODE=1, BU8,#REF!)</f>
        <v>0</v>
      </c>
      <c r="CB8" s="149">
        <f xml:space="preserve"> IF(MODE=1, BV8,#REF!)</f>
        <v>0</v>
      </c>
      <c r="CC8" s="149">
        <f xml:space="preserve"> IF(MODE=1, BW8,#REF!)</f>
        <v>0</v>
      </c>
    </row>
    <row r="9" spans="1:81">
      <c r="A9" s="243" t="s">
        <v>4</v>
      </c>
      <c r="B9" s="242">
        <f>Vout</f>
        <v>5</v>
      </c>
      <c r="C9" s="148" t="s">
        <v>0</v>
      </c>
      <c r="D9" s="169">
        <f>B9</f>
        <v>5</v>
      </c>
      <c r="E9" s="148" t="s">
        <v>4</v>
      </c>
      <c r="F9" s="235"/>
      <c r="G9" s="235"/>
      <c r="H9" s="147">
        <v>3</v>
      </c>
      <c r="I9" s="389">
        <f t="shared" si="0"/>
        <v>3.5999999999999997E-2</v>
      </c>
      <c r="J9" s="188"/>
      <c r="K9" s="188"/>
      <c r="L9" s="188"/>
      <c r="M9" s="188"/>
      <c r="N9" s="236"/>
      <c r="O9" s="149"/>
      <c r="P9" s="188"/>
      <c r="Q9" s="379"/>
      <c r="S9" s="237"/>
      <c r="T9" s="237"/>
      <c r="U9" s="237"/>
      <c r="AJ9" s="379"/>
      <c r="AY9" s="187">
        <f>Vout*I9</f>
        <v>0.18</v>
      </c>
      <c r="AZ9" s="238">
        <f>AY9/(AY9+AX9)</f>
        <v>1</v>
      </c>
      <c r="BA9" s="296">
        <f>AG9/($AY9+$AX9)</f>
        <v>0</v>
      </c>
      <c r="BB9" s="296">
        <f>AO9/($AY9+$AX9)</f>
        <v>0</v>
      </c>
      <c r="BC9" s="296" t="e">
        <f>Vin*R9*(QgBot+Qg)/($AY9+$AX9)</f>
        <v>#NAME?</v>
      </c>
      <c r="BD9" s="296">
        <f>AK9/($AY9+$AX9)</f>
        <v>0</v>
      </c>
      <c r="BE9" s="296">
        <f>AQ9/(AX9+AY9)</f>
        <v>0</v>
      </c>
      <c r="BF9" s="296">
        <f>AR9/($AY9+$AX9)</f>
        <v>0</v>
      </c>
      <c r="BG9" s="296">
        <f t="shared" si="1"/>
        <v>0</v>
      </c>
      <c r="BH9" s="296">
        <f t="shared" si="1"/>
        <v>0</v>
      </c>
      <c r="BI9" s="296">
        <f>(AB9+AE9)/($AY9+$AX9)</f>
        <v>0</v>
      </c>
      <c r="BJ9" s="190">
        <f>AT9/($AY9+$AX9)</f>
        <v>0</v>
      </c>
      <c r="BK9" s="190">
        <f>AX9/($AY9+$AX9)</f>
        <v>0</v>
      </c>
      <c r="BL9" s="190">
        <f>AZ9</f>
        <v>1</v>
      </c>
      <c r="BM9" s="149">
        <f>100*BL9</f>
        <v>100</v>
      </c>
      <c r="BN9" s="188">
        <f xml:space="preserve"> CHOOSE(MODE, I9*1000,#REF!)</f>
        <v>36</v>
      </c>
      <c r="BO9" s="149">
        <v>86.246143423411425</v>
      </c>
      <c r="BP9" s="190">
        <f>BO9/100</f>
        <v>0.86246143423411425</v>
      </c>
      <c r="BQ9" s="239">
        <f>R9/1000</f>
        <v>0</v>
      </c>
      <c r="BR9" s="240"/>
      <c r="BS9" s="190">
        <f>AL9/($AY9+$AX9)</f>
        <v>0</v>
      </c>
      <c r="BT9" s="240"/>
      <c r="BU9" s="149">
        <f>1000*AW9</f>
        <v>0</v>
      </c>
      <c r="BV9" s="149">
        <f>1000*AU9</f>
        <v>0</v>
      </c>
      <c r="BW9" s="149">
        <f>1000*Y9</f>
        <v>0</v>
      </c>
      <c r="BX9" s="190"/>
      <c r="BY9" s="190"/>
      <c r="BZ9" s="149">
        <f xml:space="preserve"> IF(MODE=1, BM9,#REF!)</f>
        <v>100</v>
      </c>
      <c r="CA9" s="149">
        <f xml:space="preserve"> IF(MODE=1, BU9,#REF!)</f>
        <v>0</v>
      </c>
      <c r="CB9" s="149">
        <f xml:space="preserve"> IF(MODE=1, BV9,#REF!)</f>
        <v>0</v>
      </c>
      <c r="CC9" s="149">
        <f xml:space="preserve"> IF(MODE=1, BW9,#REF!)</f>
        <v>0</v>
      </c>
    </row>
    <row r="10" spans="1:81">
      <c r="A10" s="243" t="s">
        <v>5</v>
      </c>
      <c r="B10" s="242">
        <f>Iout</f>
        <v>1.2</v>
      </c>
      <c r="C10" s="148" t="s">
        <v>1</v>
      </c>
      <c r="D10" s="169">
        <f>B10</f>
        <v>1.2</v>
      </c>
      <c r="E10" s="148" t="s">
        <v>241</v>
      </c>
      <c r="F10" s="235"/>
      <c r="G10" s="235"/>
      <c r="H10" s="147">
        <v>4</v>
      </c>
      <c r="I10" s="389">
        <f t="shared" si="0"/>
        <v>4.8000000000000001E-2</v>
      </c>
      <c r="J10" s="188"/>
      <c r="K10" s="188"/>
      <c r="L10" s="188"/>
      <c r="M10" s="188"/>
      <c r="N10" s="236"/>
      <c r="O10" s="149"/>
      <c r="P10" s="188"/>
      <c r="Q10" s="379"/>
      <c r="S10" s="237"/>
      <c r="T10" s="237"/>
      <c r="U10" s="237"/>
      <c r="AJ10" s="379"/>
      <c r="AZ10" s="238"/>
      <c r="BJ10" s="190"/>
      <c r="BK10" s="190"/>
      <c r="BL10" s="190"/>
      <c r="BO10" s="149"/>
      <c r="BP10" s="190"/>
      <c r="BQ10" s="239"/>
      <c r="BR10" s="240"/>
      <c r="BS10" s="190"/>
      <c r="BT10" s="240"/>
      <c r="BX10" s="190"/>
      <c r="BY10" s="190"/>
      <c r="BZ10" s="149"/>
      <c r="CA10" s="149"/>
      <c r="CB10" s="149"/>
      <c r="CC10" s="149"/>
    </row>
    <row r="11" spans="1:81">
      <c r="A11" s="243" t="s">
        <v>139</v>
      </c>
      <c r="B11" s="307">
        <f>Vout/(Fsw/1000)*100000/16</f>
        <v>2604.166666666667</v>
      </c>
      <c r="C11" s="244" t="s">
        <v>242</v>
      </c>
      <c r="D11" s="255">
        <f>B11*1000</f>
        <v>2604166.666666667</v>
      </c>
      <c r="E11" s="148"/>
      <c r="F11" s="235"/>
      <c r="G11" s="235"/>
      <c r="H11" s="147">
        <v>5</v>
      </c>
      <c r="I11" s="389">
        <f t="shared" si="0"/>
        <v>0.06</v>
      </c>
      <c r="J11" s="188"/>
      <c r="K11" s="188"/>
      <c r="L11" s="188"/>
      <c r="M11" s="188"/>
      <c r="N11" s="236"/>
      <c r="O11" s="149"/>
      <c r="P11" s="188"/>
      <c r="Q11" s="379"/>
      <c r="S11" s="237"/>
      <c r="T11" s="237"/>
      <c r="U11" s="237"/>
      <c r="AJ11" s="379"/>
      <c r="AZ11" s="238"/>
      <c r="BJ11" s="190"/>
      <c r="BK11" s="190"/>
      <c r="BL11" s="190"/>
      <c r="BO11" s="149"/>
      <c r="BP11" s="190"/>
      <c r="BQ11" s="239"/>
      <c r="BR11" s="240"/>
      <c r="BS11" s="190"/>
      <c r="BT11" s="240"/>
      <c r="BX11" s="190"/>
      <c r="BY11" s="190"/>
      <c r="BZ11" s="149"/>
      <c r="CA11" s="149"/>
      <c r="CB11" s="149"/>
      <c r="CC11" s="149"/>
    </row>
    <row r="12" spans="1:81">
      <c r="A12" s="243" t="s">
        <v>243</v>
      </c>
      <c r="B12" s="242">
        <v>25</v>
      </c>
      <c r="C12" s="148" t="s">
        <v>102</v>
      </c>
      <c r="D12" s="169">
        <f>B12</f>
        <v>25</v>
      </c>
      <c r="E12" s="148" t="s">
        <v>244</v>
      </c>
      <c r="F12" s="235">
        <f>Turns_Ratio</f>
        <v>14</v>
      </c>
      <c r="H12" s="147">
        <v>6</v>
      </c>
      <c r="I12" s="389">
        <f t="shared" si="0"/>
        <v>7.1999999999999995E-2</v>
      </c>
      <c r="J12" s="188"/>
      <c r="K12" s="188"/>
      <c r="L12" s="188"/>
      <c r="M12" s="188"/>
      <c r="N12" s="236"/>
      <c r="O12" s="149"/>
      <c r="P12" s="188"/>
      <c r="Q12" s="379"/>
      <c r="S12" s="237"/>
      <c r="T12" s="237"/>
      <c r="U12" s="237"/>
      <c r="AJ12" s="379"/>
      <c r="AZ12" s="238"/>
      <c r="BJ12" s="190"/>
      <c r="BK12" s="190"/>
      <c r="BL12" s="190"/>
      <c r="BO12" s="149"/>
      <c r="BP12" s="190"/>
      <c r="BQ12" s="239"/>
      <c r="BR12" s="240"/>
      <c r="BS12" s="190"/>
      <c r="BT12" s="240"/>
      <c r="BX12" s="190"/>
      <c r="BY12" s="190"/>
      <c r="BZ12" s="149"/>
      <c r="CA12" s="149"/>
      <c r="CB12" s="149"/>
      <c r="CC12" s="149"/>
    </row>
    <row r="13" spans="1:81">
      <c r="A13" s="245" t="s">
        <v>245</v>
      </c>
      <c r="B13" s="246">
        <v>5</v>
      </c>
      <c r="C13" s="148" t="s">
        <v>0</v>
      </c>
      <c r="D13" s="169">
        <f>B13</f>
        <v>5</v>
      </c>
      <c r="E13" s="148"/>
      <c r="F13" s="235"/>
      <c r="G13" s="235"/>
      <c r="H13" s="147">
        <v>7</v>
      </c>
      <c r="I13" s="389">
        <f t="shared" si="0"/>
        <v>8.4000000000000005E-2</v>
      </c>
      <c r="J13" s="188"/>
      <c r="K13" s="188"/>
      <c r="L13" s="188"/>
      <c r="M13" s="188"/>
      <c r="N13" s="236"/>
      <c r="O13" s="149"/>
      <c r="P13" s="188"/>
      <c r="Q13" s="379"/>
      <c r="S13" s="237"/>
      <c r="T13" s="237"/>
      <c r="U13" s="237"/>
      <c r="AJ13" s="379"/>
      <c r="AZ13" s="238"/>
      <c r="BJ13" s="190"/>
      <c r="BK13" s="190"/>
      <c r="BL13" s="190"/>
      <c r="BO13" s="149"/>
      <c r="BP13" s="190"/>
      <c r="BQ13" s="239"/>
      <c r="BR13" s="240"/>
      <c r="BS13" s="190"/>
      <c r="BT13" s="240"/>
      <c r="BX13" s="190"/>
      <c r="BY13" s="190"/>
      <c r="BZ13" s="149"/>
      <c r="CA13" s="149"/>
      <c r="CB13" s="149"/>
      <c r="CC13" s="149"/>
    </row>
    <row r="14" spans="1:81">
      <c r="F14" s="235"/>
      <c r="G14" s="235"/>
      <c r="H14" s="147">
        <v>8</v>
      </c>
      <c r="I14" s="389">
        <f t="shared" si="0"/>
        <v>9.6000000000000002E-2</v>
      </c>
      <c r="J14" s="188"/>
      <c r="K14" s="188"/>
      <c r="L14" s="188"/>
      <c r="M14" s="188"/>
      <c r="N14" s="236"/>
      <c r="O14" s="149"/>
      <c r="P14" s="188"/>
      <c r="Q14" s="379"/>
      <c r="S14" s="237"/>
      <c r="T14" s="237"/>
      <c r="U14" s="237"/>
      <c r="AJ14" s="379"/>
      <c r="AZ14" s="238"/>
      <c r="BJ14" s="190"/>
      <c r="BK14" s="190"/>
      <c r="BL14" s="190"/>
      <c r="BO14" s="149"/>
      <c r="BP14" s="190"/>
      <c r="BQ14" s="239"/>
      <c r="BR14" s="240"/>
      <c r="BS14" s="190"/>
      <c r="BT14" s="240"/>
      <c r="BX14" s="190"/>
      <c r="BY14" s="190"/>
      <c r="BZ14" s="149"/>
      <c r="CA14" s="149"/>
      <c r="CB14" s="149"/>
      <c r="CC14" s="149"/>
    </row>
    <row r="15" spans="1:81">
      <c r="A15" s="247" t="s">
        <v>34</v>
      </c>
      <c r="B15" s="209"/>
      <c r="C15" s="209"/>
      <c r="D15" s="209"/>
      <c r="E15" s="210"/>
      <c r="F15" s="235"/>
      <c r="G15" s="235"/>
      <c r="H15" s="147">
        <v>9</v>
      </c>
      <c r="I15" s="389">
        <f t="shared" si="0"/>
        <v>0.108</v>
      </c>
      <c r="J15" s="188"/>
      <c r="K15" s="188"/>
      <c r="L15" s="188"/>
      <c r="M15" s="188"/>
      <c r="N15" s="236"/>
      <c r="O15" s="149"/>
      <c r="P15" s="188"/>
      <c r="Q15" s="379"/>
      <c r="S15" s="237"/>
      <c r="T15" s="237"/>
      <c r="U15" s="237"/>
      <c r="AJ15" s="379"/>
      <c r="AZ15" s="238"/>
      <c r="BJ15" s="190"/>
      <c r="BK15" s="190"/>
      <c r="BL15" s="190"/>
      <c r="BO15" s="149"/>
      <c r="BP15" s="190"/>
      <c r="BQ15" s="239"/>
      <c r="BR15" s="240"/>
      <c r="BS15" s="190"/>
      <c r="BT15" s="240"/>
      <c r="BX15" s="190"/>
      <c r="BY15" s="190"/>
      <c r="BZ15" s="149"/>
      <c r="CA15" s="149"/>
      <c r="CB15" s="149"/>
      <c r="CC15" s="149"/>
    </row>
    <row r="16" spans="1:81">
      <c r="A16" s="231" t="s">
        <v>26</v>
      </c>
      <c r="B16" s="232" t="s">
        <v>6</v>
      </c>
      <c r="C16" s="232" t="s">
        <v>33</v>
      </c>
      <c r="D16" s="248" t="s">
        <v>90</v>
      </c>
      <c r="E16" s="234" t="s">
        <v>41</v>
      </c>
      <c r="F16" s="235"/>
      <c r="G16" s="235"/>
      <c r="H16" s="147">
        <v>10</v>
      </c>
      <c r="I16" s="389">
        <f t="shared" si="0"/>
        <v>0.12</v>
      </c>
      <c r="J16" s="188"/>
      <c r="K16" s="188"/>
      <c r="L16" s="188"/>
      <c r="M16" s="188"/>
      <c r="N16" s="236"/>
      <c r="O16" s="149"/>
      <c r="P16" s="188"/>
      <c r="Q16" s="379"/>
      <c r="S16" s="237"/>
      <c r="T16" s="237"/>
      <c r="U16" s="237"/>
      <c r="AJ16" s="379"/>
      <c r="AZ16" s="238"/>
      <c r="BJ16" s="190"/>
      <c r="BK16" s="190"/>
      <c r="BL16" s="190"/>
      <c r="BO16" s="149"/>
      <c r="BP16" s="190"/>
      <c r="BQ16" s="239"/>
      <c r="BR16" s="240"/>
      <c r="BS16" s="190"/>
      <c r="BT16" s="240"/>
      <c r="BX16" s="190"/>
      <c r="BY16" s="190"/>
      <c r="BZ16" s="149"/>
      <c r="CA16" s="149"/>
      <c r="CB16" s="149"/>
      <c r="CC16" s="149"/>
    </row>
    <row r="17" spans="1:81">
      <c r="A17" s="245" t="s">
        <v>246</v>
      </c>
      <c r="B17" s="249">
        <f>Vout/Vin/Fsw*1000000</f>
        <v>8.6805555555555554</v>
      </c>
      <c r="C17" s="250" t="s">
        <v>247</v>
      </c>
      <c r="D17" s="251">
        <f>B17/1000000</f>
        <v>8.6805555555555555E-6</v>
      </c>
      <c r="E17" s="148" t="s">
        <v>248</v>
      </c>
      <c r="F17" s="235"/>
      <c r="G17" s="235"/>
      <c r="H17" s="147">
        <v>11</v>
      </c>
      <c r="I17" s="389">
        <f t="shared" si="0"/>
        <v>0.13200000000000001</v>
      </c>
      <c r="J17" s="188"/>
      <c r="K17" s="188"/>
      <c r="L17" s="188"/>
      <c r="M17" s="188"/>
      <c r="N17" s="236"/>
      <c r="O17" s="149"/>
      <c r="P17" s="188"/>
      <c r="Q17" s="379"/>
      <c r="S17" s="237"/>
      <c r="T17" s="237"/>
      <c r="U17" s="237"/>
      <c r="AJ17" s="379"/>
      <c r="AZ17" s="238"/>
      <c r="BJ17" s="190"/>
      <c r="BK17" s="190"/>
      <c r="BL17" s="190"/>
      <c r="BO17" s="149"/>
      <c r="BP17" s="190"/>
      <c r="BQ17" s="239"/>
      <c r="BR17" s="240"/>
      <c r="BS17" s="190"/>
      <c r="BT17" s="240"/>
      <c r="BX17" s="190"/>
      <c r="BY17" s="190"/>
      <c r="BZ17" s="149"/>
      <c r="CA17" s="149"/>
      <c r="CB17" s="149"/>
      <c r="CC17" s="149"/>
    </row>
    <row r="18" spans="1:81">
      <c r="A18" s="245" t="s">
        <v>249</v>
      </c>
      <c r="B18" s="249"/>
      <c r="C18" s="250" t="s">
        <v>247</v>
      </c>
      <c r="D18" s="252">
        <f>B18/1000000</f>
        <v>0</v>
      </c>
      <c r="E18" s="148" t="s">
        <v>250</v>
      </c>
      <c r="F18" s="235"/>
      <c r="G18" s="235"/>
      <c r="H18" s="147">
        <v>12</v>
      </c>
      <c r="I18" s="389">
        <f t="shared" si="0"/>
        <v>0.14399999999999999</v>
      </c>
      <c r="J18" s="188"/>
      <c r="K18" s="188"/>
      <c r="L18" s="188"/>
      <c r="M18" s="188"/>
      <c r="N18" s="236"/>
      <c r="O18" s="149"/>
      <c r="P18" s="188"/>
      <c r="Q18" s="379"/>
      <c r="S18" s="237"/>
      <c r="T18" s="237"/>
      <c r="U18" s="237"/>
      <c r="AJ18" s="379"/>
      <c r="AZ18" s="238"/>
      <c r="BJ18" s="190"/>
      <c r="BK18" s="190"/>
      <c r="BL18" s="190"/>
      <c r="BO18" s="149"/>
      <c r="BP18" s="190"/>
      <c r="BQ18" s="239"/>
      <c r="BR18" s="240"/>
      <c r="BS18" s="190"/>
      <c r="BT18" s="240"/>
      <c r="BX18" s="190"/>
      <c r="BY18" s="190"/>
      <c r="BZ18" s="149"/>
      <c r="CA18" s="149"/>
      <c r="CB18" s="149"/>
      <c r="CC18" s="149"/>
    </row>
    <row r="19" spans="1:81" ht="15.75">
      <c r="A19" s="245" t="s">
        <v>251</v>
      </c>
      <c r="B19" s="253">
        <f>(Vin-Vout-(Rdcr_pri+Rdson)*Iout)/L*OnTime*1000</f>
        <v>31061.921296296296</v>
      </c>
      <c r="C19" s="148" t="s">
        <v>30</v>
      </c>
      <c r="D19" s="165">
        <f>B19/1000</f>
        <v>31.061921296296294</v>
      </c>
      <c r="E19" s="148" t="s">
        <v>252</v>
      </c>
      <c r="F19" s="235"/>
      <c r="G19" s="235"/>
      <c r="H19" s="147">
        <v>13</v>
      </c>
      <c r="I19" s="389">
        <f t="shared" si="0"/>
        <v>0.156</v>
      </c>
      <c r="J19" s="188"/>
      <c r="K19" s="188"/>
      <c r="L19" s="188"/>
      <c r="M19" s="188"/>
      <c r="N19" s="236"/>
      <c r="O19" s="149"/>
      <c r="P19" s="188"/>
      <c r="Q19" s="379"/>
      <c r="S19" s="237"/>
      <c r="T19" s="237"/>
      <c r="U19" s="237"/>
      <c r="AJ19" s="379"/>
      <c r="AZ19" s="238"/>
      <c r="BJ19" s="190"/>
      <c r="BK19" s="190"/>
      <c r="BL19" s="190"/>
      <c r="BO19" s="149"/>
      <c r="BP19" s="190"/>
      <c r="BQ19" s="239"/>
      <c r="BR19" s="240"/>
      <c r="BS19" s="190"/>
      <c r="BT19" s="240"/>
      <c r="BX19" s="190"/>
      <c r="BY19" s="190"/>
      <c r="BZ19" s="149"/>
      <c r="CA19" s="149"/>
      <c r="CB19" s="149"/>
      <c r="CC19" s="149"/>
    </row>
    <row r="20" spans="1:81">
      <c r="A20" s="245" t="s">
        <v>253</v>
      </c>
      <c r="B20" s="254">
        <v>12</v>
      </c>
      <c r="C20" s="148" t="s">
        <v>2</v>
      </c>
      <c r="D20" s="255">
        <f>B20*1000</f>
        <v>12000</v>
      </c>
      <c r="E20" s="148" t="s">
        <v>254</v>
      </c>
      <c r="F20" s="289"/>
      <c r="G20" s="235"/>
      <c r="H20" s="147">
        <v>14</v>
      </c>
      <c r="I20" s="389">
        <f t="shared" si="0"/>
        <v>0.16800000000000001</v>
      </c>
      <c r="J20" s="188"/>
      <c r="K20" s="188"/>
      <c r="L20" s="188"/>
      <c r="M20" s="188"/>
      <c r="N20" s="236"/>
      <c r="O20" s="149"/>
      <c r="P20" s="188"/>
      <c r="Q20" s="379"/>
      <c r="S20" s="237"/>
      <c r="T20" s="237"/>
      <c r="U20" s="237"/>
      <c r="AJ20" s="379"/>
      <c r="AZ20" s="238"/>
      <c r="BJ20" s="190"/>
      <c r="BK20" s="190"/>
      <c r="BL20" s="190"/>
      <c r="BO20" s="149"/>
      <c r="BP20" s="190"/>
      <c r="BQ20" s="239"/>
      <c r="BR20" s="240"/>
      <c r="BS20" s="190"/>
      <c r="BT20" s="240"/>
      <c r="BX20" s="190"/>
      <c r="BY20" s="190"/>
      <c r="BZ20" s="149"/>
      <c r="CA20" s="149"/>
      <c r="CB20" s="149"/>
      <c r="CC20" s="149"/>
    </row>
    <row r="21" spans="1:81">
      <c r="A21" s="245" t="s">
        <v>410</v>
      </c>
      <c r="B21" s="253">
        <v>350</v>
      </c>
      <c r="C21" s="148" t="s">
        <v>2</v>
      </c>
      <c r="D21" s="255">
        <f>B21*1000</f>
        <v>350000</v>
      </c>
      <c r="E21" s="148" t="s">
        <v>411</v>
      </c>
      <c r="F21" s="235"/>
      <c r="G21" s="235"/>
      <c r="H21" s="147">
        <v>15</v>
      </c>
      <c r="I21" s="389">
        <f t="shared" si="0"/>
        <v>0.18</v>
      </c>
      <c r="J21" s="188"/>
      <c r="K21" s="188"/>
      <c r="L21" s="188"/>
      <c r="M21" s="188"/>
      <c r="N21" s="236"/>
      <c r="O21" s="149"/>
      <c r="P21" s="188"/>
      <c r="Q21" s="379"/>
      <c r="S21" s="237"/>
      <c r="T21" s="237"/>
      <c r="U21" s="237"/>
      <c r="AJ21" s="379"/>
      <c r="AZ21" s="238"/>
      <c r="BJ21" s="190"/>
      <c r="BK21" s="190"/>
      <c r="BL21" s="190"/>
      <c r="BO21" s="149"/>
      <c r="BP21" s="190"/>
      <c r="BQ21" s="239"/>
      <c r="BR21" s="240"/>
      <c r="BS21" s="190"/>
      <c r="BT21" s="240"/>
      <c r="BX21" s="190"/>
      <c r="BY21" s="190"/>
      <c r="BZ21" s="149"/>
      <c r="CA21" s="149"/>
      <c r="CB21" s="149"/>
      <c r="CC21" s="149"/>
    </row>
    <row r="22" spans="1:81">
      <c r="A22" s="256" t="s">
        <v>38</v>
      </c>
      <c r="B22" s="257">
        <f>B44+15</f>
        <v>40</v>
      </c>
      <c r="C22" s="148" t="s">
        <v>32</v>
      </c>
      <c r="D22" s="258">
        <f>B22/1000000000</f>
        <v>4.0000000000000001E-8</v>
      </c>
      <c r="E22" s="148" t="s">
        <v>255</v>
      </c>
      <c r="F22" s="235"/>
      <c r="G22" s="235"/>
      <c r="H22" s="147">
        <v>16</v>
      </c>
      <c r="I22" s="389">
        <f t="shared" si="0"/>
        <v>0.192</v>
      </c>
      <c r="J22" s="188"/>
      <c r="K22" s="188"/>
      <c r="L22" s="188"/>
      <c r="M22" s="188"/>
      <c r="N22" s="236"/>
      <c r="O22" s="149"/>
      <c r="P22" s="188"/>
      <c r="Q22" s="379"/>
      <c r="S22" s="237"/>
      <c r="T22" s="237"/>
      <c r="U22" s="237"/>
      <c r="AJ22" s="379"/>
      <c r="AZ22" s="238"/>
      <c r="BJ22" s="190"/>
      <c r="BK22" s="190"/>
      <c r="BL22" s="190"/>
      <c r="BO22" s="149"/>
      <c r="BP22" s="190"/>
      <c r="BQ22" s="239"/>
      <c r="BR22" s="240"/>
      <c r="BS22" s="190"/>
      <c r="BT22" s="240"/>
      <c r="BX22" s="190"/>
      <c r="BY22" s="190"/>
      <c r="BZ22" s="149"/>
      <c r="CA22" s="149"/>
      <c r="CB22" s="149"/>
      <c r="CC22" s="149"/>
    </row>
    <row r="23" spans="1:81">
      <c r="A23" s="256" t="s">
        <v>39</v>
      </c>
      <c r="B23" s="257">
        <f>B44/2+25</f>
        <v>37.5</v>
      </c>
      <c r="C23" s="148" t="s">
        <v>32</v>
      </c>
      <c r="D23" s="258">
        <f>B23/1000000000</f>
        <v>3.7499999999999998E-8</v>
      </c>
      <c r="E23" s="148" t="s">
        <v>256</v>
      </c>
      <c r="F23" s="235"/>
      <c r="G23" s="235"/>
      <c r="H23" s="147">
        <v>17</v>
      </c>
      <c r="I23" s="389">
        <f t="shared" si="0"/>
        <v>0.20400000000000001</v>
      </c>
      <c r="J23" s="188"/>
      <c r="K23" s="188"/>
      <c r="L23" s="188"/>
      <c r="M23" s="188"/>
      <c r="N23" s="236"/>
      <c r="O23" s="149"/>
      <c r="P23" s="188"/>
      <c r="Q23" s="379"/>
      <c r="S23" s="237"/>
      <c r="T23" s="237"/>
      <c r="U23" s="237"/>
      <c r="AJ23" s="379"/>
      <c r="AZ23" s="238"/>
      <c r="BJ23" s="190"/>
      <c r="BK23" s="190"/>
      <c r="BL23" s="190"/>
      <c r="BO23" s="149"/>
      <c r="BP23" s="190"/>
      <c r="BQ23" s="239"/>
      <c r="BR23" s="240"/>
      <c r="BS23" s="190"/>
      <c r="BT23" s="240"/>
      <c r="BX23" s="190"/>
      <c r="BY23" s="190"/>
      <c r="BZ23" s="149"/>
      <c r="CA23" s="149"/>
      <c r="CB23" s="149"/>
      <c r="CC23" s="149"/>
    </row>
    <row r="24" spans="1:81">
      <c r="A24" s="210"/>
      <c r="B24" s="210"/>
      <c r="C24" s="210"/>
      <c r="D24" s="210"/>
      <c r="E24" s="210"/>
      <c r="F24" s="235"/>
      <c r="G24" s="235"/>
      <c r="H24" s="147">
        <v>18</v>
      </c>
      <c r="I24" s="389">
        <f t="shared" si="0"/>
        <v>0.216</v>
      </c>
      <c r="J24" s="188"/>
      <c r="K24" s="188"/>
      <c r="L24" s="188"/>
      <c r="M24" s="188"/>
      <c r="N24" s="236"/>
      <c r="O24" s="149"/>
      <c r="P24" s="188"/>
      <c r="Q24" s="379"/>
      <c r="S24" s="237"/>
      <c r="T24" s="237"/>
      <c r="U24" s="237"/>
      <c r="AJ24" s="379"/>
      <c r="AZ24" s="238"/>
      <c r="BJ24" s="190"/>
      <c r="BK24" s="190"/>
      <c r="BL24" s="190"/>
      <c r="BO24" s="149"/>
      <c r="BP24" s="190"/>
      <c r="BQ24" s="239"/>
      <c r="BR24" s="240"/>
      <c r="BS24" s="190"/>
      <c r="BT24" s="240"/>
      <c r="BX24" s="190"/>
      <c r="BY24" s="190"/>
      <c r="BZ24" s="149"/>
      <c r="CA24" s="149"/>
      <c r="CB24" s="149"/>
      <c r="CC24" s="149"/>
    </row>
    <row r="25" spans="1:81">
      <c r="A25" s="231" t="s">
        <v>29</v>
      </c>
      <c r="B25" s="233" t="s">
        <v>43</v>
      </c>
      <c r="C25" s="232" t="s">
        <v>33</v>
      </c>
      <c r="D25" s="248" t="s">
        <v>90</v>
      </c>
      <c r="E25" s="234" t="s">
        <v>41</v>
      </c>
      <c r="F25" s="235"/>
      <c r="G25" s="235"/>
      <c r="H25" s="147">
        <v>19</v>
      </c>
      <c r="I25" s="389">
        <f t="shared" si="0"/>
        <v>0.22799999999999998</v>
      </c>
      <c r="J25" s="188"/>
      <c r="K25" s="188"/>
      <c r="L25" s="188"/>
      <c r="M25" s="188"/>
      <c r="N25" s="236"/>
      <c r="O25" s="149"/>
      <c r="P25" s="188"/>
      <c r="Q25" s="379"/>
      <c r="S25" s="237"/>
      <c r="T25" s="237"/>
      <c r="U25" s="237"/>
      <c r="AJ25" s="379"/>
      <c r="AZ25" s="238"/>
      <c r="BJ25" s="190"/>
      <c r="BK25" s="190"/>
      <c r="BL25" s="190"/>
      <c r="BO25" s="149"/>
      <c r="BP25" s="190"/>
      <c r="BQ25" s="239"/>
      <c r="BR25" s="240"/>
      <c r="BS25" s="190"/>
      <c r="BT25" s="240"/>
      <c r="BX25" s="190"/>
      <c r="BY25" s="190"/>
      <c r="BZ25" s="149"/>
      <c r="CA25" s="149"/>
      <c r="CB25" s="149"/>
      <c r="CC25" s="149"/>
    </row>
    <row r="26" spans="1:81" ht="13.5" thickBot="1">
      <c r="A26" s="259" t="s">
        <v>27</v>
      </c>
      <c r="B26" s="148">
        <f>'Design Converter'!L7</f>
        <v>12</v>
      </c>
      <c r="C26" s="250" t="s">
        <v>96</v>
      </c>
      <c r="D26" s="169">
        <f>B26/1000000</f>
        <v>1.2E-5</v>
      </c>
      <c r="E26" s="148" t="s">
        <v>257</v>
      </c>
      <c r="F26" s="260"/>
      <c r="G26" s="235"/>
      <c r="H26" s="147">
        <v>20</v>
      </c>
      <c r="I26" s="389">
        <f t="shared" si="0"/>
        <v>0.24</v>
      </c>
      <c r="J26" s="188"/>
      <c r="K26" s="188"/>
      <c r="L26" s="188"/>
      <c r="M26" s="188"/>
      <c r="N26" s="236"/>
      <c r="O26" s="149"/>
      <c r="P26" s="188"/>
      <c r="Q26" s="379"/>
      <c r="S26" s="237"/>
      <c r="T26" s="237"/>
      <c r="U26" s="237"/>
      <c r="AJ26" s="379"/>
      <c r="AZ26" s="238"/>
      <c r="BJ26" s="190"/>
      <c r="BK26" s="190"/>
      <c r="BL26" s="190"/>
      <c r="BO26" s="149"/>
      <c r="BP26" s="190"/>
      <c r="BQ26" s="239"/>
      <c r="BR26" s="240"/>
      <c r="BS26" s="190"/>
      <c r="BT26" s="240"/>
      <c r="BX26" s="190"/>
      <c r="BY26" s="190"/>
      <c r="BZ26" s="149"/>
      <c r="CA26" s="149"/>
      <c r="CB26" s="149"/>
      <c r="CC26" s="149"/>
    </row>
    <row r="27" spans="1:81" ht="13.5" thickBot="1">
      <c r="A27" s="261" t="s">
        <v>385</v>
      </c>
      <c r="B27" s="262">
        <f>'Design Converter'!L8</f>
        <v>30</v>
      </c>
      <c r="C27" s="263" t="s">
        <v>258</v>
      </c>
      <c r="D27" s="169">
        <f>B27/1000</f>
        <v>0.03</v>
      </c>
      <c r="E27" s="148" t="s">
        <v>480</v>
      </c>
      <c r="F27" s="235"/>
      <c r="G27" s="235"/>
      <c r="H27" s="147">
        <v>21</v>
      </c>
      <c r="I27" s="389">
        <f t="shared" si="0"/>
        <v>0.252</v>
      </c>
      <c r="J27" s="188"/>
      <c r="K27" s="188"/>
      <c r="L27" s="188"/>
      <c r="M27" s="188"/>
      <c r="N27" s="236"/>
      <c r="O27" s="149"/>
      <c r="P27" s="188"/>
      <c r="Q27" s="379"/>
      <c r="S27" s="237"/>
      <c r="T27" s="237"/>
      <c r="U27" s="237"/>
      <c r="AJ27" s="379"/>
      <c r="AZ27" s="238"/>
      <c r="BJ27" s="190"/>
      <c r="BK27" s="190"/>
      <c r="BL27" s="190"/>
      <c r="BO27" s="149"/>
      <c r="BP27" s="190"/>
      <c r="BQ27" s="239"/>
      <c r="BR27" s="240"/>
      <c r="BS27" s="190"/>
      <c r="BT27" s="240"/>
      <c r="BX27" s="190"/>
      <c r="BY27" s="190"/>
      <c r="BZ27" s="149"/>
      <c r="CA27" s="149"/>
      <c r="CB27" s="149"/>
      <c r="CC27" s="149"/>
    </row>
    <row r="28" spans="1:81" ht="13.5" thickBot="1">
      <c r="A28" s="261" t="s">
        <v>448</v>
      </c>
      <c r="B28" s="262">
        <f>'Design Converter'!L9</f>
        <v>30</v>
      </c>
      <c r="C28" s="263" t="s">
        <v>258</v>
      </c>
      <c r="D28" s="169">
        <f>B28/1000</f>
        <v>0.03</v>
      </c>
      <c r="E28" s="148" t="s">
        <v>646</v>
      </c>
      <c r="F28" s="235"/>
      <c r="G28" s="235"/>
      <c r="H28" s="147">
        <v>22</v>
      </c>
      <c r="I28" s="389">
        <f t="shared" si="0"/>
        <v>0.26400000000000001</v>
      </c>
      <c r="J28" s="188"/>
      <c r="K28" s="188"/>
      <c r="L28" s="188"/>
      <c r="M28" s="188"/>
      <c r="N28" s="236"/>
      <c r="O28" s="149"/>
      <c r="P28" s="188"/>
      <c r="Q28" s="379"/>
      <c r="S28" s="237"/>
      <c r="T28" s="237"/>
      <c r="U28" s="237"/>
      <c r="AJ28" s="379"/>
      <c r="AZ28" s="238"/>
      <c r="BJ28" s="190"/>
      <c r="BK28" s="190"/>
      <c r="BL28" s="190"/>
      <c r="BO28" s="149"/>
      <c r="BP28" s="190"/>
      <c r="BQ28" s="239"/>
      <c r="BR28" s="240"/>
      <c r="BS28" s="190"/>
      <c r="BT28" s="240"/>
      <c r="BX28" s="190"/>
      <c r="BY28" s="190"/>
      <c r="BZ28" s="149"/>
      <c r="CA28" s="149"/>
      <c r="CB28" s="149"/>
      <c r="CC28" s="149"/>
    </row>
    <row r="29" spans="1:81" ht="13.5" thickBot="1">
      <c r="A29" s="261" t="s">
        <v>259</v>
      </c>
      <c r="B29" s="264">
        <f>0.00000005</f>
        <v>4.9999999999999998E-8</v>
      </c>
      <c r="C29" s="263"/>
      <c r="D29" s="258">
        <f>B29</f>
        <v>4.9999999999999998E-8</v>
      </c>
      <c r="E29" s="265" t="s">
        <v>479</v>
      </c>
      <c r="F29" s="235"/>
      <c r="G29" s="235"/>
      <c r="H29" s="147">
        <v>23</v>
      </c>
      <c r="I29" s="389">
        <f t="shared" si="0"/>
        <v>0.27600000000000002</v>
      </c>
      <c r="J29" s="188"/>
      <c r="K29" s="188"/>
      <c r="L29" s="188"/>
      <c r="M29" s="188"/>
      <c r="N29" s="236"/>
      <c r="O29" s="149"/>
      <c r="P29" s="188"/>
      <c r="Q29" s="379"/>
      <c r="S29" s="237"/>
      <c r="T29" s="237"/>
      <c r="U29" s="237"/>
      <c r="AJ29" s="379"/>
      <c r="AZ29" s="238"/>
      <c r="BJ29" s="190"/>
      <c r="BK29" s="190"/>
      <c r="BL29" s="190"/>
      <c r="BO29" s="149"/>
      <c r="BP29" s="190"/>
      <c r="BQ29" s="239"/>
      <c r="BR29" s="240"/>
      <c r="BS29" s="190"/>
      <c r="BT29" s="240"/>
      <c r="BX29" s="190"/>
      <c r="BY29" s="190"/>
      <c r="BZ29" s="149"/>
      <c r="CA29" s="149"/>
      <c r="CB29" s="149"/>
      <c r="CC29" s="149"/>
    </row>
    <row r="30" spans="1:81" ht="13.5" thickBot="1">
      <c r="A30" s="266" t="s">
        <v>28</v>
      </c>
      <c r="B30" s="262">
        <f>'Design Converter'!E30</f>
        <v>22</v>
      </c>
      <c r="C30" s="267" t="s">
        <v>97</v>
      </c>
      <c r="D30" s="268">
        <f>B30/1000000</f>
        <v>2.1999999999999999E-5</v>
      </c>
      <c r="E30" s="269" t="s">
        <v>60</v>
      </c>
      <c r="F30" s="235"/>
      <c r="G30" s="235"/>
      <c r="H30" s="147">
        <v>24</v>
      </c>
      <c r="I30" s="389">
        <f t="shared" si="0"/>
        <v>0.28799999999999998</v>
      </c>
      <c r="J30" s="188"/>
      <c r="K30" s="188"/>
      <c r="L30" s="188"/>
      <c r="M30" s="188"/>
      <c r="N30" s="236"/>
      <c r="O30" s="149"/>
      <c r="P30" s="188"/>
      <c r="Q30" s="379"/>
      <c r="S30" s="237"/>
      <c r="T30" s="237"/>
      <c r="U30" s="237"/>
      <c r="AJ30" s="379"/>
      <c r="AZ30" s="238"/>
      <c r="BJ30" s="190"/>
      <c r="BK30" s="190"/>
      <c r="BL30" s="190"/>
      <c r="BO30" s="149"/>
      <c r="BP30" s="190"/>
      <c r="BQ30" s="239"/>
      <c r="BR30" s="240"/>
      <c r="BS30" s="190"/>
      <c r="BT30" s="240"/>
      <c r="BX30" s="190"/>
      <c r="BY30" s="190"/>
      <c r="BZ30" s="149"/>
      <c r="CA30" s="149"/>
      <c r="CB30" s="149"/>
      <c r="CC30" s="149"/>
    </row>
    <row r="31" spans="1:81" ht="13.5" thickBot="1">
      <c r="A31" s="261" t="s">
        <v>260</v>
      </c>
      <c r="B31" s="262">
        <f>'Design Converter'!E31</f>
        <v>3</v>
      </c>
      <c r="C31" s="263" t="s">
        <v>258</v>
      </c>
      <c r="D31" s="169">
        <f>B31/1000</f>
        <v>3.0000000000000001E-3</v>
      </c>
      <c r="E31" s="148" t="s">
        <v>261</v>
      </c>
      <c r="F31" s="235"/>
      <c r="G31" s="235"/>
      <c r="H31" s="147">
        <v>25</v>
      </c>
      <c r="I31" s="389">
        <f t="shared" si="0"/>
        <v>0.3</v>
      </c>
      <c r="J31" s="188"/>
      <c r="K31" s="188"/>
      <c r="L31" s="188"/>
      <c r="M31" s="188"/>
      <c r="N31" s="236"/>
      <c r="O31" s="149"/>
      <c r="P31" s="188"/>
      <c r="Q31" s="379"/>
      <c r="S31" s="237"/>
      <c r="T31" s="237"/>
      <c r="U31" s="237"/>
      <c r="AJ31" s="379"/>
      <c r="AZ31" s="238"/>
      <c r="BJ31" s="190"/>
      <c r="BK31" s="190"/>
      <c r="BL31" s="190"/>
      <c r="BO31" s="149"/>
      <c r="BP31" s="190"/>
      <c r="BQ31" s="239"/>
      <c r="BR31" s="240"/>
      <c r="BS31" s="190"/>
      <c r="BT31" s="240"/>
      <c r="BX31" s="190"/>
      <c r="BY31" s="190"/>
      <c r="BZ31" s="149"/>
      <c r="CA31" s="149"/>
      <c r="CB31" s="149"/>
      <c r="CC31" s="149"/>
    </row>
    <row r="32" spans="1:81" ht="13.5" thickBot="1">
      <c r="A32" s="259" t="s">
        <v>14</v>
      </c>
      <c r="B32" s="308">
        <f>'Design Converter'!E34</f>
        <v>110</v>
      </c>
      <c r="C32" s="250" t="s">
        <v>97</v>
      </c>
      <c r="D32" s="251">
        <f>B32/1000000</f>
        <v>1.1E-4</v>
      </c>
      <c r="E32" s="148" t="s">
        <v>262</v>
      </c>
      <c r="F32" s="235"/>
      <c r="G32" s="235"/>
      <c r="H32" s="147">
        <v>26</v>
      </c>
      <c r="I32" s="389">
        <f t="shared" si="0"/>
        <v>0.312</v>
      </c>
      <c r="J32" s="188"/>
      <c r="K32" s="188"/>
      <c r="L32" s="188"/>
      <c r="M32" s="188"/>
      <c r="N32" s="236"/>
      <c r="O32" s="149"/>
      <c r="P32" s="188"/>
      <c r="Q32" s="379"/>
      <c r="S32" s="237"/>
      <c r="T32" s="237"/>
      <c r="U32" s="237"/>
      <c r="AJ32" s="379"/>
      <c r="AZ32" s="238"/>
      <c r="BJ32" s="190"/>
      <c r="BK32" s="190"/>
      <c r="BL32" s="190"/>
      <c r="BO32" s="149"/>
      <c r="BP32" s="190"/>
      <c r="BQ32" s="239"/>
      <c r="BR32" s="240"/>
      <c r="BS32" s="190"/>
      <c r="BT32" s="240"/>
      <c r="BX32" s="190"/>
      <c r="BY32" s="190"/>
      <c r="BZ32" s="149"/>
      <c r="CA32" s="149"/>
      <c r="CB32" s="149"/>
      <c r="CC32" s="149"/>
    </row>
    <row r="33" spans="1:81">
      <c r="A33" s="261" t="s">
        <v>263</v>
      </c>
      <c r="B33" s="308">
        <f>'Design Converter'!E35</f>
        <v>2</v>
      </c>
      <c r="C33" s="263" t="s">
        <v>258</v>
      </c>
      <c r="D33" s="169">
        <f>B33/1000</f>
        <v>2E-3</v>
      </c>
      <c r="E33" s="148" t="s">
        <v>264</v>
      </c>
      <c r="F33" s="235"/>
      <c r="G33" s="235"/>
      <c r="H33" s="147">
        <v>27</v>
      </c>
      <c r="I33" s="389">
        <f t="shared" si="0"/>
        <v>0.32400000000000001</v>
      </c>
      <c r="J33" s="188"/>
      <c r="K33" s="188"/>
      <c r="L33" s="188"/>
      <c r="M33" s="188"/>
      <c r="N33" s="236"/>
      <c r="O33" s="149"/>
      <c r="P33" s="188"/>
      <c r="Q33" s="379"/>
      <c r="S33" s="237"/>
      <c r="T33" s="237"/>
      <c r="U33" s="237"/>
      <c r="AJ33" s="379"/>
      <c r="AZ33" s="238"/>
      <c r="BJ33" s="190"/>
      <c r="BK33" s="190"/>
      <c r="BL33" s="190"/>
      <c r="BO33" s="149"/>
      <c r="BP33" s="190"/>
      <c r="BQ33" s="239"/>
      <c r="BR33" s="240"/>
      <c r="BS33" s="190"/>
      <c r="BT33" s="240"/>
      <c r="BX33" s="190"/>
      <c r="BY33" s="190"/>
      <c r="BZ33" s="149"/>
      <c r="CA33" s="149"/>
      <c r="CB33" s="149"/>
      <c r="CC33" s="149"/>
    </row>
    <row r="34" spans="1:81">
      <c r="A34" s="270" t="s">
        <v>394</v>
      </c>
      <c r="B34" s="233"/>
      <c r="C34" s="270" t="s">
        <v>33</v>
      </c>
      <c r="D34" s="270" t="s">
        <v>90</v>
      </c>
      <c r="E34" s="271" t="s">
        <v>41</v>
      </c>
      <c r="F34" s="235"/>
      <c r="G34" s="235"/>
      <c r="H34" s="147">
        <v>28</v>
      </c>
      <c r="I34" s="389">
        <f t="shared" si="0"/>
        <v>0.33600000000000002</v>
      </c>
      <c r="J34" s="188"/>
      <c r="K34" s="188"/>
      <c r="L34" s="188"/>
      <c r="M34" s="188"/>
      <c r="N34" s="236"/>
      <c r="O34" s="149"/>
      <c r="P34" s="188"/>
      <c r="Q34" s="379"/>
      <c r="S34" s="237"/>
      <c r="T34" s="237"/>
      <c r="U34" s="237"/>
      <c r="AJ34" s="379"/>
      <c r="AZ34" s="238"/>
      <c r="BJ34" s="190"/>
      <c r="BK34" s="190"/>
      <c r="BL34" s="190"/>
      <c r="BO34" s="149"/>
      <c r="BP34" s="190"/>
      <c r="BQ34" s="239"/>
      <c r="BR34" s="240"/>
      <c r="BS34" s="190"/>
      <c r="BT34" s="240"/>
      <c r="BX34" s="190"/>
      <c r="BY34" s="190"/>
      <c r="BZ34" s="149"/>
      <c r="CA34" s="149"/>
      <c r="CB34" s="149"/>
      <c r="CC34" s="149"/>
    </row>
    <row r="35" spans="1:81">
      <c r="A35" s="261" t="s">
        <v>399</v>
      </c>
      <c r="B35" s="272">
        <f>100/RCS</f>
        <v>5</v>
      </c>
      <c r="C35" s="250" t="s">
        <v>1</v>
      </c>
      <c r="D35" s="238">
        <f>B35</f>
        <v>5</v>
      </c>
      <c r="E35" s="148" t="s">
        <v>398</v>
      </c>
      <c r="F35" s="235"/>
      <c r="G35" s="235"/>
      <c r="H35" s="147">
        <v>29</v>
      </c>
      <c r="I35" s="389">
        <f t="shared" si="0"/>
        <v>0.34799999999999998</v>
      </c>
      <c r="J35" s="188"/>
      <c r="K35" s="188"/>
      <c r="L35" s="188"/>
      <c r="M35" s="188"/>
      <c r="N35" s="236"/>
      <c r="O35" s="149"/>
      <c r="P35" s="188"/>
      <c r="Q35" s="379"/>
      <c r="S35" s="237"/>
      <c r="T35" s="237"/>
      <c r="U35" s="237"/>
      <c r="AJ35" s="379"/>
      <c r="AZ35" s="238"/>
      <c r="BJ35" s="190"/>
      <c r="BK35" s="190"/>
      <c r="BL35" s="190"/>
      <c r="BO35" s="149"/>
      <c r="BP35" s="190"/>
      <c r="BQ35" s="239"/>
      <c r="BR35" s="240"/>
      <c r="BS35" s="190"/>
      <c r="BT35" s="240"/>
      <c r="BX35" s="190"/>
      <c r="BY35" s="190"/>
      <c r="BZ35" s="149"/>
      <c r="CA35" s="149"/>
      <c r="CB35" s="149"/>
      <c r="CC35" s="149"/>
    </row>
    <row r="36" spans="1:81">
      <c r="A36" s="261" t="s">
        <v>407</v>
      </c>
      <c r="B36" s="272">
        <f>B35/5</f>
        <v>1</v>
      </c>
      <c r="C36" s="250" t="s">
        <v>1</v>
      </c>
      <c r="D36" s="238">
        <f>B36</f>
        <v>1</v>
      </c>
      <c r="E36" s="148" t="s">
        <v>408</v>
      </c>
      <c r="F36" s="235"/>
      <c r="G36" s="235"/>
      <c r="H36" s="147">
        <v>30</v>
      </c>
      <c r="I36" s="389">
        <f t="shared" si="0"/>
        <v>0.36</v>
      </c>
      <c r="J36" s="188"/>
      <c r="K36" s="188"/>
      <c r="L36" s="188"/>
      <c r="M36" s="188"/>
      <c r="N36" s="236"/>
      <c r="O36" s="149"/>
      <c r="P36" s="188"/>
      <c r="Q36" s="379"/>
      <c r="S36" s="237"/>
      <c r="T36" s="237"/>
      <c r="U36" s="237"/>
      <c r="AJ36" s="379"/>
      <c r="AZ36" s="238"/>
      <c r="BJ36" s="190"/>
      <c r="BK36" s="190"/>
      <c r="BL36" s="190"/>
      <c r="BO36" s="149"/>
      <c r="BP36" s="190"/>
      <c r="BQ36" s="239"/>
      <c r="BR36" s="240"/>
      <c r="BS36" s="190"/>
      <c r="BT36" s="240"/>
      <c r="BX36" s="190"/>
      <c r="BY36" s="190"/>
      <c r="BZ36" s="149"/>
      <c r="CA36" s="149"/>
      <c r="CB36" s="149"/>
      <c r="CC36" s="149"/>
    </row>
    <row r="37" spans="1:81" ht="13.5" thickBot="1">
      <c r="A37" s="261" t="s">
        <v>678</v>
      </c>
      <c r="B37" s="546">
        <v>30</v>
      </c>
      <c r="C37" s="147" t="s">
        <v>32</v>
      </c>
      <c r="D37" s="147">
        <f>B37*0.000000001</f>
        <v>3.0000000000000004E-8</v>
      </c>
      <c r="E37" s="147" t="s">
        <v>679</v>
      </c>
      <c r="F37" s="235"/>
      <c r="G37" s="235"/>
      <c r="H37" s="147">
        <v>31</v>
      </c>
      <c r="I37" s="389">
        <f t="shared" si="0"/>
        <v>0.372</v>
      </c>
      <c r="J37" s="188"/>
      <c r="K37" s="188"/>
      <c r="L37" s="188"/>
      <c r="M37" s="188"/>
      <c r="N37" s="236"/>
      <c r="O37" s="149"/>
      <c r="P37" s="188"/>
      <c r="Q37" s="379"/>
      <c r="S37" s="237"/>
      <c r="T37" s="237"/>
      <c r="U37" s="237"/>
      <c r="AJ37" s="379"/>
      <c r="AZ37" s="238"/>
      <c r="BJ37" s="190"/>
      <c r="BK37" s="190"/>
      <c r="BL37" s="190"/>
      <c r="BO37" s="149"/>
      <c r="BP37" s="190"/>
      <c r="BQ37" s="239"/>
      <c r="BR37" s="240"/>
      <c r="BS37" s="190"/>
      <c r="BT37" s="240"/>
      <c r="BX37" s="190"/>
      <c r="BY37" s="190"/>
      <c r="BZ37" s="149"/>
      <c r="CA37" s="149"/>
      <c r="CB37" s="149"/>
      <c r="CC37" s="149"/>
    </row>
    <row r="38" spans="1:81" ht="13.5" thickBot="1">
      <c r="A38" s="273" t="s">
        <v>47</v>
      </c>
      <c r="B38" s="454">
        <v>1</v>
      </c>
      <c r="C38" s="250"/>
      <c r="D38" s="238">
        <f>B38</f>
        <v>1</v>
      </c>
      <c r="E38" s="148" t="s">
        <v>409</v>
      </c>
      <c r="H38" s="147">
        <v>32</v>
      </c>
      <c r="I38" s="389">
        <f t="shared" ref="I38:I69" si="2">IF(PLOT_TYPE=1, H38/100*Iout_max, min_I*EXP(H38*rr/100))</f>
        <v>0.38400000000000001</v>
      </c>
      <c r="J38" s="188"/>
      <c r="K38" s="188"/>
      <c r="L38" s="188"/>
      <c r="M38" s="188"/>
      <c r="N38" s="236"/>
      <c r="O38" s="149"/>
      <c r="P38" s="188"/>
      <c r="Q38" s="379"/>
      <c r="S38" s="237"/>
      <c r="T38" s="237"/>
      <c r="U38" s="237"/>
      <c r="AJ38" s="379"/>
      <c r="AZ38" s="238"/>
      <c r="BJ38" s="190"/>
      <c r="BK38" s="190"/>
      <c r="BL38" s="190"/>
      <c r="BO38" s="149"/>
      <c r="BP38" s="190"/>
      <c r="BQ38" s="239"/>
      <c r="BR38" s="240"/>
      <c r="BS38" s="190"/>
      <c r="BT38" s="240"/>
      <c r="BX38" s="190"/>
      <c r="BY38" s="190"/>
      <c r="BZ38" s="149"/>
      <c r="CA38" s="149"/>
      <c r="CB38" s="149"/>
      <c r="CC38" s="149"/>
    </row>
    <row r="39" spans="1:81">
      <c r="A39" s="261" t="s">
        <v>24</v>
      </c>
      <c r="B39" s="274">
        <v>450</v>
      </c>
      <c r="C39" s="250" t="s">
        <v>265</v>
      </c>
      <c r="D39" s="252">
        <f>B39/1000000</f>
        <v>4.4999999999999999E-4</v>
      </c>
      <c r="E39" s="148" t="s">
        <v>775</v>
      </c>
      <c r="H39" s="147">
        <v>33</v>
      </c>
      <c r="I39" s="389">
        <f t="shared" si="2"/>
        <v>0.39600000000000002</v>
      </c>
      <c r="J39" s="188"/>
      <c r="K39" s="188"/>
      <c r="L39" s="188"/>
      <c r="M39" s="188"/>
      <c r="N39" s="236"/>
      <c r="O39" s="149"/>
      <c r="P39" s="188"/>
      <c r="Q39" s="379"/>
      <c r="S39" s="237"/>
      <c r="T39" s="237"/>
      <c r="U39" s="237"/>
      <c r="AJ39" s="379"/>
      <c r="AZ39" s="238"/>
      <c r="BJ39" s="190"/>
      <c r="BK39" s="190"/>
      <c r="BL39" s="190"/>
      <c r="BO39" s="149"/>
      <c r="BP39" s="190"/>
      <c r="BQ39" s="239"/>
      <c r="BR39" s="240"/>
      <c r="BS39" s="190"/>
      <c r="BT39" s="240"/>
      <c r="BX39" s="190"/>
      <c r="BY39" s="190"/>
      <c r="BZ39" s="149"/>
      <c r="CA39" s="149"/>
      <c r="CB39" s="149"/>
      <c r="CC39" s="149"/>
    </row>
    <row r="40" spans="1:81" ht="13.5" thickBot="1">
      <c r="A40" s="270" t="s">
        <v>391</v>
      </c>
      <c r="B40" s="275"/>
      <c r="C40" s="270" t="s">
        <v>33</v>
      </c>
      <c r="D40" s="270" t="s">
        <v>90</v>
      </c>
      <c r="E40" s="276" t="s">
        <v>41</v>
      </c>
      <c r="H40" s="147">
        <v>34</v>
      </c>
      <c r="I40" s="389">
        <f t="shared" si="2"/>
        <v>0.40800000000000003</v>
      </c>
      <c r="J40" s="188"/>
      <c r="K40" s="188"/>
      <c r="L40" s="188"/>
      <c r="M40" s="188"/>
      <c r="N40" s="236"/>
      <c r="O40" s="149"/>
      <c r="P40" s="188"/>
      <c r="Q40" s="379"/>
      <c r="S40" s="237"/>
      <c r="T40" s="237"/>
      <c r="U40" s="237"/>
      <c r="AJ40" s="379"/>
      <c r="AZ40" s="238"/>
      <c r="BJ40" s="190"/>
      <c r="BK40" s="190"/>
      <c r="BL40" s="190"/>
      <c r="BO40" s="149"/>
      <c r="BP40" s="190"/>
      <c r="BQ40" s="239"/>
      <c r="BR40" s="240"/>
      <c r="BS40" s="190"/>
      <c r="BT40" s="240"/>
      <c r="BX40" s="190"/>
      <c r="BY40" s="190"/>
      <c r="BZ40" s="149"/>
      <c r="CA40" s="149"/>
      <c r="CB40" s="149"/>
      <c r="CC40" s="149"/>
    </row>
    <row r="41" spans="1:81">
      <c r="A41" s="277" t="s">
        <v>392</v>
      </c>
      <c r="B41" s="278">
        <f>RON</f>
        <v>20</v>
      </c>
      <c r="C41" s="244" t="s">
        <v>258</v>
      </c>
      <c r="D41" s="148">
        <f>B41/1000</f>
        <v>0.02</v>
      </c>
      <c r="E41" s="148" t="s">
        <v>396</v>
      </c>
      <c r="H41" s="147">
        <v>35</v>
      </c>
      <c r="I41" s="389">
        <f t="shared" si="2"/>
        <v>0.42</v>
      </c>
      <c r="J41" s="188"/>
      <c r="K41" s="188"/>
      <c r="L41" s="188"/>
      <c r="M41" s="188"/>
      <c r="N41" s="236"/>
      <c r="O41" s="149"/>
      <c r="P41" s="188"/>
      <c r="Q41" s="379"/>
      <c r="S41" s="237"/>
      <c r="T41" s="237"/>
      <c r="U41" s="237"/>
      <c r="AJ41" s="379"/>
      <c r="AZ41" s="238"/>
      <c r="BJ41" s="190"/>
      <c r="BK41" s="190"/>
      <c r="BL41" s="190"/>
      <c r="BO41" s="149"/>
      <c r="BP41" s="190"/>
      <c r="BQ41" s="239"/>
      <c r="BR41" s="240"/>
      <c r="BS41" s="190"/>
      <c r="BT41" s="240"/>
      <c r="BX41" s="190"/>
      <c r="BY41" s="190"/>
      <c r="BZ41" s="149"/>
      <c r="CA41" s="149"/>
      <c r="CB41" s="149"/>
      <c r="CC41" s="149"/>
    </row>
    <row r="42" spans="1:81" ht="13.5" thickBot="1">
      <c r="A42" s="147" t="s">
        <v>668</v>
      </c>
      <c r="B42" s="147">
        <v>4500</v>
      </c>
      <c r="C42" s="543" t="s">
        <v>669</v>
      </c>
      <c r="D42" s="148">
        <f>B42/1000000</f>
        <v>4.4999999999999997E-3</v>
      </c>
      <c r="E42" s="544" t="s">
        <v>670</v>
      </c>
      <c r="H42" s="147">
        <v>36</v>
      </c>
      <c r="I42" s="389">
        <f t="shared" si="2"/>
        <v>0.432</v>
      </c>
      <c r="J42" s="188"/>
      <c r="K42" s="188"/>
      <c r="L42" s="188"/>
      <c r="M42" s="188"/>
      <c r="N42" s="236"/>
      <c r="O42" s="149"/>
      <c r="P42" s="188"/>
      <c r="Q42" s="379"/>
      <c r="S42" s="237"/>
      <c r="T42" s="237"/>
      <c r="U42" s="237"/>
      <c r="AJ42" s="379"/>
      <c r="AZ42" s="238"/>
      <c r="BJ42" s="190"/>
      <c r="BK42" s="190"/>
      <c r="BL42" s="190"/>
      <c r="BO42" s="149"/>
      <c r="BP42" s="190"/>
      <c r="BQ42" s="239"/>
      <c r="BR42" s="240"/>
      <c r="BS42" s="190"/>
      <c r="BT42" s="240"/>
      <c r="BX42" s="190"/>
      <c r="BY42" s="190"/>
      <c r="BZ42" s="149"/>
      <c r="CA42" s="149"/>
      <c r="CB42" s="149"/>
      <c r="CC42" s="149"/>
    </row>
    <row r="43" spans="1:81" ht="13.5" thickBot="1">
      <c r="A43" s="261" t="s">
        <v>266</v>
      </c>
      <c r="B43" s="279"/>
      <c r="C43" s="147" t="s">
        <v>267</v>
      </c>
      <c r="D43" s="148"/>
      <c r="E43" s="148" t="s">
        <v>266</v>
      </c>
      <c r="H43" s="147">
        <v>37</v>
      </c>
      <c r="I43" s="389">
        <f t="shared" si="2"/>
        <v>0.44400000000000001</v>
      </c>
      <c r="J43" s="188"/>
      <c r="K43" s="188"/>
      <c r="L43" s="188"/>
      <c r="M43" s="188"/>
      <c r="N43" s="236"/>
      <c r="O43" s="149"/>
      <c r="P43" s="188"/>
      <c r="Q43" s="379"/>
      <c r="S43" s="237"/>
      <c r="T43" s="237"/>
      <c r="U43" s="237"/>
      <c r="AJ43" s="379"/>
      <c r="AZ43" s="238"/>
      <c r="BJ43" s="190"/>
      <c r="BK43" s="190"/>
      <c r="BL43" s="190"/>
      <c r="BO43" s="149"/>
      <c r="BP43" s="190"/>
      <c r="BQ43" s="239"/>
      <c r="BR43" s="240"/>
      <c r="BS43" s="190"/>
      <c r="BT43" s="240"/>
      <c r="BX43" s="190"/>
      <c r="BY43" s="190"/>
      <c r="BZ43" s="149"/>
      <c r="CA43" s="149"/>
      <c r="CB43" s="149"/>
      <c r="CC43" s="149"/>
    </row>
    <row r="44" spans="1:81" ht="13.5" thickBot="1">
      <c r="A44" s="261" t="s">
        <v>393</v>
      </c>
      <c r="B44" s="278">
        <f>'Design Converter'!L24</f>
        <v>25</v>
      </c>
      <c r="C44" s="250" t="s">
        <v>31</v>
      </c>
      <c r="D44" s="148">
        <f>B44/1000000000</f>
        <v>2.4999999999999999E-8</v>
      </c>
      <c r="E44" s="148" t="s">
        <v>395</v>
      </c>
      <c r="H44" s="147">
        <v>38</v>
      </c>
      <c r="I44" s="389">
        <f t="shared" si="2"/>
        <v>0.45599999999999996</v>
      </c>
      <c r="J44" s="188"/>
      <c r="K44" s="188"/>
      <c r="L44" s="188"/>
      <c r="M44" s="188"/>
      <c r="N44" s="236"/>
      <c r="O44" s="149"/>
      <c r="P44" s="188"/>
      <c r="Q44" s="379"/>
      <c r="S44" s="237"/>
      <c r="T44" s="237"/>
      <c r="U44" s="237"/>
      <c r="AJ44" s="379"/>
      <c r="AZ44" s="238"/>
      <c r="BJ44" s="190"/>
      <c r="BK44" s="190"/>
      <c r="BL44" s="190"/>
      <c r="BO44" s="149"/>
      <c r="BP44" s="190"/>
      <c r="BQ44" s="239"/>
      <c r="BR44" s="240"/>
      <c r="BS44" s="190"/>
      <c r="BT44" s="240"/>
      <c r="BX44" s="190"/>
      <c r="BY44" s="190"/>
      <c r="BZ44" s="149"/>
      <c r="CA44" s="149"/>
      <c r="CB44" s="149"/>
      <c r="CC44" s="149"/>
    </row>
    <row r="45" spans="1:81" ht="13.5" thickBot="1">
      <c r="A45" s="261" t="s">
        <v>240</v>
      </c>
      <c r="B45" s="278">
        <f>'Design Converter'!L25</f>
        <v>150</v>
      </c>
      <c r="C45" s="250" t="s">
        <v>15</v>
      </c>
      <c r="D45" s="280">
        <f>B45/1000000000000</f>
        <v>1.5E-10</v>
      </c>
      <c r="E45" s="148" t="s">
        <v>326</v>
      </c>
      <c r="H45" s="147">
        <v>39</v>
      </c>
      <c r="I45" s="389">
        <f t="shared" si="2"/>
        <v>0.46799999999999997</v>
      </c>
      <c r="J45" s="188"/>
      <c r="K45" s="188"/>
      <c r="L45" s="188"/>
      <c r="M45" s="188"/>
      <c r="N45" s="236"/>
      <c r="O45" s="149"/>
      <c r="P45" s="188"/>
      <c r="Q45" s="379"/>
      <c r="S45" s="237"/>
      <c r="T45" s="237"/>
      <c r="U45" s="237"/>
      <c r="AJ45" s="379"/>
      <c r="AZ45" s="238"/>
      <c r="BJ45" s="190"/>
      <c r="BK45" s="190"/>
      <c r="BL45" s="190"/>
      <c r="BO45" s="149"/>
      <c r="BP45" s="190"/>
      <c r="BQ45" s="239"/>
      <c r="BR45" s="240"/>
      <c r="BS45" s="190"/>
      <c r="BT45" s="240"/>
      <c r="BX45" s="190"/>
      <c r="BY45" s="190"/>
      <c r="BZ45" s="149"/>
      <c r="CA45" s="149"/>
      <c r="CB45" s="149"/>
      <c r="CC45" s="149"/>
    </row>
    <row r="46" spans="1:81">
      <c r="A46" s="277" t="s">
        <v>325</v>
      </c>
      <c r="B46" s="278">
        <f>CHOOSE(MODE, 50, 100)</f>
        <v>50</v>
      </c>
      <c r="C46" s="250" t="s">
        <v>15</v>
      </c>
      <c r="D46" s="252">
        <f>B46/1000000000000</f>
        <v>5.0000000000000002E-11</v>
      </c>
      <c r="E46" s="148" t="s">
        <v>472</v>
      </c>
      <c r="H46" s="147">
        <v>40</v>
      </c>
      <c r="I46" s="389">
        <f t="shared" si="2"/>
        <v>0.48</v>
      </c>
      <c r="J46" s="188"/>
      <c r="K46" s="188"/>
      <c r="L46" s="188"/>
      <c r="M46" s="188"/>
      <c r="N46" s="236"/>
      <c r="O46" s="149"/>
      <c r="P46" s="188"/>
      <c r="Q46" s="379"/>
      <c r="S46" s="237"/>
      <c r="T46" s="237"/>
      <c r="U46" s="237"/>
      <c r="AJ46" s="379"/>
      <c r="AZ46" s="238"/>
      <c r="BJ46" s="190"/>
      <c r="BK46" s="190"/>
      <c r="BL46" s="190"/>
      <c r="BO46" s="149"/>
      <c r="BP46" s="190"/>
      <c r="BQ46" s="239"/>
      <c r="BR46" s="240"/>
      <c r="BS46" s="190"/>
      <c r="BT46" s="240"/>
      <c r="BX46" s="190"/>
      <c r="BY46" s="190"/>
      <c r="BZ46" s="149"/>
      <c r="CA46" s="149"/>
      <c r="CB46" s="149"/>
      <c r="CC46" s="149"/>
    </row>
    <row r="47" spans="1:81" ht="13.5" thickBot="1">
      <c r="A47" s="270" t="s">
        <v>397</v>
      </c>
      <c r="B47" s="281"/>
      <c r="C47" s="270" t="s">
        <v>33</v>
      </c>
      <c r="D47" s="270" t="s">
        <v>90</v>
      </c>
      <c r="E47" s="282" t="s">
        <v>41</v>
      </c>
      <c r="H47" s="147">
        <v>41</v>
      </c>
      <c r="I47" s="389">
        <f t="shared" si="2"/>
        <v>0.49199999999999994</v>
      </c>
      <c r="J47" s="188"/>
      <c r="K47" s="188"/>
      <c r="L47" s="188"/>
      <c r="M47" s="188"/>
      <c r="N47" s="236"/>
      <c r="O47" s="149"/>
      <c r="P47" s="188"/>
      <c r="Q47" s="379"/>
      <c r="S47" s="237"/>
      <c r="T47" s="237"/>
      <c r="U47" s="237"/>
      <c r="AJ47" s="379"/>
      <c r="AZ47" s="238"/>
      <c r="BJ47" s="190"/>
      <c r="BK47" s="190"/>
      <c r="BL47" s="190"/>
      <c r="BO47" s="149"/>
      <c r="BP47" s="190"/>
      <c r="BQ47" s="239"/>
      <c r="BR47" s="240"/>
      <c r="BS47" s="190"/>
      <c r="BT47" s="240"/>
      <c r="BX47" s="190"/>
      <c r="BY47" s="190"/>
      <c r="BZ47" s="149"/>
      <c r="CA47" s="149"/>
      <c r="CB47" s="149"/>
      <c r="CC47" s="149"/>
    </row>
    <row r="48" spans="1:81" ht="13.5" thickBot="1">
      <c r="A48" s="277" t="s">
        <v>644</v>
      </c>
      <c r="B48" s="278">
        <f>'Design Converter'!E80</f>
        <v>0.4</v>
      </c>
      <c r="C48" s="148" t="s">
        <v>0</v>
      </c>
      <c r="D48" s="148">
        <f>B48</f>
        <v>0.4</v>
      </c>
      <c r="E48" s="148" t="s">
        <v>643</v>
      </c>
      <c r="H48" s="147">
        <v>42</v>
      </c>
      <c r="I48" s="389">
        <f t="shared" si="2"/>
        <v>0.504</v>
      </c>
      <c r="J48" s="188"/>
      <c r="K48" s="188"/>
      <c r="L48" s="188"/>
      <c r="M48" s="188"/>
      <c r="N48" s="236"/>
      <c r="O48" s="149"/>
      <c r="P48" s="188"/>
      <c r="Q48" s="379"/>
      <c r="S48" s="237"/>
      <c r="T48" s="237"/>
      <c r="U48" s="237"/>
      <c r="AJ48" s="379"/>
      <c r="AZ48" s="238"/>
      <c r="BJ48" s="190"/>
      <c r="BK48" s="190"/>
      <c r="BL48" s="190"/>
      <c r="BO48" s="149"/>
      <c r="BP48" s="190"/>
      <c r="BQ48" s="239"/>
      <c r="BR48" s="240"/>
      <c r="BS48" s="190"/>
      <c r="BT48" s="240"/>
      <c r="BX48" s="190"/>
      <c r="BY48" s="190"/>
      <c r="BZ48" s="149"/>
      <c r="CA48" s="149"/>
      <c r="CB48" s="149"/>
      <c r="CC48" s="149"/>
    </row>
    <row r="49" spans="1:81" ht="13.5" thickBot="1">
      <c r="A49" s="277" t="s">
        <v>645</v>
      </c>
      <c r="B49" s="278">
        <f>'Design Converter'!E81</f>
        <v>0.7</v>
      </c>
      <c r="C49" s="148" t="s">
        <v>0</v>
      </c>
      <c r="D49" s="148">
        <f>B49</f>
        <v>0.7</v>
      </c>
      <c r="E49" s="148" t="s">
        <v>642</v>
      </c>
      <c r="H49" s="147">
        <v>43</v>
      </c>
      <c r="I49" s="389">
        <f t="shared" si="2"/>
        <v>0.51600000000000001</v>
      </c>
      <c r="J49" s="188"/>
      <c r="K49" s="188"/>
      <c r="L49" s="188"/>
      <c r="M49" s="188"/>
      <c r="N49" s="236"/>
      <c r="O49" s="149"/>
      <c r="P49" s="188"/>
      <c r="Q49" s="379"/>
      <c r="S49" s="237"/>
      <c r="T49" s="237"/>
      <c r="U49" s="237"/>
      <c r="AJ49" s="379"/>
      <c r="AZ49" s="238"/>
      <c r="BJ49" s="190"/>
      <c r="BK49" s="190"/>
      <c r="BL49" s="190"/>
      <c r="BO49" s="149"/>
      <c r="BP49" s="190"/>
      <c r="BQ49" s="239"/>
      <c r="BR49" s="240"/>
      <c r="BS49" s="190"/>
      <c r="BT49" s="240"/>
      <c r="BX49" s="190"/>
      <c r="BY49" s="190"/>
      <c r="BZ49" s="149"/>
      <c r="CA49" s="149"/>
      <c r="CB49" s="149"/>
      <c r="CC49" s="149"/>
    </row>
    <row r="50" spans="1:81" ht="13.5" thickBot="1">
      <c r="A50" s="277" t="s">
        <v>268</v>
      </c>
      <c r="B50" s="278">
        <v>100</v>
      </c>
      <c r="C50" s="244" t="s">
        <v>258</v>
      </c>
      <c r="D50" s="148">
        <f>B50*0.001</f>
        <v>0.1</v>
      </c>
      <c r="E50" s="148" t="s">
        <v>269</v>
      </c>
      <c r="H50" s="147">
        <v>44</v>
      </c>
      <c r="I50" s="389">
        <f t="shared" si="2"/>
        <v>0.52800000000000002</v>
      </c>
      <c r="J50" s="188"/>
      <c r="K50" s="188"/>
      <c r="L50" s="188"/>
      <c r="M50" s="188"/>
      <c r="N50" s="236"/>
      <c r="O50" s="149"/>
      <c r="P50" s="188"/>
      <c r="Q50" s="379"/>
      <c r="S50" s="237"/>
      <c r="T50" s="237"/>
      <c r="U50" s="237"/>
      <c r="AJ50" s="379"/>
      <c r="AZ50" s="238"/>
      <c r="BJ50" s="190"/>
      <c r="BK50" s="190"/>
      <c r="BL50" s="190"/>
      <c r="BO50" s="149"/>
      <c r="BP50" s="190"/>
      <c r="BQ50" s="239"/>
      <c r="BR50" s="240"/>
      <c r="BS50" s="190"/>
      <c r="BT50" s="240"/>
      <c r="BX50" s="190"/>
      <c r="BY50" s="190"/>
      <c r="BZ50" s="149"/>
      <c r="CA50" s="149"/>
      <c r="CB50" s="149"/>
      <c r="CC50" s="149"/>
    </row>
    <row r="51" spans="1:81" ht="13.5" thickBot="1">
      <c r="A51" s="261" t="s">
        <v>400</v>
      </c>
      <c r="B51" s="278">
        <v>2</v>
      </c>
      <c r="C51" s="250" t="s">
        <v>31</v>
      </c>
      <c r="D51" s="252">
        <f>B51*0.000000001</f>
        <v>2.0000000000000001E-9</v>
      </c>
      <c r="E51" s="148" t="s">
        <v>270</v>
      </c>
      <c r="H51" s="147">
        <v>45</v>
      </c>
      <c r="I51" s="389">
        <f t="shared" si="2"/>
        <v>0.54</v>
      </c>
      <c r="J51" s="188"/>
      <c r="K51" s="188"/>
      <c r="L51" s="188"/>
      <c r="M51" s="188"/>
      <c r="N51" s="236"/>
      <c r="O51" s="149"/>
      <c r="P51" s="188"/>
      <c r="Q51" s="379"/>
      <c r="S51" s="237"/>
      <c r="T51" s="237"/>
      <c r="U51" s="237"/>
      <c r="AJ51" s="379"/>
      <c r="AZ51" s="238"/>
      <c r="BJ51" s="190"/>
      <c r="BK51" s="190"/>
      <c r="BL51" s="190"/>
      <c r="BO51" s="149"/>
      <c r="BP51" s="190"/>
      <c r="BQ51" s="239"/>
      <c r="BR51" s="240"/>
      <c r="BS51" s="190"/>
      <c r="BT51" s="240"/>
      <c r="BX51" s="190"/>
      <c r="BY51" s="190"/>
      <c r="BZ51" s="149"/>
      <c r="CA51" s="149"/>
      <c r="CB51" s="149"/>
      <c r="CC51" s="149"/>
    </row>
    <row r="52" spans="1:81" ht="13.5" thickBot="1">
      <c r="A52" s="261" t="s">
        <v>401</v>
      </c>
      <c r="B52" s="278">
        <v>10</v>
      </c>
      <c r="C52" s="250" t="s">
        <v>32</v>
      </c>
      <c r="D52" s="252">
        <f>B52*0.000000001</f>
        <v>1E-8</v>
      </c>
      <c r="E52" s="148" t="s">
        <v>271</v>
      </c>
      <c r="H52" s="147">
        <v>46</v>
      </c>
      <c r="I52" s="389">
        <f t="shared" si="2"/>
        <v>0.55200000000000005</v>
      </c>
      <c r="J52" s="188"/>
      <c r="K52" s="188"/>
      <c r="L52" s="188"/>
      <c r="M52" s="188"/>
      <c r="N52" s="236"/>
      <c r="O52" s="149"/>
      <c r="P52" s="188"/>
      <c r="Q52" s="379"/>
      <c r="S52" s="237"/>
      <c r="T52" s="237"/>
      <c r="U52" s="237"/>
      <c r="AJ52" s="379"/>
      <c r="AZ52" s="238"/>
      <c r="BJ52" s="190"/>
      <c r="BK52" s="190"/>
      <c r="BL52" s="190"/>
      <c r="BO52" s="149"/>
      <c r="BP52" s="190"/>
      <c r="BQ52" s="239"/>
      <c r="BR52" s="240"/>
      <c r="BS52" s="190"/>
      <c r="BT52" s="240"/>
      <c r="BX52" s="190"/>
      <c r="BY52" s="190"/>
      <c r="BZ52" s="149"/>
      <c r="CA52" s="149"/>
      <c r="CB52" s="149"/>
      <c r="CC52" s="149"/>
    </row>
    <row r="53" spans="1:81">
      <c r="A53" s="277" t="s">
        <v>488</v>
      </c>
      <c r="B53" s="278">
        <v>0</v>
      </c>
      <c r="C53" s="148" t="s">
        <v>272</v>
      </c>
      <c r="D53" s="252">
        <f>B53/1000000</f>
        <v>0</v>
      </c>
      <c r="E53" s="148" t="s">
        <v>273</v>
      </c>
      <c r="H53" s="147">
        <v>47</v>
      </c>
      <c r="I53" s="389">
        <f t="shared" si="2"/>
        <v>0.56399999999999995</v>
      </c>
      <c r="J53" s="188"/>
      <c r="K53" s="188"/>
      <c r="L53" s="188"/>
      <c r="M53" s="188"/>
      <c r="N53" s="236"/>
      <c r="O53" s="149"/>
      <c r="P53" s="188"/>
      <c r="Q53" s="379"/>
      <c r="S53" s="237"/>
      <c r="T53" s="237"/>
      <c r="U53" s="237"/>
      <c r="AJ53" s="379"/>
      <c r="AZ53" s="238"/>
      <c r="BJ53" s="190"/>
      <c r="BK53" s="190"/>
      <c r="BL53" s="190"/>
      <c r="BO53" s="149"/>
      <c r="BP53" s="190"/>
      <c r="BQ53" s="239"/>
      <c r="BR53" s="240"/>
      <c r="BS53" s="190"/>
      <c r="BT53" s="240"/>
      <c r="BX53" s="190"/>
      <c r="BY53" s="190"/>
      <c r="BZ53" s="149"/>
      <c r="CA53" s="149"/>
      <c r="CB53" s="149"/>
      <c r="CC53" s="149"/>
    </row>
    <row r="54" spans="1:81">
      <c r="A54" s="147" t="s">
        <v>672</v>
      </c>
      <c r="B54" s="172">
        <f>'Design Converter'!E82</f>
        <v>52.8</v>
      </c>
      <c r="C54" s="543" t="s">
        <v>84</v>
      </c>
      <c r="D54" s="172">
        <f>B54</f>
        <v>52.8</v>
      </c>
      <c r="E54" s="147" t="s">
        <v>671</v>
      </c>
      <c r="H54" s="147">
        <v>48</v>
      </c>
      <c r="I54" s="389">
        <f t="shared" si="2"/>
        <v>0.57599999999999996</v>
      </c>
      <c r="J54" s="188"/>
      <c r="K54" s="188"/>
      <c r="L54" s="188"/>
      <c r="M54" s="188"/>
      <c r="N54" s="236"/>
      <c r="O54" s="149"/>
      <c r="P54" s="188"/>
      <c r="Q54" s="379"/>
      <c r="S54" s="237"/>
      <c r="T54" s="237"/>
      <c r="U54" s="237"/>
      <c r="AJ54" s="379"/>
      <c r="AZ54" s="238"/>
      <c r="BJ54" s="190"/>
      <c r="BK54" s="190"/>
      <c r="BL54" s="190"/>
      <c r="BO54" s="149"/>
      <c r="BP54" s="190"/>
      <c r="BQ54" s="239"/>
      <c r="BR54" s="240"/>
      <c r="BS54" s="190"/>
      <c r="BT54" s="240"/>
      <c r="BX54" s="190"/>
      <c r="BY54" s="190"/>
      <c r="BZ54" s="149"/>
      <c r="CA54" s="149"/>
      <c r="CB54" s="149"/>
      <c r="CC54" s="149"/>
    </row>
    <row r="55" spans="1:81">
      <c r="H55" s="147">
        <v>49</v>
      </c>
      <c r="I55" s="389">
        <f t="shared" si="2"/>
        <v>0.58799999999999997</v>
      </c>
      <c r="J55" s="188"/>
      <c r="K55" s="188"/>
      <c r="L55" s="188"/>
      <c r="M55" s="188"/>
      <c r="N55" s="236"/>
      <c r="O55" s="149"/>
      <c r="P55" s="188"/>
      <c r="Q55" s="379"/>
      <c r="S55" s="237"/>
      <c r="T55" s="237"/>
      <c r="U55" s="237"/>
      <c r="AJ55" s="379"/>
      <c r="AZ55" s="238"/>
      <c r="BJ55" s="190"/>
      <c r="BK55" s="190"/>
      <c r="BL55" s="190"/>
      <c r="BO55" s="149"/>
      <c r="BP55" s="190"/>
      <c r="BQ55" s="239"/>
      <c r="BR55" s="240"/>
      <c r="BS55" s="190"/>
      <c r="BT55" s="240"/>
      <c r="BX55" s="190"/>
      <c r="BY55" s="190"/>
      <c r="BZ55" s="149"/>
      <c r="CA55" s="149"/>
      <c r="CB55" s="149"/>
      <c r="CC55" s="149"/>
    </row>
    <row r="56" spans="1:81">
      <c r="H56" s="147">
        <v>50</v>
      </c>
      <c r="I56" s="389">
        <f t="shared" si="2"/>
        <v>0.6</v>
      </c>
      <c r="J56" s="188"/>
      <c r="K56" s="188"/>
      <c r="L56" s="188"/>
      <c r="M56" s="188"/>
      <c r="N56" s="236"/>
      <c r="O56" s="149"/>
      <c r="P56" s="188"/>
      <c r="Q56" s="379"/>
      <c r="S56" s="237"/>
      <c r="T56" s="237"/>
      <c r="U56" s="237"/>
      <c r="AJ56" s="379"/>
      <c r="AZ56" s="238"/>
      <c r="BJ56" s="190"/>
      <c r="BK56" s="190"/>
      <c r="BL56" s="190"/>
      <c r="BO56" s="149"/>
      <c r="BP56" s="190"/>
      <c r="BQ56" s="239"/>
      <c r="BR56" s="240"/>
      <c r="BS56" s="190"/>
      <c r="BT56" s="240"/>
      <c r="BX56" s="190"/>
      <c r="BY56" s="190"/>
      <c r="BZ56" s="149"/>
      <c r="CA56" s="149"/>
      <c r="CB56" s="149"/>
      <c r="CC56" s="149"/>
    </row>
    <row r="57" spans="1:81">
      <c r="H57" s="147">
        <v>51</v>
      </c>
      <c r="I57" s="389">
        <f t="shared" si="2"/>
        <v>0.61199999999999999</v>
      </c>
      <c r="J57" s="188"/>
      <c r="K57" s="188"/>
      <c r="L57" s="188"/>
      <c r="M57" s="188"/>
      <c r="N57" s="236"/>
      <c r="O57" s="149"/>
      <c r="P57" s="188"/>
      <c r="Q57" s="379"/>
      <c r="S57" s="237"/>
      <c r="T57" s="237"/>
      <c r="U57" s="237"/>
      <c r="AJ57" s="379"/>
      <c r="AZ57" s="238"/>
      <c r="BJ57" s="190"/>
      <c r="BK57" s="190"/>
      <c r="BL57" s="190"/>
      <c r="BO57" s="149"/>
      <c r="BP57" s="190"/>
      <c r="BQ57" s="239"/>
      <c r="BR57" s="240"/>
      <c r="BS57" s="190"/>
      <c r="BT57" s="240"/>
      <c r="BX57" s="190"/>
      <c r="BY57" s="190"/>
      <c r="BZ57" s="149"/>
      <c r="CA57" s="149"/>
      <c r="CB57" s="149"/>
      <c r="CC57" s="149"/>
    </row>
    <row r="58" spans="1:81">
      <c r="H58" s="147">
        <v>52</v>
      </c>
      <c r="I58" s="389">
        <f t="shared" si="2"/>
        <v>0.624</v>
      </c>
      <c r="J58" s="188"/>
      <c r="K58" s="188"/>
      <c r="L58" s="188"/>
      <c r="M58" s="188"/>
      <c r="N58" s="236"/>
      <c r="O58" s="149"/>
      <c r="P58" s="188"/>
      <c r="Q58" s="379"/>
      <c r="S58" s="237"/>
      <c r="T58" s="237"/>
      <c r="U58" s="237"/>
      <c r="AJ58" s="379"/>
      <c r="AZ58" s="238"/>
      <c r="BJ58" s="190"/>
      <c r="BK58" s="190"/>
      <c r="BL58" s="190"/>
      <c r="BO58" s="149"/>
      <c r="BP58" s="190"/>
      <c r="BQ58" s="239"/>
      <c r="BR58" s="240"/>
      <c r="BS58" s="190"/>
      <c r="BT58" s="240"/>
      <c r="BX58" s="190"/>
      <c r="BY58" s="190"/>
      <c r="BZ58" s="149"/>
      <c r="CA58" s="149"/>
      <c r="CB58" s="149"/>
      <c r="CC58" s="149"/>
    </row>
    <row r="59" spans="1:81">
      <c r="H59" s="147">
        <v>53</v>
      </c>
      <c r="I59" s="389">
        <f t="shared" si="2"/>
        <v>0.63600000000000001</v>
      </c>
      <c r="J59" s="188"/>
      <c r="K59" s="188"/>
      <c r="L59" s="188"/>
      <c r="M59" s="188"/>
      <c r="N59" s="236"/>
      <c r="O59" s="149"/>
      <c r="P59" s="188"/>
      <c r="Q59" s="379"/>
      <c r="S59" s="237"/>
      <c r="T59" s="237"/>
      <c r="U59" s="237"/>
      <c r="AJ59" s="379"/>
      <c r="AZ59" s="238"/>
      <c r="BJ59" s="190"/>
      <c r="BK59" s="190"/>
      <c r="BL59" s="190"/>
      <c r="BO59" s="149"/>
      <c r="BP59" s="190"/>
      <c r="BQ59" s="239"/>
      <c r="BR59" s="240"/>
      <c r="BS59" s="190"/>
      <c r="BT59" s="240"/>
      <c r="BX59" s="190"/>
      <c r="BY59" s="190"/>
      <c r="BZ59" s="149"/>
      <c r="CA59" s="149"/>
      <c r="CB59" s="149"/>
      <c r="CC59" s="149"/>
    </row>
    <row r="60" spans="1:81">
      <c r="H60" s="147">
        <v>54</v>
      </c>
      <c r="I60" s="389">
        <f t="shared" si="2"/>
        <v>0.64800000000000002</v>
      </c>
      <c r="J60" s="188"/>
      <c r="K60" s="188"/>
      <c r="L60" s="188"/>
      <c r="M60" s="188"/>
      <c r="N60" s="236"/>
      <c r="O60" s="149"/>
      <c r="P60" s="188"/>
      <c r="Q60" s="379"/>
      <c r="S60" s="237"/>
      <c r="T60" s="237"/>
      <c r="U60" s="237"/>
      <c r="AJ60" s="379"/>
      <c r="AZ60" s="238"/>
      <c r="BJ60" s="190"/>
      <c r="BK60" s="190"/>
      <c r="BL60" s="190"/>
      <c r="BO60" s="149"/>
      <c r="BP60" s="190"/>
      <c r="BQ60" s="239"/>
      <c r="BR60" s="240"/>
      <c r="BS60" s="190"/>
      <c r="BT60" s="240"/>
      <c r="BX60" s="190"/>
      <c r="BY60" s="190"/>
      <c r="BZ60" s="149"/>
      <c r="CA60" s="149"/>
      <c r="CB60" s="149"/>
      <c r="CC60" s="149"/>
    </row>
    <row r="61" spans="1:81">
      <c r="H61" s="147">
        <v>55</v>
      </c>
      <c r="I61" s="389">
        <f t="shared" si="2"/>
        <v>0.66</v>
      </c>
      <c r="J61" s="188"/>
      <c r="K61" s="188"/>
      <c r="L61" s="188"/>
      <c r="M61" s="188"/>
      <c r="N61" s="236"/>
      <c r="O61" s="149"/>
      <c r="P61" s="188"/>
      <c r="Q61" s="379"/>
      <c r="S61" s="237"/>
      <c r="T61" s="237"/>
      <c r="U61" s="237"/>
      <c r="AJ61" s="379"/>
      <c r="AZ61" s="238"/>
      <c r="BJ61" s="190"/>
      <c r="BK61" s="190"/>
      <c r="BL61" s="190"/>
      <c r="BO61" s="149"/>
      <c r="BP61" s="190"/>
      <c r="BQ61" s="239"/>
      <c r="BR61" s="240"/>
      <c r="BS61" s="190"/>
      <c r="BT61" s="240"/>
      <c r="BX61" s="190"/>
      <c r="BY61" s="190"/>
      <c r="BZ61" s="149"/>
      <c r="CA61" s="149"/>
      <c r="CB61" s="149"/>
      <c r="CC61" s="149"/>
    </row>
    <row r="62" spans="1:81">
      <c r="H62" s="147">
        <v>56</v>
      </c>
      <c r="I62" s="389">
        <f t="shared" si="2"/>
        <v>0.67200000000000004</v>
      </c>
      <c r="J62" s="188"/>
      <c r="K62" s="188"/>
      <c r="L62" s="188"/>
      <c r="M62" s="188"/>
      <c r="N62" s="236"/>
      <c r="O62" s="149"/>
      <c r="P62" s="188"/>
      <c r="Q62" s="379"/>
      <c r="S62" s="237"/>
      <c r="T62" s="237"/>
      <c r="U62" s="237"/>
      <c r="AJ62" s="379"/>
      <c r="AZ62" s="238"/>
      <c r="BJ62" s="190"/>
      <c r="BK62" s="190"/>
      <c r="BL62" s="190"/>
      <c r="BO62" s="149"/>
      <c r="BP62" s="190"/>
      <c r="BQ62" s="239"/>
      <c r="BR62" s="240"/>
      <c r="BS62" s="190"/>
      <c r="BT62" s="240"/>
      <c r="BX62" s="190"/>
      <c r="BY62" s="190"/>
      <c r="BZ62" s="149"/>
      <c r="CA62" s="149"/>
      <c r="CB62" s="149"/>
      <c r="CC62" s="149"/>
    </row>
    <row r="63" spans="1:81">
      <c r="F63" s="260" t="s">
        <v>274</v>
      </c>
      <c r="G63" s="260" t="s">
        <v>275</v>
      </c>
      <c r="H63" s="147">
        <v>57</v>
      </c>
      <c r="I63" s="389">
        <f t="shared" si="2"/>
        <v>0.68399999999999994</v>
      </c>
      <c r="J63" s="188"/>
      <c r="K63" s="188"/>
      <c r="L63" s="188"/>
      <c r="M63" s="188"/>
      <c r="N63" s="236"/>
      <c r="O63" s="149"/>
      <c r="P63" s="188"/>
      <c r="Q63" s="379"/>
      <c r="S63" s="237"/>
      <c r="T63" s="237"/>
      <c r="U63" s="237"/>
      <c r="AJ63" s="379"/>
      <c r="AZ63" s="238"/>
      <c r="BJ63" s="190"/>
      <c r="BK63" s="190"/>
      <c r="BL63" s="190"/>
      <c r="BO63" s="149"/>
      <c r="BP63" s="190"/>
      <c r="BQ63" s="239"/>
      <c r="BR63" s="240"/>
      <c r="BS63" s="190"/>
      <c r="BT63" s="240"/>
      <c r="BX63" s="190"/>
      <c r="BY63" s="190"/>
      <c r="BZ63" s="149"/>
      <c r="CA63" s="149"/>
      <c r="CB63" s="149"/>
      <c r="CC63" s="149"/>
    </row>
    <row r="64" spans="1:81">
      <c r="F64" s="283">
        <f>BM56</f>
        <v>0</v>
      </c>
      <c r="G64" s="284">
        <f>I56*1000</f>
        <v>600</v>
      </c>
      <c r="H64" s="147">
        <v>58</v>
      </c>
      <c r="I64" s="389">
        <f t="shared" si="2"/>
        <v>0.69599999999999995</v>
      </c>
      <c r="J64" s="188"/>
      <c r="K64" s="188"/>
      <c r="L64" s="188"/>
      <c r="M64" s="188"/>
      <c r="N64" s="236"/>
      <c r="O64" s="149"/>
      <c r="P64" s="188"/>
      <c r="Q64" s="379"/>
      <c r="S64" s="237"/>
      <c r="T64" s="237"/>
      <c r="U64" s="237"/>
      <c r="AJ64" s="379"/>
      <c r="AZ64" s="238"/>
      <c r="BJ64" s="190"/>
      <c r="BK64" s="190"/>
      <c r="BL64" s="190"/>
      <c r="BO64" s="149"/>
      <c r="BP64" s="190"/>
      <c r="BQ64" s="239"/>
      <c r="BR64" s="240"/>
      <c r="BS64" s="190"/>
      <c r="BT64" s="240"/>
      <c r="BX64" s="190"/>
      <c r="BY64" s="190"/>
      <c r="BZ64" s="149"/>
      <c r="CA64" s="149"/>
      <c r="CB64" s="149"/>
      <c r="CC64" s="149"/>
    </row>
    <row r="65" spans="6:81">
      <c r="F65" s="283">
        <f>BM81</f>
        <v>0</v>
      </c>
      <c r="G65" s="284">
        <f>I81*1000</f>
        <v>899.99999999999989</v>
      </c>
      <c r="H65" s="147">
        <v>59</v>
      </c>
      <c r="I65" s="389">
        <f t="shared" si="2"/>
        <v>0.70799999999999996</v>
      </c>
      <c r="J65" s="188"/>
      <c r="K65" s="188"/>
      <c r="L65" s="188"/>
      <c r="M65" s="188"/>
      <c r="N65" s="236"/>
      <c r="O65" s="149"/>
      <c r="P65" s="188"/>
      <c r="Q65" s="379"/>
      <c r="S65" s="237"/>
      <c r="T65" s="237"/>
      <c r="U65" s="237"/>
      <c r="AJ65" s="379"/>
      <c r="AZ65" s="238"/>
      <c r="BJ65" s="190"/>
      <c r="BK65" s="190"/>
      <c r="BL65" s="190"/>
      <c r="BO65" s="149"/>
      <c r="BP65" s="190"/>
      <c r="BQ65" s="239"/>
      <c r="BR65" s="240"/>
      <c r="BS65" s="190"/>
      <c r="BT65" s="240"/>
      <c r="BX65" s="190"/>
      <c r="BY65" s="190"/>
      <c r="BZ65" s="149"/>
      <c r="CA65" s="149"/>
      <c r="CB65" s="149"/>
      <c r="CC65" s="149"/>
    </row>
    <row r="66" spans="6:81">
      <c r="F66" s="283">
        <f>BM106</f>
        <v>100</v>
      </c>
      <c r="G66" s="284">
        <f>I106*1000</f>
        <v>1200</v>
      </c>
      <c r="H66" s="147">
        <v>60</v>
      </c>
      <c r="I66" s="389">
        <f t="shared" si="2"/>
        <v>0.72</v>
      </c>
      <c r="J66" s="188"/>
      <c r="K66" s="188"/>
      <c r="L66" s="188"/>
      <c r="M66" s="188"/>
      <c r="N66" s="236"/>
      <c r="O66" s="149"/>
      <c r="P66" s="188"/>
      <c r="Q66" s="379"/>
      <c r="S66" s="237"/>
      <c r="T66" s="237"/>
      <c r="U66" s="237"/>
      <c r="AJ66" s="379"/>
      <c r="AZ66" s="238"/>
      <c r="BJ66" s="190"/>
      <c r="BK66" s="190"/>
      <c r="BL66" s="190"/>
      <c r="BO66" s="149"/>
      <c r="BP66" s="190"/>
      <c r="BQ66" s="239"/>
      <c r="BR66" s="240"/>
      <c r="BS66" s="190"/>
      <c r="BT66" s="240"/>
      <c r="BX66" s="190"/>
      <c r="BY66" s="190"/>
      <c r="BZ66" s="149"/>
      <c r="CA66" s="149"/>
      <c r="CB66" s="149"/>
      <c r="CC66" s="149"/>
    </row>
    <row r="67" spans="6:81">
      <c r="H67" s="147">
        <v>61</v>
      </c>
      <c r="I67" s="389">
        <f t="shared" si="2"/>
        <v>0.73199999999999998</v>
      </c>
      <c r="J67" s="188"/>
      <c r="K67" s="188"/>
      <c r="L67" s="188"/>
      <c r="M67" s="188"/>
      <c r="N67" s="236"/>
      <c r="O67" s="149"/>
      <c r="P67" s="188"/>
      <c r="Q67" s="379"/>
      <c r="S67" s="237"/>
      <c r="T67" s="237"/>
      <c r="U67" s="237"/>
      <c r="AJ67" s="379"/>
      <c r="AZ67" s="238"/>
      <c r="BJ67" s="190"/>
      <c r="BK67" s="190"/>
      <c r="BL67" s="190"/>
      <c r="BO67" s="149"/>
      <c r="BP67" s="190"/>
      <c r="BQ67" s="239"/>
      <c r="BR67" s="240"/>
      <c r="BS67" s="190"/>
      <c r="BT67" s="240"/>
      <c r="BX67" s="190"/>
      <c r="BY67" s="190"/>
      <c r="BZ67" s="149"/>
      <c r="CA67" s="149"/>
      <c r="CB67" s="149"/>
      <c r="CC67" s="149"/>
    </row>
    <row r="68" spans="6:81">
      <c r="H68" s="147">
        <v>62</v>
      </c>
      <c r="I68" s="389">
        <f t="shared" si="2"/>
        <v>0.74399999999999999</v>
      </c>
      <c r="J68" s="188"/>
      <c r="K68" s="188"/>
      <c r="L68" s="188"/>
      <c r="M68" s="188"/>
      <c r="N68" s="236"/>
      <c r="O68" s="149"/>
      <c r="P68" s="188"/>
      <c r="Q68" s="379"/>
      <c r="S68" s="237"/>
      <c r="T68" s="237"/>
      <c r="U68" s="237"/>
      <c r="AJ68" s="379"/>
      <c r="AZ68" s="238"/>
      <c r="BJ68" s="190"/>
      <c r="BK68" s="190"/>
      <c r="BL68" s="190"/>
      <c r="BO68" s="149"/>
      <c r="BP68" s="190"/>
      <c r="BQ68" s="239"/>
      <c r="BR68" s="240"/>
      <c r="BS68" s="190"/>
      <c r="BT68" s="240"/>
      <c r="BX68" s="190"/>
      <c r="BY68" s="190"/>
      <c r="BZ68" s="149"/>
      <c r="CA68" s="149"/>
      <c r="CB68" s="149"/>
      <c r="CC68" s="149"/>
    </row>
    <row r="69" spans="6:81">
      <c r="H69" s="147">
        <v>63</v>
      </c>
      <c r="I69" s="389">
        <f t="shared" si="2"/>
        <v>0.75600000000000001</v>
      </c>
      <c r="J69" s="188"/>
      <c r="K69" s="188"/>
      <c r="L69" s="188"/>
      <c r="M69" s="188"/>
      <c r="N69" s="236"/>
      <c r="O69" s="149"/>
      <c r="P69" s="188"/>
      <c r="Q69" s="379"/>
      <c r="S69" s="237"/>
      <c r="T69" s="237"/>
      <c r="U69" s="237"/>
      <c r="AJ69" s="379"/>
      <c r="AZ69" s="238"/>
      <c r="BJ69" s="190"/>
      <c r="BK69" s="190"/>
      <c r="BL69" s="190"/>
      <c r="BO69" s="149"/>
      <c r="BP69" s="190"/>
      <c r="BQ69" s="239"/>
      <c r="BR69" s="240"/>
      <c r="BS69" s="190"/>
      <c r="BT69" s="240"/>
      <c r="BX69" s="190"/>
      <c r="BY69" s="190"/>
      <c r="BZ69" s="149"/>
      <c r="CA69" s="149"/>
      <c r="CB69" s="149"/>
      <c r="CC69" s="149"/>
    </row>
    <row r="70" spans="6:81">
      <c r="H70" s="147">
        <v>64</v>
      </c>
      <c r="I70" s="389">
        <f t="shared" ref="I70:I101" si="3">IF(PLOT_TYPE=1, H70/100*Iout_max, min_I*EXP(H70*rr/100))</f>
        <v>0.76800000000000002</v>
      </c>
      <c r="J70" s="188"/>
      <c r="K70" s="188"/>
      <c r="L70" s="188"/>
      <c r="M70" s="188"/>
      <c r="N70" s="236"/>
      <c r="O70" s="149"/>
      <c r="P70" s="188"/>
      <c r="Q70" s="379"/>
      <c r="S70" s="237"/>
      <c r="T70" s="237"/>
      <c r="U70" s="237"/>
      <c r="AJ70" s="379"/>
      <c r="AZ70" s="238"/>
      <c r="BJ70" s="190"/>
      <c r="BK70" s="190"/>
      <c r="BL70" s="190"/>
      <c r="BO70" s="149"/>
      <c r="BP70" s="190"/>
      <c r="BQ70" s="239"/>
      <c r="BR70" s="240"/>
      <c r="BS70" s="190"/>
      <c r="BT70" s="240"/>
      <c r="BX70" s="190"/>
      <c r="BY70" s="190"/>
      <c r="BZ70" s="149"/>
      <c r="CA70" s="149"/>
      <c r="CB70" s="149"/>
      <c r="CC70" s="149"/>
    </row>
    <row r="71" spans="6:81">
      <c r="H71" s="147">
        <v>65</v>
      </c>
      <c r="I71" s="389">
        <f t="shared" si="3"/>
        <v>0.78</v>
      </c>
      <c r="J71" s="188"/>
      <c r="K71" s="188"/>
      <c r="L71" s="188"/>
      <c r="M71" s="188"/>
      <c r="N71" s="236"/>
      <c r="O71" s="149"/>
      <c r="P71" s="188"/>
      <c r="Q71" s="379"/>
      <c r="S71" s="237"/>
      <c r="T71" s="237"/>
      <c r="U71" s="237"/>
      <c r="AJ71" s="379"/>
      <c r="AZ71" s="238"/>
      <c r="BJ71" s="190"/>
      <c r="BK71" s="190"/>
      <c r="BL71" s="190"/>
      <c r="BO71" s="149"/>
      <c r="BP71" s="190"/>
      <c r="BQ71" s="239"/>
      <c r="BR71" s="240"/>
      <c r="BS71" s="190"/>
      <c r="BT71" s="240"/>
      <c r="BX71" s="190"/>
      <c r="BY71" s="190"/>
      <c r="BZ71" s="149"/>
      <c r="CA71" s="149"/>
      <c r="CB71" s="149"/>
      <c r="CC71" s="149"/>
    </row>
    <row r="72" spans="6:81">
      <c r="H72" s="147">
        <v>66</v>
      </c>
      <c r="I72" s="389">
        <f t="shared" si="3"/>
        <v>0.79200000000000004</v>
      </c>
      <c r="J72" s="188"/>
      <c r="K72" s="188"/>
      <c r="L72" s="188"/>
      <c r="M72" s="188"/>
      <c r="N72" s="236"/>
      <c r="O72" s="149"/>
      <c r="P72" s="188"/>
      <c r="Q72" s="379"/>
      <c r="S72" s="237"/>
      <c r="T72" s="237"/>
      <c r="U72" s="237"/>
      <c r="AJ72" s="379"/>
      <c r="AZ72" s="238"/>
      <c r="BJ72" s="190"/>
      <c r="BK72" s="190"/>
      <c r="BL72" s="190"/>
      <c r="BO72" s="149"/>
      <c r="BP72" s="190"/>
      <c r="BQ72" s="239"/>
      <c r="BR72" s="240"/>
      <c r="BS72" s="190"/>
      <c r="BT72" s="240"/>
      <c r="BX72" s="190"/>
      <c r="BY72" s="190"/>
      <c r="BZ72" s="149"/>
      <c r="CA72" s="149"/>
      <c r="CB72" s="149"/>
      <c r="CC72" s="149"/>
    </row>
    <row r="73" spans="6:81">
      <c r="H73" s="147">
        <v>67</v>
      </c>
      <c r="I73" s="389">
        <f t="shared" si="3"/>
        <v>0.80400000000000005</v>
      </c>
      <c r="J73" s="188"/>
      <c r="K73" s="188"/>
      <c r="L73" s="188"/>
      <c r="M73" s="188"/>
      <c r="N73" s="236"/>
      <c r="O73" s="149"/>
      <c r="P73" s="188"/>
      <c r="Q73" s="379"/>
      <c r="S73" s="237"/>
      <c r="T73" s="237"/>
      <c r="U73" s="237"/>
      <c r="AJ73" s="379"/>
      <c r="AZ73" s="238"/>
      <c r="BJ73" s="190"/>
      <c r="BK73" s="190"/>
      <c r="BL73" s="190"/>
      <c r="BO73" s="149"/>
      <c r="BP73" s="190"/>
      <c r="BQ73" s="239"/>
      <c r="BR73" s="240"/>
      <c r="BS73" s="190"/>
      <c r="BT73" s="240"/>
      <c r="BX73" s="190"/>
      <c r="BY73" s="190"/>
      <c r="BZ73" s="149"/>
      <c r="CA73" s="149"/>
      <c r="CB73" s="149"/>
      <c r="CC73" s="149"/>
    </row>
    <row r="74" spans="6:81">
      <c r="H74" s="147">
        <v>68</v>
      </c>
      <c r="I74" s="389">
        <f t="shared" si="3"/>
        <v>0.81600000000000006</v>
      </c>
      <c r="J74" s="188"/>
      <c r="K74" s="188"/>
      <c r="L74" s="188"/>
      <c r="M74" s="188"/>
      <c r="N74" s="236"/>
      <c r="O74" s="149"/>
      <c r="P74" s="188"/>
      <c r="Q74" s="379"/>
      <c r="S74" s="237"/>
      <c r="T74" s="237"/>
      <c r="U74" s="237"/>
      <c r="AJ74" s="379"/>
      <c r="AZ74" s="238"/>
      <c r="BJ74" s="190"/>
      <c r="BK74" s="190"/>
      <c r="BL74" s="190"/>
      <c r="BO74" s="149"/>
      <c r="BP74" s="190"/>
      <c r="BQ74" s="239"/>
      <c r="BR74" s="240"/>
      <c r="BS74" s="190"/>
      <c r="BT74" s="240"/>
      <c r="BX74" s="190"/>
      <c r="BY74" s="190"/>
      <c r="BZ74" s="149"/>
      <c r="CA74" s="149"/>
      <c r="CB74" s="149"/>
      <c r="CC74" s="149"/>
    </row>
    <row r="75" spans="6:81">
      <c r="H75" s="147">
        <v>69</v>
      </c>
      <c r="I75" s="389">
        <f t="shared" si="3"/>
        <v>0.82799999999999996</v>
      </c>
      <c r="J75" s="188"/>
      <c r="K75" s="188"/>
      <c r="L75" s="188"/>
      <c r="M75" s="188"/>
      <c r="N75" s="236"/>
      <c r="O75" s="149"/>
      <c r="P75" s="188"/>
      <c r="Q75" s="379"/>
      <c r="S75" s="237"/>
      <c r="T75" s="237"/>
      <c r="U75" s="237"/>
      <c r="AJ75" s="379"/>
      <c r="AZ75" s="238"/>
      <c r="BJ75" s="190"/>
      <c r="BK75" s="190"/>
      <c r="BL75" s="190"/>
      <c r="BO75" s="149"/>
      <c r="BP75" s="190"/>
      <c r="BQ75" s="239"/>
      <c r="BR75" s="240"/>
      <c r="BS75" s="190"/>
      <c r="BT75" s="240"/>
      <c r="BX75" s="190"/>
      <c r="BY75" s="190"/>
      <c r="BZ75" s="149"/>
      <c r="CA75" s="149"/>
      <c r="CB75" s="149"/>
      <c r="CC75" s="149"/>
    </row>
    <row r="76" spans="6:81">
      <c r="H76" s="147">
        <v>70</v>
      </c>
      <c r="I76" s="389">
        <f t="shared" si="3"/>
        <v>0.84</v>
      </c>
      <c r="J76" s="188"/>
      <c r="K76" s="188"/>
      <c r="L76" s="188"/>
      <c r="M76" s="188"/>
      <c r="N76" s="236"/>
      <c r="O76" s="149"/>
      <c r="P76" s="188"/>
      <c r="Q76" s="379"/>
      <c r="S76" s="237"/>
      <c r="T76" s="237"/>
      <c r="U76" s="237"/>
      <c r="AJ76" s="379"/>
      <c r="AZ76" s="238"/>
      <c r="BJ76" s="190"/>
      <c r="BK76" s="190"/>
      <c r="BL76" s="190"/>
      <c r="BO76" s="149"/>
      <c r="BP76" s="190"/>
      <c r="BQ76" s="239"/>
      <c r="BR76" s="240"/>
      <c r="BS76" s="190"/>
      <c r="BT76" s="240"/>
      <c r="BX76" s="190"/>
      <c r="BY76" s="190"/>
      <c r="BZ76" s="149"/>
      <c r="CA76" s="149"/>
      <c r="CB76" s="149"/>
      <c r="CC76" s="149"/>
    </row>
    <row r="77" spans="6:81">
      <c r="H77" s="147">
        <v>71</v>
      </c>
      <c r="I77" s="389">
        <f t="shared" si="3"/>
        <v>0.85199999999999998</v>
      </c>
      <c r="J77" s="188"/>
      <c r="K77" s="188"/>
      <c r="L77" s="188"/>
      <c r="M77" s="188"/>
      <c r="N77" s="236"/>
      <c r="O77" s="149"/>
      <c r="P77" s="188"/>
      <c r="Q77" s="379"/>
      <c r="S77" s="237"/>
      <c r="T77" s="237"/>
      <c r="U77" s="237"/>
      <c r="AJ77" s="379"/>
      <c r="AZ77" s="238"/>
      <c r="BJ77" s="190"/>
      <c r="BK77" s="190"/>
      <c r="BL77" s="190"/>
      <c r="BO77" s="149"/>
      <c r="BP77" s="190"/>
      <c r="BQ77" s="239"/>
      <c r="BR77" s="240"/>
      <c r="BS77" s="190"/>
      <c r="BT77" s="240"/>
      <c r="BX77" s="190"/>
      <c r="BY77" s="190"/>
      <c r="BZ77" s="149"/>
      <c r="CA77" s="149"/>
      <c r="CB77" s="149"/>
      <c r="CC77" s="149"/>
    </row>
    <row r="78" spans="6:81">
      <c r="H78" s="147">
        <v>72</v>
      </c>
      <c r="I78" s="389">
        <f t="shared" si="3"/>
        <v>0.86399999999999999</v>
      </c>
      <c r="J78" s="188"/>
      <c r="K78" s="188"/>
      <c r="L78" s="188"/>
      <c r="M78" s="188"/>
      <c r="N78" s="236"/>
      <c r="O78" s="149"/>
      <c r="P78" s="188"/>
      <c r="Q78" s="379"/>
      <c r="S78" s="237"/>
      <c r="T78" s="237"/>
      <c r="U78" s="237"/>
      <c r="AJ78" s="379"/>
      <c r="AZ78" s="238"/>
      <c r="BJ78" s="190"/>
      <c r="BK78" s="190"/>
      <c r="BL78" s="190"/>
      <c r="BO78" s="149"/>
      <c r="BP78" s="190"/>
      <c r="BQ78" s="239"/>
      <c r="BR78" s="240"/>
      <c r="BS78" s="190"/>
      <c r="BT78" s="240"/>
      <c r="BX78" s="190"/>
      <c r="BY78" s="190"/>
      <c r="BZ78" s="149"/>
      <c r="CA78" s="149"/>
      <c r="CB78" s="149"/>
      <c r="CC78" s="149"/>
    </row>
    <row r="79" spans="6:81">
      <c r="H79" s="147">
        <v>73</v>
      </c>
      <c r="I79" s="389">
        <f t="shared" si="3"/>
        <v>0.876</v>
      </c>
      <c r="J79" s="188"/>
      <c r="K79" s="188"/>
      <c r="L79" s="188"/>
      <c r="M79" s="188"/>
      <c r="N79" s="236"/>
      <c r="O79" s="149"/>
      <c r="P79" s="188"/>
      <c r="Q79" s="379"/>
      <c r="S79" s="237"/>
      <c r="T79" s="237"/>
      <c r="U79" s="237"/>
      <c r="AJ79" s="379"/>
      <c r="AZ79" s="238"/>
      <c r="BJ79" s="190"/>
      <c r="BK79" s="190"/>
      <c r="BL79" s="190"/>
      <c r="BO79" s="149"/>
      <c r="BP79" s="190"/>
      <c r="BQ79" s="239"/>
      <c r="BR79" s="240"/>
      <c r="BS79" s="190"/>
      <c r="BT79" s="240"/>
      <c r="BX79" s="190"/>
      <c r="BY79" s="190"/>
      <c r="BZ79" s="149"/>
      <c r="CA79" s="149"/>
      <c r="CB79" s="149"/>
      <c r="CC79" s="149"/>
    </row>
    <row r="80" spans="6:81">
      <c r="H80" s="147">
        <v>74</v>
      </c>
      <c r="I80" s="389">
        <f t="shared" si="3"/>
        <v>0.88800000000000001</v>
      </c>
      <c r="J80" s="188"/>
      <c r="K80" s="188"/>
      <c r="L80" s="188"/>
      <c r="M80" s="188"/>
      <c r="N80" s="236"/>
      <c r="O80" s="149"/>
      <c r="P80" s="188"/>
      <c r="Q80" s="379"/>
      <c r="S80" s="237"/>
      <c r="T80" s="237"/>
      <c r="U80" s="237"/>
      <c r="AJ80" s="379"/>
      <c r="AZ80" s="238"/>
      <c r="BJ80" s="190"/>
      <c r="BK80" s="190"/>
      <c r="BL80" s="190"/>
      <c r="BO80" s="149"/>
      <c r="BP80" s="190"/>
      <c r="BQ80" s="239"/>
      <c r="BR80" s="240"/>
      <c r="BS80" s="190"/>
      <c r="BT80" s="240"/>
      <c r="BX80" s="190"/>
      <c r="BY80" s="190"/>
      <c r="BZ80" s="149"/>
      <c r="CA80" s="149"/>
      <c r="CB80" s="149"/>
      <c r="CC80" s="149"/>
    </row>
    <row r="81" spans="6:81">
      <c r="H81" s="147">
        <v>75</v>
      </c>
      <c r="I81" s="389">
        <f t="shared" si="3"/>
        <v>0.89999999999999991</v>
      </c>
      <c r="J81" s="188"/>
      <c r="K81" s="188"/>
      <c r="L81" s="188"/>
      <c r="M81" s="188"/>
      <c r="N81" s="236"/>
      <c r="O81" s="149"/>
      <c r="P81" s="188"/>
      <c r="Q81" s="379"/>
      <c r="S81" s="237"/>
      <c r="T81" s="237"/>
      <c r="U81" s="237"/>
      <c r="AJ81" s="379"/>
      <c r="AZ81" s="238"/>
      <c r="BJ81" s="190"/>
      <c r="BK81" s="190"/>
      <c r="BL81" s="190"/>
      <c r="BO81" s="149"/>
      <c r="BP81" s="190"/>
      <c r="BQ81" s="239"/>
      <c r="BR81" s="240"/>
      <c r="BS81" s="190"/>
      <c r="BT81" s="240"/>
      <c r="BX81" s="190"/>
      <c r="BY81" s="190"/>
      <c r="BZ81" s="149"/>
      <c r="CA81" s="149"/>
      <c r="CB81" s="149"/>
      <c r="CC81" s="149"/>
    </row>
    <row r="82" spans="6:81">
      <c r="H82" s="147">
        <v>76</v>
      </c>
      <c r="I82" s="389">
        <f t="shared" si="3"/>
        <v>0.91199999999999992</v>
      </c>
      <c r="J82" s="188"/>
      <c r="K82" s="188"/>
      <c r="L82" s="188"/>
      <c r="M82" s="188"/>
      <c r="N82" s="236"/>
      <c r="O82" s="149"/>
      <c r="P82" s="188"/>
      <c r="Q82" s="379"/>
      <c r="S82" s="237"/>
      <c r="T82" s="237"/>
      <c r="U82" s="237"/>
      <c r="AJ82" s="379"/>
      <c r="AZ82" s="238"/>
      <c r="BJ82" s="190"/>
      <c r="BK82" s="190"/>
      <c r="BL82" s="190"/>
      <c r="BO82" s="149"/>
      <c r="BP82" s="190"/>
      <c r="BQ82" s="239"/>
      <c r="BR82" s="240"/>
      <c r="BS82" s="190"/>
      <c r="BT82" s="240"/>
      <c r="BX82" s="190"/>
      <c r="BY82" s="190"/>
      <c r="BZ82" s="149"/>
      <c r="CA82" s="149"/>
      <c r="CB82" s="149"/>
      <c r="CC82" s="149"/>
    </row>
    <row r="83" spans="6:81">
      <c r="H83" s="147">
        <v>77</v>
      </c>
      <c r="I83" s="389">
        <f t="shared" si="3"/>
        <v>0.92399999999999993</v>
      </c>
      <c r="J83" s="188"/>
      <c r="K83" s="188"/>
      <c r="L83" s="188"/>
      <c r="M83" s="188"/>
      <c r="N83" s="236"/>
      <c r="O83" s="149"/>
      <c r="P83" s="188"/>
      <c r="Q83" s="379"/>
      <c r="S83" s="237"/>
      <c r="T83" s="237"/>
      <c r="U83" s="237"/>
      <c r="AJ83" s="379"/>
      <c r="AZ83" s="238"/>
      <c r="BJ83" s="190"/>
      <c r="BK83" s="190"/>
      <c r="BL83" s="190"/>
      <c r="BO83" s="149"/>
      <c r="BP83" s="190"/>
      <c r="BQ83" s="239"/>
      <c r="BR83" s="240"/>
      <c r="BS83" s="190"/>
      <c r="BT83" s="240"/>
      <c r="BX83" s="190"/>
      <c r="BY83" s="190"/>
      <c r="BZ83" s="149"/>
      <c r="CA83" s="149"/>
      <c r="CB83" s="149"/>
      <c r="CC83" s="149"/>
    </row>
    <row r="84" spans="6:81">
      <c r="H84" s="147">
        <v>78</v>
      </c>
      <c r="I84" s="389">
        <f t="shared" si="3"/>
        <v>0.93599999999999994</v>
      </c>
      <c r="J84" s="188"/>
      <c r="K84" s="188"/>
      <c r="L84" s="188"/>
      <c r="M84" s="188"/>
      <c r="N84" s="236"/>
      <c r="O84" s="149"/>
      <c r="P84" s="188"/>
      <c r="Q84" s="379"/>
      <c r="S84" s="237"/>
      <c r="T84" s="237"/>
      <c r="U84" s="237"/>
      <c r="AJ84" s="379"/>
      <c r="AZ84" s="238"/>
      <c r="BJ84" s="190"/>
      <c r="BK84" s="190"/>
      <c r="BL84" s="190"/>
      <c r="BO84" s="149"/>
      <c r="BP84" s="190"/>
      <c r="BQ84" s="239"/>
      <c r="BR84" s="240"/>
      <c r="BS84" s="190"/>
      <c r="BT84" s="240"/>
      <c r="BX84" s="190"/>
      <c r="BY84" s="190"/>
      <c r="BZ84" s="149"/>
      <c r="CA84" s="149"/>
      <c r="CB84" s="149"/>
      <c r="CC84" s="149"/>
    </row>
    <row r="85" spans="6:81">
      <c r="H85" s="147">
        <v>79</v>
      </c>
      <c r="I85" s="389">
        <f t="shared" si="3"/>
        <v>0.94799999999999995</v>
      </c>
      <c r="J85" s="188"/>
      <c r="K85" s="188"/>
      <c r="L85" s="188"/>
      <c r="M85" s="188"/>
      <c r="N85" s="236"/>
      <c r="O85" s="149"/>
      <c r="P85" s="188"/>
      <c r="Q85" s="379"/>
      <c r="S85" s="237"/>
      <c r="T85" s="237"/>
      <c r="U85" s="237"/>
      <c r="AJ85" s="379"/>
      <c r="AZ85" s="238"/>
      <c r="BJ85" s="190"/>
      <c r="BK85" s="190"/>
      <c r="BL85" s="190"/>
      <c r="BO85" s="149"/>
      <c r="BP85" s="190"/>
      <c r="BQ85" s="239"/>
      <c r="BR85" s="240"/>
      <c r="BS85" s="190"/>
      <c r="BT85" s="240"/>
      <c r="BX85" s="190"/>
      <c r="BY85" s="190"/>
      <c r="BZ85" s="149"/>
      <c r="CA85" s="149"/>
      <c r="CB85" s="149"/>
      <c r="CC85" s="149"/>
    </row>
    <row r="86" spans="6:81">
      <c r="H86" s="147">
        <v>80</v>
      </c>
      <c r="I86" s="389">
        <f t="shared" si="3"/>
        <v>0.96</v>
      </c>
      <c r="J86" s="188"/>
      <c r="K86" s="188"/>
      <c r="L86" s="188"/>
      <c r="M86" s="188"/>
      <c r="N86" s="236"/>
      <c r="O86" s="149"/>
      <c r="P86" s="188"/>
      <c r="Q86" s="379"/>
      <c r="S86" s="237"/>
      <c r="T86" s="237"/>
      <c r="U86" s="237"/>
      <c r="AJ86" s="379"/>
      <c r="AZ86" s="238"/>
      <c r="BJ86" s="190"/>
      <c r="BK86" s="190"/>
      <c r="BL86" s="190"/>
      <c r="BO86" s="149"/>
      <c r="BP86" s="190"/>
      <c r="BQ86" s="239"/>
      <c r="BR86" s="240"/>
      <c r="BS86" s="190"/>
      <c r="BT86" s="240"/>
      <c r="BX86" s="190"/>
      <c r="BY86" s="190"/>
      <c r="BZ86" s="149"/>
      <c r="CA86" s="149"/>
      <c r="CB86" s="149"/>
      <c r="CC86" s="149"/>
    </row>
    <row r="87" spans="6:81">
      <c r="H87" s="147">
        <v>81</v>
      </c>
      <c r="I87" s="389">
        <f t="shared" si="3"/>
        <v>0.97199999999999998</v>
      </c>
      <c r="J87" s="188"/>
      <c r="K87" s="188"/>
      <c r="L87" s="188"/>
      <c r="M87" s="188"/>
      <c r="N87" s="236"/>
      <c r="O87" s="149"/>
      <c r="P87" s="188"/>
      <c r="Q87" s="379"/>
      <c r="S87" s="237"/>
      <c r="T87" s="237"/>
      <c r="U87" s="237"/>
      <c r="AJ87" s="379"/>
      <c r="AZ87" s="238"/>
      <c r="BJ87" s="190"/>
      <c r="BK87" s="190"/>
      <c r="BL87" s="190"/>
      <c r="BO87" s="149"/>
      <c r="BP87" s="190"/>
      <c r="BQ87" s="239"/>
      <c r="BR87" s="240"/>
      <c r="BS87" s="190"/>
      <c r="BT87" s="240"/>
      <c r="BX87" s="190"/>
      <c r="BY87" s="190"/>
      <c r="BZ87" s="149"/>
      <c r="CA87" s="149"/>
      <c r="CB87" s="149"/>
      <c r="CC87" s="149"/>
    </row>
    <row r="88" spans="6:81">
      <c r="F88" s="260" t="s">
        <v>274</v>
      </c>
      <c r="G88" s="260" t="s">
        <v>275</v>
      </c>
      <c r="H88" s="147">
        <v>82</v>
      </c>
      <c r="I88" s="389">
        <f t="shared" si="3"/>
        <v>0.98399999999999987</v>
      </c>
      <c r="J88" s="188"/>
      <c r="K88" s="188"/>
      <c r="L88" s="188"/>
      <c r="M88" s="188"/>
      <c r="N88" s="236"/>
      <c r="O88" s="149"/>
      <c r="P88" s="188"/>
      <c r="Q88" s="379"/>
      <c r="S88" s="237"/>
      <c r="T88" s="237"/>
      <c r="U88" s="237"/>
      <c r="AJ88" s="379"/>
      <c r="AZ88" s="238"/>
      <c r="BJ88" s="190"/>
      <c r="BK88" s="190"/>
      <c r="BL88" s="190"/>
      <c r="BO88" s="149"/>
      <c r="BP88" s="190"/>
      <c r="BQ88" s="239"/>
      <c r="BR88" s="240"/>
      <c r="BS88" s="190"/>
      <c r="BT88" s="240"/>
      <c r="BX88" s="190"/>
      <c r="BY88" s="190"/>
      <c r="BZ88" s="149"/>
      <c r="CA88" s="149"/>
      <c r="CB88" s="149"/>
      <c r="CC88" s="149"/>
    </row>
    <row r="89" spans="6:81">
      <c r="F89" s="283">
        <f>BO51</f>
        <v>0</v>
      </c>
      <c r="G89" s="284">
        <f>I56*1000</f>
        <v>600</v>
      </c>
      <c r="H89" s="147">
        <v>83</v>
      </c>
      <c r="I89" s="389">
        <f t="shared" si="3"/>
        <v>0.99599999999999989</v>
      </c>
      <c r="J89" s="188"/>
      <c r="K89" s="188"/>
      <c r="L89" s="188"/>
      <c r="M89" s="188"/>
      <c r="N89" s="236"/>
      <c r="O89" s="149"/>
      <c r="P89" s="188"/>
      <c r="Q89" s="379"/>
      <c r="S89" s="237"/>
      <c r="T89" s="237"/>
      <c r="U89" s="237"/>
      <c r="AJ89" s="379"/>
      <c r="AZ89" s="238"/>
      <c r="BJ89" s="190"/>
      <c r="BK89" s="190"/>
      <c r="BL89" s="190"/>
      <c r="BO89" s="149"/>
      <c r="BP89" s="190"/>
      <c r="BQ89" s="239"/>
      <c r="BR89" s="240"/>
      <c r="BS89" s="190"/>
      <c r="BT89" s="240"/>
      <c r="BX89" s="190"/>
      <c r="BY89" s="190"/>
      <c r="BZ89" s="149"/>
      <c r="CA89" s="149"/>
      <c r="CB89" s="149"/>
      <c r="CC89" s="149"/>
    </row>
    <row r="90" spans="6:81">
      <c r="F90" s="283">
        <f>BO81</f>
        <v>0</v>
      </c>
      <c r="G90" s="284">
        <f>I81*1000</f>
        <v>899.99999999999989</v>
      </c>
      <c r="H90" s="147">
        <v>84</v>
      </c>
      <c r="I90" s="389">
        <f t="shared" si="3"/>
        <v>1.008</v>
      </c>
      <c r="J90" s="188"/>
      <c r="K90" s="188"/>
      <c r="L90" s="188"/>
      <c r="M90" s="188"/>
      <c r="N90" s="236"/>
      <c r="O90" s="149"/>
      <c r="P90" s="188"/>
      <c r="Q90" s="379"/>
      <c r="S90" s="237"/>
      <c r="T90" s="237"/>
      <c r="U90" s="237"/>
      <c r="AJ90" s="379"/>
      <c r="AZ90" s="238"/>
      <c r="BJ90" s="190"/>
      <c r="BK90" s="190"/>
      <c r="BL90" s="190"/>
      <c r="BO90" s="149"/>
      <c r="BP90" s="190"/>
      <c r="BQ90" s="239"/>
      <c r="BR90" s="240"/>
      <c r="BS90" s="190"/>
      <c r="BT90" s="240"/>
      <c r="BX90" s="190"/>
      <c r="BY90" s="190"/>
      <c r="BZ90" s="149"/>
      <c r="CA90" s="149"/>
      <c r="CB90" s="149"/>
      <c r="CC90" s="149"/>
    </row>
    <row r="91" spans="6:81">
      <c r="F91" s="283">
        <f>BO106</f>
        <v>88.698181382326453</v>
      </c>
      <c r="G91" s="284">
        <f>I106*1000</f>
        <v>1200</v>
      </c>
      <c r="H91" s="147">
        <v>85</v>
      </c>
      <c r="I91" s="389">
        <f t="shared" si="3"/>
        <v>1.02</v>
      </c>
      <c r="J91" s="188"/>
      <c r="K91" s="188"/>
      <c r="L91" s="188"/>
      <c r="M91" s="188"/>
      <c r="N91" s="236"/>
      <c r="O91" s="149"/>
      <c r="P91" s="188"/>
      <c r="Q91" s="379"/>
      <c r="S91" s="237"/>
      <c r="T91" s="237"/>
      <c r="U91" s="237"/>
      <c r="AJ91" s="379"/>
      <c r="AZ91" s="238"/>
      <c r="BJ91" s="190"/>
      <c r="BK91" s="190"/>
      <c r="BL91" s="190"/>
      <c r="BO91" s="149"/>
      <c r="BP91" s="190"/>
      <c r="BQ91" s="239"/>
      <c r="BR91" s="240"/>
      <c r="BS91" s="190"/>
      <c r="BT91" s="240"/>
      <c r="BX91" s="190"/>
      <c r="BY91" s="190"/>
      <c r="BZ91" s="149"/>
      <c r="CA91" s="149"/>
      <c r="CB91" s="149"/>
      <c r="CC91" s="149"/>
    </row>
    <row r="92" spans="6:81">
      <c r="H92" s="147">
        <v>86</v>
      </c>
      <c r="I92" s="389">
        <f t="shared" si="3"/>
        <v>1.032</v>
      </c>
      <c r="J92" s="188"/>
      <c r="K92" s="188"/>
      <c r="L92" s="188"/>
      <c r="M92" s="188"/>
      <c r="N92" s="236"/>
      <c r="O92" s="149"/>
      <c r="P92" s="188"/>
      <c r="Q92" s="379"/>
      <c r="S92" s="237"/>
      <c r="T92" s="237"/>
      <c r="U92" s="237"/>
      <c r="AJ92" s="379"/>
      <c r="AZ92" s="238"/>
      <c r="BJ92" s="190"/>
      <c r="BK92" s="190"/>
      <c r="BL92" s="190"/>
      <c r="BO92" s="149"/>
      <c r="BP92" s="190"/>
      <c r="BQ92" s="239"/>
      <c r="BR92" s="240"/>
      <c r="BS92" s="190"/>
      <c r="BT92" s="240"/>
      <c r="BX92" s="190"/>
      <c r="BY92" s="190"/>
      <c r="BZ92" s="149"/>
      <c r="CA92" s="149"/>
      <c r="CB92" s="149"/>
      <c r="CC92" s="149"/>
    </row>
    <row r="93" spans="6:81">
      <c r="H93" s="147">
        <v>87</v>
      </c>
      <c r="I93" s="389">
        <f t="shared" si="3"/>
        <v>1.044</v>
      </c>
      <c r="J93" s="188"/>
      <c r="K93" s="188"/>
      <c r="L93" s="188"/>
      <c r="M93" s="188"/>
      <c r="N93" s="236"/>
      <c r="O93" s="149"/>
      <c r="P93" s="188"/>
      <c r="Q93" s="379"/>
      <c r="S93" s="237"/>
      <c r="T93" s="237"/>
      <c r="U93" s="237"/>
      <c r="AJ93" s="379"/>
      <c r="AZ93" s="238"/>
      <c r="BJ93" s="190"/>
      <c r="BK93" s="190"/>
      <c r="BL93" s="190"/>
      <c r="BO93" s="149"/>
      <c r="BP93" s="190"/>
      <c r="BQ93" s="239"/>
      <c r="BR93" s="240"/>
      <c r="BS93" s="190"/>
      <c r="BT93" s="240"/>
      <c r="BX93" s="190"/>
      <c r="BY93" s="190"/>
      <c r="BZ93" s="149"/>
      <c r="CA93" s="149"/>
      <c r="CB93" s="149"/>
      <c r="CC93" s="149"/>
    </row>
    <row r="94" spans="6:81">
      <c r="H94" s="147">
        <v>88</v>
      </c>
      <c r="I94" s="389">
        <f t="shared" si="3"/>
        <v>1.056</v>
      </c>
      <c r="J94" s="188"/>
      <c r="K94" s="188"/>
      <c r="L94" s="188"/>
      <c r="M94" s="188"/>
      <c r="N94" s="236"/>
      <c r="O94" s="149"/>
      <c r="P94" s="188"/>
      <c r="Q94" s="379"/>
      <c r="S94" s="237"/>
      <c r="T94" s="237"/>
      <c r="U94" s="237"/>
      <c r="AJ94" s="379"/>
      <c r="AZ94" s="238"/>
      <c r="BJ94" s="190"/>
      <c r="BK94" s="190"/>
      <c r="BL94" s="190"/>
      <c r="BO94" s="149"/>
      <c r="BP94" s="190"/>
      <c r="BQ94" s="239"/>
      <c r="BR94" s="240"/>
      <c r="BS94" s="190"/>
      <c r="BT94" s="240"/>
      <c r="BX94" s="190"/>
      <c r="BY94" s="190"/>
      <c r="BZ94" s="149"/>
      <c r="CA94" s="149"/>
      <c r="CB94" s="149"/>
      <c r="CC94" s="149"/>
    </row>
    <row r="95" spans="6:81">
      <c r="H95" s="147">
        <v>89</v>
      </c>
      <c r="I95" s="389">
        <f t="shared" si="3"/>
        <v>1.0680000000000001</v>
      </c>
      <c r="J95" s="188"/>
      <c r="K95" s="188"/>
      <c r="L95" s="188"/>
      <c r="M95" s="188"/>
      <c r="N95" s="236"/>
      <c r="O95" s="149"/>
      <c r="P95" s="188"/>
      <c r="Q95" s="379"/>
      <c r="S95" s="237"/>
      <c r="T95" s="237"/>
      <c r="U95" s="237"/>
      <c r="AJ95" s="379"/>
      <c r="AZ95" s="238"/>
      <c r="BJ95" s="190"/>
      <c r="BK95" s="190"/>
      <c r="BL95" s="190"/>
      <c r="BO95" s="149"/>
      <c r="BP95" s="190"/>
      <c r="BQ95" s="239"/>
      <c r="BR95" s="240"/>
      <c r="BS95" s="190"/>
      <c r="BT95" s="240"/>
      <c r="BX95" s="190"/>
      <c r="BY95" s="190"/>
      <c r="BZ95" s="149"/>
      <c r="CA95" s="149"/>
      <c r="CB95" s="149"/>
      <c r="CC95" s="149"/>
    </row>
    <row r="96" spans="6:81">
      <c r="H96" s="147">
        <v>90</v>
      </c>
      <c r="I96" s="389">
        <f t="shared" si="3"/>
        <v>1.08</v>
      </c>
      <c r="J96" s="188"/>
      <c r="K96" s="188"/>
      <c r="L96" s="188"/>
      <c r="M96" s="188"/>
      <c r="N96" s="236"/>
      <c r="O96" s="149"/>
      <c r="P96" s="188"/>
      <c r="Q96" s="379"/>
      <c r="S96" s="237"/>
      <c r="T96" s="237"/>
      <c r="U96" s="237"/>
      <c r="AJ96" s="379"/>
      <c r="AZ96" s="238"/>
      <c r="BJ96" s="190"/>
      <c r="BK96" s="190"/>
      <c r="BL96" s="190"/>
      <c r="BO96" s="149"/>
      <c r="BP96" s="190"/>
      <c r="BQ96" s="239"/>
      <c r="BR96" s="240"/>
      <c r="BS96" s="190"/>
      <c r="BT96" s="240"/>
      <c r="BX96" s="190"/>
      <c r="BY96" s="190"/>
      <c r="BZ96" s="149"/>
      <c r="CA96" s="149"/>
      <c r="CB96" s="149"/>
      <c r="CC96" s="149"/>
    </row>
    <row r="97" spans="8:81">
      <c r="H97" s="147">
        <v>91</v>
      </c>
      <c r="I97" s="389">
        <f t="shared" si="3"/>
        <v>1.0920000000000001</v>
      </c>
      <c r="J97" s="188"/>
      <c r="K97" s="188"/>
      <c r="L97" s="188"/>
      <c r="M97" s="188"/>
      <c r="N97" s="236"/>
      <c r="O97" s="149"/>
      <c r="P97" s="188"/>
      <c r="Q97" s="379"/>
      <c r="S97" s="237"/>
      <c r="T97" s="237"/>
      <c r="U97" s="237"/>
      <c r="AJ97" s="379"/>
      <c r="AZ97" s="238"/>
      <c r="BJ97" s="190"/>
      <c r="BK97" s="190"/>
      <c r="BL97" s="190"/>
      <c r="BO97" s="149"/>
      <c r="BP97" s="190"/>
      <c r="BQ97" s="239"/>
      <c r="BR97" s="240"/>
      <c r="BS97" s="190"/>
      <c r="BT97" s="240"/>
      <c r="BX97" s="190"/>
      <c r="BY97" s="190"/>
      <c r="BZ97" s="149"/>
      <c r="CA97" s="149"/>
      <c r="CB97" s="149"/>
      <c r="CC97" s="149"/>
    </row>
    <row r="98" spans="8:81">
      <c r="H98" s="147">
        <v>92</v>
      </c>
      <c r="I98" s="389">
        <f t="shared" si="3"/>
        <v>1.1040000000000001</v>
      </c>
      <c r="J98" s="188"/>
      <c r="K98" s="188"/>
      <c r="L98" s="188"/>
      <c r="M98" s="188"/>
      <c r="N98" s="236"/>
      <c r="O98" s="149"/>
      <c r="P98" s="188"/>
      <c r="Q98" s="379"/>
      <c r="S98" s="237"/>
      <c r="T98" s="237"/>
      <c r="U98" s="237"/>
      <c r="AJ98" s="379"/>
      <c r="AZ98" s="238"/>
      <c r="BJ98" s="190"/>
      <c r="BK98" s="190"/>
      <c r="BL98" s="190"/>
      <c r="BO98" s="149"/>
      <c r="BP98" s="190"/>
      <c r="BQ98" s="239"/>
      <c r="BR98" s="240"/>
      <c r="BS98" s="190"/>
      <c r="BT98" s="240"/>
      <c r="BX98" s="190"/>
      <c r="BY98" s="190"/>
      <c r="BZ98" s="149"/>
      <c r="CA98" s="149"/>
      <c r="CB98" s="149"/>
      <c r="CC98" s="149"/>
    </row>
    <row r="99" spans="8:81">
      <c r="H99" s="147">
        <v>93</v>
      </c>
      <c r="I99" s="389">
        <f t="shared" si="3"/>
        <v>1.1160000000000001</v>
      </c>
      <c r="J99" s="188"/>
      <c r="K99" s="188"/>
      <c r="L99" s="188"/>
      <c r="M99" s="188"/>
      <c r="N99" s="236"/>
      <c r="O99" s="149"/>
      <c r="P99" s="188"/>
      <c r="Q99" s="379"/>
      <c r="S99" s="237"/>
      <c r="T99" s="237"/>
      <c r="U99" s="237"/>
      <c r="AJ99" s="379"/>
      <c r="AZ99" s="238"/>
      <c r="BJ99" s="190"/>
      <c r="BK99" s="190"/>
      <c r="BL99" s="190"/>
      <c r="BO99" s="149"/>
      <c r="BP99" s="190"/>
      <c r="BQ99" s="239"/>
      <c r="BR99" s="240"/>
      <c r="BS99" s="190"/>
      <c r="BT99" s="240"/>
      <c r="BX99" s="190"/>
      <c r="BY99" s="190"/>
      <c r="BZ99" s="149"/>
      <c r="CA99" s="149"/>
      <c r="CB99" s="149"/>
      <c r="CC99" s="149"/>
    </row>
    <row r="100" spans="8:81">
      <c r="H100" s="147">
        <v>94</v>
      </c>
      <c r="I100" s="389">
        <f t="shared" si="3"/>
        <v>1.1279999999999999</v>
      </c>
      <c r="J100" s="188"/>
      <c r="K100" s="188"/>
      <c r="L100" s="188"/>
      <c r="M100" s="188"/>
      <c r="N100" s="236"/>
      <c r="O100" s="149"/>
      <c r="P100" s="188"/>
      <c r="Q100" s="379"/>
      <c r="S100" s="237"/>
      <c r="T100" s="237"/>
      <c r="U100" s="237"/>
      <c r="AJ100" s="379"/>
      <c r="AZ100" s="238"/>
      <c r="BJ100" s="190"/>
      <c r="BK100" s="190"/>
      <c r="BL100" s="190"/>
      <c r="BO100" s="149"/>
      <c r="BP100" s="190"/>
      <c r="BQ100" s="239"/>
      <c r="BR100" s="240"/>
      <c r="BS100" s="190"/>
      <c r="BT100" s="240"/>
      <c r="BX100" s="190"/>
      <c r="BY100" s="190"/>
      <c r="BZ100" s="149"/>
      <c r="CA100" s="149"/>
      <c r="CB100" s="149"/>
      <c r="CC100" s="149"/>
    </row>
    <row r="101" spans="8:81">
      <c r="H101" s="147">
        <v>95</v>
      </c>
      <c r="I101" s="389">
        <f t="shared" si="3"/>
        <v>1.1399999999999999</v>
      </c>
      <c r="J101" s="188"/>
      <c r="K101" s="188"/>
      <c r="L101" s="188"/>
      <c r="M101" s="188"/>
      <c r="N101" s="236"/>
      <c r="O101" s="149"/>
      <c r="P101" s="188"/>
      <c r="Q101" s="379"/>
      <c r="S101" s="237"/>
      <c r="T101" s="237"/>
      <c r="U101" s="237"/>
      <c r="AJ101" s="379"/>
      <c r="AZ101" s="238"/>
      <c r="BJ101" s="190"/>
      <c r="BK101" s="190"/>
      <c r="BL101" s="190"/>
      <c r="BO101" s="149"/>
      <c r="BP101" s="190"/>
      <c r="BQ101" s="239"/>
      <c r="BR101" s="240"/>
      <c r="BS101" s="190"/>
      <c r="BT101" s="240"/>
      <c r="BX101" s="190"/>
      <c r="BY101" s="190"/>
      <c r="BZ101" s="149"/>
      <c r="CA101" s="149"/>
      <c r="CB101" s="149"/>
      <c r="CC101" s="149"/>
    </row>
    <row r="102" spans="8:81">
      <c r="H102" s="147">
        <v>96</v>
      </c>
      <c r="I102" s="389">
        <f>IF(PLOT_TYPE=1, H102/100*Iout_max, min_I*EXP(H102*rr/100))</f>
        <v>1.1519999999999999</v>
      </c>
      <c r="J102" s="188"/>
      <c r="K102" s="188"/>
      <c r="L102" s="188"/>
      <c r="M102" s="188"/>
      <c r="N102" s="236"/>
      <c r="O102" s="149"/>
      <c r="P102" s="188"/>
      <c r="Q102" s="379"/>
      <c r="S102" s="237"/>
      <c r="T102" s="237"/>
      <c r="U102" s="237"/>
      <c r="AJ102" s="379"/>
      <c r="AZ102" s="238"/>
      <c r="BJ102" s="190"/>
      <c r="BK102" s="190"/>
      <c r="BL102" s="190"/>
      <c r="BO102" s="149"/>
      <c r="BP102" s="190"/>
      <c r="BQ102" s="239"/>
      <c r="BR102" s="240"/>
      <c r="BS102" s="190"/>
      <c r="BT102" s="240"/>
      <c r="BX102" s="190"/>
      <c r="BY102" s="190"/>
      <c r="BZ102" s="149"/>
      <c r="CA102" s="149"/>
      <c r="CB102" s="149"/>
      <c r="CC102" s="149"/>
    </row>
    <row r="103" spans="8:81">
      <c r="H103" s="147">
        <v>97</v>
      </c>
      <c r="I103" s="389">
        <f>IF(PLOT_TYPE=1, H103/100*Iout_max, min_I*EXP(H103*rr/100))</f>
        <v>1.1639999999999999</v>
      </c>
      <c r="J103" s="188"/>
      <c r="K103" s="188"/>
      <c r="L103" s="188"/>
      <c r="M103" s="188"/>
      <c r="N103" s="236"/>
      <c r="O103" s="149"/>
      <c r="P103" s="188"/>
      <c r="Q103" s="379"/>
      <c r="S103" s="237"/>
      <c r="T103" s="237"/>
      <c r="U103" s="237"/>
      <c r="AJ103" s="379"/>
      <c r="AZ103" s="238"/>
      <c r="BJ103" s="190"/>
      <c r="BK103" s="190"/>
      <c r="BL103" s="190"/>
      <c r="BO103" s="149"/>
      <c r="BP103" s="190"/>
      <c r="BQ103" s="239"/>
      <c r="BR103" s="240"/>
      <c r="BS103" s="190"/>
      <c r="BT103" s="240"/>
      <c r="BX103" s="190"/>
      <c r="BY103" s="190"/>
      <c r="BZ103" s="149"/>
      <c r="CA103" s="149"/>
      <c r="CB103" s="149"/>
      <c r="CC103" s="149"/>
    </row>
    <row r="104" spans="8:81">
      <c r="H104" s="147">
        <v>98</v>
      </c>
      <c r="I104" s="389">
        <f>IF(PLOT_TYPE=1, H104/100*Iout_max, min_I*EXP(H104*rr/100))</f>
        <v>1.1759999999999999</v>
      </c>
      <c r="J104" s="188"/>
      <c r="K104" s="188"/>
      <c r="L104" s="188"/>
      <c r="M104" s="188"/>
      <c r="N104" s="236"/>
      <c r="O104" s="149"/>
      <c r="P104" s="188"/>
      <c r="Q104" s="379"/>
      <c r="S104" s="237"/>
      <c r="T104" s="237"/>
      <c r="U104" s="237"/>
      <c r="AJ104" s="379"/>
      <c r="AZ104" s="238"/>
      <c r="BJ104" s="190"/>
      <c r="BK104" s="190"/>
      <c r="BL104" s="190"/>
      <c r="BO104" s="149"/>
      <c r="BP104" s="190"/>
      <c r="BQ104" s="239"/>
      <c r="BR104" s="240"/>
      <c r="BS104" s="190"/>
      <c r="BT104" s="240"/>
      <c r="BX104" s="190"/>
      <c r="BY104" s="190"/>
      <c r="BZ104" s="149"/>
      <c r="CA104" s="149"/>
      <c r="CB104" s="149"/>
      <c r="CC104" s="149"/>
    </row>
    <row r="105" spans="8:81">
      <c r="H105" s="147">
        <v>99</v>
      </c>
      <c r="I105" s="389">
        <f>IF(PLOT_TYPE=1, H105/100*Iout_max, min_I*EXP(H105*rr/100))</f>
        <v>1.1879999999999999</v>
      </c>
      <c r="J105" s="188"/>
      <c r="K105" s="188"/>
      <c r="L105" s="188"/>
      <c r="M105" s="188"/>
      <c r="N105" s="236"/>
      <c r="O105" s="149"/>
      <c r="P105" s="188"/>
      <c r="Q105" s="379"/>
      <c r="S105" s="237"/>
      <c r="T105" s="237"/>
      <c r="U105" s="237"/>
      <c r="AJ105" s="379"/>
      <c r="AZ105" s="238"/>
      <c r="BJ105" s="190"/>
      <c r="BK105" s="190"/>
      <c r="BL105" s="190"/>
      <c r="BO105" s="149"/>
      <c r="BP105" s="190"/>
      <c r="BQ105" s="239"/>
      <c r="BR105" s="240"/>
      <c r="BS105" s="190"/>
      <c r="BT105" s="240"/>
      <c r="BX105" s="190"/>
      <c r="BY105" s="190"/>
      <c r="BZ105" s="149"/>
      <c r="CA105" s="149"/>
      <c r="CB105" s="149"/>
      <c r="CC105" s="149"/>
    </row>
    <row r="106" spans="8:81">
      <c r="H106" s="147">
        <v>100</v>
      </c>
      <c r="I106" s="389">
        <f>IF(PLOT_TYPE=1, H106/100*Iout_max, min_I*EXP(H106*rr/100))</f>
        <v>1.2</v>
      </c>
      <c r="J106" s="188"/>
      <c r="K106" s="188"/>
      <c r="L106" s="188"/>
      <c r="M106" s="188"/>
      <c r="N106" s="236"/>
      <c r="O106" s="149"/>
      <c r="P106" s="188"/>
      <c r="Q106" s="379"/>
      <c r="S106" s="237"/>
      <c r="T106" s="237"/>
      <c r="U106" s="237"/>
      <c r="AJ106" s="379"/>
      <c r="AY106" s="187">
        <f>Vout*I106</f>
        <v>6</v>
      </c>
      <c r="AZ106" s="238">
        <f>AY106/(AY106+AX106)</f>
        <v>1</v>
      </c>
      <c r="BA106" s="296">
        <f>AG106/($AY106+$AX106)</f>
        <v>0</v>
      </c>
      <c r="BB106" s="296">
        <f>AO106/($AY106+$AX106)</f>
        <v>0</v>
      </c>
      <c r="BC106" s="296" t="e">
        <f>Vin*R106*(QgBot+Qg)/($AY106+$AX106)</f>
        <v>#NAME?</v>
      </c>
      <c r="BD106" s="296">
        <f>AK106/($AY106+$AX106)</f>
        <v>0</v>
      </c>
      <c r="BE106" s="296">
        <f>AQ106/(AX106+AY106)</f>
        <v>0</v>
      </c>
      <c r="BF106" s="296">
        <f>AR106/($AY106+$AX106)</f>
        <v>0</v>
      </c>
      <c r="BG106" s="296">
        <f>W106/($AY106+$AX106)</f>
        <v>0</v>
      </c>
      <c r="BH106" s="296">
        <f>X106/($AY106+$AX106)</f>
        <v>0</v>
      </c>
      <c r="BI106" s="296">
        <f>(AB106+AE106)/($AY106+$AX106)</f>
        <v>0</v>
      </c>
      <c r="BJ106" s="190">
        <f>AT106/($AY106+$AX106)</f>
        <v>0</v>
      </c>
      <c r="BK106" s="190">
        <f>AX106/($AY106+$AX106)</f>
        <v>0</v>
      </c>
      <c r="BL106" s="190">
        <f>AZ106</f>
        <v>1</v>
      </c>
      <c r="BM106" s="149">
        <f>100*BL106</f>
        <v>100</v>
      </c>
      <c r="BN106" s="188">
        <f xml:space="preserve"> CHOOSE(MODE, I106*1000,#REF!)</f>
        <v>1200</v>
      </c>
      <c r="BO106" s="149">
        <v>88.698181382326453</v>
      </c>
      <c r="BP106" s="190">
        <f>BO106/100</f>
        <v>0.88698181382326458</v>
      </c>
      <c r="BQ106" s="239">
        <f>R106/1000</f>
        <v>0</v>
      </c>
      <c r="BR106" s="240"/>
      <c r="BS106" s="190">
        <f>AL106/($AY106+$AX106)</f>
        <v>0</v>
      </c>
      <c r="BT106" s="240"/>
      <c r="BU106" s="149">
        <f>1000*AW106</f>
        <v>0</v>
      </c>
      <c r="BV106" s="149">
        <f>1000*AU106</f>
        <v>0</v>
      </c>
      <c r="BW106" s="149">
        <f>1000*Y106</f>
        <v>0</v>
      </c>
      <c r="BX106" s="190"/>
      <c r="BY106" s="190"/>
      <c r="BZ106" s="149">
        <f xml:space="preserve"> IF(MODE=1, BM106,#REF!)</f>
        <v>100</v>
      </c>
      <c r="CA106" s="149">
        <f xml:space="preserve"> IF(MODE=1, BU106,#REF!)</f>
        <v>0</v>
      </c>
      <c r="CB106" s="149">
        <f xml:space="preserve"> IF(MODE=1, BV106,#REF!)</f>
        <v>0</v>
      </c>
      <c r="CC106" s="149">
        <f xml:space="preserve"> IF(MODE=1, BW106,#REF!)</f>
        <v>0</v>
      </c>
    </row>
    <row r="107" spans="8:81">
      <c r="BQ107" s="239"/>
      <c r="BR107" s="240"/>
      <c r="BS107" s="240"/>
      <c r="BT107" s="240"/>
      <c r="BX107" s="190"/>
      <c r="BY107" s="190"/>
    </row>
    <row r="108" spans="8:81">
      <c r="H108" s="285">
        <v>1.0000000000000001E-5</v>
      </c>
      <c r="I108" s="188" t="s">
        <v>1</v>
      </c>
      <c r="J108" s="187" t="s">
        <v>276</v>
      </c>
      <c r="AG108" s="187">
        <v>4.9516878778202269E-3</v>
      </c>
      <c r="AH108" s="187">
        <v>3.7188236700537959E-3</v>
      </c>
      <c r="AI108">
        <v>20</v>
      </c>
      <c r="AJ108" s="187">
        <v>18.943591787921068</v>
      </c>
      <c r="AK108" s="187">
        <v>4.1453367485397245E-3</v>
      </c>
      <c r="AL108" s="187">
        <v>7.1640215182307235E-3</v>
      </c>
      <c r="AN108" s="187">
        <v>9.1940431932401354E-2</v>
      </c>
      <c r="AO108" s="187">
        <v>8.4530430239165271E-3</v>
      </c>
      <c r="AP108" s="187">
        <v>9.3281530185295868E-4</v>
      </c>
      <c r="AQ108" s="187">
        <v>9.1178757202630047E-3</v>
      </c>
      <c r="AR108" s="187">
        <v>1.2140752334887425E-3</v>
      </c>
      <c r="AS108" s="187">
        <v>1.8784993977668273E-2</v>
      </c>
      <c r="AZ108" s="286" t="s">
        <v>280</v>
      </c>
      <c r="BA108" s="303">
        <v>3.6409104085968987E-3</v>
      </c>
      <c r="BB108" s="303">
        <v>6.5692245841190103E-3</v>
      </c>
      <c r="BC108" s="303">
        <v>5.4394694205683519E-2</v>
      </c>
      <c r="BD108" s="303">
        <v>4.5907837520612008E-3</v>
      </c>
      <c r="BE108" s="303">
        <v>0</v>
      </c>
      <c r="BF108" s="303">
        <v>7.3751579484765363E-4</v>
      </c>
      <c r="BG108" s="303">
        <v>7.2151246180390156E-3</v>
      </c>
      <c r="BH108" s="303">
        <v>1.4929120352630757E-2</v>
      </c>
      <c r="BI108" s="303">
        <v>5.5024434421027814E-6</v>
      </c>
      <c r="BJ108" s="303">
        <v>8.2551506228875166E-2</v>
      </c>
    </row>
    <row r="109" spans="8:81">
      <c r="H109" s="235">
        <f>Iout_max</f>
        <v>1.2</v>
      </c>
      <c r="I109" s="188" t="s">
        <v>1</v>
      </c>
      <c r="J109" s="187" t="s">
        <v>277</v>
      </c>
      <c r="AZ109" s="286" t="s">
        <v>278</v>
      </c>
      <c r="BA109" s="303">
        <v>8.1000709018000279E-3</v>
      </c>
      <c r="BB109" s="303">
        <v>1.4614802049391215E-2</v>
      </c>
      <c r="BC109" s="303">
        <v>2.4831534664325892E-2</v>
      </c>
      <c r="BD109" s="303">
        <v>9.9057039827182662E-3</v>
      </c>
      <c r="BE109" s="303">
        <v>1.1631608311305648E-2</v>
      </c>
      <c r="BF109" s="303">
        <v>1.6465542803473395E-3</v>
      </c>
      <c r="BG109" s="303">
        <v>1.6051760250250457E-2</v>
      </c>
      <c r="BH109" s="303">
        <v>6.8152413568584669E-3</v>
      </c>
      <c r="BI109" s="303">
        <v>1.7517781122613987E-5</v>
      </c>
      <c r="BJ109" s="303">
        <v>1.2837829865088564E-2</v>
      </c>
    </row>
    <row r="110" spans="8:81">
      <c r="H110" s="235">
        <f>LOG(max_I/min_I,EXP(1))</f>
        <v>11.695247021764184</v>
      </c>
      <c r="I110" s="188"/>
      <c r="J110" s="187" t="s">
        <v>279</v>
      </c>
    </row>
    <row r="111" spans="8:81">
      <c r="AZ111" s="286"/>
      <c r="BA111" s="303"/>
      <c r="BB111" s="303"/>
      <c r="BC111" s="303"/>
      <c r="BD111" s="303"/>
      <c r="BE111" s="303"/>
      <c r="BF111" s="303"/>
      <c r="BG111" s="303"/>
      <c r="BH111" s="303"/>
      <c r="BI111" s="303"/>
      <c r="BJ111" s="303"/>
    </row>
    <row r="112" spans="8:81">
      <c r="J112" s="287"/>
      <c r="R112" s="288"/>
      <c r="S112" s="288"/>
      <c r="T112" s="288"/>
      <c r="U112" s="288"/>
      <c r="V112" s="289"/>
    </row>
    <row r="113" spans="10:22">
      <c r="J113" s="287"/>
      <c r="R113" s="288"/>
      <c r="S113" s="288"/>
      <c r="T113" s="288"/>
      <c r="U113" s="288"/>
      <c r="V113" s="289"/>
    </row>
    <row r="114" spans="10:22">
      <c r="R114" s="288"/>
      <c r="S114" s="288"/>
      <c r="T114" s="288"/>
      <c r="U114" s="288"/>
      <c r="V114" s="289"/>
    </row>
    <row r="116" spans="10:22">
      <c r="R116" s="288"/>
      <c r="S116" s="288"/>
      <c r="T116" s="288"/>
      <c r="U116" s="288"/>
      <c r="V116" s="289"/>
    </row>
    <row r="126" spans="10:22">
      <c r="J126" s="147"/>
    </row>
    <row r="127" spans="10:22">
      <c r="J127" s="147"/>
    </row>
    <row r="128" spans="10:22">
      <c r="J128" s="147"/>
    </row>
    <row r="129" spans="10:10">
      <c r="J129" s="188"/>
    </row>
    <row r="130" spans="10:10">
      <c r="J130" s="188"/>
    </row>
    <row r="131" spans="10:10">
      <c r="J131" s="188"/>
    </row>
    <row r="132" spans="10:10">
      <c r="J132" s="188"/>
    </row>
    <row r="133" spans="10:10">
      <c r="J133" s="188"/>
    </row>
  </sheetData>
  <sheetProtection algorithmName="SHA-512" hashValue="0cUnFa7ufQE2QFQ9eSByCEfmn6EpWCL2i4IB/IyFIfGoQvvqfVNOyvPgZhiw12bINkeNpez8XmCsyRLDVC5XpQ==" saltValue="Wk0yaZAbwsKsRJCgaB8scA==" spinCount="100000" sheet="1" selectLockedCells="1" selectUnlockedCells="1"/>
  <mergeCells count="4">
    <mergeCell ref="A1:E3"/>
    <mergeCell ref="G2:H2"/>
    <mergeCell ref="A4:E4"/>
    <mergeCell ref="K4:U4"/>
  </mergeCells>
  <phoneticPr fontId="83"/>
  <conditionalFormatting sqref="B26:B28">
    <cfRule type="cellIs" dxfId="11" priority="8" stopIfTrue="1" operator="notEqual">
      <formula>G28</formula>
    </cfRule>
  </conditionalFormatting>
  <conditionalFormatting sqref="B29">
    <cfRule type="cellIs" dxfId="10" priority="145" stopIfTrue="1" operator="notEqual">
      <formula>G30</formula>
    </cfRule>
  </conditionalFormatting>
  <conditionalFormatting sqref="B30:B33">
    <cfRule type="cellIs" dxfId="9" priority="6" stopIfTrue="1" operator="notEqual">
      <formula>G36</formula>
    </cfRule>
  </conditionalFormatting>
  <conditionalFormatting sqref="B35:B36">
    <cfRule type="cellIs" dxfId="8" priority="5" stopIfTrue="1" operator="notEqual">
      <formula>G42</formula>
    </cfRule>
  </conditionalFormatting>
  <conditionalFormatting sqref="B38:B39">
    <cfRule type="cellIs" dxfId="7" priority="147" stopIfTrue="1" operator="notEqual">
      <formula>G43</formula>
    </cfRule>
  </conditionalFormatting>
  <conditionalFormatting sqref="B41">
    <cfRule type="cellIs" dxfId="6" priority="4" stopIfTrue="1" operator="notEqual">
      <formula>G53</formula>
    </cfRule>
  </conditionalFormatting>
  <conditionalFormatting sqref="B43:B45">
    <cfRule type="cellIs" dxfId="5" priority="13" stopIfTrue="1" operator="notEqual">
      <formula>G54</formula>
    </cfRule>
  </conditionalFormatting>
  <conditionalFormatting sqref="B46">
    <cfRule type="cellIs" dxfId="4" priority="2" stopIfTrue="1" operator="notEqual">
      <formula>G66</formula>
    </cfRule>
  </conditionalFormatting>
  <conditionalFormatting sqref="B48:B53">
    <cfRule type="cellIs" dxfId="3" priority="9" stopIfTrue="1" operator="notEqual">
      <formula>G68</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180975</xdr:colOff>
                <xdr:row>111</xdr:row>
                <xdr:rowOff>142875</xdr:rowOff>
              </from>
              <to>
                <xdr:col>36</xdr:col>
                <xdr:colOff>9525</xdr:colOff>
                <xdr:row>125</xdr:row>
                <xdr:rowOff>142875</xdr:rowOff>
              </to>
            </anchor>
          </objectPr>
        </oleObject>
      </mc:Choice>
      <mc:Fallback>
        <oleObject progId="Visio.Drawing.11" shapeId="6830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7030A0"/>
  </sheetPr>
  <dimension ref="B1:FL329"/>
  <sheetViews>
    <sheetView topLeftCell="G1" zoomScale="70" zoomScaleNormal="70" workbookViewId="0">
      <pane ySplit="3" topLeftCell="A4" activePane="bottomLeft" state="frozen"/>
      <selection pane="bottomLeft" activeCell="U216" sqref="U216:U316"/>
    </sheetView>
  </sheetViews>
  <sheetFormatPr defaultRowHeight="12.75"/>
  <cols>
    <col min="1" max="1" width="2.85546875" customWidth="1"/>
    <col min="2" max="2" width="3.5703125" customWidth="1"/>
    <col min="3" max="3" width="2.85546875" customWidth="1"/>
    <col min="4" max="4" width="3.7109375" customWidth="1"/>
    <col min="5" max="5" width="6.140625" customWidth="1"/>
    <col min="6" max="7" width="7.7109375" customWidth="1"/>
    <col min="8" max="8" width="7.85546875" customWidth="1"/>
    <col min="9" max="9" width="6.28515625" customWidth="1"/>
    <col min="10" max="10" width="9.5703125" customWidth="1"/>
    <col min="11" max="11" width="9.28515625" customWidth="1"/>
    <col min="12" max="12" width="1.85546875" customWidth="1"/>
    <col min="13" max="13" width="8.42578125" customWidth="1"/>
    <col min="14" max="15" width="9.5703125" customWidth="1"/>
    <col min="16" max="16" width="8.85546875" customWidth="1"/>
    <col min="17" max="18" width="8.5703125" customWidth="1"/>
    <col min="19" max="19" width="15.42578125" customWidth="1"/>
    <col min="20" max="20" width="10.42578125" customWidth="1"/>
    <col min="21" max="21" width="7.5703125" customWidth="1"/>
    <col min="22" max="22" width="9" customWidth="1"/>
    <col min="23" max="23" width="8.85546875" customWidth="1"/>
    <col min="24" max="24" width="10" customWidth="1"/>
    <col min="25" max="25" width="9.5703125" customWidth="1"/>
    <col min="26" max="26" width="1.85546875" customWidth="1"/>
    <col min="27" max="27" width="9.85546875" customWidth="1"/>
    <col min="28" max="28" width="10.42578125" customWidth="1"/>
    <col min="29" max="29" width="10.140625" customWidth="1"/>
    <col min="30" max="30" width="2" customWidth="1"/>
    <col min="31" max="31" width="9.140625" customWidth="1"/>
    <col min="32" max="32" width="9.42578125" customWidth="1"/>
    <col min="33" max="33" width="10.42578125" customWidth="1"/>
    <col min="34" max="34" width="2.140625" customWidth="1"/>
    <col min="36" max="36" width="8" customWidth="1"/>
    <col min="38" max="38" width="2.28515625" customWidth="1"/>
    <col min="39" max="39" width="6.5703125" customWidth="1"/>
    <col min="40" max="40" width="7.5703125" customWidth="1"/>
    <col min="41" max="41" width="2" customWidth="1"/>
    <col min="42" max="42" width="6.42578125" customWidth="1"/>
    <col min="43" max="43" width="7.5703125" customWidth="1"/>
    <col min="44" max="44" width="2.140625" customWidth="1"/>
    <col min="45" max="48" width="7" customWidth="1"/>
    <col min="49" max="50" width="8.42578125" customWidth="1"/>
    <col min="51" max="52" width="11" customWidth="1"/>
    <col min="53" max="53" width="9.42578125" customWidth="1"/>
    <col min="54" max="54" width="9.85546875" customWidth="1"/>
    <col min="55" max="55" width="2" customWidth="1"/>
    <col min="58" max="58" width="2.140625" customWidth="1"/>
    <col min="59" max="59" width="9" customWidth="1"/>
    <col min="60" max="61" width="8.140625" customWidth="1"/>
    <col min="62" max="62" width="8.7109375" customWidth="1"/>
    <col min="63" max="64" width="7.5703125" customWidth="1"/>
    <col min="65" max="65" width="10.5703125" customWidth="1"/>
    <col min="66" max="66" width="8.7109375" customWidth="1"/>
    <col min="67" max="68" width="10.28515625" customWidth="1"/>
    <col min="69" max="70" width="10.5703125" customWidth="1"/>
    <col min="71" max="71" width="8.7109375" customWidth="1"/>
    <col min="73" max="73" width="9.85546875" customWidth="1"/>
    <col min="74" max="74" width="11.5703125" customWidth="1"/>
    <col min="75" max="75" width="12.140625" customWidth="1"/>
    <col min="76" max="76" width="9.140625" customWidth="1"/>
    <col min="78" max="78" width="7.7109375" customWidth="1"/>
    <col min="79" max="79" width="10.42578125" customWidth="1"/>
    <col min="80" max="80" width="12.42578125" bestFit="1" customWidth="1"/>
    <col min="81" max="81" width="4.5703125" customWidth="1"/>
    <col min="82" max="82" width="5" customWidth="1"/>
    <col min="83" max="83" width="9.5703125" customWidth="1"/>
    <col min="85" max="85" width="12.5703125" customWidth="1"/>
    <col min="86" max="86" width="11.5703125" customWidth="1"/>
    <col min="87" max="87" width="6.140625" customWidth="1"/>
    <col min="88" max="89" width="7.7109375" customWidth="1"/>
    <col min="90" max="90" width="7.85546875" customWidth="1"/>
    <col min="91" max="91" width="6.28515625" customWidth="1"/>
    <col min="92" max="92" width="9.5703125" customWidth="1"/>
    <col min="93" max="93" width="9.28515625" customWidth="1"/>
    <col min="94" max="94" width="1.85546875" customWidth="1"/>
    <col min="95" max="95" width="8.42578125" customWidth="1"/>
    <col min="96" max="97" width="9.5703125" customWidth="1"/>
    <col min="98" max="98" width="8.85546875" customWidth="1"/>
    <col min="99" max="100" width="8.5703125" customWidth="1"/>
    <col min="101" max="101" width="15.42578125" customWidth="1"/>
    <col min="102" max="102" width="10.42578125" customWidth="1"/>
    <col min="103" max="103" width="7.5703125" customWidth="1"/>
    <col min="104" max="104" width="9" customWidth="1"/>
    <col min="105" max="105" width="8.85546875" customWidth="1"/>
    <col min="106" max="106" width="10" customWidth="1"/>
    <col min="107" max="107" width="9.5703125" customWidth="1"/>
    <col min="108" max="108" width="1.85546875" customWidth="1"/>
    <col min="109" max="109" width="9.85546875" customWidth="1"/>
    <col min="110" max="110" width="10.42578125" customWidth="1"/>
    <col min="111" max="111" width="10.140625" customWidth="1"/>
    <col min="112" max="112" width="2" customWidth="1"/>
    <col min="113" max="113" width="9.140625" customWidth="1"/>
    <col min="114" max="114" width="9.42578125" customWidth="1"/>
    <col min="115" max="115" width="10.42578125" customWidth="1"/>
    <col min="116" max="116" width="2.140625" customWidth="1"/>
    <col min="118" max="118" width="8" customWidth="1"/>
    <col min="120" max="120" width="2.28515625" customWidth="1"/>
    <col min="121" max="121" width="6.5703125" customWidth="1"/>
    <col min="122" max="122" width="7.5703125" customWidth="1"/>
    <col min="123" max="123" width="2" customWidth="1"/>
    <col min="124" max="124" width="6.42578125" customWidth="1"/>
    <col min="125" max="125" width="7.5703125" customWidth="1"/>
    <col min="126" max="126" width="2.140625" customWidth="1"/>
    <col min="127" max="130" width="7" customWidth="1"/>
    <col min="131" max="132" width="8.42578125" customWidth="1"/>
    <col min="133" max="134" width="11" customWidth="1"/>
    <col min="135" max="135" width="9.42578125" customWidth="1"/>
    <col min="136" max="136" width="9.85546875" customWidth="1"/>
    <col min="137" max="137" width="2" customWidth="1"/>
    <col min="140" max="140" width="2.140625" customWidth="1"/>
    <col min="141" max="141" width="9" customWidth="1"/>
    <col min="142" max="143" width="8.140625" customWidth="1"/>
    <col min="145" max="146" width="7.5703125" customWidth="1"/>
    <col min="147" max="147" width="10.5703125" customWidth="1"/>
    <col min="149" max="150" width="10.28515625" customWidth="1"/>
    <col min="151" max="152" width="10.5703125" customWidth="1"/>
    <col min="155" max="155" width="9.85546875" customWidth="1"/>
    <col min="156" max="156" width="11.5703125" customWidth="1"/>
    <col min="157" max="157" width="12.140625" customWidth="1"/>
    <col min="158" max="158" width="9.140625" customWidth="1"/>
    <col min="160" max="160" width="7.7109375" customWidth="1"/>
    <col min="161" max="161" width="10.42578125" customWidth="1"/>
    <col min="162" max="162" width="12.42578125" bestFit="1" customWidth="1"/>
    <col min="163" max="163" width="4.5703125" customWidth="1"/>
    <col min="164" max="164" width="5" customWidth="1"/>
    <col min="165" max="165" width="9.5703125" customWidth="1"/>
    <col min="168" max="168" width="12.140625" bestFit="1" customWidth="1"/>
  </cols>
  <sheetData>
    <row r="1" spans="2:168" ht="25.5">
      <c r="B1" s="159" t="s">
        <v>824</v>
      </c>
      <c r="M1">
        <f>Vfwd2</f>
        <v>0.7</v>
      </c>
      <c r="BB1">
        <f>Ltc</f>
        <v>4.0000000000000001E-3</v>
      </c>
      <c r="BT1">
        <f>Ta</f>
        <v>85</v>
      </c>
      <c r="CI1" s="665" t="s">
        <v>823</v>
      </c>
      <c r="CQ1">
        <f>Vfwd2</f>
        <v>0.7</v>
      </c>
      <c r="EF1">
        <f>Ltc</f>
        <v>4.0000000000000001E-3</v>
      </c>
      <c r="EX1">
        <f>Ta</f>
        <v>85</v>
      </c>
    </row>
    <row r="2" spans="2:168" ht="13.5" thickBot="1">
      <c r="M2">
        <f>Vfwd1</f>
        <v>0.4</v>
      </c>
      <c r="U2">
        <f>Isw_max</f>
        <v>5</v>
      </c>
      <c r="CQ2">
        <f>Vfwd1</f>
        <v>0.4</v>
      </c>
      <c r="CY2">
        <f>Isw_max</f>
        <v>5</v>
      </c>
    </row>
    <row r="3" spans="2:168">
      <c r="E3" s="191" t="s">
        <v>421</v>
      </c>
      <c r="F3" s="464"/>
      <c r="G3" s="464"/>
      <c r="H3" s="464"/>
      <c r="I3" s="192"/>
      <c r="J3" s="193"/>
      <c r="K3" s="452"/>
      <c r="L3" s="452"/>
      <c r="M3" s="814" t="s">
        <v>189</v>
      </c>
      <c r="N3" s="815"/>
      <c r="O3" s="817"/>
      <c r="P3" s="814"/>
      <c r="Q3" s="814"/>
      <c r="R3" s="817"/>
      <c r="S3" s="817"/>
      <c r="T3" s="817"/>
      <c r="U3" s="814"/>
      <c r="V3" s="815"/>
      <c r="W3" s="815"/>
      <c r="X3" s="814"/>
      <c r="Y3" s="815"/>
      <c r="Z3" s="814"/>
      <c r="AA3" s="816"/>
      <c r="AB3" s="461"/>
      <c r="AC3" s="461"/>
      <c r="AD3" s="461"/>
      <c r="AE3" s="461"/>
      <c r="AF3" s="461"/>
      <c r="AG3" s="461"/>
      <c r="AH3" s="461"/>
      <c r="AI3" s="461"/>
      <c r="AJ3" s="461"/>
      <c r="AK3" s="461"/>
      <c r="AL3" s="461"/>
      <c r="AM3" s="461"/>
      <c r="AN3" s="461"/>
      <c r="AO3" s="461"/>
      <c r="AP3" s="461"/>
      <c r="AQ3" s="461"/>
      <c r="AR3" s="461"/>
      <c r="AS3" s="461" t="s">
        <v>460</v>
      </c>
      <c r="AT3" s="461"/>
      <c r="AU3" s="461"/>
      <c r="AV3" s="461"/>
      <c r="AW3" s="461"/>
      <c r="AX3" s="461"/>
      <c r="AY3" s="461"/>
      <c r="AZ3" s="461"/>
      <c r="BA3" s="461" t="s">
        <v>470</v>
      </c>
      <c r="BB3" s="461"/>
      <c r="BC3" s="461"/>
      <c r="BD3" s="480" t="s">
        <v>471</v>
      </c>
      <c r="BE3" s="461"/>
      <c r="BF3" s="461"/>
      <c r="BG3" s="480" t="s">
        <v>888</v>
      </c>
      <c r="BH3" s="461"/>
      <c r="BI3" s="461"/>
      <c r="BJ3" s="461"/>
      <c r="BK3" s="461"/>
      <c r="BL3" s="461"/>
      <c r="BM3" s="461"/>
      <c r="BN3" s="461"/>
      <c r="BO3" s="480" t="s">
        <v>489</v>
      </c>
      <c r="BP3" s="461"/>
      <c r="BQ3" s="461"/>
      <c r="BR3" s="461"/>
      <c r="BS3" s="481" t="s">
        <v>490</v>
      </c>
      <c r="BT3" s="461"/>
      <c r="BU3" s="461"/>
      <c r="BV3" s="461"/>
      <c r="BW3" s="461"/>
      <c r="BX3" s="461"/>
      <c r="BY3" s="480"/>
      <c r="BZ3" s="461"/>
      <c r="CA3" s="461"/>
      <c r="CB3" s="461"/>
      <c r="CC3" s="461"/>
      <c r="CI3" s="191" t="s">
        <v>421</v>
      </c>
      <c r="CJ3" s="464"/>
      <c r="CK3" s="464"/>
      <c r="CL3" s="464"/>
      <c r="CM3" s="192"/>
      <c r="CN3" s="193"/>
      <c r="CO3" s="452"/>
      <c r="CP3" s="452"/>
      <c r="CQ3" s="814" t="s">
        <v>189</v>
      </c>
      <c r="CR3" s="815"/>
      <c r="CS3" s="817"/>
      <c r="CT3" s="814"/>
      <c r="CU3" s="814"/>
      <c r="CV3" s="817"/>
      <c r="CW3" s="817"/>
      <c r="CX3" s="817"/>
      <c r="CY3" s="814"/>
      <c r="CZ3" s="815"/>
      <c r="DA3" s="815"/>
      <c r="DB3" s="814"/>
      <c r="DC3" s="815"/>
      <c r="DD3" s="814"/>
      <c r="DE3" s="816"/>
      <c r="DF3" s="461"/>
      <c r="DG3" s="461"/>
      <c r="DH3" s="461"/>
      <c r="DI3" s="461"/>
      <c r="DJ3" s="461"/>
      <c r="DK3" s="461"/>
      <c r="DL3" s="461"/>
      <c r="DM3" s="461"/>
      <c r="DN3" s="461"/>
      <c r="DO3" s="461"/>
      <c r="DP3" s="461"/>
      <c r="DQ3" s="461"/>
      <c r="DR3" s="461"/>
      <c r="DS3" s="461"/>
      <c r="DT3" s="461"/>
      <c r="DU3" s="461"/>
      <c r="DV3" s="461"/>
      <c r="DW3" s="461" t="s">
        <v>460</v>
      </c>
      <c r="DX3" s="461"/>
      <c r="DY3" s="461"/>
      <c r="DZ3" s="461"/>
      <c r="EA3" s="461"/>
      <c r="EB3" s="461"/>
      <c r="EC3" s="461"/>
      <c r="ED3" s="461"/>
      <c r="EE3" s="461" t="s">
        <v>470</v>
      </c>
      <c r="EF3" s="461"/>
      <c r="EG3" s="461"/>
      <c r="EH3" s="480" t="s">
        <v>471</v>
      </c>
      <c r="EI3" s="461"/>
      <c r="EJ3" s="461"/>
      <c r="EK3" s="480" t="s">
        <v>493</v>
      </c>
      <c r="EL3" s="461"/>
      <c r="EM3" s="461"/>
      <c r="EN3" s="461"/>
      <c r="EO3" s="461"/>
      <c r="EP3" s="461"/>
      <c r="EQ3" s="461"/>
      <c r="ER3" s="461"/>
      <c r="ES3" s="480" t="s">
        <v>489</v>
      </c>
      <c r="ET3" s="461"/>
      <c r="EU3" s="461"/>
      <c r="EV3" s="461"/>
      <c r="EW3" s="481" t="s">
        <v>490</v>
      </c>
      <c r="EX3" s="461"/>
      <c r="EY3" s="461"/>
      <c r="EZ3" s="461"/>
      <c r="FA3" s="461"/>
      <c r="FB3" s="461"/>
      <c r="FC3" s="480"/>
      <c r="FD3" s="461"/>
      <c r="FE3" s="461"/>
      <c r="FF3" s="461"/>
      <c r="FG3" s="461"/>
    </row>
    <row r="4" spans="2:168" ht="45" customHeight="1" thickBot="1">
      <c r="E4" s="211" t="s">
        <v>25</v>
      </c>
      <c r="F4" s="380" t="s">
        <v>194</v>
      </c>
      <c r="G4" s="230"/>
      <c r="H4" s="455" t="s">
        <v>223</v>
      </c>
      <c r="I4" s="212" t="s">
        <v>412</v>
      </c>
      <c r="J4" s="213" t="s">
        <v>418</v>
      </c>
      <c r="K4" s="455" t="s">
        <v>413</v>
      </c>
      <c r="L4" s="455"/>
      <c r="M4" s="214" t="s">
        <v>48</v>
      </c>
      <c r="N4" s="455" t="s">
        <v>402</v>
      </c>
      <c r="O4" s="455" t="s">
        <v>656</v>
      </c>
      <c r="P4" s="455" t="s">
        <v>403</v>
      </c>
      <c r="Q4" s="455" t="s">
        <v>433</v>
      </c>
      <c r="R4" s="455" t="s">
        <v>654</v>
      </c>
      <c r="S4" s="455" t="s">
        <v>657</v>
      </c>
      <c r="T4" s="455" t="s">
        <v>655</v>
      </c>
      <c r="U4" s="455" t="s">
        <v>414</v>
      </c>
      <c r="V4" s="455" t="s">
        <v>466</v>
      </c>
      <c r="W4" s="455" t="s">
        <v>465</v>
      </c>
      <c r="X4" s="469" t="s">
        <v>420</v>
      </c>
      <c r="Y4" s="466" t="s">
        <v>425</v>
      </c>
      <c r="AA4" s="215" t="s">
        <v>417</v>
      </c>
      <c r="AB4" s="215" t="s">
        <v>464</v>
      </c>
      <c r="AC4" s="215" t="s">
        <v>423</v>
      </c>
      <c r="AD4" s="468"/>
      <c r="AE4" s="215" t="s">
        <v>463</v>
      </c>
      <c r="AF4" s="215" t="s">
        <v>681</v>
      </c>
      <c r="AG4" s="215" t="s">
        <v>427</v>
      </c>
      <c r="AH4" s="468"/>
      <c r="AI4" s="215" t="s">
        <v>429</v>
      </c>
      <c r="AJ4" s="470" t="s">
        <v>430</v>
      </c>
      <c r="AK4" s="470" t="s">
        <v>431</v>
      </c>
      <c r="AM4" s="467" t="s">
        <v>275</v>
      </c>
      <c r="AN4" s="467" t="s">
        <v>432</v>
      </c>
      <c r="AP4" s="215" t="s">
        <v>275</v>
      </c>
      <c r="AQ4" s="215" t="s">
        <v>432</v>
      </c>
      <c r="AR4" s="471"/>
      <c r="AS4" s="215" t="s">
        <v>467</v>
      </c>
      <c r="AT4" s="215" t="s">
        <v>461</v>
      </c>
      <c r="AU4" s="215" t="s">
        <v>462</v>
      </c>
      <c r="AV4" s="215" t="s">
        <v>653</v>
      </c>
      <c r="AW4" s="215" t="s">
        <v>48</v>
      </c>
      <c r="AX4" s="471" t="s">
        <v>651</v>
      </c>
      <c r="AY4" s="468" t="s">
        <v>650</v>
      </c>
      <c r="AZ4" s="468" t="s">
        <v>652</v>
      </c>
      <c r="BA4" s="215" t="s">
        <v>481</v>
      </c>
      <c r="BB4" s="215" t="s">
        <v>514</v>
      </c>
      <c r="BC4" s="468"/>
      <c r="BD4" s="479" t="s">
        <v>456</v>
      </c>
      <c r="BE4" s="215" t="s">
        <v>457</v>
      </c>
      <c r="BF4" s="468"/>
      <c r="BG4" s="479" t="s">
        <v>474</v>
      </c>
      <c r="BH4" s="215" t="s">
        <v>475</v>
      </c>
      <c r="BI4" s="215" t="s">
        <v>473</v>
      </c>
      <c r="BJ4" s="215" t="s">
        <v>469</v>
      </c>
      <c r="BK4" s="215" t="s">
        <v>478</v>
      </c>
      <c r="BL4" s="215" t="s">
        <v>777</v>
      </c>
      <c r="BM4" s="215" t="s">
        <v>776</v>
      </c>
      <c r="BN4" s="215" t="s">
        <v>491</v>
      </c>
      <c r="BO4" s="479" t="s">
        <v>476</v>
      </c>
      <c r="BP4" s="215" t="s">
        <v>477</v>
      </c>
      <c r="BQ4" s="215" t="s">
        <v>483</v>
      </c>
      <c r="BR4" s="215" t="s">
        <v>487</v>
      </c>
      <c r="BS4" s="479" t="s">
        <v>458</v>
      </c>
      <c r="BT4" s="215" t="s">
        <v>459</v>
      </c>
      <c r="BU4" s="215" t="s">
        <v>468</v>
      </c>
      <c r="BV4" s="215" t="s">
        <v>666</v>
      </c>
      <c r="BW4" s="215" t="s">
        <v>484</v>
      </c>
      <c r="BX4" s="215" t="s">
        <v>667</v>
      </c>
      <c r="BY4" s="479" t="s">
        <v>482</v>
      </c>
      <c r="BZ4" s="215" t="s">
        <v>223</v>
      </c>
      <c r="CA4" s="215" t="s">
        <v>47</v>
      </c>
      <c r="CB4" s="215" t="s">
        <v>485</v>
      </c>
      <c r="CC4" s="215"/>
      <c r="CE4" s="490" t="s">
        <v>664</v>
      </c>
      <c r="CF4" s="490" t="s">
        <v>665</v>
      </c>
      <c r="CG4" s="667" t="s">
        <v>828</v>
      </c>
      <c r="CI4" s="211" t="s">
        <v>25</v>
      </c>
      <c r="CJ4" s="380" t="s">
        <v>194</v>
      </c>
      <c r="CK4" s="230"/>
      <c r="CL4" s="455" t="s">
        <v>223</v>
      </c>
      <c r="CM4" s="212" t="s">
        <v>412</v>
      </c>
      <c r="CN4" s="213" t="s">
        <v>418</v>
      </c>
      <c r="CO4" s="455" t="s">
        <v>413</v>
      </c>
      <c r="CP4" s="455"/>
      <c r="CQ4" s="214" t="s">
        <v>48</v>
      </c>
      <c r="CR4" s="455" t="s">
        <v>402</v>
      </c>
      <c r="CS4" s="455" t="s">
        <v>656</v>
      </c>
      <c r="CT4" s="455" t="s">
        <v>403</v>
      </c>
      <c r="CU4" s="455" t="s">
        <v>433</v>
      </c>
      <c r="CV4" s="455" t="s">
        <v>654</v>
      </c>
      <c r="CW4" s="455" t="s">
        <v>657</v>
      </c>
      <c r="CX4" s="455" t="s">
        <v>655</v>
      </c>
      <c r="CY4" s="455" t="s">
        <v>414</v>
      </c>
      <c r="CZ4" s="455" t="s">
        <v>466</v>
      </c>
      <c r="DA4" s="455" t="s">
        <v>465</v>
      </c>
      <c r="DB4" s="469" t="s">
        <v>420</v>
      </c>
      <c r="DC4" s="466" t="s">
        <v>425</v>
      </c>
      <c r="DE4" s="215" t="s">
        <v>417</v>
      </c>
      <c r="DF4" s="215" t="s">
        <v>464</v>
      </c>
      <c r="DG4" s="215" t="s">
        <v>423</v>
      </c>
      <c r="DH4" s="468"/>
      <c r="DI4" s="215" t="s">
        <v>463</v>
      </c>
      <c r="DJ4" s="215" t="s">
        <v>681</v>
      </c>
      <c r="DK4" s="215" t="s">
        <v>427</v>
      </c>
      <c r="DL4" s="468"/>
      <c r="DM4" s="215" t="s">
        <v>429</v>
      </c>
      <c r="DN4" s="470" t="s">
        <v>430</v>
      </c>
      <c r="DO4" s="470" t="s">
        <v>431</v>
      </c>
      <c r="DQ4" s="467" t="s">
        <v>275</v>
      </c>
      <c r="DR4" s="467" t="s">
        <v>432</v>
      </c>
      <c r="DT4" s="215" t="s">
        <v>275</v>
      </c>
      <c r="DU4" s="215" t="s">
        <v>432</v>
      </c>
      <c r="DV4" s="471"/>
      <c r="DW4" s="215" t="s">
        <v>467</v>
      </c>
      <c r="DX4" s="215" t="s">
        <v>461</v>
      </c>
      <c r="DY4" s="215" t="s">
        <v>462</v>
      </c>
      <c r="DZ4" s="215" t="s">
        <v>653</v>
      </c>
      <c r="EA4" s="215" t="s">
        <v>48</v>
      </c>
      <c r="EB4" s="471" t="s">
        <v>651</v>
      </c>
      <c r="EC4" s="468" t="s">
        <v>650</v>
      </c>
      <c r="ED4" s="468" t="s">
        <v>652</v>
      </c>
      <c r="EE4" s="215" t="s">
        <v>481</v>
      </c>
      <c r="EF4" s="215" t="s">
        <v>514</v>
      </c>
      <c r="EG4" s="468"/>
      <c r="EH4" s="479" t="s">
        <v>456</v>
      </c>
      <c r="EI4" s="215" t="s">
        <v>457</v>
      </c>
      <c r="EJ4" s="468"/>
      <c r="EK4" s="479" t="s">
        <v>474</v>
      </c>
      <c r="EL4" s="215" t="s">
        <v>475</v>
      </c>
      <c r="EM4" s="215" t="s">
        <v>473</v>
      </c>
      <c r="EN4" s="215" t="s">
        <v>469</v>
      </c>
      <c r="EO4" s="215" t="s">
        <v>478</v>
      </c>
      <c r="EP4" s="215" t="s">
        <v>777</v>
      </c>
      <c r="EQ4" s="215" t="s">
        <v>776</v>
      </c>
      <c r="ER4" s="215" t="s">
        <v>491</v>
      </c>
      <c r="ES4" s="479" t="s">
        <v>476</v>
      </c>
      <c r="ET4" s="215" t="s">
        <v>477</v>
      </c>
      <c r="EU4" s="215" t="s">
        <v>483</v>
      </c>
      <c r="EV4" s="215" t="s">
        <v>487</v>
      </c>
      <c r="EW4" s="479" t="s">
        <v>458</v>
      </c>
      <c r="EX4" s="215" t="s">
        <v>459</v>
      </c>
      <c r="EY4" s="215" t="s">
        <v>468</v>
      </c>
      <c r="EZ4" s="215" t="s">
        <v>666</v>
      </c>
      <c r="FA4" s="215" t="s">
        <v>484</v>
      </c>
      <c r="FB4" s="215" t="s">
        <v>667</v>
      </c>
      <c r="FC4" s="479" t="s">
        <v>482</v>
      </c>
      <c r="FD4" s="215" t="s">
        <v>223</v>
      </c>
      <c r="FE4" s="215" t="s">
        <v>47</v>
      </c>
      <c r="FF4" s="215" t="s">
        <v>485</v>
      </c>
      <c r="FG4" s="215"/>
      <c r="FI4" s="490" t="s">
        <v>664</v>
      </c>
      <c r="FJ4" s="490" t="s">
        <v>665</v>
      </c>
      <c r="FL4" t="s">
        <v>825</v>
      </c>
    </row>
    <row r="5" spans="2:168">
      <c r="E5" s="147">
        <v>0.1</v>
      </c>
      <c r="F5" s="188">
        <v>1.0000000000000001E-9</v>
      </c>
      <c r="G5" s="188"/>
      <c r="H5" s="188">
        <f t="shared" ref="H5:H36" si="0">F5*Vout</f>
        <v>5.0000000000000001E-9</v>
      </c>
      <c r="I5" s="465">
        <f t="shared" ref="I5:I36" si="1">Vin-F5*(Rdcr_pri+RON/1000)/CG5/Nps</f>
        <v>47.999993411921544</v>
      </c>
      <c r="J5" s="149">
        <f t="shared" ref="J5:J36" si="2">(T5+Vfwd1+F5/CG5*Rdcr_sec)*Nps</f>
        <v>5.4000039528470758</v>
      </c>
      <c r="K5" s="149">
        <f t="shared" ref="K5:K36" si="3">(Vout+Vfwd1+F5/CG5*Rdcr_sec)*Nps+VIN_nom</f>
        <v>53.400003952847072</v>
      </c>
      <c r="L5" s="379"/>
      <c r="M5" s="188">
        <f t="shared" ref="M5:M36" si="4">(Vout+Vfwd1+F5/FL5*Rdcr_sec)*Nps/((Vout+Vfwd1+F5/FL5*Rdcr_sec)*Nps+I5)</f>
        <v>0.10112367712962561</v>
      </c>
      <c r="N5" s="149">
        <f t="shared" ref="N5:N36" si="5">M5*I5*(Isw_max+VIN_nom/Lmag*ILIM_delay)*0.5*Efficiency</f>
        <v>12.426075740188956</v>
      </c>
      <c r="O5" s="149">
        <f>T5*F5</f>
        <v>5.0000000000000001E-9</v>
      </c>
      <c r="P5" s="188">
        <f t="shared" ref="P5:P36" si="6">N5/Vout</f>
        <v>2.4852151480377911</v>
      </c>
      <c r="Q5" s="188">
        <f t="shared" ref="Q5:Q36" si="7">MIN(Vout,N5/F5)</f>
        <v>5</v>
      </c>
      <c r="R5" s="188">
        <f t="shared" ref="R5:R36" si="8">Isw_max/2*I5*Nps*(Q5+Vfwd1+F5/FL5*Rdcr_sec)/Q5/(I5+Nps*(Q5+Vfwd1+F5/FL5*Rdcr_sec))</f>
        <v>2.4269679180056554</v>
      </c>
      <c r="S5" s="149">
        <f t="shared" ref="S5:S36" si="9">(SQRT(Isw_max^2*Nps^2*I5^2+4*Isw_max*F5/Efficiency*(Nps^2*Vfwd1*I5-Nps*I5^2)+4*(F5/Efficiency)^2*Nps^2*Vfwd1^2+8*(F5/Efficiency)^2*Nps*Vfwd1*I5+4*(F5/Efficiency)^2*I5^2)-2*F5/Efficiency*I5-2*F5/Efficiency*Nps*Vfwd1+Isw_max*Nps*I5)/(4*F5/Efficiency*Nps)</f>
        <v>119999983481.80386</v>
      </c>
      <c r="T5" s="149">
        <f t="shared" ref="T5:T36" si="10">MIN(Vout, S5)</f>
        <v>5</v>
      </c>
      <c r="U5" s="188">
        <f>MIN(2*(Vout+Vfwd1+F5/FL5*Rdcr_sec)*F5/(I5*M5), Isw_max)</f>
        <v>2.2250002020449449E-9</v>
      </c>
      <c r="V5" s="188">
        <f t="shared" ref="V5:V68" si="11">L*U5/I5*1000000</f>
        <v>5.5625012685747538E-10</v>
      </c>
      <c r="W5" s="188">
        <f t="shared" ref="W5:W36" si="12">L*U5/J5*1000000</f>
        <v>4.9444412740590944E-9</v>
      </c>
      <c r="X5" s="172">
        <f t="shared" ref="X5:X36" si="13">IF(1/((350000*L)*(1/I5+1/J5))&gt;Isw_min, 350, 0.001/((Isw_min*L)*(1/I5+1/J5)))</f>
        <v>350</v>
      </c>
      <c r="Y5" s="379">
        <f t="shared" ref="Y5:Y68" si="14">MIN(1/(V5+W5+0.2)*1000, 350)</f>
        <v>350</v>
      </c>
      <c r="AA5" s="188">
        <f t="shared" ref="AA5:AA36" si="15">1/((X5*1000*L)*(1/I5+1/J5))</f>
        <v>1.1556989787419905</v>
      </c>
      <c r="AB5" s="150">
        <f t="shared" ref="AB5:AB36" si="16">L*AA5/J5*1000000</f>
        <v>2.5682180728019608</v>
      </c>
      <c r="AC5" s="150">
        <f t="shared" ref="AC5:AC36" si="17">0.5*AB5*AA5*Nps*X5/1000</f>
        <v>0.51941522568669107</v>
      </c>
      <c r="AD5" s="150"/>
      <c r="AE5" s="150">
        <f t="shared" ref="AE5:AE36" si="18">L*Isw_min/J5*1000000</f>
        <v>2.2222205955373737</v>
      </c>
      <c r="AF5" s="314">
        <f>MAX(12, F5/(0.5*AE5/1000000*Isw_min*Nps)/1000)</f>
        <v>12</v>
      </c>
      <c r="AG5" s="456">
        <f t="shared" ref="AG5:AG36" si="19">0.5*AE5/1000000*Isw_min*Nps*X5*1000</f>
        <v>0.38888860421904042</v>
      </c>
      <c r="AI5" s="150">
        <f t="shared" ref="AI5:AI36" si="20">SQRT(F5/Efficiency/(0.5*L/J5*Fsw_DCM*Nps))</f>
        <v>5.0709273843516065E-5</v>
      </c>
      <c r="AJ5" s="150">
        <f t="shared" ref="AJ5:AJ36" si="21">MAX(IF(F5&gt;AC5,U5,AI5),Isw_min)</f>
        <v>1</v>
      </c>
      <c r="AK5" s="150">
        <f t="shared" ref="AK5:AK36" si="22">IF(F5&gt;AG5, (AJ5-Isw_min)/1.08*0.8+1.2, AF5*0.2/350+1)</f>
        <v>1.0068571428571429</v>
      </c>
      <c r="AM5" s="314">
        <f t="shared" ref="AM5:AM36" si="23">F5*1000</f>
        <v>1.0000000000000002E-6</v>
      </c>
      <c r="AN5" s="144">
        <f t="shared" ref="AN5:AN36" si="24">IF(F5&gt;AG5, Y5, AF5)</f>
        <v>12</v>
      </c>
      <c r="AP5">
        <f t="shared" ref="AP5:AP36" si="25">IF(H5&gt;N5, "",AM5)</f>
        <v>1.0000000000000002E-6</v>
      </c>
      <c r="AQ5" s="144">
        <f t="shared" ref="AQ5:AQ36" si="26">IF(H5&gt;N5, "",AN5)</f>
        <v>12</v>
      </c>
      <c r="AR5" s="144"/>
      <c r="AS5" s="5">
        <f>1/AN5*1000</f>
        <v>83.333333333333329</v>
      </c>
      <c r="AT5" s="5">
        <f t="shared" ref="AT5:AT36" si="27">L*AJ5/I5*1000000</f>
        <v>0.25000003431291334</v>
      </c>
      <c r="AU5" s="5">
        <f>AS5-AT5</f>
        <v>83.08333329902041</v>
      </c>
      <c r="AV5" s="5">
        <f t="shared" ref="AV5:AV36" si="28">L*AJ5/J5*1000000</f>
        <v>2.2222205955373737</v>
      </c>
      <c r="AW5" s="150">
        <f>AT5/AS5</f>
        <v>3.0000004117549605E-3</v>
      </c>
      <c r="AX5" s="150">
        <f t="shared" ref="AX5:AX36" si="29">0.5*L*AJ5^2*AN5*1000</f>
        <v>7.2000000000000008E-2</v>
      </c>
      <c r="AY5" s="150">
        <f t="shared" ref="AY5:AY36" si="30">AJ5*Nps/2*(1-AW5)</f>
        <v>0.49849999979412252</v>
      </c>
      <c r="AZ5" s="150">
        <f>AX5/AY5</f>
        <v>0.1444332999593492</v>
      </c>
      <c r="BA5" s="144">
        <f t="shared" ref="BA5:BA36" si="31">F5*AT5/Vout_ripple*1000</f>
        <v>5.0000006862582664E-9</v>
      </c>
      <c r="BB5" s="5">
        <f t="shared" ref="BB5:BB36" si="32">H5/Efficiency/I5*AU5/Vinripple1</f>
        <v>3.6060479471504014E-9</v>
      </c>
      <c r="BC5" s="5"/>
      <c r="BD5" s="150">
        <f>AJ5*SQRT(AW5/3)</f>
        <v>3.1622778771822908E-2</v>
      </c>
      <c r="BE5" s="150">
        <f t="shared" ref="BE5:BE36" si="33">AJ5*Nps*SQRT((1-AW5)/3)</f>
        <v>0.57648359317163711</v>
      </c>
      <c r="BF5" s="150"/>
      <c r="BG5" s="456">
        <f t="shared" ref="BG5:BG36" si="34">Rdson*BD5^2</f>
        <v>2.0000002745033074E-5</v>
      </c>
      <c r="BH5" s="456">
        <f t="shared" ref="BH5:BH36" si="35">0.5*K5*AJ5*AN5*1000*Tfall</f>
        <v>1.2015000889390592E-2</v>
      </c>
      <c r="BI5" s="456">
        <f t="shared" ref="BI5:BI36" si="36">Qg*Vdd*AN5*1000*0+Qg*I5*AN5*1000</f>
        <v>1.4399998023576463E-2</v>
      </c>
      <c r="BJ5" s="456">
        <f t="shared" ref="BJ5:BJ36" si="37">0.5*(Coss+Csw)*K5^2*AN5*1000</f>
        <v>3.4218725065968993E-3</v>
      </c>
      <c r="BK5">
        <f t="shared" ref="BK5:BK36" si="38">I5*IQ</f>
        <v>2.1599997035364693E-2</v>
      </c>
      <c r="BL5" s="144">
        <f>(BK5+BI5)*1000</f>
        <v>35.99999505894116</v>
      </c>
      <c r="BM5" s="456">
        <f t="shared" ref="BM5:BM36" si="39">(BH5+BI5*0+BJ5+BK5*0+BG5*(1+RdsonTC*(Ta-25)))/(1-BG5*RdsonTC*ThetaJA)</f>
        <v>1.5462346876556126E-2</v>
      </c>
      <c r="BN5" s="144">
        <f>BM5*1000</f>
        <v>15.462346876556126</v>
      </c>
      <c r="BO5" s="456">
        <f>Vfwd2*F5*(1+Diode_TC/1000*(Ta-25))</f>
        <v>6.212499999999999E-10</v>
      </c>
      <c r="BP5" s="456"/>
      <c r="BR5" s="144">
        <f>SUM(BO5:BQ5)*1000</f>
        <v>6.2124999999999988E-7</v>
      </c>
      <c r="BS5" s="456">
        <f t="shared" ref="BS5:BS36" si="40">Rdcr_pri*BD5^2</f>
        <v>3.0000004117549608E-5</v>
      </c>
      <c r="BT5" s="456">
        <f t="shared" ref="BT5:BT36" si="41">Rdcr_sec*BE5^2</f>
        <v>9.9699999958824479E-3</v>
      </c>
      <c r="BU5" s="456">
        <f t="shared" ref="BU5:BU36" si="42">AJ5^2.5*AN5^2.5*k_core*0+BZ5*0.015</f>
        <v>7.5E-11</v>
      </c>
      <c r="BV5" s="456">
        <f t="shared" ref="BV5:BV36" si="43">(BU5+(BS5+BT5)*(1+Ltc*(Ta-25)))/(1-(BS5+BT5)*Ltc*ThetaCa)</f>
        <v>1.2409928017413927E-2</v>
      </c>
      <c r="BW5" s="456">
        <f t="shared" ref="BW5:BW36" si="44">0.5*Lleak*0.000000001*AJ5^2*AN5*1000</f>
        <v>1.2000000000000002E-5</v>
      </c>
      <c r="BX5" s="144">
        <f>1000*(BV5+BW5)</f>
        <v>12.421928017413927</v>
      </c>
      <c r="BY5" s="150">
        <f t="shared" ref="BY5:BY68" si="45">SUM(BM5,BO5:BQ5,BV5, BW5)+BK5+BI5</f>
        <v>6.3884270574161212E-2</v>
      </c>
      <c r="BZ5" s="5">
        <f>MIN(H5,O5)</f>
        <v>5.0000000000000001E-9</v>
      </c>
      <c r="CA5" s="150">
        <f>BZ5/(BZ5+BY5)</f>
        <v>7.82665210658241E-8</v>
      </c>
      <c r="CB5" s="5">
        <f>CA5*100</f>
        <v>7.8266521065824093E-6</v>
      </c>
      <c r="CE5" s="59">
        <f t="shared" ref="CE5:CE36" si="46">IF(ABS(F5-Ioutmax_Vinnom)&lt;Iout/200, AN5, -50)</f>
        <v>-50</v>
      </c>
      <c r="CF5">
        <f t="shared" ref="CF5:CF36" si="47">IF(ABS(F5-Ioutmax_Vinnom)&lt;Iout/200, N5*CA5, -50)</f>
        <v>-50</v>
      </c>
      <c r="CG5" s="150">
        <f t="shared" ref="CG5:CG36" si="48">MIN(SQRT(2*DU5*1000*Ls1_*CL5)/CU5,1-EA5-0.00000005*DU5*1000)</f>
        <v>7.5894663844041118E-6</v>
      </c>
      <c r="CI5" s="147">
        <v>0.1</v>
      </c>
      <c r="CJ5" s="188">
        <v>1.0000000000000001E-9</v>
      </c>
      <c r="CK5" s="188"/>
      <c r="CL5" s="188">
        <f t="shared" ref="CL5:CL68" si="49">CJ5*Vout</f>
        <v>5.0000000000000001E-9</v>
      </c>
      <c r="CM5" s="465">
        <f t="shared" ref="CM5:CM68" si="50">Vin</f>
        <v>48</v>
      </c>
      <c r="CN5" s="149">
        <f t="shared" ref="CN5:CN68" si="51">(CX5+Vfwd1)*Nps</f>
        <v>5.4</v>
      </c>
      <c r="CO5" s="379">
        <f t="shared" ref="CO5:CO68" si="52">(Vout+Vfwd1)*Nps+CM5</f>
        <v>53.4</v>
      </c>
      <c r="CP5" s="379"/>
      <c r="CQ5" s="188">
        <f t="shared" ref="CQ5:CQ68" si="53">(Vout+Vfwd1)*Nps/((Vout+Vfwd1)*Nps+CM5)</f>
        <v>0.10112359550561799</v>
      </c>
      <c r="CR5" s="149">
        <f t="shared" ref="CR5:CR68" si="54">CQ5*CM5*(Isw_max+VIN_nom/Lmag*ILIM_delay)*0.5*Efficiency</f>
        <v>12.426067415730339</v>
      </c>
      <c r="CS5" s="149">
        <f>CX5*CJ5</f>
        <v>5.0000000000000001E-9</v>
      </c>
      <c r="CT5" s="188">
        <f t="shared" ref="CT5:CT68" si="55">CR5/Vout</f>
        <v>2.4852134831460679</v>
      </c>
      <c r="CU5" s="188">
        <f t="shared" ref="CU5:CU68" si="56">MIN(Vout,CR5/CJ5)</f>
        <v>5</v>
      </c>
      <c r="CV5" s="188">
        <f t="shared" ref="CV5:CV68" si="57">Isw_max/2*CM5*Nps*(CU5+Vfwd1)/CU5/(CM5+Nps*(CU5+Vfwd1))</f>
        <v>2.4269662921348316</v>
      </c>
      <c r="CW5" s="149">
        <f t="shared" ref="CW5:CW68" si="58">(SQRT(Isw_max^2*Nps^2*CM5^2+4*Isw_max*CJ5/Efficiency*(Nps^2*Vfwd1*CM5-Nps*CM5^2)+4*(CJ5/Efficiency)^2*Nps^2*Vfwd1^2+8*(CJ5/Efficiency)^2*Nps*Vfwd1*CM5+4*(CJ5/Efficiency)^2*CM5^2)-2*CJ5/Efficiency*CM5-2*CJ5/Efficiency*Nps*Vfwd1+Isw_max*Nps*CM5)/(4*CJ5/Efficiency*Nps)</f>
        <v>119999999951.99998</v>
      </c>
      <c r="CX5" s="149">
        <f t="shared" ref="CX5:CX68" si="59">MIN(Vout, CW5)</f>
        <v>5</v>
      </c>
      <c r="CY5" s="188">
        <f t="shared" ref="CY5:CY68" si="60">MIN(2*Vout*CJ5/(CM5*CQ5), Isw_max)</f>
        <v>2.0601851851851851E-9</v>
      </c>
      <c r="CZ5" s="188">
        <f t="shared" ref="CZ5:CZ68" si="61">L*CY5/CM5*1000000</f>
        <v>5.1504629629629628E-10</v>
      </c>
      <c r="DA5" s="188">
        <f t="shared" ref="DA5:DA68" si="62">L*CY5/CN5*1000000</f>
        <v>4.578189300411522E-9</v>
      </c>
      <c r="DB5" s="172">
        <f t="shared" ref="DB5:DB68" si="63">IF(1/((350000*L)*(1/CM5+1/CN5))&gt;Isw_min, 350, 0.001/((Isw_min*L)*(1/CM5+1/CN5)))</f>
        <v>350</v>
      </c>
      <c r="DC5" s="379">
        <f>MIN(1/(CZ5+DA5)*1000, 350)</f>
        <v>350</v>
      </c>
      <c r="DE5" s="188">
        <f t="shared" ref="DE5:DE68" si="64">1/((DB5*1000*L)*(1/CM5+1/CN5))</f>
        <v>1.1556982343499198</v>
      </c>
      <c r="DF5" s="150">
        <f t="shared" ref="DF5:DF68" si="65">L*DE5/CN5*1000000</f>
        <v>2.5682182985553772</v>
      </c>
      <c r="DG5" s="150">
        <f t="shared" ref="DG5:DG68" si="66">0.5*DF5*DE5*Nps*DB5/1000</f>
        <v>0.51941493678648076</v>
      </c>
      <c r="DH5" s="150"/>
      <c r="DI5" s="150">
        <f t="shared" ref="DI5:DI68" si="67">L*Isw_min/CN5*1000000</f>
        <v>2.2222222222222219</v>
      </c>
      <c r="DJ5" s="314">
        <f>MAX(12, CJ5/(0.5*DI5/1000000*Isw_min*Nps)/1000)</f>
        <v>12</v>
      </c>
      <c r="DK5" s="456">
        <f t="shared" ref="DK5:DK68" si="68">0.5*DI5/1000000*Isw_min*Nps*DB5*1000</f>
        <v>0.38888888888888884</v>
      </c>
      <c r="DM5" s="150">
        <f t="shared" ref="DM5:DM68" si="69">SQRT(CJ5/Efficiency/(0.5*L/CN5*Fsw_DCM*Nps))</f>
        <v>5.0709255283710998E-5</v>
      </c>
      <c r="DN5" s="150">
        <f t="shared" ref="DN5:DN68" si="70">MAX(IF(CJ5&gt;DG5,CY5,DM5),Isw_min)</f>
        <v>1</v>
      </c>
      <c r="DO5" s="150">
        <f t="shared" ref="DO5:DO68" si="71">IF(CJ5&gt;DK5, (DN5-Isw_min)/1.08*0.8+1.2, DJ5*0.2/350+1)</f>
        <v>1.0068571428571429</v>
      </c>
      <c r="DQ5" s="314">
        <f t="shared" ref="DQ5:DQ68" si="72">CJ5*1000</f>
        <v>1.0000000000000002E-6</v>
      </c>
      <c r="DR5" s="144">
        <f t="shared" ref="DR5:DR68" si="73">IF(CJ5&gt;DK5, DC5, DJ5)</f>
        <v>12</v>
      </c>
      <c r="DT5">
        <f t="shared" ref="DT5:DT68" si="74">IF(CL5&gt;CR5, "",DQ5)</f>
        <v>1.0000000000000002E-6</v>
      </c>
      <c r="DU5" s="144">
        <f t="shared" ref="DU5:DU68" si="75">IF(CL5&gt;CR5, "",DR5)</f>
        <v>12</v>
      </c>
      <c r="DV5" s="144"/>
      <c r="DW5" s="5">
        <f>1/DR5*1000</f>
        <v>83.333333333333329</v>
      </c>
      <c r="DX5" s="5">
        <f t="shared" ref="DX5:DX68" si="76">L*DN5/CM5*1000000</f>
        <v>0.25</v>
      </c>
      <c r="DY5" s="5">
        <f>DW5-DX5</f>
        <v>83.083333333333329</v>
      </c>
      <c r="DZ5" s="5">
        <f t="shared" ref="DZ5:DZ68" si="77">L*DN5/CN5*1000000</f>
        <v>2.2222222222222219</v>
      </c>
      <c r="EA5" s="150">
        <f>DX5/DW5</f>
        <v>3.0000000000000001E-3</v>
      </c>
      <c r="EB5" s="150">
        <f t="shared" ref="EB5:EB68" si="78">0.5*L*DN5^2*DR5*1000</f>
        <v>7.2000000000000008E-2</v>
      </c>
      <c r="EC5" s="150">
        <f t="shared" ref="EC5:EC68" si="79">DN5*Nps/2*(1-EA5)</f>
        <v>0.4985</v>
      </c>
      <c r="ED5" s="150">
        <f>EB5/EC5</f>
        <v>0.14443329989969911</v>
      </c>
      <c r="EE5" s="144">
        <f t="shared" ref="EE5:EE68" si="80">CJ5*DX5/Vout_ripple*1000</f>
        <v>5.0000000000000001E-9</v>
      </c>
      <c r="EF5" s="5">
        <f t="shared" ref="EF5:EF68" si="81">CL5/Efficiency/CM5*DY5/Vinripple1</f>
        <v>3.6060474537037032E-9</v>
      </c>
      <c r="EG5" s="5"/>
      <c r="EH5" s="150">
        <f>DN5*SQRT(EA5/3)</f>
        <v>3.1622776601683791E-2</v>
      </c>
      <c r="EI5" s="150">
        <f t="shared" ref="EI5:EI68" si="82">DN5*Nps*SQRT((1-EA5)/3)</f>
        <v>0.57648359329067922</v>
      </c>
      <c r="EJ5" s="150"/>
      <c r="EK5" s="456">
        <f t="shared" ref="EK5:EK68" si="83">Rdson*EH5^2</f>
        <v>1.9999999999999995E-5</v>
      </c>
      <c r="EL5" s="456">
        <f t="shared" ref="EL5:EL68" si="84">0.5*CO5*DN5*DR5*1000*Trise</f>
        <v>1.2816000000000001E-2</v>
      </c>
      <c r="EM5" s="456">
        <f t="shared" ref="EM5:EM68" si="85">Qg*Vdd*DR5*1000</f>
        <v>1.5E-3</v>
      </c>
      <c r="EN5" s="456">
        <f t="shared" ref="EN5:EN68" si="86">0.5*(Coss+Csw)*CO5^2*DR5*1000</f>
        <v>3.4218719999999998E-3</v>
      </c>
      <c r="EO5">
        <f t="shared" ref="EO5:EO68" si="87">CM5*IQ</f>
        <v>2.1600000000000001E-2</v>
      </c>
      <c r="EP5" s="144">
        <f>(EO5+EM5)*1000</f>
        <v>23.1</v>
      </c>
      <c r="EQ5" s="456">
        <f t="shared" ref="EQ5:EQ68" si="88">(EL5+EM5+EN5+EO5+EK5*(1+RdsonTC*(Ta-25)))/(1-EK5*RdsonTC*ThetaJA)</f>
        <v>3.9363459055157438E-2</v>
      </c>
      <c r="ER5" s="144">
        <f>EQ5*1000</f>
        <v>39.363459055157435</v>
      </c>
      <c r="ES5" s="456">
        <f>Vfwd2*CJ5*(1+Diode_TC/1000*(Ta-25))</f>
        <v>6.212499999999999E-10</v>
      </c>
      <c r="ET5" s="456"/>
      <c r="EV5" s="144">
        <f>SUM(ES5:EU5)*1000</f>
        <v>6.2124999999999988E-7</v>
      </c>
      <c r="EW5" s="456">
        <f t="shared" ref="EW5:EW68" si="89">Rdcr_pri*EH5^2</f>
        <v>2.9999999999999994E-5</v>
      </c>
      <c r="EX5" s="456">
        <f t="shared" ref="EX5:EX68" si="90">Rdcr_sec*EI5^2</f>
        <v>9.969999999999998E-3</v>
      </c>
      <c r="EY5" s="456">
        <f t="shared" ref="EY5:EY68" si="91">DN5^2.5*DR5^2.5*k_core</f>
        <v>2.494153162899183E-5</v>
      </c>
      <c r="EZ5" s="456">
        <f t="shared" ref="EZ5:EZ68" si="92">(EY5+(EW5+EX5)*(1+Ltc*(Ta-25)))/(1-(EW5+EX5)*Ltc*ThetaCa)</f>
        <v>1.2434889443183536E-2</v>
      </c>
      <c r="FA5" s="456">
        <f t="shared" ref="FA5:FA68" si="93">0.5*Lleak*0.000000001*DN5^2*DR5*1000</f>
        <v>1.2000000000000002E-5</v>
      </c>
      <c r="FB5" s="144">
        <f>1000*(EZ5+FA5)</f>
        <v>12.446889443183537</v>
      </c>
      <c r="FC5" s="150">
        <f>SUM(EQ5,ES5:EU5,EZ5, FA5)</f>
        <v>5.1810349119590975E-2</v>
      </c>
      <c r="FD5" s="5">
        <f>MIN(CL5,CS5)</f>
        <v>5.0000000000000001E-9</v>
      </c>
      <c r="FE5" s="150">
        <f>FD5/(FD5+FC5)</f>
        <v>9.6505806319307852E-8</v>
      </c>
      <c r="FF5" s="5">
        <f>FE5*100</f>
        <v>9.6505806319307843E-6</v>
      </c>
      <c r="FI5" s="59">
        <f t="shared" ref="FI5:FI68" si="94">IF(ABS(CJ5-Ioutmax_Vinnom)&lt;Iout/200, DR5, -50)</f>
        <v>-50</v>
      </c>
      <c r="FJ5">
        <f t="shared" ref="FJ5:FJ68" si="95">IF(ABS(CJ5-Ioutmax_Vinnom)&lt;Iout/200, CR5*FE5, -50)</f>
        <v>-50</v>
      </c>
      <c r="FL5">
        <f t="shared" ref="FL5:FL36" si="96">MIN(SQRT(2*L*DR5*1000*CJ5*(CX5+Vfwd1))/(Nps*(CX5+Vfwd1)), 1-EA5)</f>
        <v>7.3029674334022154E-6</v>
      </c>
    </row>
    <row r="6" spans="2:168">
      <c r="E6" s="147">
        <v>1</v>
      </c>
      <c r="F6" s="188">
        <f t="shared" ref="F6:F37" si="97">IF(PLOT_TYPE=1, E6/100*Iout_max, min_I*EXP(N6*rr/100))</f>
        <v>1.2E-2</v>
      </c>
      <c r="G6" s="188"/>
      <c r="H6" s="188">
        <f t="shared" si="0"/>
        <v>0.06</v>
      </c>
      <c r="I6" s="465">
        <f t="shared" si="1"/>
        <v>47.977178226770619</v>
      </c>
      <c r="J6" s="149">
        <f t="shared" si="2"/>
        <v>5.4136930639376297</v>
      </c>
      <c r="K6" s="149">
        <f t="shared" si="3"/>
        <v>53.413693063937629</v>
      </c>
      <c r="L6" s="379"/>
      <c r="M6" s="188">
        <f t="shared" si="4"/>
        <v>0.10140639484871493</v>
      </c>
      <c r="N6" s="149">
        <f t="shared" si="5"/>
        <v>12.45489325821714</v>
      </c>
      <c r="O6" s="149">
        <f t="shared" ref="O6:O69" si="98">T6*F6</f>
        <v>0.06</v>
      </c>
      <c r="P6" s="188">
        <f t="shared" si="6"/>
        <v>2.4909786516434282</v>
      </c>
      <c r="Q6" s="188">
        <f t="shared" si="7"/>
        <v>5</v>
      </c>
      <c r="R6" s="188">
        <f t="shared" si="8"/>
        <v>2.432596339495535</v>
      </c>
      <c r="S6" s="149">
        <f t="shared" si="9"/>
        <v>9947.2702148662738</v>
      </c>
      <c r="T6" s="149">
        <f t="shared" si="10"/>
        <v>5</v>
      </c>
      <c r="U6" s="188">
        <f t="shared" ref="U6:U36" si="99">MIN(2*(Vout+Vfwd1+F6/FL6*Rdcr_sec)*F6/(I6*M6), Isw_max)</f>
        <v>2.6708402844642341E-2</v>
      </c>
      <c r="V6" s="188">
        <f t="shared" si="11"/>
        <v>6.6802768729085655E-3</v>
      </c>
      <c r="W6" s="188">
        <f t="shared" si="12"/>
        <v>5.9201884988764587E-2</v>
      </c>
      <c r="X6" s="172">
        <f t="shared" si="13"/>
        <v>350</v>
      </c>
      <c r="Y6" s="379">
        <f t="shared" si="14"/>
        <v>350</v>
      </c>
      <c r="AA6" s="188">
        <f t="shared" si="15"/>
        <v>1.1582759317079558</v>
      </c>
      <c r="AB6" s="150">
        <f t="shared" si="16"/>
        <v>2.5674361321079142</v>
      </c>
      <c r="AC6" s="150">
        <f t="shared" si="17"/>
        <v>0.52041490865314377</v>
      </c>
      <c r="AD6" s="150"/>
      <c r="AE6" s="150">
        <f t="shared" si="18"/>
        <v>2.216601469325238</v>
      </c>
      <c r="AF6" s="314">
        <f t="shared" ref="AF6:AF36" si="100">MAX(12, F6/(0.5*AE6/1000000*Isw_min*Nps)/1000)</f>
        <v>12</v>
      </c>
      <c r="AG6" s="456">
        <f t="shared" si="19"/>
        <v>0.38790525713191665</v>
      </c>
      <c r="AI6" s="150">
        <f t="shared" si="20"/>
        <v>0.17588458982181032</v>
      </c>
      <c r="AJ6" s="150">
        <f t="shared" si="21"/>
        <v>1</v>
      </c>
      <c r="AK6" s="150">
        <f t="shared" si="22"/>
        <v>1.0068571428571429</v>
      </c>
      <c r="AM6" s="314">
        <f t="shared" si="23"/>
        <v>12</v>
      </c>
      <c r="AN6" s="144">
        <f t="shared" si="24"/>
        <v>12</v>
      </c>
      <c r="AP6">
        <f t="shared" si="25"/>
        <v>12</v>
      </c>
      <c r="AQ6" s="144">
        <f t="shared" si="26"/>
        <v>12</v>
      </c>
      <c r="AR6" s="144"/>
      <c r="AS6" s="5">
        <f t="shared" ref="AS6:AS69" si="101">1/AN6*1000</f>
        <v>83.333333333333329</v>
      </c>
      <c r="AT6" s="5">
        <f t="shared" si="27"/>
        <v>0.2501189199431525</v>
      </c>
      <c r="AU6" s="5">
        <f t="shared" ref="AU6:AU69" si="102">AS6-AT6</f>
        <v>83.083214413390181</v>
      </c>
      <c r="AV6" s="5">
        <f t="shared" si="28"/>
        <v>2.216601469325238</v>
      </c>
      <c r="AW6" s="150">
        <f t="shared" ref="AW6:AW69" si="103">AT6/AS6</f>
        <v>3.0014270393178303E-3</v>
      </c>
      <c r="AX6" s="150">
        <f t="shared" si="29"/>
        <v>7.2000000000000008E-2</v>
      </c>
      <c r="AY6" s="150">
        <f t="shared" si="30"/>
        <v>0.49849928648034109</v>
      </c>
      <c r="AZ6" s="150">
        <f t="shared" ref="AZ6:AZ69" si="104">AX6/AY6</f>
        <v>0.14443350663218937</v>
      </c>
      <c r="BA6" s="144">
        <f t="shared" si="31"/>
        <v>6.0028540786356596E-2</v>
      </c>
      <c r="BB6" s="5">
        <f t="shared" si="32"/>
        <v>4.3293091363505225E-2</v>
      </c>
      <c r="BC6" s="5"/>
      <c r="BD6" s="150">
        <f t="shared" ref="BD6:BD69" si="105">AJ6*SQRT(AW6/3)</f>
        <v>3.1630296865072419E-2</v>
      </c>
      <c r="BE6" s="150">
        <f t="shared" si="33"/>
        <v>0.57648318072044458</v>
      </c>
      <c r="BF6" s="150"/>
      <c r="BG6" s="456">
        <f t="shared" si="34"/>
        <v>2.0009513595452203E-5</v>
      </c>
      <c r="BH6" s="456">
        <f t="shared" si="35"/>
        <v>1.2018080939385967E-2</v>
      </c>
      <c r="BI6" s="456">
        <f t="shared" si="36"/>
        <v>1.4393153468031186E-2</v>
      </c>
      <c r="BJ6" s="456">
        <f t="shared" si="37"/>
        <v>3.4236271280742464E-3</v>
      </c>
      <c r="BK6">
        <f t="shared" si="38"/>
        <v>2.1589730202046777E-2</v>
      </c>
      <c r="BL6" s="144">
        <f t="shared" ref="BL6:BL69" si="106">(BK6+BI6)*1000</f>
        <v>35.98288367007796</v>
      </c>
      <c r="BM6" s="456">
        <f t="shared" si="39"/>
        <v>1.5467193684793339E-2</v>
      </c>
      <c r="BN6" s="144">
        <f t="shared" ref="BN6:BN69" si="107">BM6*1000</f>
        <v>15.467193684793338</v>
      </c>
      <c r="BO6" s="456">
        <f t="shared" ref="BO6:BO36" si="108">Vfwd2*F6*(1+Diode_TC/1000*(Ta-25))</f>
        <v>7.454999999999999E-3</v>
      </c>
      <c r="BP6" s="456"/>
      <c r="BR6" s="144">
        <f t="shared" ref="BR6:BR69" si="109">SUM(BO6:BQ6)*1000</f>
        <v>7.4549999999999992</v>
      </c>
      <c r="BS6" s="456">
        <f t="shared" si="40"/>
        <v>3.0014270393178304E-5</v>
      </c>
      <c r="BT6" s="456">
        <f t="shared" si="41"/>
        <v>9.9699857296068218E-3</v>
      </c>
      <c r="BU6" s="456">
        <f t="shared" si="42"/>
        <v>8.9999999999999998E-4</v>
      </c>
      <c r="BV6" s="456">
        <f t="shared" si="43"/>
        <v>1.3310648518815051E-2</v>
      </c>
      <c r="BW6" s="456">
        <f t="shared" si="44"/>
        <v>1.2000000000000002E-5</v>
      </c>
      <c r="BX6" s="144">
        <f t="shared" ref="BX6:BX69" si="110">1000*(BV6+BW6)</f>
        <v>13.322648518815051</v>
      </c>
      <c r="BY6" s="150">
        <f t="shared" si="45"/>
        <v>7.2227725873686352E-2</v>
      </c>
      <c r="BZ6" s="5">
        <f t="shared" ref="BZ6:BZ69" si="111">MIN(H6,O6)</f>
        <v>0.06</v>
      </c>
      <c r="CA6" s="150">
        <f t="shared" ref="CA6:CA69" si="112">BZ6/(BZ6+BY6)</f>
        <v>0.45376262507393045</v>
      </c>
      <c r="CB6" s="5">
        <f t="shared" ref="CB6:CB69" si="113">CA6*100</f>
        <v>45.376262507393044</v>
      </c>
      <c r="CE6" s="59">
        <f t="shared" si="46"/>
        <v>-50</v>
      </c>
      <c r="CF6">
        <f t="shared" si="47"/>
        <v>-50</v>
      </c>
      <c r="CG6" s="150">
        <f t="shared" si="48"/>
        <v>2.6290682760247975E-2</v>
      </c>
      <c r="CI6" s="147">
        <v>1</v>
      </c>
      <c r="CJ6" s="188">
        <f t="shared" ref="CJ6:CJ69" si="114">IF(PLOT_TYPE=1, CI6/100*Iout_max, min_I*EXP(CR6*rr/100))</f>
        <v>1.2E-2</v>
      </c>
      <c r="CK6" s="188"/>
      <c r="CL6" s="188">
        <f t="shared" si="49"/>
        <v>0.06</v>
      </c>
      <c r="CM6" s="465">
        <f t="shared" si="50"/>
        <v>48</v>
      </c>
      <c r="CN6" s="149">
        <f t="shared" si="51"/>
        <v>5.4</v>
      </c>
      <c r="CO6" s="379">
        <f t="shared" si="52"/>
        <v>53.4</v>
      </c>
      <c r="CP6" s="379"/>
      <c r="CQ6" s="188">
        <f t="shared" si="53"/>
        <v>0.10112359550561799</v>
      </c>
      <c r="CR6" s="149">
        <f t="shared" si="54"/>
        <v>12.426067415730339</v>
      </c>
      <c r="CS6" s="149">
        <f t="shared" ref="CS6:CS69" si="115">CX6*CJ6</f>
        <v>0.06</v>
      </c>
      <c r="CT6" s="188">
        <f t="shared" si="55"/>
        <v>2.4852134831460679</v>
      </c>
      <c r="CU6" s="188">
        <f t="shared" si="56"/>
        <v>5</v>
      </c>
      <c r="CV6" s="188">
        <f t="shared" si="57"/>
        <v>2.4269662921348316</v>
      </c>
      <c r="CW6" s="149">
        <f t="shared" si="58"/>
        <v>9952.0019291825356</v>
      </c>
      <c r="CX6" s="149">
        <f t="shared" si="59"/>
        <v>5</v>
      </c>
      <c r="CY6" s="188">
        <f t="shared" si="60"/>
        <v>2.4722222222222218E-2</v>
      </c>
      <c r="CZ6" s="188">
        <f t="shared" si="61"/>
        <v>6.1805555555555546E-3</v>
      </c>
      <c r="DA6" s="188">
        <f t="shared" si="62"/>
        <v>5.493827160493827E-2</v>
      </c>
      <c r="DB6" s="172">
        <f t="shared" si="63"/>
        <v>350</v>
      </c>
      <c r="DC6" s="379">
        <f t="shared" ref="DC6:DC69" si="116">MIN(1/(CZ6+DA6)*1000, 350)</f>
        <v>350</v>
      </c>
      <c r="DE6" s="188">
        <f t="shared" si="64"/>
        <v>1.1556982343499198</v>
      </c>
      <c r="DF6" s="150">
        <f t="shared" si="65"/>
        <v>2.5682182985553772</v>
      </c>
      <c r="DG6" s="150">
        <f t="shared" si="66"/>
        <v>0.51941493678648076</v>
      </c>
      <c r="DH6" s="150"/>
      <c r="DI6" s="150">
        <f t="shared" si="67"/>
        <v>2.2222222222222219</v>
      </c>
      <c r="DJ6" s="314">
        <f t="shared" ref="DJ6:DJ69" si="117">MAX(12, CJ6/(0.5*DI6/1000000*Isw_min*Nps)/1000)</f>
        <v>12</v>
      </c>
      <c r="DK6" s="456">
        <f t="shared" si="68"/>
        <v>0.38888888888888884</v>
      </c>
      <c r="DM6" s="150">
        <f t="shared" si="69"/>
        <v>0.17566201313073598</v>
      </c>
      <c r="DN6" s="150">
        <f t="shared" si="70"/>
        <v>1</v>
      </c>
      <c r="DO6" s="150">
        <f t="shared" si="71"/>
        <v>1.0068571428571429</v>
      </c>
      <c r="DQ6" s="314">
        <f t="shared" si="72"/>
        <v>12</v>
      </c>
      <c r="DR6" s="144">
        <f t="shared" si="73"/>
        <v>12</v>
      </c>
      <c r="DT6">
        <f t="shared" si="74"/>
        <v>12</v>
      </c>
      <c r="DU6" s="144">
        <f t="shared" si="75"/>
        <v>12</v>
      </c>
      <c r="DV6" s="144"/>
      <c r="DW6" s="5">
        <f t="shared" ref="DW6:DW69" si="118">1/DR6*1000</f>
        <v>83.333333333333329</v>
      </c>
      <c r="DX6" s="5">
        <f t="shared" si="76"/>
        <v>0.25</v>
      </c>
      <c r="DY6" s="5">
        <f t="shared" ref="DY6:DY69" si="119">DW6-DX6</f>
        <v>83.083333333333329</v>
      </c>
      <c r="DZ6" s="5">
        <f t="shared" si="77"/>
        <v>2.2222222222222219</v>
      </c>
      <c r="EA6" s="150">
        <f t="shared" ref="EA6:EA69" si="120">DX6/DW6</f>
        <v>3.0000000000000001E-3</v>
      </c>
      <c r="EB6" s="150">
        <f t="shared" si="78"/>
        <v>7.2000000000000008E-2</v>
      </c>
      <c r="EC6" s="150">
        <f t="shared" si="79"/>
        <v>0.4985</v>
      </c>
      <c r="ED6" s="150">
        <f t="shared" ref="ED6:ED69" si="121">EB6/EC6</f>
        <v>0.14443329989969911</v>
      </c>
      <c r="EE6" s="144">
        <f t="shared" si="80"/>
        <v>6.0000000000000005E-2</v>
      </c>
      <c r="EF6" s="5">
        <f t="shared" si="81"/>
        <v>4.3272569444444436E-2</v>
      </c>
      <c r="EG6" s="5"/>
      <c r="EH6" s="150">
        <f t="shared" ref="EH6:EH69" si="122">DN6*SQRT(EA6/3)</f>
        <v>3.1622776601683791E-2</v>
      </c>
      <c r="EI6" s="150">
        <f t="shared" si="82"/>
        <v>0.57648359329067922</v>
      </c>
      <c r="EJ6" s="150"/>
      <c r="EK6" s="456">
        <f t="shared" si="83"/>
        <v>1.9999999999999995E-5</v>
      </c>
      <c r="EL6" s="456">
        <f t="shared" si="84"/>
        <v>1.2816000000000001E-2</v>
      </c>
      <c r="EM6" s="456">
        <f t="shared" si="85"/>
        <v>1.5E-3</v>
      </c>
      <c r="EN6" s="456">
        <f t="shared" si="86"/>
        <v>3.4218719999999998E-3</v>
      </c>
      <c r="EO6">
        <f t="shared" si="87"/>
        <v>2.1600000000000001E-2</v>
      </c>
      <c r="EP6" s="144">
        <f t="shared" ref="EP6:EP69" si="123">(EO6+EM6)*1000</f>
        <v>23.1</v>
      </c>
      <c r="EQ6" s="456">
        <f t="shared" si="88"/>
        <v>3.9363459055157438E-2</v>
      </c>
      <c r="ER6" s="144">
        <f t="shared" ref="ER6:ER69" si="124">EQ6*1000</f>
        <v>39.363459055157435</v>
      </c>
      <c r="ES6" s="456">
        <f t="shared" ref="ES6:ES69" si="125">Vfwd2*CJ6*(1+Diode_TC/1000*(Ta-25))</f>
        <v>7.454999999999999E-3</v>
      </c>
      <c r="ET6" s="456"/>
      <c r="EV6" s="144">
        <f t="shared" ref="EV6:EV69" si="126">SUM(ES6:EU6)*1000</f>
        <v>7.4549999999999992</v>
      </c>
      <c r="EW6" s="456">
        <f t="shared" si="89"/>
        <v>2.9999999999999994E-5</v>
      </c>
      <c r="EX6" s="456">
        <f t="shared" si="90"/>
        <v>9.969999999999998E-3</v>
      </c>
      <c r="EY6" s="456">
        <f t="shared" si="91"/>
        <v>2.494153162899183E-5</v>
      </c>
      <c r="EZ6" s="456">
        <f t="shared" si="92"/>
        <v>1.2434889443183536E-2</v>
      </c>
      <c r="FA6" s="456">
        <f t="shared" si="93"/>
        <v>1.2000000000000002E-5</v>
      </c>
      <c r="FB6" s="144">
        <f t="shared" ref="FB6:FB69" si="127">1000*(EZ6+FA6)</f>
        <v>12.446889443183537</v>
      </c>
      <c r="FC6" s="150">
        <f t="shared" ref="FC6:FC69" si="128">SUM(EQ6,ES6:EU6,EZ6, FA6)</f>
        <v>5.9265348498340968E-2</v>
      </c>
      <c r="FD6" s="5">
        <f t="shared" ref="FD6:FD69" si="129">MIN(CL6,CS6)</f>
        <v>0.06</v>
      </c>
      <c r="FE6" s="150">
        <f t="shared" ref="FE6:FE69" si="130">FD6/(FD6+FC6)</f>
        <v>0.50307990338731645</v>
      </c>
      <c r="FF6" s="5">
        <f t="shared" ref="FF6:FF69" si="131">FE6*100</f>
        <v>50.307990338731642</v>
      </c>
      <c r="FI6" s="59">
        <f t="shared" si="94"/>
        <v>-50</v>
      </c>
      <c r="FJ6">
        <f t="shared" si="95"/>
        <v>-50</v>
      </c>
      <c r="FL6">
        <f t="shared" si="96"/>
        <v>2.5298221281347032E-2</v>
      </c>
    </row>
    <row r="7" spans="2:168">
      <c r="E7" s="147">
        <v>2</v>
      </c>
      <c r="F7" s="188">
        <f t="shared" si="97"/>
        <v>2.4E-2</v>
      </c>
      <c r="G7" s="188"/>
      <c r="H7" s="188">
        <f t="shared" si="0"/>
        <v>0.12</v>
      </c>
      <c r="I7" s="465">
        <f t="shared" si="1"/>
        <v>47.975943738783762</v>
      </c>
      <c r="J7" s="149">
        <f t="shared" si="2"/>
        <v>5.4144337567297409</v>
      </c>
      <c r="K7" s="149">
        <f t="shared" si="3"/>
        <v>53.414433756729743</v>
      </c>
      <c r="L7" s="379"/>
      <c r="M7" s="188">
        <f t="shared" si="4"/>
        <v>0.10142169478204008</v>
      </c>
      <c r="N7" s="149">
        <f t="shared" si="5"/>
        <v>12.45645189825345</v>
      </c>
      <c r="O7" s="149">
        <f t="shared" si="98"/>
        <v>0.12</v>
      </c>
      <c r="P7" s="188">
        <f t="shared" si="6"/>
        <v>2.4912903796506898</v>
      </c>
      <c r="Q7" s="188">
        <f t="shared" si="7"/>
        <v>5</v>
      </c>
      <c r="R7" s="188">
        <f t="shared" si="8"/>
        <v>2.4329007613776268</v>
      </c>
      <c r="S7" s="149">
        <f t="shared" si="9"/>
        <v>4949.5220726228299</v>
      </c>
      <c r="T7" s="149">
        <f t="shared" si="10"/>
        <v>5</v>
      </c>
      <c r="U7" s="188">
        <f t="shared" si="99"/>
        <v>5.3417715207754846E-2</v>
      </c>
      <c r="V7" s="188">
        <f t="shared" si="11"/>
        <v>1.3361125025141788E-2</v>
      </c>
      <c r="W7" s="188">
        <f t="shared" si="12"/>
        <v>0.11838958814415762</v>
      </c>
      <c r="X7" s="172">
        <f t="shared" si="13"/>
        <v>350</v>
      </c>
      <c r="Y7" s="379">
        <f t="shared" si="14"/>
        <v>350</v>
      </c>
      <c r="AA7" s="188">
        <f t="shared" si="15"/>
        <v>1.1584153116090465</v>
      </c>
      <c r="AB7" s="150">
        <f t="shared" si="16"/>
        <v>2.5673938151022098</v>
      </c>
      <c r="AC7" s="150">
        <f t="shared" si="17"/>
        <v>0.52046895361033396</v>
      </c>
      <c r="AD7" s="150"/>
      <c r="AE7" s="150">
        <f t="shared" si="18"/>
        <v>2.216298238958947</v>
      </c>
      <c r="AF7" s="314">
        <f t="shared" si="100"/>
        <v>21.657735026918967</v>
      </c>
      <c r="AG7" s="456">
        <f t="shared" si="19"/>
        <v>0.38785219181781572</v>
      </c>
      <c r="AI7" s="150">
        <f t="shared" si="20"/>
        <v>0.24875538774879669</v>
      </c>
      <c r="AJ7" s="150">
        <f t="shared" si="21"/>
        <v>1</v>
      </c>
      <c r="AK7" s="150">
        <f t="shared" si="22"/>
        <v>1.0123758485868108</v>
      </c>
      <c r="AM7" s="314">
        <f t="shared" si="23"/>
        <v>24</v>
      </c>
      <c r="AN7" s="144">
        <f t="shared" si="24"/>
        <v>21.657735026918967</v>
      </c>
      <c r="AP7">
        <f t="shared" si="25"/>
        <v>24</v>
      </c>
      <c r="AQ7" s="144">
        <f t="shared" si="26"/>
        <v>21.657735026918967</v>
      </c>
      <c r="AR7" s="144"/>
      <c r="AS7" s="5">
        <f t="shared" si="101"/>
        <v>46.172879978311386</v>
      </c>
      <c r="AT7" s="5">
        <f t="shared" si="27"/>
        <v>0.25012535585202456</v>
      </c>
      <c r="AU7" s="5">
        <f t="shared" si="102"/>
        <v>45.922754622459358</v>
      </c>
      <c r="AV7" s="5">
        <f t="shared" si="28"/>
        <v>2.216298238958947</v>
      </c>
      <c r="AW7" s="150">
        <f t="shared" si="103"/>
        <v>5.4171486805569633E-3</v>
      </c>
      <c r="AX7" s="150">
        <f t="shared" si="29"/>
        <v>0.12994641016151381</v>
      </c>
      <c r="AY7" s="150">
        <f t="shared" si="30"/>
        <v>0.49729142565972151</v>
      </c>
      <c r="AZ7" s="150">
        <f t="shared" si="104"/>
        <v>0.26130836659635359</v>
      </c>
      <c r="BA7" s="144">
        <f t="shared" si="31"/>
        <v>0.12006017080897179</v>
      </c>
      <c r="BB7" s="5">
        <f t="shared" si="32"/>
        <v>4.7860188923532714E-2</v>
      </c>
      <c r="BC7" s="5"/>
      <c r="BD7" s="150">
        <f t="shared" si="105"/>
        <v>4.24937198519066E-2</v>
      </c>
      <c r="BE7" s="150">
        <f t="shared" si="33"/>
        <v>0.57578434948032498</v>
      </c>
      <c r="BF7" s="150"/>
      <c r="BG7" s="456">
        <f t="shared" si="34"/>
        <v>3.6114324537046427E-5</v>
      </c>
      <c r="BH7" s="456">
        <f t="shared" si="35"/>
        <v>2.1690668492178159E-2</v>
      </c>
      <c r="BI7" s="456">
        <f t="shared" si="36"/>
        <v>2.5976256929023767E-2</v>
      </c>
      <c r="BJ7" s="456">
        <f t="shared" si="37"/>
        <v>6.1791721350113894E-3</v>
      </c>
      <c r="BK7">
        <f t="shared" si="38"/>
        <v>2.1589174682452691E-2</v>
      </c>
      <c r="BL7" s="144">
        <f t="shared" si="106"/>
        <v>47.565431611476455</v>
      </c>
      <c r="BM7" s="456">
        <f t="shared" si="39"/>
        <v>2.7915945359476887E-2</v>
      </c>
      <c r="BN7" s="144">
        <f t="shared" si="107"/>
        <v>27.915945359476886</v>
      </c>
      <c r="BO7" s="456">
        <f t="shared" si="108"/>
        <v>1.4909999999999998E-2</v>
      </c>
      <c r="BP7" s="456"/>
      <c r="BR7" s="144">
        <f t="shared" si="109"/>
        <v>14.909999999999998</v>
      </c>
      <c r="BS7" s="456">
        <f t="shared" si="40"/>
        <v>5.417148680556963E-5</v>
      </c>
      <c r="BT7" s="456">
        <f t="shared" si="41"/>
        <v>9.94582851319443E-3</v>
      </c>
      <c r="BU7" s="456">
        <f t="shared" si="42"/>
        <v>1.8E-3</v>
      </c>
      <c r="BV7" s="456">
        <f t="shared" si="43"/>
        <v>1.4211369095276221E-2</v>
      </c>
      <c r="BW7" s="456">
        <f t="shared" si="44"/>
        <v>2.1657735026918968E-5</v>
      </c>
      <c r="BX7" s="144">
        <f t="shared" si="110"/>
        <v>14.233026830303141</v>
      </c>
      <c r="BY7" s="150">
        <f t="shared" si="45"/>
        <v>0.10462440380125647</v>
      </c>
      <c r="BZ7" s="5">
        <f t="shared" si="111"/>
        <v>0.12</v>
      </c>
      <c r="CA7" s="150">
        <f t="shared" si="112"/>
        <v>0.53422512411507073</v>
      </c>
      <c r="CB7" s="5">
        <f t="shared" si="113"/>
        <v>53.422512411507071</v>
      </c>
      <c r="CE7" s="59">
        <f t="shared" si="46"/>
        <v>-50</v>
      </c>
      <c r="CF7">
        <f t="shared" si="47"/>
        <v>-50</v>
      </c>
      <c r="CG7" s="150">
        <f t="shared" si="48"/>
        <v>4.9883063257983667E-2</v>
      </c>
      <c r="CI7" s="147">
        <v>2</v>
      </c>
      <c r="CJ7" s="188">
        <f t="shared" si="114"/>
        <v>2.4E-2</v>
      </c>
      <c r="CK7" s="188"/>
      <c r="CL7" s="188">
        <f t="shared" si="49"/>
        <v>0.12</v>
      </c>
      <c r="CM7" s="465">
        <f t="shared" si="50"/>
        <v>48</v>
      </c>
      <c r="CN7" s="149">
        <f t="shared" si="51"/>
        <v>5.4</v>
      </c>
      <c r="CO7" s="379">
        <f t="shared" si="52"/>
        <v>53.4</v>
      </c>
      <c r="CP7" s="379"/>
      <c r="CQ7" s="188">
        <f t="shared" si="53"/>
        <v>0.10112359550561799</v>
      </c>
      <c r="CR7" s="149">
        <f t="shared" si="54"/>
        <v>12.426067415730339</v>
      </c>
      <c r="CS7" s="149">
        <f t="shared" si="115"/>
        <v>0.12</v>
      </c>
      <c r="CT7" s="188">
        <f t="shared" si="55"/>
        <v>2.4852134831460679</v>
      </c>
      <c r="CU7" s="188">
        <f t="shared" si="56"/>
        <v>5</v>
      </c>
      <c r="CV7" s="188">
        <f t="shared" si="57"/>
        <v>2.4269662921348316</v>
      </c>
      <c r="CW7" s="149">
        <f t="shared" si="58"/>
        <v>4952.0038769051307</v>
      </c>
      <c r="CX7" s="149">
        <f t="shared" si="59"/>
        <v>5</v>
      </c>
      <c r="CY7" s="188">
        <f t="shared" si="60"/>
        <v>4.9444444444444437E-2</v>
      </c>
      <c r="CZ7" s="188">
        <f t="shared" si="61"/>
        <v>1.2361111111111109E-2</v>
      </c>
      <c r="DA7" s="188">
        <f t="shared" si="62"/>
        <v>0.10987654320987654</v>
      </c>
      <c r="DB7" s="172">
        <f t="shared" si="63"/>
        <v>350</v>
      </c>
      <c r="DC7" s="379">
        <f t="shared" si="116"/>
        <v>350</v>
      </c>
      <c r="DE7" s="188">
        <f t="shared" si="64"/>
        <v>1.1556982343499198</v>
      </c>
      <c r="DF7" s="150">
        <f t="shared" si="65"/>
        <v>2.5682182985553772</v>
      </c>
      <c r="DG7" s="150">
        <f t="shared" si="66"/>
        <v>0.51941493678648076</v>
      </c>
      <c r="DH7" s="150"/>
      <c r="DI7" s="150">
        <f t="shared" si="67"/>
        <v>2.2222222222222219</v>
      </c>
      <c r="DJ7" s="314">
        <f t="shared" si="117"/>
        <v>21.600000000000005</v>
      </c>
      <c r="DK7" s="456">
        <f t="shared" si="68"/>
        <v>0.38888888888888884</v>
      </c>
      <c r="DM7" s="150">
        <f t="shared" si="69"/>
        <v>0.24842360136324754</v>
      </c>
      <c r="DN7" s="150">
        <f t="shared" si="70"/>
        <v>1</v>
      </c>
      <c r="DO7" s="150">
        <f t="shared" si="71"/>
        <v>1.0123428571428572</v>
      </c>
      <c r="DQ7" s="314">
        <f t="shared" si="72"/>
        <v>24</v>
      </c>
      <c r="DR7" s="144">
        <f t="shared" si="73"/>
        <v>21.600000000000005</v>
      </c>
      <c r="DT7">
        <f t="shared" si="74"/>
        <v>24</v>
      </c>
      <c r="DU7" s="144">
        <f t="shared" si="75"/>
        <v>21.600000000000005</v>
      </c>
      <c r="DV7" s="144"/>
      <c r="DW7" s="5">
        <f t="shared" si="118"/>
        <v>46.296296296296283</v>
      </c>
      <c r="DX7" s="5">
        <f t="shared" si="76"/>
        <v>0.25</v>
      </c>
      <c r="DY7" s="5">
        <f t="shared" si="119"/>
        <v>46.046296296296283</v>
      </c>
      <c r="DZ7" s="5">
        <f t="shared" si="77"/>
        <v>2.2222222222222219</v>
      </c>
      <c r="EA7" s="150">
        <f t="shared" si="120"/>
        <v>5.4000000000000012E-3</v>
      </c>
      <c r="EB7" s="150">
        <f t="shared" si="78"/>
        <v>0.12960000000000002</v>
      </c>
      <c r="EC7" s="150">
        <f t="shared" si="79"/>
        <v>0.49730000000000002</v>
      </c>
      <c r="ED7" s="150">
        <f t="shared" si="121"/>
        <v>0.26060727930826466</v>
      </c>
      <c r="EE7" s="144">
        <f t="shared" si="80"/>
        <v>0.12000000000000001</v>
      </c>
      <c r="EF7" s="5">
        <f t="shared" si="81"/>
        <v>4.7964891975308621E-2</v>
      </c>
      <c r="EG7" s="5"/>
      <c r="EH7" s="150">
        <f t="shared" si="122"/>
        <v>4.2426406871192854E-2</v>
      </c>
      <c r="EI7" s="150">
        <f t="shared" si="82"/>
        <v>0.5757893133198404</v>
      </c>
      <c r="EJ7" s="150"/>
      <c r="EK7" s="456">
        <f t="shared" si="83"/>
        <v>3.6000000000000001E-5</v>
      </c>
      <c r="EL7" s="456">
        <f t="shared" si="84"/>
        <v>2.3068800000000004E-2</v>
      </c>
      <c r="EM7" s="456">
        <f t="shared" si="85"/>
        <v>2.7000000000000006E-3</v>
      </c>
      <c r="EN7" s="456">
        <f t="shared" si="86"/>
        <v>6.1593696000000015E-3</v>
      </c>
      <c r="EO7">
        <f t="shared" si="87"/>
        <v>2.1600000000000001E-2</v>
      </c>
      <c r="EP7" s="144">
        <f t="shared" si="123"/>
        <v>24.3</v>
      </c>
      <c r="EQ7" s="456">
        <f t="shared" si="88"/>
        <v>5.3574347853541808E-2</v>
      </c>
      <c r="ER7" s="144">
        <f t="shared" si="124"/>
        <v>53.574347853541809</v>
      </c>
      <c r="ES7" s="456">
        <f t="shared" si="125"/>
        <v>1.4909999999999998E-2</v>
      </c>
      <c r="ET7" s="456"/>
      <c r="EV7" s="144">
        <f t="shared" si="126"/>
        <v>14.909999999999998</v>
      </c>
      <c r="EW7" s="456">
        <f t="shared" si="89"/>
        <v>5.4000000000000005E-5</v>
      </c>
      <c r="EX7" s="456">
        <f t="shared" si="90"/>
        <v>9.946E-3</v>
      </c>
      <c r="EY7" s="456">
        <f t="shared" si="91"/>
        <v>1.0841874660039202E-4</v>
      </c>
      <c r="EZ7" s="456">
        <f t="shared" si="92"/>
        <v>1.2518433493395107E-2</v>
      </c>
      <c r="FA7" s="456">
        <f t="shared" si="93"/>
        <v>2.1600000000000003E-5</v>
      </c>
      <c r="FB7" s="144">
        <f t="shared" si="127"/>
        <v>12.540033493395107</v>
      </c>
      <c r="FC7" s="150">
        <f t="shared" si="128"/>
        <v>8.1024381346936916E-2</v>
      </c>
      <c r="FD7" s="5">
        <f t="shared" si="129"/>
        <v>0.12</v>
      </c>
      <c r="FE7" s="150">
        <f t="shared" si="130"/>
        <v>0.59694251610653437</v>
      </c>
      <c r="FF7" s="5">
        <f t="shared" si="131"/>
        <v>59.694251610653438</v>
      </c>
      <c r="FI7" s="59">
        <f t="shared" si="94"/>
        <v>-50</v>
      </c>
      <c r="FJ7">
        <f t="shared" si="95"/>
        <v>-50</v>
      </c>
      <c r="FL7">
        <f t="shared" si="96"/>
        <v>4.8000000000000008E-2</v>
      </c>
    </row>
    <row r="8" spans="2:168">
      <c r="E8" s="147">
        <v>3</v>
      </c>
      <c r="F8" s="188">
        <f t="shared" si="97"/>
        <v>3.5999999999999997E-2</v>
      </c>
      <c r="G8" s="188"/>
      <c r="H8" s="188">
        <f t="shared" si="0"/>
        <v>0.18</v>
      </c>
      <c r="I8" s="465">
        <f t="shared" si="1"/>
        <v>47.975943738783762</v>
      </c>
      <c r="J8" s="149">
        <f t="shared" si="2"/>
        <v>5.4144337567297409</v>
      </c>
      <c r="K8" s="149">
        <f t="shared" si="3"/>
        <v>53.414433756729743</v>
      </c>
      <c r="L8" s="379"/>
      <c r="M8" s="188">
        <f t="shared" si="4"/>
        <v>0.10142169478204008</v>
      </c>
      <c r="N8" s="149">
        <f t="shared" si="5"/>
        <v>12.45645189825345</v>
      </c>
      <c r="O8" s="149">
        <f t="shared" si="98"/>
        <v>0.18</v>
      </c>
      <c r="P8" s="188">
        <f t="shared" si="6"/>
        <v>2.4912903796506898</v>
      </c>
      <c r="Q8" s="188">
        <f t="shared" si="7"/>
        <v>5</v>
      </c>
      <c r="R8" s="188">
        <f t="shared" si="8"/>
        <v>2.4329007613776268</v>
      </c>
      <c r="S8" s="149">
        <f t="shared" si="9"/>
        <v>3283.6926593326098</v>
      </c>
      <c r="T8" s="149">
        <f t="shared" si="10"/>
        <v>5</v>
      </c>
      <c r="U8" s="188">
        <f t="shared" si="99"/>
        <v>8.0126572811632255E-2</v>
      </c>
      <c r="V8" s="188">
        <f t="shared" si="11"/>
        <v>2.0041687537712675E-2</v>
      </c>
      <c r="W8" s="188">
        <f t="shared" si="12"/>
        <v>0.17758438221623637</v>
      </c>
      <c r="X8" s="172">
        <f t="shared" si="13"/>
        <v>350</v>
      </c>
      <c r="Y8" s="379">
        <f t="shared" si="14"/>
        <v>350</v>
      </c>
      <c r="AA8" s="188">
        <f t="shared" si="15"/>
        <v>1.1584153116090465</v>
      </c>
      <c r="AB8" s="150">
        <f t="shared" si="16"/>
        <v>2.5673938151022098</v>
      </c>
      <c r="AC8" s="150">
        <f t="shared" si="17"/>
        <v>0.52046895361033396</v>
      </c>
      <c r="AD8" s="150"/>
      <c r="AE8" s="150">
        <f t="shared" si="18"/>
        <v>2.216298238958947</v>
      </c>
      <c r="AF8" s="314">
        <f t="shared" si="100"/>
        <v>32.486602540378442</v>
      </c>
      <c r="AG8" s="456">
        <f t="shared" si="19"/>
        <v>0.38785219181781572</v>
      </c>
      <c r="AI8" s="150">
        <f t="shared" si="20"/>
        <v>0.30466188537636485</v>
      </c>
      <c r="AJ8" s="150">
        <f t="shared" si="21"/>
        <v>1</v>
      </c>
      <c r="AK8" s="150">
        <f t="shared" si="22"/>
        <v>1.0185637728802162</v>
      </c>
      <c r="AM8" s="314">
        <f t="shared" si="23"/>
        <v>36</v>
      </c>
      <c r="AN8" s="144">
        <f t="shared" si="24"/>
        <v>32.486602540378442</v>
      </c>
      <c r="AP8">
        <f t="shared" si="25"/>
        <v>36</v>
      </c>
      <c r="AQ8" s="144">
        <f t="shared" si="26"/>
        <v>32.486602540378442</v>
      </c>
      <c r="AR8" s="144"/>
      <c r="AS8" s="5">
        <f t="shared" si="101"/>
        <v>30.781919985540931</v>
      </c>
      <c r="AT8" s="5">
        <f t="shared" si="27"/>
        <v>0.25012535585202456</v>
      </c>
      <c r="AU8" s="5">
        <f t="shared" si="102"/>
        <v>30.531794629688907</v>
      </c>
      <c r="AV8" s="5">
        <f t="shared" si="28"/>
        <v>2.216298238958947</v>
      </c>
      <c r="AW8" s="150">
        <f t="shared" si="103"/>
        <v>8.1257230208354424E-3</v>
      </c>
      <c r="AX8" s="150">
        <f t="shared" si="29"/>
        <v>0.19491961524227064</v>
      </c>
      <c r="AY8" s="150">
        <f t="shared" si="30"/>
        <v>0.49593713848958226</v>
      </c>
      <c r="AZ8" s="150">
        <f t="shared" si="104"/>
        <v>0.39303290702510102</v>
      </c>
      <c r="BA8" s="144">
        <f t="shared" si="31"/>
        <v>0.18009025621345767</v>
      </c>
      <c r="BB8" s="5">
        <f t="shared" si="32"/>
        <v>4.7729849978449188E-2</v>
      </c>
      <c r="BC8" s="5"/>
      <c r="BD8" s="150">
        <f t="shared" si="105"/>
        <v>5.2043965454973556E-2</v>
      </c>
      <c r="BE8" s="150">
        <f t="shared" si="33"/>
        <v>0.57499979042870508</v>
      </c>
      <c r="BF8" s="150"/>
      <c r="BG8" s="456">
        <f t="shared" si="34"/>
        <v>5.4171486805569617E-5</v>
      </c>
      <c r="BH8" s="456">
        <f t="shared" si="35"/>
        <v>3.2536002738267233E-2</v>
      </c>
      <c r="BI8" s="456">
        <f t="shared" si="36"/>
        <v>3.8964385393535646E-2</v>
      </c>
      <c r="BJ8" s="456">
        <f t="shared" si="37"/>
        <v>9.2687582025170814E-3</v>
      </c>
      <c r="BK8">
        <f t="shared" si="38"/>
        <v>2.1589174682452691E-2</v>
      </c>
      <c r="BL8" s="144">
        <f t="shared" si="106"/>
        <v>60.553560075988329</v>
      </c>
      <c r="BM8" s="456">
        <f t="shared" si="39"/>
        <v>4.1874097696621683E-2</v>
      </c>
      <c r="BN8" s="144">
        <f t="shared" si="107"/>
        <v>41.874097696621682</v>
      </c>
      <c r="BO8" s="456">
        <f t="shared" si="108"/>
        <v>2.2364999999999996E-2</v>
      </c>
      <c r="BP8" s="456"/>
      <c r="BR8" s="144">
        <f t="shared" si="109"/>
        <v>22.364999999999995</v>
      </c>
      <c r="BS8" s="456">
        <f t="shared" si="40"/>
        <v>8.1257230208354425E-5</v>
      </c>
      <c r="BT8" s="456">
        <f t="shared" si="41"/>
        <v>9.9187427697916431E-3</v>
      </c>
      <c r="BU8" s="456">
        <f t="shared" si="42"/>
        <v>2.6999999999999997E-3</v>
      </c>
      <c r="BV8" s="456">
        <f t="shared" si="43"/>
        <v>1.5112089671737385E-2</v>
      </c>
      <c r="BW8" s="456">
        <f t="shared" si="44"/>
        <v>3.2486602540378445E-5</v>
      </c>
      <c r="BX8" s="144">
        <f t="shared" si="110"/>
        <v>15.144576274277764</v>
      </c>
      <c r="BY8" s="150">
        <f t="shared" si="45"/>
        <v>0.13993723404688777</v>
      </c>
      <c r="BZ8" s="5">
        <f t="shared" si="111"/>
        <v>0.18</v>
      </c>
      <c r="CA8" s="150">
        <f t="shared" si="112"/>
        <v>0.56261035242187674</v>
      </c>
      <c r="CB8" s="5">
        <f t="shared" si="113"/>
        <v>56.261035242187674</v>
      </c>
      <c r="CE8" s="59">
        <f t="shared" si="46"/>
        <v>-50</v>
      </c>
      <c r="CF8">
        <f t="shared" si="47"/>
        <v>-50</v>
      </c>
      <c r="CG8" s="150">
        <f t="shared" si="48"/>
        <v>7.4824594886975501E-2</v>
      </c>
      <c r="CI8" s="147">
        <v>3</v>
      </c>
      <c r="CJ8" s="188">
        <f t="shared" si="114"/>
        <v>3.5999999999999997E-2</v>
      </c>
      <c r="CK8" s="188"/>
      <c r="CL8" s="188">
        <f t="shared" si="49"/>
        <v>0.18</v>
      </c>
      <c r="CM8" s="465">
        <f t="shared" si="50"/>
        <v>48</v>
      </c>
      <c r="CN8" s="149">
        <f t="shared" si="51"/>
        <v>5.4</v>
      </c>
      <c r="CO8" s="379">
        <f t="shared" si="52"/>
        <v>53.4</v>
      </c>
      <c r="CP8" s="379"/>
      <c r="CQ8" s="188">
        <f t="shared" si="53"/>
        <v>0.10112359550561799</v>
      </c>
      <c r="CR8" s="149">
        <f t="shared" si="54"/>
        <v>12.426067415730339</v>
      </c>
      <c r="CS8" s="149">
        <f t="shared" si="115"/>
        <v>0.18</v>
      </c>
      <c r="CT8" s="188">
        <f t="shared" si="55"/>
        <v>2.4852134831460679</v>
      </c>
      <c r="CU8" s="188">
        <f t="shared" si="56"/>
        <v>5</v>
      </c>
      <c r="CV8" s="188">
        <f t="shared" si="57"/>
        <v>2.4269662921348316</v>
      </c>
      <c r="CW8" s="149">
        <f t="shared" si="58"/>
        <v>3285.3391767673274</v>
      </c>
      <c r="CX8" s="149">
        <f t="shared" si="59"/>
        <v>5</v>
      </c>
      <c r="CY8" s="188">
        <f t="shared" si="60"/>
        <v>7.4166666666666659E-2</v>
      </c>
      <c r="CZ8" s="188">
        <f t="shared" si="61"/>
        <v>1.8541666666666665E-2</v>
      </c>
      <c r="DA8" s="188">
        <f t="shared" si="62"/>
        <v>0.1648148148148148</v>
      </c>
      <c r="DB8" s="172">
        <f t="shared" si="63"/>
        <v>350</v>
      </c>
      <c r="DC8" s="379">
        <f t="shared" si="116"/>
        <v>350</v>
      </c>
      <c r="DE8" s="188">
        <f t="shared" si="64"/>
        <v>1.1556982343499198</v>
      </c>
      <c r="DF8" s="150">
        <f t="shared" si="65"/>
        <v>2.5682182985553772</v>
      </c>
      <c r="DG8" s="150">
        <f t="shared" si="66"/>
        <v>0.51941493678648076</v>
      </c>
      <c r="DH8" s="150"/>
      <c r="DI8" s="150">
        <f t="shared" si="67"/>
        <v>2.2222222222222219</v>
      </c>
      <c r="DJ8" s="314">
        <f t="shared" si="117"/>
        <v>32.4</v>
      </c>
      <c r="DK8" s="456">
        <f t="shared" si="68"/>
        <v>0.38888888888888884</v>
      </c>
      <c r="DM8" s="150">
        <f t="shared" si="69"/>
        <v>0.30425553170226599</v>
      </c>
      <c r="DN8" s="150">
        <f t="shared" si="70"/>
        <v>1</v>
      </c>
      <c r="DO8" s="150">
        <f t="shared" si="71"/>
        <v>1.0185142857142857</v>
      </c>
      <c r="DQ8" s="314">
        <f t="shared" si="72"/>
        <v>36</v>
      </c>
      <c r="DR8" s="144">
        <f t="shared" si="73"/>
        <v>32.4</v>
      </c>
      <c r="DT8">
        <f t="shared" si="74"/>
        <v>36</v>
      </c>
      <c r="DU8" s="144">
        <f t="shared" si="75"/>
        <v>32.4</v>
      </c>
      <c r="DV8" s="144"/>
      <c r="DW8" s="5">
        <f t="shared" si="118"/>
        <v>30.8641975308642</v>
      </c>
      <c r="DX8" s="5">
        <f t="shared" si="76"/>
        <v>0.25</v>
      </c>
      <c r="DY8" s="5">
        <f t="shared" si="119"/>
        <v>30.6141975308642</v>
      </c>
      <c r="DZ8" s="5">
        <f t="shared" si="77"/>
        <v>2.2222222222222219</v>
      </c>
      <c r="EA8" s="150">
        <f t="shared" si="120"/>
        <v>8.0999999999999996E-3</v>
      </c>
      <c r="EB8" s="150">
        <f t="shared" si="78"/>
        <v>0.19440000000000002</v>
      </c>
      <c r="EC8" s="150">
        <f t="shared" si="79"/>
        <v>0.49595</v>
      </c>
      <c r="ED8" s="150">
        <f t="shared" si="121"/>
        <v>0.39197499747958464</v>
      </c>
      <c r="EE8" s="144">
        <f t="shared" si="80"/>
        <v>0.18</v>
      </c>
      <c r="EF8" s="5">
        <f t="shared" si="81"/>
        <v>4.7834683641975302E-2</v>
      </c>
      <c r="EG8" s="5"/>
      <c r="EH8" s="150">
        <f t="shared" si="122"/>
        <v>5.1961524227066319E-2</v>
      </c>
      <c r="EI8" s="150">
        <f t="shared" si="82"/>
        <v>0.5750072463311513</v>
      </c>
      <c r="EJ8" s="150"/>
      <c r="EK8" s="456">
        <f t="shared" si="83"/>
        <v>5.4000000000000005E-5</v>
      </c>
      <c r="EL8" s="456">
        <f t="shared" si="84"/>
        <v>3.4603199999999994E-2</v>
      </c>
      <c r="EM8" s="456">
        <f t="shared" si="85"/>
        <v>4.0499999999999989E-3</v>
      </c>
      <c r="EN8" s="456">
        <f t="shared" si="86"/>
        <v>9.2390544000000002E-3</v>
      </c>
      <c r="EO8">
        <f t="shared" si="87"/>
        <v>2.1600000000000001E-2</v>
      </c>
      <c r="EP8" s="144">
        <f t="shared" si="123"/>
        <v>25.65</v>
      </c>
      <c r="EQ8" s="456">
        <f t="shared" si="88"/>
        <v>6.9561726904780866E-2</v>
      </c>
      <c r="ER8" s="144">
        <f t="shared" si="124"/>
        <v>69.561726904780869</v>
      </c>
      <c r="ES8" s="456">
        <f t="shared" si="125"/>
        <v>2.2364999999999996E-2</v>
      </c>
      <c r="ET8" s="456"/>
      <c r="EV8" s="144">
        <f t="shared" si="126"/>
        <v>22.364999999999995</v>
      </c>
      <c r="EW8" s="456">
        <f t="shared" si="89"/>
        <v>8.1000000000000004E-5</v>
      </c>
      <c r="EX8" s="456">
        <f t="shared" si="90"/>
        <v>9.918999999999999E-3</v>
      </c>
      <c r="EY8" s="456">
        <f t="shared" si="91"/>
        <v>2.9876693368845186E-4</v>
      </c>
      <c r="EZ8" s="456">
        <f t="shared" si="92"/>
        <v>1.2708934080953213E-2</v>
      </c>
      <c r="FA8" s="456">
        <f t="shared" si="93"/>
        <v>3.2400000000000001E-5</v>
      </c>
      <c r="FB8" s="144">
        <f t="shared" si="127"/>
        <v>12.741334080953212</v>
      </c>
      <c r="FC8" s="150">
        <f t="shared" si="128"/>
        <v>0.10466806098573407</v>
      </c>
      <c r="FD8" s="5">
        <f t="shared" si="129"/>
        <v>0.18</v>
      </c>
      <c r="FE8" s="150">
        <f t="shared" si="130"/>
        <v>0.63231540404183439</v>
      </c>
      <c r="FF8" s="5">
        <f t="shared" si="131"/>
        <v>63.231540404183441</v>
      </c>
      <c r="FI8" s="59">
        <f t="shared" si="94"/>
        <v>-50</v>
      </c>
      <c r="FJ8">
        <f t="shared" si="95"/>
        <v>-50</v>
      </c>
      <c r="FL8">
        <f t="shared" si="96"/>
        <v>7.2000000000000008E-2</v>
      </c>
    </row>
    <row r="9" spans="2:168">
      <c r="E9" s="147">
        <v>4</v>
      </c>
      <c r="F9" s="188">
        <f t="shared" si="97"/>
        <v>4.8000000000000001E-2</v>
      </c>
      <c r="G9" s="188"/>
      <c r="H9" s="188">
        <f t="shared" si="0"/>
        <v>0.24</v>
      </c>
      <c r="I9" s="465">
        <f t="shared" si="1"/>
        <v>47.975943738783762</v>
      </c>
      <c r="J9" s="149">
        <f t="shared" si="2"/>
        <v>5.4144337567297409</v>
      </c>
      <c r="K9" s="149">
        <f t="shared" si="3"/>
        <v>53.414433756729743</v>
      </c>
      <c r="L9" s="379"/>
      <c r="M9" s="188">
        <f t="shared" si="4"/>
        <v>0.10142169478204008</v>
      </c>
      <c r="N9" s="149">
        <f t="shared" si="5"/>
        <v>12.45645189825345</v>
      </c>
      <c r="O9" s="149">
        <f t="shared" si="98"/>
        <v>0.24</v>
      </c>
      <c r="P9" s="188">
        <f t="shared" si="6"/>
        <v>2.4912903796506898</v>
      </c>
      <c r="Q9" s="188">
        <f t="shared" si="7"/>
        <v>5</v>
      </c>
      <c r="R9" s="188">
        <f t="shared" si="8"/>
        <v>2.4329007613776268</v>
      </c>
      <c r="S9" s="149">
        <f t="shared" si="9"/>
        <v>2450.778955029296</v>
      </c>
      <c r="T9" s="149">
        <f t="shared" si="10"/>
        <v>5</v>
      </c>
      <c r="U9" s="188">
        <f t="shared" si="99"/>
        <v>0.10683543041550969</v>
      </c>
      <c r="V9" s="188">
        <f t="shared" si="11"/>
        <v>2.6722250050283575E-2</v>
      </c>
      <c r="W9" s="188">
        <f t="shared" si="12"/>
        <v>0.23677917628831524</v>
      </c>
      <c r="X9" s="172">
        <f t="shared" si="13"/>
        <v>350</v>
      </c>
      <c r="Y9" s="379">
        <f t="shared" si="14"/>
        <v>350</v>
      </c>
      <c r="AA9" s="188">
        <f t="shared" si="15"/>
        <v>1.1584153116090465</v>
      </c>
      <c r="AB9" s="150">
        <f t="shared" si="16"/>
        <v>2.5673938151022098</v>
      </c>
      <c r="AC9" s="150">
        <f t="shared" si="17"/>
        <v>0.52046895361033396</v>
      </c>
      <c r="AD9" s="150"/>
      <c r="AE9" s="150">
        <f t="shared" si="18"/>
        <v>2.216298238958947</v>
      </c>
      <c r="AF9" s="314">
        <f t="shared" si="100"/>
        <v>43.315470053837934</v>
      </c>
      <c r="AG9" s="456">
        <f t="shared" si="19"/>
        <v>0.38785219181781572</v>
      </c>
      <c r="AI9" s="150">
        <f t="shared" si="20"/>
        <v>0.3517932430677263</v>
      </c>
      <c r="AJ9" s="150">
        <f t="shared" si="21"/>
        <v>1</v>
      </c>
      <c r="AK9" s="150">
        <f t="shared" si="22"/>
        <v>1.0247516971736217</v>
      </c>
      <c r="AM9" s="314">
        <f t="shared" si="23"/>
        <v>48</v>
      </c>
      <c r="AN9" s="144">
        <f t="shared" si="24"/>
        <v>43.315470053837934</v>
      </c>
      <c r="AP9">
        <f t="shared" si="25"/>
        <v>48</v>
      </c>
      <c r="AQ9" s="144">
        <f t="shared" si="26"/>
        <v>43.315470053837934</v>
      </c>
      <c r="AR9" s="144"/>
      <c r="AS9" s="5">
        <f t="shared" si="101"/>
        <v>23.086439989155693</v>
      </c>
      <c r="AT9" s="5">
        <f t="shared" si="27"/>
        <v>0.25012535585202456</v>
      </c>
      <c r="AU9" s="5">
        <f t="shared" si="102"/>
        <v>22.836314633303669</v>
      </c>
      <c r="AV9" s="5">
        <f t="shared" si="28"/>
        <v>2.216298238958947</v>
      </c>
      <c r="AW9" s="150">
        <f t="shared" si="103"/>
        <v>1.0834297361113927E-2</v>
      </c>
      <c r="AX9" s="150">
        <f t="shared" si="29"/>
        <v>0.25989282032302763</v>
      </c>
      <c r="AY9" s="150">
        <f t="shared" si="30"/>
        <v>0.49458285131944302</v>
      </c>
      <c r="AZ9" s="150">
        <f t="shared" si="104"/>
        <v>0.52547883459705136</v>
      </c>
      <c r="BA9" s="144">
        <f t="shared" si="31"/>
        <v>0.24012034161794357</v>
      </c>
      <c r="BB9" s="5">
        <f t="shared" si="32"/>
        <v>4.7599511033365634E-2</v>
      </c>
      <c r="BC9" s="5"/>
      <c r="BD9" s="150">
        <f t="shared" si="105"/>
        <v>6.0095194930249146E-2</v>
      </c>
      <c r="BE9" s="150">
        <f t="shared" si="33"/>
        <v>0.57421415942105491</v>
      </c>
      <c r="BF9" s="150"/>
      <c r="BG9" s="456">
        <f t="shared" si="34"/>
        <v>7.2228649074092854E-5</v>
      </c>
      <c r="BH9" s="456">
        <f t="shared" si="35"/>
        <v>4.3381336984356318E-2</v>
      </c>
      <c r="BI9" s="456">
        <f t="shared" si="36"/>
        <v>5.1952513858047535E-2</v>
      </c>
      <c r="BJ9" s="456">
        <f t="shared" si="37"/>
        <v>1.2358344270022779E-2</v>
      </c>
      <c r="BK9">
        <f t="shared" si="38"/>
        <v>2.1589174682452691E-2</v>
      </c>
      <c r="BL9" s="144">
        <f t="shared" si="106"/>
        <v>73.541688540500218</v>
      </c>
      <c r="BM9" s="456">
        <f t="shared" si="39"/>
        <v>5.5832369807426244E-2</v>
      </c>
      <c r="BN9" s="144">
        <f t="shared" si="107"/>
        <v>55.832369807426247</v>
      </c>
      <c r="BO9" s="456">
        <f t="shared" si="108"/>
        <v>2.9819999999999996E-2</v>
      </c>
      <c r="BP9" s="456"/>
      <c r="BR9" s="144">
        <f t="shared" si="109"/>
        <v>29.819999999999997</v>
      </c>
      <c r="BS9" s="456">
        <f t="shared" si="40"/>
        <v>1.0834297361113927E-4</v>
      </c>
      <c r="BT9" s="456">
        <f t="shared" si="41"/>
        <v>9.8916570263888597E-3</v>
      </c>
      <c r="BU9" s="456">
        <f t="shared" si="42"/>
        <v>3.5999999999999999E-3</v>
      </c>
      <c r="BV9" s="456">
        <f t="shared" si="43"/>
        <v>1.6012810248198558E-2</v>
      </c>
      <c r="BW9" s="456">
        <f t="shared" si="44"/>
        <v>4.3315470053837936E-5</v>
      </c>
      <c r="BX9" s="144">
        <f t="shared" si="110"/>
        <v>16.056125718252396</v>
      </c>
      <c r="BY9" s="150">
        <f t="shared" si="45"/>
        <v>0.17525018406617887</v>
      </c>
      <c r="BZ9" s="5">
        <f t="shared" si="111"/>
        <v>0.24</v>
      </c>
      <c r="CA9" s="150">
        <f t="shared" si="112"/>
        <v>0.57796482508422187</v>
      </c>
      <c r="CB9" s="5">
        <f t="shared" si="113"/>
        <v>57.796482508422187</v>
      </c>
      <c r="CE9" s="59">
        <f t="shared" si="46"/>
        <v>-50</v>
      </c>
      <c r="CF9">
        <f t="shared" si="47"/>
        <v>-50</v>
      </c>
      <c r="CG9" s="150">
        <f t="shared" si="48"/>
        <v>9.9766126515967335E-2</v>
      </c>
      <c r="CI9" s="147">
        <v>4</v>
      </c>
      <c r="CJ9" s="188">
        <f t="shared" si="114"/>
        <v>4.8000000000000001E-2</v>
      </c>
      <c r="CK9" s="188"/>
      <c r="CL9" s="188">
        <f t="shared" si="49"/>
        <v>0.24</v>
      </c>
      <c r="CM9" s="465">
        <f t="shared" si="50"/>
        <v>48</v>
      </c>
      <c r="CN9" s="149">
        <f t="shared" si="51"/>
        <v>5.4</v>
      </c>
      <c r="CO9" s="379">
        <f t="shared" si="52"/>
        <v>53.4</v>
      </c>
      <c r="CP9" s="379"/>
      <c r="CQ9" s="188">
        <f t="shared" si="53"/>
        <v>0.10112359550561799</v>
      </c>
      <c r="CR9" s="149">
        <f t="shared" si="54"/>
        <v>12.426067415730339</v>
      </c>
      <c r="CS9" s="149">
        <f t="shared" si="115"/>
        <v>0.24</v>
      </c>
      <c r="CT9" s="188">
        <f t="shared" si="55"/>
        <v>2.4852134831460679</v>
      </c>
      <c r="CU9" s="188">
        <f t="shared" si="56"/>
        <v>5</v>
      </c>
      <c r="CV9" s="188">
        <f t="shared" si="57"/>
        <v>2.4269662921348316</v>
      </c>
      <c r="CW9" s="149">
        <f t="shared" si="58"/>
        <v>2452.0078290404122</v>
      </c>
      <c r="CX9" s="149">
        <f t="shared" si="59"/>
        <v>5</v>
      </c>
      <c r="CY9" s="188">
        <f t="shared" si="60"/>
        <v>9.8888888888888873E-2</v>
      </c>
      <c r="CZ9" s="188">
        <f t="shared" si="61"/>
        <v>2.4722222222222218E-2</v>
      </c>
      <c r="DA9" s="188">
        <f t="shared" si="62"/>
        <v>0.21975308641975308</v>
      </c>
      <c r="DB9" s="172">
        <f t="shared" si="63"/>
        <v>350</v>
      </c>
      <c r="DC9" s="379">
        <f t="shared" si="116"/>
        <v>350</v>
      </c>
      <c r="DE9" s="188">
        <f t="shared" si="64"/>
        <v>1.1556982343499198</v>
      </c>
      <c r="DF9" s="150">
        <f t="shared" si="65"/>
        <v>2.5682182985553772</v>
      </c>
      <c r="DG9" s="150">
        <f t="shared" si="66"/>
        <v>0.51941493678648076</v>
      </c>
      <c r="DH9" s="150"/>
      <c r="DI9" s="150">
        <f t="shared" si="67"/>
        <v>2.2222222222222219</v>
      </c>
      <c r="DJ9" s="314">
        <f t="shared" si="117"/>
        <v>43.20000000000001</v>
      </c>
      <c r="DK9" s="456">
        <f t="shared" si="68"/>
        <v>0.38888888888888884</v>
      </c>
      <c r="DM9" s="150">
        <f t="shared" si="69"/>
        <v>0.35132402626147197</v>
      </c>
      <c r="DN9" s="150">
        <f t="shared" si="70"/>
        <v>1</v>
      </c>
      <c r="DO9" s="150">
        <f t="shared" si="71"/>
        <v>1.0246857142857142</v>
      </c>
      <c r="DQ9" s="314">
        <f t="shared" si="72"/>
        <v>48</v>
      </c>
      <c r="DR9" s="144">
        <f t="shared" si="73"/>
        <v>43.20000000000001</v>
      </c>
      <c r="DT9">
        <f t="shared" si="74"/>
        <v>48</v>
      </c>
      <c r="DU9" s="144">
        <f t="shared" si="75"/>
        <v>43.20000000000001</v>
      </c>
      <c r="DV9" s="144"/>
      <c r="DW9" s="5">
        <f t="shared" si="118"/>
        <v>23.148148148148142</v>
      </c>
      <c r="DX9" s="5">
        <f t="shared" si="76"/>
        <v>0.25</v>
      </c>
      <c r="DY9" s="5">
        <f t="shared" si="119"/>
        <v>22.898148148148142</v>
      </c>
      <c r="DZ9" s="5">
        <f t="shared" si="77"/>
        <v>2.2222222222222219</v>
      </c>
      <c r="EA9" s="150">
        <f t="shared" si="120"/>
        <v>1.0800000000000002E-2</v>
      </c>
      <c r="EB9" s="150">
        <f t="shared" si="78"/>
        <v>0.25920000000000004</v>
      </c>
      <c r="EC9" s="150">
        <f t="shared" si="79"/>
        <v>0.49459999999999998</v>
      </c>
      <c r="ED9" s="150">
        <f t="shared" si="121"/>
        <v>0.52405984634047731</v>
      </c>
      <c r="EE9" s="144">
        <f t="shared" si="80"/>
        <v>0.24000000000000002</v>
      </c>
      <c r="EF9" s="5">
        <f t="shared" si="81"/>
        <v>4.7704475308641955E-2</v>
      </c>
      <c r="EG9" s="5"/>
      <c r="EH9" s="150">
        <f t="shared" si="122"/>
        <v>6.0000000000000005E-2</v>
      </c>
      <c r="EI9" s="150">
        <f t="shared" si="82"/>
        <v>0.57422411420396946</v>
      </c>
      <c r="EJ9" s="150"/>
      <c r="EK9" s="456">
        <f t="shared" si="83"/>
        <v>7.2000000000000015E-5</v>
      </c>
      <c r="EL9" s="456">
        <f t="shared" si="84"/>
        <v>4.6137600000000008E-2</v>
      </c>
      <c r="EM9" s="456">
        <f t="shared" si="85"/>
        <v>5.4000000000000012E-3</v>
      </c>
      <c r="EN9" s="456">
        <f t="shared" si="86"/>
        <v>1.2318739200000003E-2</v>
      </c>
      <c r="EO9">
        <f t="shared" si="87"/>
        <v>2.1600000000000001E-2</v>
      </c>
      <c r="EP9" s="144">
        <f t="shared" si="123"/>
        <v>27.000000000000004</v>
      </c>
      <c r="EQ9" s="456">
        <f t="shared" si="88"/>
        <v>8.5549242708004861E-2</v>
      </c>
      <c r="ER9" s="144">
        <f t="shared" si="124"/>
        <v>85.549242708004854</v>
      </c>
      <c r="ES9" s="456">
        <f t="shared" si="125"/>
        <v>2.9819999999999996E-2</v>
      </c>
      <c r="ET9" s="456"/>
      <c r="EV9" s="144">
        <f t="shared" si="126"/>
        <v>29.819999999999997</v>
      </c>
      <c r="EW9" s="456">
        <f t="shared" si="89"/>
        <v>1.0800000000000002E-4</v>
      </c>
      <c r="EX9" s="456">
        <f t="shared" si="90"/>
        <v>9.8920000000000015E-3</v>
      </c>
      <c r="EY9" s="456">
        <f t="shared" si="91"/>
        <v>6.1330904743106475E-4</v>
      </c>
      <c r="EZ9" s="456">
        <f t="shared" si="92"/>
        <v>1.3023728029854952E-2</v>
      </c>
      <c r="FA9" s="456">
        <f t="shared" si="93"/>
        <v>4.3200000000000007E-5</v>
      </c>
      <c r="FB9" s="144">
        <f t="shared" si="127"/>
        <v>13.066928029854951</v>
      </c>
      <c r="FC9" s="150">
        <f t="shared" si="128"/>
        <v>0.12843617073785982</v>
      </c>
      <c r="FD9" s="5">
        <f t="shared" si="129"/>
        <v>0.24</v>
      </c>
      <c r="FE9" s="150">
        <f t="shared" si="130"/>
        <v>0.65140184124527389</v>
      </c>
      <c r="FF9" s="5">
        <f t="shared" si="131"/>
        <v>65.140184124527394</v>
      </c>
      <c r="FI9" s="59">
        <f t="shared" si="94"/>
        <v>-50</v>
      </c>
      <c r="FJ9">
        <f t="shared" si="95"/>
        <v>-50</v>
      </c>
      <c r="FL9">
        <f t="shared" si="96"/>
        <v>9.6000000000000016E-2</v>
      </c>
    </row>
    <row r="10" spans="2:168">
      <c r="E10" s="147">
        <v>5</v>
      </c>
      <c r="F10" s="188">
        <f t="shared" si="97"/>
        <v>0.06</v>
      </c>
      <c r="G10" s="188"/>
      <c r="H10" s="188">
        <f t="shared" si="0"/>
        <v>0.3</v>
      </c>
      <c r="I10" s="465">
        <f t="shared" si="1"/>
        <v>47.975943738783762</v>
      </c>
      <c r="J10" s="149">
        <f t="shared" si="2"/>
        <v>5.4144337567297409</v>
      </c>
      <c r="K10" s="149">
        <f t="shared" si="3"/>
        <v>53.414433756729743</v>
      </c>
      <c r="L10" s="379"/>
      <c r="M10" s="188">
        <f t="shared" si="4"/>
        <v>0.10142169478204008</v>
      </c>
      <c r="N10" s="149">
        <f t="shared" si="5"/>
        <v>12.45645189825345</v>
      </c>
      <c r="O10" s="149">
        <f t="shared" si="98"/>
        <v>0.3</v>
      </c>
      <c r="P10" s="188">
        <f t="shared" si="6"/>
        <v>2.4912903796506898</v>
      </c>
      <c r="Q10" s="188">
        <f t="shared" si="7"/>
        <v>5</v>
      </c>
      <c r="R10" s="188">
        <f t="shared" si="8"/>
        <v>2.4329007613776268</v>
      </c>
      <c r="S10" s="149">
        <f t="shared" si="9"/>
        <v>1951.0315460437048</v>
      </c>
      <c r="T10" s="149">
        <f t="shared" si="10"/>
        <v>5</v>
      </c>
      <c r="U10" s="188">
        <f t="shared" si="99"/>
        <v>0.13354428801938711</v>
      </c>
      <c r="V10" s="188">
        <f t="shared" si="11"/>
        <v>3.3402812562854461E-2</v>
      </c>
      <c r="W10" s="188">
        <f t="shared" si="12"/>
        <v>0.29597397036039408</v>
      </c>
      <c r="X10" s="172">
        <f t="shared" si="13"/>
        <v>350</v>
      </c>
      <c r="Y10" s="379">
        <f t="shared" si="14"/>
        <v>350</v>
      </c>
      <c r="AA10" s="188">
        <f t="shared" si="15"/>
        <v>1.1584153116090465</v>
      </c>
      <c r="AB10" s="150">
        <f t="shared" si="16"/>
        <v>2.5673938151022098</v>
      </c>
      <c r="AC10" s="150">
        <f t="shared" si="17"/>
        <v>0.52046895361033396</v>
      </c>
      <c r="AD10" s="150"/>
      <c r="AE10" s="150">
        <f t="shared" si="18"/>
        <v>2.216298238958947</v>
      </c>
      <c r="AF10" s="314">
        <f t="shared" si="100"/>
        <v>54.144337567297406</v>
      </c>
      <c r="AG10" s="456">
        <f t="shared" si="19"/>
        <v>0.38785219181781572</v>
      </c>
      <c r="AI10" s="150">
        <f t="shared" si="20"/>
        <v>0.39331680276227138</v>
      </c>
      <c r="AJ10" s="150">
        <f t="shared" si="21"/>
        <v>1</v>
      </c>
      <c r="AK10" s="150">
        <f t="shared" si="22"/>
        <v>1.030939621467027</v>
      </c>
      <c r="AM10" s="314">
        <f t="shared" si="23"/>
        <v>60</v>
      </c>
      <c r="AN10" s="144">
        <f t="shared" si="24"/>
        <v>54.144337567297406</v>
      </c>
      <c r="AP10">
        <f t="shared" si="25"/>
        <v>60</v>
      </c>
      <c r="AQ10" s="144">
        <f t="shared" si="26"/>
        <v>54.144337567297406</v>
      </c>
      <c r="AR10" s="144"/>
      <c r="AS10" s="5">
        <f t="shared" si="101"/>
        <v>18.469151991324559</v>
      </c>
      <c r="AT10" s="5">
        <f t="shared" si="27"/>
        <v>0.25012535585202456</v>
      </c>
      <c r="AU10" s="5">
        <f t="shared" si="102"/>
        <v>18.219026635472535</v>
      </c>
      <c r="AV10" s="5">
        <f t="shared" si="28"/>
        <v>2.216298238958947</v>
      </c>
      <c r="AW10" s="150">
        <f t="shared" si="103"/>
        <v>1.3542871701392406E-2</v>
      </c>
      <c r="AX10" s="150">
        <f t="shared" si="29"/>
        <v>0.32486602540378445</v>
      </c>
      <c r="AY10" s="150">
        <f t="shared" si="30"/>
        <v>0.49322856414930377</v>
      </c>
      <c r="AZ10" s="150">
        <f t="shared" si="104"/>
        <v>0.65865209157968641</v>
      </c>
      <c r="BA10" s="144">
        <f t="shared" si="31"/>
        <v>0.30015042702242944</v>
      </c>
      <c r="BB10" s="5">
        <f t="shared" si="32"/>
        <v>4.7469172088282094E-2</v>
      </c>
      <c r="BC10" s="5"/>
      <c r="BD10" s="150">
        <f t="shared" si="105"/>
        <v>6.7188470492568902E-2</v>
      </c>
      <c r="BE10" s="150">
        <f t="shared" si="33"/>
        <v>0.57342745205143653</v>
      </c>
      <c r="BF10" s="150"/>
      <c r="BG10" s="456">
        <f t="shared" si="34"/>
        <v>9.0285811342616051E-5</v>
      </c>
      <c r="BH10" s="456">
        <f t="shared" si="35"/>
        <v>5.4226671230445389E-2</v>
      </c>
      <c r="BI10" s="456">
        <f t="shared" si="36"/>
        <v>6.4940642322559416E-2</v>
      </c>
      <c r="BJ10" s="456">
        <f t="shared" si="37"/>
        <v>1.5447930337528471E-2</v>
      </c>
      <c r="BK10">
        <f t="shared" si="38"/>
        <v>2.1589174682452691E-2</v>
      </c>
      <c r="BL10" s="144">
        <f t="shared" si="106"/>
        <v>86.529817005012106</v>
      </c>
      <c r="BM10" s="456">
        <f t="shared" si="39"/>
        <v>6.9790761693432166E-2</v>
      </c>
      <c r="BN10" s="144">
        <f t="shared" si="107"/>
        <v>69.79076169343216</v>
      </c>
      <c r="BO10" s="456">
        <f t="shared" si="108"/>
        <v>3.7274999999999996E-2</v>
      </c>
      <c r="BP10" s="456"/>
      <c r="BR10" s="144">
        <f t="shared" si="109"/>
        <v>37.274999999999999</v>
      </c>
      <c r="BS10" s="456">
        <f t="shared" si="40"/>
        <v>1.3542871701392406E-4</v>
      </c>
      <c r="BT10" s="456">
        <f t="shared" si="41"/>
        <v>9.8645712829860763E-3</v>
      </c>
      <c r="BU10" s="456">
        <f t="shared" si="42"/>
        <v>4.4999999999999997E-3</v>
      </c>
      <c r="BV10" s="456">
        <f t="shared" si="43"/>
        <v>1.6913530824659725E-2</v>
      </c>
      <c r="BW10" s="456">
        <f t="shared" si="44"/>
        <v>5.4144337567297407E-5</v>
      </c>
      <c r="BX10" s="144">
        <f t="shared" si="110"/>
        <v>16.967675162227021</v>
      </c>
      <c r="BY10" s="150">
        <f t="shared" si="45"/>
        <v>0.21056325386067129</v>
      </c>
      <c r="BZ10" s="5">
        <f t="shared" si="111"/>
        <v>0.3</v>
      </c>
      <c r="CA10" s="150">
        <f t="shared" si="112"/>
        <v>0.58758635238929213</v>
      </c>
      <c r="CB10" s="5">
        <f t="shared" si="113"/>
        <v>58.758635238929216</v>
      </c>
      <c r="CE10" s="59">
        <f t="shared" si="46"/>
        <v>-50</v>
      </c>
      <c r="CF10">
        <f t="shared" si="47"/>
        <v>-50</v>
      </c>
      <c r="CG10" s="150">
        <f t="shared" si="48"/>
        <v>0.12470765814495917</v>
      </c>
      <c r="CI10" s="147">
        <v>5</v>
      </c>
      <c r="CJ10" s="188">
        <f t="shared" si="114"/>
        <v>0.06</v>
      </c>
      <c r="CK10" s="188"/>
      <c r="CL10" s="188">
        <f t="shared" si="49"/>
        <v>0.3</v>
      </c>
      <c r="CM10" s="465">
        <f t="shared" si="50"/>
        <v>48</v>
      </c>
      <c r="CN10" s="149">
        <f t="shared" si="51"/>
        <v>5.4</v>
      </c>
      <c r="CO10" s="379">
        <f t="shared" si="52"/>
        <v>53.4</v>
      </c>
      <c r="CP10" s="379"/>
      <c r="CQ10" s="188">
        <f t="shared" si="53"/>
        <v>0.10112359550561799</v>
      </c>
      <c r="CR10" s="149">
        <f t="shared" si="54"/>
        <v>12.426067415730339</v>
      </c>
      <c r="CS10" s="149">
        <f t="shared" si="115"/>
        <v>0.3</v>
      </c>
      <c r="CT10" s="188">
        <f t="shared" si="55"/>
        <v>2.4852134831460679</v>
      </c>
      <c r="CU10" s="188">
        <f t="shared" si="56"/>
        <v>5</v>
      </c>
      <c r="CV10" s="188">
        <f t="shared" si="57"/>
        <v>2.4269662921348316</v>
      </c>
      <c r="CW10" s="149">
        <f t="shared" si="58"/>
        <v>1952.0098340008669</v>
      </c>
      <c r="CX10" s="149">
        <f t="shared" si="59"/>
        <v>5</v>
      </c>
      <c r="CY10" s="188">
        <f t="shared" si="60"/>
        <v>0.1236111111111111</v>
      </c>
      <c r="CZ10" s="188">
        <f t="shared" si="61"/>
        <v>3.0902777777777772E-2</v>
      </c>
      <c r="DA10" s="188">
        <f t="shared" si="62"/>
        <v>0.2746913580246913</v>
      </c>
      <c r="DB10" s="172">
        <f t="shared" si="63"/>
        <v>350</v>
      </c>
      <c r="DC10" s="379">
        <f t="shared" si="116"/>
        <v>350</v>
      </c>
      <c r="DE10" s="188">
        <f t="shared" si="64"/>
        <v>1.1556982343499198</v>
      </c>
      <c r="DF10" s="150">
        <f t="shared" si="65"/>
        <v>2.5682182985553772</v>
      </c>
      <c r="DG10" s="150">
        <f t="shared" si="66"/>
        <v>0.51941493678648076</v>
      </c>
      <c r="DH10" s="150"/>
      <c r="DI10" s="150">
        <f t="shared" si="67"/>
        <v>2.2222222222222219</v>
      </c>
      <c r="DJ10" s="314">
        <f t="shared" si="117"/>
        <v>54</v>
      </c>
      <c r="DK10" s="456">
        <f t="shared" si="68"/>
        <v>0.38888888888888884</v>
      </c>
      <c r="DM10" s="150">
        <f t="shared" si="69"/>
        <v>0.3927922024247863</v>
      </c>
      <c r="DN10" s="150">
        <f t="shared" si="70"/>
        <v>1</v>
      </c>
      <c r="DO10" s="150">
        <f t="shared" si="71"/>
        <v>1.0308571428571429</v>
      </c>
      <c r="DQ10" s="314">
        <f t="shared" si="72"/>
        <v>60</v>
      </c>
      <c r="DR10" s="144">
        <f t="shared" si="73"/>
        <v>54</v>
      </c>
      <c r="DT10">
        <f t="shared" si="74"/>
        <v>60</v>
      </c>
      <c r="DU10" s="144">
        <f t="shared" si="75"/>
        <v>54</v>
      </c>
      <c r="DV10" s="144"/>
      <c r="DW10" s="5">
        <f t="shared" si="118"/>
        <v>18.518518518518519</v>
      </c>
      <c r="DX10" s="5">
        <f t="shared" si="76"/>
        <v>0.25</v>
      </c>
      <c r="DY10" s="5">
        <f t="shared" si="119"/>
        <v>18.268518518518519</v>
      </c>
      <c r="DZ10" s="5">
        <f t="shared" si="77"/>
        <v>2.2222222222222219</v>
      </c>
      <c r="EA10" s="150">
        <f t="shared" si="120"/>
        <v>1.35E-2</v>
      </c>
      <c r="EB10" s="150">
        <f t="shared" si="78"/>
        <v>0.32400000000000001</v>
      </c>
      <c r="EC10" s="150">
        <f t="shared" si="79"/>
        <v>0.49325000000000002</v>
      </c>
      <c r="ED10" s="150">
        <f t="shared" si="121"/>
        <v>0.65686771414090217</v>
      </c>
      <c r="EE10" s="144">
        <f t="shared" si="80"/>
        <v>0.3</v>
      </c>
      <c r="EF10" s="5">
        <f t="shared" si="81"/>
        <v>4.7574266975308629E-2</v>
      </c>
      <c r="EG10" s="5"/>
      <c r="EH10" s="150">
        <f t="shared" si="122"/>
        <v>6.7082039324993695E-2</v>
      </c>
      <c r="EI10" s="150">
        <f t="shared" si="82"/>
        <v>0.57343991257439808</v>
      </c>
      <c r="EJ10" s="150"/>
      <c r="EK10" s="456">
        <f t="shared" si="83"/>
        <v>9.0000000000000006E-5</v>
      </c>
      <c r="EL10" s="456">
        <f t="shared" si="84"/>
        <v>5.7672000000000001E-2</v>
      </c>
      <c r="EM10" s="456">
        <f t="shared" si="85"/>
        <v>6.7499999999999999E-3</v>
      </c>
      <c r="EN10" s="456">
        <f t="shared" si="86"/>
        <v>1.5398424000000001E-2</v>
      </c>
      <c r="EO10">
        <f t="shared" si="87"/>
        <v>2.1600000000000001E-2</v>
      </c>
      <c r="EP10" s="144">
        <f t="shared" si="123"/>
        <v>28.35</v>
      </c>
      <c r="EQ10" s="456">
        <f t="shared" si="88"/>
        <v>0.10153689526496835</v>
      </c>
      <c r="ER10" s="144">
        <f t="shared" si="124"/>
        <v>101.53689526496835</v>
      </c>
      <c r="ES10" s="456">
        <f t="shared" si="125"/>
        <v>3.7274999999999996E-2</v>
      </c>
      <c r="ET10" s="456"/>
      <c r="EV10" s="144">
        <f t="shared" si="126"/>
        <v>37.274999999999999</v>
      </c>
      <c r="EW10" s="456">
        <f t="shared" si="89"/>
        <v>1.35E-4</v>
      </c>
      <c r="EX10" s="456">
        <f t="shared" si="90"/>
        <v>9.8649999999999988E-3</v>
      </c>
      <c r="EY10" s="456">
        <f t="shared" si="91"/>
        <v>1.0714068134933634E-3</v>
      </c>
      <c r="EZ10" s="456">
        <f t="shared" si="92"/>
        <v>1.34821925675474E-2</v>
      </c>
      <c r="FA10" s="456">
        <f t="shared" si="93"/>
        <v>5.3999999999999998E-5</v>
      </c>
      <c r="FB10" s="144">
        <f t="shared" si="127"/>
        <v>13.536192567547401</v>
      </c>
      <c r="FC10" s="150">
        <f t="shared" si="128"/>
        <v>0.15234808783251574</v>
      </c>
      <c r="FD10" s="5">
        <f t="shared" si="129"/>
        <v>0.3</v>
      </c>
      <c r="FE10" s="150">
        <f t="shared" si="130"/>
        <v>0.66320607529809339</v>
      </c>
      <c r="FF10" s="5">
        <f t="shared" si="131"/>
        <v>66.320607529809337</v>
      </c>
      <c r="FI10" s="59">
        <f t="shared" si="94"/>
        <v>-50</v>
      </c>
      <c r="FJ10">
        <f t="shared" si="95"/>
        <v>-50</v>
      </c>
      <c r="FL10">
        <f t="shared" si="96"/>
        <v>0.12</v>
      </c>
    </row>
    <row r="11" spans="2:168">
      <c r="E11" s="147">
        <v>6</v>
      </c>
      <c r="F11" s="188">
        <f t="shared" si="97"/>
        <v>7.1999999999999995E-2</v>
      </c>
      <c r="G11" s="188"/>
      <c r="H11" s="188">
        <f t="shared" si="0"/>
        <v>0.36</v>
      </c>
      <c r="I11" s="465">
        <f t="shared" si="1"/>
        <v>47.975943738783762</v>
      </c>
      <c r="J11" s="149">
        <f t="shared" si="2"/>
        <v>5.4144337567297409</v>
      </c>
      <c r="K11" s="149">
        <f t="shared" si="3"/>
        <v>53.414433756729743</v>
      </c>
      <c r="L11" s="379"/>
      <c r="M11" s="188">
        <f t="shared" si="4"/>
        <v>0.10142169478204008</v>
      </c>
      <c r="N11" s="149">
        <f t="shared" si="5"/>
        <v>12.45645189825345</v>
      </c>
      <c r="O11" s="149">
        <f t="shared" si="98"/>
        <v>0.36</v>
      </c>
      <c r="P11" s="188">
        <f t="shared" si="6"/>
        <v>2.4912903796506898</v>
      </c>
      <c r="Q11" s="188">
        <f t="shared" si="7"/>
        <v>5</v>
      </c>
      <c r="R11" s="188">
        <f t="shared" si="8"/>
        <v>2.4329007613776268</v>
      </c>
      <c r="S11" s="149">
        <f t="shared" si="9"/>
        <v>1617.8672946757436</v>
      </c>
      <c r="T11" s="149">
        <f t="shared" si="10"/>
        <v>5</v>
      </c>
      <c r="U11" s="188">
        <f t="shared" si="99"/>
        <v>0.16025314562326451</v>
      </c>
      <c r="V11" s="188">
        <f t="shared" si="11"/>
        <v>4.0083375075425351E-2</v>
      </c>
      <c r="W11" s="188">
        <f t="shared" si="12"/>
        <v>0.35516876443247275</v>
      </c>
      <c r="X11" s="172">
        <f t="shared" si="13"/>
        <v>350</v>
      </c>
      <c r="Y11" s="379">
        <f t="shared" si="14"/>
        <v>350</v>
      </c>
      <c r="AA11" s="188">
        <f t="shared" si="15"/>
        <v>1.1584153116090465</v>
      </c>
      <c r="AB11" s="150">
        <f t="shared" si="16"/>
        <v>2.5673938151022098</v>
      </c>
      <c r="AC11" s="150">
        <f t="shared" si="17"/>
        <v>0.52046895361033396</v>
      </c>
      <c r="AD11" s="150"/>
      <c r="AE11" s="150">
        <f t="shared" si="18"/>
        <v>2.216298238958947</v>
      </c>
      <c r="AF11" s="314">
        <f t="shared" si="100"/>
        <v>64.973205080756884</v>
      </c>
      <c r="AG11" s="456">
        <f t="shared" si="19"/>
        <v>0.38785219181781572</v>
      </c>
      <c r="AI11" s="150">
        <f t="shared" si="20"/>
        <v>0.43085697023741248</v>
      </c>
      <c r="AJ11" s="150">
        <f t="shared" si="21"/>
        <v>1</v>
      </c>
      <c r="AK11" s="150">
        <f t="shared" si="22"/>
        <v>1.0371275457604325</v>
      </c>
      <c r="AM11" s="314">
        <f t="shared" si="23"/>
        <v>72</v>
      </c>
      <c r="AN11" s="144">
        <f t="shared" si="24"/>
        <v>64.973205080756884</v>
      </c>
      <c r="AP11">
        <f t="shared" si="25"/>
        <v>72</v>
      </c>
      <c r="AQ11" s="144">
        <f t="shared" si="26"/>
        <v>64.973205080756884</v>
      </c>
      <c r="AR11" s="144"/>
      <c r="AS11" s="5">
        <f t="shared" si="101"/>
        <v>15.390959992770465</v>
      </c>
      <c r="AT11" s="5">
        <f t="shared" si="27"/>
        <v>0.25012535585202456</v>
      </c>
      <c r="AU11" s="5">
        <f t="shared" si="102"/>
        <v>15.140834636918441</v>
      </c>
      <c r="AV11" s="5">
        <f t="shared" si="28"/>
        <v>2.216298238958947</v>
      </c>
      <c r="AW11" s="150">
        <f t="shared" si="103"/>
        <v>1.6251446041670885E-2</v>
      </c>
      <c r="AX11" s="150">
        <f t="shared" si="29"/>
        <v>0.38983923048454128</v>
      </c>
      <c r="AY11" s="150">
        <f t="shared" si="30"/>
        <v>0.49187427697916458</v>
      </c>
      <c r="AZ11" s="150">
        <f t="shared" si="104"/>
        <v>0.79255868568433918</v>
      </c>
      <c r="BA11" s="144">
        <f t="shared" si="31"/>
        <v>0.36018051242691534</v>
      </c>
      <c r="BB11" s="5">
        <f t="shared" si="32"/>
        <v>4.7338833143198547E-2</v>
      </c>
      <c r="BC11" s="5"/>
      <c r="BD11" s="150">
        <f t="shared" si="105"/>
        <v>7.3601281786100453E-2</v>
      </c>
      <c r="BE11" s="150">
        <f t="shared" si="33"/>
        <v>0.57263966388364718</v>
      </c>
      <c r="BF11" s="150"/>
      <c r="BG11" s="456">
        <f t="shared" si="34"/>
        <v>1.0834297361113925E-4</v>
      </c>
      <c r="BH11" s="456">
        <f t="shared" si="35"/>
        <v>6.5072005476534467E-2</v>
      </c>
      <c r="BI11" s="456">
        <f t="shared" si="36"/>
        <v>7.7928770787071291E-2</v>
      </c>
      <c r="BJ11" s="456">
        <f t="shared" si="37"/>
        <v>1.8537516405034163E-2</v>
      </c>
      <c r="BK11">
        <f t="shared" si="38"/>
        <v>2.1589174682452691E-2</v>
      </c>
      <c r="BL11" s="144">
        <f t="shared" si="106"/>
        <v>99.51794546952398</v>
      </c>
      <c r="BM11" s="456">
        <f t="shared" si="39"/>
        <v>8.3749273356181181E-2</v>
      </c>
      <c r="BN11" s="144">
        <f t="shared" si="107"/>
        <v>83.749273356181178</v>
      </c>
      <c r="BO11" s="456">
        <f t="shared" si="108"/>
        <v>4.4729999999999992E-2</v>
      </c>
      <c r="BP11" s="456"/>
      <c r="BR11" s="144">
        <f t="shared" si="109"/>
        <v>44.72999999999999</v>
      </c>
      <c r="BS11" s="456">
        <f t="shared" si="40"/>
        <v>1.6251446041670888E-4</v>
      </c>
      <c r="BT11" s="456">
        <f t="shared" si="41"/>
        <v>9.8374855395832912E-3</v>
      </c>
      <c r="BU11" s="456">
        <f t="shared" si="42"/>
        <v>5.3999999999999994E-3</v>
      </c>
      <c r="BV11" s="456">
        <f t="shared" si="43"/>
        <v>1.7814251401120897E-2</v>
      </c>
      <c r="BW11" s="456">
        <f t="shared" si="44"/>
        <v>6.4973205080756891E-5</v>
      </c>
      <c r="BX11" s="144">
        <f t="shared" si="110"/>
        <v>17.879224606201653</v>
      </c>
      <c r="BY11" s="150">
        <f t="shared" si="45"/>
        <v>0.24587644343190679</v>
      </c>
      <c r="BZ11" s="5">
        <f t="shared" si="111"/>
        <v>0.36</v>
      </c>
      <c r="CA11" s="150">
        <f t="shared" si="112"/>
        <v>0.59418055265662362</v>
      </c>
      <c r="CB11" s="5">
        <f t="shared" si="113"/>
        <v>59.41805526566236</v>
      </c>
      <c r="CE11" s="59">
        <f t="shared" si="46"/>
        <v>-50</v>
      </c>
      <c r="CF11">
        <f t="shared" si="47"/>
        <v>-50</v>
      </c>
      <c r="CG11" s="150">
        <f t="shared" si="48"/>
        <v>0.149649189773951</v>
      </c>
      <c r="CI11" s="147">
        <v>6</v>
      </c>
      <c r="CJ11" s="188">
        <f t="shared" si="114"/>
        <v>7.1999999999999995E-2</v>
      </c>
      <c r="CK11" s="188"/>
      <c r="CL11" s="188">
        <f t="shared" si="49"/>
        <v>0.36</v>
      </c>
      <c r="CM11" s="465">
        <f t="shared" si="50"/>
        <v>48</v>
      </c>
      <c r="CN11" s="149">
        <f t="shared" si="51"/>
        <v>5.4</v>
      </c>
      <c r="CO11" s="379">
        <f t="shared" si="52"/>
        <v>53.4</v>
      </c>
      <c r="CP11" s="379"/>
      <c r="CQ11" s="188">
        <f t="shared" si="53"/>
        <v>0.10112359550561799</v>
      </c>
      <c r="CR11" s="149">
        <f t="shared" si="54"/>
        <v>12.426067415730339</v>
      </c>
      <c r="CS11" s="149">
        <f t="shared" si="115"/>
        <v>0.36</v>
      </c>
      <c r="CT11" s="188">
        <f t="shared" si="55"/>
        <v>2.4852134831460679</v>
      </c>
      <c r="CU11" s="188">
        <f t="shared" si="56"/>
        <v>5</v>
      </c>
      <c r="CV11" s="188">
        <f t="shared" si="57"/>
        <v>2.4269662921348316</v>
      </c>
      <c r="CW11" s="149">
        <f t="shared" si="58"/>
        <v>1618.6785252638258</v>
      </c>
      <c r="CX11" s="149">
        <f t="shared" si="59"/>
        <v>5</v>
      </c>
      <c r="CY11" s="188">
        <f t="shared" si="60"/>
        <v>0.14833333333333332</v>
      </c>
      <c r="CZ11" s="188">
        <f t="shared" si="61"/>
        <v>3.7083333333333329E-2</v>
      </c>
      <c r="DA11" s="188">
        <f t="shared" si="62"/>
        <v>0.32962962962962961</v>
      </c>
      <c r="DB11" s="172">
        <f t="shared" si="63"/>
        <v>350</v>
      </c>
      <c r="DC11" s="379">
        <f t="shared" si="116"/>
        <v>350</v>
      </c>
      <c r="DE11" s="188">
        <f t="shared" si="64"/>
        <v>1.1556982343499198</v>
      </c>
      <c r="DF11" s="150">
        <f t="shared" si="65"/>
        <v>2.5682182985553772</v>
      </c>
      <c r="DG11" s="150">
        <f t="shared" si="66"/>
        <v>0.51941493678648076</v>
      </c>
      <c r="DH11" s="150"/>
      <c r="DI11" s="150">
        <f t="shared" si="67"/>
        <v>2.2222222222222219</v>
      </c>
      <c r="DJ11" s="314">
        <f t="shared" si="117"/>
        <v>64.8</v>
      </c>
      <c r="DK11" s="456">
        <f t="shared" si="68"/>
        <v>0.38888888888888884</v>
      </c>
      <c r="DM11" s="150">
        <f t="shared" si="69"/>
        <v>0.43028229936038176</v>
      </c>
      <c r="DN11" s="150">
        <f t="shared" si="70"/>
        <v>1</v>
      </c>
      <c r="DO11" s="150">
        <f t="shared" si="71"/>
        <v>1.0370285714285714</v>
      </c>
      <c r="DQ11" s="314">
        <f t="shared" si="72"/>
        <v>72</v>
      </c>
      <c r="DR11" s="144">
        <f t="shared" si="73"/>
        <v>64.8</v>
      </c>
      <c r="DT11">
        <f t="shared" si="74"/>
        <v>72</v>
      </c>
      <c r="DU11" s="144">
        <f t="shared" si="75"/>
        <v>64.8</v>
      </c>
      <c r="DV11" s="144"/>
      <c r="DW11" s="5">
        <f t="shared" si="118"/>
        <v>15.4320987654321</v>
      </c>
      <c r="DX11" s="5">
        <f t="shared" si="76"/>
        <v>0.25</v>
      </c>
      <c r="DY11" s="5">
        <f t="shared" si="119"/>
        <v>15.1820987654321</v>
      </c>
      <c r="DZ11" s="5">
        <f t="shared" si="77"/>
        <v>2.2222222222222219</v>
      </c>
      <c r="EA11" s="150">
        <f t="shared" si="120"/>
        <v>1.6199999999999999E-2</v>
      </c>
      <c r="EB11" s="150">
        <f t="shared" si="78"/>
        <v>0.38880000000000003</v>
      </c>
      <c r="EC11" s="150">
        <f t="shared" si="79"/>
        <v>0.4919</v>
      </c>
      <c r="ED11" s="150">
        <f t="shared" si="121"/>
        <v>0.79040455377109176</v>
      </c>
      <c r="EE11" s="144">
        <f t="shared" si="80"/>
        <v>0.36</v>
      </c>
      <c r="EF11" s="5">
        <f t="shared" si="81"/>
        <v>4.7444058641975304E-2</v>
      </c>
      <c r="EG11" s="5"/>
      <c r="EH11" s="150">
        <f t="shared" si="122"/>
        <v>7.3484692283495343E-2</v>
      </c>
      <c r="EI11" s="150">
        <f t="shared" si="82"/>
        <v>0.57265463704866071</v>
      </c>
      <c r="EJ11" s="150"/>
      <c r="EK11" s="456">
        <f t="shared" si="83"/>
        <v>1.0800000000000001E-4</v>
      </c>
      <c r="EL11" s="456">
        <f t="shared" si="84"/>
        <v>6.9206399999999987E-2</v>
      </c>
      <c r="EM11" s="456">
        <f t="shared" si="85"/>
        <v>8.0999999999999978E-3</v>
      </c>
      <c r="EN11" s="456">
        <f t="shared" si="86"/>
        <v>1.84781088E-2</v>
      </c>
      <c r="EO11">
        <f t="shared" si="87"/>
        <v>2.1600000000000001E-2</v>
      </c>
      <c r="EP11" s="144">
        <f t="shared" si="123"/>
        <v>29.699999999999996</v>
      </c>
      <c r="EQ11" s="456">
        <f t="shared" si="88"/>
        <v>0.11752468457742599</v>
      </c>
      <c r="ER11" s="144">
        <f t="shared" si="124"/>
        <v>117.52468457742599</v>
      </c>
      <c r="ES11" s="456">
        <f t="shared" si="125"/>
        <v>4.4729999999999992E-2</v>
      </c>
      <c r="ET11" s="456"/>
      <c r="EV11" s="144">
        <f t="shared" si="126"/>
        <v>44.72999999999999</v>
      </c>
      <c r="EW11" s="456">
        <f t="shared" si="89"/>
        <v>1.6200000000000001E-4</v>
      </c>
      <c r="EX11" s="456">
        <f t="shared" si="90"/>
        <v>9.8379999999999995E-3</v>
      </c>
      <c r="EY11" s="456">
        <f t="shared" si="91"/>
        <v>1.6900809984433261E-3</v>
      </c>
      <c r="EZ11" s="456">
        <f t="shared" si="92"/>
        <v>1.4101362088113818E-2</v>
      </c>
      <c r="FA11" s="456">
        <f t="shared" si="93"/>
        <v>6.4800000000000003E-5</v>
      </c>
      <c r="FB11" s="144">
        <f t="shared" si="127"/>
        <v>14.166162088113818</v>
      </c>
      <c r="FC11" s="150">
        <f t="shared" si="128"/>
        <v>0.17642084666553981</v>
      </c>
      <c r="FD11" s="5">
        <f t="shared" si="129"/>
        <v>0.36</v>
      </c>
      <c r="FE11" s="150">
        <f t="shared" si="130"/>
        <v>0.67111485736955556</v>
      </c>
      <c r="FF11" s="5">
        <f t="shared" si="131"/>
        <v>67.111485736955558</v>
      </c>
      <c r="FI11" s="59">
        <f t="shared" si="94"/>
        <v>-50</v>
      </c>
      <c r="FJ11">
        <f t="shared" si="95"/>
        <v>-50</v>
      </c>
      <c r="FL11">
        <f t="shared" si="96"/>
        <v>0.14400000000000002</v>
      </c>
    </row>
    <row r="12" spans="2:168">
      <c r="E12" s="147">
        <v>7</v>
      </c>
      <c r="F12" s="188">
        <f t="shared" si="97"/>
        <v>8.4000000000000005E-2</v>
      </c>
      <c r="G12" s="188"/>
      <c r="H12" s="188">
        <f t="shared" si="0"/>
        <v>0.42000000000000004</v>
      </c>
      <c r="I12" s="465">
        <f t="shared" si="1"/>
        <v>47.975943738783762</v>
      </c>
      <c r="J12" s="149">
        <f t="shared" si="2"/>
        <v>5.4144337567297409</v>
      </c>
      <c r="K12" s="149">
        <f t="shared" si="3"/>
        <v>53.414433756729743</v>
      </c>
      <c r="L12" s="379"/>
      <c r="M12" s="188">
        <f t="shared" si="4"/>
        <v>0.10142169478204008</v>
      </c>
      <c r="N12" s="149">
        <f t="shared" si="5"/>
        <v>12.45645189825345</v>
      </c>
      <c r="O12" s="149">
        <f t="shared" si="98"/>
        <v>0.42000000000000004</v>
      </c>
      <c r="P12" s="188">
        <f t="shared" si="6"/>
        <v>2.4912903796506898</v>
      </c>
      <c r="Q12" s="188">
        <f t="shared" si="7"/>
        <v>5</v>
      </c>
      <c r="R12" s="188">
        <f t="shared" si="8"/>
        <v>2.4329007613776268</v>
      </c>
      <c r="S12" s="149">
        <f t="shared" si="9"/>
        <v>1379.8934277918454</v>
      </c>
      <c r="T12" s="149">
        <f t="shared" si="10"/>
        <v>5</v>
      </c>
      <c r="U12" s="188">
        <f t="shared" si="99"/>
        <v>0.18696200322714199</v>
      </c>
      <c r="V12" s="188">
        <f t="shared" si="11"/>
        <v>4.6763937587996268E-2</v>
      </c>
      <c r="W12" s="188">
        <f t="shared" si="12"/>
        <v>0.41436355850455175</v>
      </c>
      <c r="X12" s="172">
        <f t="shared" si="13"/>
        <v>350</v>
      </c>
      <c r="Y12" s="379">
        <f t="shared" si="14"/>
        <v>350</v>
      </c>
      <c r="AA12" s="188">
        <f t="shared" si="15"/>
        <v>1.1584153116090465</v>
      </c>
      <c r="AB12" s="150">
        <f t="shared" si="16"/>
        <v>2.5673938151022098</v>
      </c>
      <c r="AC12" s="150">
        <f t="shared" si="17"/>
        <v>0.52046895361033396</v>
      </c>
      <c r="AD12" s="150"/>
      <c r="AE12" s="150">
        <f t="shared" si="18"/>
        <v>2.216298238958947</v>
      </c>
      <c r="AF12" s="314">
        <f t="shared" si="100"/>
        <v>75.802072594216384</v>
      </c>
      <c r="AG12" s="456">
        <f t="shared" si="19"/>
        <v>0.38785219181781572</v>
      </c>
      <c r="AI12" s="150">
        <f t="shared" si="20"/>
        <v>0.46537871703505057</v>
      </c>
      <c r="AJ12" s="150">
        <f t="shared" si="21"/>
        <v>1</v>
      </c>
      <c r="AK12" s="150">
        <f t="shared" si="22"/>
        <v>1.0433154700538378</v>
      </c>
      <c r="AM12" s="314">
        <f t="shared" si="23"/>
        <v>84</v>
      </c>
      <c r="AN12" s="144">
        <f t="shared" si="24"/>
        <v>75.802072594216384</v>
      </c>
      <c r="AP12">
        <f t="shared" si="25"/>
        <v>84</v>
      </c>
      <c r="AQ12" s="144">
        <f t="shared" si="26"/>
        <v>75.802072594216384</v>
      </c>
      <c r="AR12" s="144"/>
      <c r="AS12" s="5">
        <f t="shared" si="101"/>
        <v>13.192251422374682</v>
      </c>
      <c r="AT12" s="5">
        <f t="shared" si="27"/>
        <v>0.25012535585202456</v>
      </c>
      <c r="AU12" s="5">
        <f t="shared" si="102"/>
        <v>12.942126066522658</v>
      </c>
      <c r="AV12" s="5">
        <f t="shared" si="28"/>
        <v>2.216298238958947</v>
      </c>
      <c r="AW12" s="150">
        <f t="shared" si="103"/>
        <v>1.8960020381949372E-2</v>
      </c>
      <c r="AX12" s="150">
        <f t="shared" si="29"/>
        <v>0.45481243556529832</v>
      </c>
      <c r="AY12" s="150">
        <f t="shared" si="30"/>
        <v>0.49051998980902534</v>
      </c>
      <c r="AZ12" s="150">
        <f t="shared" si="104"/>
        <v>0.92720469096961966</v>
      </c>
      <c r="BA12" s="144">
        <f t="shared" si="31"/>
        <v>0.42021059783140124</v>
      </c>
      <c r="BB12" s="5">
        <f t="shared" si="32"/>
        <v>4.7208494198115007E-2</v>
      </c>
      <c r="BC12" s="5"/>
      <c r="BD12" s="150">
        <f t="shared" si="105"/>
        <v>7.9498470387694406E-2</v>
      </c>
      <c r="BE12" s="150">
        <f t="shared" si="33"/>
        <v>0.57185079045092713</v>
      </c>
      <c r="BF12" s="150"/>
      <c r="BG12" s="456">
        <f t="shared" si="34"/>
        <v>1.2640013587966248E-4</v>
      </c>
      <c r="BH12" s="456">
        <f t="shared" si="35"/>
        <v>7.5917339722623559E-2</v>
      </c>
      <c r="BI12" s="456">
        <f t="shared" si="36"/>
        <v>9.091689925158318E-2</v>
      </c>
      <c r="BJ12" s="456">
        <f t="shared" si="37"/>
        <v>2.1627102472539864E-2</v>
      </c>
      <c r="BK12">
        <f t="shared" si="38"/>
        <v>2.1589174682452691E-2</v>
      </c>
      <c r="BL12" s="144">
        <f t="shared" si="106"/>
        <v>112.50607393403587</v>
      </c>
      <c r="BM12" s="456">
        <f t="shared" si="39"/>
        <v>9.7707904797215028E-2</v>
      </c>
      <c r="BN12" s="144">
        <f t="shared" si="107"/>
        <v>97.707904797215022</v>
      </c>
      <c r="BO12" s="456">
        <f t="shared" si="108"/>
        <v>5.2184999999999995E-2</v>
      </c>
      <c r="BP12" s="456"/>
      <c r="BR12" s="144">
        <f t="shared" si="109"/>
        <v>52.184999999999995</v>
      </c>
      <c r="BS12" s="456">
        <f t="shared" si="40"/>
        <v>1.8960020381949373E-4</v>
      </c>
      <c r="BT12" s="456">
        <f t="shared" si="41"/>
        <v>9.8103997961805044E-3</v>
      </c>
      <c r="BU12" s="456">
        <f t="shared" si="42"/>
        <v>6.3E-3</v>
      </c>
      <c r="BV12" s="456">
        <f t="shared" si="43"/>
        <v>1.8714971977582064E-2</v>
      </c>
      <c r="BW12" s="456">
        <f t="shared" si="44"/>
        <v>7.5802072594216395E-5</v>
      </c>
      <c r="BX12" s="144">
        <f t="shared" si="110"/>
        <v>18.790774050176278</v>
      </c>
      <c r="BY12" s="150">
        <f t="shared" si="45"/>
        <v>0.28118975278142716</v>
      </c>
      <c r="BZ12" s="5">
        <f t="shared" si="111"/>
        <v>0.42000000000000004</v>
      </c>
      <c r="CA12" s="150">
        <f t="shared" si="112"/>
        <v>0.59898194224027856</v>
      </c>
      <c r="CB12" s="5">
        <f t="shared" si="113"/>
        <v>59.898194224027854</v>
      </c>
      <c r="CE12" s="59">
        <f t="shared" si="46"/>
        <v>-50</v>
      </c>
      <c r="CF12">
        <f t="shared" si="47"/>
        <v>-50</v>
      </c>
      <c r="CG12" s="150">
        <f t="shared" si="48"/>
        <v>0.17459072140294288</v>
      </c>
      <c r="CI12" s="147">
        <v>7</v>
      </c>
      <c r="CJ12" s="188">
        <f t="shared" si="114"/>
        <v>8.4000000000000005E-2</v>
      </c>
      <c r="CK12" s="188"/>
      <c r="CL12" s="188">
        <f t="shared" si="49"/>
        <v>0.42000000000000004</v>
      </c>
      <c r="CM12" s="465">
        <f t="shared" si="50"/>
        <v>48</v>
      </c>
      <c r="CN12" s="149">
        <f t="shared" si="51"/>
        <v>5.4</v>
      </c>
      <c r="CO12" s="379">
        <f t="shared" si="52"/>
        <v>53.4</v>
      </c>
      <c r="CP12" s="379"/>
      <c r="CQ12" s="188">
        <f t="shared" si="53"/>
        <v>0.10112359550561799</v>
      </c>
      <c r="CR12" s="149">
        <f t="shared" si="54"/>
        <v>12.426067415730339</v>
      </c>
      <c r="CS12" s="149">
        <f t="shared" si="115"/>
        <v>0.42000000000000004</v>
      </c>
      <c r="CT12" s="188">
        <f t="shared" si="55"/>
        <v>2.4852134831460679</v>
      </c>
      <c r="CU12" s="188">
        <f t="shared" si="56"/>
        <v>5</v>
      </c>
      <c r="CV12" s="188">
        <f t="shared" si="57"/>
        <v>2.4269662921348316</v>
      </c>
      <c r="CW12" s="149">
        <f t="shared" si="58"/>
        <v>1380.5853316879638</v>
      </c>
      <c r="CX12" s="149">
        <f t="shared" si="59"/>
        <v>5</v>
      </c>
      <c r="CY12" s="188">
        <f t="shared" si="60"/>
        <v>0.17305555555555557</v>
      </c>
      <c r="CZ12" s="188">
        <f t="shared" si="61"/>
        <v>4.3263888888888893E-2</v>
      </c>
      <c r="DA12" s="188">
        <f t="shared" si="62"/>
        <v>0.38456790123456797</v>
      </c>
      <c r="DB12" s="172">
        <f t="shared" si="63"/>
        <v>350</v>
      </c>
      <c r="DC12" s="379">
        <f t="shared" si="116"/>
        <v>350</v>
      </c>
      <c r="DE12" s="188">
        <f t="shared" si="64"/>
        <v>1.1556982343499198</v>
      </c>
      <c r="DF12" s="150">
        <f t="shared" si="65"/>
        <v>2.5682182985553772</v>
      </c>
      <c r="DG12" s="150">
        <f t="shared" si="66"/>
        <v>0.51941493678648076</v>
      </c>
      <c r="DH12" s="150"/>
      <c r="DI12" s="150">
        <f t="shared" si="67"/>
        <v>2.2222222222222219</v>
      </c>
      <c r="DJ12" s="314">
        <f t="shared" si="117"/>
        <v>75.600000000000009</v>
      </c>
      <c r="DK12" s="456">
        <f t="shared" si="68"/>
        <v>0.38888888888888884</v>
      </c>
      <c r="DM12" s="150">
        <f t="shared" si="69"/>
        <v>0.46475800154489011</v>
      </c>
      <c r="DN12" s="150">
        <f t="shared" si="70"/>
        <v>1</v>
      </c>
      <c r="DO12" s="150">
        <f t="shared" si="71"/>
        <v>1.0431999999999999</v>
      </c>
      <c r="DQ12" s="314">
        <f t="shared" si="72"/>
        <v>84</v>
      </c>
      <c r="DR12" s="144">
        <f t="shared" si="73"/>
        <v>75.600000000000009</v>
      </c>
      <c r="DT12">
        <f t="shared" si="74"/>
        <v>84</v>
      </c>
      <c r="DU12" s="144">
        <f t="shared" si="75"/>
        <v>75.600000000000009</v>
      </c>
      <c r="DV12" s="144"/>
      <c r="DW12" s="5">
        <f t="shared" si="118"/>
        <v>13.227513227513226</v>
      </c>
      <c r="DX12" s="5">
        <f t="shared" si="76"/>
        <v>0.25</v>
      </c>
      <c r="DY12" s="5">
        <f t="shared" si="119"/>
        <v>12.977513227513226</v>
      </c>
      <c r="DZ12" s="5">
        <f t="shared" si="77"/>
        <v>2.2222222222222219</v>
      </c>
      <c r="EA12" s="150">
        <f t="shared" si="120"/>
        <v>1.8900000000000004E-2</v>
      </c>
      <c r="EB12" s="150">
        <f t="shared" si="78"/>
        <v>0.45360000000000006</v>
      </c>
      <c r="EC12" s="150">
        <f t="shared" si="79"/>
        <v>0.49054999999999999</v>
      </c>
      <c r="ED12" s="150">
        <f t="shared" si="121"/>
        <v>0.92467638365100413</v>
      </c>
      <c r="EE12" s="144">
        <f t="shared" si="80"/>
        <v>0.42000000000000004</v>
      </c>
      <c r="EF12" s="5">
        <f t="shared" si="81"/>
        <v>4.7313850308641964E-2</v>
      </c>
      <c r="EG12" s="5"/>
      <c r="EH12" s="150">
        <f t="shared" si="122"/>
        <v>7.9372539331937719E-2</v>
      </c>
      <c r="EI12" s="150">
        <f t="shared" si="82"/>
        <v>0.57186828320281358</v>
      </c>
      <c r="EJ12" s="150"/>
      <c r="EK12" s="456">
        <f t="shared" si="83"/>
        <v>1.26E-4</v>
      </c>
      <c r="EL12" s="456">
        <f t="shared" si="84"/>
        <v>8.0740800000000015E-2</v>
      </c>
      <c r="EM12" s="456">
        <f t="shared" si="85"/>
        <v>9.4500000000000018E-3</v>
      </c>
      <c r="EN12" s="456">
        <f t="shared" si="86"/>
        <v>2.1557793600000003E-2</v>
      </c>
      <c r="EO12">
        <f t="shared" si="87"/>
        <v>2.1600000000000001E-2</v>
      </c>
      <c r="EP12" s="144">
        <f t="shared" si="123"/>
        <v>31.05</v>
      </c>
      <c r="EQ12" s="456">
        <f t="shared" si="88"/>
        <v>0.13351261064713255</v>
      </c>
      <c r="ER12" s="144">
        <f t="shared" si="124"/>
        <v>133.51261064713253</v>
      </c>
      <c r="ES12" s="456">
        <f t="shared" si="125"/>
        <v>5.2184999999999995E-2</v>
      </c>
      <c r="ET12" s="456"/>
      <c r="EV12" s="144">
        <f t="shared" si="126"/>
        <v>52.184999999999995</v>
      </c>
      <c r="EW12" s="456">
        <f t="shared" si="89"/>
        <v>1.8899999999999999E-4</v>
      </c>
      <c r="EX12" s="456">
        <f t="shared" si="90"/>
        <v>9.811000000000002E-3</v>
      </c>
      <c r="EY12" s="456">
        <f t="shared" si="91"/>
        <v>2.4847030500030403E-3</v>
      </c>
      <c r="EZ12" s="456">
        <f t="shared" si="92"/>
        <v>1.4896620346280066E-2</v>
      </c>
      <c r="FA12" s="456">
        <f t="shared" si="93"/>
        <v>7.5600000000000022E-5</v>
      </c>
      <c r="FB12" s="144">
        <f t="shared" si="127"/>
        <v>14.972220346280066</v>
      </c>
      <c r="FC12" s="150">
        <f t="shared" si="128"/>
        <v>0.2006698309934126</v>
      </c>
      <c r="FD12" s="5">
        <f t="shared" si="129"/>
        <v>0.42000000000000004</v>
      </c>
      <c r="FE12" s="150">
        <f t="shared" si="130"/>
        <v>0.67668827938320986</v>
      </c>
      <c r="FF12" s="5">
        <f t="shared" si="131"/>
        <v>67.668827938320987</v>
      </c>
      <c r="FI12" s="59">
        <f t="shared" si="94"/>
        <v>-50</v>
      </c>
      <c r="FJ12">
        <f t="shared" si="95"/>
        <v>-50</v>
      </c>
      <c r="FL12">
        <f t="shared" si="96"/>
        <v>0.16800000000000001</v>
      </c>
    </row>
    <row r="13" spans="2:168" s="59" customFormat="1">
      <c r="E13" s="147">
        <v>8</v>
      </c>
      <c r="F13" s="188">
        <f t="shared" si="97"/>
        <v>9.6000000000000002E-2</v>
      </c>
      <c r="G13" s="188"/>
      <c r="H13" s="188">
        <f t="shared" si="0"/>
        <v>0.48</v>
      </c>
      <c r="I13" s="465">
        <f t="shared" si="1"/>
        <v>47.975943738783762</v>
      </c>
      <c r="J13" s="149">
        <f t="shared" si="2"/>
        <v>5.4144337567297409</v>
      </c>
      <c r="K13" s="149">
        <f t="shared" si="3"/>
        <v>53.414433756729743</v>
      </c>
      <c r="L13" s="379"/>
      <c r="M13" s="188">
        <f t="shared" si="4"/>
        <v>0.10142169478204008</v>
      </c>
      <c r="N13" s="149">
        <f t="shared" si="5"/>
        <v>12.45645189825345</v>
      </c>
      <c r="O13" s="149">
        <f t="shared" si="98"/>
        <v>0.48</v>
      </c>
      <c r="P13" s="188">
        <f t="shared" si="6"/>
        <v>2.4912903796506898</v>
      </c>
      <c r="Q13" s="188">
        <f t="shared" si="7"/>
        <v>5</v>
      </c>
      <c r="R13" s="188">
        <f t="shared" si="8"/>
        <v>2.4329007613776268</v>
      </c>
      <c r="S13" s="149">
        <f t="shared" si="9"/>
        <v>1201.4135589744265</v>
      </c>
      <c r="T13" s="149">
        <f t="shared" si="10"/>
        <v>5</v>
      </c>
      <c r="U13" s="188">
        <f t="shared" si="99"/>
        <v>0.21367086083101938</v>
      </c>
      <c r="V13" s="188">
        <f t="shared" si="11"/>
        <v>5.3444500100567151E-2</v>
      </c>
      <c r="W13" s="188">
        <f t="shared" si="12"/>
        <v>0.47355835257663048</v>
      </c>
      <c r="X13" s="172">
        <f t="shared" si="13"/>
        <v>350</v>
      </c>
      <c r="Y13" s="379">
        <f t="shared" si="14"/>
        <v>350</v>
      </c>
      <c r="AA13" s="188">
        <f t="shared" si="15"/>
        <v>1.1584153116090465</v>
      </c>
      <c r="AB13" s="150">
        <f t="shared" si="16"/>
        <v>2.5673938151022098</v>
      </c>
      <c r="AC13" s="462">
        <f t="shared" si="17"/>
        <v>0.52046895361033396</v>
      </c>
      <c r="AD13" s="462"/>
      <c r="AE13" s="150">
        <f t="shared" si="18"/>
        <v>2.216298238958947</v>
      </c>
      <c r="AF13" s="314">
        <f t="shared" si="100"/>
        <v>86.630940107675869</v>
      </c>
      <c r="AG13" s="456">
        <f t="shared" si="19"/>
        <v>0.38785219181781572</v>
      </c>
      <c r="AH13"/>
      <c r="AI13" s="150">
        <f t="shared" si="20"/>
        <v>0.49751077549759337</v>
      </c>
      <c r="AJ13" s="150">
        <f t="shared" si="21"/>
        <v>1</v>
      </c>
      <c r="AK13" s="150">
        <f t="shared" si="22"/>
        <v>1.0495033943472434</v>
      </c>
      <c r="AM13" s="314">
        <f t="shared" si="23"/>
        <v>96</v>
      </c>
      <c r="AN13" s="144">
        <f t="shared" si="24"/>
        <v>86.630940107675869</v>
      </c>
      <c r="AP13">
        <f t="shared" si="25"/>
        <v>96</v>
      </c>
      <c r="AQ13" s="144">
        <f t="shared" si="26"/>
        <v>86.630940107675869</v>
      </c>
      <c r="AR13" s="144"/>
      <c r="AS13" s="5">
        <f t="shared" si="101"/>
        <v>11.543219994577846</v>
      </c>
      <c r="AT13" s="5">
        <f t="shared" si="27"/>
        <v>0.25012535585202456</v>
      </c>
      <c r="AU13" s="5">
        <f t="shared" si="102"/>
        <v>11.293094638725822</v>
      </c>
      <c r="AV13" s="5">
        <f t="shared" si="28"/>
        <v>2.216298238958947</v>
      </c>
      <c r="AW13" s="150">
        <f t="shared" si="103"/>
        <v>2.1668594722227853E-2</v>
      </c>
      <c r="AX13" s="150">
        <f t="shared" si="29"/>
        <v>0.51978564064605526</v>
      </c>
      <c r="AY13" s="150">
        <f t="shared" si="30"/>
        <v>0.48916570263888609</v>
      </c>
      <c r="AZ13" s="150">
        <f t="shared" si="104"/>
        <v>1.0625962487598473</v>
      </c>
      <c r="BA13" s="144">
        <f t="shared" si="31"/>
        <v>0.48024068323588714</v>
      </c>
      <c r="BB13" s="5">
        <f t="shared" si="32"/>
        <v>4.7078155253031446E-2</v>
      </c>
      <c r="BC13" s="5"/>
      <c r="BD13" s="150">
        <f t="shared" si="105"/>
        <v>8.49874397038132E-2</v>
      </c>
      <c r="BE13" s="150">
        <f t="shared" si="33"/>
        <v>0.57106082725566465</v>
      </c>
      <c r="BF13" s="150"/>
      <c r="BG13" s="456">
        <f t="shared" si="34"/>
        <v>1.4445729814818571E-4</v>
      </c>
      <c r="BH13" s="456">
        <f t="shared" si="35"/>
        <v>8.6762673968712636E-2</v>
      </c>
      <c r="BI13" s="456">
        <f t="shared" si="36"/>
        <v>0.10390502771609507</v>
      </c>
      <c r="BJ13" s="456">
        <f t="shared" si="37"/>
        <v>2.4716688540045557E-2</v>
      </c>
      <c r="BK13">
        <f t="shared" si="38"/>
        <v>2.1589174682452691E-2</v>
      </c>
      <c r="BL13" s="144">
        <f t="shared" si="106"/>
        <v>125.49420239854776</v>
      </c>
      <c r="BM13" s="456">
        <f t="shared" si="39"/>
        <v>0.11166665601807538</v>
      </c>
      <c r="BN13" s="144">
        <f t="shared" si="107"/>
        <v>111.66665601807537</v>
      </c>
      <c r="BO13" s="456">
        <f t="shared" si="108"/>
        <v>5.9639999999999992E-2</v>
      </c>
      <c r="BP13" s="456"/>
      <c r="BR13" s="144">
        <f t="shared" si="109"/>
        <v>59.639999999999993</v>
      </c>
      <c r="BS13" s="456">
        <f t="shared" si="40"/>
        <v>2.1668594722227852E-4</v>
      </c>
      <c r="BT13" s="456">
        <f t="shared" si="41"/>
        <v>9.783314052777721E-3</v>
      </c>
      <c r="BU13" s="456">
        <f t="shared" si="42"/>
        <v>7.1999999999999998E-3</v>
      </c>
      <c r="BV13" s="456">
        <f t="shared" si="43"/>
        <v>1.9615692554043235E-2</v>
      </c>
      <c r="BW13" s="456">
        <f t="shared" si="44"/>
        <v>8.6630940107675872E-5</v>
      </c>
      <c r="BX13" s="144">
        <f t="shared" si="110"/>
        <v>19.70232349415091</v>
      </c>
      <c r="BY13" s="150">
        <f t="shared" si="45"/>
        <v>0.31650318191077403</v>
      </c>
      <c r="BZ13" s="5">
        <f t="shared" si="111"/>
        <v>0.48</v>
      </c>
      <c r="CA13" s="150">
        <f t="shared" si="112"/>
        <v>0.60263412739733491</v>
      </c>
      <c r="CB13" s="5">
        <f t="shared" si="113"/>
        <v>60.263412739733489</v>
      </c>
      <c r="CE13" s="59">
        <f t="shared" si="46"/>
        <v>-50</v>
      </c>
      <c r="CF13">
        <f t="shared" si="47"/>
        <v>-50</v>
      </c>
      <c r="CG13" s="150">
        <f t="shared" si="48"/>
        <v>0.19953225303193467</v>
      </c>
      <c r="CH13"/>
      <c r="CI13" s="147">
        <v>8</v>
      </c>
      <c r="CJ13" s="188">
        <f t="shared" si="114"/>
        <v>9.6000000000000002E-2</v>
      </c>
      <c r="CK13" s="188"/>
      <c r="CL13" s="188">
        <f t="shared" si="49"/>
        <v>0.48</v>
      </c>
      <c r="CM13" s="465">
        <f t="shared" si="50"/>
        <v>48</v>
      </c>
      <c r="CN13" s="149">
        <f t="shared" si="51"/>
        <v>5.4</v>
      </c>
      <c r="CO13" s="379">
        <f t="shared" si="52"/>
        <v>53.4</v>
      </c>
      <c r="CP13" s="379"/>
      <c r="CQ13" s="188">
        <f t="shared" si="53"/>
        <v>0.10112359550561799</v>
      </c>
      <c r="CR13" s="149">
        <f t="shared" si="54"/>
        <v>12.426067415730339</v>
      </c>
      <c r="CS13" s="149">
        <f t="shared" si="115"/>
        <v>0.48</v>
      </c>
      <c r="CT13" s="188">
        <f t="shared" si="55"/>
        <v>2.4852134831460679</v>
      </c>
      <c r="CU13" s="188">
        <f t="shared" si="56"/>
        <v>5</v>
      </c>
      <c r="CV13" s="188">
        <f t="shared" si="57"/>
        <v>2.4269662921348316</v>
      </c>
      <c r="CW13" s="149">
        <f t="shared" si="58"/>
        <v>1202.0159678518194</v>
      </c>
      <c r="CX13" s="149">
        <f t="shared" si="59"/>
        <v>5</v>
      </c>
      <c r="CY13" s="188">
        <f t="shared" si="60"/>
        <v>0.19777777777777775</v>
      </c>
      <c r="CZ13" s="188">
        <f t="shared" si="61"/>
        <v>4.9444444444444437E-2</v>
      </c>
      <c r="DA13" s="188">
        <f t="shared" si="62"/>
        <v>0.43950617283950616</v>
      </c>
      <c r="DB13" s="172">
        <f t="shared" si="63"/>
        <v>350</v>
      </c>
      <c r="DC13" s="379">
        <f t="shared" si="116"/>
        <v>350</v>
      </c>
      <c r="DE13" s="188">
        <f t="shared" si="64"/>
        <v>1.1556982343499198</v>
      </c>
      <c r="DF13" s="150">
        <f t="shared" si="65"/>
        <v>2.5682182985553772</v>
      </c>
      <c r="DG13" s="462">
        <f t="shared" si="66"/>
        <v>0.51941493678648076</v>
      </c>
      <c r="DH13" s="462"/>
      <c r="DI13" s="150">
        <f t="shared" si="67"/>
        <v>2.2222222222222219</v>
      </c>
      <c r="DJ13" s="314">
        <f t="shared" si="117"/>
        <v>86.40000000000002</v>
      </c>
      <c r="DK13" s="456">
        <f t="shared" si="68"/>
        <v>0.38888888888888884</v>
      </c>
      <c r="DL13"/>
      <c r="DM13" s="150">
        <f t="shared" si="69"/>
        <v>0.49684720272649507</v>
      </c>
      <c r="DN13" s="150">
        <f t="shared" si="70"/>
        <v>1</v>
      </c>
      <c r="DO13" s="150">
        <f t="shared" si="71"/>
        <v>1.0493714285714286</v>
      </c>
      <c r="DQ13" s="314">
        <f t="shared" si="72"/>
        <v>96</v>
      </c>
      <c r="DR13" s="144">
        <f t="shared" si="73"/>
        <v>86.40000000000002</v>
      </c>
      <c r="DT13">
        <f t="shared" si="74"/>
        <v>96</v>
      </c>
      <c r="DU13" s="144">
        <f t="shared" si="75"/>
        <v>86.40000000000002</v>
      </c>
      <c r="DV13" s="144"/>
      <c r="DW13" s="5">
        <f t="shared" si="118"/>
        <v>11.574074074074071</v>
      </c>
      <c r="DX13" s="5">
        <f t="shared" si="76"/>
        <v>0.25</v>
      </c>
      <c r="DY13" s="5">
        <f t="shared" si="119"/>
        <v>11.324074074074071</v>
      </c>
      <c r="DZ13" s="5">
        <f t="shared" si="77"/>
        <v>2.2222222222222219</v>
      </c>
      <c r="EA13" s="150">
        <f t="shared" si="120"/>
        <v>2.1600000000000005E-2</v>
      </c>
      <c r="EB13" s="150">
        <f t="shared" si="78"/>
        <v>0.51840000000000008</v>
      </c>
      <c r="EC13" s="150">
        <f t="shared" si="79"/>
        <v>0.48920000000000002</v>
      </c>
      <c r="ED13" s="150">
        <f t="shared" si="121"/>
        <v>1.0596892886345055</v>
      </c>
      <c r="EE13" s="144">
        <f t="shared" si="80"/>
        <v>0.48000000000000004</v>
      </c>
      <c r="EF13" s="5">
        <f t="shared" si="81"/>
        <v>4.7183641975308624E-2</v>
      </c>
      <c r="EG13" s="5"/>
      <c r="EH13" s="150">
        <f t="shared" si="122"/>
        <v>8.4852813742385708E-2</v>
      </c>
      <c r="EI13" s="150">
        <f t="shared" si="82"/>
        <v>0.57108084658245484</v>
      </c>
      <c r="EJ13" s="150"/>
      <c r="EK13" s="456">
        <f t="shared" si="83"/>
        <v>1.44E-4</v>
      </c>
      <c r="EL13" s="456">
        <f t="shared" si="84"/>
        <v>9.2275200000000016E-2</v>
      </c>
      <c r="EM13" s="456">
        <f t="shared" si="85"/>
        <v>1.0800000000000002E-2</v>
      </c>
      <c r="EN13" s="456">
        <f t="shared" si="86"/>
        <v>2.4637478400000006E-2</v>
      </c>
      <c r="EO13">
        <f t="shared" si="87"/>
        <v>2.1600000000000001E-2</v>
      </c>
      <c r="EP13" s="144">
        <f t="shared" si="123"/>
        <v>32.400000000000006</v>
      </c>
      <c r="EQ13" s="456">
        <f t="shared" si="88"/>
        <v>0.14950067347584259</v>
      </c>
      <c r="ER13" s="144">
        <f t="shared" si="124"/>
        <v>149.50067347584258</v>
      </c>
      <c r="ES13" s="456">
        <f t="shared" si="125"/>
        <v>5.9639999999999992E-2</v>
      </c>
      <c r="ET13" s="456"/>
      <c r="EV13" s="144">
        <f t="shared" si="126"/>
        <v>59.639999999999993</v>
      </c>
      <c r="EW13" s="456">
        <f t="shared" si="89"/>
        <v>2.1600000000000002E-4</v>
      </c>
      <c r="EX13" s="456">
        <f t="shared" si="90"/>
        <v>9.7839999999999993E-3</v>
      </c>
      <c r="EY13" s="456">
        <f t="shared" si="91"/>
        <v>3.4693998912125462E-3</v>
      </c>
      <c r="EZ13" s="456">
        <f t="shared" si="92"/>
        <v>1.5882105575673083E-2</v>
      </c>
      <c r="FA13" s="456">
        <f t="shared" si="93"/>
        <v>8.6400000000000013E-5</v>
      </c>
      <c r="FB13" s="144">
        <f t="shared" si="127"/>
        <v>15.968505575673083</v>
      </c>
      <c r="FC13" s="150">
        <f t="shared" si="128"/>
        <v>0.22510917905151565</v>
      </c>
      <c r="FD13" s="5">
        <f t="shared" si="129"/>
        <v>0.48</v>
      </c>
      <c r="FE13" s="150">
        <f t="shared" si="130"/>
        <v>0.68074564090298273</v>
      </c>
      <c r="FF13" s="5">
        <f t="shared" si="131"/>
        <v>68.074564090298267</v>
      </c>
      <c r="FI13" s="59">
        <f t="shared" si="94"/>
        <v>-50</v>
      </c>
      <c r="FJ13">
        <f t="shared" si="95"/>
        <v>-50</v>
      </c>
      <c r="FL13">
        <f t="shared" si="96"/>
        <v>0.19200000000000003</v>
      </c>
    </row>
    <row r="14" spans="2:168">
      <c r="E14" s="147">
        <v>9</v>
      </c>
      <c r="F14" s="188">
        <f t="shared" si="97"/>
        <v>0.108</v>
      </c>
      <c r="G14" s="188"/>
      <c r="H14" s="188">
        <f t="shared" si="0"/>
        <v>0.54</v>
      </c>
      <c r="I14" s="465">
        <f t="shared" si="1"/>
        <v>47.975943738783762</v>
      </c>
      <c r="J14" s="149">
        <f t="shared" si="2"/>
        <v>5.4144337567297409</v>
      </c>
      <c r="K14" s="149">
        <f t="shared" si="3"/>
        <v>53.414433756729743</v>
      </c>
      <c r="L14" s="379"/>
      <c r="M14" s="188">
        <f t="shared" si="4"/>
        <v>0.10142169478204008</v>
      </c>
      <c r="N14" s="149">
        <f t="shared" si="5"/>
        <v>12.45645189825345</v>
      </c>
      <c r="O14" s="149">
        <f t="shared" si="98"/>
        <v>0.54</v>
      </c>
      <c r="P14" s="188">
        <f t="shared" si="6"/>
        <v>2.4912903796506898</v>
      </c>
      <c r="Q14" s="188">
        <f t="shared" si="7"/>
        <v>5</v>
      </c>
      <c r="R14" s="188">
        <f t="shared" si="8"/>
        <v>2.4329007613776268</v>
      </c>
      <c r="S14" s="149">
        <f t="shared" si="9"/>
        <v>1062.5963625717925</v>
      </c>
      <c r="T14" s="149">
        <f t="shared" si="10"/>
        <v>5</v>
      </c>
      <c r="U14" s="188">
        <f t="shared" si="99"/>
        <v>0.24037971843489681</v>
      </c>
      <c r="V14" s="188">
        <f t="shared" si="11"/>
        <v>6.0125062613138054E-2</v>
      </c>
      <c r="W14" s="188">
        <f t="shared" si="12"/>
        <v>0.53275314664870932</v>
      </c>
      <c r="X14" s="172">
        <f t="shared" si="13"/>
        <v>350</v>
      </c>
      <c r="Y14" s="379">
        <f t="shared" si="14"/>
        <v>350</v>
      </c>
      <c r="AA14" s="188">
        <f t="shared" si="15"/>
        <v>1.1584153116090465</v>
      </c>
      <c r="AB14" s="150">
        <f t="shared" si="16"/>
        <v>2.5673938151022098</v>
      </c>
      <c r="AC14" s="150">
        <f t="shared" si="17"/>
        <v>0.52046895361033396</v>
      </c>
      <c r="AD14" s="150"/>
      <c r="AE14" s="150">
        <f t="shared" si="18"/>
        <v>2.216298238958947</v>
      </c>
      <c r="AF14" s="314">
        <f t="shared" si="100"/>
        <v>97.459807621135354</v>
      </c>
      <c r="AG14" s="456">
        <f t="shared" si="19"/>
        <v>0.38785219181781572</v>
      </c>
      <c r="AI14" s="150">
        <f t="shared" si="20"/>
        <v>0.52768986460158951</v>
      </c>
      <c r="AJ14" s="150">
        <f t="shared" si="21"/>
        <v>1</v>
      </c>
      <c r="AK14" s="150">
        <f t="shared" si="22"/>
        <v>1.0556913186406487</v>
      </c>
      <c r="AM14" s="314">
        <f t="shared" si="23"/>
        <v>108</v>
      </c>
      <c r="AN14" s="144">
        <f t="shared" si="24"/>
        <v>97.459807621135354</v>
      </c>
      <c r="AP14">
        <f t="shared" si="25"/>
        <v>108</v>
      </c>
      <c r="AQ14" s="144">
        <f t="shared" si="26"/>
        <v>97.459807621135354</v>
      </c>
      <c r="AR14" s="144"/>
      <c r="AS14" s="5">
        <f t="shared" si="101"/>
        <v>10.260639995180307</v>
      </c>
      <c r="AT14" s="5">
        <f t="shared" si="27"/>
        <v>0.25012535585202456</v>
      </c>
      <c r="AU14" s="5">
        <f t="shared" si="102"/>
        <v>10.010514639328283</v>
      </c>
      <c r="AV14" s="5">
        <f t="shared" si="28"/>
        <v>2.216298238958947</v>
      </c>
      <c r="AW14" s="150">
        <f t="shared" si="103"/>
        <v>2.4377169062506338E-2</v>
      </c>
      <c r="AX14" s="150">
        <f t="shared" si="29"/>
        <v>0.58475884572681214</v>
      </c>
      <c r="AY14" s="150">
        <f t="shared" si="30"/>
        <v>0.48781141546874685</v>
      </c>
      <c r="AZ14" s="150">
        <f t="shared" si="104"/>
        <v>1.1987395685787852</v>
      </c>
      <c r="BA14" s="144">
        <f t="shared" si="31"/>
        <v>0.54027076864037293</v>
      </c>
      <c r="BB14" s="5">
        <f t="shared" si="32"/>
        <v>4.6947816307947907E-2</v>
      </c>
      <c r="BC14" s="5"/>
      <c r="BD14" s="150">
        <f t="shared" si="105"/>
        <v>9.0142792395373719E-2</v>
      </c>
      <c r="BE14" s="150">
        <f t="shared" si="33"/>
        <v>0.57026976976909616</v>
      </c>
      <c r="BF14" s="150"/>
      <c r="BG14" s="456">
        <f t="shared" si="34"/>
        <v>1.6251446041670893E-4</v>
      </c>
      <c r="BH14" s="456">
        <f t="shared" si="35"/>
        <v>9.7608008214801742E-2</v>
      </c>
      <c r="BI14" s="456">
        <f t="shared" si="36"/>
        <v>0.11689315618060696</v>
      </c>
      <c r="BJ14" s="456">
        <f t="shared" si="37"/>
        <v>2.7806274607551255E-2</v>
      </c>
      <c r="BK14">
        <f t="shared" si="38"/>
        <v>2.1589174682452691E-2</v>
      </c>
      <c r="BL14" s="144">
        <f t="shared" si="106"/>
        <v>138.48233086305964</v>
      </c>
      <c r="BM14" s="456">
        <f t="shared" si="39"/>
        <v>0.12562552702030405</v>
      </c>
      <c r="BN14" s="144">
        <f t="shared" si="107"/>
        <v>125.62552702030405</v>
      </c>
      <c r="BO14" s="456">
        <f t="shared" si="108"/>
        <v>6.7095000000000002E-2</v>
      </c>
      <c r="BP14" s="456"/>
      <c r="BR14" s="144">
        <f t="shared" si="109"/>
        <v>67.094999999999999</v>
      </c>
      <c r="BS14" s="456">
        <f t="shared" si="40"/>
        <v>2.4377169062506337E-4</v>
      </c>
      <c r="BT14" s="456">
        <f t="shared" si="41"/>
        <v>9.7562283093749376E-3</v>
      </c>
      <c r="BU14" s="456">
        <f t="shared" si="42"/>
        <v>8.0999999999999996E-3</v>
      </c>
      <c r="BV14" s="456">
        <f t="shared" si="43"/>
        <v>2.05164131305044E-2</v>
      </c>
      <c r="BW14" s="456">
        <f t="shared" si="44"/>
        <v>9.7459807621135363E-5</v>
      </c>
      <c r="BX14" s="144">
        <f t="shared" si="110"/>
        <v>20.613872938125535</v>
      </c>
      <c r="BY14" s="150">
        <f t="shared" si="45"/>
        <v>0.35181673082148923</v>
      </c>
      <c r="BZ14" s="5">
        <f t="shared" si="111"/>
        <v>0.54</v>
      </c>
      <c r="CA14" s="150">
        <f t="shared" si="112"/>
        <v>0.60550557231930791</v>
      </c>
      <c r="CB14" s="5">
        <f t="shared" si="113"/>
        <v>60.550557231930789</v>
      </c>
      <c r="CE14" s="59">
        <f t="shared" si="46"/>
        <v>-50</v>
      </c>
      <c r="CF14">
        <f t="shared" si="47"/>
        <v>-50</v>
      </c>
      <c r="CG14" s="150">
        <f t="shared" si="48"/>
        <v>0.22447378466092652</v>
      </c>
      <c r="CI14" s="147">
        <v>9</v>
      </c>
      <c r="CJ14" s="188">
        <f t="shared" si="114"/>
        <v>0.108</v>
      </c>
      <c r="CK14" s="188"/>
      <c r="CL14" s="188">
        <f t="shared" si="49"/>
        <v>0.54</v>
      </c>
      <c r="CM14" s="465">
        <f t="shared" si="50"/>
        <v>48</v>
      </c>
      <c r="CN14" s="149">
        <f t="shared" si="51"/>
        <v>5.4</v>
      </c>
      <c r="CO14" s="379">
        <f t="shared" si="52"/>
        <v>53.4</v>
      </c>
      <c r="CP14" s="379"/>
      <c r="CQ14" s="188">
        <f t="shared" si="53"/>
        <v>0.10112359550561799</v>
      </c>
      <c r="CR14" s="149">
        <f t="shared" si="54"/>
        <v>12.426067415730339</v>
      </c>
      <c r="CS14" s="149">
        <f t="shared" si="115"/>
        <v>0.54</v>
      </c>
      <c r="CT14" s="188">
        <f t="shared" si="55"/>
        <v>2.4852134831460679</v>
      </c>
      <c r="CU14" s="188">
        <f t="shared" si="56"/>
        <v>5</v>
      </c>
      <c r="CV14" s="188">
        <f t="shared" si="57"/>
        <v>2.4269662921348316</v>
      </c>
      <c r="CW14" s="149">
        <f t="shared" si="58"/>
        <v>1063.1291642126585</v>
      </c>
      <c r="CX14" s="149">
        <f t="shared" si="59"/>
        <v>5</v>
      </c>
      <c r="CY14" s="188">
        <f t="shared" si="60"/>
        <v>0.2225</v>
      </c>
      <c r="CZ14" s="188">
        <f t="shared" si="61"/>
        <v>5.5625000000000001E-2</v>
      </c>
      <c r="DA14" s="188">
        <f t="shared" si="62"/>
        <v>0.49444444444444446</v>
      </c>
      <c r="DB14" s="172">
        <f t="shared" si="63"/>
        <v>350</v>
      </c>
      <c r="DC14" s="379">
        <f t="shared" si="116"/>
        <v>350</v>
      </c>
      <c r="DE14" s="188">
        <f t="shared" si="64"/>
        <v>1.1556982343499198</v>
      </c>
      <c r="DF14" s="150">
        <f t="shared" si="65"/>
        <v>2.5682182985553772</v>
      </c>
      <c r="DG14" s="150">
        <f t="shared" si="66"/>
        <v>0.51941493678648076</v>
      </c>
      <c r="DH14" s="150"/>
      <c r="DI14" s="150">
        <f t="shared" si="67"/>
        <v>2.2222222222222219</v>
      </c>
      <c r="DJ14" s="314">
        <f t="shared" si="117"/>
        <v>97.2</v>
      </c>
      <c r="DK14" s="456">
        <f t="shared" si="68"/>
        <v>0.38888888888888884</v>
      </c>
      <c r="DM14" s="150">
        <f t="shared" si="69"/>
        <v>0.52698603939220789</v>
      </c>
      <c r="DN14" s="150">
        <f t="shared" si="70"/>
        <v>1</v>
      </c>
      <c r="DO14" s="150">
        <f t="shared" si="71"/>
        <v>1.0555428571428571</v>
      </c>
      <c r="DQ14" s="314">
        <f t="shared" si="72"/>
        <v>108</v>
      </c>
      <c r="DR14" s="144">
        <f t="shared" si="73"/>
        <v>97.2</v>
      </c>
      <c r="DT14">
        <f t="shared" si="74"/>
        <v>108</v>
      </c>
      <c r="DU14" s="144">
        <f t="shared" si="75"/>
        <v>97.2</v>
      </c>
      <c r="DV14" s="144"/>
      <c r="DW14" s="5">
        <f t="shared" si="118"/>
        <v>10.2880658436214</v>
      </c>
      <c r="DX14" s="5">
        <f t="shared" si="76"/>
        <v>0.25</v>
      </c>
      <c r="DY14" s="5">
        <f t="shared" si="119"/>
        <v>10.0380658436214</v>
      </c>
      <c r="DZ14" s="5">
        <f t="shared" si="77"/>
        <v>2.2222222222222219</v>
      </c>
      <c r="EA14" s="150">
        <f t="shared" si="120"/>
        <v>2.4299999999999999E-2</v>
      </c>
      <c r="EB14" s="150">
        <f t="shared" si="78"/>
        <v>0.58320000000000005</v>
      </c>
      <c r="EC14" s="150">
        <f t="shared" si="79"/>
        <v>0.48785000000000001</v>
      </c>
      <c r="ED14" s="150">
        <f t="shared" si="121"/>
        <v>1.1954494209285642</v>
      </c>
      <c r="EE14" s="144">
        <f t="shared" si="80"/>
        <v>0.54</v>
      </c>
      <c r="EF14" s="5">
        <f t="shared" si="81"/>
        <v>4.7053433641975312E-2</v>
      </c>
      <c r="EG14" s="5"/>
      <c r="EH14" s="150">
        <f t="shared" si="122"/>
        <v>0.09</v>
      </c>
      <c r="EI14" s="150">
        <f t="shared" si="82"/>
        <v>0.57029232270243069</v>
      </c>
      <c r="EJ14" s="150"/>
      <c r="EK14" s="456">
        <f t="shared" si="83"/>
        <v>1.6200000000000001E-4</v>
      </c>
      <c r="EL14" s="456">
        <f t="shared" si="84"/>
        <v>0.1038096</v>
      </c>
      <c r="EM14" s="456">
        <f t="shared" si="85"/>
        <v>1.2150000000000001E-2</v>
      </c>
      <c r="EN14" s="456">
        <f t="shared" si="86"/>
        <v>2.7717163199999999E-2</v>
      </c>
      <c r="EO14">
        <f t="shared" si="87"/>
        <v>2.1600000000000001E-2</v>
      </c>
      <c r="EP14" s="144">
        <f t="shared" si="123"/>
        <v>33.75</v>
      </c>
      <c r="EQ14" s="456">
        <f t="shared" si="88"/>
        <v>0.16548887306531096</v>
      </c>
      <c r="ER14" s="144">
        <f t="shared" si="124"/>
        <v>165.48887306531097</v>
      </c>
      <c r="ES14" s="456">
        <f t="shared" si="125"/>
        <v>6.7095000000000002E-2</v>
      </c>
      <c r="ET14" s="456"/>
      <c r="EV14" s="144">
        <f t="shared" si="126"/>
        <v>67.094999999999999</v>
      </c>
      <c r="EW14" s="456">
        <f t="shared" si="89"/>
        <v>2.4299999999999997E-4</v>
      </c>
      <c r="EX14" s="456">
        <f t="shared" si="90"/>
        <v>9.757E-3</v>
      </c>
      <c r="EY14" s="456">
        <f t="shared" si="91"/>
        <v>4.6573155789296486E-3</v>
      </c>
      <c r="EZ14" s="456">
        <f t="shared" si="92"/>
        <v>1.7070972356815099E-2</v>
      </c>
      <c r="FA14" s="456">
        <f t="shared" si="93"/>
        <v>9.7200000000000004E-5</v>
      </c>
      <c r="FB14" s="144">
        <f t="shared" si="127"/>
        <v>17.168172356815099</v>
      </c>
      <c r="FC14" s="150">
        <f t="shared" si="128"/>
        <v>0.24975204542212606</v>
      </c>
      <c r="FD14" s="5">
        <f t="shared" si="129"/>
        <v>0.54</v>
      </c>
      <c r="FE14" s="150">
        <f t="shared" si="130"/>
        <v>0.683758912851397</v>
      </c>
      <c r="FF14" s="5">
        <f t="shared" si="131"/>
        <v>68.375891285139701</v>
      </c>
      <c r="FI14" s="59">
        <f t="shared" si="94"/>
        <v>-50</v>
      </c>
      <c r="FJ14">
        <f t="shared" si="95"/>
        <v>-50</v>
      </c>
      <c r="FL14">
        <f t="shared" si="96"/>
        <v>0.216</v>
      </c>
    </row>
    <row r="15" spans="2:168">
      <c r="E15" s="147">
        <v>10</v>
      </c>
      <c r="F15" s="188">
        <f t="shared" si="97"/>
        <v>0.12</v>
      </c>
      <c r="G15" s="188"/>
      <c r="H15" s="188">
        <f t="shared" si="0"/>
        <v>0.6</v>
      </c>
      <c r="I15" s="465">
        <f t="shared" si="1"/>
        <v>47.975943738783762</v>
      </c>
      <c r="J15" s="149">
        <f t="shared" si="2"/>
        <v>5.4144337567297409</v>
      </c>
      <c r="K15" s="149">
        <f t="shared" si="3"/>
        <v>53.414433756729743</v>
      </c>
      <c r="L15" s="379"/>
      <c r="M15" s="188">
        <f t="shared" si="4"/>
        <v>0.10142169478204008</v>
      </c>
      <c r="N15" s="149">
        <f t="shared" si="5"/>
        <v>12.45645189825345</v>
      </c>
      <c r="O15" s="149">
        <f t="shared" si="98"/>
        <v>0.6</v>
      </c>
      <c r="P15" s="188">
        <f t="shared" si="6"/>
        <v>2.4912903796506898</v>
      </c>
      <c r="Q15" s="188">
        <f t="shared" si="7"/>
        <v>5</v>
      </c>
      <c r="R15" s="188">
        <f t="shared" si="8"/>
        <v>2.4329007613776268</v>
      </c>
      <c r="S15" s="149">
        <f t="shared" si="9"/>
        <v>951.54304331819026</v>
      </c>
      <c r="T15" s="149">
        <f t="shared" si="10"/>
        <v>5</v>
      </c>
      <c r="U15" s="188">
        <f t="shared" si="99"/>
        <v>0.26708857603877423</v>
      </c>
      <c r="V15" s="188">
        <f t="shared" si="11"/>
        <v>6.6805625125708923E-2</v>
      </c>
      <c r="W15" s="188">
        <f t="shared" si="12"/>
        <v>0.59194794072078816</v>
      </c>
      <c r="X15" s="172">
        <f t="shared" si="13"/>
        <v>350</v>
      </c>
      <c r="Y15" s="379">
        <f t="shared" si="14"/>
        <v>350</v>
      </c>
      <c r="AA15" s="188">
        <f t="shared" si="15"/>
        <v>1.1584153116090465</v>
      </c>
      <c r="AB15" s="150">
        <f t="shared" si="16"/>
        <v>2.5673938151022098</v>
      </c>
      <c r="AC15" s="150">
        <f t="shared" si="17"/>
        <v>0.52046895361033396</v>
      </c>
      <c r="AD15" s="150"/>
      <c r="AE15" s="150">
        <f t="shared" si="18"/>
        <v>2.216298238958947</v>
      </c>
      <c r="AF15" s="314">
        <f t="shared" si="100"/>
        <v>108.28867513459481</v>
      </c>
      <c r="AG15" s="456">
        <f t="shared" si="19"/>
        <v>0.38785219181781572</v>
      </c>
      <c r="AI15" s="150">
        <f t="shared" si="20"/>
        <v>0.55623395677562781</v>
      </c>
      <c r="AJ15" s="150">
        <f t="shared" si="21"/>
        <v>1</v>
      </c>
      <c r="AK15" s="150">
        <f t="shared" si="22"/>
        <v>1.0618792429340542</v>
      </c>
      <c r="AM15" s="314">
        <f t="shared" si="23"/>
        <v>120</v>
      </c>
      <c r="AN15" s="144">
        <f t="shared" si="24"/>
        <v>108.28867513459481</v>
      </c>
      <c r="AP15">
        <f t="shared" si="25"/>
        <v>120</v>
      </c>
      <c r="AQ15" s="144">
        <f t="shared" si="26"/>
        <v>108.28867513459481</v>
      </c>
      <c r="AR15" s="144"/>
      <c r="AS15" s="5">
        <f t="shared" si="101"/>
        <v>9.2345759956622793</v>
      </c>
      <c r="AT15" s="5">
        <f t="shared" si="27"/>
        <v>0.25012535585202456</v>
      </c>
      <c r="AU15" s="5">
        <f t="shared" si="102"/>
        <v>8.9844506398102553</v>
      </c>
      <c r="AV15" s="5">
        <f t="shared" si="28"/>
        <v>2.216298238958947</v>
      </c>
      <c r="AW15" s="150">
        <f t="shared" si="103"/>
        <v>2.7085743402784811E-2</v>
      </c>
      <c r="AX15" s="150">
        <f t="shared" si="29"/>
        <v>0.64973205080756891</v>
      </c>
      <c r="AY15" s="150">
        <f t="shared" si="30"/>
        <v>0.4864571282986076</v>
      </c>
      <c r="AZ15" s="150">
        <f t="shared" si="104"/>
        <v>1.3356409290989697</v>
      </c>
      <c r="BA15" s="144">
        <f t="shared" si="31"/>
        <v>0.60030085404485889</v>
      </c>
      <c r="BB15" s="5">
        <f t="shared" si="32"/>
        <v>4.6817477362864367E-2</v>
      </c>
      <c r="BC15" s="5"/>
      <c r="BD15" s="150">
        <f t="shared" si="105"/>
        <v>9.5018846205695451E-2</v>
      </c>
      <c r="BE15" s="150">
        <f t="shared" si="33"/>
        <v>0.56947761343100378</v>
      </c>
      <c r="BF15" s="150"/>
      <c r="BG15" s="456">
        <f t="shared" si="34"/>
        <v>1.805716226852321E-4</v>
      </c>
      <c r="BH15" s="456">
        <f t="shared" si="35"/>
        <v>0.10845334246089078</v>
      </c>
      <c r="BI15" s="456">
        <f t="shared" si="36"/>
        <v>0.12988128464511883</v>
      </c>
      <c r="BJ15" s="456">
        <f t="shared" si="37"/>
        <v>3.0895860675056942E-2</v>
      </c>
      <c r="BK15">
        <f t="shared" si="38"/>
        <v>2.1589174682452691E-2</v>
      </c>
      <c r="BL15" s="144">
        <f t="shared" si="106"/>
        <v>151.47045932757152</v>
      </c>
      <c r="BM15" s="456">
        <f t="shared" si="39"/>
        <v>0.1395845178054427</v>
      </c>
      <c r="BN15" s="144">
        <f t="shared" si="107"/>
        <v>139.58451780544272</v>
      </c>
      <c r="BO15" s="456">
        <f t="shared" si="108"/>
        <v>7.4549999999999991E-2</v>
      </c>
      <c r="BP15" s="456"/>
      <c r="BR15" s="144">
        <f t="shared" si="109"/>
        <v>74.55</v>
      </c>
      <c r="BS15" s="456">
        <f t="shared" si="40"/>
        <v>2.7085743402784811E-4</v>
      </c>
      <c r="BT15" s="456">
        <f t="shared" si="41"/>
        <v>9.7291425659721525E-3</v>
      </c>
      <c r="BU15" s="456">
        <f t="shared" si="42"/>
        <v>8.9999999999999993E-3</v>
      </c>
      <c r="BV15" s="456">
        <f t="shared" si="43"/>
        <v>2.1417133706965571E-2</v>
      </c>
      <c r="BW15" s="456">
        <f t="shared" si="44"/>
        <v>1.0828867513459481E-4</v>
      </c>
      <c r="BX15" s="144">
        <f t="shared" si="110"/>
        <v>21.525422382100167</v>
      </c>
      <c r="BY15" s="150">
        <f t="shared" si="45"/>
        <v>0.38713039951511435</v>
      </c>
      <c r="BZ15" s="5">
        <f t="shared" si="111"/>
        <v>0.6</v>
      </c>
      <c r="CA15" s="150">
        <f t="shared" si="112"/>
        <v>0.60782243186383922</v>
      </c>
      <c r="CB15" s="5">
        <f t="shared" si="113"/>
        <v>60.782243186383923</v>
      </c>
      <c r="CE15" s="59">
        <f t="shared" si="46"/>
        <v>-50</v>
      </c>
      <c r="CF15">
        <f t="shared" si="47"/>
        <v>-50</v>
      </c>
      <c r="CG15" s="150">
        <f t="shared" si="48"/>
        <v>0.24941531628991834</v>
      </c>
      <c r="CI15" s="147">
        <v>10</v>
      </c>
      <c r="CJ15" s="188">
        <f t="shared" si="114"/>
        <v>0.12</v>
      </c>
      <c r="CK15" s="188"/>
      <c r="CL15" s="188">
        <f t="shared" si="49"/>
        <v>0.6</v>
      </c>
      <c r="CM15" s="465">
        <f t="shared" si="50"/>
        <v>48</v>
      </c>
      <c r="CN15" s="149">
        <f t="shared" si="51"/>
        <v>5.4</v>
      </c>
      <c r="CO15" s="379">
        <f t="shared" si="52"/>
        <v>53.4</v>
      </c>
      <c r="CP15" s="379"/>
      <c r="CQ15" s="188">
        <f t="shared" si="53"/>
        <v>0.10112359550561799</v>
      </c>
      <c r="CR15" s="149">
        <f t="shared" si="54"/>
        <v>12.426067415730339</v>
      </c>
      <c r="CS15" s="149">
        <f t="shared" si="115"/>
        <v>0.6</v>
      </c>
      <c r="CT15" s="188">
        <f t="shared" si="55"/>
        <v>2.4852134831460679</v>
      </c>
      <c r="CU15" s="188">
        <f t="shared" si="56"/>
        <v>5</v>
      </c>
      <c r="CV15" s="188">
        <f t="shared" si="57"/>
        <v>2.4269662921348316</v>
      </c>
      <c r="CW15" s="149">
        <f t="shared" si="58"/>
        <v>952.02015917010488</v>
      </c>
      <c r="CX15" s="149">
        <f t="shared" si="59"/>
        <v>5</v>
      </c>
      <c r="CY15" s="188">
        <f t="shared" si="60"/>
        <v>0.2472222222222222</v>
      </c>
      <c r="CZ15" s="188">
        <f t="shared" si="61"/>
        <v>6.1805555555555544E-2</v>
      </c>
      <c r="DA15" s="188">
        <f t="shared" si="62"/>
        <v>0.5493827160493826</v>
      </c>
      <c r="DB15" s="172">
        <f t="shared" si="63"/>
        <v>350</v>
      </c>
      <c r="DC15" s="379">
        <f t="shared" si="116"/>
        <v>350</v>
      </c>
      <c r="DE15" s="188">
        <f t="shared" si="64"/>
        <v>1.1556982343499198</v>
      </c>
      <c r="DF15" s="150">
        <f t="shared" si="65"/>
        <v>2.5682182985553772</v>
      </c>
      <c r="DG15" s="150">
        <f t="shared" si="66"/>
        <v>0.51941493678648076</v>
      </c>
      <c r="DH15" s="150"/>
      <c r="DI15" s="150">
        <f t="shared" si="67"/>
        <v>2.2222222222222219</v>
      </c>
      <c r="DJ15" s="314">
        <f t="shared" si="117"/>
        <v>108</v>
      </c>
      <c r="DK15" s="456">
        <f t="shared" si="68"/>
        <v>0.38888888888888884</v>
      </c>
      <c r="DM15" s="150">
        <f t="shared" si="69"/>
        <v>0.5554920598635309</v>
      </c>
      <c r="DN15" s="150">
        <f t="shared" si="70"/>
        <v>1</v>
      </c>
      <c r="DO15" s="150">
        <f t="shared" si="71"/>
        <v>1.0617142857142858</v>
      </c>
      <c r="DQ15" s="314">
        <f t="shared" si="72"/>
        <v>120</v>
      </c>
      <c r="DR15" s="144">
        <f t="shared" si="73"/>
        <v>108</v>
      </c>
      <c r="DT15">
        <f t="shared" si="74"/>
        <v>120</v>
      </c>
      <c r="DU15" s="144">
        <f t="shared" si="75"/>
        <v>108</v>
      </c>
      <c r="DV15" s="144"/>
      <c r="DW15" s="5">
        <f t="shared" si="118"/>
        <v>9.2592592592592595</v>
      </c>
      <c r="DX15" s="5">
        <f t="shared" si="76"/>
        <v>0.25</v>
      </c>
      <c r="DY15" s="5">
        <f t="shared" si="119"/>
        <v>9.0092592592592595</v>
      </c>
      <c r="DZ15" s="5">
        <f t="shared" si="77"/>
        <v>2.2222222222222219</v>
      </c>
      <c r="EA15" s="150">
        <f t="shared" si="120"/>
        <v>2.7E-2</v>
      </c>
      <c r="EB15" s="150">
        <f t="shared" si="78"/>
        <v>0.64800000000000002</v>
      </c>
      <c r="EC15" s="150">
        <f t="shared" si="79"/>
        <v>0.48649999999999999</v>
      </c>
      <c r="ED15" s="150">
        <f t="shared" si="121"/>
        <v>1.3319630010277492</v>
      </c>
      <c r="EE15" s="144">
        <f t="shared" si="80"/>
        <v>0.6</v>
      </c>
      <c r="EF15" s="5">
        <f t="shared" si="81"/>
        <v>4.6923225308641965E-2</v>
      </c>
      <c r="EG15" s="5"/>
      <c r="EH15" s="150">
        <f t="shared" si="122"/>
        <v>9.4868329805051374E-2</v>
      </c>
      <c r="EI15" s="150">
        <f t="shared" si="82"/>
        <v>0.5695027070465366</v>
      </c>
      <c r="EJ15" s="150"/>
      <c r="EK15" s="456">
        <f t="shared" si="83"/>
        <v>1.7999999999999998E-4</v>
      </c>
      <c r="EL15" s="456">
        <f t="shared" si="84"/>
        <v>0.115344</v>
      </c>
      <c r="EM15" s="456">
        <f t="shared" si="85"/>
        <v>1.35E-2</v>
      </c>
      <c r="EN15" s="456">
        <f t="shared" si="86"/>
        <v>3.0796848000000002E-2</v>
      </c>
      <c r="EO15">
        <f t="shared" si="87"/>
        <v>2.1600000000000001E-2</v>
      </c>
      <c r="EP15" s="144">
        <f t="shared" si="123"/>
        <v>35.1</v>
      </c>
      <c r="EQ15" s="456">
        <f t="shared" si="88"/>
        <v>0.18147720941729237</v>
      </c>
      <c r="ER15" s="144">
        <f t="shared" si="124"/>
        <v>181.47720941729236</v>
      </c>
      <c r="ES15" s="456">
        <f t="shared" si="125"/>
        <v>7.4549999999999991E-2</v>
      </c>
      <c r="ET15" s="456"/>
      <c r="EV15" s="144">
        <f t="shared" si="126"/>
        <v>74.55</v>
      </c>
      <c r="EW15" s="456">
        <f t="shared" si="89"/>
        <v>2.6999999999999995E-4</v>
      </c>
      <c r="EX15" s="456">
        <f t="shared" si="90"/>
        <v>9.7299999999999991E-3</v>
      </c>
      <c r="EY15" s="456">
        <f t="shared" si="91"/>
        <v>6.0607921858450188E-3</v>
      </c>
      <c r="EZ15" s="456">
        <f t="shared" si="92"/>
        <v>1.8475572643960186E-2</v>
      </c>
      <c r="FA15" s="456">
        <f t="shared" si="93"/>
        <v>1.08E-4</v>
      </c>
      <c r="FB15" s="144">
        <f t="shared" si="127"/>
        <v>18.583572643960188</v>
      </c>
      <c r="FC15" s="150">
        <f t="shared" si="128"/>
        <v>0.27461078206125256</v>
      </c>
      <c r="FD15" s="5">
        <f t="shared" si="129"/>
        <v>0.6</v>
      </c>
      <c r="FE15" s="150">
        <f t="shared" si="130"/>
        <v>0.68601944122611969</v>
      </c>
      <c r="FF15" s="5">
        <f t="shared" si="131"/>
        <v>68.601944122611968</v>
      </c>
      <c r="FI15" s="59">
        <f t="shared" si="94"/>
        <v>-50</v>
      </c>
      <c r="FJ15">
        <f t="shared" si="95"/>
        <v>-50</v>
      </c>
      <c r="FL15">
        <f t="shared" si="96"/>
        <v>0.24</v>
      </c>
    </row>
    <row r="16" spans="2:168">
      <c r="E16" s="147">
        <v>11</v>
      </c>
      <c r="F16" s="188">
        <f t="shared" si="97"/>
        <v>0.13200000000000001</v>
      </c>
      <c r="G16" s="188"/>
      <c r="H16" s="188">
        <f t="shared" si="0"/>
        <v>0.66</v>
      </c>
      <c r="I16" s="465">
        <f t="shared" si="1"/>
        <v>47.975943738783762</v>
      </c>
      <c r="J16" s="149">
        <f t="shared" si="2"/>
        <v>5.4144337567297409</v>
      </c>
      <c r="K16" s="149">
        <f t="shared" si="3"/>
        <v>53.414433756729743</v>
      </c>
      <c r="L16" s="379"/>
      <c r="M16" s="188">
        <f t="shared" si="4"/>
        <v>0.10142169478204008</v>
      </c>
      <c r="N16" s="149">
        <f t="shared" si="5"/>
        <v>12.45645189825345</v>
      </c>
      <c r="O16" s="149">
        <f t="shared" si="98"/>
        <v>0.66</v>
      </c>
      <c r="P16" s="188">
        <f t="shared" si="6"/>
        <v>2.4912903796506898</v>
      </c>
      <c r="Q16" s="188">
        <f t="shared" si="7"/>
        <v>5</v>
      </c>
      <c r="R16" s="188">
        <f t="shared" si="8"/>
        <v>2.4329007613776268</v>
      </c>
      <c r="S16" s="149">
        <f t="shared" si="9"/>
        <v>860.68164070663579</v>
      </c>
      <c r="T16" s="149">
        <f t="shared" si="10"/>
        <v>5</v>
      </c>
      <c r="U16" s="188">
        <f t="shared" si="99"/>
        <v>0.29379743364265171</v>
      </c>
      <c r="V16" s="188">
        <f t="shared" si="11"/>
        <v>7.348618763827984E-2</v>
      </c>
      <c r="W16" s="188">
        <f t="shared" si="12"/>
        <v>0.65114273479286711</v>
      </c>
      <c r="X16" s="172">
        <f t="shared" si="13"/>
        <v>350</v>
      </c>
      <c r="Y16" s="379">
        <f t="shared" si="14"/>
        <v>350</v>
      </c>
      <c r="AA16" s="188">
        <f t="shared" si="15"/>
        <v>1.1584153116090465</v>
      </c>
      <c r="AB16" s="150">
        <f t="shared" si="16"/>
        <v>2.5673938151022098</v>
      </c>
      <c r="AC16" s="150">
        <f t="shared" si="17"/>
        <v>0.52046895361033396</v>
      </c>
      <c r="AD16" s="150"/>
      <c r="AE16" s="150">
        <f t="shared" si="18"/>
        <v>2.216298238958947</v>
      </c>
      <c r="AF16" s="314">
        <f t="shared" si="100"/>
        <v>119.11754264805431</v>
      </c>
      <c r="AG16" s="456">
        <f t="shared" si="19"/>
        <v>0.38785219181781572</v>
      </c>
      <c r="AI16" s="150">
        <f t="shared" si="20"/>
        <v>0.58338309551897205</v>
      </c>
      <c r="AJ16" s="150">
        <f t="shared" si="21"/>
        <v>1</v>
      </c>
      <c r="AK16" s="150">
        <f t="shared" si="22"/>
        <v>1.0680671672274595</v>
      </c>
      <c r="AM16" s="314">
        <f t="shared" si="23"/>
        <v>132</v>
      </c>
      <c r="AN16" s="144">
        <f t="shared" si="24"/>
        <v>119.11754264805431</v>
      </c>
      <c r="AP16">
        <f t="shared" si="25"/>
        <v>132</v>
      </c>
      <c r="AQ16" s="144">
        <f t="shared" si="26"/>
        <v>119.11754264805431</v>
      </c>
      <c r="AR16" s="144"/>
      <c r="AS16" s="5">
        <f t="shared" si="101"/>
        <v>8.395069086965707</v>
      </c>
      <c r="AT16" s="5">
        <f t="shared" si="27"/>
        <v>0.25012535585202456</v>
      </c>
      <c r="AU16" s="5">
        <f t="shared" si="102"/>
        <v>8.144943731113683</v>
      </c>
      <c r="AV16" s="5">
        <f t="shared" si="28"/>
        <v>2.216298238958947</v>
      </c>
      <c r="AW16" s="150">
        <f t="shared" si="103"/>
        <v>2.9794317743063296E-2</v>
      </c>
      <c r="AX16" s="150">
        <f t="shared" si="29"/>
        <v>0.7147052558883259</v>
      </c>
      <c r="AY16" s="150">
        <f t="shared" si="30"/>
        <v>0.48510284112846835</v>
      </c>
      <c r="AZ16" s="150">
        <f t="shared" si="104"/>
        <v>1.4733066791069414</v>
      </c>
      <c r="BA16" s="144">
        <f t="shared" si="31"/>
        <v>0.66033093944934484</v>
      </c>
      <c r="BB16" s="5">
        <f t="shared" si="32"/>
        <v>4.668713841778082E-2</v>
      </c>
      <c r="BC16" s="5"/>
      <c r="BD16" s="150">
        <f t="shared" si="105"/>
        <v>9.9656606643452217E-2</v>
      </c>
      <c r="BE16" s="150">
        <f t="shared" si="33"/>
        <v>0.5686843536494085</v>
      </c>
      <c r="BF16" s="150"/>
      <c r="BG16" s="456">
        <f t="shared" si="34"/>
        <v>1.986287849537553E-4</v>
      </c>
      <c r="BH16" s="456">
        <f t="shared" si="35"/>
        <v>0.11929867670697987</v>
      </c>
      <c r="BI16" s="456">
        <f t="shared" si="36"/>
        <v>0.14286941310963072</v>
      </c>
      <c r="BJ16" s="456">
        <f t="shared" si="37"/>
        <v>3.3985446742562639E-2</v>
      </c>
      <c r="BK16">
        <f t="shared" si="38"/>
        <v>2.1589174682452691E-2</v>
      </c>
      <c r="BL16" s="144">
        <f t="shared" si="106"/>
        <v>164.45858779208342</v>
      </c>
      <c r="BM16" s="456">
        <f t="shared" si="39"/>
        <v>0.15354362837503333</v>
      </c>
      <c r="BN16" s="144">
        <f t="shared" si="107"/>
        <v>153.54362837503334</v>
      </c>
      <c r="BO16" s="456">
        <f t="shared" si="108"/>
        <v>8.2004999999999995E-2</v>
      </c>
      <c r="BP16" s="456"/>
      <c r="BR16" s="144">
        <f t="shared" si="109"/>
        <v>82.004999999999995</v>
      </c>
      <c r="BS16" s="456">
        <f t="shared" si="40"/>
        <v>2.9794317743063291E-4</v>
      </c>
      <c r="BT16" s="456">
        <f t="shared" si="41"/>
        <v>9.7020568225693656E-3</v>
      </c>
      <c r="BU16" s="456">
        <f t="shared" si="42"/>
        <v>9.9000000000000008E-3</v>
      </c>
      <c r="BV16" s="456">
        <f t="shared" si="43"/>
        <v>2.2317854283426742E-2</v>
      </c>
      <c r="BW16" s="456">
        <f t="shared" si="44"/>
        <v>1.1911754264805432E-4</v>
      </c>
      <c r="BX16" s="144">
        <f t="shared" si="110"/>
        <v>22.436971826074796</v>
      </c>
      <c r="BY16" s="150">
        <f t="shared" si="45"/>
        <v>0.4224441879931915</v>
      </c>
      <c r="BZ16" s="5">
        <f t="shared" si="111"/>
        <v>0.66</v>
      </c>
      <c r="CA16" s="150">
        <f t="shared" si="112"/>
        <v>0.60973120584038043</v>
      </c>
      <c r="CB16" s="5">
        <f t="shared" si="113"/>
        <v>60.973120584038043</v>
      </c>
      <c r="CE16" s="59">
        <f t="shared" si="46"/>
        <v>-50</v>
      </c>
      <c r="CF16">
        <f t="shared" si="47"/>
        <v>-50</v>
      </c>
      <c r="CG16" s="150">
        <f t="shared" si="48"/>
        <v>0.27435684791891018</v>
      </c>
      <c r="CI16" s="147">
        <v>11</v>
      </c>
      <c r="CJ16" s="188">
        <f t="shared" si="114"/>
        <v>0.13200000000000001</v>
      </c>
      <c r="CK16" s="188"/>
      <c r="CL16" s="188">
        <f t="shared" si="49"/>
        <v>0.66</v>
      </c>
      <c r="CM16" s="465">
        <f t="shared" si="50"/>
        <v>48</v>
      </c>
      <c r="CN16" s="149">
        <f t="shared" si="51"/>
        <v>5.4</v>
      </c>
      <c r="CO16" s="379">
        <f t="shared" si="52"/>
        <v>53.4</v>
      </c>
      <c r="CP16" s="379"/>
      <c r="CQ16" s="188">
        <f t="shared" si="53"/>
        <v>0.10112359550561799</v>
      </c>
      <c r="CR16" s="149">
        <f t="shared" si="54"/>
        <v>12.426067415730339</v>
      </c>
      <c r="CS16" s="149">
        <f t="shared" si="115"/>
        <v>0.66</v>
      </c>
      <c r="CT16" s="188">
        <f t="shared" si="55"/>
        <v>2.4852134831460679</v>
      </c>
      <c r="CU16" s="188">
        <f t="shared" si="56"/>
        <v>5</v>
      </c>
      <c r="CV16" s="188">
        <f t="shared" si="57"/>
        <v>2.4269662921348316</v>
      </c>
      <c r="CW16" s="149">
        <f t="shared" si="58"/>
        <v>861.11319545878041</v>
      </c>
      <c r="CX16" s="149">
        <f t="shared" si="59"/>
        <v>5</v>
      </c>
      <c r="CY16" s="188">
        <f t="shared" si="60"/>
        <v>0.27194444444444443</v>
      </c>
      <c r="CZ16" s="188">
        <f t="shared" si="61"/>
        <v>6.7986111111111108E-2</v>
      </c>
      <c r="DA16" s="188">
        <f t="shared" si="62"/>
        <v>0.60432098765432085</v>
      </c>
      <c r="DB16" s="172">
        <f t="shared" si="63"/>
        <v>350</v>
      </c>
      <c r="DC16" s="379">
        <f t="shared" si="116"/>
        <v>350</v>
      </c>
      <c r="DE16" s="188">
        <f t="shared" si="64"/>
        <v>1.1556982343499198</v>
      </c>
      <c r="DF16" s="150">
        <f t="shared" si="65"/>
        <v>2.5682182985553772</v>
      </c>
      <c r="DG16" s="150">
        <f t="shared" si="66"/>
        <v>0.51941493678648076</v>
      </c>
      <c r="DH16" s="150"/>
      <c r="DI16" s="150">
        <f t="shared" si="67"/>
        <v>2.2222222222222219</v>
      </c>
      <c r="DJ16" s="314">
        <f t="shared" si="117"/>
        <v>118.80000000000001</v>
      </c>
      <c r="DK16" s="456">
        <f t="shared" si="68"/>
        <v>0.38888888888888884</v>
      </c>
      <c r="DM16" s="150">
        <f t="shared" si="69"/>
        <v>0.58260498747313472</v>
      </c>
      <c r="DN16" s="150">
        <f t="shared" si="70"/>
        <v>1</v>
      </c>
      <c r="DO16" s="150">
        <f t="shared" si="71"/>
        <v>1.0678857142857143</v>
      </c>
      <c r="DQ16" s="314">
        <f t="shared" si="72"/>
        <v>132</v>
      </c>
      <c r="DR16" s="144">
        <f t="shared" si="73"/>
        <v>118.80000000000001</v>
      </c>
      <c r="DT16">
        <f t="shared" si="74"/>
        <v>132</v>
      </c>
      <c r="DU16" s="144">
        <f t="shared" si="75"/>
        <v>118.80000000000001</v>
      </c>
      <c r="DV16" s="144"/>
      <c r="DW16" s="5">
        <f t="shared" si="118"/>
        <v>8.4175084175084169</v>
      </c>
      <c r="DX16" s="5">
        <f t="shared" si="76"/>
        <v>0.25</v>
      </c>
      <c r="DY16" s="5">
        <f t="shared" si="119"/>
        <v>8.1675084175084169</v>
      </c>
      <c r="DZ16" s="5">
        <f t="shared" si="77"/>
        <v>2.2222222222222219</v>
      </c>
      <c r="EA16" s="150">
        <f t="shared" si="120"/>
        <v>2.9700000000000001E-2</v>
      </c>
      <c r="EB16" s="150">
        <f t="shared" si="78"/>
        <v>0.7128000000000001</v>
      </c>
      <c r="EC16" s="150">
        <f t="shared" si="79"/>
        <v>0.48515000000000003</v>
      </c>
      <c r="ED16" s="150">
        <f t="shared" si="121"/>
        <v>1.4692363186643307</v>
      </c>
      <c r="EE16" s="144">
        <f t="shared" si="80"/>
        <v>0.66</v>
      </c>
      <c r="EF16" s="5">
        <f t="shared" si="81"/>
        <v>4.6793016975308632E-2</v>
      </c>
      <c r="EG16" s="5"/>
      <c r="EH16" s="150">
        <f t="shared" si="122"/>
        <v>9.9498743710662002E-2</v>
      </c>
      <c r="EI16" s="150">
        <f t="shared" si="82"/>
        <v>0.56871199506721626</v>
      </c>
      <c r="EJ16" s="150"/>
      <c r="EK16" s="456">
        <f t="shared" si="83"/>
        <v>1.9800000000000002E-4</v>
      </c>
      <c r="EL16" s="456">
        <f t="shared" si="84"/>
        <v>0.1268784</v>
      </c>
      <c r="EM16" s="456">
        <f t="shared" si="85"/>
        <v>1.485E-2</v>
      </c>
      <c r="EN16" s="456">
        <f t="shared" si="86"/>
        <v>3.3876532799999998E-2</v>
      </c>
      <c r="EO16">
        <f t="shared" si="87"/>
        <v>2.1600000000000001E-2</v>
      </c>
      <c r="EP16" s="144">
        <f t="shared" si="123"/>
        <v>36.450000000000003</v>
      </c>
      <c r="EQ16" s="456">
        <f t="shared" si="88"/>
        <v>0.19746568253354166</v>
      </c>
      <c r="ER16" s="144">
        <f t="shared" si="124"/>
        <v>197.46568253354167</v>
      </c>
      <c r="ES16" s="456">
        <f t="shared" si="125"/>
        <v>8.2004999999999995E-2</v>
      </c>
      <c r="ET16" s="456"/>
      <c r="EV16" s="144">
        <f t="shared" si="126"/>
        <v>82.004999999999995</v>
      </c>
      <c r="EW16" s="456">
        <f t="shared" si="89"/>
        <v>2.9700000000000001E-4</v>
      </c>
      <c r="EX16" s="456">
        <f t="shared" si="90"/>
        <v>9.7030000000000016E-3</v>
      </c>
      <c r="EY16" s="456">
        <f t="shared" si="91"/>
        <v>7.6915010904360717E-3</v>
      </c>
      <c r="EZ16" s="456">
        <f t="shared" si="92"/>
        <v>2.0107587160164204E-2</v>
      </c>
      <c r="FA16" s="456">
        <f t="shared" si="93"/>
        <v>1.1880000000000001E-4</v>
      </c>
      <c r="FB16" s="144">
        <f t="shared" si="127"/>
        <v>20.226387160164204</v>
      </c>
      <c r="FC16" s="150">
        <f t="shared" si="128"/>
        <v>0.29969706969370585</v>
      </c>
      <c r="FD16" s="5">
        <f t="shared" si="129"/>
        <v>0.66</v>
      </c>
      <c r="FE16" s="150">
        <f t="shared" si="130"/>
        <v>0.68771701075490799</v>
      </c>
      <c r="FF16" s="5">
        <f t="shared" si="131"/>
        <v>68.771701075490796</v>
      </c>
      <c r="FI16" s="59">
        <f t="shared" si="94"/>
        <v>-50</v>
      </c>
      <c r="FJ16">
        <f t="shared" si="95"/>
        <v>-50</v>
      </c>
      <c r="FL16">
        <f t="shared" si="96"/>
        <v>0.26400000000000001</v>
      </c>
    </row>
    <row r="17" spans="5:168">
      <c r="E17" s="147">
        <v>12</v>
      </c>
      <c r="F17" s="188">
        <f t="shared" si="97"/>
        <v>0.14399999999999999</v>
      </c>
      <c r="G17" s="188"/>
      <c r="H17" s="188">
        <f t="shared" si="0"/>
        <v>0.72</v>
      </c>
      <c r="I17" s="465">
        <f t="shared" si="1"/>
        <v>47.975943738783762</v>
      </c>
      <c r="J17" s="149">
        <f t="shared" si="2"/>
        <v>5.4144337567297409</v>
      </c>
      <c r="K17" s="149">
        <f t="shared" si="3"/>
        <v>53.414433756729743</v>
      </c>
      <c r="L17" s="379"/>
      <c r="M17" s="188">
        <f t="shared" si="4"/>
        <v>0.10142169478204008</v>
      </c>
      <c r="N17" s="149">
        <f t="shared" si="5"/>
        <v>12.45645189825345</v>
      </c>
      <c r="O17" s="149">
        <f t="shared" si="98"/>
        <v>0.72</v>
      </c>
      <c r="P17" s="188">
        <f t="shared" si="6"/>
        <v>2.4912903796506898</v>
      </c>
      <c r="Q17" s="188">
        <f t="shared" si="7"/>
        <v>5</v>
      </c>
      <c r="R17" s="188">
        <f t="shared" si="8"/>
        <v>2.4329007613776268</v>
      </c>
      <c r="S17" s="149">
        <f t="shared" si="9"/>
        <v>784.96418117540406</v>
      </c>
      <c r="T17" s="149">
        <f t="shared" si="10"/>
        <v>5</v>
      </c>
      <c r="U17" s="188">
        <f t="shared" si="99"/>
        <v>0.32050629124652902</v>
      </c>
      <c r="V17" s="188">
        <f t="shared" si="11"/>
        <v>8.0166750150850702E-2</v>
      </c>
      <c r="W17" s="188">
        <f t="shared" si="12"/>
        <v>0.7103375288649455</v>
      </c>
      <c r="X17" s="172">
        <f t="shared" si="13"/>
        <v>350</v>
      </c>
      <c r="Y17" s="379">
        <f t="shared" si="14"/>
        <v>350</v>
      </c>
      <c r="AA17" s="188">
        <f t="shared" si="15"/>
        <v>1.1584153116090465</v>
      </c>
      <c r="AB17" s="150">
        <f t="shared" si="16"/>
        <v>2.5673938151022098</v>
      </c>
      <c r="AC17" s="150">
        <f t="shared" si="17"/>
        <v>0.52046895361033396</v>
      </c>
      <c r="AD17" s="150"/>
      <c r="AE17" s="150">
        <f t="shared" si="18"/>
        <v>2.216298238958947</v>
      </c>
      <c r="AF17" s="314">
        <f t="shared" si="100"/>
        <v>129.94641016151377</v>
      </c>
      <c r="AG17" s="456">
        <f t="shared" si="19"/>
        <v>0.38785219181781572</v>
      </c>
      <c r="AI17" s="150">
        <f t="shared" si="20"/>
        <v>0.6093237707527297</v>
      </c>
      <c r="AJ17" s="150">
        <f t="shared" si="21"/>
        <v>1</v>
      </c>
      <c r="AK17" s="150">
        <f t="shared" si="22"/>
        <v>1.0742550915208651</v>
      </c>
      <c r="AM17" s="314">
        <f t="shared" si="23"/>
        <v>144</v>
      </c>
      <c r="AN17" s="144">
        <f t="shared" si="24"/>
        <v>129.94641016151377</v>
      </c>
      <c r="AP17">
        <f t="shared" si="25"/>
        <v>144</v>
      </c>
      <c r="AQ17" s="144">
        <f t="shared" si="26"/>
        <v>129.94641016151377</v>
      </c>
      <c r="AR17" s="144"/>
      <c r="AS17" s="5">
        <f t="shared" si="101"/>
        <v>7.6954799963852327</v>
      </c>
      <c r="AT17" s="5">
        <f t="shared" si="27"/>
        <v>0.25012535585202456</v>
      </c>
      <c r="AU17" s="5">
        <f t="shared" si="102"/>
        <v>7.4453546405332078</v>
      </c>
      <c r="AV17" s="5">
        <f t="shared" si="28"/>
        <v>2.216298238958947</v>
      </c>
      <c r="AW17" s="150">
        <f t="shared" si="103"/>
        <v>3.2502892083341769E-2</v>
      </c>
      <c r="AX17" s="150">
        <f t="shared" si="29"/>
        <v>0.77967846096908255</v>
      </c>
      <c r="AY17" s="150">
        <f t="shared" si="30"/>
        <v>0.48374855395832911</v>
      </c>
      <c r="AZ17" s="150">
        <f t="shared" si="104"/>
        <v>1.6117432384846888</v>
      </c>
      <c r="BA17" s="144">
        <f t="shared" si="31"/>
        <v>0.72036102485383069</v>
      </c>
      <c r="BB17" s="5">
        <f t="shared" si="32"/>
        <v>4.6556799472697273E-2</v>
      </c>
      <c r="BC17" s="5"/>
      <c r="BD17" s="150">
        <f t="shared" si="105"/>
        <v>0.10408793090994711</v>
      </c>
      <c r="BE17" s="150">
        <f t="shared" si="33"/>
        <v>0.56788998580025996</v>
      </c>
      <c r="BF17" s="150"/>
      <c r="BG17" s="456">
        <f t="shared" si="34"/>
        <v>2.1668594722227847E-4</v>
      </c>
      <c r="BH17" s="456">
        <f t="shared" si="35"/>
        <v>0.13014401095306893</v>
      </c>
      <c r="BI17" s="456">
        <f t="shared" si="36"/>
        <v>0.15585754157414258</v>
      </c>
      <c r="BJ17" s="456">
        <f t="shared" si="37"/>
        <v>3.7075032810068326E-2</v>
      </c>
      <c r="BK17">
        <f t="shared" si="38"/>
        <v>2.1589174682452691E-2</v>
      </c>
      <c r="BL17" s="144">
        <f t="shared" si="106"/>
        <v>177.44671625659527</v>
      </c>
      <c r="BM17" s="456">
        <f t="shared" si="39"/>
        <v>0.16750285873061763</v>
      </c>
      <c r="BN17" s="144">
        <f t="shared" si="107"/>
        <v>167.50285873061762</v>
      </c>
      <c r="BO17" s="456">
        <f t="shared" si="108"/>
        <v>8.9459999999999984E-2</v>
      </c>
      <c r="BP17" s="456"/>
      <c r="BR17" s="144">
        <f t="shared" si="109"/>
        <v>89.45999999999998</v>
      </c>
      <c r="BS17" s="456">
        <f t="shared" si="40"/>
        <v>3.250289208334177E-4</v>
      </c>
      <c r="BT17" s="456">
        <f t="shared" si="41"/>
        <v>9.674971079166584E-3</v>
      </c>
      <c r="BU17" s="456">
        <f t="shared" si="42"/>
        <v>1.0799999999999999E-2</v>
      </c>
      <c r="BV17" s="456">
        <f t="shared" si="43"/>
        <v>2.3218574859887913E-2</v>
      </c>
      <c r="BW17" s="456">
        <f t="shared" si="44"/>
        <v>1.2994641016151378E-4</v>
      </c>
      <c r="BX17" s="144">
        <f t="shared" si="110"/>
        <v>23.348521270049428</v>
      </c>
      <c r="BY17" s="150">
        <f t="shared" si="45"/>
        <v>0.45775809625726238</v>
      </c>
      <c r="BZ17" s="5">
        <f t="shared" si="111"/>
        <v>0.72</v>
      </c>
      <c r="CA17" s="150">
        <f t="shared" si="112"/>
        <v>0.61133097050069229</v>
      </c>
      <c r="CB17" s="5">
        <f t="shared" si="113"/>
        <v>61.133097050069232</v>
      </c>
      <c r="CE17" s="59">
        <f t="shared" si="46"/>
        <v>-50</v>
      </c>
      <c r="CF17">
        <f t="shared" si="47"/>
        <v>-50</v>
      </c>
      <c r="CG17" s="150">
        <f t="shared" si="48"/>
        <v>0.299298379547902</v>
      </c>
      <c r="CI17" s="147">
        <v>12</v>
      </c>
      <c r="CJ17" s="188">
        <f t="shared" si="114"/>
        <v>0.14399999999999999</v>
      </c>
      <c r="CK17" s="188"/>
      <c r="CL17" s="188">
        <f t="shared" si="49"/>
        <v>0.72</v>
      </c>
      <c r="CM17" s="465">
        <f t="shared" si="50"/>
        <v>48</v>
      </c>
      <c r="CN17" s="149">
        <f t="shared" si="51"/>
        <v>5.4</v>
      </c>
      <c r="CO17" s="379">
        <f t="shared" si="52"/>
        <v>53.4</v>
      </c>
      <c r="CP17" s="379"/>
      <c r="CQ17" s="188">
        <f t="shared" si="53"/>
        <v>0.10112359550561799</v>
      </c>
      <c r="CR17" s="149">
        <f t="shared" si="54"/>
        <v>12.426067415730339</v>
      </c>
      <c r="CS17" s="149">
        <f t="shared" si="115"/>
        <v>0.72</v>
      </c>
      <c r="CT17" s="188">
        <f t="shared" si="55"/>
        <v>2.4852134831460679</v>
      </c>
      <c r="CU17" s="188">
        <f t="shared" si="56"/>
        <v>5</v>
      </c>
      <c r="CV17" s="188">
        <f t="shared" si="57"/>
        <v>2.4269662921348316</v>
      </c>
      <c r="CW17" s="149">
        <f t="shared" si="58"/>
        <v>785.35776834469891</v>
      </c>
      <c r="CX17" s="149">
        <f t="shared" si="59"/>
        <v>5</v>
      </c>
      <c r="CY17" s="188">
        <f t="shared" si="60"/>
        <v>0.29666666666666663</v>
      </c>
      <c r="CZ17" s="188">
        <f t="shared" si="61"/>
        <v>7.4166666666666659E-2</v>
      </c>
      <c r="DA17" s="188">
        <f t="shared" si="62"/>
        <v>0.65925925925925921</v>
      </c>
      <c r="DB17" s="172">
        <f t="shared" si="63"/>
        <v>350</v>
      </c>
      <c r="DC17" s="379">
        <f t="shared" si="116"/>
        <v>350</v>
      </c>
      <c r="DE17" s="188">
        <f t="shared" si="64"/>
        <v>1.1556982343499198</v>
      </c>
      <c r="DF17" s="150">
        <f t="shared" si="65"/>
        <v>2.5682182985553772</v>
      </c>
      <c r="DG17" s="150">
        <f t="shared" si="66"/>
        <v>0.51941493678648076</v>
      </c>
      <c r="DH17" s="150"/>
      <c r="DI17" s="150">
        <f t="shared" si="67"/>
        <v>2.2222222222222219</v>
      </c>
      <c r="DJ17" s="314">
        <f t="shared" si="117"/>
        <v>129.6</v>
      </c>
      <c r="DK17" s="456">
        <f t="shared" si="68"/>
        <v>0.38888888888888884</v>
      </c>
      <c r="DM17" s="150">
        <f t="shared" si="69"/>
        <v>0.60851106340453198</v>
      </c>
      <c r="DN17" s="150">
        <f t="shared" si="70"/>
        <v>1</v>
      </c>
      <c r="DO17" s="150">
        <f t="shared" si="71"/>
        <v>1.0740571428571428</v>
      </c>
      <c r="DQ17" s="314">
        <f t="shared" si="72"/>
        <v>144</v>
      </c>
      <c r="DR17" s="144">
        <f t="shared" si="73"/>
        <v>129.6</v>
      </c>
      <c r="DT17">
        <f t="shared" si="74"/>
        <v>144</v>
      </c>
      <c r="DU17" s="144">
        <f t="shared" si="75"/>
        <v>129.6</v>
      </c>
      <c r="DV17" s="144"/>
      <c r="DW17" s="5">
        <f t="shared" si="118"/>
        <v>7.7160493827160499</v>
      </c>
      <c r="DX17" s="5">
        <f t="shared" si="76"/>
        <v>0.25</v>
      </c>
      <c r="DY17" s="5">
        <f t="shared" si="119"/>
        <v>7.4660493827160499</v>
      </c>
      <c r="DZ17" s="5">
        <f t="shared" si="77"/>
        <v>2.2222222222222219</v>
      </c>
      <c r="EA17" s="150">
        <f t="shared" si="120"/>
        <v>3.2399999999999998E-2</v>
      </c>
      <c r="EB17" s="150">
        <f t="shared" si="78"/>
        <v>0.77760000000000007</v>
      </c>
      <c r="EC17" s="150">
        <f t="shared" si="79"/>
        <v>0.48380000000000001</v>
      </c>
      <c r="ED17" s="150">
        <f t="shared" si="121"/>
        <v>1.6072757337742871</v>
      </c>
      <c r="EE17" s="144">
        <f t="shared" si="80"/>
        <v>0.72</v>
      </c>
      <c r="EF17" s="5">
        <f t="shared" si="81"/>
        <v>4.6662808641975299E-2</v>
      </c>
      <c r="EG17" s="5"/>
      <c r="EH17" s="150">
        <f t="shared" si="122"/>
        <v>0.10392304845413264</v>
      </c>
      <c r="EI17" s="150">
        <f t="shared" si="82"/>
        <v>0.56792018218525508</v>
      </c>
      <c r="EJ17" s="150"/>
      <c r="EK17" s="456">
        <f t="shared" si="83"/>
        <v>2.1600000000000002E-4</v>
      </c>
      <c r="EL17" s="456">
        <f t="shared" si="84"/>
        <v>0.13841279999999997</v>
      </c>
      <c r="EM17" s="456">
        <f t="shared" si="85"/>
        <v>1.6199999999999996E-2</v>
      </c>
      <c r="EN17" s="456">
        <f t="shared" si="86"/>
        <v>3.6956217600000001E-2</v>
      </c>
      <c r="EO17">
        <f t="shared" si="87"/>
        <v>2.1600000000000001E-2</v>
      </c>
      <c r="EP17" s="144">
        <f t="shared" si="123"/>
        <v>37.799999999999997</v>
      </c>
      <c r="EQ17" s="456">
        <f t="shared" si="88"/>
        <v>0.21345429241581362</v>
      </c>
      <c r="ER17" s="144">
        <f t="shared" si="124"/>
        <v>213.45429241581363</v>
      </c>
      <c r="ES17" s="456">
        <f t="shared" si="125"/>
        <v>8.9459999999999984E-2</v>
      </c>
      <c r="ET17" s="456"/>
      <c r="EV17" s="144">
        <f t="shared" si="126"/>
        <v>89.45999999999998</v>
      </c>
      <c r="EW17" s="456">
        <f t="shared" si="89"/>
        <v>3.2400000000000001E-4</v>
      </c>
      <c r="EX17" s="456">
        <f t="shared" si="90"/>
        <v>9.6760000000000006E-3</v>
      </c>
      <c r="EY17" s="456">
        <f t="shared" si="91"/>
        <v>9.5605418780304648E-3</v>
      </c>
      <c r="EZ17" s="456">
        <f t="shared" si="92"/>
        <v>2.197812437753249E-2</v>
      </c>
      <c r="FA17" s="456">
        <f t="shared" si="93"/>
        <v>1.2960000000000001E-4</v>
      </c>
      <c r="FB17" s="144">
        <f t="shared" si="127"/>
        <v>22.107724377532492</v>
      </c>
      <c r="FC17" s="150">
        <f t="shared" si="128"/>
        <v>0.32502201679334608</v>
      </c>
      <c r="FD17" s="5">
        <f t="shared" si="129"/>
        <v>0.72</v>
      </c>
      <c r="FE17" s="150">
        <f t="shared" si="130"/>
        <v>0.68898069938212647</v>
      </c>
      <c r="FF17" s="5">
        <f t="shared" si="131"/>
        <v>68.898069938212643</v>
      </c>
      <c r="FI17" s="59">
        <f t="shared" si="94"/>
        <v>-50</v>
      </c>
      <c r="FJ17">
        <f t="shared" si="95"/>
        <v>-50</v>
      </c>
      <c r="FL17">
        <f t="shared" si="96"/>
        <v>0.28800000000000003</v>
      </c>
    </row>
    <row r="18" spans="5:168">
      <c r="E18" s="147">
        <v>13</v>
      </c>
      <c r="F18" s="188">
        <f t="shared" si="97"/>
        <v>0.156</v>
      </c>
      <c r="G18" s="188"/>
      <c r="H18" s="188">
        <f t="shared" si="0"/>
        <v>0.78</v>
      </c>
      <c r="I18" s="465">
        <f t="shared" si="1"/>
        <v>47.975943738783762</v>
      </c>
      <c r="J18" s="149">
        <f t="shared" si="2"/>
        <v>5.4144337567297409</v>
      </c>
      <c r="K18" s="149">
        <f t="shared" si="3"/>
        <v>53.414433756729743</v>
      </c>
      <c r="L18" s="379"/>
      <c r="M18" s="188">
        <f t="shared" si="4"/>
        <v>0.10142169478204008</v>
      </c>
      <c r="N18" s="149">
        <f t="shared" si="5"/>
        <v>12.45645189825345</v>
      </c>
      <c r="O18" s="149">
        <f t="shared" si="98"/>
        <v>0.78</v>
      </c>
      <c r="P18" s="188">
        <f t="shared" si="6"/>
        <v>2.4912903796506898</v>
      </c>
      <c r="Q18" s="188">
        <f t="shared" si="7"/>
        <v>5</v>
      </c>
      <c r="R18" s="188">
        <f t="shared" si="8"/>
        <v>2.4329007613776268</v>
      </c>
      <c r="S18" s="149">
        <f t="shared" si="9"/>
        <v>720.8959139008258</v>
      </c>
      <c r="T18" s="149">
        <f t="shared" si="10"/>
        <v>5</v>
      </c>
      <c r="U18" s="188">
        <f t="shared" si="99"/>
        <v>0.3472151488504065</v>
      </c>
      <c r="V18" s="188">
        <f t="shared" si="11"/>
        <v>8.6847312663421633E-2</v>
      </c>
      <c r="W18" s="188">
        <f t="shared" si="12"/>
        <v>0.76953232293702467</v>
      </c>
      <c r="X18" s="172">
        <f t="shared" si="13"/>
        <v>350</v>
      </c>
      <c r="Y18" s="379">
        <f t="shared" si="14"/>
        <v>350</v>
      </c>
      <c r="AA18" s="188">
        <f t="shared" si="15"/>
        <v>1.1584153116090465</v>
      </c>
      <c r="AB18" s="150">
        <f t="shared" si="16"/>
        <v>2.5673938151022098</v>
      </c>
      <c r="AC18" s="150">
        <f t="shared" si="17"/>
        <v>0.52046895361033396</v>
      </c>
      <c r="AD18" s="150"/>
      <c r="AE18" s="150">
        <f t="shared" si="18"/>
        <v>2.216298238958947</v>
      </c>
      <c r="AF18" s="314">
        <f t="shared" si="100"/>
        <v>140.77527767497327</v>
      </c>
      <c r="AG18" s="456">
        <f t="shared" si="19"/>
        <v>0.38785219181781572</v>
      </c>
      <c r="AI18" s="150">
        <f t="shared" si="20"/>
        <v>0.63420428812122698</v>
      </c>
      <c r="AJ18" s="150">
        <f t="shared" si="21"/>
        <v>1</v>
      </c>
      <c r="AK18" s="150">
        <f t="shared" si="22"/>
        <v>1.0804430158142704</v>
      </c>
      <c r="AM18" s="314">
        <f t="shared" si="23"/>
        <v>156</v>
      </c>
      <c r="AN18" s="144">
        <f t="shared" si="24"/>
        <v>140.77527767497327</v>
      </c>
      <c r="AP18">
        <f t="shared" si="25"/>
        <v>156</v>
      </c>
      <c r="AQ18" s="144">
        <f t="shared" si="26"/>
        <v>140.77527767497327</v>
      </c>
      <c r="AR18" s="144"/>
      <c r="AS18" s="5">
        <f t="shared" si="101"/>
        <v>7.1035199966632909</v>
      </c>
      <c r="AT18" s="5">
        <f t="shared" si="27"/>
        <v>0.25012535585202456</v>
      </c>
      <c r="AU18" s="5">
        <f t="shared" si="102"/>
        <v>6.853394640811266</v>
      </c>
      <c r="AV18" s="5">
        <f t="shared" si="28"/>
        <v>2.216298238958947</v>
      </c>
      <c r="AW18" s="150">
        <f t="shared" si="103"/>
        <v>3.5211466423620261E-2</v>
      </c>
      <c r="AX18" s="150">
        <f t="shared" si="29"/>
        <v>0.84465166604983966</v>
      </c>
      <c r="AY18" s="150">
        <f t="shared" si="30"/>
        <v>0.48239426678818986</v>
      </c>
      <c r="AZ18" s="150">
        <f t="shared" si="104"/>
        <v>1.7509570992076282</v>
      </c>
      <c r="BA18" s="144">
        <f t="shared" si="31"/>
        <v>0.78039111025831664</v>
      </c>
      <c r="BB18" s="5">
        <f t="shared" si="32"/>
        <v>4.6426460527613726E-2</v>
      </c>
      <c r="BC18" s="5"/>
      <c r="BD18" s="150">
        <f t="shared" si="105"/>
        <v>0.10833815336500843</v>
      </c>
      <c r="BE18" s="150">
        <f t="shared" si="33"/>
        <v>0.56709450522712102</v>
      </c>
      <c r="BF18" s="150"/>
      <c r="BG18" s="456">
        <f t="shared" si="34"/>
        <v>2.3474310949080177E-4</v>
      </c>
      <c r="BH18" s="456">
        <f t="shared" si="35"/>
        <v>0.14098934519915804</v>
      </c>
      <c r="BI18" s="456">
        <f t="shared" si="36"/>
        <v>0.16884567003865447</v>
      </c>
      <c r="BJ18" s="456">
        <f t="shared" si="37"/>
        <v>4.0164618877574026E-2</v>
      </c>
      <c r="BK18">
        <f t="shared" si="38"/>
        <v>2.1589174682452691E-2</v>
      </c>
      <c r="BL18" s="144">
        <f t="shared" si="106"/>
        <v>190.43484472110717</v>
      </c>
      <c r="BM18" s="456">
        <f t="shared" si="39"/>
        <v>0.18146220887373768</v>
      </c>
      <c r="BN18" s="144">
        <f t="shared" si="107"/>
        <v>181.46220887373767</v>
      </c>
      <c r="BO18" s="456">
        <f t="shared" si="108"/>
        <v>9.6914999999999987E-2</v>
      </c>
      <c r="BP18" s="456"/>
      <c r="BR18" s="144">
        <f t="shared" si="109"/>
        <v>96.914999999999992</v>
      </c>
      <c r="BS18" s="456">
        <f t="shared" si="40"/>
        <v>3.5211466423620266E-4</v>
      </c>
      <c r="BT18" s="456">
        <f t="shared" si="41"/>
        <v>9.6478853357637954E-3</v>
      </c>
      <c r="BU18" s="456">
        <f t="shared" si="42"/>
        <v>1.17E-2</v>
      </c>
      <c r="BV18" s="456">
        <f t="shared" si="43"/>
        <v>2.4119295436349077E-2</v>
      </c>
      <c r="BW18" s="456">
        <f t="shared" si="44"/>
        <v>1.4077527767497329E-4</v>
      </c>
      <c r="BX18" s="144">
        <f t="shared" si="110"/>
        <v>24.260070714024049</v>
      </c>
      <c r="BY18" s="150">
        <f t="shared" si="45"/>
        <v>0.49307212430886888</v>
      </c>
      <c r="BZ18" s="5">
        <f t="shared" si="111"/>
        <v>0.78</v>
      </c>
      <c r="CA18" s="150">
        <f t="shared" si="112"/>
        <v>0.61269113124556862</v>
      </c>
      <c r="CB18" s="5">
        <f t="shared" si="113"/>
        <v>61.26911312455686</v>
      </c>
      <c r="CE18" s="59">
        <f t="shared" si="46"/>
        <v>-50</v>
      </c>
      <c r="CF18">
        <f t="shared" si="47"/>
        <v>-50</v>
      </c>
      <c r="CG18" s="150">
        <f t="shared" si="48"/>
        <v>0.32423991117689382</v>
      </c>
      <c r="CI18" s="147">
        <v>13</v>
      </c>
      <c r="CJ18" s="188">
        <f t="shared" si="114"/>
        <v>0.156</v>
      </c>
      <c r="CK18" s="188"/>
      <c r="CL18" s="188">
        <f t="shared" si="49"/>
        <v>0.78</v>
      </c>
      <c r="CM18" s="465">
        <f t="shared" si="50"/>
        <v>48</v>
      </c>
      <c r="CN18" s="149">
        <f t="shared" si="51"/>
        <v>5.4</v>
      </c>
      <c r="CO18" s="379">
        <f t="shared" si="52"/>
        <v>53.4</v>
      </c>
      <c r="CP18" s="379"/>
      <c r="CQ18" s="188">
        <f t="shared" si="53"/>
        <v>0.10112359550561799</v>
      </c>
      <c r="CR18" s="149">
        <f t="shared" si="54"/>
        <v>12.426067415730339</v>
      </c>
      <c r="CS18" s="149">
        <f t="shared" si="115"/>
        <v>0.78</v>
      </c>
      <c r="CT18" s="188">
        <f t="shared" si="55"/>
        <v>2.4852134831460679</v>
      </c>
      <c r="CU18" s="188">
        <f t="shared" si="56"/>
        <v>5</v>
      </c>
      <c r="CV18" s="188">
        <f t="shared" si="57"/>
        <v>2.4269662921348316</v>
      </c>
      <c r="CW18" s="149">
        <f t="shared" si="58"/>
        <v>721.25737465416591</v>
      </c>
      <c r="CX18" s="149">
        <f t="shared" si="59"/>
        <v>5</v>
      </c>
      <c r="CY18" s="188">
        <f t="shared" si="60"/>
        <v>0.32138888888888889</v>
      </c>
      <c r="CZ18" s="188">
        <f t="shared" si="61"/>
        <v>8.0347222222222209E-2</v>
      </c>
      <c r="DA18" s="188">
        <f t="shared" si="62"/>
        <v>0.71419753086419746</v>
      </c>
      <c r="DB18" s="172">
        <f t="shared" si="63"/>
        <v>350</v>
      </c>
      <c r="DC18" s="379">
        <f t="shared" si="116"/>
        <v>350</v>
      </c>
      <c r="DE18" s="188">
        <f t="shared" si="64"/>
        <v>1.1556982343499198</v>
      </c>
      <c r="DF18" s="150">
        <f t="shared" si="65"/>
        <v>2.5682182985553772</v>
      </c>
      <c r="DG18" s="150">
        <f t="shared" si="66"/>
        <v>0.51941493678648076</v>
      </c>
      <c r="DH18" s="150"/>
      <c r="DI18" s="150">
        <f t="shared" si="67"/>
        <v>2.2222222222222219</v>
      </c>
      <c r="DJ18" s="314">
        <f t="shared" si="117"/>
        <v>140.4</v>
      </c>
      <c r="DK18" s="456">
        <f t="shared" si="68"/>
        <v>0.38888888888888884</v>
      </c>
      <c r="DM18" s="150">
        <f t="shared" si="69"/>
        <v>0.63335839549409712</v>
      </c>
      <c r="DN18" s="150">
        <f t="shared" si="70"/>
        <v>1</v>
      </c>
      <c r="DO18" s="150">
        <f t="shared" si="71"/>
        <v>1.0802285714285715</v>
      </c>
      <c r="DQ18" s="314">
        <f t="shared" si="72"/>
        <v>156</v>
      </c>
      <c r="DR18" s="144">
        <f t="shared" si="73"/>
        <v>140.4</v>
      </c>
      <c r="DT18">
        <f t="shared" si="74"/>
        <v>156</v>
      </c>
      <c r="DU18" s="144">
        <f t="shared" si="75"/>
        <v>140.4</v>
      </c>
      <c r="DV18" s="144"/>
      <c r="DW18" s="5">
        <f t="shared" si="118"/>
        <v>7.1225071225071224</v>
      </c>
      <c r="DX18" s="5">
        <f t="shared" si="76"/>
        <v>0.25</v>
      </c>
      <c r="DY18" s="5">
        <f t="shared" si="119"/>
        <v>6.8725071225071224</v>
      </c>
      <c r="DZ18" s="5">
        <f t="shared" si="77"/>
        <v>2.2222222222222219</v>
      </c>
      <c r="EA18" s="150">
        <f t="shared" si="120"/>
        <v>3.5099999999999999E-2</v>
      </c>
      <c r="EB18" s="150">
        <f t="shared" si="78"/>
        <v>0.84240000000000004</v>
      </c>
      <c r="EC18" s="150">
        <f t="shared" si="79"/>
        <v>0.48244999999999999</v>
      </c>
      <c r="ED18" s="150">
        <f t="shared" si="121"/>
        <v>1.7460876774795318</v>
      </c>
      <c r="EE18" s="144">
        <f t="shared" si="80"/>
        <v>0.78</v>
      </c>
      <c r="EF18" s="5">
        <f t="shared" si="81"/>
        <v>4.6532600308641973E-2</v>
      </c>
      <c r="EG18" s="5"/>
      <c r="EH18" s="150">
        <f t="shared" si="122"/>
        <v>0.10816653826391968</v>
      </c>
      <c r="EI18" s="150">
        <f t="shared" si="82"/>
        <v>0.56712726378947198</v>
      </c>
      <c r="EJ18" s="150"/>
      <c r="EK18" s="456">
        <f t="shared" si="83"/>
        <v>2.3400000000000002E-4</v>
      </c>
      <c r="EL18" s="456">
        <f t="shared" si="84"/>
        <v>0.1499472</v>
      </c>
      <c r="EM18" s="456">
        <f t="shared" si="85"/>
        <v>1.755E-2</v>
      </c>
      <c r="EN18" s="456">
        <f t="shared" si="86"/>
        <v>4.0035902399999997E-2</v>
      </c>
      <c r="EO18">
        <f t="shared" si="87"/>
        <v>2.1600000000000001E-2</v>
      </c>
      <c r="EP18" s="144">
        <f t="shared" si="123"/>
        <v>39.150000000000006</v>
      </c>
      <c r="EQ18" s="456">
        <f t="shared" si="88"/>
        <v>0.22944303906586322</v>
      </c>
      <c r="ER18" s="144">
        <f t="shared" si="124"/>
        <v>229.44303906586322</v>
      </c>
      <c r="ES18" s="456">
        <f t="shared" si="125"/>
        <v>9.6914999999999987E-2</v>
      </c>
      <c r="ET18" s="456"/>
      <c r="EV18" s="144">
        <f t="shared" si="126"/>
        <v>96.914999999999992</v>
      </c>
      <c r="EW18" s="456">
        <f t="shared" si="89"/>
        <v>3.5100000000000002E-4</v>
      </c>
      <c r="EX18" s="456">
        <f t="shared" si="90"/>
        <v>9.6489999999999996E-3</v>
      </c>
      <c r="EY18" s="456">
        <f t="shared" si="91"/>
        <v>1.1678519058717404E-2</v>
      </c>
      <c r="EZ18" s="456">
        <f t="shared" si="92"/>
        <v>2.409779729655465E-2</v>
      </c>
      <c r="FA18" s="456">
        <f t="shared" si="93"/>
        <v>1.4040000000000002E-4</v>
      </c>
      <c r="FB18" s="144">
        <f t="shared" si="127"/>
        <v>24.238197296554649</v>
      </c>
      <c r="FC18" s="150">
        <f t="shared" si="128"/>
        <v>0.35059623636241782</v>
      </c>
      <c r="FD18" s="5">
        <f t="shared" si="129"/>
        <v>0.78</v>
      </c>
      <c r="FE18" s="150">
        <f t="shared" si="130"/>
        <v>0.68990146518581497</v>
      </c>
      <c r="FF18" s="5">
        <f t="shared" si="131"/>
        <v>68.990146518581497</v>
      </c>
      <c r="FI18" s="59">
        <f t="shared" si="94"/>
        <v>-50</v>
      </c>
      <c r="FJ18">
        <f t="shared" si="95"/>
        <v>-50</v>
      </c>
      <c r="FL18">
        <f t="shared" si="96"/>
        <v>0.312</v>
      </c>
    </row>
    <row r="19" spans="5:168">
      <c r="E19" s="147">
        <v>14</v>
      </c>
      <c r="F19" s="188">
        <f t="shared" si="97"/>
        <v>0.16800000000000001</v>
      </c>
      <c r="G19" s="188"/>
      <c r="H19" s="188">
        <f t="shared" si="0"/>
        <v>0.84000000000000008</v>
      </c>
      <c r="I19" s="465">
        <f t="shared" si="1"/>
        <v>47.975943738783762</v>
      </c>
      <c r="J19" s="149">
        <f t="shared" si="2"/>
        <v>5.4144337567297409</v>
      </c>
      <c r="K19" s="149">
        <f t="shared" si="3"/>
        <v>53.414433756729743</v>
      </c>
      <c r="L19" s="379"/>
      <c r="M19" s="188">
        <f t="shared" si="4"/>
        <v>0.10142169478204008</v>
      </c>
      <c r="N19" s="149">
        <f t="shared" si="5"/>
        <v>12.45645189825345</v>
      </c>
      <c r="O19" s="149">
        <f t="shared" si="98"/>
        <v>0.84000000000000008</v>
      </c>
      <c r="P19" s="188">
        <f t="shared" si="6"/>
        <v>2.4912903796506898</v>
      </c>
      <c r="Q19" s="188">
        <f t="shared" si="7"/>
        <v>5</v>
      </c>
      <c r="R19" s="188">
        <f t="shared" si="8"/>
        <v>2.4329007613776268</v>
      </c>
      <c r="S19" s="149">
        <f t="shared" si="9"/>
        <v>665.98058839324176</v>
      </c>
      <c r="T19" s="149">
        <f t="shared" si="10"/>
        <v>5</v>
      </c>
      <c r="U19" s="188">
        <f t="shared" si="99"/>
        <v>0.37392400645428397</v>
      </c>
      <c r="V19" s="188">
        <f t="shared" si="11"/>
        <v>9.3527875175992536E-2</v>
      </c>
      <c r="W19" s="188">
        <f t="shared" si="12"/>
        <v>0.82872711700910351</v>
      </c>
      <c r="X19" s="172">
        <f t="shared" si="13"/>
        <v>350</v>
      </c>
      <c r="Y19" s="379">
        <f t="shared" si="14"/>
        <v>350</v>
      </c>
      <c r="AA19" s="188">
        <f t="shared" si="15"/>
        <v>1.1584153116090465</v>
      </c>
      <c r="AB19" s="150">
        <f t="shared" si="16"/>
        <v>2.5673938151022098</v>
      </c>
      <c r="AC19" s="150">
        <f t="shared" si="17"/>
        <v>0.52046895361033396</v>
      </c>
      <c r="AD19" s="150"/>
      <c r="AE19" s="150">
        <f t="shared" si="18"/>
        <v>2.216298238958947</v>
      </c>
      <c r="AF19" s="314">
        <f t="shared" si="100"/>
        <v>151.60414518843277</v>
      </c>
      <c r="AG19" s="456">
        <f t="shared" si="19"/>
        <v>0.38785219181781572</v>
      </c>
      <c r="AI19" s="150">
        <f t="shared" si="20"/>
        <v>0.65814489327075942</v>
      </c>
      <c r="AJ19" s="150">
        <f t="shared" si="21"/>
        <v>1</v>
      </c>
      <c r="AK19" s="150">
        <f t="shared" si="22"/>
        <v>1.0866309401076759</v>
      </c>
      <c r="AM19" s="314">
        <f t="shared" si="23"/>
        <v>168</v>
      </c>
      <c r="AN19" s="144">
        <f t="shared" si="24"/>
        <v>151.60414518843277</v>
      </c>
      <c r="AP19">
        <f t="shared" si="25"/>
        <v>168</v>
      </c>
      <c r="AQ19" s="144">
        <f t="shared" si="26"/>
        <v>151.60414518843277</v>
      </c>
      <c r="AR19" s="144"/>
      <c r="AS19" s="5">
        <f t="shared" si="101"/>
        <v>6.5961257111873408</v>
      </c>
      <c r="AT19" s="5">
        <f t="shared" si="27"/>
        <v>0.25012535585202456</v>
      </c>
      <c r="AU19" s="5">
        <f t="shared" si="102"/>
        <v>6.3460003553353159</v>
      </c>
      <c r="AV19" s="5">
        <f t="shared" si="28"/>
        <v>2.216298238958947</v>
      </c>
      <c r="AW19" s="150">
        <f t="shared" si="103"/>
        <v>3.7920040763898745E-2</v>
      </c>
      <c r="AX19" s="150">
        <f t="shared" si="29"/>
        <v>0.90962487113059665</v>
      </c>
      <c r="AY19" s="150">
        <f t="shared" si="30"/>
        <v>0.48103997961805062</v>
      </c>
      <c r="AZ19" s="150">
        <f t="shared" si="104"/>
        <v>1.8909548263594342</v>
      </c>
      <c r="BA19" s="144">
        <f t="shared" si="31"/>
        <v>0.84042119566280249</v>
      </c>
      <c r="BB19" s="5">
        <f t="shared" si="32"/>
        <v>4.6296121582530179E-2</v>
      </c>
      <c r="BC19" s="5"/>
      <c r="BD19" s="150">
        <f t="shared" si="105"/>
        <v>0.11242781501019332</v>
      </c>
      <c r="BE19" s="150">
        <f t="shared" si="33"/>
        <v>0.56629790724085061</v>
      </c>
      <c r="BF19" s="150"/>
      <c r="BG19" s="456">
        <f t="shared" si="34"/>
        <v>2.5280027175932502E-4</v>
      </c>
      <c r="BH19" s="456">
        <f t="shared" si="35"/>
        <v>0.15183467944524712</v>
      </c>
      <c r="BI19" s="456">
        <f t="shared" si="36"/>
        <v>0.18183379850316636</v>
      </c>
      <c r="BJ19" s="456">
        <f t="shared" si="37"/>
        <v>4.3254204945079727E-2</v>
      </c>
      <c r="BK19">
        <f t="shared" si="38"/>
        <v>2.1589174682452691E-2</v>
      </c>
      <c r="BL19" s="144">
        <f t="shared" si="106"/>
        <v>203.42297318561904</v>
      </c>
      <c r="BM19" s="456">
        <f t="shared" si="39"/>
        <v>0.19542167880593514</v>
      </c>
      <c r="BN19" s="144">
        <f t="shared" si="107"/>
        <v>195.42167880593513</v>
      </c>
      <c r="BO19" s="456">
        <f t="shared" si="108"/>
        <v>0.10436999999999999</v>
      </c>
      <c r="BP19" s="456"/>
      <c r="BR19" s="144">
        <f t="shared" si="109"/>
        <v>104.36999999999999</v>
      </c>
      <c r="BS19" s="456">
        <f t="shared" si="40"/>
        <v>3.7920040763898751E-4</v>
      </c>
      <c r="BT19" s="456">
        <f t="shared" si="41"/>
        <v>9.6207995923610103E-3</v>
      </c>
      <c r="BU19" s="456">
        <f t="shared" si="42"/>
        <v>1.26E-2</v>
      </c>
      <c r="BV19" s="456">
        <f t="shared" si="43"/>
        <v>2.5020016012810245E-2</v>
      </c>
      <c r="BW19" s="456">
        <f t="shared" si="44"/>
        <v>1.5160414518843279E-4</v>
      </c>
      <c r="BX19" s="144">
        <f t="shared" si="110"/>
        <v>25.171620157998678</v>
      </c>
      <c r="BY19" s="150">
        <f t="shared" si="45"/>
        <v>0.52838627214955292</v>
      </c>
      <c r="BZ19" s="5">
        <f t="shared" si="111"/>
        <v>0.84000000000000008</v>
      </c>
      <c r="CA19" s="150">
        <f t="shared" si="112"/>
        <v>0.61386175606721904</v>
      </c>
      <c r="CB19" s="5">
        <f t="shared" si="113"/>
        <v>61.386175606721906</v>
      </c>
      <c r="CE19" s="59">
        <f t="shared" si="46"/>
        <v>-50</v>
      </c>
      <c r="CF19">
        <f t="shared" si="47"/>
        <v>-50</v>
      </c>
      <c r="CG19" s="150">
        <f t="shared" si="48"/>
        <v>0.34918144280588576</v>
      </c>
      <c r="CI19" s="147">
        <v>14</v>
      </c>
      <c r="CJ19" s="188">
        <f t="shared" si="114"/>
        <v>0.16800000000000001</v>
      </c>
      <c r="CK19" s="188"/>
      <c r="CL19" s="188">
        <f t="shared" si="49"/>
        <v>0.84000000000000008</v>
      </c>
      <c r="CM19" s="465">
        <f t="shared" si="50"/>
        <v>48</v>
      </c>
      <c r="CN19" s="149">
        <f t="shared" si="51"/>
        <v>5.4</v>
      </c>
      <c r="CO19" s="379">
        <f t="shared" si="52"/>
        <v>53.4</v>
      </c>
      <c r="CP19" s="379"/>
      <c r="CQ19" s="188">
        <f t="shared" si="53"/>
        <v>0.10112359550561799</v>
      </c>
      <c r="CR19" s="149">
        <f t="shared" si="54"/>
        <v>12.426067415730339</v>
      </c>
      <c r="CS19" s="149">
        <f t="shared" si="115"/>
        <v>0.84000000000000008</v>
      </c>
      <c r="CT19" s="188">
        <f t="shared" si="55"/>
        <v>2.4852134831460679</v>
      </c>
      <c r="CU19" s="188">
        <f t="shared" si="56"/>
        <v>5</v>
      </c>
      <c r="CV19" s="188">
        <f t="shared" si="57"/>
        <v>2.4269662921348316</v>
      </c>
      <c r="CW19" s="149">
        <f t="shared" si="58"/>
        <v>666.31451221893462</v>
      </c>
      <c r="CX19" s="149">
        <f t="shared" si="59"/>
        <v>5</v>
      </c>
      <c r="CY19" s="188">
        <f t="shared" si="60"/>
        <v>0.34611111111111115</v>
      </c>
      <c r="CZ19" s="188">
        <f t="shared" si="61"/>
        <v>8.6527777777777787E-2</v>
      </c>
      <c r="DA19" s="188">
        <f t="shared" si="62"/>
        <v>0.76913580246913593</v>
      </c>
      <c r="DB19" s="172">
        <f t="shared" si="63"/>
        <v>350</v>
      </c>
      <c r="DC19" s="379">
        <f t="shared" si="116"/>
        <v>350</v>
      </c>
      <c r="DE19" s="188">
        <f t="shared" si="64"/>
        <v>1.1556982343499198</v>
      </c>
      <c r="DF19" s="150">
        <f t="shared" si="65"/>
        <v>2.5682182985553772</v>
      </c>
      <c r="DG19" s="150">
        <f t="shared" si="66"/>
        <v>0.51941493678648076</v>
      </c>
      <c r="DH19" s="150"/>
      <c r="DI19" s="150">
        <f t="shared" si="67"/>
        <v>2.2222222222222219</v>
      </c>
      <c r="DJ19" s="314">
        <f t="shared" si="117"/>
        <v>151.20000000000002</v>
      </c>
      <c r="DK19" s="456">
        <f t="shared" si="68"/>
        <v>0.38888888888888884</v>
      </c>
      <c r="DM19" s="150">
        <f t="shared" si="69"/>
        <v>0.65726706900619947</v>
      </c>
      <c r="DN19" s="150">
        <f t="shared" si="70"/>
        <v>1</v>
      </c>
      <c r="DO19" s="150">
        <f t="shared" si="71"/>
        <v>1.0864</v>
      </c>
      <c r="DQ19" s="314">
        <f t="shared" si="72"/>
        <v>168</v>
      </c>
      <c r="DR19" s="144">
        <f t="shared" si="73"/>
        <v>151.20000000000002</v>
      </c>
      <c r="DT19">
        <f t="shared" si="74"/>
        <v>168</v>
      </c>
      <c r="DU19" s="144">
        <f t="shared" si="75"/>
        <v>151.20000000000002</v>
      </c>
      <c r="DV19" s="144"/>
      <c r="DW19" s="5">
        <f t="shared" si="118"/>
        <v>6.6137566137566131</v>
      </c>
      <c r="DX19" s="5">
        <f t="shared" si="76"/>
        <v>0.25</v>
      </c>
      <c r="DY19" s="5">
        <f t="shared" si="119"/>
        <v>6.3637566137566131</v>
      </c>
      <c r="DZ19" s="5">
        <f t="shared" si="77"/>
        <v>2.2222222222222219</v>
      </c>
      <c r="EA19" s="150">
        <f t="shared" si="120"/>
        <v>3.7800000000000007E-2</v>
      </c>
      <c r="EB19" s="150">
        <f t="shared" si="78"/>
        <v>0.90720000000000012</v>
      </c>
      <c r="EC19" s="150">
        <f t="shared" si="79"/>
        <v>0.48109999999999997</v>
      </c>
      <c r="ED19" s="150">
        <f t="shared" si="121"/>
        <v>1.8856786530866767</v>
      </c>
      <c r="EE19" s="144">
        <f t="shared" si="80"/>
        <v>0.84000000000000008</v>
      </c>
      <c r="EF19" s="5">
        <f t="shared" si="81"/>
        <v>4.6402391975308634E-2</v>
      </c>
      <c r="EG19" s="5"/>
      <c r="EH19" s="150">
        <f t="shared" si="122"/>
        <v>0.11224972160321825</v>
      </c>
      <c r="EI19" s="150">
        <f t="shared" si="82"/>
        <v>0.56633323523640511</v>
      </c>
      <c r="EJ19" s="150"/>
      <c r="EK19" s="456">
        <f t="shared" si="83"/>
        <v>2.5200000000000005E-4</v>
      </c>
      <c r="EL19" s="456">
        <f t="shared" si="84"/>
        <v>0.16148160000000003</v>
      </c>
      <c r="EM19" s="456">
        <f t="shared" si="85"/>
        <v>1.8900000000000004E-2</v>
      </c>
      <c r="EN19" s="456">
        <f t="shared" si="86"/>
        <v>4.3115587200000006E-2</v>
      </c>
      <c r="EO19">
        <f t="shared" si="87"/>
        <v>2.1600000000000001E-2</v>
      </c>
      <c r="EP19" s="144">
        <f t="shared" si="123"/>
        <v>40.500000000000007</v>
      </c>
      <c r="EQ19" s="456">
        <f t="shared" si="88"/>
        <v>0.24543192248544521</v>
      </c>
      <c r="ER19" s="144">
        <f t="shared" si="124"/>
        <v>245.4319224854452</v>
      </c>
      <c r="ES19" s="456">
        <f t="shared" si="125"/>
        <v>0.10436999999999999</v>
      </c>
      <c r="ET19" s="456"/>
      <c r="EV19" s="144">
        <f t="shared" si="126"/>
        <v>104.36999999999999</v>
      </c>
      <c r="EW19" s="456">
        <f t="shared" si="89"/>
        <v>3.7800000000000003E-4</v>
      </c>
      <c r="EX19" s="456">
        <f t="shared" si="90"/>
        <v>9.6220000000000003E-3</v>
      </c>
      <c r="EY19" s="456">
        <f t="shared" si="91"/>
        <v>1.4055603007136366E-2</v>
      </c>
      <c r="EZ19" s="456">
        <f t="shared" si="92"/>
        <v>2.6476784434684115E-2</v>
      </c>
      <c r="FA19" s="456">
        <f t="shared" si="93"/>
        <v>1.5120000000000004E-4</v>
      </c>
      <c r="FB19" s="144">
        <f t="shared" si="127"/>
        <v>26.627984434684116</v>
      </c>
      <c r="FC19" s="150">
        <f t="shared" si="128"/>
        <v>0.37642990692012929</v>
      </c>
      <c r="FD19" s="5">
        <f t="shared" si="129"/>
        <v>0.84000000000000008</v>
      </c>
      <c r="FE19" s="150">
        <f t="shared" si="130"/>
        <v>0.6905453369909248</v>
      </c>
      <c r="FF19" s="5">
        <f t="shared" si="131"/>
        <v>69.054533699092474</v>
      </c>
      <c r="FI19" s="59">
        <f t="shared" si="94"/>
        <v>-50</v>
      </c>
      <c r="FJ19">
        <f t="shared" si="95"/>
        <v>-50</v>
      </c>
      <c r="FL19">
        <f t="shared" si="96"/>
        <v>0.33600000000000002</v>
      </c>
    </row>
    <row r="20" spans="5:168">
      <c r="E20" s="147">
        <v>15</v>
      </c>
      <c r="F20" s="188">
        <f t="shared" si="97"/>
        <v>0.18</v>
      </c>
      <c r="G20" s="188"/>
      <c r="H20" s="188">
        <f t="shared" si="0"/>
        <v>0.89999999999999991</v>
      </c>
      <c r="I20" s="465">
        <f t="shared" si="1"/>
        <v>47.975943738783762</v>
      </c>
      <c r="J20" s="149">
        <f t="shared" si="2"/>
        <v>5.4144337567297409</v>
      </c>
      <c r="K20" s="149">
        <f t="shared" si="3"/>
        <v>53.414433756729743</v>
      </c>
      <c r="L20" s="379"/>
      <c r="M20" s="188">
        <f t="shared" si="4"/>
        <v>0.10142169478204008</v>
      </c>
      <c r="N20" s="149">
        <f t="shared" si="5"/>
        <v>12.45645189825345</v>
      </c>
      <c r="O20" s="149">
        <f t="shared" si="98"/>
        <v>0.89999999999999991</v>
      </c>
      <c r="P20" s="188">
        <f t="shared" si="6"/>
        <v>2.4912903796506898</v>
      </c>
      <c r="Q20" s="188">
        <f t="shared" si="7"/>
        <v>5</v>
      </c>
      <c r="R20" s="188">
        <f t="shared" si="8"/>
        <v>2.4329007613776268</v>
      </c>
      <c r="S20" s="149">
        <f t="shared" si="9"/>
        <v>618.38762105464127</v>
      </c>
      <c r="T20" s="149">
        <f t="shared" si="10"/>
        <v>5</v>
      </c>
      <c r="U20" s="188">
        <f t="shared" si="99"/>
        <v>0.40063286405816134</v>
      </c>
      <c r="V20" s="188">
        <f t="shared" si="11"/>
        <v>0.1002084376885634</v>
      </c>
      <c r="W20" s="188">
        <f t="shared" si="12"/>
        <v>0.88792191108118212</v>
      </c>
      <c r="X20" s="172">
        <f t="shared" si="13"/>
        <v>350</v>
      </c>
      <c r="Y20" s="379">
        <f t="shared" si="14"/>
        <v>350</v>
      </c>
      <c r="AA20" s="188">
        <f t="shared" si="15"/>
        <v>1.1584153116090465</v>
      </c>
      <c r="AB20" s="150">
        <f t="shared" si="16"/>
        <v>2.5673938151022098</v>
      </c>
      <c r="AC20" s="150">
        <f t="shared" si="17"/>
        <v>0.52046895361033396</v>
      </c>
      <c r="AD20" s="150"/>
      <c r="AE20" s="150">
        <f t="shared" si="18"/>
        <v>2.216298238958947</v>
      </c>
      <c r="AF20" s="314">
        <f t="shared" si="100"/>
        <v>162.43301270189224</v>
      </c>
      <c r="AG20" s="456">
        <f t="shared" si="19"/>
        <v>0.38785219181781572</v>
      </c>
      <c r="AI20" s="150">
        <f t="shared" si="20"/>
        <v>0.68124468585480091</v>
      </c>
      <c r="AJ20" s="150">
        <f t="shared" si="21"/>
        <v>1</v>
      </c>
      <c r="AK20" s="150">
        <f t="shared" si="22"/>
        <v>1.0928188644010812</v>
      </c>
      <c r="AM20" s="314">
        <f t="shared" si="23"/>
        <v>180</v>
      </c>
      <c r="AN20" s="144">
        <f t="shared" si="24"/>
        <v>162.43301270189224</v>
      </c>
      <c r="AP20">
        <f t="shared" si="25"/>
        <v>180</v>
      </c>
      <c r="AQ20" s="144">
        <f t="shared" si="26"/>
        <v>162.43301270189224</v>
      </c>
      <c r="AR20" s="144"/>
      <c r="AS20" s="5">
        <f t="shared" si="101"/>
        <v>6.1563839971081853</v>
      </c>
      <c r="AT20" s="5">
        <f t="shared" si="27"/>
        <v>0.25012535585202456</v>
      </c>
      <c r="AU20" s="5">
        <f t="shared" si="102"/>
        <v>5.9062586412561604</v>
      </c>
      <c r="AV20" s="5">
        <f t="shared" si="28"/>
        <v>2.216298238958947</v>
      </c>
      <c r="AW20" s="150">
        <f t="shared" si="103"/>
        <v>4.0628615104177222E-2</v>
      </c>
      <c r="AX20" s="150">
        <f t="shared" si="29"/>
        <v>0.97459807621135341</v>
      </c>
      <c r="AY20" s="150">
        <f t="shared" si="30"/>
        <v>0.47968569244791137</v>
      </c>
      <c r="AZ20" s="150">
        <f t="shared" si="104"/>
        <v>2.0317430591640675</v>
      </c>
      <c r="BA20" s="144">
        <f t="shared" si="31"/>
        <v>0.90045128106728844</v>
      </c>
      <c r="BB20" s="5">
        <f t="shared" si="32"/>
        <v>4.6165782637446626E-2</v>
      </c>
      <c r="BC20" s="5"/>
      <c r="BD20" s="150">
        <f t="shared" si="105"/>
        <v>0.11637384457597165</v>
      </c>
      <c r="BE20" s="150">
        <f t="shared" si="33"/>
        <v>0.56550018711928018</v>
      </c>
      <c r="BF20" s="150"/>
      <c r="BG20" s="456">
        <f t="shared" si="34"/>
        <v>2.7085743402784811E-4</v>
      </c>
      <c r="BH20" s="456">
        <f t="shared" si="35"/>
        <v>0.16268001369133622</v>
      </c>
      <c r="BI20" s="456">
        <f t="shared" si="36"/>
        <v>0.19482192696767825</v>
      </c>
      <c r="BJ20" s="456">
        <f t="shared" si="37"/>
        <v>4.6343791012585414E-2</v>
      </c>
      <c r="BK20">
        <f t="shared" si="38"/>
        <v>2.1589174682452691E-2</v>
      </c>
      <c r="BL20" s="144">
        <f t="shared" si="106"/>
        <v>216.41110165013095</v>
      </c>
      <c r="BM20" s="456">
        <f t="shared" si="39"/>
        <v>0.20938126852875202</v>
      </c>
      <c r="BN20" s="144">
        <f t="shared" si="107"/>
        <v>209.38126852875203</v>
      </c>
      <c r="BO20" s="456">
        <f t="shared" si="108"/>
        <v>0.11182499999999999</v>
      </c>
      <c r="BP20" s="456"/>
      <c r="BR20" s="144">
        <f t="shared" si="109"/>
        <v>111.82499999999999</v>
      </c>
      <c r="BS20" s="456">
        <f t="shared" si="40"/>
        <v>4.0628615104177214E-4</v>
      </c>
      <c r="BT20" s="456">
        <f t="shared" si="41"/>
        <v>9.5937138489582269E-3</v>
      </c>
      <c r="BU20" s="456">
        <f t="shared" si="42"/>
        <v>1.3499999999999998E-2</v>
      </c>
      <c r="BV20" s="456">
        <f t="shared" si="43"/>
        <v>2.5920736589271413E-2</v>
      </c>
      <c r="BW20" s="456">
        <f t="shared" si="44"/>
        <v>1.6243301270189224E-4</v>
      </c>
      <c r="BX20" s="144">
        <f t="shared" si="110"/>
        <v>26.083169601973303</v>
      </c>
      <c r="BY20" s="150">
        <f t="shared" si="45"/>
        <v>0.56370053978085632</v>
      </c>
      <c r="BZ20" s="5">
        <f t="shared" si="111"/>
        <v>0.89999999999999991</v>
      </c>
      <c r="CA20" s="150">
        <f t="shared" si="112"/>
        <v>0.61487987162643731</v>
      </c>
      <c r="CB20" s="5">
        <f t="shared" si="113"/>
        <v>61.487987162643734</v>
      </c>
      <c r="CE20" s="59">
        <f t="shared" si="46"/>
        <v>-50</v>
      </c>
      <c r="CF20">
        <f t="shared" si="47"/>
        <v>-50</v>
      </c>
      <c r="CG20" s="150">
        <f t="shared" si="48"/>
        <v>0.37412297443487746</v>
      </c>
      <c r="CI20" s="147">
        <v>15</v>
      </c>
      <c r="CJ20" s="188">
        <f t="shared" si="114"/>
        <v>0.18</v>
      </c>
      <c r="CK20" s="188"/>
      <c r="CL20" s="188">
        <f t="shared" si="49"/>
        <v>0.89999999999999991</v>
      </c>
      <c r="CM20" s="465">
        <f t="shared" si="50"/>
        <v>48</v>
      </c>
      <c r="CN20" s="149">
        <f t="shared" si="51"/>
        <v>5.4</v>
      </c>
      <c r="CO20" s="379">
        <f t="shared" si="52"/>
        <v>53.4</v>
      </c>
      <c r="CP20" s="379"/>
      <c r="CQ20" s="188">
        <f t="shared" si="53"/>
        <v>0.10112359550561799</v>
      </c>
      <c r="CR20" s="149">
        <f t="shared" si="54"/>
        <v>12.426067415730339</v>
      </c>
      <c r="CS20" s="149">
        <f t="shared" si="115"/>
        <v>0.89999999999999991</v>
      </c>
      <c r="CT20" s="188">
        <f t="shared" si="55"/>
        <v>2.4852134831460679</v>
      </c>
      <c r="CU20" s="188">
        <f t="shared" si="56"/>
        <v>5</v>
      </c>
      <c r="CV20" s="188">
        <f t="shared" si="57"/>
        <v>2.4269662921348316</v>
      </c>
      <c r="CW20" s="149">
        <f t="shared" si="58"/>
        <v>618.69767954336521</v>
      </c>
      <c r="CX20" s="149">
        <f t="shared" si="59"/>
        <v>5</v>
      </c>
      <c r="CY20" s="188">
        <f t="shared" si="60"/>
        <v>0.37083333333333329</v>
      </c>
      <c r="CZ20" s="188">
        <f t="shared" si="61"/>
        <v>9.2708333333333323E-2</v>
      </c>
      <c r="DA20" s="188">
        <f t="shared" si="62"/>
        <v>0.82407407407407396</v>
      </c>
      <c r="DB20" s="172">
        <f t="shared" si="63"/>
        <v>350</v>
      </c>
      <c r="DC20" s="379">
        <f t="shared" si="116"/>
        <v>350</v>
      </c>
      <c r="DE20" s="188">
        <f t="shared" si="64"/>
        <v>1.1556982343499198</v>
      </c>
      <c r="DF20" s="150">
        <f t="shared" si="65"/>
        <v>2.5682182985553772</v>
      </c>
      <c r="DG20" s="150">
        <f t="shared" si="66"/>
        <v>0.51941493678648076</v>
      </c>
      <c r="DH20" s="150"/>
      <c r="DI20" s="150">
        <f t="shared" si="67"/>
        <v>2.2222222222222219</v>
      </c>
      <c r="DJ20" s="314">
        <f t="shared" si="117"/>
        <v>162</v>
      </c>
      <c r="DK20" s="456">
        <f t="shared" si="68"/>
        <v>0.38888888888888884</v>
      </c>
      <c r="DM20" s="150">
        <f t="shared" si="69"/>
        <v>0.68033605141660902</v>
      </c>
      <c r="DN20" s="150">
        <f t="shared" si="70"/>
        <v>1</v>
      </c>
      <c r="DO20" s="150">
        <f t="shared" si="71"/>
        <v>1.0925714285714285</v>
      </c>
      <c r="DQ20" s="314">
        <f t="shared" si="72"/>
        <v>180</v>
      </c>
      <c r="DR20" s="144">
        <f t="shared" si="73"/>
        <v>162</v>
      </c>
      <c r="DT20">
        <f t="shared" si="74"/>
        <v>180</v>
      </c>
      <c r="DU20" s="144">
        <f t="shared" si="75"/>
        <v>162</v>
      </c>
      <c r="DV20" s="144"/>
      <c r="DW20" s="5">
        <f t="shared" si="118"/>
        <v>6.1728395061728394</v>
      </c>
      <c r="DX20" s="5">
        <f t="shared" si="76"/>
        <v>0.25</v>
      </c>
      <c r="DY20" s="5">
        <f t="shared" si="119"/>
        <v>5.9228395061728394</v>
      </c>
      <c r="DZ20" s="5">
        <f t="shared" si="77"/>
        <v>2.2222222222222219</v>
      </c>
      <c r="EA20" s="150">
        <f t="shared" si="120"/>
        <v>4.0500000000000001E-2</v>
      </c>
      <c r="EB20" s="150">
        <f t="shared" si="78"/>
        <v>0.97199999999999998</v>
      </c>
      <c r="EC20" s="150">
        <f t="shared" si="79"/>
        <v>0.47975000000000001</v>
      </c>
      <c r="ED20" s="150">
        <f t="shared" si="121"/>
        <v>2.0260552371026574</v>
      </c>
      <c r="EE20" s="144">
        <f t="shared" si="80"/>
        <v>0.9</v>
      </c>
      <c r="EF20" s="5">
        <f t="shared" si="81"/>
        <v>4.6272183641975301E-2</v>
      </c>
      <c r="EG20" s="5"/>
      <c r="EH20" s="150">
        <f t="shared" si="122"/>
        <v>0.1161895003862225</v>
      </c>
      <c r="EI20" s="150">
        <f t="shared" si="82"/>
        <v>0.56553809184999493</v>
      </c>
      <c r="EJ20" s="150"/>
      <c r="EK20" s="456">
        <f t="shared" si="83"/>
        <v>2.6999999999999995E-4</v>
      </c>
      <c r="EL20" s="456">
        <f t="shared" si="84"/>
        <v>0.173016</v>
      </c>
      <c r="EM20" s="456">
        <f t="shared" si="85"/>
        <v>2.0249999999999997E-2</v>
      </c>
      <c r="EN20" s="456">
        <f t="shared" si="86"/>
        <v>4.6195271999999996E-2</v>
      </c>
      <c r="EO20">
        <f t="shared" si="87"/>
        <v>2.1600000000000001E-2</v>
      </c>
      <c r="EP20" s="144">
        <f t="shared" si="123"/>
        <v>41.85</v>
      </c>
      <c r="EQ20" s="456">
        <f t="shared" si="88"/>
        <v>0.26142094267631455</v>
      </c>
      <c r="ER20" s="144">
        <f t="shared" si="124"/>
        <v>261.42094267631455</v>
      </c>
      <c r="ES20" s="456">
        <f t="shared" si="125"/>
        <v>0.11182499999999999</v>
      </c>
      <c r="ET20" s="456"/>
      <c r="EV20" s="144">
        <f t="shared" si="126"/>
        <v>111.82499999999999</v>
      </c>
      <c r="EW20" s="456">
        <f t="shared" si="89"/>
        <v>4.0499999999999992E-4</v>
      </c>
      <c r="EX20" s="456">
        <f t="shared" si="90"/>
        <v>9.5949999999999994E-3</v>
      </c>
      <c r="EY20" s="456">
        <f t="shared" si="91"/>
        <v>1.6701579328913758E-2</v>
      </c>
      <c r="EZ20" s="456">
        <f t="shared" si="92"/>
        <v>2.9124879232299596E-2</v>
      </c>
      <c r="FA20" s="456">
        <f t="shared" si="93"/>
        <v>1.6200000000000003E-4</v>
      </c>
      <c r="FB20" s="144">
        <f t="shared" si="127"/>
        <v>29.286879232299594</v>
      </c>
      <c r="FC20" s="150">
        <f t="shared" si="128"/>
        <v>0.40253282190861417</v>
      </c>
      <c r="FD20" s="5">
        <f t="shared" si="129"/>
        <v>0.89999999999999991</v>
      </c>
      <c r="FE20" s="150">
        <f t="shared" si="130"/>
        <v>0.69096147510603312</v>
      </c>
      <c r="FF20" s="5">
        <f t="shared" si="131"/>
        <v>69.096147510603316</v>
      </c>
      <c r="FI20" s="59">
        <f t="shared" si="94"/>
        <v>-50</v>
      </c>
      <c r="FJ20">
        <f t="shared" si="95"/>
        <v>-50</v>
      </c>
      <c r="FL20">
        <f t="shared" si="96"/>
        <v>0.36</v>
      </c>
    </row>
    <row r="21" spans="5:168" s="59" customFormat="1">
      <c r="E21" s="147">
        <v>16</v>
      </c>
      <c r="F21" s="188">
        <f t="shared" si="97"/>
        <v>0.192</v>
      </c>
      <c r="G21" s="188"/>
      <c r="H21" s="188">
        <f t="shared" si="0"/>
        <v>0.96</v>
      </c>
      <c r="I21" s="465">
        <f t="shared" si="1"/>
        <v>47.975943738783762</v>
      </c>
      <c r="J21" s="149">
        <f t="shared" si="2"/>
        <v>5.4144337567297409</v>
      </c>
      <c r="K21" s="149">
        <f t="shared" si="3"/>
        <v>53.414433756729743</v>
      </c>
      <c r="L21" s="379"/>
      <c r="M21" s="188">
        <f t="shared" si="4"/>
        <v>0.10142169478204008</v>
      </c>
      <c r="N21" s="149">
        <f t="shared" si="5"/>
        <v>12.45645189825345</v>
      </c>
      <c r="O21" s="149">
        <f t="shared" si="98"/>
        <v>0.96</v>
      </c>
      <c r="P21" s="188">
        <f t="shared" si="6"/>
        <v>2.4912903796506898</v>
      </c>
      <c r="Q21" s="188">
        <f t="shared" si="7"/>
        <v>5</v>
      </c>
      <c r="R21" s="188">
        <f t="shared" si="8"/>
        <v>2.4329007613776268</v>
      </c>
      <c r="S21" s="149">
        <f t="shared" si="9"/>
        <v>576.74407427725089</v>
      </c>
      <c r="T21" s="149">
        <f t="shared" si="10"/>
        <v>5</v>
      </c>
      <c r="U21" s="188">
        <f t="shared" si="99"/>
        <v>0.42734172166203876</v>
      </c>
      <c r="V21" s="188">
        <f t="shared" si="11"/>
        <v>0.1068890002011343</v>
      </c>
      <c r="W21" s="188">
        <f t="shared" si="12"/>
        <v>0.94711670515326096</v>
      </c>
      <c r="X21" s="172">
        <f t="shared" si="13"/>
        <v>350</v>
      </c>
      <c r="Y21" s="379">
        <f t="shared" si="14"/>
        <v>350</v>
      </c>
      <c r="AA21" s="188">
        <f t="shared" si="15"/>
        <v>1.1584153116090465</v>
      </c>
      <c r="AB21" s="150">
        <f t="shared" si="16"/>
        <v>2.5673938151022098</v>
      </c>
      <c r="AC21" s="462">
        <f t="shared" si="17"/>
        <v>0.52046895361033396</v>
      </c>
      <c r="AD21" s="462"/>
      <c r="AE21" s="150">
        <f t="shared" si="18"/>
        <v>2.216298238958947</v>
      </c>
      <c r="AF21" s="314">
        <f t="shared" si="100"/>
        <v>173.26188021535174</v>
      </c>
      <c r="AG21" s="456">
        <f t="shared" si="19"/>
        <v>0.38785219181781572</v>
      </c>
      <c r="AH21"/>
      <c r="AI21" s="150">
        <f t="shared" si="20"/>
        <v>0.7035864861354526</v>
      </c>
      <c r="AJ21" s="150">
        <f t="shared" si="21"/>
        <v>1</v>
      </c>
      <c r="AK21" s="150">
        <f t="shared" si="22"/>
        <v>1.0990067886944868</v>
      </c>
      <c r="AM21" s="314">
        <f t="shared" si="23"/>
        <v>192</v>
      </c>
      <c r="AN21" s="144">
        <f t="shared" si="24"/>
        <v>173.26188021535174</v>
      </c>
      <c r="AP21">
        <f t="shared" si="25"/>
        <v>192</v>
      </c>
      <c r="AQ21" s="144">
        <f t="shared" si="26"/>
        <v>173.26188021535174</v>
      </c>
      <c r="AR21" s="144"/>
      <c r="AS21" s="5">
        <f t="shared" si="101"/>
        <v>5.7716099972889232</v>
      </c>
      <c r="AT21" s="5">
        <f t="shared" si="27"/>
        <v>0.25012535585202456</v>
      </c>
      <c r="AU21" s="5">
        <f t="shared" si="102"/>
        <v>5.5214846414368983</v>
      </c>
      <c r="AV21" s="5">
        <f t="shared" si="28"/>
        <v>2.216298238958947</v>
      </c>
      <c r="AW21" s="150">
        <f t="shared" si="103"/>
        <v>4.3337189444455707E-2</v>
      </c>
      <c r="AX21" s="150">
        <f t="shared" si="29"/>
        <v>1.0395712812921105</v>
      </c>
      <c r="AY21" s="150">
        <f t="shared" si="30"/>
        <v>0.47833140527777213</v>
      </c>
      <c r="AZ21" s="150">
        <f t="shared" si="104"/>
        <v>2.1733285120353334</v>
      </c>
      <c r="BA21" s="144">
        <f t="shared" si="31"/>
        <v>0.96048136647177429</v>
      </c>
      <c r="BB21" s="5">
        <f t="shared" si="32"/>
        <v>4.6035443692363079E-2</v>
      </c>
      <c r="BC21" s="5"/>
      <c r="BD21" s="150">
        <f t="shared" si="105"/>
        <v>0.12019038986049829</v>
      </c>
      <c r="BE21" s="150">
        <f t="shared" si="33"/>
        <v>0.56470134010688766</v>
      </c>
      <c r="BF21" s="150"/>
      <c r="BG21" s="456">
        <f t="shared" si="34"/>
        <v>2.8891459629637142E-4</v>
      </c>
      <c r="BH21" s="456">
        <f t="shared" si="35"/>
        <v>0.17352534793742527</v>
      </c>
      <c r="BI21" s="456">
        <f t="shared" si="36"/>
        <v>0.20781005543219014</v>
      </c>
      <c r="BJ21" s="456">
        <f t="shared" si="37"/>
        <v>4.9433377080091115E-2</v>
      </c>
      <c r="BK21">
        <f t="shared" si="38"/>
        <v>2.1589174682452691E-2</v>
      </c>
      <c r="BL21" s="144">
        <f t="shared" si="106"/>
        <v>229.39923011464282</v>
      </c>
      <c r="BM21" s="456">
        <f t="shared" si="39"/>
        <v>0.22334097804373026</v>
      </c>
      <c r="BN21" s="144">
        <f t="shared" si="107"/>
        <v>223.34097804373027</v>
      </c>
      <c r="BO21" s="456">
        <f t="shared" si="108"/>
        <v>0.11927999999999998</v>
      </c>
      <c r="BP21" s="456"/>
      <c r="BR21" s="144">
        <f t="shared" si="109"/>
        <v>119.27999999999999</v>
      </c>
      <c r="BS21" s="456">
        <f t="shared" si="40"/>
        <v>4.333718944445571E-4</v>
      </c>
      <c r="BT21" s="456">
        <f t="shared" si="41"/>
        <v>9.5666281055554435E-3</v>
      </c>
      <c r="BU21" s="456">
        <f t="shared" si="42"/>
        <v>1.44E-2</v>
      </c>
      <c r="BV21" s="456">
        <f t="shared" si="43"/>
        <v>2.6821457165732584E-2</v>
      </c>
      <c r="BW21" s="456">
        <f t="shared" si="44"/>
        <v>1.7326188021535174E-4</v>
      </c>
      <c r="BX21" s="144">
        <f t="shared" si="110"/>
        <v>26.994719045947935</v>
      </c>
      <c r="BY21" s="150">
        <f t="shared" si="45"/>
        <v>0.59901492720432103</v>
      </c>
      <c r="BZ21" s="5">
        <f t="shared" si="111"/>
        <v>0.96</v>
      </c>
      <c r="CA21" s="150">
        <f t="shared" si="112"/>
        <v>0.61577344979082715</v>
      </c>
      <c r="CB21" s="5">
        <f t="shared" si="113"/>
        <v>61.577344979082717</v>
      </c>
      <c r="CE21" s="59">
        <f t="shared" si="46"/>
        <v>-50</v>
      </c>
      <c r="CF21">
        <f t="shared" si="47"/>
        <v>-50</v>
      </c>
      <c r="CG21" s="150">
        <f t="shared" si="48"/>
        <v>0.39906450606386934</v>
      </c>
      <c r="CH21"/>
      <c r="CI21" s="147">
        <v>16</v>
      </c>
      <c r="CJ21" s="188">
        <f t="shared" si="114"/>
        <v>0.192</v>
      </c>
      <c r="CK21" s="188"/>
      <c r="CL21" s="188">
        <f t="shared" si="49"/>
        <v>0.96</v>
      </c>
      <c r="CM21" s="465">
        <f t="shared" si="50"/>
        <v>48</v>
      </c>
      <c r="CN21" s="149">
        <f t="shared" si="51"/>
        <v>5.4</v>
      </c>
      <c r="CO21" s="379">
        <f t="shared" si="52"/>
        <v>53.4</v>
      </c>
      <c r="CP21" s="379"/>
      <c r="CQ21" s="188">
        <f t="shared" si="53"/>
        <v>0.10112359550561799</v>
      </c>
      <c r="CR21" s="149">
        <f t="shared" si="54"/>
        <v>12.426067415730339</v>
      </c>
      <c r="CS21" s="149">
        <f t="shared" si="115"/>
        <v>0.96</v>
      </c>
      <c r="CT21" s="188">
        <f t="shared" si="55"/>
        <v>2.4852134831460679</v>
      </c>
      <c r="CU21" s="188">
        <f t="shared" si="56"/>
        <v>5</v>
      </c>
      <c r="CV21" s="188">
        <f t="shared" si="57"/>
        <v>2.4269662921348316</v>
      </c>
      <c r="CW21" s="149">
        <f t="shared" si="58"/>
        <v>577.03325059646306</v>
      </c>
      <c r="CX21" s="149">
        <f t="shared" si="59"/>
        <v>5</v>
      </c>
      <c r="CY21" s="188">
        <f t="shared" si="60"/>
        <v>0.39555555555555549</v>
      </c>
      <c r="CZ21" s="188">
        <f t="shared" si="61"/>
        <v>9.8888888888888873E-2</v>
      </c>
      <c r="DA21" s="188">
        <f t="shared" si="62"/>
        <v>0.87901234567901232</v>
      </c>
      <c r="DB21" s="172">
        <f t="shared" si="63"/>
        <v>350</v>
      </c>
      <c r="DC21" s="379">
        <f t="shared" si="116"/>
        <v>350</v>
      </c>
      <c r="DE21" s="188">
        <f t="shared" si="64"/>
        <v>1.1556982343499198</v>
      </c>
      <c r="DF21" s="150">
        <f t="shared" si="65"/>
        <v>2.5682182985553772</v>
      </c>
      <c r="DG21" s="462">
        <f t="shared" si="66"/>
        <v>0.51941493678648076</v>
      </c>
      <c r="DH21" s="462"/>
      <c r="DI21" s="150">
        <f t="shared" si="67"/>
        <v>2.2222222222222219</v>
      </c>
      <c r="DJ21" s="314">
        <f t="shared" si="117"/>
        <v>172.80000000000004</v>
      </c>
      <c r="DK21" s="456">
        <f t="shared" si="68"/>
        <v>0.38888888888888884</v>
      </c>
      <c r="DL21"/>
      <c r="DM21" s="150">
        <f t="shared" si="69"/>
        <v>0.70264805252294393</v>
      </c>
      <c r="DN21" s="150">
        <f t="shared" si="70"/>
        <v>1</v>
      </c>
      <c r="DO21" s="150">
        <f t="shared" si="71"/>
        <v>1.0987428571428572</v>
      </c>
      <c r="DQ21" s="314">
        <f t="shared" si="72"/>
        <v>192</v>
      </c>
      <c r="DR21" s="144">
        <f t="shared" si="73"/>
        <v>172.80000000000004</v>
      </c>
      <c r="DT21">
        <f t="shared" si="74"/>
        <v>192</v>
      </c>
      <c r="DU21" s="144">
        <f t="shared" si="75"/>
        <v>172.80000000000004</v>
      </c>
      <c r="DV21" s="144"/>
      <c r="DW21" s="5">
        <f t="shared" si="118"/>
        <v>5.7870370370370354</v>
      </c>
      <c r="DX21" s="5">
        <f t="shared" si="76"/>
        <v>0.25</v>
      </c>
      <c r="DY21" s="5">
        <f t="shared" si="119"/>
        <v>5.5370370370370354</v>
      </c>
      <c r="DZ21" s="5">
        <f t="shared" si="77"/>
        <v>2.2222222222222219</v>
      </c>
      <c r="EA21" s="150">
        <f t="shared" si="120"/>
        <v>4.3200000000000009E-2</v>
      </c>
      <c r="EB21" s="150">
        <f t="shared" si="78"/>
        <v>1.0368000000000002</v>
      </c>
      <c r="EC21" s="150">
        <f t="shared" si="79"/>
        <v>0.47839999999999999</v>
      </c>
      <c r="ED21" s="150">
        <f t="shared" si="121"/>
        <v>2.1672240802675589</v>
      </c>
      <c r="EE21" s="144">
        <f t="shared" si="80"/>
        <v>0.96000000000000008</v>
      </c>
      <c r="EF21" s="5">
        <f t="shared" si="81"/>
        <v>4.6141975308641954E-2</v>
      </c>
      <c r="EG21" s="5"/>
      <c r="EH21" s="150">
        <f t="shared" si="122"/>
        <v>0.12000000000000001</v>
      </c>
      <c r="EI21" s="150">
        <f t="shared" si="82"/>
        <v>0.56474182892126323</v>
      </c>
      <c r="EJ21" s="150"/>
      <c r="EK21" s="456">
        <f t="shared" si="83"/>
        <v>2.8800000000000006E-4</v>
      </c>
      <c r="EL21" s="456">
        <f t="shared" si="84"/>
        <v>0.18455040000000003</v>
      </c>
      <c r="EM21" s="456">
        <f t="shared" si="85"/>
        <v>2.1600000000000005E-2</v>
      </c>
      <c r="EN21" s="456">
        <f t="shared" si="86"/>
        <v>4.9274956800000012E-2</v>
      </c>
      <c r="EO21">
        <f t="shared" si="87"/>
        <v>2.1600000000000001E-2</v>
      </c>
      <c r="EP21" s="144">
        <f t="shared" si="123"/>
        <v>43.2</v>
      </c>
      <c r="EQ21" s="456">
        <f t="shared" si="88"/>
        <v>0.27741009964022634</v>
      </c>
      <c r="ER21" s="144">
        <f t="shared" si="124"/>
        <v>277.41009964022635</v>
      </c>
      <c r="ES21" s="456">
        <f t="shared" si="125"/>
        <v>0.11927999999999998</v>
      </c>
      <c r="ET21" s="456"/>
      <c r="EV21" s="144">
        <f t="shared" si="126"/>
        <v>119.27999999999999</v>
      </c>
      <c r="EW21" s="456">
        <f t="shared" si="89"/>
        <v>4.3200000000000009E-4</v>
      </c>
      <c r="EX21" s="456">
        <f t="shared" si="90"/>
        <v>9.5680000000000001E-3</v>
      </c>
      <c r="EY21" s="456">
        <f t="shared" si="91"/>
        <v>1.9625889517794079E-2</v>
      </c>
      <c r="EZ21" s="456">
        <f t="shared" si="92"/>
        <v>3.2051530742387993E-2</v>
      </c>
      <c r="FA21" s="456">
        <f t="shared" si="93"/>
        <v>1.7280000000000003E-4</v>
      </c>
      <c r="FB21" s="144">
        <f t="shared" si="127"/>
        <v>32.224330742387991</v>
      </c>
      <c r="FC21" s="150">
        <f t="shared" si="128"/>
        <v>0.42891443038261429</v>
      </c>
      <c r="FD21" s="5">
        <f t="shared" si="129"/>
        <v>0.96</v>
      </c>
      <c r="FE21" s="150">
        <f t="shared" si="130"/>
        <v>0.6911872891518176</v>
      </c>
      <c r="FF21" s="5">
        <f t="shared" si="131"/>
        <v>69.118728915181762</v>
      </c>
      <c r="FI21" s="59">
        <f t="shared" si="94"/>
        <v>-50</v>
      </c>
      <c r="FJ21">
        <f t="shared" si="95"/>
        <v>-50</v>
      </c>
      <c r="FL21">
        <f t="shared" si="96"/>
        <v>0.38400000000000006</v>
      </c>
    </row>
    <row r="22" spans="5:168">
      <c r="E22" s="147">
        <v>17</v>
      </c>
      <c r="F22" s="188">
        <f t="shared" si="97"/>
        <v>0.20400000000000001</v>
      </c>
      <c r="G22" s="188"/>
      <c r="H22" s="188">
        <f t="shared" si="0"/>
        <v>1.02</v>
      </c>
      <c r="I22" s="465">
        <f t="shared" si="1"/>
        <v>47.975943738783762</v>
      </c>
      <c r="J22" s="149">
        <f t="shared" si="2"/>
        <v>5.4144337567297409</v>
      </c>
      <c r="K22" s="149">
        <f t="shared" si="3"/>
        <v>53.414433756729743</v>
      </c>
      <c r="L22" s="379"/>
      <c r="M22" s="188">
        <f t="shared" si="4"/>
        <v>0.10142169478204008</v>
      </c>
      <c r="N22" s="149">
        <f t="shared" si="5"/>
        <v>12.45645189825345</v>
      </c>
      <c r="O22" s="149">
        <f t="shared" si="98"/>
        <v>1.02</v>
      </c>
      <c r="P22" s="188">
        <f t="shared" si="6"/>
        <v>2.4912903796506898</v>
      </c>
      <c r="Q22" s="188">
        <f t="shared" si="7"/>
        <v>5</v>
      </c>
      <c r="R22" s="188">
        <f t="shared" si="8"/>
        <v>2.4329007613776268</v>
      </c>
      <c r="S22" s="149">
        <f t="shared" si="9"/>
        <v>540.00005468386064</v>
      </c>
      <c r="T22" s="149">
        <f t="shared" si="10"/>
        <v>5</v>
      </c>
      <c r="U22" s="188">
        <f t="shared" si="99"/>
        <v>0.4540505792659163</v>
      </c>
      <c r="V22" s="188">
        <f t="shared" si="11"/>
        <v>0.11356956271370523</v>
      </c>
      <c r="W22" s="188">
        <f t="shared" si="12"/>
        <v>1.0063114992253401</v>
      </c>
      <c r="X22" s="172">
        <f t="shared" si="13"/>
        <v>350</v>
      </c>
      <c r="Y22" s="379">
        <f t="shared" si="14"/>
        <v>350</v>
      </c>
      <c r="AA22" s="188">
        <f t="shared" si="15"/>
        <v>1.1584153116090465</v>
      </c>
      <c r="AB22" s="150">
        <f t="shared" si="16"/>
        <v>2.5673938151022098</v>
      </c>
      <c r="AC22" s="150">
        <f t="shared" si="17"/>
        <v>0.52046895361033396</v>
      </c>
      <c r="AD22" s="150"/>
      <c r="AE22" s="150">
        <f t="shared" si="18"/>
        <v>2.216298238958947</v>
      </c>
      <c r="AF22" s="314">
        <f t="shared" si="100"/>
        <v>184.09074772881124</v>
      </c>
      <c r="AG22" s="456">
        <f t="shared" si="19"/>
        <v>0.38785219181781572</v>
      </c>
      <c r="AI22" s="150">
        <f t="shared" si="20"/>
        <v>0.72524034977341179</v>
      </c>
      <c r="AJ22" s="150">
        <f t="shared" si="21"/>
        <v>1</v>
      </c>
      <c r="AK22" s="150">
        <f t="shared" si="22"/>
        <v>1.1051947129878921</v>
      </c>
      <c r="AM22" s="314">
        <f t="shared" si="23"/>
        <v>204.00000000000003</v>
      </c>
      <c r="AN22" s="144">
        <f t="shared" si="24"/>
        <v>184.09074772881124</v>
      </c>
      <c r="AP22">
        <f t="shared" si="25"/>
        <v>204.00000000000003</v>
      </c>
      <c r="AQ22" s="144">
        <f t="shared" si="26"/>
        <v>184.09074772881124</v>
      </c>
      <c r="AR22" s="144"/>
      <c r="AS22" s="5">
        <f t="shared" si="101"/>
        <v>5.4321035268601632</v>
      </c>
      <c r="AT22" s="5">
        <f t="shared" si="27"/>
        <v>0.25012535585202456</v>
      </c>
      <c r="AU22" s="5">
        <f t="shared" si="102"/>
        <v>5.1819781710081383</v>
      </c>
      <c r="AV22" s="5">
        <f t="shared" si="28"/>
        <v>2.216298238958947</v>
      </c>
      <c r="AW22" s="150">
        <f t="shared" si="103"/>
        <v>4.6045763784734191E-2</v>
      </c>
      <c r="AX22" s="150">
        <f t="shared" si="29"/>
        <v>1.1045444863728673</v>
      </c>
      <c r="AY22" s="150">
        <f t="shared" si="30"/>
        <v>0.47697711810763288</v>
      </c>
      <c r="AZ22" s="150">
        <f t="shared" si="104"/>
        <v>2.3157179756443158</v>
      </c>
      <c r="BA22" s="144">
        <f t="shared" si="31"/>
        <v>1.0205114518762601</v>
      </c>
      <c r="BB22" s="5">
        <f t="shared" si="32"/>
        <v>4.5905104747279532E-2</v>
      </c>
      <c r="BC22" s="5"/>
      <c r="BD22" s="150">
        <f t="shared" si="105"/>
        <v>0.12388941814475007</v>
      </c>
      <c r="BE22" s="150">
        <f t="shared" si="33"/>
        <v>0.56390136141446634</v>
      </c>
      <c r="BF22" s="150"/>
      <c r="BG22" s="456">
        <f t="shared" si="34"/>
        <v>3.0697175856489461E-4</v>
      </c>
      <c r="BH22" s="456">
        <f t="shared" si="35"/>
        <v>0.18437068218351438</v>
      </c>
      <c r="BI22" s="456">
        <f t="shared" si="36"/>
        <v>0.22079818389670205</v>
      </c>
      <c r="BJ22" s="456">
        <f t="shared" si="37"/>
        <v>5.2522963147596816E-2</v>
      </c>
      <c r="BK22">
        <f t="shared" si="38"/>
        <v>2.1589174682452691E-2</v>
      </c>
      <c r="BL22" s="144">
        <f t="shared" si="106"/>
        <v>242.38735857915475</v>
      </c>
      <c r="BM22" s="456">
        <f t="shared" si="39"/>
        <v>0.23730080735241188</v>
      </c>
      <c r="BN22" s="144">
        <f t="shared" si="107"/>
        <v>237.30080735241188</v>
      </c>
      <c r="BO22" s="456">
        <f t="shared" si="108"/>
        <v>0.12673500000000001</v>
      </c>
      <c r="BP22" s="456"/>
      <c r="BR22" s="144">
        <f t="shared" si="109"/>
        <v>126.73500000000001</v>
      </c>
      <c r="BS22" s="456">
        <f t="shared" si="40"/>
        <v>4.6045763784734189E-4</v>
      </c>
      <c r="BT22" s="456">
        <f t="shared" si="41"/>
        <v>9.5395423621526566E-3</v>
      </c>
      <c r="BU22" s="456">
        <f t="shared" si="42"/>
        <v>1.5299999999999999E-2</v>
      </c>
      <c r="BV22" s="456">
        <f t="shared" si="43"/>
        <v>2.7722177742193752E-2</v>
      </c>
      <c r="BW22" s="456">
        <f t="shared" si="44"/>
        <v>1.8409074772881125E-4</v>
      </c>
      <c r="BX22" s="144">
        <f t="shared" si="110"/>
        <v>27.906268489922564</v>
      </c>
      <c r="BY22" s="150">
        <f t="shared" si="45"/>
        <v>0.63432943442148926</v>
      </c>
      <c r="BZ22" s="5">
        <f t="shared" si="111"/>
        <v>1.02</v>
      </c>
      <c r="CA22" s="150">
        <f t="shared" si="112"/>
        <v>0.61656401607621092</v>
      </c>
      <c r="CB22" s="5">
        <f t="shared" si="113"/>
        <v>61.656401607621092</v>
      </c>
      <c r="CE22" s="59">
        <f t="shared" si="46"/>
        <v>-50</v>
      </c>
      <c r="CF22">
        <f t="shared" si="47"/>
        <v>-50</v>
      </c>
      <c r="CG22" s="150">
        <f t="shared" si="48"/>
        <v>0.42400603769286116</v>
      </c>
      <c r="CI22" s="147">
        <v>17</v>
      </c>
      <c r="CJ22" s="188">
        <f t="shared" si="114"/>
        <v>0.20400000000000001</v>
      </c>
      <c r="CK22" s="188"/>
      <c r="CL22" s="188">
        <f t="shared" si="49"/>
        <v>1.02</v>
      </c>
      <c r="CM22" s="465">
        <f t="shared" si="50"/>
        <v>48</v>
      </c>
      <c r="CN22" s="149">
        <f t="shared" si="51"/>
        <v>5.4</v>
      </c>
      <c r="CO22" s="379">
        <f t="shared" si="52"/>
        <v>53.4</v>
      </c>
      <c r="CP22" s="379"/>
      <c r="CQ22" s="188">
        <f t="shared" si="53"/>
        <v>0.10112359550561799</v>
      </c>
      <c r="CR22" s="149">
        <f t="shared" si="54"/>
        <v>12.426067415730339</v>
      </c>
      <c r="CS22" s="149">
        <f t="shared" si="115"/>
        <v>1.02</v>
      </c>
      <c r="CT22" s="188">
        <f t="shared" si="55"/>
        <v>2.4852134831460679</v>
      </c>
      <c r="CU22" s="188">
        <f t="shared" si="56"/>
        <v>5</v>
      </c>
      <c r="CV22" s="188">
        <f t="shared" si="57"/>
        <v>2.4269662921348316</v>
      </c>
      <c r="CW22" s="149">
        <f t="shared" si="58"/>
        <v>540.27080555973453</v>
      </c>
      <c r="CX22" s="149">
        <f t="shared" si="59"/>
        <v>5</v>
      </c>
      <c r="CY22" s="188">
        <f t="shared" si="60"/>
        <v>0.42027777777777775</v>
      </c>
      <c r="CZ22" s="188">
        <f t="shared" si="61"/>
        <v>0.10506944444444444</v>
      </c>
      <c r="DA22" s="188">
        <f t="shared" si="62"/>
        <v>0.93395061728395057</v>
      </c>
      <c r="DB22" s="172">
        <f t="shared" si="63"/>
        <v>350</v>
      </c>
      <c r="DC22" s="379">
        <f t="shared" si="116"/>
        <v>350</v>
      </c>
      <c r="DE22" s="188">
        <f t="shared" si="64"/>
        <v>1.1556982343499198</v>
      </c>
      <c r="DF22" s="150">
        <f t="shared" si="65"/>
        <v>2.5682182985553772</v>
      </c>
      <c r="DG22" s="150">
        <f t="shared" si="66"/>
        <v>0.51941493678648076</v>
      </c>
      <c r="DH22" s="150"/>
      <c r="DI22" s="150">
        <f t="shared" si="67"/>
        <v>2.2222222222222219</v>
      </c>
      <c r="DJ22" s="314">
        <f t="shared" si="117"/>
        <v>183.60000000000002</v>
      </c>
      <c r="DK22" s="456">
        <f t="shared" si="68"/>
        <v>0.38888888888888884</v>
      </c>
      <c r="DM22" s="150">
        <f t="shared" si="69"/>
        <v>0.72427303454666092</v>
      </c>
      <c r="DN22" s="150">
        <f t="shared" si="70"/>
        <v>1</v>
      </c>
      <c r="DO22" s="150">
        <f t="shared" si="71"/>
        <v>1.1049142857142857</v>
      </c>
      <c r="DQ22" s="314">
        <f t="shared" si="72"/>
        <v>204.00000000000003</v>
      </c>
      <c r="DR22" s="144">
        <f t="shared" si="73"/>
        <v>183.60000000000002</v>
      </c>
      <c r="DT22">
        <f t="shared" si="74"/>
        <v>204.00000000000003</v>
      </c>
      <c r="DU22" s="144">
        <f t="shared" si="75"/>
        <v>183.60000000000002</v>
      </c>
      <c r="DV22" s="144"/>
      <c r="DW22" s="5">
        <f t="shared" si="118"/>
        <v>5.4466230936819162</v>
      </c>
      <c r="DX22" s="5">
        <f t="shared" si="76"/>
        <v>0.25</v>
      </c>
      <c r="DY22" s="5">
        <f t="shared" si="119"/>
        <v>5.1966230936819162</v>
      </c>
      <c r="DZ22" s="5">
        <f t="shared" si="77"/>
        <v>2.2222222222222219</v>
      </c>
      <c r="EA22" s="150">
        <f t="shared" si="120"/>
        <v>4.590000000000001E-2</v>
      </c>
      <c r="EB22" s="150">
        <f t="shared" si="78"/>
        <v>1.1016000000000001</v>
      </c>
      <c r="EC22" s="150">
        <f t="shared" si="79"/>
        <v>0.47704999999999997</v>
      </c>
      <c r="ED22" s="150">
        <f t="shared" si="121"/>
        <v>2.3091919086049684</v>
      </c>
      <c r="EE22" s="144">
        <f t="shared" si="80"/>
        <v>1.02</v>
      </c>
      <c r="EF22" s="5">
        <f t="shared" si="81"/>
        <v>4.6011766975308628E-2</v>
      </c>
      <c r="EG22" s="5"/>
      <c r="EH22" s="150">
        <f t="shared" si="122"/>
        <v>0.12369316876852983</v>
      </c>
      <c r="EI22" s="150">
        <f t="shared" si="82"/>
        <v>0.56394444170798719</v>
      </c>
      <c r="EJ22" s="150"/>
      <c r="EK22" s="456">
        <f t="shared" si="83"/>
        <v>3.0600000000000007E-4</v>
      </c>
      <c r="EL22" s="456">
        <f t="shared" si="84"/>
        <v>0.19608480000000003</v>
      </c>
      <c r="EM22" s="456">
        <f t="shared" si="85"/>
        <v>2.2950000000000002E-2</v>
      </c>
      <c r="EN22" s="456">
        <f t="shared" si="86"/>
        <v>5.2354641600000001E-2</v>
      </c>
      <c r="EO22">
        <f t="shared" si="87"/>
        <v>2.1600000000000001E-2</v>
      </c>
      <c r="EP22" s="144">
        <f t="shared" si="123"/>
        <v>44.550000000000004</v>
      </c>
      <c r="EQ22" s="456">
        <f t="shared" si="88"/>
        <v>0.29339939337893528</v>
      </c>
      <c r="ER22" s="144">
        <f t="shared" si="124"/>
        <v>293.39939337893526</v>
      </c>
      <c r="ES22" s="456">
        <f t="shared" si="125"/>
        <v>0.12673500000000001</v>
      </c>
      <c r="ET22" s="456"/>
      <c r="EV22" s="144">
        <f t="shared" si="126"/>
        <v>126.73500000000001</v>
      </c>
      <c r="EW22" s="456">
        <f t="shared" si="89"/>
        <v>4.5900000000000004E-4</v>
      </c>
      <c r="EX22" s="456">
        <f t="shared" si="90"/>
        <v>9.5409999999999991E-3</v>
      </c>
      <c r="EY22" s="456">
        <f t="shared" si="91"/>
        <v>2.28376649153379E-2</v>
      </c>
      <c r="EZ22" s="456">
        <f t="shared" si="92"/>
        <v>3.5265877617431843E-2</v>
      </c>
      <c r="FA22" s="456">
        <f t="shared" si="93"/>
        <v>1.8360000000000002E-4</v>
      </c>
      <c r="FB22" s="144">
        <f t="shared" si="127"/>
        <v>35.449477617431839</v>
      </c>
      <c r="FC22" s="150">
        <f t="shared" si="128"/>
        <v>0.45558387099636716</v>
      </c>
      <c r="FD22" s="5">
        <f t="shared" si="129"/>
        <v>1.02</v>
      </c>
      <c r="FE22" s="150">
        <f t="shared" si="130"/>
        <v>0.69125179533933201</v>
      </c>
      <c r="FF22" s="5">
        <f t="shared" si="131"/>
        <v>69.125179533933206</v>
      </c>
      <c r="FI22" s="59">
        <f t="shared" si="94"/>
        <v>-50</v>
      </c>
      <c r="FJ22">
        <f t="shared" si="95"/>
        <v>-50</v>
      </c>
      <c r="FL22">
        <f t="shared" si="96"/>
        <v>0.40800000000000003</v>
      </c>
    </row>
    <row r="23" spans="5:168">
      <c r="E23" s="147">
        <v>18</v>
      </c>
      <c r="F23" s="188">
        <f t="shared" si="97"/>
        <v>0.216</v>
      </c>
      <c r="G23" s="188"/>
      <c r="H23" s="188">
        <f t="shared" si="0"/>
        <v>1.08</v>
      </c>
      <c r="I23" s="465">
        <f t="shared" si="1"/>
        <v>47.975943738783762</v>
      </c>
      <c r="J23" s="149">
        <f t="shared" si="2"/>
        <v>5.4144337567297409</v>
      </c>
      <c r="K23" s="149">
        <f t="shared" si="3"/>
        <v>53.414433756729743</v>
      </c>
      <c r="L23" s="379"/>
      <c r="M23" s="188">
        <f t="shared" si="4"/>
        <v>0.10142169478204008</v>
      </c>
      <c r="N23" s="149">
        <f t="shared" si="5"/>
        <v>12.45645189825345</v>
      </c>
      <c r="O23" s="149">
        <f t="shared" si="98"/>
        <v>1.08</v>
      </c>
      <c r="P23" s="188">
        <f t="shared" si="6"/>
        <v>2.4912903796506898</v>
      </c>
      <c r="Q23" s="188">
        <f t="shared" si="7"/>
        <v>5</v>
      </c>
      <c r="R23" s="188">
        <f t="shared" si="8"/>
        <v>2.4329007613776268</v>
      </c>
      <c r="S23" s="149">
        <f t="shared" si="9"/>
        <v>507.33897862143755</v>
      </c>
      <c r="T23" s="149">
        <f t="shared" si="10"/>
        <v>5</v>
      </c>
      <c r="U23" s="188">
        <f t="shared" si="99"/>
        <v>0.48075943686979361</v>
      </c>
      <c r="V23" s="188">
        <f t="shared" si="11"/>
        <v>0.12025012522627611</v>
      </c>
      <c r="W23" s="188">
        <f t="shared" si="12"/>
        <v>1.0655062932974186</v>
      </c>
      <c r="X23" s="172">
        <f t="shared" si="13"/>
        <v>350</v>
      </c>
      <c r="Y23" s="379">
        <f t="shared" si="14"/>
        <v>350</v>
      </c>
      <c r="AA23" s="188">
        <f t="shared" si="15"/>
        <v>1.1584153116090465</v>
      </c>
      <c r="AB23" s="150">
        <f t="shared" si="16"/>
        <v>2.5673938151022098</v>
      </c>
      <c r="AC23" s="150">
        <f t="shared" si="17"/>
        <v>0.52046895361033396</v>
      </c>
      <c r="AD23" s="150"/>
      <c r="AE23" s="150">
        <f t="shared" si="18"/>
        <v>2.216298238958947</v>
      </c>
      <c r="AF23" s="314">
        <f t="shared" si="100"/>
        <v>194.91961524227071</v>
      </c>
      <c r="AG23" s="456">
        <f t="shared" si="19"/>
        <v>0.38785219181781572</v>
      </c>
      <c r="AI23" s="150">
        <f t="shared" si="20"/>
        <v>0.74626616324639006</v>
      </c>
      <c r="AJ23" s="150">
        <f t="shared" si="21"/>
        <v>1</v>
      </c>
      <c r="AK23" s="150">
        <f t="shared" si="22"/>
        <v>1.1113826372812976</v>
      </c>
      <c r="AM23" s="314">
        <f t="shared" si="23"/>
        <v>216</v>
      </c>
      <c r="AN23" s="144">
        <f t="shared" si="24"/>
        <v>194.91961524227071</v>
      </c>
      <c r="AP23">
        <f t="shared" si="25"/>
        <v>216</v>
      </c>
      <c r="AQ23" s="144">
        <f t="shared" si="26"/>
        <v>194.91961524227071</v>
      </c>
      <c r="AR23" s="144"/>
      <c r="AS23" s="5">
        <f t="shared" si="101"/>
        <v>5.1303199975901537</v>
      </c>
      <c r="AT23" s="5">
        <f t="shared" si="27"/>
        <v>0.25012535585202456</v>
      </c>
      <c r="AU23" s="5">
        <f t="shared" si="102"/>
        <v>4.8801946417381288</v>
      </c>
      <c r="AV23" s="5">
        <f t="shared" si="28"/>
        <v>2.216298238958947</v>
      </c>
      <c r="AW23" s="150">
        <f t="shared" si="103"/>
        <v>4.8754338125012675E-2</v>
      </c>
      <c r="AX23" s="150">
        <f t="shared" si="29"/>
        <v>1.1695176914536243</v>
      </c>
      <c r="AY23" s="150">
        <f t="shared" si="30"/>
        <v>0.47562283093749369</v>
      </c>
      <c r="AZ23" s="150">
        <f t="shared" si="104"/>
        <v>2.4589183180050544</v>
      </c>
      <c r="BA23" s="144">
        <f t="shared" si="31"/>
        <v>1.0805415372807459</v>
      </c>
      <c r="BB23" s="5">
        <f t="shared" si="32"/>
        <v>4.5774765802195992E-2</v>
      </c>
      <c r="BC23" s="5"/>
      <c r="BD23" s="150">
        <f t="shared" si="105"/>
        <v>0.12748115955571981</v>
      </c>
      <c r="BE23" s="150">
        <f t="shared" si="33"/>
        <v>0.56310024621879051</v>
      </c>
      <c r="BF23" s="150"/>
      <c r="BG23" s="456">
        <f t="shared" si="34"/>
        <v>3.2502892083341786E-4</v>
      </c>
      <c r="BH23" s="456">
        <f t="shared" si="35"/>
        <v>0.19521601642960348</v>
      </c>
      <c r="BI23" s="456">
        <f t="shared" si="36"/>
        <v>0.23378631236121392</v>
      </c>
      <c r="BJ23" s="456">
        <f t="shared" si="37"/>
        <v>5.5612549215102509E-2</v>
      </c>
      <c r="BK23">
        <f t="shared" si="38"/>
        <v>2.1589174682452691E-2</v>
      </c>
      <c r="BL23" s="144">
        <f t="shared" si="106"/>
        <v>255.3754870436666</v>
      </c>
      <c r="BM23" s="456">
        <f t="shared" si="39"/>
        <v>0.25126075645633894</v>
      </c>
      <c r="BN23" s="144">
        <f t="shared" si="107"/>
        <v>251.26075645633895</v>
      </c>
      <c r="BO23" s="456">
        <f t="shared" si="108"/>
        <v>0.13419</v>
      </c>
      <c r="BP23" s="456"/>
      <c r="BR23" s="144">
        <f t="shared" si="109"/>
        <v>134.19</v>
      </c>
      <c r="BS23" s="456">
        <f t="shared" si="40"/>
        <v>4.8754338125012674E-4</v>
      </c>
      <c r="BT23" s="456">
        <f t="shared" si="41"/>
        <v>9.5124566187498732E-3</v>
      </c>
      <c r="BU23" s="456">
        <f t="shared" si="42"/>
        <v>1.6199999999999999E-2</v>
      </c>
      <c r="BV23" s="456">
        <f t="shared" si="43"/>
        <v>2.8622898318654926E-2</v>
      </c>
      <c r="BW23" s="456">
        <f t="shared" si="44"/>
        <v>1.9491961524227073E-4</v>
      </c>
      <c r="BX23" s="144">
        <f t="shared" si="110"/>
        <v>28.817817933897199</v>
      </c>
      <c r="BY23" s="150">
        <f t="shared" si="45"/>
        <v>0.66964406143390276</v>
      </c>
      <c r="BZ23" s="5">
        <f t="shared" si="111"/>
        <v>1.08</v>
      </c>
      <c r="CA23" s="150">
        <f t="shared" si="112"/>
        <v>0.61726840550351547</v>
      </c>
      <c r="CB23" s="5">
        <f t="shared" si="113"/>
        <v>61.726840550351547</v>
      </c>
      <c r="CE23" s="59">
        <f t="shared" si="46"/>
        <v>-50</v>
      </c>
      <c r="CF23">
        <f t="shared" si="47"/>
        <v>-50</v>
      </c>
      <c r="CG23" s="150">
        <f t="shared" si="48"/>
        <v>0.44894756932185303</v>
      </c>
      <c r="CI23" s="147">
        <v>18</v>
      </c>
      <c r="CJ23" s="188">
        <f t="shared" si="114"/>
        <v>0.216</v>
      </c>
      <c r="CK23" s="188"/>
      <c r="CL23" s="188">
        <f t="shared" si="49"/>
        <v>1.08</v>
      </c>
      <c r="CM23" s="465">
        <f t="shared" si="50"/>
        <v>48</v>
      </c>
      <c r="CN23" s="149">
        <f t="shared" si="51"/>
        <v>5.4</v>
      </c>
      <c r="CO23" s="379">
        <f t="shared" si="52"/>
        <v>53.4</v>
      </c>
      <c r="CP23" s="379"/>
      <c r="CQ23" s="188">
        <f t="shared" si="53"/>
        <v>0.10112359550561799</v>
      </c>
      <c r="CR23" s="149">
        <f t="shared" si="54"/>
        <v>12.426067415730339</v>
      </c>
      <c r="CS23" s="149">
        <f t="shared" si="115"/>
        <v>1.08</v>
      </c>
      <c r="CT23" s="188">
        <f t="shared" si="55"/>
        <v>2.4852134831460679</v>
      </c>
      <c r="CU23" s="188">
        <f t="shared" si="56"/>
        <v>5</v>
      </c>
      <c r="CV23" s="188">
        <f t="shared" si="57"/>
        <v>2.4269662921348316</v>
      </c>
      <c r="CW23" s="149">
        <f t="shared" si="58"/>
        <v>507.59335132581498</v>
      </c>
      <c r="CX23" s="149">
        <f t="shared" si="59"/>
        <v>5</v>
      </c>
      <c r="CY23" s="188">
        <f t="shared" si="60"/>
        <v>0.44500000000000001</v>
      </c>
      <c r="CZ23" s="188">
        <f t="shared" si="61"/>
        <v>0.11125</v>
      </c>
      <c r="DA23" s="188">
        <f t="shared" si="62"/>
        <v>0.98888888888888893</v>
      </c>
      <c r="DB23" s="172">
        <f t="shared" si="63"/>
        <v>350</v>
      </c>
      <c r="DC23" s="379">
        <f t="shared" si="116"/>
        <v>350</v>
      </c>
      <c r="DE23" s="188">
        <f t="shared" si="64"/>
        <v>1.1556982343499198</v>
      </c>
      <c r="DF23" s="150">
        <f t="shared" si="65"/>
        <v>2.5682182985553772</v>
      </c>
      <c r="DG23" s="150">
        <f t="shared" si="66"/>
        <v>0.51941493678648076</v>
      </c>
      <c r="DH23" s="150"/>
      <c r="DI23" s="150">
        <f t="shared" si="67"/>
        <v>2.2222222222222219</v>
      </c>
      <c r="DJ23" s="314">
        <f t="shared" si="117"/>
        <v>194.4</v>
      </c>
      <c r="DK23" s="456">
        <f t="shared" si="68"/>
        <v>0.38888888888888884</v>
      </c>
      <c r="DM23" s="150">
        <f t="shared" si="69"/>
        <v>0.74527080408974256</v>
      </c>
      <c r="DN23" s="150">
        <f t="shared" si="70"/>
        <v>1</v>
      </c>
      <c r="DO23" s="150">
        <f t="shared" si="71"/>
        <v>1.1110857142857142</v>
      </c>
      <c r="DQ23" s="314">
        <f t="shared" si="72"/>
        <v>216</v>
      </c>
      <c r="DR23" s="144">
        <f t="shared" si="73"/>
        <v>194.4</v>
      </c>
      <c r="DT23">
        <f t="shared" si="74"/>
        <v>216</v>
      </c>
      <c r="DU23" s="144">
        <f t="shared" si="75"/>
        <v>194.4</v>
      </c>
      <c r="DV23" s="144"/>
      <c r="DW23" s="5">
        <f t="shared" si="118"/>
        <v>5.1440329218106999</v>
      </c>
      <c r="DX23" s="5">
        <f t="shared" si="76"/>
        <v>0.25</v>
      </c>
      <c r="DY23" s="5">
        <f t="shared" si="119"/>
        <v>4.8940329218106999</v>
      </c>
      <c r="DZ23" s="5">
        <f t="shared" si="77"/>
        <v>2.2222222222222219</v>
      </c>
      <c r="EA23" s="150">
        <f t="shared" si="120"/>
        <v>4.8599999999999997E-2</v>
      </c>
      <c r="EB23" s="150">
        <f t="shared" si="78"/>
        <v>1.1664000000000001</v>
      </c>
      <c r="EC23" s="150">
        <f t="shared" si="79"/>
        <v>0.47570000000000001</v>
      </c>
      <c r="ED23" s="150">
        <f t="shared" si="121"/>
        <v>2.451965524490225</v>
      </c>
      <c r="EE23" s="144">
        <f t="shared" si="80"/>
        <v>1.08</v>
      </c>
      <c r="EF23" s="5">
        <f t="shared" si="81"/>
        <v>4.5881558641975309E-2</v>
      </c>
      <c r="EG23" s="5"/>
      <c r="EH23" s="150">
        <f t="shared" si="122"/>
        <v>0.12727922061357855</v>
      </c>
      <c r="EI23" s="150">
        <f t="shared" si="82"/>
        <v>0.56314592543437025</v>
      </c>
      <c r="EJ23" s="150"/>
      <c r="EK23" s="456">
        <f t="shared" si="83"/>
        <v>3.2400000000000001E-4</v>
      </c>
      <c r="EL23" s="456">
        <f t="shared" si="84"/>
        <v>0.2076192</v>
      </c>
      <c r="EM23" s="456">
        <f t="shared" si="85"/>
        <v>2.4300000000000002E-2</v>
      </c>
      <c r="EN23" s="456">
        <f t="shared" si="86"/>
        <v>5.5434326399999997E-2</v>
      </c>
      <c r="EO23">
        <f t="shared" si="87"/>
        <v>2.1600000000000001E-2</v>
      </c>
      <c r="EP23" s="144">
        <f t="shared" si="123"/>
        <v>45.900000000000006</v>
      </c>
      <c r="EQ23" s="456">
        <f t="shared" si="88"/>
        <v>0.30938882389419659</v>
      </c>
      <c r="ER23" s="144">
        <f t="shared" si="124"/>
        <v>309.38882389419661</v>
      </c>
      <c r="ES23" s="456">
        <f t="shared" si="125"/>
        <v>0.13419</v>
      </c>
      <c r="ET23" s="456"/>
      <c r="EV23" s="144">
        <f t="shared" si="126"/>
        <v>134.19</v>
      </c>
      <c r="EW23" s="456">
        <f t="shared" si="89"/>
        <v>4.8599999999999994E-4</v>
      </c>
      <c r="EX23" s="456">
        <f t="shared" si="90"/>
        <v>9.5139999999999999E-3</v>
      </c>
      <c r="EY23" s="456">
        <f t="shared" si="91"/>
        <v>2.6345755423895226E-2</v>
      </c>
      <c r="EZ23" s="456">
        <f t="shared" si="92"/>
        <v>3.8776776845371522E-2</v>
      </c>
      <c r="FA23" s="456">
        <f t="shared" si="93"/>
        <v>1.9440000000000001E-4</v>
      </c>
      <c r="FB23" s="144">
        <f t="shared" si="127"/>
        <v>38.971176845371517</v>
      </c>
      <c r="FC23" s="150">
        <f t="shared" si="128"/>
        <v>0.48255000073956805</v>
      </c>
      <c r="FD23" s="5">
        <f t="shared" si="129"/>
        <v>1.08</v>
      </c>
      <c r="FE23" s="150">
        <f t="shared" si="130"/>
        <v>0.69117788198062591</v>
      </c>
      <c r="FF23" s="5">
        <f t="shared" si="131"/>
        <v>69.117788198062584</v>
      </c>
      <c r="FI23" s="59">
        <f t="shared" si="94"/>
        <v>-50</v>
      </c>
      <c r="FJ23">
        <f t="shared" si="95"/>
        <v>-50</v>
      </c>
      <c r="FL23">
        <f t="shared" si="96"/>
        <v>0.432</v>
      </c>
    </row>
    <row r="24" spans="5:168">
      <c r="E24" s="147">
        <v>19</v>
      </c>
      <c r="F24" s="188">
        <f t="shared" si="97"/>
        <v>0.22799999999999998</v>
      </c>
      <c r="G24" s="188"/>
      <c r="H24" s="188">
        <f t="shared" si="0"/>
        <v>1.1399999999999999</v>
      </c>
      <c r="I24" s="465">
        <f t="shared" si="1"/>
        <v>47.975943738783762</v>
      </c>
      <c r="J24" s="149">
        <f t="shared" si="2"/>
        <v>5.4144337567297409</v>
      </c>
      <c r="K24" s="149">
        <f t="shared" si="3"/>
        <v>53.414433756729743</v>
      </c>
      <c r="L24" s="379"/>
      <c r="M24" s="188">
        <f t="shared" si="4"/>
        <v>0.10142169478204008</v>
      </c>
      <c r="N24" s="149">
        <f t="shared" si="5"/>
        <v>12.45645189825345</v>
      </c>
      <c r="O24" s="149">
        <f t="shared" si="98"/>
        <v>1.1399999999999999</v>
      </c>
      <c r="P24" s="188">
        <f t="shared" si="6"/>
        <v>2.4912903796506898</v>
      </c>
      <c r="Q24" s="188">
        <f t="shared" si="7"/>
        <v>5</v>
      </c>
      <c r="R24" s="188">
        <f t="shared" si="8"/>
        <v>2.4329007613776268</v>
      </c>
      <c r="S24" s="149">
        <f t="shared" si="9"/>
        <v>478.11617486734104</v>
      </c>
      <c r="T24" s="149">
        <f t="shared" si="10"/>
        <v>5</v>
      </c>
      <c r="U24" s="188">
        <f t="shared" si="99"/>
        <v>0.50746829447367092</v>
      </c>
      <c r="V24" s="188">
        <f t="shared" si="11"/>
        <v>0.12693068773884694</v>
      </c>
      <c r="W24" s="188">
        <f t="shared" si="12"/>
        <v>1.1247010873694971</v>
      </c>
      <c r="X24" s="172">
        <f t="shared" si="13"/>
        <v>350</v>
      </c>
      <c r="Y24" s="379">
        <f t="shared" si="14"/>
        <v>350</v>
      </c>
      <c r="AA24" s="188">
        <f t="shared" si="15"/>
        <v>1.1584153116090465</v>
      </c>
      <c r="AB24" s="150">
        <f t="shared" si="16"/>
        <v>2.5673938151022098</v>
      </c>
      <c r="AC24" s="150">
        <f t="shared" si="17"/>
        <v>0.52046895361033396</v>
      </c>
      <c r="AD24" s="150"/>
      <c r="AE24" s="150">
        <f t="shared" si="18"/>
        <v>2.216298238958947</v>
      </c>
      <c r="AF24" s="314">
        <f t="shared" si="100"/>
        <v>205.74848275573015</v>
      </c>
      <c r="AG24" s="456">
        <f t="shared" si="19"/>
        <v>0.38785219181781572</v>
      </c>
      <c r="AI24" s="150">
        <f t="shared" si="20"/>
        <v>0.7667155977763298</v>
      </c>
      <c r="AJ24" s="150">
        <f t="shared" si="21"/>
        <v>1</v>
      </c>
      <c r="AK24" s="150">
        <f t="shared" si="22"/>
        <v>1.1175705615747029</v>
      </c>
      <c r="AM24" s="314">
        <f t="shared" si="23"/>
        <v>227.99999999999997</v>
      </c>
      <c r="AN24" s="144">
        <f t="shared" si="24"/>
        <v>205.74848275573015</v>
      </c>
      <c r="AP24">
        <f t="shared" si="25"/>
        <v>227.99999999999997</v>
      </c>
      <c r="AQ24" s="144">
        <f t="shared" si="26"/>
        <v>205.74848275573015</v>
      </c>
      <c r="AR24" s="144"/>
      <c r="AS24" s="5">
        <f t="shared" si="101"/>
        <v>4.8603031556117253</v>
      </c>
      <c r="AT24" s="5">
        <f t="shared" si="27"/>
        <v>0.25012535585202456</v>
      </c>
      <c r="AU24" s="5">
        <f t="shared" si="102"/>
        <v>4.6101777997597004</v>
      </c>
      <c r="AV24" s="5">
        <f t="shared" si="28"/>
        <v>2.216298238958947</v>
      </c>
      <c r="AW24" s="150">
        <f t="shared" si="103"/>
        <v>5.1462912465291145E-2</v>
      </c>
      <c r="AX24" s="150">
        <f t="shared" si="29"/>
        <v>1.234490896534381</v>
      </c>
      <c r="AY24" s="150">
        <f t="shared" si="30"/>
        <v>0.47426854376735444</v>
      </c>
      <c r="AZ24" s="150">
        <f t="shared" si="104"/>
        <v>2.6029364855788173</v>
      </c>
      <c r="BA24" s="144">
        <f t="shared" si="31"/>
        <v>1.1405716226852318</v>
      </c>
      <c r="BB24" s="5">
        <f t="shared" si="32"/>
        <v>4.5644426857112445E-2</v>
      </c>
      <c r="BC24" s="5"/>
      <c r="BD24" s="150">
        <f t="shared" si="105"/>
        <v>0.1309744408466669</v>
      </c>
      <c r="BE24" s="150">
        <f t="shared" si="33"/>
        <v>0.5622979896622754</v>
      </c>
      <c r="BF24" s="150"/>
      <c r="BG24" s="456">
        <f t="shared" si="34"/>
        <v>3.4308608310194095E-4</v>
      </c>
      <c r="BH24" s="456">
        <f t="shared" si="35"/>
        <v>0.20606135067569248</v>
      </c>
      <c r="BI24" s="456">
        <f t="shared" si="36"/>
        <v>0.24677444082572575</v>
      </c>
      <c r="BJ24" s="456">
        <f t="shared" si="37"/>
        <v>5.8702135282608189E-2</v>
      </c>
      <c r="BK24">
        <f t="shared" si="38"/>
        <v>2.1589174682452691E-2</v>
      </c>
      <c r="BL24" s="144">
        <f t="shared" si="106"/>
        <v>268.36361550817844</v>
      </c>
      <c r="BM24" s="456">
        <f t="shared" si="39"/>
        <v>0.26522082535705316</v>
      </c>
      <c r="BN24" s="144">
        <f t="shared" si="107"/>
        <v>265.22082535705317</v>
      </c>
      <c r="BO24" s="456">
        <f t="shared" si="108"/>
        <v>0.14164499999999997</v>
      </c>
      <c r="BP24" s="456"/>
      <c r="BR24" s="144">
        <f t="shared" si="109"/>
        <v>141.64499999999995</v>
      </c>
      <c r="BS24" s="456">
        <f t="shared" si="40"/>
        <v>5.1462912465291143E-4</v>
      </c>
      <c r="BT24" s="456">
        <f t="shared" si="41"/>
        <v>9.4853708753470916E-3</v>
      </c>
      <c r="BU24" s="456">
        <f t="shared" si="42"/>
        <v>1.7099999999999997E-2</v>
      </c>
      <c r="BV24" s="456">
        <f t="shared" si="43"/>
        <v>2.9523618895116094E-2</v>
      </c>
      <c r="BW24" s="456">
        <f t="shared" si="44"/>
        <v>2.0574848275573015E-4</v>
      </c>
      <c r="BX24" s="144">
        <f t="shared" si="110"/>
        <v>29.729367377871824</v>
      </c>
      <c r="BY24" s="150">
        <f t="shared" si="45"/>
        <v>0.70495880824310331</v>
      </c>
      <c r="BZ24" s="5">
        <f t="shared" si="111"/>
        <v>1.1399999999999999</v>
      </c>
      <c r="CA24" s="150">
        <f t="shared" si="112"/>
        <v>0.6178999741926956</v>
      </c>
      <c r="CB24" s="5">
        <f t="shared" si="113"/>
        <v>61.789997419269561</v>
      </c>
      <c r="CE24" s="59">
        <f t="shared" si="46"/>
        <v>-50</v>
      </c>
      <c r="CF24">
        <f t="shared" si="47"/>
        <v>-50</v>
      </c>
      <c r="CG24" s="150">
        <f t="shared" si="48"/>
        <v>0.4738891009508448</v>
      </c>
      <c r="CI24" s="147">
        <v>19</v>
      </c>
      <c r="CJ24" s="188">
        <f t="shared" si="114"/>
        <v>0.22799999999999998</v>
      </c>
      <c r="CK24" s="188"/>
      <c r="CL24" s="188">
        <f t="shared" si="49"/>
        <v>1.1399999999999999</v>
      </c>
      <c r="CM24" s="465">
        <f t="shared" si="50"/>
        <v>48</v>
      </c>
      <c r="CN24" s="149">
        <f t="shared" si="51"/>
        <v>5.4</v>
      </c>
      <c r="CO24" s="379">
        <f t="shared" si="52"/>
        <v>53.4</v>
      </c>
      <c r="CP24" s="379"/>
      <c r="CQ24" s="188">
        <f t="shared" si="53"/>
        <v>0.10112359550561799</v>
      </c>
      <c r="CR24" s="149">
        <f t="shared" si="54"/>
        <v>12.426067415730339</v>
      </c>
      <c r="CS24" s="149">
        <f t="shared" si="115"/>
        <v>1.1399999999999999</v>
      </c>
      <c r="CT24" s="188">
        <f t="shared" si="55"/>
        <v>2.4852134831460679</v>
      </c>
      <c r="CU24" s="188">
        <f t="shared" si="56"/>
        <v>5</v>
      </c>
      <c r="CV24" s="188">
        <f t="shared" si="57"/>
        <v>2.4269662921348316</v>
      </c>
      <c r="CW24" s="149">
        <f t="shared" si="58"/>
        <v>478.35589341864647</v>
      </c>
      <c r="CX24" s="149">
        <f t="shared" si="59"/>
        <v>5</v>
      </c>
      <c r="CY24" s="188">
        <f t="shared" si="60"/>
        <v>0.46972222222222215</v>
      </c>
      <c r="CZ24" s="188">
        <f t="shared" si="61"/>
        <v>0.11743055555555554</v>
      </c>
      <c r="DA24" s="188">
        <f t="shared" si="62"/>
        <v>1.0438271604938272</v>
      </c>
      <c r="DB24" s="172">
        <f t="shared" si="63"/>
        <v>350</v>
      </c>
      <c r="DC24" s="379">
        <f t="shared" si="116"/>
        <v>350</v>
      </c>
      <c r="DE24" s="188">
        <f t="shared" si="64"/>
        <v>1.1556982343499198</v>
      </c>
      <c r="DF24" s="150">
        <f t="shared" si="65"/>
        <v>2.5682182985553772</v>
      </c>
      <c r="DG24" s="150">
        <f t="shared" si="66"/>
        <v>0.51941493678648076</v>
      </c>
      <c r="DH24" s="150"/>
      <c r="DI24" s="150">
        <f t="shared" si="67"/>
        <v>2.2222222222222219</v>
      </c>
      <c r="DJ24" s="314">
        <f t="shared" si="117"/>
        <v>205.2</v>
      </c>
      <c r="DK24" s="456">
        <f t="shared" si="68"/>
        <v>0.38888888888888884</v>
      </c>
      <c r="DM24" s="150">
        <f t="shared" si="69"/>
        <v>0.76569296345579296</v>
      </c>
      <c r="DN24" s="150">
        <f t="shared" si="70"/>
        <v>1</v>
      </c>
      <c r="DO24" s="150">
        <f t="shared" si="71"/>
        <v>1.1172571428571429</v>
      </c>
      <c r="DQ24" s="314">
        <f t="shared" si="72"/>
        <v>227.99999999999997</v>
      </c>
      <c r="DR24" s="144">
        <f t="shared" si="73"/>
        <v>205.2</v>
      </c>
      <c r="DT24">
        <f t="shared" si="74"/>
        <v>227.99999999999997</v>
      </c>
      <c r="DU24" s="144">
        <f t="shared" si="75"/>
        <v>205.2</v>
      </c>
      <c r="DV24" s="144"/>
      <c r="DW24" s="5">
        <f t="shared" si="118"/>
        <v>4.8732943469785583</v>
      </c>
      <c r="DX24" s="5">
        <f t="shared" si="76"/>
        <v>0.25</v>
      </c>
      <c r="DY24" s="5">
        <f t="shared" si="119"/>
        <v>4.6232943469785583</v>
      </c>
      <c r="DZ24" s="5">
        <f t="shared" si="77"/>
        <v>2.2222222222222219</v>
      </c>
      <c r="EA24" s="150">
        <f t="shared" si="120"/>
        <v>5.1299999999999991E-2</v>
      </c>
      <c r="EB24" s="150">
        <f t="shared" si="78"/>
        <v>1.2312000000000001</v>
      </c>
      <c r="EC24" s="150">
        <f t="shared" si="79"/>
        <v>0.47434999999999999</v>
      </c>
      <c r="ED24" s="150">
        <f t="shared" si="121"/>
        <v>2.5955518077369035</v>
      </c>
      <c r="EE24" s="144">
        <f t="shared" si="80"/>
        <v>1.1399999999999999</v>
      </c>
      <c r="EF24" s="5">
        <f t="shared" si="81"/>
        <v>4.5751350308641969E-2</v>
      </c>
      <c r="EG24" s="5"/>
      <c r="EH24" s="150">
        <f t="shared" si="122"/>
        <v>0.1307669683062202</v>
      </c>
      <c r="EI24" s="150">
        <f t="shared" si="82"/>
        <v>0.56234627529070846</v>
      </c>
      <c r="EJ24" s="150"/>
      <c r="EK24" s="456">
        <f t="shared" si="83"/>
        <v>3.4199999999999996E-4</v>
      </c>
      <c r="EL24" s="456">
        <f t="shared" si="84"/>
        <v>0.21915359999999998</v>
      </c>
      <c r="EM24" s="456">
        <f t="shared" si="85"/>
        <v>2.5649999999999996E-2</v>
      </c>
      <c r="EN24" s="456">
        <f t="shared" si="86"/>
        <v>5.8514011199999993E-2</v>
      </c>
      <c r="EO24">
        <f t="shared" si="87"/>
        <v>2.1600000000000001E-2</v>
      </c>
      <c r="EP24" s="144">
        <f t="shared" si="123"/>
        <v>47.25</v>
      </c>
      <c r="EQ24" s="456">
        <f t="shared" si="88"/>
        <v>0.32537839118776518</v>
      </c>
      <c r="ER24" s="144">
        <f t="shared" si="124"/>
        <v>325.3783911877652</v>
      </c>
      <c r="ES24" s="456">
        <f t="shared" si="125"/>
        <v>0.14164499999999997</v>
      </c>
      <c r="ET24" s="456"/>
      <c r="EV24" s="144">
        <f t="shared" si="126"/>
        <v>141.64499999999995</v>
      </c>
      <c r="EW24" s="456">
        <f t="shared" si="89"/>
        <v>5.1299999999999989E-4</v>
      </c>
      <c r="EX24" s="456">
        <f t="shared" si="90"/>
        <v>9.4869999999999972E-3</v>
      </c>
      <c r="EY24" s="456">
        <f t="shared" si="91"/>
        <v>3.0158754042717027E-2</v>
      </c>
      <c r="EZ24" s="456">
        <f t="shared" si="92"/>
        <v>4.2592828305361312E-2</v>
      </c>
      <c r="FA24" s="456">
        <f t="shared" si="93"/>
        <v>2.052E-4</v>
      </c>
      <c r="FB24" s="144">
        <f t="shared" si="127"/>
        <v>42.798028305361314</v>
      </c>
      <c r="FC24" s="150">
        <f t="shared" si="128"/>
        <v>0.50982141949312643</v>
      </c>
      <c r="FD24" s="5">
        <f t="shared" si="129"/>
        <v>1.1399999999999999</v>
      </c>
      <c r="FE24" s="150">
        <f t="shared" si="130"/>
        <v>0.69098387651570281</v>
      </c>
      <c r="FF24" s="5">
        <f t="shared" si="131"/>
        <v>69.098387651570278</v>
      </c>
      <c r="FI24" s="59">
        <f t="shared" si="94"/>
        <v>-50</v>
      </c>
      <c r="FJ24">
        <f t="shared" si="95"/>
        <v>-50</v>
      </c>
      <c r="FL24">
        <f t="shared" si="96"/>
        <v>0.45600000000000002</v>
      </c>
    </row>
    <row r="25" spans="5:168">
      <c r="E25" s="147">
        <v>20</v>
      </c>
      <c r="F25" s="188">
        <f t="shared" si="97"/>
        <v>0.24</v>
      </c>
      <c r="G25" s="188"/>
      <c r="H25" s="188">
        <f t="shared" si="0"/>
        <v>1.2</v>
      </c>
      <c r="I25" s="465">
        <f t="shared" si="1"/>
        <v>47.975943738783762</v>
      </c>
      <c r="J25" s="149">
        <f t="shared" si="2"/>
        <v>5.4144337567297409</v>
      </c>
      <c r="K25" s="149">
        <f t="shared" si="3"/>
        <v>53.414433756729743</v>
      </c>
      <c r="L25" s="379"/>
      <c r="M25" s="188">
        <f t="shared" si="4"/>
        <v>0.10142169478204008</v>
      </c>
      <c r="N25" s="149">
        <f t="shared" si="5"/>
        <v>12.45645189825345</v>
      </c>
      <c r="O25" s="149">
        <f t="shared" si="98"/>
        <v>1.2</v>
      </c>
      <c r="P25" s="188">
        <f t="shared" si="6"/>
        <v>2.4912903796506898</v>
      </c>
      <c r="Q25" s="188">
        <f t="shared" si="7"/>
        <v>5</v>
      </c>
      <c r="R25" s="188">
        <f t="shared" si="8"/>
        <v>2.4329007613776268</v>
      </c>
      <c r="S25" s="149">
        <f t="shared" si="9"/>
        <v>451.8159065237341</v>
      </c>
      <c r="T25" s="149">
        <f t="shared" si="10"/>
        <v>5</v>
      </c>
      <c r="U25" s="188">
        <f t="shared" si="99"/>
        <v>0.53417715207754846</v>
      </c>
      <c r="V25" s="188">
        <f t="shared" si="11"/>
        <v>0.13361125025141785</v>
      </c>
      <c r="W25" s="188">
        <f t="shared" si="12"/>
        <v>1.1838958814415763</v>
      </c>
      <c r="X25" s="172">
        <f t="shared" si="13"/>
        <v>350</v>
      </c>
      <c r="Y25" s="379">
        <f t="shared" si="14"/>
        <v>350</v>
      </c>
      <c r="AA25" s="188">
        <f t="shared" si="15"/>
        <v>1.1584153116090465</v>
      </c>
      <c r="AB25" s="150">
        <f t="shared" si="16"/>
        <v>2.5673938151022098</v>
      </c>
      <c r="AC25" s="150">
        <f t="shared" si="17"/>
        <v>0.52046895361033396</v>
      </c>
      <c r="AD25" s="150"/>
      <c r="AE25" s="150">
        <f t="shared" si="18"/>
        <v>2.216298238958947</v>
      </c>
      <c r="AF25" s="314">
        <f t="shared" si="100"/>
        <v>216.57735026918962</v>
      </c>
      <c r="AG25" s="456">
        <f t="shared" si="19"/>
        <v>0.38785219181781572</v>
      </c>
      <c r="AI25" s="150">
        <f t="shared" si="20"/>
        <v>0.78663360552454276</v>
      </c>
      <c r="AJ25" s="150">
        <f t="shared" si="21"/>
        <v>1</v>
      </c>
      <c r="AK25" s="150">
        <f t="shared" si="22"/>
        <v>1.1237584858681084</v>
      </c>
      <c r="AM25" s="314">
        <f t="shared" si="23"/>
        <v>240</v>
      </c>
      <c r="AN25" s="144">
        <f t="shared" si="24"/>
        <v>216.57735026918962</v>
      </c>
      <c r="AP25">
        <f t="shared" si="25"/>
        <v>240</v>
      </c>
      <c r="AQ25" s="144">
        <f t="shared" si="26"/>
        <v>216.57735026918962</v>
      </c>
      <c r="AR25" s="144"/>
      <c r="AS25" s="5">
        <f t="shared" si="101"/>
        <v>4.6172879978311396</v>
      </c>
      <c r="AT25" s="5">
        <f t="shared" si="27"/>
        <v>0.25012535585202456</v>
      </c>
      <c r="AU25" s="5">
        <f t="shared" si="102"/>
        <v>4.3671626419791147</v>
      </c>
      <c r="AV25" s="5">
        <f t="shared" si="28"/>
        <v>2.216298238958947</v>
      </c>
      <c r="AW25" s="150">
        <f t="shared" si="103"/>
        <v>5.4171486805569623E-2</v>
      </c>
      <c r="AX25" s="150">
        <f t="shared" si="29"/>
        <v>1.2994641016151378</v>
      </c>
      <c r="AY25" s="150">
        <f t="shared" si="30"/>
        <v>0.4729142565972152</v>
      </c>
      <c r="AZ25" s="150">
        <f t="shared" si="104"/>
        <v>2.7477795043973514</v>
      </c>
      <c r="BA25" s="144">
        <f t="shared" si="31"/>
        <v>1.2006017080897178</v>
      </c>
      <c r="BB25" s="5">
        <f t="shared" si="32"/>
        <v>4.5514087912028905E-2</v>
      </c>
      <c r="BC25" s="5"/>
      <c r="BD25" s="150">
        <f t="shared" si="105"/>
        <v>0.1343769409851378</v>
      </c>
      <c r="BE25" s="150">
        <f t="shared" si="33"/>
        <v>0.56149458685263398</v>
      </c>
      <c r="BF25" s="150"/>
      <c r="BG25" s="456">
        <f t="shared" si="34"/>
        <v>3.611432453704642E-4</v>
      </c>
      <c r="BH25" s="456">
        <f t="shared" si="35"/>
        <v>0.21690668492178156</v>
      </c>
      <c r="BI25" s="456">
        <f t="shared" si="36"/>
        <v>0.25976256929023767</v>
      </c>
      <c r="BJ25" s="456">
        <f t="shared" si="37"/>
        <v>6.1791721350113883E-2</v>
      </c>
      <c r="BK25">
        <f t="shared" si="38"/>
        <v>2.1589174682452691E-2</v>
      </c>
      <c r="BL25" s="144">
        <f t="shared" si="106"/>
        <v>281.35174397269037</v>
      </c>
      <c r="BM25" s="456">
        <f t="shared" si="39"/>
        <v>0.27918101405609691</v>
      </c>
      <c r="BN25" s="144">
        <f t="shared" si="107"/>
        <v>279.1810140560969</v>
      </c>
      <c r="BO25" s="456">
        <f t="shared" si="108"/>
        <v>0.14909999999999998</v>
      </c>
      <c r="BP25" s="456"/>
      <c r="BR25" s="144">
        <f t="shared" si="109"/>
        <v>149.1</v>
      </c>
      <c r="BS25" s="456">
        <f t="shared" si="40"/>
        <v>5.4171486805569622E-4</v>
      </c>
      <c r="BT25" s="456">
        <f t="shared" si="41"/>
        <v>9.4582851319443047E-3</v>
      </c>
      <c r="BU25" s="456">
        <f t="shared" si="42"/>
        <v>1.7999999999999999E-2</v>
      </c>
      <c r="BV25" s="456">
        <f t="shared" si="43"/>
        <v>3.0424339471577258E-2</v>
      </c>
      <c r="BW25" s="456">
        <f t="shared" si="44"/>
        <v>2.1657735026918963E-4</v>
      </c>
      <c r="BX25" s="144">
        <f t="shared" si="110"/>
        <v>30.640916821846449</v>
      </c>
      <c r="BY25" s="150">
        <f t="shared" si="45"/>
        <v>0.74027367485063367</v>
      </c>
      <c r="BZ25" s="5">
        <f t="shared" si="111"/>
        <v>1.2</v>
      </c>
      <c r="CA25" s="150">
        <f t="shared" si="112"/>
        <v>0.61846945384773033</v>
      </c>
      <c r="CB25" s="5">
        <f t="shared" si="113"/>
        <v>61.846945384773036</v>
      </c>
      <c r="CE25" s="59">
        <f t="shared" si="46"/>
        <v>-50</v>
      </c>
      <c r="CF25">
        <f t="shared" si="47"/>
        <v>-50</v>
      </c>
      <c r="CG25" s="150">
        <f t="shared" si="48"/>
        <v>0.49883063257983667</v>
      </c>
      <c r="CI25" s="147">
        <v>20</v>
      </c>
      <c r="CJ25" s="188">
        <f t="shared" si="114"/>
        <v>0.24</v>
      </c>
      <c r="CK25" s="188"/>
      <c r="CL25" s="188">
        <f t="shared" si="49"/>
        <v>1.2</v>
      </c>
      <c r="CM25" s="465">
        <f t="shared" si="50"/>
        <v>48</v>
      </c>
      <c r="CN25" s="149">
        <f t="shared" si="51"/>
        <v>5.4</v>
      </c>
      <c r="CO25" s="379">
        <f t="shared" si="52"/>
        <v>53.4</v>
      </c>
      <c r="CP25" s="379"/>
      <c r="CQ25" s="188">
        <f t="shared" si="53"/>
        <v>0.10112359550561799</v>
      </c>
      <c r="CR25" s="149">
        <f t="shared" si="54"/>
        <v>12.426067415730339</v>
      </c>
      <c r="CS25" s="149">
        <f t="shared" si="115"/>
        <v>1.2</v>
      </c>
      <c r="CT25" s="188">
        <f t="shared" si="55"/>
        <v>2.4852134831460679</v>
      </c>
      <c r="CU25" s="188">
        <f t="shared" si="56"/>
        <v>5</v>
      </c>
      <c r="CV25" s="188">
        <f t="shared" si="57"/>
        <v>2.4269662921348316</v>
      </c>
      <c r="CW25" s="149">
        <f t="shared" si="58"/>
        <v>452.04243633765975</v>
      </c>
      <c r="CX25" s="149">
        <f t="shared" si="59"/>
        <v>5</v>
      </c>
      <c r="CY25" s="188">
        <f t="shared" si="60"/>
        <v>0.49444444444444441</v>
      </c>
      <c r="CZ25" s="188">
        <f t="shared" si="61"/>
        <v>0.12361111111111109</v>
      </c>
      <c r="DA25" s="188">
        <f t="shared" si="62"/>
        <v>1.0987654320987652</v>
      </c>
      <c r="DB25" s="172">
        <f t="shared" si="63"/>
        <v>350</v>
      </c>
      <c r="DC25" s="379">
        <f t="shared" si="116"/>
        <v>350</v>
      </c>
      <c r="DE25" s="188">
        <f t="shared" si="64"/>
        <v>1.1556982343499198</v>
      </c>
      <c r="DF25" s="150">
        <f t="shared" si="65"/>
        <v>2.5682182985553772</v>
      </c>
      <c r="DG25" s="150">
        <f t="shared" si="66"/>
        <v>0.51941493678648076</v>
      </c>
      <c r="DH25" s="150"/>
      <c r="DI25" s="150">
        <f t="shared" si="67"/>
        <v>2.2222222222222219</v>
      </c>
      <c r="DJ25" s="314">
        <f t="shared" si="117"/>
        <v>216</v>
      </c>
      <c r="DK25" s="456">
        <f t="shared" si="68"/>
        <v>0.38888888888888884</v>
      </c>
      <c r="DM25" s="150">
        <f t="shared" si="69"/>
        <v>0.78558440484957259</v>
      </c>
      <c r="DN25" s="150">
        <f t="shared" si="70"/>
        <v>1</v>
      </c>
      <c r="DO25" s="150">
        <f t="shared" si="71"/>
        <v>1.1234285714285714</v>
      </c>
      <c r="DQ25" s="314">
        <f t="shared" si="72"/>
        <v>240</v>
      </c>
      <c r="DR25" s="144">
        <f t="shared" si="73"/>
        <v>216</v>
      </c>
      <c r="DT25">
        <f t="shared" si="74"/>
        <v>240</v>
      </c>
      <c r="DU25" s="144">
        <f t="shared" si="75"/>
        <v>216</v>
      </c>
      <c r="DV25" s="144"/>
      <c r="DW25" s="5">
        <f t="shared" si="118"/>
        <v>4.6296296296296298</v>
      </c>
      <c r="DX25" s="5">
        <f t="shared" si="76"/>
        <v>0.25</v>
      </c>
      <c r="DY25" s="5">
        <f t="shared" si="119"/>
        <v>4.3796296296296298</v>
      </c>
      <c r="DZ25" s="5">
        <f t="shared" si="77"/>
        <v>2.2222222222222219</v>
      </c>
      <c r="EA25" s="150">
        <f t="shared" si="120"/>
        <v>5.3999999999999999E-2</v>
      </c>
      <c r="EB25" s="150">
        <f t="shared" si="78"/>
        <v>1.296</v>
      </c>
      <c r="EC25" s="150">
        <f t="shared" si="79"/>
        <v>0.47299999999999998</v>
      </c>
      <c r="ED25" s="150">
        <f t="shared" si="121"/>
        <v>2.7399577167019031</v>
      </c>
      <c r="EE25" s="144">
        <f t="shared" si="80"/>
        <v>1.2</v>
      </c>
      <c r="EF25" s="5">
        <f t="shared" si="81"/>
        <v>4.5621141975308636E-2</v>
      </c>
      <c r="EG25" s="5"/>
      <c r="EH25" s="150">
        <f t="shared" si="122"/>
        <v>0.13416407864998739</v>
      </c>
      <c r="EI25" s="150">
        <f t="shared" si="82"/>
        <v>0.56154548643305224</v>
      </c>
      <c r="EJ25" s="150"/>
      <c r="EK25" s="456">
        <f t="shared" si="83"/>
        <v>3.6000000000000002E-4</v>
      </c>
      <c r="EL25" s="456">
        <f t="shared" si="84"/>
        <v>0.230688</v>
      </c>
      <c r="EM25" s="456">
        <f t="shared" si="85"/>
        <v>2.7E-2</v>
      </c>
      <c r="EN25" s="456">
        <f t="shared" si="86"/>
        <v>6.1593696000000003E-2</v>
      </c>
      <c r="EO25">
        <f t="shared" si="87"/>
        <v>2.1600000000000001E-2</v>
      </c>
      <c r="EP25" s="144">
        <f t="shared" si="123"/>
        <v>48.6</v>
      </c>
      <c r="EQ25" s="456">
        <f t="shared" si="88"/>
        <v>0.34136809526139628</v>
      </c>
      <c r="ER25" s="144">
        <f t="shared" si="124"/>
        <v>341.36809526139626</v>
      </c>
      <c r="ES25" s="456">
        <f t="shared" si="125"/>
        <v>0.14909999999999998</v>
      </c>
      <c r="ET25" s="456"/>
      <c r="EV25" s="144">
        <f t="shared" si="126"/>
        <v>149.1</v>
      </c>
      <c r="EW25" s="456">
        <f t="shared" si="89"/>
        <v>5.4000000000000001E-4</v>
      </c>
      <c r="EX25" s="456">
        <f t="shared" si="90"/>
        <v>9.4599999999999962E-3</v>
      </c>
      <c r="EY25" s="456">
        <f t="shared" si="91"/>
        <v>3.428501803178758E-2</v>
      </c>
      <c r="EZ25" s="456">
        <f t="shared" si="92"/>
        <v>4.6722395948546415E-2</v>
      </c>
      <c r="FA25" s="456">
        <f t="shared" si="93"/>
        <v>2.1599999999999999E-4</v>
      </c>
      <c r="FB25" s="144">
        <f t="shared" si="127"/>
        <v>46.938395948546415</v>
      </c>
      <c r="FC25" s="150">
        <f t="shared" si="128"/>
        <v>0.53740649120994266</v>
      </c>
      <c r="FD25" s="5">
        <f t="shared" si="129"/>
        <v>1.2</v>
      </c>
      <c r="FE25" s="150">
        <f t="shared" si="130"/>
        <v>0.69068465328704465</v>
      </c>
      <c r="FF25" s="5">
        <f t="shared" si="131"/>
        <v>69.068465328704463</v>
      </c>
      <c r="FI25" s="59">
        <f t="shared" si="94"/>
        <v>-50</v>
      </c>
      <c r="FJ25">
        <f t="shared" si="95"/>
        <v>-50</v>
      </c>
      <c r="FL25">
        <f t="shared" si="96"/>
        <v>0.48</v>
      </c>
    </row>
    <row r="26" spans="5:168">
      <c r="E26" s="147">
        <v>21</v>
      </c>
      <c r="F26" s="188">
        <f t="shared" si="97"/>
        <v>0.252</v>
      </c>
      <c r="G26" s="188"/>
      <c r="H26" s="188">
        <f t="shared" si="0"/>
        <v>1.26</v>
      </c>
      <c r="I26" s="465">
        <f t="shared" si="1"/>
        <v>47.975943738783762</v>
      </c>
      <c r="J26" s="149">
        <f t="shared" si="2"/>
        <v>5.4144337567297409</v>
      </c>
      <c r="K26" s="149">
        <f t="shared" si="3"/>
        <v>53.414433756729743</v>
      </c>
      <c r="L26" s="379"/>
      <c r="M26" s="188">
        <f t="shared" si="4"/>
        <v>0.10142169478204008</v>
      </c>
      <c r="N26" s="149">
        <f t="shared" si="5"/>
        <v>12.45645189825345</v>
      </c>
      <c r="O26" s="149">
        <f t="shared" si="98"/>
        <v>1.26</v>
      </c>
      <c r="P26" s="188">
        <f t="shared" si="6"/>
        <v>2.4912903796506898</v>
      </c>
      <c r="Q26" s="188">
        <f t="shared" si="7"/>
        <v>5</v>
      </c>
      <c r="R26" s="188">
        <f t="shared" si="8"/>
        <v>2.4329007613776268</v>
      </c>
      <c r="S26" s="149">
        <f t="shared" si="9"/>
        <v>428.02067237079302</v>
      </c>
      <c r="T26" s="149">
        <f t="shared" si="10"/>
        <v>5</v>
      </c>
      <c r="U26" s="188">
        <f t="shared" si="99"/>
        <v>0.56088600968142599</v>
      </c>
      <c r="V26" s="188">
        <f t="shared" si="11"/>
        <v>0.14029181276398878</v>
      </c>
      <c r="W26" s="188">
        <f t="shared" si="12"/>
        <v>1.243090675513655</v>
      </c>
      <c r="X26" s="172">
        <f t="shared" si="13"/>
        <v>350</v>
      </c>
      <c r="Y26" s="379">
        <f t="shared" si="14"/>
        <v>350</v>
      </c>
      <c r="AA26" s="188">
        <f t="shared" si="15"/>
        <v>1.1584153116090465</v>
      </c>
      <c r="AB26" s="150">
        <f t="shared" si="16"/>
        <v>2.5673938151022098</v>
      </c>
      <c r="AC26" s="150">
        <f t="shared" si="17"/>
        <v>0.52046895361033396</v>
      </c>
      <c r="AD26" s="150"/>
      <c r="AE26" s="150">
        <f t="shared" si="18"/>
        <v>2.216298238958947</v>
      </c>
      <c r="AF26" s="314">
        <f t="shared" si="100"/>
        <v>227.40621778264912</v>
      </c>
      <c r="AG26" s="456">
        <f t="shared" si="19"/>
        <v>0.38785219181781572</v>
      </c>
      <c r="AI26" s="150">
        <f t="shared" si="20"/>
        <v>0.80605958266592737</v>
      </c>
      <c r="AJ26" s="150">
        <f t="shared" si="21"/>
        <v>1</v>
      </c>
      <c r="AK26" s="150">
        <f t="shared" si="22"/>
        <v>1.1299464101615138</v>
      </c>
      <c r="AM26" s="314">
        <f t="shared" si="23"/>
        <v>252</v>
      </c>
      <c r="AN26" s="144">
        <f t="shared" si="24"/>
        <v>227.40621778264912</v>
      </c>
      <c r="AP26">
        <f t="shared" si="25"/>
        <v>252</v>
      </c>
      <c r="AQ26" s="144">
        <f t="shared" si="26"/>
        <v>227.40621778264912</v>
      </c>
      <c r="AR26" s="144"/>
      <c r="AS26" s="5">
        <f t="shared" si="101"/>
        <v>4.3974171407915614</v>
      </c>
      <c r="AT26" s="5">
        <f t="shared" si="27"/>
        <v>0.25012535585202456</v>
      </c>
      <c r="AU26" s="5">
        <f t="shared" si="102"/>
        <v>4.1472917849395365</v>
      </c>
      <c r="AV26" s="5">
        <f t="shared" si="28"/>
        <v>2.216298238958947</v>
      </c>
      <c r="AW26" s="150">
        <f t="shared" si="103"/>
        <v>5.6880061145848107E-2</v>
      </c>
      <c r="AX26" s="150">
        <f t="shared" si="29"/>
        <v>1.3644373066958948</v>
      </c>
      <c r="AY26" s="150">
        <f t="shared" si="30"/>
        <v>0.47155996942707595</v>
      </c>
      <c r="AZ26" s="150">
        <f t="shared" si="104"/>
        <v>2.8934544812054859</v>
      </c>
      <c r="BA26" s="144">
        <f t="shared" si="31"/>
        <v>1.2606317934942037</v>
      </c>
      <c r="BB26" s="5">
        <f t="shared" si="32"/>
        <v>4.5383748966945366E-2</v>
      </c>
      <c r="BC26" s="5"/>
      <c r="BD26" s="150">
        <f t="shared" si="105"/>
        <v>0.13769538983549656</v>
      </c>
      <c r="BE26" s="150">
        <f t="shared" si="33"/>
        <v>0.56069003286252916</v>
      </c>
      <c r="BF26" s="150"/>
      <c r="BG26" s="456">
        <f t="shared" si="34"/>
        <v>3.792004076389874E-4</v>
      </c>
      <c r="BH26" s="456">
        <f t="shared" si="35"/>
        <v>0.22775201916787066</v>
      </c>
      <c r="BI26" s="456">
        <f t="shared" si="36"/>
        <v>0.27275069775474953</v>
      </c>
      <c r="BJ26" s="456">
        <f t="shared" si="37"/>
        <v>6.4881307417619577E-2</v>
      </c>
      <c r="BK26">
        <f t="shared" si="38"/>
        <v>2.1589174682452691E-2</v>
      </c>
      <c r="BL26" s="144">
        <f t="shared" si="106"/>
        <v>294.33987243720225</v>
      </c>
      <c r="BM26" s="456">
        <f t="shared" si="39"/>
        <v>0.29314132255501224</v>
      </c>
      <c r="BN26" s="144">
        <f t="shared" si="107"/>
        <v>293.14132255501227</v>
      </c>
      <c r="BO26" s="456">
        <f t="shared" si="108"/>
        <v>0.156555</v>
      </c>
      <c r="BP26" s="456"/>
      <c r="BR26" s="144">
        <f t="shared" si="109"/>
        <v>156.55500000000001</v>
      </c>
      <c r="BS26" s="456">
        <f t="shared" si="40"/>
        <v>5.6880061145848102E-4</v>
      </c>
      <c r="BT26" s="456">
        <f t="shared" si="41"/>
        <v>9.4311993885415214E-3</v>
      </c>
      <c r="BU26" s="456">
        <f t="shared" si="42"/>
        <v>1.89E-2</v>
      </c>
      <c r="BV26" s="456">
        <f t="shared" si="43"/>
        <v>3.1325060048038436E-2</v>
      </c>
      <c r="BW26" s="456">
        <f t="shared" si="44"/>
        <v>2.2740621778264913E-4</v>
      </c>
      <c r="BX26" s="144">
        <f t="shared" si="110"/>
        <v>31.552466265821089</v>
      </c>
      <c r="BY26" s="150">
        <f t="shared" si="45"/>
        <v>0.77558866125803561</v>
      </c>
      <c r="BZ26" s="5">
        <f t="shared" si="111"/>
        <v>1.26</v>
      </c>
      <c r="CA26" s="150">
        <f t="shared" si="112"/>
        <v>0.61898556618078926</v>
      </c>
      <c r="CB26" s="5">
        <f t="shared" si="113"/>
        <v>61.898556618078928</v>
      </c>
      <c r="CE26" s="59">
        <f t="shared" si="46"/>
        <v>-50</v>
      </c>
      <c r="CF26">
        <f t="shared" si="47"/>
        <v>-50</v>
      </c>
      <c r="CG26" s="150">
        <f t="shared" si="48"/>
        <v>0.52377216420882855</v>
      </c>
      <c r="CI26" s="147">
        <v>21</v>
      </c>
      <c r="CJ26" s="188">
        <f t="shared" si="114"/>
        <v>0.252</v>
      </c>
      <c r="CK26" s="188"/>
      <c r="CL26" s="188">
        <f t="shared" si="49"/>
        <v>1.26</v>
      </c>
      <c r="CM26" s="465">
        <f t="shared" si="50"/>
        <v>48</v>
      </c>
      <c r="CN26" s="149">
        <f t="shared" si="51"/>
        <v>5.4</v>
      </c>
      <c r="CO26" s="379">
        <f t="shared" si="52"/>
        <v>53.4</v>
      </c>
      <c r="CP26" s="379"/>
      <c r="CQ26" s="188">
        <f t="shared" si="53"/>
        <v>0.10112359550561799</v>
      </c>
      <c r="CR26" s="149">
        <f t="shared" si="54"/>
        <v>12.426067415730339</v>
      </c>
      <c r="CS26" s="149">
        <f t="shared" si="115"/>
        <v>1.26</v>
      </c>
      <c r="CT26" s="188">
        <f t="shared" si="55"/>
        <v>2.4852134831460679</v>
      </c>
      <c r="CU26" s="188">
        <f t="shared" si="56"/>
        <v>5</v>
      </c>
      <c r="CV26" s="188">
        <f t="shared" si="57"/>
        <v>2.4269662921348316</v>
      </c>
      <c r="CW26" s="149">
        <f t="shared" si="58"/>
        <v>428.23526951796322</v>
      </c>
      <c r="CX26" s="149">
        <f t="shared" si="59"/>
        <v>5</v>
      </c>
      <c r="CY26" s="188">
        <f t="shared" si="60"/>
        <v>0.51916666666666667</v>
      </c>
      <c r="CZ26" s="188">
        <f t="shared" si="61"/>
        <v>0.12979166666666669</v>
      </c>
      <c r="DA26" s="188">
        <f t="shared" si="62"/>
        <v>1.1537037037037039</v>
      </c>
      <c r="DB26" s="172">
        <f t="shared" si="63"/>
        <v>350</v>
      </c>
      <c r="DC26" s="379">
        <f t="shared" si="116"/>
        <v>350</v>
      </c>
      <c r="DE26" s="188">
        <f t="shared" si="64"/>
        <v>1.1556982343499198</v>
      </c>
      <c r="DF26" s="150">
        <f t="shared" si="65"/>
        <v>2.5682182985553772</v>
      </c>
      <c r="DG26" s="150">
        <f t="shared" si="66"/>
        <v>0.51941493678648076</v>
      </c>
      <c r="DH26" s="150"/>
      <c r="DI26" s="150">
        <f t="shared" si="67"/>
        <v>2.2222222222222219</v>
      </c>
      <c r="DJ26" s="314">
        <f t="shared" si="117"/>
        <v>226.80000000000004</v>
      </c>
      <c r="DK26" s="456">
        <f t="shared" si="68"/>
        <v>0.38888888888888884</v>
      </c>
      <c r="DM26" s="150">
        <f t="shared" si="69"/>
        <v>0.80498447189992439</v>
      </c>
      <c r="DN26" s="150">
        <f t="shared" si="70"/>
        <v>1</v>
      </c>
      <c r="DO26" s="150">
        <f t="shared" si="71"/>
        <v>1.1295999999999999</v>
      </c>
      <c r="DQ26" s="314">
        <f t="shared" si="72"/>
        <v>252</v>
      </c>
      <c r="DR26" s="144">
        <f t="shared" si="73"/>
        <v>226.80000000000004</v>
      </c>
      <c r="DT26">
        <f t="shared" si="74"/>
        <v>252</v>
      </c>
      <c r="DU26" s="144">
        <f t="shared" si="75"/>
        <v>226.80000000000004</v>
      </c>
      <c r="DV26" s="144"/>
      <c r="DW26" s="5">
        <f t="shared" si="118"/>
        <v>4.4091710758377411</v>
      </c>
      <c r="DX26" s="5">
        <f t="shared" si="76"/>
        <v>0.25</v>
      </c>
      <c r="DY26" s="5">
        <f t="shared" si="119"/>
        <v>4.1591710758377411</v>
      </c>
      <c r="DZ26" s="5">
        <f t="shared" si="77"/>
        <v>2.2222222222222219</v>
      </c>
      <c r="EA26" s="150">
        <f t="shared" si="120"/>
        <v>5.6700000000000014E-2</v>
      </c>
      <c r="EB26" s="150">
        <f t="shared" si="78"/>
        <v>1.3608000000000002</v>
      </c>
      <c r="EC26" s="150">
        <f t="shared" si="79"/>
        <v>0.47165000000000001</v>
      </c>
      <c r="ED26" s="150">
        <f t="shared" si="121"/>
        <v>2.88519028940952</v>
      </c>
      <c r="EE26" s="144">
        <f t="shared" si="80"/>
        <v>1.26</v>
      </c>
      <c r="EF26" s="5">
        <f t="shared" si="81"/>
        <v>4.5490933641975283E-2</v>
      </c>
      <c r="EG26" s="5"/>
      <c r="EH26" s="150">
        <f t="shared" si="122"/>
        <v>0.13747727084867523</v>
      </c>
      <c r="EI26" s="150">
        <f t="shared" si="82"/>
        <v>0.56074355398286424</v>
      </c>
      <c r="EJ26" s="150"/>
      <c r="EK26" s="456">
        <f t="shared" si="83"/>
        <v>3.7800000000000013E-4</v>
      </c>
      <c r="EL26" s="456">
        <f t="shared" si="84"/>
        <v>0.24222240000000003</v>
      </c>
      <c r="EM26" s="456">
        <f t="shared" si="85"/>
        <v>2.8350000000000004E-2</v>
      </c>
      <c r="EN26" s="456">
        <f t="shared" si="86"/>
        <v>6.4673380800000013E-2</v>
      </c>
      <c r="EO26">
        <f t="shared" si="87"/>
        <v>2.1600000000000001E-2</v>
      </c>
      <c r="EP26" s="144">
        <f t="shared" si="123"/>
        <v>49.95000000000001</v>
      </c>
      <c r="EQ26" s="456">
        <f t="shared" si="88"/>
        <v>0.35735793611684497</v>
      </c>
      <c r="ER26" s="144">
        <f t="shared" si="124"/>
        <v>357.35793611684494</v>
      </c>
      <c r="ES26" s="456">
        <f t="shared" si="125"/>
        <v>0.156555</v>
      </c>
      <c r="ET26" s="456"/>
      <c r="EV26" s="144">
        <f t="shared" si="126"/>
        <v>156.55500000000001</v>
      </c>
      <c r="EW26" s="456">
        <f t="shared" si="89"/>
        <v>5.6700000000000023E-4</v>
      </c>
      <c r="EX26" s="456">
        <f t="shared" si="90"/>
        <v>9.4330000000000021E-3</v>
      </c>
      <c r="EY26" s="456">
        <f t="shared" si="91"/>
        <v>3.8732687318939536E-2</v>
      </c>
      <c r="EZ26" s="456">
        <f t="shared" si="92"/>
        <v>5.1173626219915475E-2</v>
      </c>
      <c r="FA26" s="456">
        <f t="shared" si="93"/>
        <v>2.2680000000000004E-4</v>
      </c>
      <c r="FB26" s="144">
        <f t="shared" si="127"/>
        <v>51.400426219915474</v>
      </c>
      <c r="FC26" s="150">
        <f t="shared" si="128"/>
        <v>0.56531336233676044</v>
      </c>
      <c r="FD26" s="5">
        <f t="shared" si="129"/>
        <v>1.26</v>
      </c>
      <c r="FE26" s="150">
        <f t="shared" si="130"/>
        <v>0.69029243197285961</v>
      </c>
      <c r="FF26" s="5">
        <f t="shared" si="131"/>
        <v>69.029243197285965</v>
      </c>
      <c r="FI26" s="59">
        <f t="shared" si="94"/>
        <v>-50</v>
      </c>
      <c r="FJ26">
        <f t="shared" si="95"/>
        <v>-50</v>
      </c>
      <c r="FL26">
        <f t="shared" si="96"/>
        <v>0.504</v>
      </c>
    </row>
    <row r="27" spans="5:168">
      <c r="E27" s="147">
        <v>22</v>
      </c>
      <c r="F27" s="188">
        <f t="shared" si="97"/>
        <v>0.26400000000000001</v>
      </c>
      <c r="G27" s="188"/>
      <c r="H27" s="188">
        <f t="shared" si="0"/>
        <v>1.32</v>
      </c>
      <c r="I27" s="465">
        <f t="shared" si="1"/>
        <v>47.975943738783762</v>
      </c>
      <c r="J27" s="149">
        <f t="shared" si="2"/>
        <v>5.4144337567297409</v>
      </c>
      <c r="K27" s="149">
        <f t="shared" si="3"/>
        <v>53.414433756729743</v>
      </c>
      <c r="L27" s="379"/>
      <c r="M27" s="188">
        <f t="shared" si="4"/>
        <v>0.10142169478204008</v>
      </c>
      <c r="N27" s="149">
        <f t="shared" si="5"/>
        <v>12.45645189825345</v>
      </c>
      <c r="O27" s="149">
        <f t="shared" si="98"/>
        <v>1.32</v>
      </c>
      <c r="P27" s="188">
        <f t="shared" si="6"/>
        <v>2.4912903796506898</v>
      </c>
      <c r="Q27" s="188">
        <f t="shared" si="7"/>
        <v>5</v>
      </c>
      <c r="R27" s="188">
        <f t="shared" si="8"/>
        <v>2.4329007613776268</v>
      </c>
      <c r="S27" s="149">
        <f t="shared" si="9"/>
        <v>406.38888057818957</v>
      </c>
      <c r="T27" s="149">
        <f t="shared" si="10"/>
        <v>5</v>
      </c>
      <c r="U27" s="188">
        <f t="shared" si="99"/>
        <v>0.58759486728530341</v>
      </c>
      <c r="V27" s="188">
        <f t="shared" si="11"/>
        <v>0.14697237527655968</v>
      </c>
      <c r="W27" s="188">
        <f t="shared" si="12"/>
        <v>1.3022854695857342</v>
      </c>
      <c r="X27" s="172">
        <f t="shared" si="13"/>
        <v>350</v>
      </c>
      <c r="Y27" s="379">
        <f t="shared" si="14"/>
        <v>350</v>
      </c>
      <c r="AA27" s="188">
        <f t="shared" si="15"/>
        <v>1.1584153116090465</v>
      </c>
      <c r="AB27" s="150">
        <f t="shared" si="16"/>
        <v>2.5673938151022098</v>
      </c>
      <c r="AC27" s="150">
        <f t="shared" si="17"/>
        <v>0.52046895361033396</v>
      </c>
      <c r="AD27" s="150"/>
      <c r="AE27" s="150">
        <f t="shared" si="18"/>
        <v>2.216298238958947</v>
      </c>
      <c r="AF27" s="314">
        <f t="shared" si="100"/>
        <v>238.23508529610862</v>
      </c>
      <c r="AG27" s="456">
        <f t="shared" si="19"/>
        <v>0.38785219181781572</v>
      </c>
      <c r="AI27" s="150">
        <f t="shared" si="20"/>
        <v>0.82502828574212905</v>
      </c>
      <c r="AJ27" s="150">
        <f t="shared" si="21"/>
        <v>1</v>
      </c>
      <c r="AK27" s="150">
        <f t="shared" si="22"/>
        <v>1.1361343344549193</v>
      </c>
      <c r="AM27" s="314">
        <f t="shared" si="23"/>
        <v>264</v>
      </c>
      <c r="AN27" s="144">
        <f t="shared" si="24"/>
        <v>238.23508529610862</v>
      </c>
      <c r="AP27">
        <f t="shared" si="25"/>
        <v>264</v>
      </c>
      <c r="AQ27" s="144">
        <f t="shared" si="26"/>
        <v>238.23508529610862</v>
      </c>
      <c r="AR27" s="144"/>
      <c r="AS27" s="5">
        <f t="shared" si="101"/>
        <v>4.1975345434828535</v>
      </c>
      <c r="AT27" s="5">
        <f t="shared" si="27"/>
        <v>0.25012535585202456</v>
      </c>
      <c r="AU27" s="5">
        <f t="shared" si="102"/>
        <v>3.947409187630829</v>
      </c>
      <c r="AV27" s="5">
        <f t="shared" si="28"/>
        <v>2.216298238958947</v>
      </c>
      <c r="AW27" s="150">
        <f t="shared" si="103"/>
        <v>5.9588635486126591E-2</v>
      </c>
      <c r="AX27" s="150">
        <f t="shared" si="29"/>
        <v>1.4294105117766518</v>
      </c>
      <c r="AY27" s="150">
        <f t="shared" si="30"/>
        <v>0.47020568225693671</v>
      </c>
      <c r="AZ27" s="150">
        <f t="shared" si="104"/>
        <v>3.0399686046234811</v>
      </c>
      <c r="BA27" s="144">
        <f t="shared" si="31"/>
        <v>1.3206618788986897</v>
      </c>
      <c r="BB27" s="5">
        <f t="shared" si="32"/>
        <v>4.5253410021861819E-2</v>
      </c>
      <c r="BC27" s="5"/>
      <c r="BD27" s="150">
        <f t="shared" si="105"/>
        <v>0.14093572469525081</v>
      </c>
      <c r="BE27" s="150">
        <f t="shared" si="33"/>
        <v>0.5598843227292204</v>
      </c>
      <c r="BF27" s="150"/>
      <c r="BG27" s="456">
        <f t="shared" si="34"/>
        <v>3.972575699075106E-4</v>
      </c>
      <c r="BH27" s="456">
        <f t="shared" si="35"/>
        <v>0.23859735341395974</v>
      </c>
      <c r="BI27" s="456">
        <f t="shared" si="36"/>
        <v>0.28573882621926144</v>
      </c>
      <c r="BJ27" s="456">
        <f t="shared" si="37"/>
        <v>6.7970893485125278E-2</v>
      </c>
      <c r="BK27">
        <f t="shared" si="38"/>
        <v>2.1589174682452691E-2</v>
      </c>
      <c r="BL27" s="144">
        <f t="shared" si="106"/>
        <v>307.32800090171412</v>
      </c>
      <c r="BM27" s="456">
        <f t="shared" si="39"/>
        <v>0.30710175085534108</v>
      </c>
      <c r="BN27" s="144">
        <f t="shared" si="107"/>
        <v>307.10175085534109</v>
      </c>
      <c r="BO27" s="456">
        <f t="shared" si="108"/>
        <v>0.16400999999999999</v>
      </c>
      <c r="BP27" s="456"/>
      <c r="BR27" s="144">
        <f t="shared" si="109"/>
        <v>164.01</v>
      </c>
      <c r="BS27" s="456">
        <f t="shared" si="40"/>
        <v>5.9588635486126581E-4</v>
      </c>
      <c r="BT27" s="456">
        <f t="shared" si="41"/>
        <v>9.4041136451387345E-3</v>
      </c>
      <c r="BU27" s="456">
        <f t="shared" si="42"/>
        <v>1.9800000000000002E-2</v>
      </c>
      <c r="BV27" s="456">
        <f t="shared" si="43"/>
        <v>3.22257806244996E-2</v>
      </c>
      <c r="BW27" s="456">
        <f t="shared" si="44"/>
        <v>2.3823508529610863E-4</v>
      </c>
      <c r="BX27" s="144">
        <f t="shared" si="110"/>
        <v>32.46401570979571</v>
      </c>
      <c r="BY27" s="150">
        <f>SUM(BM27,BO27:BQ27,BV27, BW27)+BK27+BI27</f>
        <v>0.81090376746685089</v>
      </c>
      <c r="BZ27" s="5">
        <f t="shared" si="111"/>
        <v>1.32</v>
      </c>
      <c r="CA27" s="150">
        <f t="shared" si="112"/>
        <v>0.6194554724398339</v>
      </c>
      <c r="CB27" s="5">
        <f t="shared" si="113"/>
        <v>61.945547243983391</v>
      </c>
      <c r="CE27" s="59">
        <f t="shared" si="46"/>
        <v>-50</v>
      </c>
      <c r="CF27">
        <f t="shared" si="47"/>
        <v>-50</v>
      </c>
      <c r="CG27" s="150">
        <f t="shared" si="48"/>
        <v>0.54871369583782037</v>
      </c>
      <c r="CI27" s="147">
        <v>22</v>
      </c>
      <c r="CJ27" s="188">
        <f t="shared" si="114"/>
        <v>0.26400000000000001</v>
      </c>
      <c r="CK27" s="188"/>
      <c r="CL27" s="188">
        <f t="shared" si="49"/>
        <v>1.32</v>
      </c>
      <c r="CM27" s="465">
        <f t="shared" si="50"/>
        <v>48</v>
      </c>
      <c r="CN27" s="149">
        <f t="shared" si="51"/>
        <v>5.4</v>
      </c>
      <c r="CO27" s="379">
        <f t="shared" si="52"/>
        <v>53.4</v>
      </c>
      <c r="CP27" s="379"/>
      <c r="CQ27" s="188">
        <f t="shared" si="53"/>
        <v>0.10112359550561799</v>
      </c>
      <c r="CR27" s="149">
        <f t="shared" si="54"/>
        <v>12.426067415730339</v>
      </c>
      <c r="CS27" s="149">
        <f t="shared" si="115"/>
        <v>1.32</v>
      </c>
      <c r="CT27" s="188">
        <f t="shared" si="55"/>
        <v>2.4852134831460679</v>
      </c>
      <c r="CU27" s="188">
        <f t="shared" si="56"/>
        <v>5</v>
      </c>
      <c r="CV27" s="188">
        <f t="shared" si="57"/>
        <v>2.4269662921348316</v>
      </c>
      <c r="CW27" s="149">
        <f t="shared" si="58"/>
        <v>406.59262984690224</v>
      </c>
      <c r="CX27" s="149">
        <f t="shared" si="59"/>
        <v>5</v>
      </c>
      <c r="CY27" s="188">
        <f t="shared" si="60"/>
        <v>0.54388888888888887</v>
      </c>
      <c r="CZ27" s="188">
        <f t="shared" si="61"/>
        <v>0.13597222222222222</v>
      </c>
      <c r="DA27" s="188">
        <f t="shared" si="62"/>
        <v>1.2086419753086417</v>
      </c>
      <c r="DB27" s="172">
        <f t="shared" si="63"/>
        <v>350</v>
      </c>
      <c r="DC27" s="379">
        <f t="shared" si="116"/>
        <v>350</v>
      </c>
      <c r="DE27" s="188">
        <f t="shared" si="64"/>
        <v>1.1556982343499198</v>
      </c>
      <c r="DF27" s="150">
        <f t="shared" si="65"/>
        <v>2.5682182985553772</v>
      </c>
      <c r="DG27" s="150">
        <f t="shared" si="66"/>
        <v>0.51941493678648076</v>
      </c>
      <c r="DH27" s="150"/>
      <c r="DI27" s="150">
        <f t="shared" si="67"/>
        <v>2.2222222222222219</v>
      </c>
      <c r="DJ27" s="314">
        <f t="shared" si="117"/>
        <v>237.60000000000002</v>
      </c>
      <c r="DK27" s="456">
        <f t="shared" si="68"/>
        <v>0.38888888888888884</v>
      </c>
      <c r="DM27" s="150">
        <f t="shared" si="69"/>
        <v>0.82392787479071428</v>
      </c>
      <c r="DN27" s="150">
        <f t="shared" si="70"/>
        <v>1</v>
      </c>
      <c r="DO27" s="150">
        <f t="shared" si="71"/>
        <v>1.1357714285714287</v>
      </c>
      <c r="DQ27" s="314">
        <f t="shared" si="72"/>
        <v>264</v>
      </c>
      <c r="DR27" s="144">
        <f t="shared" si="73"/>
        <v>237.60000000000002</v>
      </c>
      <c r="DT27">
        <f t="shared" si="74"/>
        <v>264</v>
      </c>
      <c r="DU27" s="144">
        <f t="shared" si="75"/>
        <v>237.60000000000002</v>
      </c>
      <c r="DV27" s="144"/>
      <c r="DW27" s="5">
        <f t="shared" si="118"/>
        <v>4.2087542087542085</v>
      </c>
      <c r="DX27" s="5">
        <f t="shared" si="76"/>
        <v>0.25</v>
      </c>
      <c r="DY27" s="5">
        <f t="shared" si="119"/>
        <v>3.9587542087542085</v>
      </c>
      <c r="DZ27" s="5">
        <f t="shared" si="77"/>
        <v>2.2222222222222219</v>
      </c>
      <c r="EA27" s="150">
        <f t="shared" si="120"/>
        <v>5.9400000000000001E-2</v>
      </c>
      <c r="EB27" s="150">
        <f t="shared" si="78"/>
        <v>1.4256000000000002</v>
      </c>
      <c r="EC27" s="150">
        <f t="shared" si="79"/>
        <v>0.4703</v>
      </c>
      <c r="ED27" s="150">
        <f t="shared" si="121"/>
        <v>3.0312566446948761</v>
      </c>
      <c r="EE27" s="144">
        <f t="shared" si="80"/>
        <v>1.32</v>
      </c>
      <c r="EF27" s="5">
        <f t="shared" si="81"/>
        <v>4.5360725308641964E-2</v>
      </c>
      <c r="EG27" s="5"/>
      <c r="EH27" s="150">
        <f t="shared" si="122"/>
        <v>0.14071247279470289</v>
      </c>
      <c r="EI27" s="150">
        <f t="shared" si="82"/>
        <v>0.55994047302667216</v>
      </c>
      <c r="EJ27" s="150"/>
      <c r="EK27" s="456">
        <f t="shared" si="83"/>
        <v>3.9600000000000003E-4</v>
      </c>
      <c r="EL27" s="456">
        <f t="shared" si="84"/>
        <v>0.2537568</v>
      </c>
      <c r="EM27" s="456">
        <f t="shared" si="85"/>
        <v>2.9700000000000001E-2</v>
      </c>
      <c r="EN27" s="456">
        <f t="shared" si="86"/>
        <v>6.7753065599999995E-2</v>
      </c>
      <c r="EO27">
        <f t="shared" si="87"/>
        <v>2.1600000000000001E-2</v>
      </c>
      <c r="EP27" s="144">
        <f t="shared" si="123"/>
        <v>51.3</v>
      </c>
      <c r="EQ27" s="456">
        <f t="shared" si="88"/>
        <v>0.37334791375586618</v>
      </c>
      <c r="ER27" s="144">
        <f t="shared" si="124"/>
        <v>373.34791375586616</v>
      </c>
      <c r="ES27" s="456">
        <f t="shared" si="125"/>
        <v>0.16400999999999999</v>
      </c>
      <c r="ET27" s="456"/>
      <c r="EV27" s="144">
        <f t="shared" si="126"/>
        <v>164.01</v>
      </c>
      <c r="EW27" s="456">
        <f t="shared" si="89"/>
        <v>5.9400000000000002E-4</v>
      </c>
      <c r="EX27" s="456">
        <f t="shared" si="90"/>
        <v>9.4060000000000012E-3</v>
      </c>
      <c r="EY27" s="456">
        <f t="shared" si="91"/>
        <v>4.3509700628408546E-2</v>
      </c>
      <c r="EZ27" s="456">
        <f t="shared" si="92"/>
        <v>5.5954464199768364E-2</v>
      </c>
      <c r="FA27" s="456">
        <f t="shared" si="93"/>
        <v>2.3760000000000003E-4</v>
      </c>
      <c r="FB27" s="144">
        <f t="shared" si="127"/>
        <v>56.19206419976836</v>
      </c>
      <c r="FC27" s="150">
        <f t="shared" si="128"/>
        <v>0.59354997795563447</v>
      </c>
      <c r="FD27" s="5">
        <f t="shared" si="129"/>
        <v>1.32</v>
      </c>
      <c r="FE27" s="150">
        <f t="shared" si="130"/>
        <v>0.68981736312434283</v>
      </c>
      <c r="FF27" s="5">
        <f t="shared" si="131"/>
        <v>68.981736312434279</v>
      </c>
      <c r="FI27" s="59">
        <f t="shared" si="94"/>
        <v>-50</v>
      </c>
      <c r="FJ27">
        <f t="shared" si="95"/>
        <v>-50</v>
      </c>
      <c r="FL27">
        <f t="shared" si="96"/>
        <v>0.52800000000000002</v>
      </c>
    </row>
    <row r="28" spans="5:168">
      <c r="E28" s="147">
        <v>23</v>
      </c>
      <c r="F28" s="188">
        <f t="shared" si="97"/>
        <v>0.27600000000000002</v>
      </c>
      <c r="G28" s="188"/>
      <c r="H28" s="188">
        <f t="shared" si="0"/>
        <v>1.3800000000000001</v>
      </c>
      <c r="I28" s="465">
        <f t="shared" si="1"/>
        <v>47.975943738783762</v>
      </c>
      <c r="J28" s="149">
        <f t="shared" si="2"/>
        <v>5.4144337567297409</v>
      </c>
      <c r="K28" s="149">
        <f t="shared" si="3"/>
        <v>53.414433756729743</v>
      </c>
      <c r="L28" s="379"/>
      <c r="M28" s="188">
        <f t="shared" si="4"/>
        <v>0.10142169478204008</v>
      </c>
      <c r="N28" s="149">
        <f t="shared" si="5"/>
        <v>12.45645189825345</v>
      </c>
      <c r="O28" s="149">
        <f t="shared" si="98"/>
        <v>1.3800000000000001</v>
      </c>
      <c r="P28" s="188">
        <f t="shared" si="6"/>
        <v>2.4912903796506898</v>
      </c>
      <c r="Q28" s="188">
        <f t="shared" si="7"/>
        <v>5</v>
      </c>
      <c r="R28" s="188">
        <f t="shared" si="8"/>
        <v>2.4329007613776268</v>
      </c>
      <c r="S28" s="149">
        <f t="shared" si="9"/>
        <v>386.63834666580948</v>
      </c>
      <c r="T28" s="149">
        <f t="shared" si="10"/>
        <v>5</v>
      </c>
      <c r="U28" s="188">
        <f t="shared" si="99"/>
        <v>0.61430372488918084</v>
      </c>
      <c r="V28" s="188">
        <f t="shared" si="11"/>
        <v>0.15365293778913058</v>
      </c>
      <c r="W28" s="188">
        <f t="shared" si="12"/>
        <v>1.3614802636578129</v>
      </c>
      <c r="X28" s="172">
        <f t="shared" si="13"/>
        <v>350</v>
      </c>
      <c r="Y28" s="379">
        <f t="shared" si="14"/>
        <v>350</v>
      </c>
      <c r="AA28" s="188">
        <f t="shared" si="15"/>
        <v>1.1584153116090465</v>
      </c>
      <c r="AB28" s="150">
        <f t="shared" si="16"/>
        <v>2.5673938151022098</v>
      </c>
      <c r="AC28" s="150">
        <f t="shared" si="17"/>
        <v>0.52046895361033396</v>
      </c>
      <c r="AD28" s="150"/>
      <c r="AE28" s="150">
        <f t="shared" si="18"/>
        <v>2.216298238958947</v>
      </c>
      <c r="AF28" s="314">
        <f t="shared" si="100"/>
        <v>249.06395280956812</v>
      </c>
      <c r="AG28" s="456">
        <f t="shared" si="19"/>
        <v>0.38785219181781572</v>
      </c>
      <c r="AI28" s="150">
        <f t="shared" si="20"/>
        <v>0.8435705623963079</v>
      </c>
      <c r="AJ28" s="150">
        <f t="shared" si="21"/>
        <v>1</v>
      </c>
      <c r="AK28" s="150">
        <f t="shared" si="22"/>
        <v>1.1423222587483246</v>
      </c>
      <c r="AM28" s="314">
        <f t="shared" si="23"/>
        <v>276</v>
      </c>
      <c r="AN28" s="144">
        <f t="shared" si="24"/>
        <v>249.06395280956812</v>
      </c>
      <c r="AP28">
        <f t="shared" si="25"/>
        <v>276</v>
      </c>
      <c r="AQ28" s="144">
        <f t="shared" si="26"/>
        <v>249.06395280956812</v>
      </c>
      <c r="AR28" s="144"/>
      <c r="AS28" s="5">
        <f t="shared" si="101"/>
        <v>4.0150330415922939</v>
      </c>
      <c r="AT28" s="5">
        <f t="shared" si="27"/>
        <v>0.25012535585202456</v>
      </c>
      <c r="AU28" s="5">
        <f t="shared" si="102"/>
        <v>3.7649076857402695</v>
      </c>
      <c r="AV28" s="5">
        <f t="shared" si="28"/>
        <v>2.216298238958947</v>
      </c>
      <c r="AW28" s="150">
        <f t="shared" si="103"/>
        <v>6.2297209826405089E-2</v>
      </c>
      <c r="AX28" s="150">
        <f t="shared" si="29"/>
        <v>1.4943837168574086</v>
      </c>
      <c r="AY28" s="150">
        <f t="shared" si="30"/>
        <v>0.46885139508679746</v>
      </c>
      <c r="AZ28" s="150">
        <f t="shared" si="104"/>
        <v>3.1873291463295241</v>
      </c>
      <c r="BA28" s="144">
        <f t="shared" si="31"/>
        <v>1.3806919643031756</v>
      </c>
      <c r="BB28" s="5">
        <f t="shared" si="32"/>
        <v>4.5123071076778265E-2</v>
      </c>
      <c r="BC28" s="5"/>
      <c r="BD28" s="150">
        <f t="shared" si="105"/>
        <v>0.14410321512305579</v>
      </c>
      <c r="BE28" s="150">
        <f t="shared" si="33"/>
        <v>0.5590774514542074</v>
      </c>
      <c r="BF28" s="150"/>
      <c r="BG28" s="456">
        <f t="shared" si="34"/>
        <v>4.1531473217603396E-4</v>
      </c>
      <c r="BH28" s="456">
        <f t="shared" si="35"/>
        <v>0.24944268766004887</v>
      </c>
      <c r="BI28" s="456">
        <f t="shared" si="36"/>
        <v>0.29872695468377336</v>
      </c>
      <c r="BJ28" s="456">
        <f t="shared" si="37"/>
        <v>7.1060479552630978E-2</v>
      </c>
      <c r="BK28">
        <f t="shared" si="38"/>
        <v>2.1589174682452691E-2</v>
      </c>
      <c r="BL28" s="144">
        <f t="shared" si="106"/>
        <v>320.31612936622605</v>
      </c>
      <c r="BM28" s="456">
        <f t="shared" si="39"/>
        <v>0.32106229895862587</v>
      </c>
      <c r="BN28" s="144">
        <f t="shared" si="107"/>
        <v>321.06229895862589</v>
      </c>
      <c r="BO28" s="456">
        <f t="shared" si="108"/>
        <v>0.17146500000000001</v>
      </c>
      <c r="BP28" s="456"/>
      <c r="BR28" s="144">
        <f t="shared" si="109"/>
        <v>171.465</v>
      </c>
      <c r="BS28" s="456">
        <f t="shared" si="40"/>
        <v>6.2297209826405082E-4</v>
      </c>
      <c r="BT28" s="456">
        <f t="shared" si="41"/>
        <v>9.3770279017359476E-3</v>
      </c>
      <c r="BU28" s="456">
        <f t="shared" si="42"/>
        <v>2.07E-2</v>
      </c>
      <c r="BV28" s="456">
        <f t="shared" si="43"/>
        <v>3.3126501200960765E-2</v>
      </c>
      <c r="BW28" s="456">
        <f t="shared" si="44"/>
        <v>2.4906395280956811E-4</v>
      </c>
      <c r="BX28" s="144">
        <f t="shared" si="110"/>
        <v>33.375565153770332</v>
      </c>
      <c r="BY28" s="150">
        <f t="shared" si="45"/>
        <v>0.84621899347862217</v>
      </c>
      <c r="BZ28" s="5">
        <f t="shared" si="111"/>
        <v>1.3800000000000001</v>
      </c>
      <c r="CA28" s="150">
        <f t="shared" si="112"/>
        <v>0.61988510745910674</v>
      </c>
      <c r="CB28" s="5">
        <f t="shared" si="113"/>
        <v>61.988510745910673</v>
      </c>
      <c r="CE28" s="59">
        <f t="shared" si="46"/>
        <v>-50</v>
      </c>
      <c r="CF28">
        <f t="shared" si="47"/>
        <v>-50</v>
      </c>
      <c r="CG28" s="150">
        <f t="shared" si="48"/>
        <v>0.57365522746681219</v>
      </c>
      <c r="CI28" s="147">
        <v>23</v>
      </c>
      <c r="CJ28" s="188">
        <f t="shared" si="114"/>
        <v>0.27600000000000002</v>
      </c>
      <c r="CK28" s="188"/>
      <c r="CL28" s="188">
        <f t="shared" si="49"/>
        <v>1.3800000000000001</v>
      </c>
      <c r="CM28" s="465">
        <f t="shared" si="50"/>
        <v>48</v>
      </c>
      <c r="CN28" s="149">
        <f t="shared" si="51"/>
        <v>5.4</v>
      </c>
      <c r="CO28" s="379">
        <f t="shared" si="52"/>
        <v>53.4</v>
      </c>
      <c r="CP28" s="379"/>
      <c r="CQ28" s="188">
        <f t="shared" si="53"/>
        <v>0.10112359550561799</v>
      </c>
      <c r="CR28" s="149">
        <f t="shared" si="54"/>
        <v>12.426067415730339</v>
      </c>
      <c r="CS28" s="149">
        <f t="shared" si="115"/>
        <v>1.3800000000000001</v>
      </c>
      <c r="CT28" s="188">
        <f t="shared" si="55"/>
        <v>2.4852134831460679</v>
      </c>
      <c r="CU28" s="188">
        <f t="shared" si="56"/>
        <v>5</v>
      </c>
      <c r="CV28" s="188">
        <f t="shared" si="57"/>
        <v>2.4269662921348316</v>
      </c>
      <c r="CW28" s="149">
        <f t="shared" si="58"/>
        <v>386.83219135026832</v>
      </c>
      <c r="CX28" s="149">
        <f t="shared" si="59"/>
        <v>5</v>
      </c>
      <c r="CY28" s="188">
        <f t="shared" si="60"/>
        <v>0.56861111111111107</v>
      </c>
      <c r="CZ28" s="188">
        <f t="shared" si="61"/>
        <v>0.14215277777777777</v>
      </c>
      <c r="DA28" s="188">
        <f t="shared" si="62"/>
        <v>1.2635802469135802</v>
      </c>
      <c r="DB28" s="172">
        <f t="shared" si="63"/>
        <v>350</v>
      </c>
      <c r="DC28" s="379">
        <f t="shared" si="116"/>
        <v>350</v>
      </c>
      <c r="DE28" s="188">
        <f t="shared" si="64"/>
        <v>1.1556982343499198</v>
      </c>
      <c r="DF28" s="150">
        <f t="shared" si="65"/>
        <v>2.5682182985553772</v>
      </c>
      <c r="DG28" s="150">
        <f t="shared" si="66"/>
        <v>0.51941493678648076</v>
      </c>
      <c r="DH28" s="150"/>
      <c r="DI28" s="150">
        <f t="shared" si="67"/>
        <v>2.2222222222222219</v>
      </c>
      <c r="DJ28" s="314">
        <f t="shared" si="117"/>
        <v>248.40000000000003</v>
      </c>
      <c r="DK28" s="456">
        <f t="shared" si="68"/>
        <v>0.38888888888888884</v>
      </c>
      <c r="DM28" s="150">
        <f t="shared" si="69"/>
        <v>0.84244542002095657</v>
      </c>
      <c r="DN28" s="150">
        <f t="shared" si="70"/>
        <v>1</v>
      </c>
      <c r="DO28" s="150">
        <f t="shared" si="71"/>
        <v>1.1419428571428571</v>
      </c>
      <c r="DQ28" s="314">
        <f t="shared" si="72"/>
        <v>276</v>
      </c>
      <c r="DR28" s="144">
        <f t="shared" si="73"/>
        <v>248.40000000000003</v>
      </c>
      <c r="DT28">
        <f t="shared" si="74"/>
        <v>276</v>
      </c>
      <c r="DU28" s="144">
        <f t="shared" si="75"/>
        <v>248.40000000000003</v>
      </c>
      <c r="DV28" s="144"/>
      <c r="DW28" s="5">
        <f t="shared" si="118"/>
        <v>4.0257648953301119</v>
      </c>
      <c r="DX28" s="5">
        <f t="shared" si="76"/>
        <v>0.25</v>
      </c>
      <c r="DY28" s="5">
        <f t="shared" si="119"/>
        <v>3.7757648953301119</v>
      </c>
      <c r="DZ28" s="5">
        <f t="shared" si="77"/>
        <v>2.2222222222222219</v>
      </c>
      <c r="EA28" s="150">
        <f t="shared" si="120"/>
        <v>6.2100000000000009E-2</v>
      </c>
      <c r="EB28" s="150">
        <f t="shared" si="78"/>
        <v>1.4904000000000002</v>
      </c>
      <c r="EC28" s="150">
        <f t="shared" si="79"/>
        <v>0.46894999999999998</v>
      </c>
      <c r="ED28" s="150">
        <f t="shared" si="121"/>
        <v>3.1781639833670972</v>
      </c>
      <c r="EE28" s="144">
        <f t="shared" si="80"/>
        <v>1.3800000000000001</v>
      </c>
      <c r="EF28" s="5">
        <f t="shared" si="81"/>
        <v>4.5230516975308631E-2</v>
      </c>
      <c r="EG28" s="5"/>
      <c r="EH28" s="150">
        <f t="shared" si="122"/>
        <v>0.14387494569938158</v>
      </c>
      <c r="EI28" s="150">
        <f t="shared" si="82"/>
        <v>0.55913623861571815</v>
      </c>
      <c r="EJ28" s="150"/>
      <c r="EK28" s="456">
        <f t="shared" si="83"/>
        <v>4.1399999999999998E-4</v>
      </c>
      <c r="EL28" s="456">
        <f t="shared" si="84"/>
        <v>0.26529120000000006</v>
      </c>
      <c r="EM28" s="456">
        <f t="shared" si="85"/>
        <v>3.1050000000000001E-2</v>
      </c>
      <c r="EN28" s="456">
        <f t="shared" si="86"/>
        <v>7.0832750400000005E-2</v>
      </c>
      <c r="EO28">
        <f t="shared" si="87"/>
        <v>2.1600000000000001E-2</v>
      </c>
      <c r="EP28" s="144">
        <f t="shared" si="123"/>
        <v>52.650000000000006</v>
      </c>
      <c r="EQ28" s="456">
        <f t="shared" si="88"/>
        <v>0.38933802818021529</v>
      </c>
      <c r="ER28" s="144">
        <f t="shared" si="124"/>
        <v>389.3380281802153</v>
      </c>
      <c r="ES28" s="456">
        <f t="shared" si="125"/>
        <v>0.17146500000000001</v>
      </c>
      <c r="ET28" s="456"/>
      <c r="EV28" s="144">
        <f t="shared" si="126"/>
        <v>171.465</v>
      </c>
      <c r="EW28" s="456">
        <f t="shared" si="89"/>
        <v>6.2099999999999992E-4</v>
      </c>
      <c r="EX28" s="456">
        <f t="shared" si="90"/>
        <v>9.3789999999999984E-3</v>
      </c>
      <c r="EY28" s="456">
        <f t="shared" si="91"/>
        <v>4.8623809707321199E-2</v>
      </c>
      <c r="EZ28" s="456">
        <f t="shared" si="92"/>
        <v>6.1072667841594479E-2</v>
      </c>
      <c r="FA28" s="456">
        <f t="shared" si="93"/>
        <v>2.4840000000000002E-4</v>
      </c>
      <c r="FB28" s="144">
        <f t="shared" si="127"/>
        <v>61.321067841594484</v>
      </c>
      <c r="FC28" s="150">
        <f t="shared" si="128"/>
        <v>0.62212409602180985</v>
      </c>
      <c r="FD28" s="5">
        <f t="shared" si="129"/>
        <v>1.3800000000000001</v>
      </c>
      <c r="FE28" s="150">
        <f t="shared" si="130"/>
        <v>0.68926796432950344</v>
      </c>
      <c r="FF28" s="5">
        <f t="shared" si="131"/>
        <v>68.92679643295034</v>
      </c>
      <c r="FI28" s="59">
        <f t="shared" si="94"/>
        <v>-50</v>
      </c>
      <c r="FJ28">
        <f t="shared" si="95"/>
        <v>-50</v>
      </c>
      <c r="FL28">
        <f t="shared" si="96"/>
        <v>0.55200000000000005</v>
      </c>
    </row>
    <row r="29" spans="5:168">
      <c r="E29" s="147">
        <v>24</v>
      </c>
      <c r="F29" s="188">
        <f t="shared" si="97"/>
        <v>0.28799999999999998</v>
      </c>
      <c r="G29" s="188"/>
      <c r="H29" s="188">
        <f t="shared" si="0"/>
        <v>1.44</v>
      </c>
      <c r="I29" s="465">
        <f t="shared" si="1"/>
        <v>47.975943738783762</v>
      </c>
      <c r="J29" s="149">
        <f t="shared" si="2"/>
        <v>5.4144337567297409</v>
      </c>
      <c r="K29" s="149">
        <f t="shared" si="3"/>
        <v>53.414433756729743</v>
      </c>
      <c r="L29" s="379"/>
      <c r="M29" s="188">
        <f t="shared" si="4"/>
        <v>0.10142169478204008</v>
      </c>
      <c r="N29" s="149">
        <f t="shared" si="5"/>
        <v>12.45645189825345</v>
      </c>
      <c r="O29" s="149">
        <f t="shared" si="98"/>
        <v>1.44</v>
      </c>
      <c r="P29" s="188">
        <f t="shared" si="6"/>
        <v>2.4912903796506898</v>
      </c>
      <c r="Q29" s="188">
        <f t="shared" si="7"/>
        <v>5</v>
      </c>
      <c r="R29" s="188">
        <f t="shared" si="8"/>
        <v>2.4329007613776268</v>
      </c>
      <c r="S29" s="149">
        <f t="shared" si="9"/>
        <v>368.53391697434893</v>
      </c>
      <c r="T29" s="149">
        <f t="shared" si="10"/>
        <v>5</v>
      </c>
      <c r="U29" s="188">
        <f t="shared" si="99"/>
        <v>0.64101258249305804</v>
      </c>
      <c r="V29" s="188">
        <f t="shared" si="11"/>
        <v>0.1603335003017014</v>
      </c>
      <c r="W29" s="188">
        <f t="shared" si="12"/>
        <v>1.420675057729891</v>
      </c>
      <c r="X29" s="172">
        <f t="shared" si="13"/>
        <v>350</v>
      </c>
      <c r="Y29" s="379">
        <f t="shared" si="14"/>
        <v>350</v>
      </c>
      <c r="AA29" s="188">
        <f t="shared" si="15"/>
        <v>1.1584153116090465</v>
      </c>
      <c r="AB29" s="150">
        <f t="shared" si="16"/>
        <v>2.5673938151022098</v>
      </c>
      <c r="AC29" s="150">
        <f t="shared" si="17"/>
        <v>0.52046895361033396</v>
      </c>
      <c r="AD29" s="150"/>
      <c r="AE29" s="150">
        <f t="shared" si="18"/>
        <v>2.216298238958947</v>
      </c>
      <c r="AF29" s="314">
        <f t="shared" si="100"/>
        <v>259.89282032302754</v>
      </c>
      <c r="AG29" s="456">
        <f t="shared" si="19"/>
        <v>0.38785219181781572</v>
      </c>
      <c r="AI29" s="150">
        <f t="shared" si="20"/>
        <v>0.86171394047482497</v>
      </c>
      <c r="AJ29" s="150">
        <f t="shared" si="21"/>
        <v>1</v>
      </c>
      <c r="AK29" s="150">
        <f t="shared" si="22"/>
        <v>1.1485101830417301</v>
      </c>
      <c r="AM29" s="314">
        <f t="shared" si="23"/>
        <v>288</v>
      </c>
      <c r="AN29" s="144">
        <f t="shared" si="24"/>
        <v>259.89282032302754</v>
      </c>
      <c r="AP29">
        <f t="shared" si="25"/>
        <v>288</v>
      </c>
      <c r="AQ29" s="144">
        <f t="shared" si="26"/>
        <v>259.89282032302754</v>
      </c>
      <c r="AR29" s="144"/>
      <c r="AS29" s="5">
        <f t="shared" si="101"/>
        <v>3.8477399981926164</v>
      </c>
      <c r="AT29" s="5">
        <f t="shared" si="27"/>
        <v>0.25012535585202456</v>
      </c>
      <c r="AU29" s="5">
        <f t="shared" si="102"/>
        <v>3.5976146423405919</v>
      </c>
      <c r="AV29" s="5">
        <f t="shared" si="28"/>
        <v>2.216298238958947</v>
      </c>
      <c r="AW29" s="150">
        <f t="shared" si="103"/>
        <v>6.5005784166683539E-2</v>
      </c>
      <c r="AX29" s="150">
        <f t="shared" si="29"/>
        <v>1.5593569219381651</v>
      </c>
      <c r="AY29" s="150">
        <f t="shared" si="30"/>
        <v>0.46749710791665822</v>
      </c>
      <c r="AZ29" s="150">
        <f t="shared" si="104"/>
        <v>3.3355434622627769</v>
      </c>
      <c r="BA29" s="144">
        <f t="shared" si="31"/>
        <v>1.4407220497076614</v>
      </c>
      <c r="BB29" s="5">
        <f t="shared" si="32"/>
        <v>4.4992732131694732E-2</v>
      </c>
      <c r="BC29" s="5"/>
      <c r="BD29" s="150">
        <f t="shared" si="105"/>
        <v>0.14720256357220091</v>
      </c>
      <c r="BE29" s="150">
        <f t="shared" si="33"/>
        <v>0.55826941400286789</v>
      </c>
      <c r="BF29" s="150"/>
      <c r="BG29" s="456">
        <f t="shared" si="34"/>
        <v>4.3337189444455699E-4</v>
      </c>
      <c r="BH29" s="456">
        <f t="shared" si="35"/>
        <v>0.26028802190613787</v>
      </c>
      <c r="BI29" s="456">
        <f t="shared" si="36"/>
        <v>0.31171508314828517</v>
      </c>
      <c r="BJ29" s="456">
        <f t="shared" si="37"/>
        <v>7.4150065620136651E-2</v>
      </c>
      <c r="BK29">
        <f t="shared" si="38"/>
        <v>2.1589174682452691E-2</v>
      </c>
      <c r="BL29" s="144">
        <f t="shared" si="106"/>
        <v>333.30425783073787</v>
      </c>
      <c r="BM29" s="456">
        <f t="shared" si="39"/>
        <v>0.33502296686640831</v>
      </c>
      <c r="BN29" s="144">
        <f t="shared" si="107"/>
        <v>335.0229668664083</v>
      </c>
      <c r="BO29" s="456">
        <f t="shared" si="108"/>
        <v>0.17891999999999997</v>
      </c>
      <c r="BP29" s="456"/>
      <c r="BR29" s="144">
        <f t="shared" si="109"/>
        <v>178.91999999999996</v>
      </c>
      <c r="BS29" s="456">
        <f t="shared" si="40"/>
        <v>6.5005784166683551E-4</v>
      </c>
      <c r="BT29" s="456">
        <f t="shared" si="41"/>
        <v>9.3499421583331643E-3</v>
      </c>
      <c r="BU29" s="456">
        <f t="shared" si="42"/>
        <v>2.1599999999999998E-2</v>
      </c>
      <c r="BV29" s="456">
        <f t="shared" si="43"/>
        <v>3.4027221777421936E-2</v>
      </c>
      <c r="BW29" s="456">
        <f t="shared" si="44"/>
        <v>2.5989282032302756E-4</v>
      </c>
      <c r="BX29" s="144">
        <f t="shared" si="110"/>
        <v>34.287114597744967</v>
      </c>
      <c r="BY29" s="150">
        <f t="shared" si="45"/>
        <v>0.88153433929489111</v>
      </c>
      <c r="BZ29" s="5">
        <f t="shared" si="111"/>
        <v>1.44</v>
      </c>
      <c r="CA29" s="150">
        <f t="shared" si="112"/>
        <v>0.62027943142006869</v>
      </c>
      <c r="CB29" s="5">
        <f t="shared" si="113"/>
        <v>62.027943142006869</v>
      </c>
      <c r="CE29" s="59">
        <f t="shared" si="46"/>
        <v>-50</v>
      </c>
      <c r="CF29">
        <f t="shared" si="47"/>
        <v>-50</v>
      </c>
      <c r="CG29" s="150">
        <f t="shared" si="48"/>
        <v>0.59859675909580401</v>
      </c>
      <c r="CI29" s="147">
        <v>24</v>
      </c>
      <c r="CJ29" s="188">
        <f t="shared" si="114"/>
        <v>0.28799999999999998</v>
      </c>
      <c r="CK29" s="188"/>
      <c r="CL29" s="188">
        <f t="shared" si="49"/>
        <v>1.44</v>
      </c>
      <c r="CM29" s="465">
        <f t="shared" si="50"/>
        <v>48</v>
      </c>
      <c r="CN29" s="149">
        <f t="shared" si="51"/>
        <v>5.4</v>
      </c>
      <c r="CO29" s="379">
        <f t="shared" si="52"/>
        <v>53.4</v>
      </c>
      <c r="CP29" s="379"/>
      <c r="CQ29" s="188">
        <f t="shared" si="53"/>
        <v>0.10112359550561799</v>
      </c>
      <c r="CR29" s="149">
        <f t="shared" si="54"/>
        <v>12.426067415730339</v>
      </c>
      <c r="CS29" s="149">
        <f t="shared" si="115"/>
        <v>1.44</v>
      </c>
      <c r="CT29" s="188">
        <f t="shared" si="55"/>
        <v>2.4852134831460679</v>
      </c>
      <c r="CU29" s="188">
        <f t="shared" si="56"/>
        <v>5</v>
      </c>
      <c r="CV29" s="188">
        <f t="shared" si="57"/>
        <v>2.4269662921348316</v>
      </c>
      <c r="CW29" s="149">
        <f t="shared" si="58"/>
        <v>368.7186824570141</v>
      </c>
      <c r="CX29" s="149">
        <f t="shared" si="59"/>
        <v>5</v>
      </c>
      <c r="CY29" s="188">
        <f t="shared" si="60"/>
        <v>0.59333333333333327</v>
      </c>
      <c r="CZ29" s="188">
        <f t="shared" si="61"/>
        <v>0.14833333333333332</v>
      </c>
      <c r="DA29" s="188">
        <f t="shared" si="62"/>
        <v>1.3185185185185184</v>
      </c>
      <c r="DB29" s="172">
        <f t="shared" si="63"/>
        <v>350</v>
      </c>
      <c r="DC29" s="379">
        <f t="shared" si="116"/>
        <v>350</v>
      </c>
      <c r="DE29" s="188">
        <f t="shared" si="64"/>
        <v>1.1556982343499198</v>
      </c>
      <c r="DF29" s="150">
        <f t="shared" si="65"/>
        <v>2.5682182985553772</v>
      </c>
      <c r="DG29" s="150">
        <f t="shared" si="66"/>
        <v>0.51941493678648076</v>
      </c>
      <c r="DH29" s="150"/>
      <c r="DI29" s="150">
        <f t="shared" si="67"/>
        <v>2.2222222222222219</v>
      </c>
      <c r="DJ29" s="314">
        <f t="shared" si="117"/>
        <v>259.2</v>
      </c>
      <c r="DK29" s="456">
        <f t="shared" si="68"/>
        <v>0.38888888888888884</v>
      </c>
      <c r="DM29" s="150">
        <f t="shared" si="69"/>
        <v>0.86056459872076352</v>
      </c>
      <c r="DN29" s="150">
        <f t="shared" si="70"/>
        <v>1</v>
      </c>
      <c r="DO29" s="150">
        <f t="shared" si="71"/>
        <v>1.1481142857142856</v>
      </c>
      <c r="DQ29" s="314">
        <f t="shared" si="72"/>
        <v>288</v>
      </c>
      <c r="DR29" s="144">
        <f t="shared" si="73"/>
        <v>259.2</v>
      </c>
      <c r="DT29">
        <f t="shared" si="74"/>
        <v>288</v>
      </c>
      <c r="DU29" s="144">
        <f t="shared" si="75"/>
        <v>259.2</v>
      </c>
      <c r="DV29" s="144"/>
      <c r="DW29" s="5">
        <f t="shared" si="118"/>
        <v>3.8580246913580249</v>
      </c>
      <c r="DX29" s="5">
        <f t="shared" si="76"/>
        <v>0.25</v>
      </c>
      <c r="DY29" s="5">
        <f t="shared" si="119"/>
        <v>3.6080246913580249</v>
      </c>
      <c r="DZ29" s="5">
        <f t="shared" si="77"/>
        <v>2.2222222222222219</v>
      </c>
      <c r="EA29" s="150">
        <f t="shared" si="120"/>
        <v>6.4799999999999996E-2</v>
      </c>
      <c r="EB29" s="150">
        <f t="shared" si="78"/>
        <v>1.5552000000000001</v>
      </c>
      <c r="EC29" s="150">
        <f t="shared" si="79"/>
        <v>0.46760000000000002</v>
      </c>
      <c r="ED29" s="150">
        <f t="shared" si="121"/>
        <v>3.3259195893926434</v>
      </c>
      <c r="EE29" s="144">
        <f t="shared" si="80"/>
        <v>1.44</v>
      </c>
      <c r="EF29" s="5">
        <f t="shared" si="81"/>
        <v>4.5100308641975305E-2</v>
      </c>
      <c r="EG29" s="5"/>
      <c r="EH29" s="150">
        <f t="shared" si="122"/>
        <v>0.14696938456699069</v>
      </c>
      <c r="EI29" s="150">
        <f t="shared" si="82"/>
        <v>0.55833084576560277</v>
      </c>
      <c r="EJ29" s="150"/>
      <c r="EK29" s="456">
        <f t="shared" si="83"/>
        <v>4.3200000000000004E-4</v>
      </c>
      <c r="EL29" s="456">
        <f t="shared" si="84"/>
        <v>0.27682559999999995</v>
      </c>
      <c r="EM29" s="456">
        <f t="shared" si="85"/>
        <v>3.2399999999999991E-2</v>
      </c>
      <c r="EN29" s="456">
        <f t="shared" si="86"/>
        <v>7.3912435200000001E-2</v>
      </c>
      <c r="EO29">
        <f t="shared" si="87"/>
        <v>2.1600000000000001E-2</v>
      </c>
      <c r="EP29" s="144">
        <f t="shared" si="123"/>
        <v>53.999999999999993</v>
      </c>
      <c r="EQ29" s="456">
        <f t="shared" si="88"/>
        <v>0.40532827939164717</v>
      </c>
      <c r="ER29" s="144">
        <f t="shared" si="124"/>
        <v>405.32827939164719</v>
      </c>
      <c r="ES29" s="456">
        <f t="shared" si="125"/>
        <v>0.17891999999999997</v>
      </c>
      <c r="ET29" s="456"/>
      <c r="EV29" s="144">
        <f t="shared" si="126"/>
        <v>178.91999999999996</v>
      </c>
      <c r="EW29" s="456">
        <f t="shared" si="89"/>
        <v>6.4800000000000003E-4</v>
      </c>
      <c r="EX29" s="456">
        <f t="shared" si="90"/>
        <v>9.3519999999999992E-3</v>
      </c>
      <c r="EY29" s="456">
        <f t="shared" si="91"/>
        <v>5.408259195018647E-2</v>
      </c>
      <c r="EZ29" s="456">
        <f t="shared" si="92"/>
        <v>6.6535820606671806E-2</v>
      </c>
      <c r="FA29" s="456">
        <f t="shared" si="93"/>
        <v>2.5920000000000001E-4</v>
      </c>
      <c r="FB29" s="144">
        <f t="shared" si="127"/>
        <v>66.795020606671812</v>
      </c>
      <c r="FC29" s="150">
        <f t="shared" si="128"/>
        <v>0.651043299998319</v>
      </c>
      <c r="FD29" s="5">
        <f t="shared" si="129"/>
        <v>1.44</v>
      </c>
      <c r="FE29" s="150">
        <f t="shared" si="130"/>
        <v>0.68865144973380399</v>
      </c>
      <c r="FF29" s="5">
        <f t="shared" si="131"/>
        <v>68.865144973380396</v>
      </c>
      <c r="FI29" s="59">
        <f t="shared" si="94"/>
        <v>-50</v>
      </c>
      <c r="FJ29">
        <f t="shared" si="95"/>
        <v>-50</v>
      </c>
      <c r="FL29">
        <f t="shared" si="96"/>
        <v>0.57600000000000007</v>
      </c>
    </row>
    <row r="30" spans="5:168">
      <c r="E30" s="147">
        <v>25</v>
      </c>
      <c r="F30" s="188">
        <f t="shared" si="97"/>
        <v>0.3</v>
      </c>
      <c r="G30" s="188"/>
      <c r="H30" s="188">
        <f t="shared" si="0"/>
        <v>1.5</v>
      </c>
      <c r="I30" s="465">
        <f t="shared" si="1"/>
        <v>47.975943738783762</v>
      </c>
      <c r="J30" s="149">
        <f t="shared" si="2"/>
        <v>5.4144337567297409</v>
      </c>
      <c r="K30" s="149">
        <f t="shared" si="3"/>
        <v>53.414433756729743</v>
      </c>
      <c r="L30" s="379"/>
      <c r="M30" s="188">
        <f t="shared" si="4"/>
        <v>0.10142169478204008</v>
      </c>
      <c r="N30" s="149">
        <f t="shared" si="5"/>
        <v>12.45645189825345</v>
      </c>
      <c r="O30" s="149">
        <f t="shared" si="98"/>
        <v>1.5</v>
      </c>
      <c r="P30" s="188">
        <f t="shared" si="6"/>
        <v>2.4912903796506898</v>
      </c>
      <c r="Q30" s="188">
        <f t="shared" si="7"/>
        <v>5</v>
      </c>
      <c r="R30" s="188">
        <f t="shared" si="8"/>
        <v>2.4329007613776268</v>
      </c>
      <c r="S30" s="149">
        <f t="shared" si="9"/>
        <v>351.87806250302299</v>
      </c>
      <c r="T30" s="149">
        <f t="shared" si="10"/>
        <v>5</v>
      </c>
      <c r="U30" s="188">
        <f t="shared" si="99"/>
        <v>0.66772144009693557</v>
      </c>
      <c r="V30" s="188">
        <f t="shared" si="11"/>
        <v>0.16701406281427233</v>
      </c>
      <c r="W30" s="188">
        <f t="shared" si="12"/>
        <v>1.4798698518019702</v>
      </c>
      <c r="X30" s="172">
        <f t="shared" si="13"/>
        <v>350</v>
      </c>
      <c r="Y30" s="379">
        <f t="shared" si="14"/>
        <v>350</v>
      </c>
      <c r="AA30" s="188">
        <f t="shared" si="15"/>
        <v>1.1584153116090465</v>
      </c>
      <c r="AB30" s="150">
        <f t="shared" si="16"/>
        <v>2.5673938151022098</v>
      </c>
      <c r="AC30" s="150">
        <f t="shared" si="17"/>
        <v>0.52046895361033396</v>
      </c>
      <c r="AD30" s="150"/>
      <c r="AE30" s="150">
        <f t="shared" si="18"/>
        <v>2.216298238958947</v>
      </c>
      <c r="AF30" s="314">
        <f t="shared" si="100"/>
        <v>270.72168783648709</v>
      </c>
      <c r="AG30" s="456">
        <f t="shared" si="19"/>
        <v>0.38785219181781572</v>
      </c>
      <c r="AI30" s="150">
        <f t="shared" si="20"/>
        <v>0.87948310766931581</v>
      </c>
      <c r="AJ30" s="150">
        <f t="shared" si="21"/>
        <v>1</v>
      </c>
      <c r="AK30" s="150">
        <f t="shared" si="22"/>
        <v>1.1546981073351354</v>
      </c>
      <c r="AM30" s="314">
        <f t="shared" si="23"/>
        <v>300</v>
      </c>
      <c r="AN30" s="144">
        <f t="shared" si="24"/>
        <v>270.72168783648709</v>
      </c>
      <c r="AP30">
        <f t="shared" si="25"/>
        <v>300</v>
      </c>
      <c r="AQ30" s="144">
        <f t="shared" si="26"/>
        <v>270.72168783648709</v>
      </c>
      <c r="AR30" s="144"/>
      <c r="AS30" s="5">
        <f t="shared" si="101"/>
        <v>3.693830398264911</v>
      </c>
      <c r="AT30" s="5">
        <f t="shared" si="27"/>
        <v>0.25012535585202456</v>
      </c>
      <c r="AU30" s="5">
        <f t="shared" si="102"/>
        <v>3.4437050424128866</v>
      </c>
      <c r="AV30" s="5">
        <f t="shared" si="28"/>
        <v>2.216298238958947</v>
      </c>
      <c r="AW30" s="150">
        <f t="shared" si="103"/>
        <v>6.7714358506962044E-2</v>
      </c>
      <c r="AX30" s="150">
        <f t="shared" si="29"/>
        <v>1.6243301270189225</v>
      </c>
      <c r="AY30" s="150">
        <f t="shared" si="30"/>
        <v>0.46614282074651897</v>
      </c>
      <c r="AZ30" s="150">
        <f t="shared" si="104"/>
        <v>3.484618993847397</v>
      </c>
      <c r="BA30" s="144">
        <f t="shared" si="31"/>
        <v>1.5007521351121473</v>
      </c>
      <c r="BB30" s="5">
        <f t="shared" si="32"/>
        <v>4.4862393186611178E-2</v>
      </c>
      <c r="BC30" s="5"/>
      <c r="BD30" s="150">
        <f t="shared" si="105"/>
        <v>0.15023798732562285</v>
      </c>
      <c r="BE30" s="150">
        <f t="shared" si="33"/>
        <v>0.55746020530409102</v>
      </c>
      <c r="BF30" s="150"/>
      <c r="BG30" s="456">
        <f t="shared" si="34"/>
        <v>4.5142905671308029E-4</v>
      </c>
      <c r="BH30" s="456">
        <f t="shared" si="35"/>
        <v>0.271133356152227</v>
      </c>
      <c r="BI30" s="456">
        <f t="shared" si="36"/>
        <v>0.32470321161279714</v>
      </c>
      <c r="BJ30" s="456">
        <f t="shared" si="37"/>
        <v>7.723965168764238E-2</v>
      </c>
      <c r="BK30">
        <f t="shared" si="38"/>
        <v>2.1589174682452691E-2</v>
      </c>
      <c r="BL30" s="144">
        <f t="shared" si="106"/>
        <v>346.29238629524986</v>
      </c>
      <c r="BM30" s="456">
        <f t="shared" si="39"/>
        <v>0.34898375458023101</v>
      </c>
      <c r="BN30" s="144">
        <f t="shared" si="107"/>
        <v>348.98375458023099</v>
      </c>
      <c r="BO30" s="456">
        <f t="shared" si="108"/>
        <v>0.18637499999999999</v>
      </c>
      <c r="BP30" s="456"/>
      <c r="BR30" s="144">
        <f t="shared" si="109"/>
        <v>186.37499999999997</v>
      </c>
      <c r="BS30" s="456">
        <f t="shared" si="40"/>
        <v>6.7714358506962041E-4</v>
      </c>
      <c r="BT30" s="456">
        <f t="shared" si="41"/>
        <v>9.3228564149303791E-3</v>
      </c>
      <c r="BU30" s="456">
        <f t="shared" si="42"/>
        <v>2.2499999999999999E-2</v>
      </c>
      <c r="BV30" s="456">
        <f t="shared" si="43"/>
        <v>3.4927942353883107E-2</v>
      </c>
      <c r="BW30" s="456">
        <f t="shared" si="44"/>
        <v>2.7072168783648712E-4</v>
      </c>
      <c r="BX30" s="144">
        <f t="shared" si="110"/>
        <v>35.198664041719589</v>
      </c>
      <c r="BY30" s="150">
        <f t="shared" si="45"/>
        <v>0.91684980491720036</v>
      </c>
      <c r="BZ30" s="5">
        <f t="shared" si="111"/>
        <v>1.5</v>
      </c>
      <c r="CA30" s="150">
        <f t="shared" si="112"/>
        <v>0.6206426220397212</v>
      </c>
      <c r="CB30" s="5">
        <f t="shared" si="113"/>
        <v>62.06426220397212</v>
      </c>
      <c r="CE30" s="59">
        <f t="shared" si="46"/>
        <v>-50</v>
      </c>
      <c r="CF30">
        <f t="shared" si="47"/>
        <v>-50</v>
      </c>
      <c r="CG30" s="150">
        <f t="shared" si="48"/>
        <v>0.62353829072479583</v>
      </c>
      <c r="CI30" s="147">
        <v>25</v>
      </c>
      <c r="CJ30" s="188">
        <f t="shared" si="114"/>
        <v>0.3</v>
      </c>
      <c r="CK30" s="188"/>
      <c r="CL30" s="188">
        <f t="shared" si="49"/>
        <v>1.5</v>
      </c>
      <c r="CM30" s="465">
        <f t="shared" si="50"/>
        <v>48</v>
      </c>
      <c r="CN30" s="149">
        <f t="shared" si="51"/>
        <v>5.4</v>
      </c>
      <c r="CO30" s="379">
        <f t="shared" si="52"/>
        <v>53.4</v>
      </c>
      <c r="CP30" s="379"/>
      <c r="CQ30" s="188">
        <f t="shared" si="53"/>
        <v>0.10112359550561799</v>
      </c>
      <c r="CR30" s="149">
        <f t="shared" si="54"/>
        <v>12.426067415730339</v>
      </c>
      <c r="CS30" s="149">
        <f t="shared" si="115"/>
        <v>1.5</v>
      </c>
      <c r="CT30" s="188">
        <f t="shared" si="55"/>
        <v>2.4852134831460679</v>
      </c>
      <c r="CU30" s="188">
        <f t="shared" si="56"/>
        <v>5</v>
      </c>
      <c r="CV30" s="188">
        <f t="shared" si="57"/>
        <v>2.4269662921348316</v>
      </c>
      <c r="CW30" s="149">
        <f t="shared" si="58"/>
        <v>352.05447512049165</v>
      </c>
      <c r="CX30" s="149">
        <f t="shared" si="59"/>
        <v>5</v>
      </c>
      <c r="CY30" s="188">
        <f t="shared" si="60"/>
        <v>0.61805555555555547</v>
      </c>
      <c r="CZ30" s="188">
        <f t="shared" si="61"/>
        <v>0.15451388888888887</v>
      </c>
      <c r="DA30" s="188">
        <f t="shared" si="62"/>
        <v>1.3734567901234565</v>
      </c>
      <c r="DB30" s="172">
        <f t="shared" si="63"/>
        <v>350</v>
      </c>
      <c r="DC30" s="379">
        <f t="shared" si="116"/>
        <v>350</v>
      </c>
      <c r="DE30" s="188">
        <f t="shared" si="64"/>
        <v>1.1556982343499198</v>
      </c>
      <c r="DF30" s="150">
        <f t="shared" si="65"/>
        <v>2.5682182985553772</v>
      </c>
      <c r="DG30" s="150">
        <f t="shared" si="66"/>
        <v>0.51941493678648076</v>
      </c>
      <c r="DH30" s="150"/>
      <c r="DI30" s="150">
        <f t="shared" si="67"/>
        <v>2.2222222222222219</v>
      </c>
      <c r="DJ30" s="314">
        <f t="shared" si="117"/>
        <v>270</v>
      </c>
      <c r="DK30" s="456">
        <f t="shared" si="68"/>
        <v>0.38888888888888884</v>
      </c>
      <c r="DM30" s="150">
        <f t="shared" si="69"/>
        <v>0.87831006565367986</v>
      </c>
      <c r="DN30" s="150">
        <f t="shared" si="70"/>
        <v>1</v>
      </c>
      <c r="DO30" s="150">
        <f t="shared" si="71"/>
        <v>1.1542857142857144</v>
      </c>
      <c r="DQ30" s="314">
        <f t="shared" si="72"/>
        <v>300</v>
      </c>
      <c r="DR30" s="144">
        <f t="shared" si="73"/>
        <v>270</v>
      </c>
      <c r="DT30">
        <f t="shared" si="74"/>
        <v>300</v>
      </c>
      <c r="DU30" s="144">
        <f t="shared" si="75"/>
        <v>270</v>
      </c>
      <c r="DV30" s="144"/>
      <c r="DW30" s="5">
        <f t="shared" si="118"/>
        <v>3.7037037037037037</v>
      </c>
      <c r="DX30" s="5">
        <f t="shared" si="76"/>
        <v>0.25</v>
      </c>
      <c r="DY30" s="5">
        <f t="shared" si="119"/>
        <v>3.4537037037037037</v>
      </c>
      <c r="DZ30" s="5">
        <f t="shared" si="77"/>
        <v>2.2222222222222219</v>
      </c>
      <c r="EA30" s="150">
        <f t="shared" si="120"/>
        <v>6.7500000000000004E-2</v>
      </c>
      <c r="EB30" s="150">
        <f t="shared" si="78"/>
        <v>1.62</v>
      </c>
      <c r="EC30" s="150">
        <f t="shared" si="79"/>
        <v>0.46625</v>
      </c>
      <c r="ED30" s="150">
        <f t="shared" si="121"/>
        <v>3.4745308310991958</v>
      </c>
      <c r="EE30" s="144">
        <f t="shared" si="80"/>
        <v>1.5</v>
      </c>
      <c r="EF30" s="5">
        <f t="shared" si="81"/>
        <v>4.4970100308641972E-2</v>
      </c>
      <c r="EG30" s="5"/>
      <c r="EH30" s="150">
        <f t="shared" si="122"/>
        <v>0.15000000000000002</v>
      </c>
      <c r="EI30" s="150">
        <f t="shared" si="82"/>
        <v>0.55752428945592436</v>
      </c>
      <c r="EJ30" s="150"/>
      <c r="EK30" s="456">
        <f t="shared" si="83"/>
        <v>4.5000000000000015E-4</v>
      </c>
      <c r="EL30" s="456">
        <f t="shared" si="84"/>
        <v>0.28836000000000001</v>
      </c>
      <c r="EM30" s="456">
        <f t="shared" si="85"/>
        <v>3.3750000000000002E-2</v>
      </c>
      <c r="EN30" s="456">
        <f t="shared" si="86"/>
        <v>7.6992119999999997E-2</v>
      </c>
      <c r="EO30">
        <f t="shared" si="87"/>
        <v>2.1600000000000001E-2</v>
      </c>
      <c r="EP30" s="144">
        <f t="shared" si="123"/>
        <v>55.35</v>
      </c>
      <c r="EQ30" s="456">
        <f t="shared" si="88"/>
        <v>0.42131866739191759</v>
      </c>
      <c r="ER30" s="144">
        <f t="shared" si="124"/>
        <v>421.31866739191759</v>
      </c>
      <c r="ES30" s="456">
        <f t="shared" si="125"/>
        <v>0.18637499999999999</v>
      </c>
      <c r="ET30" s="456"/>
      <c r="EV30" s="144">
        <f t="shared" si="126"/>
        <v>186.37499999999997</v>
      </c>
      <c r="EW30" s="456">
        <f t="shared" si="89"/>
        <v>6.7500000000000014E-4</v>
      </c>
      <c r="EX30" s="456">
        <f t="shared" si="90"/>
        <v>9.325E-3</v>
      </c>
      <c r="EY30" s="456">
        <f t="shared" si="91"/>
        <v>5.9893461663189984E-2</v>
      </c>
      <c r="EZ30" s="456">
        <f t="shared" si="92"/>
        <v>7.2351342737379878E-2</v>
      </c>
      <c r="FA30" s="456">
        <f t="shared" si="93"/>
        <v>2.7E-4</v>
      </c>
      <c r="FB30" s="144">
        <f t="shared" si="127"/>
        <v>72.621342737379891</v>
      </c>
      <c r="FC30" s="150">
        <f t="shared" si="128"/>
        <v>0.6803150101292974</v>
      </c>
      <c r="FD30" s="5">
        <f t="shared" si="129"/>
        <v>1.5</v>
      </c>
      <c r="FE30" s="150">
        <f t="shared" si="130"/>
        <v>0.6879739822141786</v>
      </c>
      <c r="FF30" s="5">
        <f t="shared" si="131"/>
        <v>68.797398221417865</v>
      </c>
      <c r="FI30" s="59">
        <f t="shared" si="94"/>
        <v>-50</v>
      </c>
      <c r="FJ30">
        <f t="shared" si="95"/>
        <v>-50</v>
      </c>
      <c r="FL30">
        <f t="shared" si="96"/>
        <v>0.6</v>
      </c>
    </row>
    <row r="31" spans="5:168">
      <c r="E31" s="147">
        <v>26</v>
      </c>
      <c r="F31" s="188">
        <f t="shared" si="97"/>
        <v>0.312</v>
      </c>
      <c r="G31" s="188"/>
      <c r="H31" s="188">
        <f t="shared" si="0"/>
        <v>1.56</v>
      </c>
      <c r="I31" s="465">
        <f t="shared" si="1"/>
        <v>47.975943738783762</v>
      </c>
      <c r="J31" s="149">
        <f t="shared" si="2"/>
        <v>5.4144337567297409</v>
      </c>
      <c r="K31" s="149">
        <f t="shared" si="3"/>
        <v>53.414433756729743</v>
      </c>
      <c r="L31" s="379"/>
      <c r="M31" s="188">
        <f t="shared" si="4"/>
        <v>0.10142169478204008</v>
      </c>
      <c r="N31" s="149">
        <f t="shared" si="5"/>
        <v>12.45645189825345</v>
      </c>
      <c r="O31" s="149">
        <f t="shared" si="98"/>
        <v>1.56</v>
      </c>
      <c r="P31" s="188">
        <f t="shared" si="6"/>
        <v>2.4912903796506898</v>
      </c>
      <c r="Q31" s="188">
        <f t="shared" si="7"/>
        <v>5</v>
      </c>
      <c r="R31" s="188">
        <f t="shared" si="8"/>
        <v>2.4329007613776268</v>
      </c>
      <c r="S31" s="149">
        <f t="shared" si="9"/>
        <v>336.50364340016887</v>
      </c>
      <c r="T31" s="149">
        <f t="shared" si="10"/>
        <v>5</v>
      </c>
      <c r="U31" s="188">
        <f t="shared" si="99"/>
        <v>0.69443029770081299</v>
      </c>
      <c r="V31" s="188">
        <f t="shared" si="11"/>
        <v>0.17369462532684327</v>
      </c>
      <c r="W31" s="188">
        <f t="shared" si="12"/>
        <v>1.5390646458740493</v>
      </c>
      <c r="X31" s="172">
        <f t="shared" si="13"/>
        <v>350</v>
      </c>
      <c r="Y31" s="379">
        <f t="shared" si="14"/>
        <v>350</v>
      </c>
      <c r="AA31" s="188">
        <f t="shared" si="15"/>
        <v>1.1584153116090465</v>
      </c>
      <c r="AB31" s="150">
        <f t="shared" si="16"/>
        <v>2.5673938151022098</v>
      </c>
      <c r="AC31" s="150">
        <f t="shared" si="17"/>
        <v>0.52046895361033396</v>
      </c>
      <c r="AD31" s="150"/>
      <c r="AE31" s="150">
        <f t="shared" si="18"/>
        <v>2.216298238958947</v>
      </c>
      <c r="AF31" s="314">
        <f t="shared" si="100"/>
        <v>281.55055534994653</v>
      </c>
      <c r="AG31" s="456">
        <f t="shared" si="19"/>
        <v>0.38785219181781572</v>
      </c>
      <c r="AI31" s="150">
        <f t="shared" si="20"/>
        <v>0.89690030557621314</v>
      </c>
      <c r="AJ31" s="150">
        <f t="shared" si="21"/>
        <v>1</v>
      </c>
      <c r="AK31" s="150">
        <f t="shared" si="22"/>
        <v>1.160886031628541</v>
      </c>
      <c r="AM31" s="314">
        <f t="shared" si="23"/>
        <v>312</v>
      </c>
      <c r="AN31" s="144">
        <f t="shared" si="24"/>
        <v>281.55055534994653</v>
      </c>
      <c r="AP31">
        <f t="shared" si="25"/>
        <v>312</v>
      </c>
      <c r="AQ31" s="144">
        <f t="shared" si="26"/>
        <v>281.55055534994653</v>
      </c>
      <c r="AR31" s="144"/>
      <c r="AS31" s="5">
        <f t="shared" si="101"/>
        <v>3.5517599983316455</v>
      </c>
      <c r="AT31" s="5">
        <f t="shared" si="27"/>
        <v>0.25012535585202456</v>
      </c>
      <c r="AU31" s="5">
        <f t="shared" si="102"/>
        <v>3.301634642479621</v>
      </c>
      <c r="AV31" s="5">
        <f t="shared" si="28"/>
        <v>2.216298238958947</v>
      </c>
      <c r="AW31" s="150">
        <f t="shared" si="103"/>
        <v>7.0422932847240521E-2</v>
      </c>
      <c r="AX31" s="150">
        <f t="shared" si="29"/>
        <v>1.6893033320996793</v>
      </c>
      <c r="AY31" s="150">
        <f t="shared" si="30"/>
        <v>0.46478853357637973</v>
      </c>
      <c r="AZ31" s="150">
        <f t="shared" si="104"/>
        <v>3.6345632692379497</v>
      </c>
      <c r="BA31" s="144">
        <f t="shared" si="31"/>
        <v>1.5607822205166333</v>
      </c>
      <c r="BB31" s="5">
        <f t="shared" si="32"/>
        <v>4.4732054241527631E-2</v>
      </c>
      <c r="BC31" s="5"/>
      <c r="BD31" s="150">
        <f t="shared" si="105"/>
        <v>0.15321328581125129</v>
      </c>
      <c r="BE31" s="150">
        <f t="shared" si="33"/>
        <v>0.5566498202499065</v>
      </c>
      <c r="BF31" s="150"/>
      <c r="BG31" s="456">
        <f t="shared" si="34"/>
        <v>4.6948621898160355E-4</v>
      </c>
      <c r="BH31" s="456">
        <f t="shared" si="35"/>
        <v>0.28197869039831608</v>
      </c>
      <c r="BI31" s="456">
        <f t="shared" si="36"/>
        <v>0.33769134007730894</v>
      </c>
      <c r="BJ31" s="456">
        <f t="shared" si="37"/>
        <v>8.0329237755148053E-2</v>
      </c>
      <c r="BK31">
        <f t="shared" si="38"/>
        <v>2.1589174682452691E-2</v>
      </c>
      <c r="BL31" s="144">
        <f t="shared" si="106"/>
        <v>359.28051475976162</v>
      </c>
      <c r="BM31" s="456">
        <f t="shared" si="39"/>
        <v>0.36294466210163606</v>
      </c>
      <c r="BN31" s="144">
        <f t="shared" si="107"/>
        <v>362.94466210163608</v>
      </c>
      <c r="BO31" s="456">
        <f t="shared" si="108"/>
        <v>0.19382999999999997</v>
      </c>
      <c r="BP31" s="456"/>
      <c r="BR31" s="144">
        <f t="shared" si="109"/>
        <v>193.82999999999998</v>
      </c>
      <c r="BS31" s="456">
        <f t="shared" si="40"/>
        <v>7.0422932847240532E-4</v>
      </c>
      <c r="BT31" s="456">
        <f t="shared" si="41"/>
        <v>9.2957706715275958E-3</v>
      </c>
      <c r="BU31" s="456">
        <f t="shared" si="42"/>
        <v>2.3400000000000001E-2</v>
      </c>
      <c r="BV31" s="456">
        <f t="shared" si="43"/>
        <v>3.5828662930344285E-2</v>
      </c>
      <c r="BW31" s="456">
        <f t="shared" si="44"/>
        <v>2.8155055534994657E-4</v>
      </c>
      <c r="BX31" s="144">
        <f t="shared" si="110"/>
        <v>36.110213485694231</v>
      </c>
      <c r="BY31" s="150">
        <f t="shared" si="45"/>
        <v>0.95216539034709191</v>
      </c>
      <c r="BZ31" s="5">
        <f t="shared" si="111"/>
        <v>1.56</v>
      </c>
      <c r="CA31" s="150">
        <f t="shared" si="112"/>
        <v>0.62097822300802552</v>
      </c>
      <c r="CB31" s="5">
        <f t="shared" si="113"/>
        <v>62.097822300802555</v>
      </c>
      <c r="CE31" s="59">
        <f t="shared" si="46"/>
        <v>-50</v>
      </c>
      <c r="CF31">
        <f t="shared" si="47"/>
        <v>-50</v>
      </c>
      <c r="CG31" s="150">
        <f t="shared" si="48"/>
        <v>0.64847982235378765</v>
      </c>
      <c r="CI31" s="147">
        <v>26</v>
      </c>
      <c r="CJ31" s="188">
        <f t="shared" si="114"/>
        <v>0.312</v>
      </c>
      <c r="CK31" s="188"/>
      <c r="CL31" s="188">
        <f t="shared" si="49"/>
        <v>1.56</v>
      </c>
      <c r="CM31" s="465">
        <f t="shared" si="50"/>
        <v>48</v>
      </c>
      <c r="CN31" s="149">
        <f t="shared" si="51"/>
        <v>5.4</v>
      </c>
      <c r="CO31" s="379">
        <f t="shared" si="52"/>
        <v>53.4</v>
      </c>
      <c r="CP31" s="379"/>
      <c r="CQ31" s="188">
        <f t="shared" si="53"/>
        <v>0.10112359550561799</v>
      </c>
      <c r="CR31" s="149">
        <f t="shared" si="54"/>
        <v>12.426067415730339</v>
      </c>
      <c r="CS31" s="149">
        <f t="shared" si="115"/>
        <v>1.56</v>
      </c>
      <c r="CT31" s="188">
        <f t="shared" si="55"/>
        <v>2.4852134831460679</v>
      </c>
      <c r="CU31" s="188">
        <f t="shared" si="56"/>
        <v>5</v>
      </c>
      <c r="CV31" s="188">
        <f t="shared" si="57"/>
        <v>2.4269662921348316</v>
      </c>
      <c r="CW31" s="149">
        <f t="shared" si="58"/>
        <v>336.67234568100156</v>
      </c>
      <c r="CX31" s="149">
        <f t="shared" si="59"/>
        <v>5</v>
      </c>
      <c r="CY31" s="188">
        <f t="shared" si="60"/>
        <v>0.64277777777777778</v>
      </c>
      <c r="CZ31" s="188">
        <f t="shared" si="61"/>
        <v>0.16069444444444442</v>
      </c>
      <c r="DA31" s="188">
        <f t="shared" si="62"/>
        <v>1.4283950617283949</v>
      </c>
      <c r="DB31" s="172">
        <f t="shared" si="63"/>
        <v>350</v>
      </c>
      <c r="DC31" s="379">
        <f t="shared" si="116"/>
        <v>350</v>
      </c>
      <c r="DE31" s="188">
        <f t="shared" si="64"/>
        <v>1.1556982343499198</v>
      </c>
      <c r="DF31" s="150">
        <f t="shared" si="65"/>
        <v>2.5682182985553772</v>
      </c>
      <c r="DG31" s="150">
        <f t="shared" si="66"/>
        <v>0.51941493678648076</v>
      </c>
      <c r="DH31" s="150"/>
      <c r="DI31" s="150">
        <f t="shared" si="67"/>
        <v>2.2222222222222219</v>
      </c>
      <c r="DJ31" s="314">
        <f t="shared" si="117"/>
        <v>280.8</v>
      </c>
      <c r="DK31" s="456">
        <f t="shared" si="68"/>
        <v>0.38888888888888884</v>
      </c>
      <c r="DM31" s="150">
        <f t="shared" si="69"/>
        <v>0.89570403275061472</v>
      </c>
      <c r="DN31" s="150">
        <f t="shared" si="70"/>
        <v>1</v>
      </c>
      <c r="DO31" s="150">
        <f t="shared" si="71"/>
        <v>1.1604571428571429</v>
      </c>
      <c r="DQ31" s="314">
        <f t="shared" si="72"/>
        <v>312</v>
      </c>
      <c r="DR31" s="144">
        <f t="shared" si="73"/>
        <v>280.8</v>
      </c>
      <c r="DT31">
        <f t="shared" si="74"/>
        <v>312</v>
      </c>
      <c r="DU31" s="144">
        <f t="shared" si="75"/>
        <v>280.8</v>
      </c>
      <c r="DV31" s="144"/>
      <c r="DW31" s="5">
        <f t="shared" si="118"/>
        <v>3.5612535612535612</v>
      </c>
      <c r="DX31" s="5">
        <f t="shared" si="76"/>
        <v>0.25</v>
      </c>
      <c r="DY31" s="5">
        <f t="shared" si="119"/>
        <v>3.3112535612535612</v>
      </c>
      <c r="DZ31" s="5">
        <f t="shared" si="77"/>
        <v>2.2222222222222219</v>
      </c>
      <c r="EA31" s="150">
        <f t="shared" si="120"/>
        <v>7.0199999999999999E-2</v>
      </c>
      <c r="EB31" s="150">
        <f t="shared" si="78"/>
        <v>1.6848000000000001</v>
      </c>
      <c r="EC31" s="150">
        <f t="shared" si="79"/>
        <v>0.46489999999999998</v>
      </c>
      <c r="ED31" s="150">
        <f t="shared" si="121"/>
        <v>3.6240051624005165</v>
      </c>
      <c r="EE31" s="144">
        <f t="shared" si="80"/>
        <v>1.56</v>
      </c>
      <c r="EF31" s="5">
        <f t="shared" si="81"/>
        <v>4.4839891975308639E-2</v>
      </c>
      <c r="EG31" s="5"/>
      <c r="EH31" s="150">
        <f t="shared" si="122"/>
        <v>0.15297058540778355</v>
      </c>
      <c r="EI31" s="150">
        <f t="shared" si="82"/>
        <v>0.55671656462991415</v>
      </c>
      <c r="EJ31" s="150"/>
      <c r="EK31" s="456">
        <f t="shared" si="83"/>
        <v>4.6800000000000005E-4</v>
      </c>
      <c r="EL31" s="456">
        <f t="shared" si="84"/>
        <v>0.29989440000000001</v>
      </c>
      <c r="EM31" s="456">
        <f t="shared" si="85"/>
        <v>3.5099999999999999E-2</v>
      </c>
      <c r="EN31" s="456">
        <f t="shared" si="86"/>
        <v>8.0071804799999993E-2</v>
      </c>
      <c r="EO31">
        <f t="shared" si="87"/>
        <v>2.1600000000000001E-2</v>
      </c>
      <c r="EP31" s="144">
        <f t="shared" si="123"/>
        <v>56.7</v>
      </c>
      <c r="EQ31" s="456">
        <f t="shared" si="88"/>
        <v>0.43730919218278136</v>
      </c>
      <c r="ER31" s="144">
        <f t="shared" si="124"/>
        <v>437.30919218278137</v>
      </c>
      <c r="ES31" s="456">
        <f t="shared" si="125"/>
        <v>0.19382999999999997</v>
      </c>
      <c r="ET31" s="456"/>
      <c r="EV31" s="144">
        <f t="shared" si="126"/>
        <v>193.82999999999998</v>
      </c>
      <c r="EW31" s="456">
        <f t="shared" si="89"/>
        <v>7.0200000000000004E-4</v>
      </c>
      <c r="EX31" s="456">
        <f t="shared" si="90"/>
        <v>9.2980000000000007E-3</v>
      </c>
      <c r="EY31" s="456">
        <f t="shared" si="91"/>
        <v>6.6063680165083266E-2</v>
      </c>
      <c r="EZ31" s="456">
        <f t="shared" si="92"/>
        <v>7.8526501366176199E-2</v>
      </c>
      <c r="FA31" s="456">
        <f t="shared" si="93"/>
        <v>2.8080000000000005E-4</v>
      </c>
      <c r="FB31" s="144">
        <f t="shared" si="127"/>
        <v>78.807301366176191</v>
      </c>
      <c r="FC31" s="150">
        <f t="shared" si="128"/>
        <v>0.70994649354895756</v>
      </c>
      <c r="FD31" s="5">
        <f t="shared" si="129"/>
        <v>1.56</v>
      </c>
      <c r="FE31" s="150">
        <f t="shared" si="130"/>
        <v>0.68724086864312439</v>
      </c>
      <c r="FF31" s="5">
        <f t="shared" si="131"/>
        <v>68.72408686431244</v>
      </c>
      <c r="FI31" s="59">
        <f t="shared" si="94"/>
        <v>-50</v>
      </c>
      <c r="FJ31">
        <f t="shared" si="95"/>
        <v>-50</v>
      </c>
      <c r="FL31">
        <f t="shared" si="96"/>
        <v>0.624</v>
      </c>
    </row>
    <row r="32" spans="5:168">
      <c r="E32" s="147">
        <v>27</v>
      </c>
      <c r="F32" s="188">
        <f t="shared" si="97"/>
        <v>0.32400000000000001</v>
      </c>
      <c r="G32" s="188"/>
      <c r="H32" s="188">
        <f t="shared" si="0"/>
        <v>1.62</v>
      </c>
      <c r="I32" s="465">
        <f t="shared" si="1"/>
        <v>47.975943738783762</v>
      </c>
      <c r="J32" s="149">
        <f t="shared" si="2"/>
        <v>5.4144337567297409</v>
      </c>
      <c r="K32" s="149">
        <f t="shared" si="3"/>
        <v>53.414433756729743</v>
      </c>
      <c r="L32" s="379"/>
      <c r="M32" s="188">
        <f t="shared" si="4"/>
        <v>0.10142169478204008</v>
      </c>
      <c r="N32" s="149">
        <f t="shared" si="5"/>
        <v>12.45645189825345</v>
      </c>
      <c r="O32" s="149">
        <f t="shared" si="98"/>
        <v>1.62</v>
      </c>
      <c r="P32" s="188">
        <f t="shared" si="6"/>
        <v>2.4912903796506898</v>
      </c>
      <c r="Q32" s="188">
        <f t="shared" si="7"/>
        <v>5</v>
      </c>
      <c r="R32" s="188">
        <f t="shared" si="8"/>
        <v>2.4329007613776268</v>
      </c>
      <c r="S32" s="149">
        <f t="shared" si="9"/>
        <v>322.26828134488062</v>
      </c>
      <c r="T32" s="149">
        <f t="shared" si="10"/>
        <v>5</v>
      </c>
      <c r="U32" s="188">
        <f t="shared" si="99"/>
        <v>0.72113915530469053</v>
      </c>
      <c r="V32" s="188">
        <f t="shared" si="11"/>
        <v>0.18037518783941417</v>
      </c>
      <c r="W32" s="188">
        <f t="shared" si="12"/>
        <v>1.5982594399461283</v>
      </c>
      <c r="X32" s="172">
        <f t="shared" si="13"/>
        <v>350</v>
      </c>
      <c r="Y32" s="379">
        <f t="shared" si="14"/>
        <v>350</v>
      </c>
      <c r="AA32" s="188">
        <f t="shared" si="15"/>
        <v>1.1584153116090465</v>
      </c>
      <c r="AB32" s="150">
        <f t="shared" si="16"/>
        <v>2.5673938151022098</v>
      </c>
      <c r="AC32" s="150">
        <f t="shared" si="17"/>
        <v>0.52046895361033396</v>
      </c>
      <c r="AD32" s="150"/>
      <c r="AE32" s="150">
        <f t="shared" si="18"/>
        <v>2.216298238958947</v>
      </c>
      <c r="AF32" s="314">
        <f t="shared" si="100"/>
        <v>292.37942286340603</v>
      </c>
      <c r="AG32" s="456">
        <f t="shared" si="19"/>
        <v>0.38785219181781572</v>
      </c>
      <c r="AI32" s="150">
        <f t="shared" si="20"/>
        <v>0.91398565612909466</v>
      </c>
      <c r="AJ32" s="150">
        <f t="shared" si="21"/>
        <v>1</v>
      </c>
      <c r="AK32" s="150">
        <f t="shared" si="22"/>
        <v>1.1670739559219463</v>
      </c>
      <c r="AM32" s="314">
        <f t="shared" si="23"/>
        <v>324</v>
      </c>
      <c r="AN32" s="144">
        <f t="shared" si="24"/>
        <v>292.37942286340603</v>
      </c>
      <c r="AP32">
        <f t="shared" si="25"/>
        <v>324</v>
      </c>
      <c r="AQ32" s="144">
        <f t="shared" si="26"/>
        <v>292.37942286340603</v>
      </c>
      <c r="AR32" s="144"/>
      <c r="AS32" s="5">
        <f t="shared" si="101"/>
        <v>3.42021333172677</v>
      </c>
      <c r="AT32" s="5">
        <f t="shared" si="27"/>
        <v>0.25012535585202456</v>
      </c>
      <c r="AU32" s="5">
        <f t="shared" si="102"/>
        <v>3.1700879758747456</v>
      </c>
      <c r="AV32" s="5">
        <f t="shared" si="28"/>
        <v>2.216298238958947</v>
      </c>
      <c r="AW32" s="150">
        <f t="shared" si="103"/>
        <v>7.3131507187518985E-2</v>
      </c>
      <c r="AX32" s="150">
        <f t="shared" si="29"/>
        <v>1.7542765371804363</v>
      </c>
      <c r="AY32" s="150">
        <f t="shared" si="30"/>
        <v>0.46343424640624054</v>
      </c>
      <c r="AZ32" s="150">
        <f t="shared" si="104"/>
        <v>3.7853839045866713</v>
      </c>
      <c r="BA32" s="144">
        <f t="shared" si="31"/>
        <v>1.620812305921119</v>
      </c>
      <c r="BB32" s="5">
        <f t="shared" si="32"/>
        <v>4.4601715296444092E-2</v>
      </c>
      <c r="BC32" s="5"/>
      <c r="BD32" s="150">
        <f t="shared" si="105"/>
        <v>0.15613189636492067</v>
      </c>
      <c r="BE32" s="150">
        <f t="shared" si="33"/>
        <v>0.55583825369510775</v>
      </c>
      <c r="BF32" s="150"/>
      <c r="BG32" s="456">
        <f t="shared" si="34"/>
        <v>4.8754338125012658E-4</v>
      </c>
      <c r="BH32" s="456">
        <f t="shared" si="35"/>
        <v>0.29282402464440516</v>
      </c>
      <c r="BI32" s="456">
        <f t="shared" si="36"/>
        <v>0.35067946854182086</v>
      </c>
      <c r="BJ32" s="456">
        <f t="shared" si="37"/>
        <v>8.3418823822653754E-2</v>
      </c>
      <c r="BK32">
        <f t="shared" si="38"/>
        <v>2.1589174682452691E-2</v>
      </c>
      <c r="BL32" s="144">
        <f t="shared" si="106"/>
        <v>372.26864322427355</v>
      </c>
      <c r="BM32" s="456">
        <f t="shared" si="39"/>
        <v>0.37690568943216551</v>
      </c>
      <c r="BN32" s="144">
        <f t="shared" si="107"/>
        <v>376.9056894321655</v>
      </c>
      <c r="BO32" s="456">
        <f t="shared" si="108"/>
        <v>0.20128499999999999</v>
      </c>
      <c r="BP32" s="456"/>
      <c r="BR32" s="144">
        <f t="shared" si="109"/>
        <v>201.285</v>
      </c>
      <c r="BS32" s="456">
        <f t="shared" si="40"/>
        <v>7.3131507187518979E-4</v>
      </c>
      <c r="BT32" s="456">
        <f t="shared" si="41"/>
        <v>9.2686849281248089E-3</v>
      </c>
      <c r="BU32" s="456">
        <f t="shared" si="42"/>
        <v>2.4300000000000002E-2</v>
      </c>
      <c r="BV32" s="456">
        <f t="shared" si="43"/>
        <v>3.6729383506805442E-2</v>
      </c>
      <c r="BW32" s="456">
        <f t="shared" si="44"/>
        <v>2.9237942286340602E-4</v>
      </c>
      <c r="BX32" s="144">
        <f t="shared" si="110"/>
        <v>37.021762929668846</v>
      </c>
      <c r="BY32" s="150">
        <f t="shared" si="45"/>
        <v>0.98748109558610797</v>
      </c>
      <c r="BZ32" s="5">
        <f t="shared" si="111"/>
        <v>1.62</v>
      </c>
      <c r="CA32" s="150">
        <f t="shared" si="112"/>
        <v>0.62128925986934436</v>
      </c>
      <c r="CB32" s="5">
        <f t="shared" si="113"/>
        <v>62.128925986934433</v>
      </c>
      <c r="CE32" s="59">
        <f t="shared" si="46"/>
        <v>-50</v>
      </c>
      <c r="CF32">
        <f t="shared" si="47"/>
        <v>-50</v>
      </c>
      <c r="CG32" s="150">
        <f t="shared" si="48"/>
        <v>0.67342135398277958</v>
      </c>
      <c r="CI32" s="147">
        <v>27</v>
      </c>
      <c r="CJ32" s="188">
        <f t="shared" si="114"/>
        <v>0.32400000000000001</v>
      </c>
      <c r="CK32" s="188"/>
      <c r="CL32" s="188">
        <f t="shared" si="49"/>
        <v>1.62</v>
      </c>
      <c r="CM32" s="465">
        <f t="shared" si="50"/>
        <v>48</v>
      </c>
      <c r="CN32" s="149">
        <f t="shared" si="51"/>
        <v>5.4</v>
      </c>
      <c r="CO32" s="379">
        <f t="shared" si="52"/>
        <v>53.4</v>
      </c>
      <c r="CP32" s="379"/>
      <c r="CQ32" s="188">
        <f t="shared" si="53"/>
        <v>0.10112359550561799</v>
      </c>
      <c r="CR32" s="149">
        <f t="shared" si="54"/>
        <v>12.426067415730339</v>
      </c>
      <c r="CS32" s="149">
        <f t="shared" si="115"/>
        <v>1.62</v>
      </c>
      <c r="CT32" s="188">
        <f t="shared" si="55"/>
        <v>2.4852134831460679</v>
      </c>
      <c r="CU32" s="188">
        <f t="shared" si="56"/>
        <v>5</v>
      </c>
      <c r="CV32" s="188">
        <f t="shared" si="57"/>
        <v>2.4269662921348316</v>
      </c>
      <c r="CW32" s="149">
        <f t="shared" si="58"/>
        <v>322.42984442560885</v>
      </c>
      <c r="CX32" s="149">
        <f t="shared" si="59"/>
        <v>5</v>
      </c>
      <c r="CY32" s="188">
        <f t="shared" si="60"/>
        <v>0.66749999999999998</v>
      </c>
      <c r="CZ32" s="188">
        <f t="shared" si="61"/>
        <v>0.166875</v>
      </c>
      <c r="DA32" s="188">
        <f t="shared" si="62"/>
        <v>1.4833333333333332</v>
      </c>
      <c r="DB32" s="172">
        <f t="shared" si="63"/>
        <v>350</v>
      </c>
      <c r="DC32" s="379">
        <f t="shared" si="116"/>
        <v>350</v>
      </c>
      <c r="DE32" s="188">
        <f t="shared" si="64"/>
        <v>1.1556982343499198</v>
      </c>
      <c r="DF32" s="150">
        <f t="shared" si="65"/>
        <v>2.5682182985553772</v>
      </c>
      <c r="DG32" s="150">
        <f t="shared" si="66"/>
        <v>0.51941493678648076</v>
      </c>
      <c r="DH32" s="150"/>
      <c r="DI32" s="150">
        <f t="shared" si="67"/>
        <v>2.2222222222222219</v>
      </c>
      <c r="DJ32" s="314">
        <f t="shared" si="117"/>
        <v>291.60000000000002</v>
      </c>
      <c r="DK32" s="456">
        <f t="shared" si="68"/>
        <v>0.38888888888888884</v>
      </c>
      <c r="DM32" s="150">
        <f t="shared" si="69"/>
        <v>0.91276659510679803</v>
      </c>
      <c r="DN32" s="150">
        <f t="shared" si="70"/>
        <v>1</v>
      </c>
      <c r="DO32" s="150">
        <f t="shared" si="71"/>
        <v>1.1666285714285713</v>
      </c>
      <c r="DQ32" s="314">
        <f t="shared" si="72"/>
        <v>324</v>
      </c>
      <c r="DR32" s="144">
        <f t="shared" si="73"/>
        <v>291.60000000000002</v>
      </c>
      <c r="DT32">
        <f t="shared" si="74"/>
        <v>324</v>
      </c>
      <c r="DU32" s="144">
        <f t="shared" si="75"/>
        <v>291.60000000000002</v>
      </c>
      <c r="DV32" s="144"/>
      <c r="DW32" s="5">
        <f t="shared" si="118"/>
        <v>3.4293552812071328</v>
      </c>
      <c r="DX32" s="5">
        <f t="shared" si="76"/>
        <v>0.25</v>
      </c>
      <c r="DY32" s="5">
        <f t="shared" si="119"/>
        <v>3.1793552812071328</v>
      </c>
      <c r="DZ32" s="5">
        <f t="shared" si="77"/>
        <v>2.2222222222222219</v>
      </c>
      <c r="EA32" s="150">
        <f t="shared" si="120"/>
        <v>7.2900000000000006E-2</v>
      </c>
      <c r="EB32" s="150">
        <f t="shared" si="78"/>
        <v>1.7496000000000003</v>
      </c>
      <c r="EC32" s="150">
        <f t="shared" si="79"/>
        <v>0.46355000000000002</v>
      </c>
      <c r="ED32" s="150">
        <f t="shared" si="121"/>
        <v>3.7743501240427144</v>
      </c>
      <c r="EE32" s="144">
        <f t="shared" si="80"/>
        <v>1.62</v>
      </c>
      <c r="EF32" s="5">
        <f t="shared" si="81"/>
        <v>4.4709683641975299E-2</v>
      </c>
      <c r="EG32" s="5"/>
      <c r="EH32" s="150">
        <f t="shared" si="122"/>
        <v>0.15588457268119896</v>
      </c>
      <c r="EI32" s="150">
        <f t="shared" si="82"/>
        <v>0.55590766619406617</v>
      </c>
      <c r="EJ32" s="150"/>
      <c r="EK32" s="456">
        <f t="shared" si="83"/>
        <v>4.86E-4</v>
      </c>
      <c r="EL32" s="456">
        <f t="shared" si="84"/>
        <v>0.31142880000000001</v>
      </c>
      <c r="EM32" s="456">
        <f t="shared" si="85"/>
        <v>3.6449999999999996E-2</v>
      </c>
      <c r="EN32" s="456">
        <f t="shared" si="86"/>
        <v>8.3151489600000003E-2</v>
      </c>
      <c r="EO32">
        <f t="shared" si="87"/>
        <v>2.1600000000000001E-2</v>
      </c>
      <c r="EP32" s="144">
        <f t="shared" si="123"/>
        <v>58.05</v>
      </c>
      <c r="EQ32" s="456">
        <f t="shared" si="88"/>
        <v>0.4532998537659938</v>
      </c>
      <c r="ER32" s="144">
        <f t="shared" si="124"/>
        <v>453.29985376599382</v>
      </c>
      <c r="ES32" s="456">
        <f t="shared" si="125"/>
        <v>0.20128499999999999</v>
      </c>
      <c r="ET32" s="456"/>
      <c r="EV32" s="144">
        <f t="shared" si="126"/>
        <v>201.285</v>
      </c>
      <c r="EW32" s="456">
        <f t="shared" si="89"/>
        <v>7.2899999999999994E-4</v>
      </c>
      <c r="EX32" s="456">
        <f t="shared" si="90"/>
        <v>9.2709999999999997E-3</v>
      </c>
      <c r="EY32" s="456">
        <f t="shared" si="91"/>
        <v>7.2600364886293858E-2</v>
      </c>
      <c r="EZ32" s="456">
        <f t="shared" si="92"/>
        <v>8.5068419621991451E-2</v>
      </c>
      <c r="FA32" s="456">
        <f t="shared" si="93"/>
        <v>2.9160000000000004E-4</v>
      </c>
      <c r="FB32" s="144">
        <f t="shared" si="127"/>
        <v>85.360019621991455</v>
      </c>
      <c r="FC32" s="150">
        <f t="shared" si="128"/>
        <v>0.73994487338798509</v>
      </c>
      <c r="FD32" s="5">
        <f t="shared" si="129"/>
        <v>1.62</v>
      </c>
      <c r="FE32" s="150">
        <f t="shared" si="130"/>
        <v>0.68645671272579134</v>
      </c>
      <c r="FF32" s="5">
        <f t="shared" si="131"/>
        <v>68.645671272579136</v>
      </c>
      <c r="FI32" s="59">
        <f t="shared" si="94"/>
        <v>-50</v>
      </c>
      <c r="FJ32">
        <f t="shared" si="95"/>
        <v>-50</v>
      </c>
      <c r="FL32">
        <f t="shared" si="96"/>
        <v>0.64800000000000002</v>
      </c>
    </row>
    <row r="33" spans="5:168">
      <c r="E33" s="147">
        <v>28</v>
      </c>
      <c r="F33" s="188">
        <f t="shared" si="97"/>
        <v>0.33600000000000002</v>
      </c>
      <c r="G33" s="188"/>
      <c r="H33" s="188">
        <f t="shared" si="0"/>
        <v>1.6800000000000002</v>
      </c>
      <c r="I33" s="465">
        <f t="shared" si="1"/>
        <v>47.975943738783762</v>
      </c>
      <c r="J33" s="149">
        <f t="shared" si="2"/>
        <v>5.4144337567297409</v>
      </c>
      <c r="K33" s="149">
        <f t="shared" si="3"/>
        <v>53.414433756729743</v>
      </c>
      <c r="L33" s="379"/>
      <c r="M33" s="188">
        <f t="shared" si="4"/>
        <v>0.10142169478204008</v>
      </c>
      <c r="N33" s="149">
        <f t="shared" si="5"/>
        <v>12.45645189825345</v>
      </c>
      <c r="O33" s="149">
        <f t="shared" si="98"/>
        <v>1.6800000000000002</v>
      </c>
      <c r="P33" s="188">
        <f t="shared" si="6"/>
        <v>2.4912903796506898</v>
      </c>
      <c r="Q33" s="188">
        <f t="shared" si="7"/>
        <v>5</v>
      </c>
      <c r="R33" s="188">
        <f t="shared" si="8"/>
        <v>2.4329007613776268</v>
      </c>
      <c r="S33" s="149">
        <f t="shared" si="9"/>
        <v>309.04993784692277</v>
      </c>
      <c r="T33" s="149">
        <f t="shared" si="10"/>
        <v>5</v>
      </c>
      <c r="U33" s="188">
        <f t="shared" si="99"/>
        <v>0.74784801290856795</v>
      </c>
      <c r="V33" s="188">
        <f t="shared" si="11"/>
        <v>0.18705575035198507</v>
      </c>
      <c r="W33" s="188">
        <f t="shared" si="12"/>
        <v>1.657454234018207</v>
      </c>
      <c r="X33" s="172">
        <f t="shared" si="13"/>
        <v>350</v>
      </c>
      <c r="Y33" s="379">
        <f t="shared" si="14"/>
        <v>350</v>
      </c>
      <c r="AA33" s="188">
        <f t="shared" si="15"/>
        <v>1.1584153116090465</v>
      </c>
      <c r="AB33" s="150">
        <f t="shared" si="16"/>
        <v>2.5673938151022098</v>
      </c>
      <c r="AC33" s="150">
        <f t="shared" si="17"/>
        <v>0.52046895361033396</v>
      </c>
      <c r="AD33" s="150"/>
      <c r="AE33" s="150">
        <f t="shared" si="18"/>
        <v>2.216298238958947</v>
      </c>
      <c r="AF33" s="314">
        <f t="shared" si="100"/>
        <v>303.20829037686553</v>
      </c>
      <c r="AG33" s="456">
        <f t="shared" si="19"/>
        <v>0.38785219181781572</v>
      </c>
      <c r="AI33" s="150">
        <f t="shared" si="20"/>
        <v>0.93075743407010114</v>
      </c>
      <c r="AJ33" s="150">
        <f t="shared" si="21"/>
        <v>1</v>
      </c>
      <c r="AK33" s="150">
        <f t="shared" si="22"/>
        <v>1.1732618802153518</v>
      </c>
      <c r="AM33" s="314">
        <f t="shared" si="23"/>
        <v>336</v>
      </c>
      <c r="AN33" s="144">
        <f t="shared" si="24"/>
        <v>303.20829037686553</v>
      </c>
      <c r="AP33">
        <f t="shared" si="25"/>
        <v>336</v>
      </c>
      <c r="AQ33" s="144">
        <f t="shared" si="26"/>
        <v>303.20829037686553</v>
      </c>
      <c r="AR33" s="144"/>
      <c r="AS33" s="5">
        <f t="shared" si="101"/>
        <v>3.2980628555936704</v>
      </c>
      <c r="AT33" s="5">
        <f t="shared" si="27"/>
        <v>0.25012535585202456</v>
      </c>
      <c r="AU33" s="5">
        <f t="shared" si="102"/>
        <v>3.047937499741646</v>
      </c>
      <c r="AV33" s="5">
        <f t="shared" si="28"/>
        <v>2.216298238958947</v>
      </c>
      <c r="AW33" s="150">
        <f t="shared" si="103"/>
        <v>7.584008152779749E-2</v>
      </c>
      <c r="AX33" s="150">
        <f t="shared" si="29"/>
        <v>1.8192497422611933</v>
      </c>
      <c r="AY33" s="150">
        <f t="shared" si="30"/>
        <v>0.46207995923610123</v>
      </c>
      <c r="AZ33" s="150">
        <f t="shared" si="104"/>
        <v>3.9370886053330043</v>
      </c>
      <c r="BA33" s="144">
        <f t="shared" si="31"/>
        <v>1.680842391325605</v>
      </c>
      <c r="BB33" s="5">
        <f t="shared" si="32"/>
        <v>4.4471376351360545E-2</v>
      </c>
      <c r="BC33" s="5"/>
      <c r="BD33" s="150">
        <f t="shared" si="105"/>
        <v>0.15899694077538881</v>
      </c>
      <c r="BE33" s="150">
        <f t="shared" si="33"/>
        <v>0.55502550045687171</v>
      </c>
      <c r="BF33" s="150"/>
      <c r="BG33" s="456">
        <f t="shared" si="34"/>
        <v>5.0560054351864994E-4</v>
      </c>
      <c r="BH33" s="456">
        <f t="shared" si="35"/>
        <v>0.30366935889049423</v>
      </c>
      <c r="BI33" s="456">
        <f t="shared" si="36"/>
        <v>0.36366759700633272</v>
      </c>
      <c r="BJ33" s="456">
        <f t="shared" si="37"/>
        <v>8.6508409890159454E-2</v>
      </c>
      <c r="BK33">
        <f t="shared" si="38"/>
        <v>2.1589174682452691E-2</v>
      </c>
      <c r="BL33" s="144">
        <f t="shared" si="106"/>
        <v>385.25677168878542</v>
      </c>
      <c r="BM33" s="456">
        <f t="shared" si="39"/>
        <v>0.39086683657336196</v>
      </c>
      <c r="BN33" s="144">
        <f t="shared" si="107"/>
        <v>390.86683657336198</v>
      </c>
      <c r="BO33" s="456">
        <f t="shared" si="108"/>
        <v>0.20873999999999998</v>
      </c>
      <c r="BP33" s="456"/>
      <c r="BR33" s="144">
        <f t="shared" si="109"/>
        <v>208.73999999999998</v>
      </c>
      <c r="BS33" s="456">
        <f t="shared" si="40"/>
        <v>7.5840081527797491E-4</v>
      </c>
      <c r="BT33" s="456">
        <f t="shared" si="41"/>
        <v>9.2415991847220273E-3</v>
      </c>
      <c r="BU33" s="456">
        <f t="shared" si="42"/>
        <v>2.52E-2</v>
      </c>
      <c r="BV33" s="456">
        <f t="shared" si="43"/>
        <v>3.7630104083266613E-2</v>
      </c>
      <c r="BW33" s="456">
        <f t="shared" si="44"/>
        <v>3.0320829037686558E-4</v>
      </c>
      <c r="BX33" s="144">
        <f t="shared" si="110"/>
        <v>37.933312373643481</v>
      </c>
      <c r="BY33" s="150">
        <f t="shared" si="45"/>
        <v>1.022796920635791</v>
      </c>
      <c r="BZ33" s="5">
        <f t="shared" si="111"/>
        <v>1.6800000000000002</v>
      </c>
      <c r="CA33" s="150">
        <f t="shared" si="112"/>
        <v>0.6215783313845149</v>
      </c>
      <c r="CB33" s="5">
        <f t="shared" si="113"/>
        <v>62.157833138451494</v>
      </c>
      <c r="CE33" s="59">
        <f t="shared" si="46"/>
        <v>-50</v>
      </c>
      <c r="CF33">
        <f t="shared" si="47"/>
        <v>-50</v>
      </c>
      <c r="CG33" s="150">
        <f t="shared" si="48"/>
        <v>0.69836288561177151</v>
      </c>
      <c r="CI33" s="147">
        <v>28</v>
      </c>
      <c r="CJ33" s="188">
        <f t="shared" si="114"/>
        <v>0.33600000000000002</v>
      </c>
      <c r="CK33" s="188"/>
      <c r="CL33" s="188">
        <f t="shared" si="49"/>
        <v>1.6800000000000002</v>
      </c>
      <c r="CM33" s="465">
        <f t="shared" si="50"/>
        <v>48</v>
      </c>
      <c r="CN33" s="149">
        <f t="shared" si="51"/>
        <v>5.4</v>
      </c>
      <c r="CO33" s="379">
        <f t="shared" si="52"/>
        <v>53.4</v>
      </c>
      <c r="CP33" s="379"/>
      <c r="CQ33" s="188">
        <f t="shared" si="53"/>
        <v>0.10112359550561799</v>
      </c>
      <c r="CR33" s="149">
        <f t="shared" si="54"/>
        <v>12.426067415730339</v>
      </c>
      <c r="CS33" s="149">
        <f t="shared" si="115"/>
        <v>1.6800000000000002</v>
      </c>
      <c r="CT33" s="188">
        <f t="shared" si="55"/>
        <v>2.4852134831460679</v>
      </c>
      <c r="CU33" s="188">
        <f t="shared" si="56"/>
        <v>5</v>
      </c>
      <c r="CV33" s="188">
        <f t="shared" si="57"/>
        <v>2.4269662921348316</v>
      </c>
      <c r="CW33" s="149">
        <f t="shared" si="58"/>
        <v>309.20487167091147</v>
      </c>
      <c r="CX33" s="149">
        <f t="shared" si="59"/>
        <v>5</v>
      </c>
      <c r="CY33" s="188">
        <f t="shared" si="60"/>
        <v>0.69222222222222229</v>
      </c>
      <c r="CZ33" s="188">
        <f t="shared" si="61"/>
        <v>0.17305555555555557</v>
      </c>
      <c r="DA33" s="188">
        <f t="shared" si="62"/>
        <v>1.5382716049382719</v>
      </c>
      <c r="DB33" s="172">
        <f t="shared" si="63"/>
        <v>350</v>
      </c>
      <c r="DC33" s="379">
        <f t="shared" si="116"/>
        <v>350</v>
      </c>
      <c r="DE33" s="188">
        <f t="shared" si="64"/>
        <v>1.1556982343499198</v>
      </c>
      <c r="DF33" s="150">
        <f t="shared" si="65"/>
        <v>2.5682182985553772</v>
      </c>
      <c r="DG33" s="150">
        <f t="shared" si="66"/>
        <v>0.51941493678648076</v>
      </c>
      <c r="DH33" s="150"/>
      <c r="DI33" s="150">
        <f t="shared" si="67"/>
        <v>2.2222222222222219</v>
      </c>
      <c r="DJ33" s="314">
        <f t="shared" si="117"/>
        <v>302.40000000000003</v>
      </c>
      <c r="DK33" s="456">
        <f t="shared" si="68"/>
        <v>0.38888888888888884</v>
      </c>
      <c r="DM33" s="150">
        <f t="shared" si="69"/>
        <v>0.92951600308978022</v>
      </c>
      <c r="DN33" s="150">
        <f t="shared" si="70"/>
        <v>1</v>
      </c>
      <c r="DO33" s="150">
        <f t="shared" si="71"/>
        <v>1.1728000000000001</v>
      </c>
      <c r="DQ33" s="314">
        <f t="shared" si="72"/>
        <v>336</v>
      </c>
      <c r="DR33" s="144">
        <f t="shared" si="73"/>
        <v>302.40000000000003</v>
      </c>
      <c r="DT33">
        <f t="shared" si="74"/>
        <v>336</v>
      </c>
      <c r="DU33" s="144">
        <f t="shared" si="75"/>
        <v>302.40000000000003</v>
      </c>
      <c r="DV33" s="144"/>
      <c r="DW33" s="5">
        <f t="shared" si="118"/>
        <v>3.3068783068783065</v>
      </c>
      <c r="DX33" s="5">
        <f t="shared" si="76"/>
        <v>0.25</v>
      </c>
      <c r="DY33" s="5">
        <f t="shared" si="119"/>
        <v>3.0568783068783065</v>
      </c>
      <c r="DZ33" s="5">
        <f t="shared" si="77"/>
        <v>2.2222222222222219</v>
      </c>
      <c r="EA33" s="150">
        <f t="shared" si="120"/>
        <v>7.5600000000000014E-2</v>
      </c>
      <c r="EB33" s="150">
        <f t="shared" si="78"/>
        <v>1.8144000000000002</v>
      </c>
      <c r="EC33" s="150">
        <f t="shared" si="79"/>
        <v>0.4622</v>
      </c>
      <c r="ED33" s="150">
        <f t="shared" si="121"/>
        <v>3.9255733448723502</v>
      </c>
      <c r="EE33" s="144">
        <f t="shared" si="80"/>
        <v>1.6800000000000002</v>
      </c>
      <c r="EF33" s="5">
        <f t="shared" si="81"/>
        <v>4.4579475308641967E-2</v>
      </c>
      <c r="EG33" s="5"/>
      <c r="EH33" s="150">
        <f t="shared" si="122"/>
        <v>0.15874507866387544</v>
      </c>
      <c r="EI33" s="150">
        <f t="shared" si="82"/>
        <v>0.55509758901776296</v>
      </c>
      <c r="EJ33" s="150"/>
      <c r="EK33" s="456">
        <f t="shared" si="83"/>
        <v>5.04E-4</v>
      </c>
      <c r="EL33" s="456">
        <f t="shared" si="84"/>
        <v>0.32296320000000006</v>
      </c>
      <c r="EM33" s="456">
        <f t="shared" si="85"/>
        <v>3.7800000000000007E-2</v>
      </c>
      <c r="EN33" s="456">
        <f t="shared" si="86"/>
        <v>8.6231174400000013E-2</v>
      </c>
      <c r="EO33">
        <f t="shared" si="87"/>
        <v>2.1600000000000001E-2</v>
      </c>
      <c r="EP33" s="144">
        <f t="shared" si="123"/>
        <v>59.400000000000006</v>
      </c>
      <c r="EQ33" s="456">
        <f t="shared" si="88"/>
        <v>0.4692906521433105</v>
      </c>
      <c r="ER33" s="144">
        <f t="shared" si="124"/>
        <v>469.29065214331052</v>
      </c>
      <c r="ES33" s="456">
        <f t="shared" si="125"/>
        <v>0.20873999999999998</v>
      </c>
      <c r="ET33" s="456"/>
      <c r="EV33" s="144">
        <f t="shared" si="126"/>
        <v>208.73999999999998</v>
      </c>
      <c r="EW33" s="456">
        <f t="shared" si="89"/>
        <v>7.5599999999999994E-4</v>
      </c>
      <c r="EX33" s="456">
        <f t="shared" si="90"/>
        <v>9.243999999999997E-3</v>
      </c>
      <c r="EY33" s="456">
        <f t="shared" si="91"/>
        <v>7.9510497600097318E-2</v>
      </c>
      <c r="EZ33" s="456">
        <f t="shared" si="92"/>
        <v>9.1984084867991714E-2</v>
      </c>
      <c r="FA33" s="456">
        <f t="shared" si="93"/>
        <v>3.0240000000000009E-4</v>
      </c>
      <c r="FB33" s="144">
        <f t="shared" si="127"/>
        <v>92.286484867991703</v>
      </c>
      <c r="FC33" s="150">
        <f t="shared" si="128"/>
        <v>0.77031713701130222</v>
      </c>
      <c r="FD33" s="5">
        <f t="shared" si="129"/>
        <v>1.6800000000000002</v>
      </c>
      <c r="FE33" s="150">
        <f t="shared" si="130"/>
        <v>0.68562553582314145</v>
      </c>
      <c r="FF33" s="5">
        <f t="shared" si="131"/>
        <v>68.562553582314152</v>
      </c>
      <c r="FI33" s="59">
        <f t="shared" si="94"/>
        <v>-50</v>
      </c>
      <c r="FJ33">
        <f t="shared" si="95"/>
        <v>-50</v>
      </c>
      <c r="FL33">
        <f t="shared" si="96"/>
        <v>0.67200000000000004</v>
      </c>
    </row>
    <row r="34" spans="5:168">
      <c r="E34" s="147">
        <v>29</v>
      </c>
      <c r="F34" s="188">
        <f t="shared" si="97"/>
        <v>0.34799999999999998</v>
      </c>
      <c r="G34" s="188"/>
      <c r="H34" s="188">
        <f t="shared" si="0"/>
        <v>1.7399999999999998</v>
      </c>
      <c r="I34" s="465">
        <f t="shared" si="1"/>
        <v>47.975943738783762</v>
      </c>
      <c r="J34" s="149">
        <f t="shared" si="2"/>
        <v>5.4144337567297409</v>
      </c>
      <c r="K34" s="149">
        <f t="shared" si="3"/>
        <v>53.414433756729743</v>
      </c>
      <c r="L34" s="379"/>
      <c r="M34" s="188">
        <f t="shared" si="4"/>
        <v>0.10142169478204008</v>
      </c>
      <c r="N34" s="149">
        <f t="shared" si="5"/>
        <v>12.45645189825345</v>
      </c>
      <c r="O34" s="149">
        <f t="shared" si="98"/>
        <v>1.7399999999999998</v>
      </c>
      <c r="P34" s="188">
        <f t="shared" si="6"/>
        <v>2.4912903796506898</v>
      </c>
      <c r="Q34" s="188">
        <f t="shared" si="7"/>
        <v>5</v>
      </c>
      <c r="R34" s="188">
        <f t="shared" si="8"/>
        <v>2.4329007613776268</v>
      </c>
      <c r="S34" s="149">
        <f t="shared" si="9"/>
        <v>296.74340738119992</v>
      </c>
      <c r="T34" s="149">
        <f t="shared" si="10"/>
        <v>5</v>
      </c>
      <c r="U34" s="188">
        <f t="shared" si="99"/>
        <v>0.77455687051244526</v>
      </c>
      <c r="V34" s="188">
        <f t="shared" si="11"/>
        <v>0.19373631286455592</v>
      </c>
      <c r="W34" s="188">
        <f t="shared" si="12"/>
        <v>1.7166490280902855</v>
      </c>
      <c r="X34" s="172">
        <f t="shared" si="13"/>
        <v>350</v>
      </c>
      <c r="Y34" s="379">
        <f t="shared" si="14"/>
        <v>350</v>
      </c>
      <c r="AA34" s="188">
        <f t="shared" si="15"/>
        <v>1.1584153116090465</v>
      </c>
      <c r="AB34" s="150">
        <f t="shared" si="16"/>
        <v>2.5673938151022098</v>
      </c>
      <c r="AC34" s="150">
        <f t="shared" si="17"/>
        <v>0.52046895361033396</v>
      </c>
      <c r="AD34" s="150"/>
      <c r="AE34" s="150">
        <f t="shared" si="18"/>
        <v>2.216298238958947</v>
      </c>
      <c r="AF34" s="314">
        <f t="shared" si="100"/>
        <v>314.03715789032492</v>
      </c>
      <c r="AG34" s="456">
        <f t="shared" si="19"/>
        <v>0.38785219181781572</v>
      </c>
      <c r="AI34" s="150">
        <f t="shared" si="20"/>
        <v>0.94723229597801706</v>
      </c>
      <c r="AJ34" s="150">
        <f t="shared" si="21"/>
        <v>1</v>
      </c>
      <c r="AK34" s="150">
        <f t="shared" si="22"/>
        <v>1.1794498045087571</v>
      </c>
      <c r="AM34" s="314">
        <f t="shared" si="23"/>
        <v>348</v>
      </c>
      <c r="AN34" s="144">
        <f t="shared" si="24"/>
        <v>314.03715789032492</v>
      </c>
      <c r="AP34">
        <f t="shared" si="25"/>
        <v>348</v>
      </c>
      <c r="AQ34" s="144">
        <f t="shared" si="26"/>
        <v>314.03715789032492</v>
      </c>
      <c r="AR34" s="144"/>
      <c r="AS34" s="5">
        <f t="shared" si="101"/>
        <v>3.1843365502283727</v>
      </c>
      <c r="AT34" s="5">
        <f t="shared" si="27"/>
        <v>0.25012535585202456</v>
      </c>
      <c r="AU34" s="5">
        <f t="shared" si="102"/>
        <v>2.9342111943763483</v>
      </c>
      <c r="AV34" s="5">
        <f t="shared" si="28"/>
        <v>2.216298238958947</v>
      </c>
      <c r="AW34" s="150">
        <f t="shared" si="103"/>
        <v>7.8548655868075939E-2</v>
      </c>
      <c r="AX34" s="150">
        <f t="shared" si="29"/>
        <v>1.8842229473419496</v>
      </c>
      <c r="AY34" s="150">
        <f t="shared" si="30"/>
        <v>0.46072567206596204</v>
      </c>
      <c r="AZ34" s="150">
        <f t="shared" si="104"/>
        <v>4.0896851675158787</v>
      </c>
      <c r="BA34" s="144">
        <f t="shared" si="31"/>
        <v>1.7408724767300905</v>
      </c>
      <c r="BB34" s="5">
        <f t="shared" si="32"/>
        <v>4.4341037406277005E-2</v>
      </c>
      <c r="BC34" s="5"/>
      <c r="BD34" s="150">
        <f t="shared" si="105"/>
        <v>0.16181126440813276</v>
      </c>
      <c r="BE34" s="150">
        <f t="shared" si="33"/>
        <v>0.5542115553143715</v>
      </c>
      <c r="BF34" s="150"/>
      <c r="BG34" s="456">
        <f t="shared" si="34"/>
        <v>5.2365770578717303E-4</v>
      </c>
      <c r="BH34" s="456">
        <f t="shared" si="35"/>
        <v>0.31451469313658326</v>
      </c>
      <c r="BI34" s="456">
        <f t="shared" si="36"/>
        <v>0.37665572547084453</v>
      </c>
      <c r="BJ34" s="456">
        <f t="shared" si="37"/>
        <v>8.9597995957665127E-2</v>
      </c>
      <c r="BK34">
        <f t="shared" si="38"/>
        <v>2.1589174682452691E-2</v>
      </c>
      <c r="BL34" s="144">
        <f t="shared" si="106"/>
        <v>398.24490015329724</v>
      </c>
      <c r="BM34" s="456">
        <f t="shared" si="39"/>
        <v>0.40482810352676729</v>
      </c>
      <c r="BN34" s="144">
        <f t="shared" si="107"/>
        <v>404.82810352676728</v>
      </c>
      <c r="BO34" s="456">
        <f t="shared" si="108"/>
        <v>0.21619499999999994</v>
      </c>
      <c r="BP34" s="456"/>
      <c r="BR34" s="144">
        <f t="shared" si="109"/>
        <v>216.19499999999994</v>
      </c>
      <c r="BS34" s="456">
        <f t="shared" si="40"/>
        <v>7.8548655868075949E-4</v>
      </c>
      <c r="BT34" s="456">
        <f t="shared" si="41"/>
        <v>9.2145134413192404E-3</v>
      </c>
      <c r="BU34" s="456">
        <f t="shared" si="42"/>
        <v>2.6099999999999995E-2</v>
      </c>
      <c r="BV34" s="456">
        <f t="shared" si="43"/>
        <v>3.8530824659727778E-2</v>
      </c>
      <c r="BW34" s="456">
        <f t="shared" si="44"/>
        <v>3.1403715789032492E-4</v>
      </c>
      <c r="BX34" s="144">
        <f t="shared" si="110"/>
        <v>38.844861817618103</v>
      </c>
      <c r="BY34" s="150">
        <f t="shared" si="45"/>
        <v>1.0581128654976826</v>
      </c>
      <c r="BZ34" s="5">
        <f t="shared" si="111"/>
        <v>1.7399999999999998</v>
      </c>
      <c r="CA34" s="150">
        <f t="shared" si="112"/>
        <v>0.62184768222010844</v>
      </c>
      <c r="CB34" s="5">
        <f t="shared" si="113"/>
        <v>62.184768222010845</v>
      </c>
      <c r="CE34" s="59">
        <f t="shared" si="46"/>
        <v>-50</v>
      </c>
      <c r="CF34">
        <f t="shared" si="47"/>
        <v>-50</v>
      </c>
      <c r="CG34" s="150">
        <f t="shared" si="48"/>
        <v>0.72330441724076311</v>
      </c>
      <c r="CI34" s="147">
        <v>29</v>
      </c>
      <c r="CJ34" s="188">
        <f t="shared" si="114"/>
        <v>0.34799999999999998</v>
      </c>
      <c r="CK34" s="188"/>
      <c r="CL34" s="188">
        <f t="shared" si="49"/>
        <v>1.7399999999999998</v>
      </c>
      <c r="CM34" s="465">
        <f t="shared" si="50"/>
        <v>48</v>
      </c>
      <c r="CN34" s="149">
        <f t="shared" si="51"/>
        <v>5.4</v>
      </c>
      <c r="CO34" s="379">
        <f t="shared" si="52"/>
        <v>53.4</v>
      </c>
      <c r="CP34" s="379"/>
      <c r="CQ34" s="188">
        <f t="shared" si="53"/>
        <v>0.10112359550561799</v>
      </c>
      <c r="CR34" s="149">
        <f t="shared" si="54"/>
        <v>12.426067415730339</v>
      </c>
      <c r="CS34" s="149">
        <f t="shared" si="115"/>
        <v>1.7399999999999998</v>
      </c>
      <c r="CT34" s="188">
        <f t="shared" si="55"/>
        <v>2.4852134831460679</v>
      </c>
      <c r="CU34" s="188">
        <f t="shared" si="56"/>
        <v>5</v>
      </c>
      <c r="CV34" s="188">
        <f t="shared" si="57"/>
        <v>2.4269662921348316</v>
      </c>
      <c r="CW34" s="149">
        <f t="shared" si="58"/>
        <v>296.89216913908615</v>
      </c>
      <c r="CX34" s="149">
        <f t="shared" si="59"/>
        <v>5</v>
      </c>
      <c r="CY34" s="188">
        <f t="shared" si="60"/>
        <v>0.71694444444444427</v>
      </c>
      <c r="CZ34" s="188">
        <f t="shared" si="61"/>
        <v>0.17923611111111107</v>
      </c>
      <c r="DA34" s="188">
        <f t="shared" si="62"/>
        <v>1.5932098765432092</v>
      </c>
      <c r="DB34" s="172">
        <f t="shared" si="63"/>
        <v>350</v>
      </c>
      <c r="DC34" s="379">
        <f t="shared" si="116"/>
        <v>350</v>
      </c>
      <c r="DE34" s="188">
        <f t="shared" si="64"/>
        <v>1.1556982343499198</v>
      </c>
      <c r="DF34" s="150">
        <f t="shared" si="65"/>
        <v>2.5682182985553772</v>
      </c>
      <c r="DG34" s="150">
        <f t="shared" si="66"/>
        <v>0.51941493678648076</v>
      </c>
      <c r="DH34" s="150"/>
      <c r="DI34" s="150">
        <f t="shared" si="67"/>
        <v>2.2222222222222219</v>
      </c>
      <c r="DJ34" s="314">
        <f t="shared" si="117"/>
        <v>313.2</v>
      </c>
      <c r="DK34" s="456">
        <f t="shared" si="68"/>
        <v>0.38888888888888884</v>
      </c>
      <c r="DM34" s="150">
        <f t="shared" si="69"/>
        <v>0.94596889106203852</v>
      </c>
      <c r="DN34" s="150">
        <f t="shared" si="70"/>
        <v>1</v>
      </c>
      <c r="DO34" s="150">
        <f t="shared" si="71"/>
        <v>1.1789714285714286</v>
      </c>
      <c r="DQ34" s="314">
        <f t="shared" si="72"/>
        <v>348</v>
      </c>
      <c r="DR34" s="144">
        <f t="shared" si="73"/>
        <v>313.2</v>
      </c>
      <c r="DT34">
        <f t="shared" si="74"/>
        <v>348</v>
      </c>
      <c r="DU34" s="144">
        <f t="shared" si="75"/>
        <v>313.2</v>
      </c>
      <c r="DV34" s="144"/>
      <c r="DW34" s="5">
        <f t="shared" si="118"/>
        <v>3.1928480204342273</v>
      </c>
      <c r="DX34" s="5">
        <f t="shared" si="76"/>
        <v>0.25</v>
      </c>
      <c r="DY34" s="5">
        <f t="shared" si="119"/>
        <v>2.9428480204342273</v>
      </c>
      <c r="DZ34" s="5">
        <f t="shared" si="77"/>
        <v>2.2222222222222219</v>
      </c>
      <c r="EA34" s="150">
        <f t="shared" si="120"/>
        <v>7.8299999999999995E-2</v>
      </c>
      <c r="EB34" s="150">
        <f t="shared" si="78"/>
        <v>1.8792</v>
      </c>
      <c r="EC34" s="150">
        <f t="shared" si="79"/>
        <v>0.46084999999999998</v>
      </c>
      <c r="ED34" s="150">
        <f t="shared" si="121"/>
        <v>4.0776825431268309</v>
      </c>
      <c r="EE34" s="144">
        <f t="shared" si="80"/>
        <v>1.7399999999999998</v>
      </c>
      <c r="EF34" s="5">
        <f t="shared" si="81"/>
        <v>4.4449266975308634E-2</v>
      </c>
      <c r="EG34" s="5"/>
      <c r="EH34" s="150">
        <f t="shared" si="122"/>
        <v>0.16155494421403513</v>
      </c>
      <c r="EI34" s="150">
        <f t="shared" si="82"/>
        <v>0.55428632793289545</v>
      </c>
      <c r="EJ34" s="150"/>
      <c r="EK34" s="456">
        <f t="shared" si="83"/>
        <v>5.22E-4</v>
      </c>
      <c r="EL34" s="456">
        <f t="shared" si="84"/>
        <v>0.33449759999999995</v>
      </c>
      <c r="EM34" s="456">
        <f t="shared" si="85"/>
        <v>3.9149999999999997E-2</v>
      </c>
      <c r="EN34" s="456">
        <f t="shared" si="86"/>
        <v>8.9310859199999995E-2</v>
      </c>
      <c r="EO34">
        <f t="shared" si="87"/>
        <v>2.1600000000000001E-2</v>
      </c>
      <c r="EP34" s="144">
        <f t="shared" si="123"/>
        <v>60.75</v>
      </c>
      <c r="EQ34" s="456">
        <f t="shared" si="88"/>
        <v>0.48528158731648641</v>
      </c>
      <c r="ER34" s="144">
        <f t="shared" si="124"/>
        <v>485.28158731648642</v>
      </c>
      <c r="ES34" s="456">
        <f t="shared" si="125"/>
        <v>0.21619499999999994</v>
      </c>
      <c r="ET34" s="456"/>
      <c r="EV34" s="144">
        <f t="shared" si="126"/>
        <v>216.19499999999994</v>
      </c>
      <c r="EW34" s="456">
        <f t="shared" si="89"/>
        <v>7.8300000000000006E-4</v>
      </c>
      <c r="EX34" s="456">
        <f t="shared" si="90"/>
        <v>9.2169999999999995E-3</v>
      </c>
      <c r="EY34" s="456">
        <f t="shared" si="91"/>
        <v>8.680093189754387E-2</v>
      </c>
      <c r="EZ34" s="456">
        <f t="shared" si="92"/>
        <v>9.9280356182489857E-2</v>
      </c>
      <c r="FA34" s="456">
        <f t="shared" si="93"/>
        <v>3.1320000000000002E-4</v>
      </c>
      <c r="FB34" s="144">
        <f t="shared" si="127"/>
        <v>99.593556182489863</v>
      </c>
      <c r="FC34" s="150">
        <f t="shared" si="128"/>
        <v>0.80107014349897621</v>
      </c>
      <c r="FD34" s="5">
        <f t="shared" si="129"/>
        <v>1.7399999999999998</v>
      </c>
      <c r="FE34" s="150">
        <f t="shared" si="130"/>
        <v>0.68475087334821583</v>
      </c>
      <c r="FF34" s="5">
        <f t="shared" si="131"/>
        <v>68.47508733482158</v>
      </c>
      <c r="FI34" s="59">
        <f t="shared" si="94"/>
        <v>-50</v>
      </c>
      <c r="FJ34">
        <f t="shared" si="95"/>
        <v>-50</v>
      </c>
      <c r="FL34">
        <f t="shared" si="96"/>
        <v>0.69599999999999995</v>
      </c>
    </row>
    <row r="35" spans="5:168">
      <c r="E35" s="147">
        <v>30</v>
      </c>
      <c r="F35" s="188">
        <f t="shared" si="97"/>
        <v>0.36</v>
      </c>
      <c r="G35" s="188"/>
      <c r="H35" s="188">
        <f t="shared" si="0"/>
        <v>1.7999999999999998</v>
      </c>
      <c r="I35" s="465">
        <f t="shared" si="1"/>
        <v>47.975943738783762</v>
      </c>
      <c r="J35" s="149">
        <f t="shared" si="2"/>
        <v>5.4144337567297409</v>
      </c>
      <c r="K35" s="149">
        <f t="shared" si="3"/>
        <v>53.414433756729743</v>
      </c>
      <c r="L35" s="379"/>
      <c r="M35" s="188">
        <f t="shared" si="4"/>
        <v>0.10142169478204008</v>
      </c>
      <c r="N35" s="149">
        <f t="shared" si="5"/>
        <v>12.45645189825345</v>
      </c>
      <c r="O35" s="149">
        <f t="shared" si="98"/>
        <v>1.7999999999999998</v>
      </c>
      <c r="P35" s="188">
        <f t="shared" si="6"/>
        <v>2.4912903796506898</v>
      </c>
      <c r="Q35" s="188">
        <f t="shared" si="7"/>
        <v>5</v>
      </c>
      <c r="R35" s="188">
        <f t="shared" si="8"/>
        <v>2.4329007613776268</v>
      </c>
      <c r="S35" s="149">
        <f t="shared" si="9"/>
        <v>285.2575118953892</v>
      </c>
      <c r="T35" s="149">
        <f t="shared" si="10"/>
        <v>5</v>
      </c>
      <c r="U35" s="188">
        <f t="shared" si="99"/>
        <v>0.80126572811632268</v>
      </c>
      <c r="V35" s="188">
        <f t="shared" si="11"/>
        <v>0.2004168753771268</v>
      </c>
      <c r="W35" s="188">
        <f t="shared" si="12"/>
        <v>1.7758438221623642</v>
      </c>
      <c r="X35" s="172">
        <f t="shared" si="13"/>
        <v>350</v>
      </c>
      <c r="Y35" s="379">
        <f t="shared" si="14"/>
        <v>350</v>
      </c>
      <c r="AA35" s="188">
        <f t="shared" si="15"/>
        <v>1.1584153116090465</v>
      </c>
      <c r="AB35" s="150">
        <f t="shared" si="16"/>
        <v>2.5673938151022098</v>
      </c>
      <c r="AC35" s="150">
        <f t="shared" si="17"/>
        <v>0.52046895361033396</v>
      </c>
      <c r="AD35" s="150"/>
      <c r="AE35" s="150">
        <f t="shared" si="18"/>
        <v>2.216298238958947</v>
      </c>
      <c r="AF35" s="314">
        <f t="shared" si="100"/>
        <v>324.86602540378448</v>
      </c>
      <c r="AG35" s="456">
        <f t="shared" si="19"/>
        <v>0.38785219181781572</v>
      </c>
      <c r="AI35" s="150">
        <f t="shared" si="20"/>
        <v>0.96342547403045808</v>
      </c>
      <c r="AJ35" s="150">
        <f t="shared" si="21"/>
        <v>1</v>
      </c>
      <c r="AK35" s="150">
        <f t="shared" si="22"/>
        <v>1.1856377288021624</v>
      </c>
      <c r="AM35" s="314">
        <f t="shared" si="23"/>
        <v>360</v>
      </c>
      <c r="AN35" s="144">
        <f t="shared" si="24"/>
        <v>324.86602540378448</v>
      </c>
      <c r="AP35">
        <f t="shared" si="25"/>
        <v>360</v>
      </c>
      <c r="AQ35" s="144">
        <f t="shared" si="26"/>
        <v>324.86602540378448</v>
      </c>
      <c r="AR35" s="144"/>
      <c r="AS35" s="5">
        <f t="shared" si="101"/>
        <v>3.0781919985540926</v>
      </c>
      <c r="AT35" s="5">
        <f t="shared" si="27"/>
        <v>0.25012535585202456</v>
      </c>
      <c r="AU35" s="5">
        <f t="shared" si="102"/>
        <v>2.8280666427020682</v>
      </c>
      <c r="AV35" s="5">
        <f t="shared" si="28"/>
        <v>2.216298238958947</v>
      </c>
      <c r="AW35" s="150">
        <f t="shared" si="103"/>
        <v>8.1257230208354445E-2</v>
      </c>
      <c r="AX35" s="150">
        <f t="shared" si="29"/>
        <v>1.9491961524227068</v>
      </c>
      <c r="AY35" s="150">
        <f t="shared" si="30"/>
        <v>0.4593713848958228</v>
      </c>
      <c r="AZ35" s="150">
        <f t="shared" si="104"/>
        <v>4.2431814791092171</v>
      </c>
      <c r="BA35" s="144">
        <f t="shared" si="31"/>
        <v>1.8009025621345769</v>
      </c>
      <c r="BB35" s="5">
        <f t="shared" si="32"/>
        <v>4.4210698461193451E-2</v>
      </c>
      <c r="BC35" s="5"/>
      <c r="BD35" s="150">
        <f t="shared" si="105"/>
        <v>0.16457746930483777</v>
      </c>
      <c r="BE35" s="150">
        <f t="shared" si="33"/>
        <v>0.55339641300838638</v>
      </c>
      <c r="BF35" s="150"/>
      <c r="BG35" s="456">
        <f t="shared" si="34"/>
        <v>5.4171486805569633E-4</v>
      </c>
      <c r="BH35" s="456">
        <f t="shared" si="35"/>
        <v>0.32536002738267245</v>
      </c>
      <c r="BI35" s="456">
        <f t="shared" si="36"/>
        <v>0.3896438539353565</v>
      </c>
      <c r="BJ35" s="456">
        <f t="shared" si="37"/>
        <v>9.2687582025170828E-2</v>
      </c>
      <c r="BK35">
        <f t="shared" si="38"/>
        <v>2.1589174682452691E-2</v>
      </c>
      <c r="BL35" s="144">
        <f t="shared" si="106"/>
        <v>411.23302861780917</v>
      </c>
      <c r="BM35" s="456">
        <f t="shared" si="39"/>
        <v>0.41878949029392432</v>
      </c>
      <c r="BN35" s="144">
        <f t="shared" si="107"/>
        <v>418.7894902939243</v>
      </c>
      <c r="BO35" s="456">
        <f t="shared" si="108"/>
        <v>0.22364999999999999</v>
      </c>
      <c r="BP35" s="456"/>
      <c r="BR35" s="144">
        <f t="shared" si="109"/>
        <v>223.64999999999998</v>
      </c>
      <c r="BS35" s="456">
        <f t="shared" si="40"/>
        <v>8.125723020835445E-4</v>
      </c>
      <c r="BT35" s="456">
        <f t="shared" si="41"/>
        <v>9.187427697916457E-3</v>
      </c>
      <c r="BU35" s="456">
        <f t="shared" si="42"/>
        <v>2.6999999999999996E-2</v>
      </c>
      <c r="BV35" s="456">
        <f t="shared" si="43"/>
        <v>3.9431545236188949E-2</v>
      </c>
      <c r="BW35" s="456">
        <f t="shared" si="44"/>
        <v>3.2486602540378448E-4</v>
      </c>
      <c r="BX35" s="144">
        <f t="shared" si="110"/>
        <v>39.756411261592731</v>
      </c>
      <c r="BY35" s="150">
        <f t="shared" si="45"/>
        <v>1.0934289301733262</v>
      </c>
      <c r="BZ35" s="5">
        <f t="shared" si="111"/>
        <v>1.7999999999999998</v>
      </c>
      <c r="CA35" s="150">
        <f t="shared" si="112"/>
        <v>0.62209926127066606</v>
      </c>
      <c r="CB35" s="5">
        <f t="shared" si="113"/>
        <v>62.209926127066609</v>
      </c>
      <c r="CE35" s="59">
        <f t="shared" si="46"/>
        <v>-50</v>
      </c>
      <c r="CF35">
        <f t="shared" si="47"/>
        <v>-50</v>
      </c>
      <c r="CG35" s="150">
        <f t="shared" si="48"/>
        <v>0.74824594886975493</v>
      </c>
      <c r="CI35" s="147">
        <v>30</v>
      </c>
      <c r="CJ35" s="188">
        <f t="shared" si="114"/>
        <v>0.36</v>
      </c>
      <c r="CK35" s="188"/>
      <c r="CL35" s="188">
        <f t="shared" si="49"/>
        <v>1.7999999999999998</v>
      </c>
      <c r="CM35" s="465">
        <f t="shared" si="50"/>
        <v>48</v>
      </c>
      <c r="CN35" s="149">
        <f t="shared" si="51"/>
        <v>5.4</v>
      </c>
      <c r="CO35" s="379">
        <f t="shared" si="52"/>
        <v>53.4</v>
      </c>
      <c r="CP35" s="379"/>
      <c r="CQ35" s="188">
        <f t="shared" si="53"/>
        <v>0.10112359550561799</v>
      </c>
      <c r="CR35" s="149">
        <f t="shared" si="54"/>
        <v>12.426067415730339</v>
      </c>
      <c r="CS35" s="149">
        <f t="shared" si="115"/>
        <v>1.7999999999999998</v>
      </c>
      <c r="CT35" s="188">
        <f t="shared" si="55"/>
        <v>2.4852134831460679</v>
      </c>
      <c r="CU35" s="188">
        <f t="shared" si="56"/>
        <v>5</v>
      </c>
      <c r="CV35" s="188">
        <f t="shared" si="57"/>
        <v>2.4269662921348316</v>
      </c>
      <c r="CW35" s="149">
        <f t="shared" si="58"/>
        <v>285.40051305878069</v>
      </c>
      <c r="CX35" s="149">
        <f t="shared" si="59"/>
        <v>5</v>
      </c>
      <c r="CY35" s="188">
        <f t="shared" si="60"/>
        <v>0.74166666666666659</v>
      </c>
      <c r="CZ35" s="188">
        <f t="shared" si="61"/>
        <v>0.18541666666666665</v>
      </c>
      <c r="DA35" s="188">
        <f t="shared" si="62"/>
        <v>1.6481481481481479</v>
      </c>
      <c r="DB35" s="172">
        <f t="shared" si="63"/>
        <v>350</v>
      </c>
      <c r="DC35" s="379">
        <f t="shared" si="116"/>
        <v>350</v>
      </c>
      <c r="DE35" s="188">
        <f t="shared" si="64"/>
        <v>1.1556982343499198</v>
      </c>
      <c r="DF35" s="150">
        <f t="shared" si="65"/>
        <v>2.5682182985553772</v>
      </c>
      <c r="DG35" s="150">
        <f t="shared" si="66"/>
        <v>0.51941493678648076</v>
      </c>
      <c r="DH35" s="150"/>
      <c r="DI35" s="150">
        <f t="shared" si="67"/>
        <v>2.2222222222222219</v>
      </c>
      <c r="DJ35" s="314">
        <f t="shared" si="117"/>
        <v>324</v>
      </c>
      <c r="DK35" s="456">
        <f t="shared" si="68"/>
        <v>0.38888888888888884</v>
      </c>
      <c r="DM35" s="150">
        <f t="shared" si="69"/>
        <v>0.96214047088472787</v>
      </c>
      <c r="DN35" s="150">
        <f t="shared" si="70"/>
        <v>1</v>
      </c>
      <c r="DO35" s="150">
        <f t="shared" si="71"/>
        <v>1.1851428571428571</v>
      </c>
      <c r="DQ35" s="314">
        <f t="shared" si="72"/>
        <v>360</v>
      </c>
      <c r="DR35" s="144">
        <f t="shared" si="73"/>
        <v>324</v>
      </c>
      <c r="DT35">
        <f t="shared" si="74"/>
        <v>360</v>
      </c>
      <c r="DU35" s="144">
        <f t="shared" si="75"/>
        <v>324</v>
      </c>
      <c r="DV35" s="144"/>
      <c r="DW35" s="5">
        <f t="shared" si="118"/>
        <v>3.0864197530864197</v>
      </c>
      <c r="DX35" s="5">
        <f t="shared" si="76"/>
        <v>0.25</v>
      </c>
      <c r="DY35" s="5">
        <f t="shared" si="119"/>
        <v>2.8364197530864197</v>
      </c>
      <c r="DZ35" s="5">
        <f t="shared" si="77"/>
        <v>2.2222222222222219</v>
      </c>
      <c r="EA35" s="150">
        <f t="shared" si="120"/>
        <v>8.1000000000000003E-2</v>
      </c>
      <c r="EB35" s="150">
        <f t="shared" si="78"/>
        <v>1.944</v>
      </c>
      <c r="EC35" s="150">
        <f t="shared" si="79"/>
        <v>0.45950000000000002</v>
      </c>
      <c r="ED35" s="150">
        <f t="shared" si="121"/>
        <v>4.2306855277475517</v>
      </c>
      <c r="EE35" s="144">
        <f t="shared" si="80"/>
        <v>1.8</v>
      </c>
      <c r="EF35" s="5">
        <f t="shared" si="81"/>
        <v>4.4319058641975301E-2</v>
      </c>
      <c r="EG35" s="5"/>
      <c r="EH35" s="150">
        <f t="shared" si="122"/>
        <v>0.16431676725154984</v>
      </c>
      <c r="EI35" s="150">
        <f t="shared" si="82"/>
        <v>0.55347387773347834</v>
      </c>
      <c r="EJ35" s="150"/>
      <c r="EK35" s="456">
        <f t="shared" si="83"/>
        <v>5.4000000000000012E-4</v>
      </c>
      <c r="EL35" s="456">
        <f t="shared" si="84"/>
        <v>0.34603200000000001</v>
      </c>
      <c r="EM35" s="456">
        <f t="shared" si="85"/>
        <v>4.0499999999999994E-2</v>
      </c>
      <c r="EN35" s="456">
        <f t="shared" si="86"/>
        <v>9.2390543999999991E-2</v>
      </c>
      <c r="EO35">
        <f t="shared" si="87"/>
        <v>2.1600000000000001E-2</v>
      </c>
      <c r="EP35" s="144">
        <f t="shared" si="123"/>
        <v>62.099999999999994</v>
      </c>
      <c r="EQ35" s="456">
        <f t="shared" si="88"/>
        <v>0.50127265928727704</v>
      </c>
      <c r="ER35" s="144">
        <f t="shared" si="124"/>
        <v>501.27265928727707</v>
      </c>
      <c r="ES35" s="456">
        <f t="shared" si="125"/>
        <v>0.22364999999999999</v>
      </c>
      <c r="ET35" s="456"/>
      <c r="EV35" s="144">
        <f t="shared" si="126"/>
        <v>223.64999999999998</v>
      </c>
      <c r="EW35" s="456">
        <f t="shared" si="89"/>
        <v>8.1000000000000006E-4</v>
      </c>
      <c r="EX35" s="456">
        <f t="shared" si="90"/>
        <v>9.1900000000000003E-3</v>
      </c>
      <c r="EY35" s="456">
        <f t="shared" si="91"/>
        <v>9.447839999999999E-2</v>
      </c>
      <c r="EZ35" s="456">
        <f t="shared" si="92"/>
        <v>0.10696397117694154</v>
      </c>
      <c r="FA35" s="456">
        <f t="shared" si="93"/>
        <v>3.2400000000000007E-4</v>
      </c>
      <c r="FB35" s="144">
        <f t="shared" si="127"/>
        <v>107.28797117694154</v>
      </c>
      <c r="FC35" s="150">
        <f t="shared" si="128"/>
        <v>0.83221063046421861</v>
      </c>
      <c r="FD35" s="5">
        <f t="shared" si="129"/>
        <v>1.7999999999999998</v>
      </c>
      <c r="FE35" s="150">
        <f t="shared" si="130"/>
        <v>0.6838358523316771</v>
      </c>
      <c r="FF35" s="5">
        <f t="shared" si="131"/>
        <v>68.383585233167707</v>
      </c>
      <c r="FI35" s="59">
        <f t="shared" si="94"/>
        <v>-50</v>
      </c>
      <c r="FJ35">
        <f t="shared" si="95"/>
        <v>-50</v>
      </c>
      <c r="FL35">
        <f t="shared" si="96"/>
        <v>0.72</v>
      </c>
    </row>
    <row r="36" spans="5:168">
      <c r="E36" s="147">
        <v>31</v>
      </c>
      <c r="F36" s="188">
        <f t="shared" si="97"/>
        <v>0.372</v>
      </c>
      <c r="G36" s="188"/>
      <c r="H36" s="188">
        <f t="shared" si="0"/>
        <v>1.8599999999999999</v>
      </c>
      <c r="I36" s="465">
        <f t="shared" si="1"/>
        <v>47.975943738783762</v>
      </c>
      <c r="J36" s="149">
        <f t="shared" si="2"/>
        <v>5.4144337567297409</v>
      </c>
      <c r="K36" s="149">
        <f t="shared" si="3"/>
        <v>53.414433756729743</v>
      </c>
      <c r="L36" s="379"/>
      <c r="M36" s="188">
        <f t="shared" si="4"/>
        <v>0.10142169478204008</v>
      </c>
      <c r="N36" s="149">
        <f t="shared" si="5"/>
        <v>12.45645189825345</v>
      </c>
      <c r="O36" s="149">
        <f t="shared" si="98"/>
        <v>1.8599999999999999</v>
      </c>
      <c r="P36" s="188">
        <f t="shared" si="6"/>
        <v>2.4912903796506898</v>
      </c>
      <c r="Q36" s="188">
        <f t="shared" si="7"/>
        <v>5</v>
      </c>
      <c r="R36" s="188">
        <f t="shared" si="8"/>
        <v>2.4329007613776268</v>
      </c>
      <c r="S36" s="149">
        <f t="shared" si="9"/>
        <v>274.51283831615217</v>
      </c>
      <c r="T36" s="149">
        <f t="shared" si="10"/>
        <v>5</v>
      </c>
      <c r="U36" s="188">
        <f t="shared" si="99"/>
        <v>0.82797458572020011</v>
      </c>
      <c r="V36" s="188">
        <f t="shared" si="11"/>
        <v>0.20709743788969773</v>
      </c>
      <c r="W36" s="188">
        <f t="shared" si="12"/>
        <v>1.8350386162344434</v>
      </c>
      <c r="X36" s="172">
        <f t="shared" si="13"/>
        <v>350</v>
      </c>
      <c r="Y36" s="379">
        <f t="shared" si="14"/>
        <v>350</v>
      </c>
      <c r="AA36" s="188">
        <f t="shared" si="15"/>
        <v>1.1584153116090465</v>
      </c>
      <c r="AB36" s="150">
        <f t="shared" si="16"/>
        <v>2.5673938151022098</v>
      </c>
      <c r="AC36" s="150">
        <f t="shared" si="17"/>
        <v>0.52046895361033396</v>
      </c>
      <c r="AD36" s="150"/>
      <c r="AE36" s="150">
        <f t="shared" si="18"/>
        <v>2.216298238958947</v>
      </c>
      <c r="AF36" s="314">
        <f t="shared" si="100"/>
        <v>335.69489291724392</v>
      </c>
      <c r="AG36" s="456">
        <f t="shared" si="19"/>
        <v>0.38785219181781572</v>
      </c>
      <c r="AI36" s="150">
        <f t="shared" si="20"/>
        <v>0.9793509409184431</v>
      </c>
      <c r="AJ36" s="150">
        <f t="shared" si="21"/>
        <v>1</v>
      </c>
      <c r="AK36" s="150">
        <f t="shared" si="22"/>
        <v>1.191825653095568</v>
      </c>
      <c r="AM36" s="314">
        <f t="shared" si="23"/>
        <v>372</v>
      </c>
      <c r="AN36" s="144">
        <f t="shared" si="24"/>
        <v>335.69489291724392</v>
      </c>
      <c r="AP36">
        <f t="shared" si="25"/>
        <v>372</v>
      </c>
      <c r="AQ36" s="144">
        <f t="shared" si="26"/>
        <v>335.69489291724392</v>
      </c>
      <c r="AR36" s="144"/>
      <c r="AS36" s="5">
        <f t="shared" si="101"/>
        <v>2.9788954824717027</v>
      </c>
      <c r="AT36" s="5">
        <f t="shared" si="27"/>
        <v>0.25012535585202456</v>
      </c>
      <c r="AU36" s="5">
        <f t="shared" si="102"/>
        <v>2.7287701266196782</v>
      </c>
      <c r="AV36" s="5">
        <f t="shared" si="28"/>
        <v>2.216298238958947</v>
      </c>
      <c r="AW36" s="150">
        <f t="shared" si="103"/>
        <v>8.3965804548632922E-2</v>
      </c>
      <c r="AX36" s="150">
        <f t="shared" si="29"/>
        <v>2.0141693575034636</v>
      </c>
      <c r="AY36" s="150">
        <f t="shared" si="30"/>
        <v>0.45801709772568355</v>
      </c>
      <c r="AZ36" s="150">
        <f t="shared" si="104"/>
        <v>4.3975855213811119</v>
      </c>
      <c r="BA36" s="144">
        <f t="shared" si="31"/>
        <v>1.8609326475390628</v>
      </c>
      <c r="BB36" s="5">
        <f t="shared" si="32"/>
        <v>4.4080359516109904E-2</v>
      </c>
      <c r="BC36" s="5"/>
      <c r="BD36" s="150">
        <f t="shared" si="105"/>
        <v>0.16729794235498227</v>
      </c>
      <c r="BE36" s="150">
        <f t="shared" si="33"/>
        <v>0.55258006824090422</v>
      </c>
      <c r="BF36" s="150"/>
      <c r="BG36" s="456">
        <f t="shared" si="34"/>
        <v>5.5977203032421942E-4</v>
      </c>
      <c r="BH36" s="456">
        <f t="shared" si="35"/>
        <v>0.33620536162876136</v>
      </c>
      <c r="BI36" s="456">
        <f t="shared" si="36"/>
        <v>0.40263198239986836</v>
      </c>
      <c r="BJ36" s="456">
        <f t="shared" si="37"/>
        <v>9.5777168092676529E-2</v>
      </c>
      <c r="BK36">
        <f t="shared" si="38"/>
        <v>2.1589174682452691E-2</v>
      </c>
      <c r="BL36" s="144">
        <f t="shared" si="106"/>
        <v>424.22115708232104</v>
      </c>
      <c r="BM36" s="456">
        <f t="shared" si="39"/>
        <v>0.4327509968763748</v>
      </c>
      <c r="BN36" s="144">
        <f t="shared" si="107"/>
        <v>432.75099687637481</v>
      </c>
      <c r="BO36" s="456">
        <f t="shared" si="108"/>
        <v>0.23110499999999995</v>
      </c>
      <c r="BP36" s="456"/>
      <c r="BR36" s="144">
        <f t="shared" si="109"/>
        <v>231.10499999999996</v>
      </c>
      <c r="BS36" s="456">
        <f t="shared" si="40"/>
        <v>8.3965804548632908E-4</v>
      </c>
      <c r="BT36" s="456">
        <f t="shared" si="41"/>
        <v>9.1603419545136702E-3</v>
      </c>
      <c r="BU36" s="456">
        <f t="shared" si="42"/>
        <v>2.7899999999999998E-2</v>
      </c>
      <c r="BV36" s="456">
        <f t="shared" si="43"/>
        <v>4.033226581265012E-2</v>
      </c>
      <c r="BW36" s="456">
        <f t="shared" si="44"/>
        <v>3.3569489291724393E-4</v>
      </c>
      <c r="BX36" s="144">
        <f t="shared" si="110"/>
        <v>40.667960705567367</v>
      </c>
      <c r="BY36" s="150">
        <f t="shared" si="45"/>
        <v>1.1287451146642633</v>
      </c>
      <c r="BZ36" s="5">
        <f t="shared" si="111"/>
        <v>1.8599999999999999</v>
      </c>
      <c r="CA36" s="150">
        <f t="shared" si="112"/>
        <v>0.62233476882117478</v>
      </c>
      <c r="CB36" s="5">
        <f t="shared" si="113"/>
        <v>62.233476882117479</v>
      </c>
      <c r="CE36" s="59">
        <f t="shared" si="46"/>
        <v>-50</v>
      </c>
      <c r="CF36">
        <f t="shared" si="47"/>
        <v>-50</v>
      </c>
      <c r="CG36" s="150">
        <f t="shared" si="48"/>
        <v>0.77318748049874686</v>
      </c>
      <c r="CI36" s="147">
        <v>31</v>
      </c>
      <c r="CJ36" s="188">
        <f t="shared" si="114"/>
        <v>0.372</v>
      </c>
      <c r="CK36" s="188"/>
      <c r="CL36" s="188">
        <f t="shared" si="49"/>
        <v>1.8599999999999999</v>
      </c>
      <c r="CM36" s="465">
        <f t="shared" si="50"/>
        <v>48</v>
      </c>
      <c r="CN36" s="149">
        <f t="shared" si="51"/>
        <v>5.4</v>
      </c>
      <c r="CO36" s="379">
        <f t="shared" si="52"/>
        <v>53.4</v>
      </c>
      <c r="CP36" s="379"/>
      <c r="CQ36" s="188">
        <f t="shared" si="53"/>
        <v>0.10112359550561799</v>
      </c>
      <c r="CR36" s="149">
        <f t="shared" si="54"/>
        <v>12.426067415730339</v>
      </c>
      <c r="CS36" s="149">
        <f t="shared" si="115"/>
        <v>1.8599999999999999</v>
      </c>
      <c r="CT36" s="188">
        <f t="shared" si="55"/>
        <v>2.4852134831460679</v>
      </c>
      <c r="CU36" s="188">
        <f t="shared" si="56"/>
        <v>5</v>
      </c>
      <c r="CV36" s="188">
        <f t="shared" si="57"/>
        <v>2.4269662921348316</v>
      </c>
      <c r="CW36" s="149">
        <f t="shared" si="58"/>
        <v>274.65045053685878</v>
      </c>
      <c r="CX36" s="149">
        <f t="shared" si="59"/>
        <v>5</v>
      </c>
      <c r="CY36" s="188">
        <f t="shared" si="60"/>
        <v>0.76638888888888879</v>
      </c>
      <c r="CZ36" s="188">
        <f t="shared" si="61"/>
        <v>0.19159722222222222</v>
      </c>
      <c r="DA36" s="188">
        <f t="shared" si="62"/>
        <v>1.7030864197530862</v>
      </c>
      <c r="DB36" s="172">
        <f t="shared" si="63"/>
        <v>350</v>
      </c>
      <c r="DC36" s="379">
        <f t="shared" si="116"/>
        <v>350</v>
      </c>
      <c r="DE36" s="188">
        <f t="shared" si="64"/>
        <v>1.1556982343499198</v>
      </c>
      <c r="DF36" s="150">
        <f t="shared" si="65"/>
        <v>2.5682182985553772</v>
      </c>
      <c r="DG36" s="150">
        <f t="shared" si="66"/>
        <v>0.51941493678648076</v>
      </c>
      <c r="DH36" s="150"/>
      <c r="DI36" s="150">
        <f t="shared" si="67"/>
        <v>2.2222222222222219</v>
      </c>
      <c r="DJ36" s="314">
        <f t="shared" si="117"/>
        <v>334.8</v>
      </c>
      <c r="DK36" s="456">
        <f t="shared" si="68"/>
        <v>0.38888888888888884</v>
      </c>
      <c r="DM36" s="150">
        <f t="shared" si="69"/>
        <v>0.97804469661229121</v>
      </c>
      <c r="DN36" s="150">
        <f t="shared" si="70"/>
        <v>1</v>
      </c>
      <c r="DO36" s="150">
        <f t="shared" si="71"/>
        <v>1.1913142857142858</v>
      </c>
      <c r="DQ36" s="314">
        <f t="shared" si="72"/>
        <v>372</v>
      </c>
      <c r="DR36" s="144">
        <f t="shared" si="73"/>
        <v>334.8</v>
      </c>
      <c r="DT36">
        <f t="shared" si="74"/>
        <v>372</v>
      </c>
      <c r="DU36" s="144">
        <f t="shared" si="75"/>
        <v>334.8</v>
      </c>
      <c r="DV36" s="144"/>
      <c r="DW36" s="5">
        <f t="shared" si="118"/>
        <v>2.9868578255675029</v>
      </c>
      <c r="DX36" s="5">
        <f t="shared" si="76"/>
        <v>0.25</v>
      </c>
      <c r="DY36" s="5">
        <f t="shared" si="119"/>
        <v>2.7368578255675029</v>
      </c>
      <c r="DZ36" s="5">
        <f t="shared" si="77"/>
        <v>2.2222222222222219</v>
      </c>
      <c r="EA36" s="150">
        <f t="shared" si="120"/>
        <v>8.3699999999999997E-2</v>
      </c>
      <c r="EB36" s="150">
        <f t="shared" si="78"/>
        <v>2.0088000000000004</v>
      </c>
      <c r="EC36" s="150">
        <f t="shared" si="79"/>
        <v>0.45815</v>
      </c>
      <c r="ED36" s="150">
        <f t="shared" si="121"/>
        <v>4.3845901997162509</v>
      </c>
      <c r="EE36" s="144">
        <f t="shared" si="80"/>
        <v>1.8599999999999999</v>
      </c>
      <c r="EF36" s="5">
        <f t="shared" si="81"/>
        <v>4.4188850308641968E-2</v>
      </c>
      <c r="EG36" s="5"/>
      <c r="EH36" s="150">
        <f t="shared" si="122"/>
        <v>0.16703293088490065</v>
      </c>
      <c r="EI36" s="150">
        <f t="shared" si="82"/>
        <v>0.55266023317526047</v>
      </c>
      <c r="EJ36" s="150"/>
      <c r="EK36" s="456">
        <f t="shared" si="83"/>
        <v>5.5800000000000001E-4</v>
      </c>
      <c r="EL36" s="456">
        <f t="shared" si="84"/>
        <v>0.35756640000000001</v>
      </c>
      <c r="EM36" s="456">
        <f t="shared" si="85"/>
        <v>4.1849999999999998E-2</v>
      </c>
      <c r="EN36" s="456">
        <f t="shared" si="86"/>
        <v>9.5470228800000001E-2</v>
      </c>
      <c r="EO36">
        <f t="shared" si="87"/>
        <v>2.1600000000000001E-2</v>
      </c>
      <c r="EP36" s="144">
        <f t="shared" si="123"/>
        <v>63.45</v>
      </c>
      <c r="EQ36" s="456">
        <f t="shared" si="88"/>
        <v>0.51726386805743818</v>
      </c>
      <c r="ER36" s="144">
        <f t="shared" si="124"/>
        <v>517.26386805743823</v>
      </c>
      <c r="ES36" s="456">
        <f t="shared" si="125"/>
        <v>0.23110499999999995</v>
      </c>
      <c r="ET36" s="456"/>
      <c r="EV36" s="144">
        <f t="shared" si="126"/>
        <v>231.10499999999996</v>
      </c>
      <c r="EW36" s="456">
        <f t="shared" si="89"/>
        <v>8.3699999999999985E-4</v>
      </c>
      <c r="EX36" s="456">
        <f t="shared" si="90"/>
        <v>9.1629999999999975E-3</v>
      </c>
      <c r="EY36" s="456">
        <f t="shared" si="91"/>
        <v>0.10254951898869014</v>
      </c>
      <c r="EZ36" s="456">
        <f t="shared" si="92"/>
        <v>0.11504155223047451</v>
      </c>
      <c r="FA36" s="456">
        <f t="shared" si="93"/>
        <v>3.3480000000000001E-4</v>
      </c>
      <c r="FB36" s="144">
        <f t="shared" si="127"/>
        <v>115.3763522304745</v>
      </c>
      <c r="FC36" s="150">
        <f t="shared" si="128"/>
        <v>0.86374522028791256</v>
      </c>
      <c r="FD36" s="5">
        <f t="shared" si="129"/>
        <v>1.8599999999999999</v>
      </c>
      <c r="FE36" s="150">
        <f t="shared" si="130"/>
        <v>0.68288325433147135</v>
      </c>
      <c r="FF36" s="5">
        <f t="shared" si="131"/>
        <v>68.288325433147136</v>
      </c>
      <c r="FI36" s="59">
        <f t="shared" si="94"/>
        <v>-50</v>
      </c>
      <c r="FJ36">
        <f t="shared" si="95"/>
        <v>-50</v>
      </c>
      <c r="FL36">
        <f t="shared" si="96"/>
        <v>0.74400000000000011</v>
      </c>
    </row>
    <row r="37" spans="5:168">
      <c r="E37" s="147">
        <v>32</v>
      </c>
      <c r="F37" s="188">
        <f t="shared" si="97"/>
        <v>0.38400000000000001</v>
      </c>
      <c r="G37" s="188"/>
      <c r="H37" s="188">
        <f t="shared" ref="H37:H68" si="132">F37*Vout</f>
        <v>1.92</v>
      </c>
      <c r="I37" s="465">
        <f t="shared" ref="I37:I68" si="133">Vin-F37*(Rdcr_pri+RON/1000)/CG37/Nps</f>
        <v>47.975943738783762</v>
      </c>
      <c r="J37" s="149">
        <f t="shared" ref="J37:J68" si="134">(T37+Vfwd1+F37/CG37*Rdcr_sec)*Nps</f>
        <v>5.4144337567297409</v>
      </c>
      <c r="K37" s="149">
        <f t="shared" ref="K37:K68" si="135">(Vout+Vfwd1+F37/CG37*Rdcr_sec)*Nps+VIN_nom</f>
        <v>53.414433756729743</v>
      </c>
      <c r="L37" s="379"/>
      <c r="M37" s="188">
        <f t="shared" ref="M37:M68" si="136">(Vout+Vfwd1+F37/FL37*Rdcr_sec)*Nps/((Vout+Vfwd1+F37/FL37*Rdcr_sec)*Nps+I37)</f>
        <v>0.10142169478204008</v>
      </c>
      <c r="N37" s="149">
        <f t="shared" ref="N37:N68" si="137">M37*I37*(Isw_max+VIN_nom/Lmag*ILIM_delay)*0.5*Efficiency</f>
        <v>12.45645189825345</v>
      </c>
      <c r="O37" s="149">
        <f t="shared" si="98"/>
        <v>1.92</v>
      </c>
      <c r="P37" s="188">
        <f t="shared" ref="P37:P68" si="138">N37/Vout</f>
        <v>2.4912903796506898</v>
      </c>
      <c r="Q37" s="188">
        <f t="shared" ref="Q37:Q68" si="139">MIN(Vout,N37/F37)</f>
        <v>5</v>
      </c>
      <c r="R37" s="188">
        <f t="shared" ref="R37:R68" si="140">Isw_max/2*I37*Nps*(Q37+Vfwd1+F37/FL37*Rdcr_sec)/Q37/(I37+Nps*(Q37+Vfwd1+F37/FL37*Rdcr_sec))</f>
        <v>2.4329007613776268</v>
      </c>
      <c r="S37" s="149">
        <f t="shared" ref="S37:S68" si="141">(SQRT(Isw_max^2*Nps^2*I37^2+4*Isw_max*F37/Efficiency*(Nps^2*Vfwd1*I37-Nps*I37^2)+4*(F37/Efficiency)^2*Nps^2*Vfwd1^2+8*(F37/Efficiency)^2*Nps*Vfwd1*I37+4*(F37/Efficiency)^2*I37^2)-2*F37/Efficiency*I37-2*F37/Efficiency*Nps*Vfwd1+Isw_max*Nps*I37)/(4*F37/Efficiency*Nps)</f>
        <v>264.43990027298872</v>
      </c>
      <c r="T37" s="149">
        <f t="shared" ref="T37:T68" si="142">MIN(Vout, S37)</f>
        <v>5</v>
      </c>
      <c r="U37" s="188">
        <f t="shared" ref="U37:U68" si="143">MIN(2*(Vout+Vfwd1+F37/FL37*Rdcr_sec)*F37/(I37*M37), Isw_max)</f>
        <v>0.85468344332407753</v>
      </c>
      <c r="V37" s="188">
        <f t="shared" si="11"/>
        <v>0.2137780004022686</v>
      </c>
      <c r="W37" s="188">
        <f t="shared" ref="W37:W68" si="144">L*U37/J37*1000000</f>
        <v>1.8942334103065219</v>
      </c>
      <c r="X37" s="172">
        <f t="shared" ref="X37:X68" si="145">IF(1/((350000*L)*(1/I37+1/J37))&gt;Isw_min, 350, 0.001/((Isw_min*L)*(1/I37+1/J37)))</f>
        <v>350</v>
      </c>
      <c r="Y37" s="379">
        <f t="shared" si="14"/>
        <v>350</v>
      </c>
      <c r="AA37" s="188">
        <f t="shared" ref="AA37:AA68" si="146">1/((X37*1000*L)*(1/I37+1/J37))</f>
        <v>1.1584153116090465</v>
      </c>
      <c r="AB37" s="150">
        <f t="shared" ref="AB37:AB68" si="147">L*AA37/J37*1000000</f>
        <v>2.5673938151022098</v>
      </c>
      <c r="AC37" s="150">
        <f t="shared" ref="AC37:AC68" si="148">0.5*AB37*AA37*Nps*X37/1000</f>
        <v>0.52046895361033396</v>
      </c>
      <c r="AD37" s="150"/>
      <c r="AE37" s="150">
        <f t="shared" ref="AE37:AE68" si="149">L*Isw_min/J37*1000000</f>
        <v>2.216298238958947</v>
      </c>
      <c r="AF37" s="314">
        <f t="shared" ref="AF37:AF68" si="150">MAX(12, F37/(0.5*AE37/1000000*Isw_min*Nps)/1000)</f>
        <v>346.52376043070348</v>
      </c>
      <c r="AG37" s="456">
        <f t="shared" ref="AG37:AG68" si="151">0.5*AE37/1000000*Isw_min*Nps*X37*1000</f>
        <v>0.38785219181781572</v>
      </c>
      <c r="AI37" s="150">
        <f t="shared" ref="AI37:AI68" si="152">SQRT(F37/Efficiency/(0.5*L/J37*Fsw_DCM*Nps))</f>
        <v>0.99502155099518674</v>
      </c>
      <c r="AJ37" s="150">
        <f t="shared" ref="AJ37:AJ71" si="153">MAX(IF(F37&gt;AC37,U37,AI37),Isw_min)</f>
        <v>1</v>
      </c>
      <c r="AK37" s="150">
        <f t="shared" ref="AK37:AK68" si="154">IF(F37&gt;AG37, (AJ37-Isw_min)/1.08*0.8+1.2, AF37*0.2/350+1)</f>
        <v>1.1980135773889735</v>
      </c>
      <c r="AM37" s="314">
        <f t="shared" ref="AM37:AM68" si="155">F37*1000</f>
        <v>384</v>
      </c>
      <c r="AN37" s="144">
        <f t="shared" ref="AN37:AN68" si="156">IF(F37&gt;AG37, Y37, AF37)</f>
        <v>346.52376043070348</v>
      </c>
      <c r="AP37">
        <f t="shared" ref="AP37:AP68" si="157">IF(H37&gt;N37, "",AM37)</f>
        <v>384</v>
      </c>
      <c r="AQ37" s="144">
        <f t="shared" ref="AQ37:AQ68" si="158">IF(H37&gt;N37, "",AN37)</f>
        <v>346.52376043070348</v>
      </c>
      <c r="AR37" s="144"/>
      <c r="AS37" s="5">
        <f t="shared" si="101"/>
        <v>2.8858049986444616</v>
      </c>
      <c r="AT37" s="5">
        <f t="shared" ref="AT37:AT68" si="159">L*AJ37/I37*1000000</f>
        <v>0.25012535585202456</v>
      </c>
      <c r="AU37" s="5">
        <f t="shared" si="102"/>
        <v>2.6356796427924372</v>
      </c>
      <c r="AV37" s="5">
        <f t="shared" ref="AV37:AV68" si="160">L*AJ37/J37*1000000</f>
        <v>2.216298238958947</v>
      </c>
      <c r="AW37" s="150">
        <f t="shared" si="103"/>
        <v>8.6674378888911413E-2</v>
      </c>
      <c r="AX37" s="150">
        <f t="shared" ref="AX37:AX68" si="161">0.5*L*AJ37^2*AN37*1000</f>
        <v>2.079142562584221</v>
      </c>
      <c r="AY37" s="150">
        <f t="shared" ref="AY37:AY68" si="162">AJ37*Nps/2*(1-AW37)</f>
        <v>0.45666281055554431</v>
      </c>
      <c r="AZ37" s="150">
        <f t="shared" si="104"/>
        <v>4.552905370277208</v>
      </c>
      <c r="BA37" s="144">
        <f t="shared" ref="BA37:BA68" si="163">F37*AT37/Vout_ripple*1000</f>
        <v>1.9209627329435486</v>
      </c>
      <c r="BB37" s="5">
        <f t="shared" ref="BB37:BB68" si="164">H37/Efficiency/I37*AU37/Vinripple1</f>
        <v>4.3950020571026351E-2</v>
      </c>
      <c r="BC37" s="5"/>
      <c r="BD37" s="150">
        <f t="shared" si="105"/>
        <v>0.1699748794076264</v>
      </c>
      <c r="BE37" s="150">
        <f t="shared" ref="BE37:BE68" si="165">AJ37*Nps*SQRT((1-AW37)/3)</f>
        <v>0.55176251567472046</v>
      </c>
      <c r="BF37" s="150"/>
      <c r="BG37" s="456">
        <f t="shared" ref="BG37:BG68" si="166">Rdson*BD37^2</f>
        <v>5.7782919259274283E-4</v>
      </c>
      <c r="BH37" s="456">
        <f t="shared" ref="BH37:BH68" si="167">0.5*K37*AJ37*AN37*1000*Tfall</f>
        <v>0.34705069587485055</v>
      </c>
      <c r="BI37" s="456">
        <f t="shared" ref="BI37:BI68" si="168">Qg*Vdd*AN37*1000*0+Qg*I37*AN37*1000</f>
        <v>0.41562011086438028</v>
      </c>
      <c r="BJ37" s="456">
        <f t="shared" ref="BJ37:BJ68" si="169">0.5*(Coss+Csw)*K37^2*AN37*1000</f>
        <v>9.886675416018223E-2</v>
      </c>
      <c r="BK37">
        <f t="shared" ref="BK37:BK68" si="170">I37*IQ</f>
        <v>2.1589174682452691E-2</v>
      </c>
      <c r="BL37" s="144">
        <f t="shared" si="106"/>
        <v>437.20928554683297</v>
      </c>
      <c r="BM37" s="456">
        <f t="shared" ref="BM37:BM68" si="171">(BH37+BI37*0+BJ37+BK37*0+BG37*(1+RdsonTC*(Ta-25)))/(1-BG37*RdsonTC*ThetaJA)</f>
        <v>0.44671262327566175</v>
      </c>
      <c r="BN37" s="144">
        <f t="shared" si="107"/>
        <v>446.71262327566177</v>
      </c>
      <c r="BO37" s="456">
        <f t="shared" ref="BO37:BO68" si="172">Vfwd2*F37*(1+Diode_TC/1000*(Ta-25))</f>
        <v>0.23855999999999997</v>
      </c>
      <c r="BP37" s="456"/>
      <c r="BR37" s="144">
        <f t="shared" si="109"/>
        <v>238.55999999999997</v>
      </c>
      <c r="BS37" s="456">
        <f t="shared" ref="BS37:BS68" si="173">Rdcr_pri*BD37^2</f>
        <v>8.6674378888911409E-4</v>
      </c>
      <c r="BT37" s="456">
        <f t="shared" ref="BT37:BT68" si="174">Rdcr_sec*BE37^2</f>
        <v>9.1332562111108833E-3</v>
      </c>
      <c r="BU37" s="456">
        <f t="shared" ref="BU37:BU68" si="175">AJ37^2.5*AN37^2.5*k_core*0+BZ37*0.015</f>
        <v>2.8799999999999999E-2</v>
      </c>
      <c r="BV37" s="456">
        <f t="shared" ref="BV37:BV68" si="176">(BU37+(BS37+BT37)*(1+Ltc*(Ta-25)))/(1-(BS37+BT37)*Ltc*ThetaCa)</f>
        <v>4.1232986389111284E-2</v>
      </c>
      <c r="BW37" s="456">
        <f t="shared" ref="BW37:BW68" si="177">0.5*Lleak*0.000000001*AJ37^2*AN37*1000</f>
        <v>3.4652376043070349E-4</v>
      </c>
      <c r="BX37" s="144">
        <f t="shared" si="110"/>
        <v>41.579510149541989</v>
      </c>
      <c r="BY37" s="150">
        <f t="shared" si="45"/>
        <v>1.1640614189720366</v>
      </c>
      <c r="BZ37" s="5">
        <f t="shared" si="111"/>
        <v>1.92</v>
      </c>
      <c r="CA37" s="150">
        <f t="shared" si="112"/>
        <v>0.62255569496406604</v>
      </c>
      <c r="CB37" s="5">
        <f t="shared" si="113"/>
        <v>62.255569496406608</v>
      </c>
      <c r="CE37" s="59">
        <f t="shared" ref="CE37:CE68" si="178">IF(ABS(F37-Ioutmax_Vinnom)&lt;Iout/200, AN37, -50)</f>
        <v>-50</v>
      </c>
      <c r="CF37">
        <f t="shared" ref="CF37:CF68" si="179">IF(ABS(F37-Ioutmax_Vinnom)&lt;Iout/200, N37*CA37, -50)</f>
        <v>-50</v>
      </c>
      <c r="CG37" s="150">
        <f t="shared" ref="CG37:CG68" si="180">MIN(SQRT(2*DU37*1000*Ls1_*CL37)/CU37,1-EA37-0.00000005*DU37*1000)</f>
        <v>0.79812901212773868</v>
      </c>
      <c r="CI37" s="147">
        <v>32</v>
      </c>
      <c r="CJ37" s="188">
        <f t="shared" si="114"/>
        <v>0.38400000000000001</v>
      </c>
      <c r="CK37" s="188"/>
      <c r="CL37" s="188">
        <f t="shared" si="49"/>
        <v>1.92</v>
      </c>
      <c r="CM37" s="465">
        <f t="shared" si="50"/>
        <v>48</v>
      </c>
      <c r="CN37" s="149">
        <f t="shared" si="51"/>
        <v>5.4</v>
      </c>
      <c r="CO37" s="379">
        <f t="shared" si="52"/>
        <v>53.4</v>
      </c>
      <c r="CP37" s="379"/>
      <c r="CQ37" s="188">
        <f t="shared" si="53"/>
        <v>0.10112359550561799</v>
      </c>
      <c r="CR37" s="149">
        <f t="shared" si="54"/>
        <v>12.426067415730339</v>
      </c>
      <c r="CS37" s="149">
        <f t="shared" si="115"/>
        <v>1.92</v>
      </c>
      <c r="CT37" s="188">
        <f t="shared" si="55"/>
        <v>2.4852134831460679</v>
      </c>
      <c r="CU37" s="188">
        <f t="shared" si="56"/>
        <v>5</v>
      </c>
      <c r="CV37" s="188">
        <f t="shared" si="57"/>
        <v>2.4269662921348316</v>
      </c>
      <c r="CW37" s="149">
        <f t="shared" si="58"/>
        <v>264.57246036049889</v>
      </c>
      <c r="CX37" s="149">
        <f t="shared" si="59"/>
        <v>5</v>
      </c>
      <c r="CY37" s="188">
        <f t="shared" si="60"/>
        <v>0.79111111111111099</v>
      </c>
      <c r="CZ37" s="188">
        <f t="shared" si="61"/>
        <v>0.19777777777777775</v>
      </c>
      <c r="DA37" s="188">
        <f t="shared" si="62"/>
        <v>1.7580246913580246</v>
      </c>
      <c r="DB37" s="172">
        <f t="shared" si="63"/>
        <v>350</v>
      </c>
      <c r="DC37" s="379">
        <f t="shared" si="116"/>
        <v>350</v>
      </c>
      <c r="DE37" s="188">
        <f t="shared" si="64"/>
        <v>1.1556982343499198</v>
      </c>
      <c r="DF37" s="150">
        <f t="shared" si="65"/>
        <v>2.5682182985553772</v>
      </c>
      <c r="DG37" s="150">
        <f t="shared" si="66"/>
        <v>0.51941493678648076</v>
      </c>
      <c r="DH37" s="150"/>
      <c r="DI37" s="150">
        <f t="shared" si="67"/>
        <v>2.2222222222222219</v>
      </c>
      <c r="DJ37" s="314">
        <f t="shared" si="117"/>
        <v>345.60000000000008</v>
      </c>
      <c r="DK37" s="456">
        <f t="shared" si="68"/>
        <v>0.38888888888888884</v>
      </c>
      <c r="DM37" s="150">
        <f t="shared" si="69"/>
        <v>0.99369440545299015</v>
      </c>
      <c r="DN37" s="150">
        <f t="shared" si="70"/>
        <v>1</v>
      </c>
      <c r="DO37" s="150">
        <f t="shared" si="71"/>
        <v>1.1974857142857143</v>
      </c>
      <c r="DQ37" s="314">
        <f t="shared" si="72"/>
        <v>384</v>
      </c>
      <c r="DR37" s="144">
        <f t="shared" si="73"/>
        <v>345.60000000000008</v>
      </c>
      <c r="DT37">
        <f t="shared" si="74"/>
        <v>384</v>
      </c>
      <c r="DU37" s="144">
        <f t="shared" si="75"/>
        <v>345.60000000000008</v>
      </c>
      <c r="DV37" s="144"/>
      <c r="DW37" s="5">
        <f t="shared" si="118"/>
        <v>2.8935185185185177</v>
      </c>
      <c r="DX37" s="5">
        <f t="shared" si="76"/>
        <v>0.25</v>
      </c>
      <c r="DY37" s="5">
        <f t="shared" si="119"/>
        <v>2.6435185185185177</v>
      </c>
      <c r="DZ37" s="5">
        <f t="shared" si="77"/>
        <v>2.2222222222222219</v>
      </c>
      <c r="EA37" s="150">
        <f t="shared" si="120"/>
        <v>8.6400000000000018E-2</v>
      </c>
      <c r="EB37" s="150">
        <f t="shared" si="78"/>
        <v>2.0736000000000003</v>
      </c>
      <c r="EC37" s="150">
        <f t="shared" si="79"/>
        <v>0.45679999999999998</v>
      </c>
      <c r="ED37" s="150">
        <f t="shared" si="121"/>
        <v>4.5394045534150624</v>
      </c>
      <c r="EE37" s="144">
        <f t="shared" si="80"/>
        <v>1.9200000000000002</v>
      </c>
      <c r="EF37" s="5">
        <f t="shared" si="81"/>
        <v>4.4058641975308621E-2</v>
      </c>
      <c r="EG37" s="5"/>
      <c r="EH37" s="150">
        <f t="shared" si="122"/>
        <v>0.16970562748477142</v>
      </c>
      <c r="EI37" s="150">
        <f t="shared" si="82"/>
        <v>0.55184538897533009</v>
      </c>
      <c r="EJ37" s="150"/>
      <c r="EK37" s="456">
        <f t="shared" si="83"/>
        <v>5.7600000000000001E-4</v>
      </c>
      <c r="EL37" s="456">
        <f t="shared" si="84"/>
        <v>0.36910080000000006</v>
      </c>
      <c r="EM37" s="456">
        <f t="shared" si="85"/>
        <v>4.3200000000000009E-2</v>
      </c>
      <c r="EN37" s="456">
        <f t="shared" si="86"/>
        <v>9.8549913600000025E-2</v>
      </c>
      <c r="EO37">
        <f t="shared" si="87"/>
        <v>2.1600000000000001E-2</v>
      </c>
      <c r="EP37" s="144">
        <f t="shared" si="123"/>
        <v>64.800000000000011</v>
      </c>
      <c r="EQ37" s="456">
        <f t="shared" si="88"/>
        <v>0.53325521362872474</v>
      </c>
      <c r="ER37" s="144">
        <f t="shared" si="124"/>
        <v>533.25521362872473</v>
      </c>
      <c r="ES37" s="456">
        <f t="shared" si="125"/>
        <v>0.23855999999999997</v>
      </c>
      <c r="ET37" s="456"/>
      <c r="EV37" s="144">
        <f t="shared" si="126"/>
        <v>238.55999999999997</v>
      </c>
      <c r="EW37" s="456">
        <f t="shared" si="89"/>
        <v>8.6400000000000008E-4</v>
      </c>
      <c r="EX37" s="456">
        <f t="shared" si="90"/>
        <v>9.1360000000000018E-3</v>
      </c>
      <c r="EY37" s="456">
        <f t="shared" si="91"/>
        <v>0.11102079651880152</v>
      </c>
      <c r="EZ37" s="456">
        <f t="shared" si="92"/>
        <v>0.12351961220856839</v>
      </c>
      <c r="FA37" s="456">
        <f t="shared" si="93"/>
        <v>3.4560000000000005E-4</v>
      </c>
      <c r="FB37" s="144">
        <f t="shared" si="127"/>
        <v>123.86521220856838</v>
      </c>
      <c r="FC37" s="150">
        <f t="shared" si="128"/>
        <v>0.89568042583729301</v>
      </c>
      <c r="FD37" s="5">
        <f t="shared" si="129"/>
        <v>1.92</v>
      </c>
      <c r="FE37" s="150">
        <f t="shared" si="130"/>
        <v>0.68189556683409969</v>
      </c>
      <c r="FF37" s="5">
        <f t="shared" si="131"/>
        <v>68.189556683409975</v>
      </c>
      <c r="FI37" s="59">
        <f t="shared" si="94"/>
        <v>-50</v>
      </c>
      <c r="FJ37">
        <f t="shared" si="95"/>
        <v>-50</v>
      </c>
      <c r="FL37">
        <f t="shared" ref="FL37:FL68" si="181">MIN(SQRT(2*L*DR37*1000*CJ37*(CX37+Vfwd1))/(Nps*(CX37+Vfwd1)), 1-EA37)</f>
        <v>0.76800000000000013</v>
      </c>
    </row>
    <row r="38" spans="5:168">
      <c r="E38" s="147">
        <v>33</v>
      </c>
      <c r="F38" s="188">
        <f t="shared" ref="F38:F69" si="182">IF(PLOT_TYPE=1, E38/100*Iout_max, min_I*EXP(N38*rr/100))</f>
        <v>0.39600000000000002</v>
      </c>
      <c r="G38" s="188"/>
      <c r="H38" s="188">
        <f t="shared" si="132"/>
        <v>1.98</v>
      </c>
      <c r="I38" s="465">
        <f t="shared" si="133"/>
        <v>47.975724792188622</v>
      </c>
      <c r="J38" s="149">
        <f t="shared" si="134"/>
        <v>5.4145651246868285</v>
      </c>
      <c r="K38" s="149">
        <f t="shared" si="135"/>
        <v>53.414565124686831</v>
      </c>
      <c r="L38" s="379"/>
      <c r="M38" s="188">
        <f t="shared" si="136"/>
        <v>0.10142440837882953</v>
      </c>
      <c r="N38" s="149">
        <f t="shared" si="137"/>
        <v>12.456728329198784</v>
      </c>
      <c r="O38" s="149">
        <f t="shared" si="98"/>
        <v>1.98</v>
      </c>
      <c r="P38" s="188">
        <f t="shared" si="138"/>
        <v>2.4913456658397566</v>
      </c>
      <c r="Q38" s="188">
        <f t="shared" si="139"/>
        <v>5</v>
      </c>
      <c r="R38" s="188">
        <f t="shared" si="140"/>
        <v>2.4329547517966374</v>
      </c>
      <c r="S38" s="149">
        <f t="shared" si="141"/>
        <v>254.97647076152651</v>
      </c>
      <c r="T38" s="149">
        <f t="shared" si="142"/>
        <v>5</v>
      </c>
      <c r="U38" s="188">
        <f t="shared" si="143"/>
        <v>0.88139496263314765</v>
      </c>
      <c r="V38" s="188">
        <f t="shared" si="11"/>
        <v>0.22046023478356849</v>
      </c>
      <c r="W38" s="188">
        <f t="shared" si="144"/>
        <v>1.9533867093729929</v>
      </c>
      <c r="X38" s="172">
        <f t="shared" si="145"/>
        <v>350</v>
      </c>
      <c r="Y38" s="379">
        <f t="shared" si="14"/>
        <v>350</v>
      </c>
      <c r="AA38" s="188">
        <f t="shared" si="146"/>
        <v>1.1584400311982712</v>
      </c>
      <c r="AB38" s="150">
        <f t="shared" si="147"/>
        <v>2.5673863097515675</v>
      </c>
      <c r="AC38" s="150">
        <f t="shared" si="148"/>
        <v>0.52047853843415848</v>
      </c>
      <c r="AD38" s="150"/>
      <c r="AE38" s="150">
        <f t="shared" si="149"/>
        <v>2.2162444672219297</v>
      </c>
      <c r="AF38" s="314">
        <f t="shared" si="150"/>
        <v>357.36129822933066</v>
      </c>
      <c r="AG38" s="456">
        <f t="shared" si="151"/>
        <v>0.38784278176383763</v>
      </c>
      <c r="AI38" s="150">
        <f t="shared" si="152"/>
        <v>1.0104614196767883</v>
      </c>
      <c r="AJ38" s="150">
        <f t="shared" si="153"/>
        <v>1.0104614196767883</v>
      </c>
      <c r="AK38" s="150">
        <f t="shared" si="154"/>
        <v>1.2077491997605838</v>
      </c>
      <c r="AM38" s="314">
        <f t="shared" si="155"/>
        <v>396</v>
      </c>
      <c r="AN38" s="144">
        <f t="shared" si="156"/>
        <v>350</v>
      </c>
      <c r="AP38">
        <f t="shared" si="157"/>
        <v>396</v>
      </c>
      <c r="AQ38" s="144">
        <f t="shared" si="158"/>
        <v>350</v>
      </c>
      <c r="AR38" s="144"/>
      <c r="AS38" s="5">
        <f t="shared" si="101"/>
        <v>2.8571428571428572</v>
      </c>
      <c r="AT38" s="5">
        <f t="shared" si="159"/>
        <v>0.25274317560900572</v>
      </c>
      <c r="AU38" s="5">
        <f t="shared" si="102"/>
        <v>2.6043996815338515</v>
      </c>
      <c r="AV38" s="5">
        <f t="shared" si="160"/>
        <v>2.2394295306998981</v>
      </c>
      <c r="AW38" s="150">
        <f t="shared" si="103"/>
        <v>8.8460111463151997E-2</v>
      </c>
      <c r="AX38" s="150">
        <f t="shared" si="161"/>
        <v>2.1441677893759836</v>
      </c>
      <c r="AY38" s="150">
        <f t="shared" si="162"/>
        <v>0.46053794493148237</v>
      </c>
      <c r="AZ38" s="150">
        <f t="shared" si="104"/>
        <v>4.6557896324807446</v>
      </c>
      <c r="BA38" s="144">
        <f t="shared" si="163"/>
        <v>2.0017259508233254</v>
      </c>
      <c r="BB38" s="5">
        <f t="shared" si="164"/>
        <v>4.4785769189989721E-2</v>
      </c>
      <c r="BC38" s="5"/>
      <c r="BD38" s="150">
        <f t="shared" si="105"/>
        <v>0.17351333220076393</v>
      </c>
      <c r="BE38" s="150">
        <f t="shared" si="165"/>
        <v>0.55698942279035313</v>
      </c>
      <c r="BF38" s="150"/>
      <c r="BG38" s="456">
        <f t="shared" si="166"/>
        <v>6.0213752902825316E-4</v>
      </c>
      <c r="BH38" s="456">
        <f t="shared" si="167"/>
        <v>0.35420015732921745</v>
      </c>
      <c r="BI38" s="456">
        <f t="shared" si="168"/>
        <v>0.41978759193165044</v>
      </c>
      <c r="BJ38" s="456">
        <f t="shared" si="169"/>
        <v>9.9859051861079365E-2</v>
      </c>
      <c r="BK38">
        <f t="shared" si="170"/>
        <v>2.1589076156484879E-2</v>
      </c>
      <c r="BL38" s="144">
        <f t="shared" si="106"/>
        <v>441.37666808813532</v>
      </c>
      <c r="BM38" s="456">
        <f t="shared" si="171"/>
        <v>0.45488900385616826</v>
      </c>
      <c r="BN38" s="144">
        <f t="shared" si="107"/>
        <v>454.88900385616824</v>
      </c>
      <c r="BO38" s="456">
        <f t="shared" si="172"/>
        <v>0.24601499999999998</v>
      </c>
      <c r="BP38" s="456"/>
      <c r="BR38" s="144">
        <f t="shared" si="109"/>
        <v>246.01499999999999</v>
      </c>
      <c r="BS38" s="456">
        <f t="shared" si="173"/>
        <v>9.0320629354237968E-4</v>
      </c>
      <c r="BT38" s="456">
        <f t="shared" si="174"/>
        <v>9.3071165130099217E-3</v>
      </c>
      <c r="BU38" s="456">
        <f t="shared" si="175"/>
        <v>2.9699999999999997E-2</v>
      </c>
      <c r="BV38" s="456">
        <f t="shared" si="176"/>
        <v>4.2395429962159746E-2</v>
      </c>
      <c r="BW38" s="456">
        <f t="shared" si="177"/>
        <v>3.5736129822933066E-4</v>
      </c>
      <c r="BX38" s="144">
        <f t="shared" si="110"/>
        <v>42.752791260389074</v>
      </c>
      <c r="BY38" s="150">
        <f t="shared" si="45"/>
        <v>1.1850334632046926</v>
      </c>
      <c r="BZ38" s="5">
        <f t="shared" si="111"/>
        <v>1.98</v>
      </c>
      <c r="CA38" s="150">
        <f t="shared" si="112"/>
        <v>0.6255858028101825</v>
      </c>
      <c r="CB38" s="5">
        <f t="shared" si="113"/>
        <v>62.558580281018251</v>
      </c>
      <c r="CE38" s="59">
        <f t="shared" si="178"/>
        <v>-50</v>
      </c>
      <c r="CF38">
        <f t="shared" si="179"/>
        <v>-50</v>
      </c>
      <c r="CG38" s="150">
        <f t="shared" si="180"/>
        <v>0.81564698246238854</v>
      </c>
      <c r="CI38" s="147">
        <v>33</v>
      </c>
      <c r="CJ38" s="188">
        <f t="shared" si="114"/>
        <v>0.39600000000000002</v>
      </c>
      <c r="CK38" s="188"/>
      <c r="CL38" s="188">
        <f t="shared" si="49"/>
        <v>1.98</v>
      </c>
      <c r="CM38" s="465">
        <f t="shared" si="50"/>
        <v>48</v>
      </c>
      <c r="CN38" s="149">
        <f t="shared" si="51"/>
        <v>5.4</v>
      </c>
      <c r="CO38" s="379">
        <f t="shared" si="52"/>
        <v>53.4</v>
      </c>
      <c r="CP38" s="379"/>
      <c r="CQ38" s="188">
        <f t="shared" si="53"/>
        <v>0.10112359550561799</v>
      </c>
      <c r="CR38" s="149">
        <f t="shared" si="54"/>
        <v>12.426067415730339</v>
      </c>
      <c r="CS38" s="149">
        <f t="shared" si="115"/>
        <v>1.98</v>
      </c>
      <c r="CT38" s="188">
        <f t="shared" si="55"/>
        <v>2.4852134831460679</v>
      </c>
      <c r="CU38" s="188">
        <f t="shared" si="56"/>
        <v>5</v>
      </c>
      <c r="CV38" s="188">
        <f t="shared" si="57"/>
        <v>2.4269662921348316</v>
      </c>
      <c r="CW38" s="149">
        <f t="shared" si="58"/>
        <v>255.10544819896904</v>
      </c>
      <c r="CX38" s="149">
        <f t="shared" si="59"/>
        <v>5</v>
      </c>
      <c r="CY38" s="188">
        <f t="shared" si="60"/>
        <v>0.8158333333333333</v>
      </c>
      <c r="CZ38" s="188">
        <f t="shared" si="61"/>
        <v>0.20395833333333332</v>
      </c>
      <c r="DA38" s="188">
        <f t="shared" si="62"/>
        <v>1.8129629629629627</v>
      </c>
      <c r="DB38" s="172">
        <f t="shared" si="63"/>
        <v>350</v>
      </c>
      <c r="DC38" s="379">
        <f t="shared" si="116"/>
        <v>350</v>
      </c>
      <c r="DE38" s="188">
        <f t="shared" si="64"/>
        <v>1.1556982343499198</v>
      </c>
      <c r="DF38" s="150">
        <f t="shared" si="65"/>
        <v>2.5682182985553772</v>
      </c>
      <c r="DG38" s="150">
        <f t="shared" si="66"/>
        <v>0.51941493678648076</v>
      </c>
      <c r="DH38" s="150"/>
      <c r="DI38" s="150">
        <f t="shared" si="67"/>
        <v>2.2222222222222219</v>
      </c>
      <c r="DJ38" s="314">
        <f t="shared" si="117"/>
        <v>356.40000000000003</v>
      </c>
      <c r="DK38" s="456">
        <f t="shared" si="68"/>
        <v>0.38888888888888884</v>
      </c>
      <c r="DM38" s="150">
        <f t="shared" si="69"/>
        <v>1.0091014390464987</v>
      </c>
      <c r="DN38" s="150">
        <f t="shared" si="70"/>
        <v>1.0091014390464987</v>
      </c>
      <c r="DO38" s="150">
        <f t="shared" si="71"/>
        <v>1.2067418067011102</v>
      </c>
      <c r="DQ38" s="314">
        <f t="shared" si="72"/>
        <v>396</v>
      </c>
      <c r="DR38" s="144">
        <f t="shared" si="73"/>
        <v>350</v>
      </c>
      <c r="DT38">
        <f t="shared" si="74"/>
        <v>396</v>
      </c>
      <c r="DU38" s="144">
        <f t="shared" si="75"/>
        <v>350</v>
      </c>
      <c r="DV38" s="144"/>
      <c r="DW38" s="5">
        <f t="shared" si="118"/>
        <v>2.8571428571428572</v>
      </c>
      <c r="DX38" s="5">
        <f t="shared" si="76"/>
        <v>0.25227535976162468</v>
      </c>
      <c r="DY38" s="5">
        <f t="shared" si="119"/>
        <v>2.6048674973812327</v>
      </c>
      <c r="DZ38" s="5">
        <f t="shared" si="77"/>
        <v>2.2424476423255526</v>
      </c>
      <c r="EA38" s="150">
        <f t="shared" si="120"/>
        <v>8.8296375916568637E-2</v>
      </c>
      <c r="EB38" s="150">
        <f t="shared" si="78"/>
        <v>2.1384000000000012</v>
      </c>
      <c r="EC38" s="150">
        <f t="shared" si="79"/>
        <v>0.46000071952324934</v>
      </c>
      <c r="ED38" s="150">
        <f t="shared" si="121"/>
        <v>4.6486883807839829</v>
      </c>
      <c r="EE38" s="144">
        <f t="shared" si="80"/>
        <v>1.9980208493120679</v>
      </c>
      <c r="EF38" s="5">
        <f t="shared" si="81"/>
        <v>4.4771160111239931E-2</v>
      </c>
      <c r="EG38" s="5"/>
      <c r="EH38" s="150">
        <f t="shared" si="122"/>
        <v>0.17311935980612053</v>
      </c>
      <c r="EI38" s="150">
        <f t="shared" si="82"/>
        <v>0.55628972549283218</v>
      </c>
      <c r="EJ38" s="150"/>
      <c r="EK38" s="456">
        <f t="shared" si="83"/>
        <v>5.9940625479362037E-4</v>
      </c>
      <c r="EL38" s="456">
        <f t="shared" si="84"/>
        <v>0.37720211791558123</v>
      </c>
      <c r="EM38" s="456">
        <f t="shared" si="85"/>
        <v>4.3749999999999997E-2</v>
      </c>
      <c r="EN38" s="456">
        <f t="shared" si="86"/>
        <v>9.9804599999999993E-2</v>
      </c>
      <c r="EO38">
        <f t="shared" si="87"/>
        <v>2.1600000000000001E-2</v>
      </c>
      <c r="EP38" s="144">
        <f t="shared" si="123"/>
        <v>65.349999999999994</v>
      </c>
      <c r="EQ38" s="456">
        <f t="shared" si="88"/>
        <v>0.54319532515406121</v>
      </c>
      <c r="ER38" s="144">
        <f t="shared" si="124"/>
        <v>543.19532515406127</v>
      </c>
      <c r="ES38" s="456">
        <f t="shared" si="125"/>
        <v>0.24601499999999998</v>
      </c>
      <c r="ET38" s="456"/>
      <c r="EV38" s="144">
        <f t="shared" si="126"/>
        <v>246.01499999999999</v>
      </c>
      <c r="EW38" s="456">
        <f t="shared" si="89"/>
        <v>8.991093821904306E-4</v>
      </c>
      <c r="EX38" s="456">
        <f t="shared" si="90"/>
        <v>9.2837477606667173E-3</v>
      </c>
      <c r="EY38" s="456">
        <f t="shared" si="91"/>
        <v>0.1172133771417246</v>
      </c>
      <c r="EZ38" s="456">
        <f t="shared" si="92"/>
        <v>0.1299459777050482</v>
      </c>
      <c r="FA38" s="456">
        <f t="shared" si="93"/>
        <v>3.5640000000000015E-4</v>
      </c>
      <c r="FB38" s="144">
        <f t="shared" si="127"/>
        <v>130.3023777050482</v>
      </c>
      <c r="FC38" s="150">
        <f t="shared" si="128"/>
        <v>0.91951270285910947</v>
      </c>
      <c r="FD38" s="5">
        <f t="shared" si="129"/>
        <v>1.98</v>
      </c>
      <c r="FE38" s="150">
        <f t="shared" si="130"/>
        <v>0.68287336628930451</v>
      </c>
      <c r="FF38" s="5">
        <f t="shared" si="131"/>
        <v>68.287336628930447</v>
      </c>
      <c r="FI38" s="59">
        <f t="shared" si="94"/>
        <v>-50</v>
      </c>
      <c r="FJ38">
        <f t="shared" si="95"/>
        <v>-50</v>
      </c>
      <c r="FL38">
        <f t="shared" si="181"/>
        <v>0.78485667481394339</v>
      </c>
    </row>
    <row r="39" spans="5:168">
      <c r="E39" s="147">
        <v>34</v>
      </c>
      <c r="F39" s="188">
        <f t="shared" si="182"/>
        <v>0.40800000000000003</v>
      </c>
      <c r="G39" s="188"/>
      <c r="H39" s="188">
        <f t="shared" si="132"/>
        <v>2.04</v>
      </c>
      <c r="I39" s="465">
        <f t="shared" si="133"/>
        <v>47.975359730984771</v>
      </c>
      <c r="J39" s="149">
        <f t="shared" si="134"/>
        <v>5.4147841614091377</v>
      </c>
      <c r="K39" s="149">
        <f t="shared" si="135"/>
        <v>53.414784161409138</v>
      </c>
      <c r="L39" s="379"/>
      <c r="M39" s="188">
        <f t="shared" si="136"/>
        <v>0.1014289329204848</v>
      </c>
      <c r="N39" s="149">
        <f t="shared" si="137"/>
        <v>12.457189232614867</v>
      </c>
      <c r="O39" s="149">
        <f t="shared" si="98"/>
        <v>2.04</v>
      </c>
      <c r="P39" s="188">
        <f t="shared" si="138"/>
        <v>2.4914378465229734</v>
      </c>
      <c r="Q39" s="188">
        <f t="shared" si="139"/>
        <v>5</v>
      </c>
      <c r="R39" s="188">
        <f t="shared" si="140"/>
        <v>2.4330447719950907</v>
      </c>
      <c r="S39" s="149">
        <f t="shared" si="141"/>
        <v>246.06916550910017</v>
      </c>
      <c r="T39" s="149">
        <f t="shared" si="142"/>
        <v>5</v>
      </c>
      <c r="U39" s="188">
        <f t="shared" si="143"/>
        <v>0.90810847343673873</v>
      </c>
      <c r="V39" s="188">
        <f t="shared" si="11"/>
        <v>0.22714372007517994</v>
      </c>
      <c r="W39" s="188">
        <f t="shared" si="144"/>
        <v>2.0125089673758971</v>
      </c>
      <c r="X39" s="172">
        <f t="shared" si="145"/>
        <v>350</v>
      </c>
      <c r="Y39" s="379">
        <f t="shared" si="14"/>
        <v>350</v>
      </c>
      <c r="AA39" s="188">
        <f t="shared" si="146"/>
        <v>1.1584812470828063</v>
      </c>
      <c r="AB39" s="150">
        <f t="shared" si="147"/>
        <v>2.5673737956299063</v>
      </c>
      <c r="AC39" s="150">
        <f t="shared" si="148"/>
        <v>0.520494519385584</v>
      </c>
      <c r="AD39" s="150"/>
      <c r="AE39" s="150">
        <f t="shared" si="149"/>
        <v>2.2161548165711435</v>
      </c>
      <c r="AF39" s="314">
        <f t="shared" si="150"/>
        <v>368.20532297582139</v>
      </c>
      <c r="AG39" s="456">
        <f t="shared" si="151"/>
        <v>0.3878270928999501</v>
      </c>
      <c r="AI39" s="150">
        <f t="shared" si="152"/>
        <v>1.0256779263015983</v>
      </c>
      <c r="AJ39" s="150">
        <f t="shared" si="153"/>
        <v>1.0256779263015983</v>
      </c>
      <c r="AK39" s="150">
        <f t="shared" si="154"/>
        <v>1.219020686149332</v>
      </c>
      <c r="AM39" s="314">
        <f t="shared" si="155"/>
        <v>408.00000000000006</v>
      </c>
      <c r="AN39" s="144">
        <f t="shared" si="156"/>
        <v>350</v>
      </c>
      <c r="AP39">
        <f t="shared" si="157"/>
        <v>408.00000000000006</v>
      </c>
      <c r="AQ39" s="144">
        <f t="shared" si="158"/>
        <v>350</v>
      </c>
      <c r="AR39" s="144"/>
      <c r="AS39" s="5">
        <f t="shared" si="101"/>
        <v>2.8571428571428572</v>
      </c>
      <c r="AT39" s="5">
        <f t="shared" si="159"/>
        <v>0.2565511792852696</v>
      </c>
      <c r="AU39" s="5">
        <f t="shared" si="102"/>
        <v>2.6005916778575875</v>
      </c>
      <c r="AV39" s="5">
        <f t="shared" si="160"/>
        <v>2.2730610766239896</v>
      </c>
      <c r="AW39" s="150">
        <f t="shared" si="103"/>
        <v>8.9792912749844356E-2</v>
      </c>
      <c r="AX39" s="150">
        <f t="shared" si="161"/>
        <v>2.2092319378549288</v>
      </c>
      <c r="AY39" s="150">
        <f t="shared" si="162"/>
        <v>0.46678965887787877</v>
      </c>
      <c r="AZ39" s="150">
        <f t="shared" si="104"/>
        <v>4.7328210808391251</v>
      </c>
      <c r="BA39" s="144">
        <f t="shared" si="163"/>
        <v>2.0934576229677999</v>
      </c>
      <c r="BB39" s="5">
        <f t="shared" si="164"/>
        <v>4.607579679598111E-2</v>
      </c>
      <c r="BC39" s="5"/>
      <c r="BD39" s="150">
        <f t="shared" si="105"/>
        <v>0.1774481237137214</v>
      </c>
      <c r="BE39" s="150">
        <f t="shared" si="165"/>
        <v>0.56496362675656275</v>
      </c>
      <c r="BF39" s="150"/>
      <c r="BG39" s="456">
        <f t="shared" si="166"/>
        <v>6.2975673219040356E-4</v>
      </c>
      <c r="BH39" s="456">
        <f t="shared" si="167"/>
        <v>0.35953552065717287</v>
      </c>
      <c r="BI39" s="456">
        <f t="shared" si="168"/>
        <v>0.41978439764611675</v>
      </c>
      <c r="BJ39" s="456">
        <f t="shared" si="169"/>
        <v>9.9859870845347365E-2</v>
      </c>
      <c r="BK39">
        <f t="shared" si="170"/>
        <v>2.1588911878943146E-2</v>
      </c>
      <c r="BL39" s="144">
        <f t="shared" si="106"/>
        <v>441.37330952505988</v>
      </c>
      <c r="BM39" s="456">
        <f t="shared" si="171"/>
        <v>0.46026405195435016</v>
      </c>
      <c r="BN39" s="144">
        <f t="shared" si="107"/>
        <v>460.26405195435018</v>
      </c>
      <c r="BO39" s="456">
        <f t="shared" si="172"/>
        <v>0.25347000000000003</v>
      </c>
      <c r="BP39" s="456"/>
      <c r="BR39" s="144">
        <f t="shared" si="109"/>
        <v>253.47000000000003</v>
      </c>
      <c r="BS39" s="456">
        <f t="shared" si="173"/>
        <v>9.4463509828560522E-4</v>
      </c>
      <c r="BT39" s="456">
        <f t="shared" si="174"/>
        <v>9.5755169867378625E-3</v>
      </c>
      <c r="BU39" s="456">
        <f t="shared" si="175"/>
        <v>3.0599999999999999E-2</v>
      </c>
      <c r="BV39" s="456">
        <f t="shared" si="176"/>
        <v>4.3681751679109454E-2</v>
      </c>
      <c r="BW39" s="456">
        <f t="shared" si="177"/>
        <v>3.6820532297582141E-4</v>
      </c>
      <c r="BX39" s="144">
        <f t="shared" si="110"/>
        <v>44.049957002085279</v>
      </c>
      <c r="BY39" s="150">
        <f t="shared" si="45"/>
        <v>1.1991573184814954</v>
      </c>
      <c r="BZ39" s="5">
        <f t="shared" si="111"/>
        <v>2.04</v>
      </c>
      <c r="CA39" s="150">
        <f t="shared" si="112"/>
        <v>0.62979343064335769</v>
      </c>
      <c r="CB39" s="5">
        <f t="shared" si="113"/>
        <v>62.979343064335765</v>
      </c>
      <c r="CE39" s="59">
        <f t="shared" si="178"/>
        <v>-50</v>
      </c>
      <c r="CF39">
        <f t="shared" si="179"/>
        <v>-50</v>
      </c>
      <c r="CG39" s="150">
        <f t="shared" si="180"/>
        <v>0.82791303891169643</v>
      </c>
      <c r="CI39" s="147">
        <v>34</v>
      </c>
      <c r="CJ39" s="188">
        <f t="shared" si="114"/>
        <v>0.40800000000000003</v>
      </c>
      <c r="CK39" s="188"/>
      <c r="CL39" s="188">
        <f t="shared" si="49"/>
        <v>2.04</v>
      </c>
      <c r="CM39" s="465">
        <f t="shared" si="50"/>
        <v>48</v>
      </c>
      <c r="CN39" s="149">
        <f t="shared" si="51"/>
        <v>5.4</v>
      </c>
      <c r="CO39" s="379">
        <f t="shared" si="52"/>
        <v>53.4</v>
      </c>
      <c r="CP39" s="379"/>
      <c r="CQ39" s="188">
        <f t="shared" si="53"/>
        <v>0.10112359550561799</v>
      </c>
      <c r="CR39" s="149">
        <f t="shared" si="54"/>
        <v>12.426067415730339</v>
      </c>
      <c r="CS39" s="149">
        <f t="shared" si="115"/>
        <v>2.04</v>
      </c>
      <c r="CT39" s="188">
        <f t="shared" si="55"/>
        <v>2.4852134831460679</v>
      </c>
      <c r="CU39" s="188">
        <f t="shared" si="56"/>
        <v>5</v>
      </c>
      <c r="CV39" s="188">
        <f t="shared" si="57"/>
        <v>2.4269662921348316</v>
      </c>
      <c r="CW39" s="149">
        <f t="shared" si="58"/>
        <v>246.19550735808727</v>
      </c>
      <c r="CX39" s="149">
        <f t="shared" si="59"/>
        <v>5</v>
      </c>
      <c r="CY39" s="188">
        <f t="shared" si="60"/>
        <v>0.8405555555555555</v>
      </c>
      <c r="CZ39" s="188">
        <f t="shared" si="61"/>
        <v>0.21013888888888888</v>
      </c>
      <c r="DA39" s="188">
        <f t="shared" si="62"/>
        <v>1.8679012345679011</v>
      </c>
      <c r="DB39" s="172">
        <f t="shared" si="63"/>
        <v>350</v>
      </c>
      <c r="DC39" s="379">
        <f t="shared" si="116"/>
        <v>350</v>
      </c>
      <c r="DE39" s="188">
        <f t="shared" si="64"/>
        <v>1.1556982343499198</v>
      </c>
      <c r="DF39" s="150">
        <f t="shared" si="65"/>
        <v>2.5682182985553772</v>
      </c>
      <c r="DG39" s="150">
        <f t="shared" si="66"/>
        <v>0.51941493678648076</v>
      </c>
      <c r="DH39" s="150"/>
      <c r="DI39" s="150">
        <f t="shared" si="67"/>
        <v>2.2222222222222219</v>
      </c>
      <c r="DJ39" s="314">
        <f t="shared" si="117"/>
        <v>367.20000000000005</v>
      </c>
      <c r="DK39" s="456">
        <f t="shared" si="68"/>
        <v>0.38888888888888884</v>
      </c>
      <c r="DM39" s="150">
        <f t="shared" si="69"/>
        <v>1.024276748317005</v>
      </c>
      <c r="DN39" s="150">
        <f t="shared" si="70"/>
        <v>1.024276748317005</v>
      </c>
      <c r="DO39" s="150">
        <f t="shared" si="71"/>
        <v>1.2179827765311149</v>
      </c>
      <c r="DQ39" s="314">
        <f t="shared" si="72"/>
        <v>408.00000000000006</v>
      </c>
      <c r="DR39" s="144">
        <f t="shared" si="73"/>
        <v>350</v>
      </c>
      <c r="DT39">
        <f t="shared" si="74"/>
        <v>408.00000000000006</v>
      </c>
      <c r="DU39" s="144">
        <f t="shared" si="75"/>
        <v>350</v>
      </c>
      <c r="DV39" s="144"/>
      <c r="DW39" s="5">
        <f t="shared" si="118"/>
        <v>2.8571428571428572</v>
      </c>
      <c r="DX39" s="5">
        <f t="shared" si="76"/>
        <v>0.25606918707925125</v>
      </c>
      <c r="DY39" s="5">
        <f t="shared" si="119"/>
        <v>2.6010736700636059</v>
      </c>
      <c r="DZ39" s="5">
        <f t="shared" si="77"/>
        <v>2.276170551815567</v>
      </c>
      <c r="EA39" s="150">
        <f t="shared" si="120"/>
        <v>8.962421547773794E-2</v>
      </c>
      <c r="EB39" s="150">
        <f t="shared" si="78"/>
        <v>2.2032000000000003</v>
      </c>
      <c r="EC39" s="150">
        <f t="shared" si="79"/>
        <v>0.4662383741585025</v>
      </c>
      <c r="ED39" s="150">
        <f t="shared" si="121"/>
        <v>4.7254797590963626</v>
      </c>
      <c r="EE39" s="144">
        <f t="shared" si="80"/>
        <v>2.0895245665666904</v>
      </c>
      <c r="EF39" s="5">
        <f t="shared" si="81"/>
        <v>4.6060679574043015E-2</v>
      </c>
      <c r="EG39" s="5"/>
      <c r="EH39" s="150">
        <f t="shared" si="122"/>
        <v>0.17703917221479645</v>
      </c>
      <c r="EI39" s="150">
        <f t="shared" si="82"/>
        <v>0.56424411137005714</v>
      </c>
      <c r="EJ39" s="150"/>
      <c r="EK39" s="456">
        <f t="shared" si="83"/>
        <v>6.2685736997000708E-4</v>
      </c>
      <c r="EL39" s="456">
        <f t="shared" si="84"/>
        <v>0.38287464852089642</v>
      </c>
      <c r="EM39" s="456">
        <f t="shared" si="85"/>
        <v>4.3749999999999997E-2</v>
      </c>
      <c r="EN39" s="456">
        <f t="shared" si="86"/>
        <v>9.9804599999999993E-2</v>
      </c>
      <c r="EO39">
        <f t="shared" si="87"/>
        <v>2.1600000000000001E-2</v>
      </c>
      <c r="EP39" s="144">
        <f t="shared" si="123"/>
        <v>65.349999999999994</v>
      </c>
      <c r="EQ39" s="456">
        <f t="shared" si="88"/>
        <v>0.54890711232574296</v>
      </c>
      <c r="ER39" s="144">
        <f t="shared" si="124"/>
        <v>548.90711232574301</v>
      </c>
      <c r="ES39" s="456">
        <f t="shared" si="125"/>
        <v>0.25347000000000003</v>
      </c>
      <c r="ET39" s="456"/>
      <c r="EV39" s="144">
        <f t="shared" si="126"/>
        <v>253.47000000000003</v>
      </c>
      <c r="EW39" s="456">
        <f t="shared" si="89"/>
        <v>9.4028605495501062E-4</v>
      </c>
      <c r="EX39" s="456">
        <f t="shared" si="90"/>
        <v>9.5511425164735621E-3</v>
      </c>
      <c r="EY39" s="456">
        <f t="shared" si="91"/>
        <v>0.1216699698503914</v>
      </c>
      <c r="EZ39" s="456">
        <f t="shared" si="92"/>
        <v>0.13479247452844134</v>
      </c>
      <c r="FA39" s="456">
        <f t="shared" si="93"/>
        <v>3.6720000000000004E-4</v>
      </c>
      <c r="FB39" s="144">
        <f t="shared" si="127"/>
        <v>135.15967452844134</v>
      </c>
      <c r="FC39" s="150">
        <f t="shared" si="128"/>
        <v>0.9375367868541844</v>
      </c>
      <c r="FD39" s="5">
        <f t="shared" si="129"/>
        <v>2.04</v>
      </c>
      <c r="FE39" s="150">
        <f t="shared" si="130"/>
        <v>0.68513007429718209</v>
      </c>
      <c r="FF39" s="5">
        <f t="shared" si="131"/>
        <v>68.513007429718215</v>
      </c>
      <c r="FI39" s="59">
        <f t="shared" si="94"/>
        <v>-50</v>
      </c>
      <c r="FJ39">
        <f t="shared" si="95"/>
        <v>-50</v>
      </c>
      <c r="FL39">
        <f t="shared" si="181"/>
        <v>0.79665969313544838</v>
      </c>
    </row>
    <row r="40" spans="5:168">
      <c r="E40" s="147">
        <v>35</v>
      </c>
      <c r="F40" s="188">
        <f t="shared" si="182"/>
        <v>0.42</v>
      </c>
      <c r="G40" s="188"/>
      <c r="H40" s="188">
        <f t="shared" si="132"/>
        <v>2.1</v>
      </c>
      <c r="I40" s="465">
        <f t="shared" si="133"/>
        <v>47.975000000000001</v>
      </c>
      <c r="J40" s="149">
        <f t="shared" si="134"/>
        <v>5.415</v>
      </c>
      <c r="K40" s="149">
        <f t="shared" si="135"/>
        <v>53.414999999999999</v>
      </c>
      <c r="L40" s="379"/>
      <c r="M40" s="188">
        <f t="shared" si="136"/>
        <v>0.10143339142258301</v>
      </c>
      <c r="N40" s="149">
        <f t="shared" si="137"/>
        <v>12.457643400955956</v>
      </c>
      <c r="O40" s="149">
        <f t="shared" si="98"/>
        <v>2.1</v>
      </c>
      <c r="P40" s="188">
        <f t="shared" si="138"/>
        <v>2.4915286801911911</v>
      </c>
      <c r="Q40" s="188">
        <f t="shared" si="139"/>
        <v>5</v>
      </c>
      <c r="R40" s="188">
        <f t="shared" si="140"/>
        <v>2.4331334767492097</v>
      </c>
      <c r="S40" s="149">
        <f t="shared" si="141"/>
        <v>237.67108236829964</v>
      </c>
      <c r="T40" s="149">
        <f t="shared" si="142"/>
        <v>5</v>
      </c>
      <c r="U40" s="188">
        <f t="shared" si="143"/>
        <v>0.93482218455664856</v>
      </c>
      <c r="V40" s="188">
        <f t="shared" si="11"/>
        <v>0.23382733120749935</v>
      </c>
      <c r="W40" s="188">
        <f t="shared" si="144"/>
        <v>2.071628109820828</v>
      </c>
      <c r="X40" s="172">
        <f t="shared" si="145"/>
        <v>350</v>
      </c>
      <c r="Y40" s="379">
        <f t="shared" si="14"/>
        <v>350</v>
      </c>
      <c r="AA40" s="188">
        <f t="shared" si="146"/>
        <v>1.1585218607015759</v>
      </c>
      <c r="AB40" s="150">
        <f t="shared" si="147"/>
        <v>2.5673614641586169</v>
      </c>
      <c r="AC40" s="150">
        <f t="shared" si="148"/>
        <v>0.52051026659634847</v>
      </c>
      <c r="AD40" s="150"/>
      <c r="AE40" s="150">
        <f t="shared" si="149"/>
        <v>2.21606648199446</v>
      </c>
      <c r="AF40" s="314">
        <f t="shared" si="150"/>
        <v>379.04999999999995</v>
      </c>
      <c r="AG40" s="456">
        <f t="shared" si="151"/>
        <v>0.38781163434903049</v>
      </c>
      <c r="AI40" s="150">
        <f t="shared" si="152"/>
        <v>1.0406728592598156</v>
      </c>
      <c r="AJ40" s="150">
        <f t="shared" si="153"/>
        <v>1.0406728592598156</v>
      </c>
      <c r="AK40" s="150">
        <f t="shared" si="154"/>
        <v>1.2301280438961597</v>
      </c>
      <c r="AM40" s="314">
        <f t="shared" si="155"/>
        <v>420</v>
      </c>
      <c r="AN40" s="144">
        <f t="shared" si="156"/>
        <v>350</v>
      </c>
      <c r="AP40">
        <f t="shared" si="157"/>
        <v>420</v>
      </c>
      <c r="AQ40" s="144">
        <f t="shared" si="158"/>
        <v>350</v>
      </c>
      <c r="AR40" s="144"/>
      <c r="AS40" s="5">
        <f t="shared" si="101"/>
        <v>2.8571428571428572</v>
      </c>
      <c r="AT40" s="5">
        <f t="shared" si="159"/>
        <v>0.26030378970542545</v>
      </c>
      <c r="AU40" s="5">
        <f t="shared" si="102"/>
        <v>2.5968390674374318</v>
      </c>
      <c r="AV40" s="5">
        <f t="shared" si="160"/>
        <v>2.3062002421270149</v>
      </c>
      <c r="AW40" s="150">
        <f t="shared" si="103"/>
        <v>9.1106326396898904E-2</v>
      </c>
      <c r="AX40" s="150">
        <f t="shared" si="161"/>
        <v>2.2742999999999998</v>
      </c>
      <c r="AY40" s="150">
        <f t="shared" si="162"/>
        <v>0.47293048903584839</v>
      </c>
      <c r="AZ40" s="150">
        <f t="shared" si="104"/>
        <v>4.8089519553635851</v>
      </c>
      <c r="BA40" s="144">
        <f t="shared" si="163"/>
        <v>2.1865518335255736</v>
      </c>
      <c r="BB40" s="5">
        <f t="shared" si="164"/>
        <v>4.736288033366863E-2</v>
      </c>
      <c r="BC40" s="5"/>
      <c r="BD40" s="150">
        <f t="shared" si="105"/>
        <v>0.18135430468913744</v>
      </c>
      <c r="BE40" s="150">
        <f t="shared" si="165"/>
        <v>0.57280940649636636</v>
      </c>
      <c r="BF40" s="150"/>
      <c r="BG40" s="456">
        <f t="shared" si="166"/>
        <v>6.5778767658560998E-4</v>
      </c>
      <c r="BH40" s="456">
        <f t="shared" si="167"/>
        <v>0.364793236351445</v>
      </c>
      <c r="BI40" s="456">
        <f t="shared" si="168"/>
        <v>0.41978124999999999</v>
      </c>
      <c r="BJ40" s="456">
        <f t="shared" si="169"/>
        <v>9.9860677875000012E-2</v>
      </c>
      <c r="BK40">
        <f t="shared" si="170"/>
        <v>2.158875E-2</v>
      </c>
      <c r="BL40" s="144">
        <f t="shared" si="106"/>
        <v>441.37</v>
      </c>
      <c r="BM40" s="456">
        <f t="shared" si="171"/>
        <v>0.46556206743508588</v>
      </c>
      <c r="BN40" s="144">
        <f t="shared" si="107"/>
        <v>465.56206743508591</v>
      </c>
      <c r="BO40" s="456">
        <f t="shared" si="172"/>
        <v>0.26092499999999996</v>
      </c>
      <c r="BP40" s="456"/>
      <c r="BR40" s="144">
        <f t="shared" si="109"/>
        <v>260.92499999999995</v>
      </c>
      <c r="BS40" s="456">
        <f t="shared" si="173"/>
        <v>9.8668151487841496E-4</v>
      </c>
      <c r="BT40" s="456">
        <f t="shared" si="174"/>
        <v>9.8433184851215837E-3</v>
      </c>
      <c r="BU40" s="456">
        <f t="shared" si="175"/>
        <v>3.15E-2</v>
      </c>
      <c r="BV40" s="456">
        <f t="shared" si="176"/>
        <v>4.4968160414182855E-2</v>
      </c>
      <c r="BW40" s="456">
        <f t="shared" si="177"/>
        <v>3.7905000000000002E-4</v>
      </c>
      <c r="BX40" s="144">
        <f t="shared" si="110"/>
        <v>45.347210414182854</v>
      </c>
      <c r="BY40" s="150">
        <f t="shared" si="45"/>
        <v>1.2132042778492687</v>
      </c>
      <c r="BZ40" s="5">
        <f t="shared" si="111"/>
        <v>2.1</v>
      </c>
      <c r="CA40" s="150">
        <f t="shared" si="112"/>
        <v>0.63382750470284699</v>
      </c>
      <c r="CB40" s="5">
        <f t="shared" si="113"/>
        <v>63.382750470284698</v>
      </c>
      <c r="CE40" s="59">
        <f t="shared" si="178"/>
        <v>-50</v>
      </c>
      <c r="CF40">
        <f t="shared" si="179"/>
        <v>-50</v>
      </c>
      <c r="CG40" s="150">
        <f t="shared" si="180"/>
        <v>0.84000000000000008</v>
      </c>
      <c r="CI40" s="147">
        <v>35</v>
      </c>
      <c r="CJ40" s="188">
        <f t="shared" si="114"/>
        <v>0.42</v>
      </c>
      <c r="CK40" s="188"/>
      <c r="CL40" s="188">
        <f t="shared" si="49"/>
        <v>2.1</v>
      </c>
      <c r="CM40" s="465">
        <f t="shared" si="50"/>
        <v>48</v>
      </c>
      <c r="CN40" s="149">
        <f t="shared" si="51"/>
        <v>5.4</v>
      </c>
      <c r="CO40" s="379">
        <f t="shared" si="52"/>
        <v>53.4</v>
      </c>
      <c r="CP40" s="379"/>
      <c r="CQ40" s="188">
        <f t="shared" si="53"/>
        <v>0.10112359550561799</v>
      </c>
      <c r="CR40" s="149">
        <f t="shared" si="54"/>
        <v>12.426067415730339</v>
      </c>
      <c r="CS40" s="149">
        <f t="shared" si="115"/>
        <v>2.1</v>
      </c>
      <c r="CT40" s="188">
        <f t="shared" si="55"/>
        <v>2.4852134831460679</v>
      </c>
      <c r="CU40" s="188">
        <f t="shared" si="56"/>
        <v>5</v>
      </c>
      <c r="CV40" s="188">
        <f t="shared" si="57"/>
        <v>2.4269662921348316</v>
      </c>
      <c r="CW40" s="149">
        <f t="shared" si="58"/>
        <v>237.79489197683256</v>
      </c>
      <c r="CX40" s="149">
        <f t="shared" si="59"/>
        <v>5</v>
      </c>
      <c r="CY40" s="188">
        <f t="shared" si="60"/>
        <v>0.86527777777777781</v>
      </c>
      <c r="CZ40" s="188">
        <f t="shared" si="61"/>
        <v>0.21631944444444448</v>
      </c>
      <c r="DA40" s="188">
        <f t="shared" si="62"/>
        <v>1.9228395061728396</v>
      </c>
      <c r="DB40" s="172">
        <f t="shared" si="63"/>
        <v>350</v>
      </c>
      <c r="DC40" s="379">
        <f t="shared" si="116"/>
        <v>350</v>
      </c>
      <c r="DE40" s="188">
        <f t="shared" si="64"/>
        <v>1.1556982343499198</v>
      </c>
      <c r="DF40" s="150">
        <f t="shared" si="65"/>
        <v>2.5682182985553772</v>
      </c>
      <c r="DG40" s="150">
        <f t="shared" si="66"/>
        <v>0.51941493678648076</v>
      </c>
      <c r="DH40" s="150"/>
      <c r="DI40" s="150">
        <f t="shared" si="67"/>
        <v>2.2222222222222219</v>
      </c>
      <c r="DJ40" s="314">
        <f t="shared" si="117"/>
        <v>378</v>
      </c>
      <c r="DK40" s="456">
        <f t="shared" si="68"/>
        <v>0.38888888888888884</v>
      </c>
      <c r="DM40" s="150">
        <f t="shared" si="69"/>
        <v>1.0392304845413265</v>
      </c>
      <c r="DN40" s="150">
        <f t="shared" si="70"/>
        <v>1.0392304845413265</v>
      </c>
      <c r="DO40" s="150">
        <f t="shared" si="71"/>
        <v>1.2290596181787603</v>
      </c>
      <c r="DQ40" s="314">
        <f t="shared" si="72"/>
        <v>420</v>
      </c>
      <c r="DR40" s="144">
        <f t="shared" si="73"/>
        <v>350</v>
      </c>
      <c r="DT40">
        <f t="shared" si="74"/>
        <v>420</v>
      </c>
      <c r="DU40" s="144">
        <f t="shared" si="75"/>
        <v>350</v>
      </c>
      <c r="DV40" s="144"/>
      <c r="DW40" s="5">
        <f t="shared" si="118"/>
        <v>2.8571428571428572</v>
      </c>
      <c r="DX40" s="5">
        <f t="shared" si="76"/>
        <v>0.25980762113533162</v>
      </c>
      <c r="DY40" s="5">
        <f t="shared" si="119"/>
        <v>2.5973352360075257</v>
      </c>
      <c r="DZ40" s="5">
        <f t="shared" si="77"/>
        <v>2.3094010767585029</v>
      </c>
      <c r="EA40" s="150">
        <f t="shared" si="120"/>
        <v>9.0932667397366065E-2</v>
      </c>
      <c r="EB40" s="150">
        <f t="shared" si="78"/>
        <v>2.2680000000000011</v>
      </c>
      <c r="EC40" s="150">
        <f t="shared" si="79"/>
        <v>0.47236524227066323</v>
      </c>
      <c r="ED40" s="150">
        <f t="shared" si="121"/>
        <v>4.8013693579521393</v>
      </c>
      <c r="EE40" s="144">
        <f t="shared" si="80"/>
        <v>2.1823840175367857</v>
      </c>
      <c r="EF40" s="5">
        <f t="shared" si="81"/>
        <v>4.7347256906387185E-2</v>
      </c>
      <c r="EG40" s="5"/>
      <c r="EH40" s="150">
        <f t="shared" si="122"/>
        <v>0.18093026353557271</v>
      </c>
      <c r="EI40" s="150">
        <f t="shared" si="82"/>
        <v>0.57207013533040529</v>
      </c>
      <c r="EJ40" s="150"/>
      <c r="EK40" s="456">
        <f t="shared" si="83"/>
        <v>6.5471520526103587E-4</v>
      </c>
      <c r="EL40" s="456">
        <f t="shared" si="84"/>
        <v>0.38846435512154787</v>
      </c>
      <c r="EM40" s="456">
        <f t="shared" si="85"/>
        <v>4.3749999999999997E-2</v>
      </c>
      <c r="EN40" s="456">
        <f t="shared" si="86"/>
        <v>9.9804599999999993E-2</v>
      </c>
      <c r="EO40">
        <f t="shared" si="87"/>
        <v>2.1600000000000001E-2</v>
      </c>
      <c r="EP40" s="144">
        <f t="shared" si="123"/>
        <v>65.349999999999994</v>
      </c>
      <c r="EQ40" s="456">
        <f t="shared" si="88"/>
        <v>0.55453670734695737</v>
      </c>
      <c r="ER40" s="144">
        <f t="shared" si="124"/>
        <v>554.53670734695731</v>
      </c>
      <c r="ES40" s="456">
        <f t="shared" si="125"/>
        <v>0.26092499999999996</v>
      </c>
      <c r="ET40" s="456"/>
      <c r="EV40" s="144">
        <f t="shared" si="126"/>
        <v>260.92499999999995</v>
      </c>
      <c r="EW40" s="456">
        <f t="shared" si="89"/>
        <v>9.8207280789155364E-4</v>
      </c>
      <c r="EX40" s="456">
        <f t="shared" si="90"/>
        <v>9.8179271921084461E-3</v>
      </c>
      <c r="EY40" s="456">
        <f t="shared" si="91"/>
        <v>0.12615945655913549</v>
      </c>
      <c r="EZ40" s="456">
        <f t="shared" si="92"/>
        <v>0.13967213328229136</v>
      </c>
      <c r="FA40" s="456">
        <f t="shared" si="93"/>
        <v>3.7800000000000013E-4</v>
      </c>
      <c r="FB40" s="144">
        <f t="shared" si="127"/>
        <v>140.05013328229134</v>
      </c>
      <c r="FC40" s="150">
        <f t="shared" si="128"/>
        <v>0.95551184062924865</v>
      </c>
      <c r="FD40" s="5">
        <f t="shared" si="129"/>
        <v>2.1</v>
      </c>
      <c r="FE40" s="150">
        <f t="shared" si="130"/>
        <v>0.68728256002029708</v>
      </c>
      <c r="FF40" s="5">
        <f t="shared" si="131"/>
        <v>68.72825600202971</v>
      </c>
      <c r="FI40" s="59">
        <f t="shared" si="94"/>
        <v>-50</v>
      </c>
      <c r="FJ40">
        <f t="shared" si="95"/>
        <v>-50</v>
      </c>
      <c r="FL40">
        <f t="shared" si="181"/>
        <v>0.80829037686547611</v>
      </c>
    </row>
    <row r="41" spans="5:168">
      <c r="E41" s="147">
        <v>36</v>
      </c>
      <c r="F41" s="188">
        <f t="shared" si="182"/>
        <v>0.432</v>
      </c>
      <c r="G41" s="188"/>
      <c r="H41" s="188">
        <f t="shared" si="132"/>
        <v>2.16</v>
      </c>
      <c r="I41" s="465">
        <f t="shared" si="133"/>
        <v>47.974645372358147</v>
      </c>
      <c r="J41" s="149">
        <f t="shared" si="134"/>
        <v>5.4152127765851139</v>
      </c>
      <c r="K41" s="149">
        <f t="shared" si="135"/>
        <v>53.415212776585115</v>
      </c>
      <c r="L41" s="379"/>
      <c r="M41" s="188">
        <f t="shared" si="136"/>
        <v>0.10143778669604099</v>
      </c>
      <c r="N41" s="149">
        <f t="shared" si="137"/>
        <v>12.458091120894657</v>
      </c>
      <c r="O41" s="149">
        <f t="shared" si="98"/>
        <v>2.16</v>
      </c>
      <c r="P41" s="188">
        <f t="shared" si="138"/>
        <v>2.4916182241789313</v>
      </c>
      <c r="Q41" s="188">
        <f t="shared" si="139"/>
        <v>5</v>
      </c>
      <c r="R41" s="188">
        <f t="shared" si="140"/>
        <v>2.4332209220497378</v>
      </c>
      <c r="S41" s="149">
        <f t="shared" si="141"/>
        <v>229.73978772385246</v>
      </c>
      <c r="T41" s="149">
        <f t="shared" si="142"/>
        <v>5</v>
      </c>
      <c r="U41" s="188">
        <f t="shared" si="143"/>
        <v>0.96153609311382482</v>
      </c>
      <c r="V41" s="188">
        <f t="shared" si="11"/>
        <v>0.24051106637286515</v>
      </c>
      <c r="W41" s="188">
        <f t="shared" si="144"/>
        <v>2.1307441818827564</v>
      </c>
      <c r="X41" s="172">
        <f t="shared" si="145"/>
        <v>350</v>
      </c>
      <c r="Y41" s="379">
        <f t="shared" si="14"/>
        <v>350</v>
      </c>
      <c r="AA41" s="188">
        <f t="shared" si="146"/>
        <v>1.1585618976894978</v>
      </c>
      <c r="AB41" s="150">
        <f t="shared" si="147"/>
        <v>2.5673493075633451</v>
      </c>
      <c r="AC41" s="150">
        <f t="shared" si="148"/>
        <v>0.52052579001542132</v>
      </c>
      <c r="AD41" s="150"/>
      <c r="AE41" s="150">
        <f t="shared" si="149"/>
        <v>2.2159794074734984</v>
      </c>
      <c r="AF41" s="314">
        <f t="shared" si="150"/>
        <v>389.89531991412821</v>
      </c>
      <c r="AG41" s="456">
        <f t="shared" si="151"/>
        <v>0.38779639630786228</v>
      </c>
      <c r="AI41" s="150">
        <f t="shared" si="152"/>
        <v>1.0554556496253551</v>
      </c>
      <c r="AJ41" s="150">
        <f t="shared" si="153"/>
        <v>1.0554556496253551</v>
      </c>
      <c r="AK41" s="150">
        <f t="shared" si="154"/>
        <v>1.2410782589817444</v>
      </c>
      <c r="AM41" s="314">
        <f t="shared" si="155"/>
        <v>432</v>
      </c>
      <c r="AN41" s="144">
        <f t="shared" si="156"/>
        <v>350</v>
      </c>
      <c r="AP41">
        <f t="shared" si="157"/>
        <v>432</v>
      </c>
      <c r="AQ41" s="144">
        <f t="shared" si="158"/>
        <v>350</v>
      </c>
      <c r="AR41" s="144"/>
      <c r="AS41" s="5">
        <f t="shared" si="101"/>
        <v>2.8571428571428572</v>
      </c>
      <c r="AT41" s="5">
        <f t="shared" si="159"/>
        <v>0.26400336463564156</v>
      </c>
      <c r="AU41" s="5">
        <f t="shared" si="102"/>
        <v>2.5931394925072158</v>
      </c>
      <c r="AV41" s="5">
        <f t="shared" si="160"/>
        <v>2.3388679850713512</v>
      </c>
      <c r="AW41" s="150">
        <f t="shared" si="103"/>
        <v>9.2401177622474545E-2</v>
      </c>
      <c r="AX41" s="150">
        <f t="shared" si="161"/>
        <v>2.3393719194847691</v>
      </c>
      <c r="AY41" s="150">
        <f t="shared" si="162"/>
        <v>0.47896515233583919</v>
      </c>
      <c r="AZ41" s="150">
        <f t="shared" si="104"/>
        <v>4.8842215515596763</v>
      </c>
      <c r="BA41" s="144">
        <f t="shared" si="163"/>
        <v>2.2809890704519429</v>
      </c>
      <c r="BB41" s="5">
        <f t="shared" si="164"/>
        <v>4.8647061904102971E-2</v>
      </c>
      <c r="BC41" s="5"/>
      <c r="BD41" s="150">
        <f t="shared" si="105"/>
        <v>0.18523289512846586</v>
      </c>
      <c r="BE41" s="150">
        <f t="shared" si="165"/>
        <v>0.58053221329312998</v>
      </c>
      <c r="BF41" s="150"/>
      <c r="BG41" s="456">
        <f t="shared" si="166"/>
        <v>6.8622450875346463E-4</v>
      </c>
      <c r="BH41" s="456">
        <f t="shared" si="167"/>
        <v>0.36997660941272853</v>
      </c>
      <c r="BI41" s="456">
        <f t="shared" si="168"/>
        <v>0.41977814700813382</v>
      </c>
      <c r="BJ41" s="456">
        <f t="shared" si="169"/>
        <v>9.9861473458875152E-2</v>
      </c>
      <c r="BK41">
        <f t="shared" si="170"/>
        <v>2.1588590417561164E-2</v>
      </c>
      <c r="BL41" s="144">
        <f t="shared" si="106"/>
        <v>441.36673742569496</v>
      </c>
      <c r="BM41" s="456">
        <f t="shared" si="171"/>
        <v>0.47078634827274429</v>
      </c>
      <c r="BN41" s="144">
        <f t="shared" si="107"/>
        <v>470.78634827274431</v>
      </c>
      <c r="BO41" s="456">
        <f t="shared" si="172"/>
        <v>0.26838000000000001</v>
      </c>
      <c r="BP41" s="456"/>
      <c r="BR41" s="144">
        <f t="shared" si="109"/>
        <v>268.38</v>
      </c>
      <c r="BS41" s="456">
        <f t="shared" si="173"/>
        <v>1.0293367631301969E-3</v>
      </c>
      <c r="BT41" s="456">
        <f t="shared" si="174"/>
        <v>1.0110529520130605E-2</v>
      </c>
      <c r="BU41" s="456">
        <f t="shared" si="175"/>
        <v>3.2399999999999998E-2</v>
      </c>
      <c r="BV41" s="456">
        <f t="shared" si="176"/>
        <v>4.6254655845731366E-2</v>
      </c>
      <c r="BW41" s="456">
        <f t="shared" si="177"/>
        <v>3.8989531991412819E-4</v>
      </c>
      <c r="BX41" s="144">
        <f t="shared" si="110"/>
        <v>46.644551165645495</v>
      </c>
      <c r="BY41" s="150">
        <f t="shared" si="45"/>
        <v>1.2271776368640848</v>
      </c>
      <c r="BZ41" s="5">
        <f t="shared" si="111"/>
        <v>2.16</v>
      </c>
      <c r="CA41" s="150">
        <f t="shared" si="112"/>
        <v>0.63769906145216826</v>
      </c>
      <c r="CB41" s="5">
        <f t="shared" si="113"/>
        <v>63.769906145216822</v>
      </c>
      <c r="CE41" s="59">
        <f t="shared" si="178"/>
        <v>-50</v>
      </c>
      <c r="CF41">
        <f t="shared" si="179"/>
        <v>-50</v>
      </c>
      <c r="CG41" s="150">
        <f t="shared" si="180"/>
        <v>0.85191548876634471</v>
      </c>
      <c r="CI41" s="147">
        <v>36</v>
      </c>
      <c r="CJ41" s="188">
        <f t="shared" si="114"/>
        <v>0.432</v>
      </c>
      <c r="CK41" s="188"/>
      <c r="CL41" s="188">
        <f t="shared" si="49"/>
        <v>2.16</v>
      </c>
      <c r="CM41" s="465">
        <f t="shared" si="50"/>
        <v>48</v>
      </c>
      <c r="CN41" s="149">
        <f t="shared" si="51"/>
        <v>5.4</v>
      </c>
      <c r="CO41" s="379">
        <f t="shared" si="52"/>
        <v>53.4</v>
      </c>
      <c r="CP41" s="379"/>
      <c r="CQ41" s="188">
        <f t="shared" si="53"/>
        <v>0.10112359550561799</v>
      </c>
      <c r="CR41" s="149">
        <f t="shared" si="54"/>
        <v>12.426067415730339</v>
      </c>
      <c r="CS41" s="149">
        <f t="shared" si="115"/>
        <v>2.16</v>
      </c>
      <c r="CT41" s="188">
        <f t="shared" si="55"/>
        <v>2.4852134831460679</v>
      </c>
      <c r="CU41" s="188">
        <f t="shared" si="56"/>
        <v>5</v>
      </c>
      <c r="CV41" s="188">
        <f t="shared" si="57"/>
        <v>2.4269662921348316</v>
      </c>
      <c r="CW41" s="149">
        <f t="shared" si="58"/>
        <v>229.86116135791249</v>
      </c>
      <c r="CX41" s="149">
        <f t="shared" si="59"/>
        <v>5</v>
      </c>
      <c r="CY41" s="188">
        <f t="shared" si="60"/>
        <v>0.89</v>
      </c>
      <c r="CZ41" s="188">
        <f t="shared" si="61"/>
        <v>0.2225</v>
      </c>
      <c r="DA41" s="188">
        <f t="shared" si="62"/>
        <v>1.9777777777777779</v>
      </c>
      <c r="DB41" s="172">
        <f t="shared" si="63"/>
        <v>350</v>
      </c>
      <c r="DC41" s="379">
        <f t="shared" si="116"/>
        <v>350</v>
      </c>
      <c r="DE41" s="188">
        <f t="shared" si="64"/>
        <v>1.1556982343499198</v>
      </c>
      <c r="DF41" s="150">
        <f t="shared" si="65"/>
        <v>2.5682182985553772</v>
      </c>
      <c r="DG41" s="150">
        <f t="shared" si="66"/>
        <v>0.51941493678648076</v>
      </c>
      <c r="DH41" s="150"/>
      <c r="DI41" s="150">
        <f t="shared" si="67"/>
        <v>2.2222222222222219</v>
      </c>
      <c r="DJ41" s="314">
        <f t="shared" si="117"/>
        <v>388.8</v>
      </c>
      <c r="DK41" s="456">
        <f t="shared" si="68"/>
        <v>0.38888888888888884</v>
      </c>
      <c r="DM41" s="150">
        <f t="shared" si="69"/>
        <v>1.0539720787844158</v>
      </c>
      <c r="DN41" s="150">
        <f t="shared" si="70"/>
        <v>1.0539720787844158</v>
      </c>
      <c r="DO41" s="150">
        <f t="shared" si="71"/>
        <v>1.2399793176180858</v>
      </c>
      <c r="DQ41" s="314">
        <f t="shared" si="72"/>
        <v>432</v>
      </c>
      <c r="DR41" s="144">
        <f t="shared" si="73"/>
        <v>350</v>
      </c>
      <c r="DT41">
        <f t="shared" si="74"/>
        <v>432</v>
      </c>
      <c r="DU41" s="144">
        <f t="shared" si="75"/>
        <v>350</v>
      </c>
      <c r="DV41" s="144"/>
      <c r="DW41" s="5">
        <f t="shared" si="118"/>
        <v>2.8571428571428572</v>
      </c>
      <c r="DX41" s="5">
        <f t="shared" si="76"/>
        <v>0.26349301969610395</v>
      </c>
      <c r="DY41" s="5">
        <f t="shared" si="119"/>
        <v>2.5936498374467534</v>
      </c>
      <c r="DZ41" s="5">
        <f t="shared" si="77"/>
        <v>2.3421601750764793</v>
      </c>
      <c r="EA41" s="150">
        <f t="shared" si="120"/>
        <v>9.2222556893636384E-2</v>
      </c>
      <c r="EB41" s="150">
        <f t="shared" si="78"/>
        <v>2.3327999999999998</v>
      </c>
      <c r="EC41" s="150">
        <f t="shared" si="79"/>
        <v>0.47838603939220792</v>
      </c>
      <c r="ED41" s="150">
        <f t="shared" si="121"/>
        <v>4.8763964829823108</v>
      </c>
      <c r="EE41" s="144">
        <f t="shared" si="80"/>
        <v>2.276579690174338</v>
      </c>
      <c r="EF41" s="5">
        <f t="shared" si="81"/>
        <v>4.8630934452126622E-2</v>
      </c>
      <c r="EG41" s="5"/>
      <c r="EH41" s="150">
        <f t="shared" si="122"/>
        <v>0.18479365614818888</v>
      </c>
      <c r="EI41" s="150">
        <f t="shared" si="82"/>
        <v>0.57977324785910844</v>
      </c>
      <c r="EJ41" s="150"/>
      <c r="EK41" s="456">
        <f t="shared" si="83"/>
        <v>6.8297390705230124E-4</v>
      </c>
      <c r="EL41" s="456">
        <f t="shared" si="84"/>
        <v>0.39397476304961465</v>
      </c>
      <c r="EM41" s="456">
        <f t="shared" si="85"/>
        <v>4.3749999999999997E-2</v>
      </c>
      <c r="EN41" s="456">
        <f t="shared" si="86"/>
        <v>9.9804599999999993E-2</v>
      </c>
      <c r="EO41">
        <f t="shared" si="87"/>
        <v>2.1600000000000001E-2</v>
      </c>
      <c r="EP41" s="144">
        <f t="shared" si="123"/>
        <v>65.349999999999994</v>
      </c>
      <c r="EQ41" s="456">
        <f t="shared" si="88"/>
        <v>0.5600876279075313</v>
      </c>
      <c r="ER41" s="144">
        <f t="shared" si="124"/>
        <v>560.08762790753133</v>
      </c>
      <c r="ES41" s="456">
        <f t="shared" si="125"/>
        <v>0.26838000000000001</v>
      </c>
      <c r="ET41" s="456"/>
      <c r="EV41" s="144">
        <f t="shared" si="126"/>
        <v>268.38</v>
      </c>
      <c r="EW41" s="456">
        <f t="shared" si="89"/>
        <v>1.0244608605784519E-3</v>
      </c>
      <c r="EX41" s="456">
        <f t="shared" si="90"/>
        <v>1.0084110567992976E-2</v>
      </c>
      <c r="EY41" s="456">
        <f t="shared" si="91"/>
        <v>0.13068112967705256</v>
      </c>
      <c r="EZ41" s="456">
        <f t="shared" si="92"/>
        <v>0.1445842482043711</v>
      </c>
      <c r="FA41" s="456">
        <f t="shared" si="93"/>
        <v>3.8879999999999991E-4</v>
      </c>
      <c r="FB41" s="144">
        <f t="shared" si="127"/>
        <v>144.97304820437111</v>
      </c>
      <c r="FC41" s="150">
        <f t="shared" si="128"/>
        <v>0.97344067611190244</v>
      </c>
      <c r="FD41" s="5">
        <f t="shared" si="129"/>
        <v>2.16</v>
      </c>
      <c r="FE41" s="150">
        <f t="shared" si="130"/>
        <v>0.68933808655353701</v>
      </c>
      <c r="FF41" s="5">
        <f t="shared" si="131"/>
        <v>68.933808655353701</v>
      </c>
      <c r="FI41" s="59">
        <f t="shared" si="94"/>
        <v>-50</v>
      </c>
      <c r="FJ41">
        <f t="shared" si="95"/>
        <v>-50</v>
      </c>
      <c r="FL41">
        <f t="shared" si="181"/>
        <v>0.81975606127676781</v>
      </c>
    </row>
    <row r="42" spans="5:168">
      <c r="E42" s="147">
        <v>37</v>
      </c>
      <c r="F42" s="188">
        <f t="shared" si="182"/>
        <v>0.44400000000000001</v>
      </c>
      <c r="G42" s="188"/>
      <c r="H42" s="188">
        <f t="shared" si="132"/>
        <v>2.2200000000000002</v>
      </c>
      <c r="I42" s="465">
        <f t="shared" si="133"/>
        <v>47.974295636835073</v>
      </c>
      <c r="J42" s="149">
        <f t="shared" si="134"/>
        <v>5.4154226178989546</v>
      </c>
      <c r="K42" s="149">
        <f t="shared" si="135"/>
        <v>53.415422617898955</v>
      </c>
      <c r="L42" s="379"/>
      <c r="M42" s="188">
        <f t="shared" si="136"/>
        <v>0.1014421213578522</v>
      </c>
      <c r="N42" s="149">
        <f t="shared" si="137"/>
        <v>12.458532659326215</v>
      </c>
      <c r="O42" s="149">
        <f t="shared" si="98"/>
        <v>2.2200000000000002</v>
      </c>
      <c r="P42" s="188">
        <f t="shared" si="138"/>
        <v>2.4917065318652432</v>
      </c>
      <c r="Q42" s="188">
        <f t="shared" si="139"/>
        <v>5</v>
      </c>
      <c r="R42" s="188">
        <f t="shared" si="140"/>
        <v>2.4333071600246519</v>
      </c>
      <c r="S42" s="149">
        <f t="shared" si="141"/>
        <v>222.23743554342548</v>
      </c>
      <c r="T42" s="149">
        <f t="shared" si="142"/>
        <v>5</v>
      </c>
      <c r="U42" s="188">
        <f t="shared" si="143"/>
        <v>0.9882501963500645</v>
      </c>
      <c r="V42" s="188">
        <f t="shared" si="11"/>
        <v>0.24719492383949312</v>
      </c>
      <c r="W42" s="188">
        <f t="shared" si="144"/>
        <v>2.1898572268403615</v>
      </c>
      <c r="X42" s="172">
        <f t="shared" si="145"/>
        <v>350</v>
      </c>
      <c r="Y42" s="379">
        <f t="shared" si="14"/>
        <v>350</v>
      </c>
      <c r="AA42" s="188">
        <f t="shared" si="146"/>
        <v>1.1586013819129526</v>
      </c>
      <c r="AB42" s="150">
        <f t="shared" si="147"/>
        <v>2.5673373186060822</v>
      </c>
      <c r="AC42" s="150">
        <f t="shared" si="148"/>
        <v>0.52054109890539768</v>
      </c>
      <c r="AD42" s="150"/>
      <c r="AE42" s="150">
        <f t="shared" si="149"/>
        <v>2.2158935408545628</v>
      </c>
      <c r="AF42" s="314">
        <f t="shared" si="150"/>
        <v>400.74127372452261</v>
      </c>
      <c r="AG42" s="456">
        <f t="shared" si="151"/>
        <v>0.38778136964954846</v>
      </c>
      <c r="AI42" s="150">
        <f t="shared" si="152"/>
        <v>1.0700350778289236</v>
      </c>
      <c r="AJ42" s="150">
        <f t="shared" si="153"/>
        <v>1.0700350778289236</v>
      </c>
      <c r="AK42" s="150">
        <f t="shared" si="154"/>
        <v>1.2518778354288322</v>
      </c>
      <c r="AM42" s="314">
        <f t="shared" si="155"/>
        <v>444</v>
      </c>
      <c r="AN42" s="144">
        <f t="shared" si="156"/>
        <v>350</v>
      </c>
      <c r="AP42">
        <f t="shared" si="157"/>
        <v>444</v>
      </c>
      <c r="AQ42" s="144">
        <f t="shared" si="158"/>
        <v>350</v>
      </c>
      <c r="AR42" s="144"/>
      <c r="AS42" s="5">
        <f t="shared" si="101"/>
        <v>2.8571428571428572</v>
      </c>
      <c r="AT42" s="5">
        <f t="shared" si="159"/>
        <v>0.26765209918138116</v>
      </c>
      <c r="AU42" s="5">
        <f t="shared" si="102"/>
        <v>2.5894907579614759</v>
      </c>
      <c r="AV42" s="5">
        <f t="shared" si="160"/>
        <v>2.371083817448921</v>
      </c>
      <c r="AW42" s="150">
        <f t="shared" si="103"/>
        <v>9.367823471348341E-2</v>
      </c>
      <c r="AX42" s="150">
        <f t="shared" si="161"/>
        <v>2.4044476423471366</v>
      </c>
      <c r="AY42" s="150">
        <f t="shared" si="162"/>
        <v>0.48489804032820255</v>
      </c>
      <c r="AZ42" s="150">
        <f t="shared" si="104"/>
        <v>4.9586664460835719</v>
      </c>
      <c r="BA42" s="144">
        <f t="shared" si="163"/>
        <v>2.3767506407306649</v>
      </c>
      <c r="BB42" s="5">
        <f t="shared" si="164"/>
        <v>4.9928381841113464E-2</v>
      </c>
      <c r="BC42" s="5"/>
      <c r="BD42" s="150">
        <f t="shared" si="105"/>
        <v>0.18908485144769352</v>
      </c>
      <c r="BE42" s="150">
        <f t="shared" si="165"/>
        <v>0.588137122515762</v>
      </c>
      <c r="BF42" s="150"/>
      <c r="BG42" s="456">
        <f t="shared" si="166"/>
        <v>7.1506162093992645E-4</v>
      </c>
      <c r="BH42" s="456">
        <f t="shared" si="167"/>
        <v>0.3750887168319923</v>
      </c>
      <c r="BI42" s="456">
        <f t="shared" si="168"/>
        <v>0.41977508682230691</v>
      </c>
      <c r="BJ42" s="456">
        <f t="shared" si="169"/>
        <v>9.9862258070706297E-2</v>
      </c>
      <c r="BK42">
        <f t="shared" si="170"/>
        <v>2.1588433036575781E-2</v>
      </c>
      <c r="BL42" s="144">
        <f t="shared" si="106"/>
        <v>441.36351985888268</v>
      </c>
      <c r="BM42" s="456">
        <f t="shared" si="171"/>
        <v>0.47593996471455935</v>
      </c>
      <c r="BN42" s="144">
        <f t="shared" si="107"/>
        <v>475.93996471455932</v>
      </c>
      <c r="BO42" s="456">
        <f t="shared" si="172"/>
        <v>0.27583499999999994</v>
      </c>
      <c r="BP42" s="456"/>
      <c r="BR42" s="144">
        <f t="shared" si="109"/>
        <v>275.83499999999992</v>
      </c>
      <c r="BS42" s="456">
        <f t="shared" si="173"/>
        <v>1.0725924314098896E-3</v>
      </c>
      <c r="BT42" s="456">
        <f t="shared" si="174"/>
        <v>1.0377158246433612E-2</v>
      </c>
      <c r="BU42" s="456">
        <f t="shared" si="175"/>
        <v>3.3300000000000003E-2</v>
      </c>
      <c r="BV42" s="456">
        <f t="shared" si="176"/>
        <v>4.754123766598127E-2</v>
      </c>
      <c r="BW42" s="456">
        <f t="shared" si="177"/>
        <v>4.0074127372452273E-4</v>
      </c>
      <c r="BX42" s="144">
        <f t="shared" si="110"/>
        <v>47.941978939705798</v>
      </c>
      <c r="BY42" s="150">
        <f t="shared" si="45"/>
        <v>1.2410804635131476</v>
      </c>
      <c r="BZ42" s="5">
        <f t="shared" si="111"/>
        <v>2.2200000000000002</v>
      </c>
      <c r="CA42" s="150">
        <f t="shared" si="112"/>
        <v>0.64141819972211889</v>
      </c>
      <c r="CB42" s="5">
        <f t="shared" si="113"/>
        <v>64.141819972211891</v>
      </c>
      <c r="CE42" s="59">
        <f t="shared" si="178"/>
        <v>-50</v>
      </c>
      <c r="CF42">
        <f t="shared" si="179"/>
        <v>-50</v>
      </c>
      <c r="CG42" s="150">
        <f t="shared" si="180"/>
        <v>0.863666602341436</v>
      </c>
      <c r="CI42" s="147">
        <v>37</v>
      </c>
      <c r="CJ42" s="188">
        <f t="shared" si="114"/>
        <v>0.44400000000000001</v>
      </c>
      <c r="CK42" s="188"/>
      <c r="CL42" s="188">
        <f t="shared" si="49"/>
        <v>2.2200000000000002</v>
      </c>
      <c r="CM42" s="465">
        <f t="shared" si="50"/>
        <v>48</v>
      </c>
      <c r="CN42" s="149">
        <f t="shared" si="51"/>
        <v>5.4</v>
      </c>
      <c r="CO42" s="379">
        <f t="shared" si="52"/>
        <v>53.4</v>
      </c>
      <c r="CP42" s="379"/>
      <c r="CQ42" s="188">
        <f t="shared" si="53"/>
        <v>0.10112359550561799</v>
      </c>
      <c r="CR42" s="149">
        <f t="shared" si="54"/>
        <v>12.426067415730339</v>
      </c>
      <c r="CS42" s="149">
        <f t="shared" si="115"/>
        <v>2.2200000000000002</v>
      </c>
      <c r="CT42" s="188">
        <f t="shared" si="55"/>
        <v>2.4852134831460679</v>
      </c>
      <c r="CU42" s="188">
        <f t="shared" si="56"/>
        <v>5</v>
      </c>
      <c r="CV42" s="188">
        <f t="shared" si="57"/>
        <v>2.4269662921348316</v>
      </c>
      <c r="CW42" s="149">
        <f t="shared" si="58"/>
        <v>222.3564630555957</v>
      </c>
      <c r="CX42" s="149">
        <f t="shared" si="59"/>
        <v>5</v>
      </c>
      <c r="CY42" s="188">
        <f t="shared" si="60"/>
        <v>0.91472222222222221</v>
      </c>
      <c r="CZ42" s="188">
        <f t="shared" si="61"/>
        <v>0.22868055555555555</v>
      </c>
      <c r="DA42" s="188">
        <f t="shared" si="62"/>
        <v>2.0327160493827159</v>
      </c>
      <c r="DB42" s="172">
        <f t="shared" si="63"/>
        <v>350</v>
      </c>
      <c r="DC42" s="379">
        <f t="shared" si="116"/>
        <v>350</v>
      </c>
      <c r="DE42" s="188">
        <f t="shared" si="64"/>
        <v>1.1556982343499198</v>
      </c>
      <c r="DF42" s="150">
        <f t="shared" si="65"/>
        <v>2.5682182985553772</v>
      </c>
      <c r="DG42" s="150">
        <f t="shared" si="66"/>
        <v>0.51941493678648076</v>
      </c>
      <c r="DH42" s="150"/>
      <c r="DI42" s="150">
        <f t="shared" si="67"/>
        <v>2.2222222222222219</v>
      </c>
      <c r="DJ42" s="314">
        <f t="shared" si="117"/>
        <v>399.60000000000008</v>
      </c>
      <c r="DK42" s="456">
        <f t="shared" si="68"/>
        <v>0.38888888888888884</v>
      </c>
      <c r="DM42" s="150">
        <f t="shared" si="69"/>
        <v>1.0685103114683947</v>
      </c>
      <c r="DN42" s="150">
        <f t="shared" si="70"/>
        <v>1.0685103114683947</v>
      </c>
      <c r="DO42" s="150">
        <f t="shared" si="71"/>
        <v>1.2507483788654774</v>
      </c>
      <c r="DQ42" s="314">
        <f t="shared" si="72"/>
        <v>444</v>
      </c>
      <c r="DR42" s="144">
        <f t="shared" si="73"/>
        <v>350</v>
      </c>
      <c r="DT42">
        <f t="shared" si="74"/>
        <v>444</v>
      </c>
      <c r="DU42" s="144">
        <f t="shared" si="75"/>
        <v>350</v>
      </c>
      <c r="DV42" s="144"/>
      <c r="DW42" s="5">
        <f t="shared" si="118"/>
        <v>2.8571428571428572</v>
      </c>
      <c r="DX42" s="5">
        <f t="shared" si="76"/>
        <v>0.26712757786709873</v>
      </c>
      <c r="DY42" s="5">
        <f t="shared" si="119"/>
        <v>2.5900152792757583</v>
      </c>
      <c r="DZ42" s="5">
        <f t="shared" si="77"/>
        <v>2.3744673588186549</v>
      </c>
      <c r="EA42" s="150">
        <f t="shared" si="120"/>
        <v>9.349465225348455E-2</v>
      </c>
      <c r="EB42" s="150">
        <f t="shared" si="78"/>
        <v>2.3976000000000006</v>
      </c>
      <c r="EC42" s="150">
        <f t="shared" si="79"/>
        <v>0.48430515573419736</v>
      </c>
      <c r="ED42" s="150">
        <f t="shared" si="121"/>
        <v>4.9505977204915048</v>
      </c>
      <c r="EE42" s="144">
        <f t="shared" si="80"/>
        <v>2.3720928914598369</v>
      </c>
      <c r="EF42" s="5">
        <f t="shared" si="81"/>
        <v>4.9911752777709921E-2</v>
      </c>
      <c r="EG42" s="5"/>
      <c r="EH42" s="150">
        <f t="shared" si="122"/>
        <v>0.18863030873085468</v>
      </c>
      <c r="EI42" s="150">
        <f t="shared" si="82"/>
        <v>0.58735852356080709</v>
      </c>
      <c r="EJ42" s="150"/>
      <c r="EK42" s="456">
        <f t="shared" si="83"/>
        <v>7.1162786743795105E-4</v>
      </c>
      <c r="EL42" s="456">
        <f t="shared" si="84"/>
        <v>0.3994091544268859</v>
      </c>
      <c r="EM42" s="456">
        <f t="shared" si="85"/>
        <v>4.3749999999999997E-2</v>
      </c>
      <c r="EN42" s="456">
        <f t="shared" si="86"/>
        <v>9.9804599999999993E-2</v>
      </c>
      <c r="EO42">
        <f t="shared" si="87"/>
        <v>2.1600000000000001E-2</v>
      </c>
      <c r="EP42" s="144">
        <f t="shared" si="123"/>
        <v>65.349999999999994</v>
      </c>
      <c r="EQ42" s="456">
        <f t="shared" si="88"/>
        <v>0.56556314880873526</v>
      </c>
      <c r="ER42" s="144">
        <f t="shared" si="124"/>
        <v>565.56314880873526</v>
      </c>
      <c r="ES42" s="456">
        <f t="shared" si="125"/>
        <v>0.27583499999999994</v>
      </c>
      <c r="ET42" s="456"/>
      <c r="EV42" s="144">
        <f t="shared" si="126"/>
        <v>275.83499999999992</v>
      </c>
      <c r="EW42" s="456">
        <f t="shared" si="89"/>
        <v>1.0674418011569265E-3</v>
      </c>
      <c r="EX42" s="456">
        <f t="shared" si="90"/>
        <v>1.0349701055985936E-2</v>
      </c>
      <c r="EY42" s="456">
        <f t="shared" si="91"/>
        <v>0.13523431614405934</v>
      </c>
      <c r="EZ42" s="456">
        <f t="shared" si="92"/>
        <v>0.14952814802508979</v>
      </c>
      <c r="FA42" s="456">
        <f t="shared" si="93"/>
        <v>3.9960000000000006E-4</v>
      </c>
      <c r="FB42" s="144">
        <f t="shared" si="127"/>
        <v>149.92774802508978</v>
      </c>
      <c r="FC42" s="150">
        <f t="shared" si="128"/>
        <v>0.9913258968338251</v>
      </c>
      <c r="FD42" s="5">
        <f t="shared" si="129"/>
        <v>2.2200000000000002</v>
      </c>
      <c r="FE42" s="150">
        <f t="shared" si="130"/>
        <v>0.69130324087903594</v>
      </c>
      <c r="FF42" s="5">
        <f t="shared" si="131"/>
        <v>69.130324087903588</v>
      </c>
      <c r="FI42" s="59">
        <f t="shared" si="94"/>
        <v>-50</v>
      </c>
      <c r="FJ42">
        <f t="shared" si="95"/>
        <v>-50</v>
      </c>
      <c r="FL42">
        <f t="shared" si="181"/>
        <v>0.83106357558652921</v>
      </c>
    </row>
    <row r="43" spans="5:168">
      <c r="E43" s="147">
        <v>38</v>
      </c>
      <c r="F43" s="188">
        <f t="shared" si="182"/>
        <v>0.45599999999999996</v>
      </c>
      <c r="G43" s="188"/>
      <c r="H43" s="188">
        <f t="shared" si="132"/>
        <v>2.2799999999999998</v>
      </c>
      <c r="I43" s="465">
        <f t="shared" si="133"/>
        <v>47.973950596387411</v>
      </c>
      <c r="J43" s="149">
        <f t="shared" si="134"/>
        <v>5.415629642167552</v>
      </c>
      <c r="K43" s="149">
        <f t="shared" si="135"/>
        <v>53.415629642167552</v>
      </c>
      <c r="L43" s="379"/>
      <c r="M43" s="188">
        <f t="shared" si="136"/>
        <v>0.10144639784931561</v>
      </c>
      <c r="N43" s="149">
        <f t="shared" si="137"/>
        <v>12.458968265227595</v>
      </c>
      <c r="O43" s="149">
        <f t="shared" si="98"/>
        <v>2.2799999999999998</v>
      </c>
      <c r="P43" s="188">
        <f t="shared" si="138"/>
        <v>2.4917936530455189</v>
      </c>
      <c r="Q43" s="188">
        <f t="shared" si="139"/>
        <v>5</v>
      </c>
      <c r="R43" s="188">
        <f t="shared" si="140"/>
        <v>2.4333922393022647</v>
      </c>
      <c r="S43" s="149">
        <f t="shared" si="141"/>
        <v>215.13016374149714</v>
      </c>
      <c r="T43" s="149">
        <f t="shared" si="142"/>
        <v>5</v>
      </c>
      <c r="U43" s="188">
        <f t="shared" si="143"/>
        <v>1.0149644916197895</v>
      </c>
      <c r="V43" s="188">
        <f t="shared" si="11"/>
        <v>0.25387890194631241</v>
      </c>
      <c r="W43" s="188">
        <f t="shared" si="144"/>
        <v>2.2489672862051036</v>
      </c>
      <c r="X43" s="172">
        <f t="shared" si="145"/>
        <v>350</v>
      </c>
      <c r="Y43" s="379">
        <f t="shared" si="14"/>
        <v>350</v>
      </c>
      <c r="AA43" s="188">
        <f t="shared" si="146"/>
        <v>1.1586403356360293</v>
      </c>
      <c r="AB43" s="150">
        <f t="shared" si="147"/>
        <v>2.5673254905347518</v>
      </c>
      <c r="AC43" s="150">
        <f t="shared" si="148"/>
        <v>0.52055620190702079</v>
      </c>
      <c r="AD43" s="150"/>
      <c r="AE43" s="150">
        <f t="shared" si="149"/>
        <v>2.2158088334853558</v>
      </c>
      <c r="AF43" s="314">
        <f t="shared" si="150"/>
        <v>411.58785280473398</v>
      </c>
      <c r="AG43" s="456">
        <f t="shared" si="151"/>
        <v>0.38776654585993725</v>
      </c>
      <c r="AI43" s="150">
        <f t="shared" si="152"/>
        <v>1.0844193348183218</v>
      </c>
      <c r="AJ43" s="150">
        <f t="shared" si="153"/>
        <v>1.0844193348183218</v>
      </c>
      <c r="AK43" s="150">
        <f t="shared" si="154"/>
        <v>1.2625328406061642</v>
      </c>
      <c r="AM43" s="314">
        <f t="shared" si="155"/>
        <v>455.99999999999994</v>
      </c>
      <c r="AN43" s="144">
        <f t="shared" si="156"/>
        <v>350</v>
      </c>
      <c r="AP43">
        <f t="shared" si="157"/>
        <v>455.99999999999994</v>
      </c>
      <c r="AQ43" s="144">
        <f t="shared" si="158"/>
        <v>350</v>
      </c>
      <c r="AR43" s="144"/>
      <c r="AS43" s="5">
        <f t="shared" si="101"/>
        <v>2.8571428571428572</v>
      </c>
      <c r="AT43" s="5">
        <f t="shared" si="159"/>
        <v>0.27125204107747142</v>
      </c>
      <c r="AU43" s="5">
        <f t="shared" si="102"/>
        <v>2.585890816065386</v>
      </c>
      <c r="AV43" s="5">
        <f t="shared" si="160"/>
        <v>2.4028659412927516</v>
      </c>
      <c r="AW43" s="150">
        <f t="shared" si="103"/>
        <v>9.4938214377114999E-2</v>
      </c>
      <c r="AX43" s="150">
        <f t="shared" si="161"/>
        <v>2.4695271168284041</v>
      </c>
      <c r="AY43" s="150">
        <f t="shared" si="162"/>
        <v>0.49073324976732574</v>
      </c>
      <c r="AZ43" s="150">
        <f t="shared" si="104"/>
        <v>5.0323207526681664</v>
      </c>
      <c r="BA43" s="144">
        <f t="shared" si="163"/>
        <v>2.4738186146265395</v>
      </c>
      <c r="BB43" s="5">
        <f t="shared" si="164"/>
        <v>5.120687883159461E-2</v>
      </c>
      <c r="BC43" s="5"/>
      <c r="BD43" s="150">
        <f t="shared" si="105"/>
        <v>0.19291107204787217</v>
      </c>
      <c r="BE43" s="150">
        <f t="shared" si="165"/>
        <v>0.5956288689477236</v>
      </c>
      <c r="BF43" s="150"/>
      <c r="BG43" s="456">
        <f t="shared" si="166"/>
        <v>7.4429363437318651E-4</v>
      </c>
      <c r="BH43" s="456">
        <f t="shared" si="167"/>
        <v>0.38013242902333882</v>
      </c>
      <c r="BI43" s="456">
        <f t="shared" si="168"/>
        <v>0.41977206771838982</v>
      </c>
      <c r="BJ43" s="456">
        <f t="shared" si="169"/>
        <v>9.9863032152422301E-2</v>
      </c>
      <c r="BK43">
        <f t="shared" si="170"/>
        <v>2.1588277768374336E-2</v>
      </c>
      <c r="BL43" s="144">
        <f t="shared" si="106"/>
        <v>441.36034548676417</v>
      </c>
      <c r="BM43" s="456">
        <f t="shared" si="171"/>
        <v>0.48102578069516116</v>
      </c>
      <c r="BN43" s="144">
        <f t="shared" si="107"/>
        <v>481.02578069516119</v>
      </c>
      <c r="BO43" s="456">
        <f t="shared" si="172"/>
        <v>0.28328999999999993</v>
      </c>
      <c r="BP43" s="456"/>
      <c r="BR43" s="144">
        <f t="shared" si="109"/>
        <v>283.28999999999991</v>
      </c>
      <c r="BS43" s="456">
        <f t="shared" si="173"/>
        <v>1.1164404515597798E-3</v>
      </c>
      <c r="BT43" s="456">
        <f t="shared" si="174"/>
        <v>1.0643212485718334E-2</v>
      </c>
      <c r="BU43" s="456">
        <f t="shared" si="175"/>
        <v>3.4199999999999994E-2</v>
      </c>
      <c r="BV43" s="456">
        <f t="shared" si="176"/>
        <v>4.8827905580086935E-2</v>
      </c>
      <c r="BW43" s="456">
        <f t="shared" si="177"/>
        <v>4.1158785280473394E-4</v>
      </c>
      <c r="BX43" s="144">
        <f t="shared" si="110"/>
        <v>49.23949343289167</v>
      </c>
      <c r="BY43" s="150">
        <f t="shared" si="45"/>
        <v>1.2549156196148168</v>
      </c>
      <c r="BZ43" s="5">
        <f t="shared" si="111"/>
        <v>2.2799999999999998</v>
      </c>
      <c r="CA43" s="150">
        <f t="shared" si="112"/>
        <v>0.64499417959188543</v>
      </c>
      <c r="CB43" s="5">
        <f t="shared" si="113"/>
        <v>64.499417959188548</v>
      </c>
      <c r="CE43" s="59">
        <f t="shared" si="178"/>
        <v>-50</v>
      </c>
      <c r="CF43">
        <f t="shared" si="179"/>
        <v>-50</v>
      </c>
      <c r="CG43" s="150">
        <f t="shared" si="180"/>
        <v>0.87525996138290252</v>
      </c>
      <c r="CI43" s="147">
        <v>38</v>
      </c>
      <c r="CJ43" s="188">
        <f t="shared" si="114"/>
        <v>0.45599999999999996</v>
      </c>
      <c r="CK43" s="188"/>
      <c r="CL43" s="188">
        <f t="shared" si="49"/>
        <v>2.2799999999999998</v>
      </c>
      <c r="CM43" s="465">
        <f t="shared" si="50"/>
        <v>48</v>
      </c>
      <c r="CN43" s="149">
        <f t="shared" si="51"/>
        <v>5.4</v>
      </c>
      <c r="CO43" s="379">
        <f t="shared" si="52"/>
        <v>53.4</v>
      </c>
      <c r="CP43" s="379"/>
      <c r="CQ43" s="188">
        <f t="shared" si="53"/>
        <v>0.10112359550561799</v>
      </c>
      <c r="CR43" s="149">
        <f t="shared" si="54"/>
        <v>12.426067415730339</v>
      </c>
      <c r="CS43" s="149">
        <f t="shared" si="115"/>
        <v>2.2799999999999998</v>
      </c>
      <c r="CT43" s="188">
        <f t="shared" si="55"/>
        <v>2.4852134831460679</v>
      </c>
      <c r="CU43" s="188">
        <f t="shared" si="56"/>
        <v>5</v>
      </c>
      <c r="CV43" s="188">
        <f t="shared" si="57"/>
        <v>2.4269662921348316</v>
      </c>
      <c r="CW43" s="149">
        <f t="shared" si="58"/>
        <v>215.24692916026174</v>
      </c>
      <c r="CX43" s="149">
        <f t="shared" si="59"/>
        <v>5</v>
      </c>
      <c r="CY43" s="188">
        <f t="shared" si="60"/>
        <v>0.9394444444444443</v>
      </c>
      <c r="CZ43" s="188">
        <f t="shared" si="61"/>
        <v>0.23486111111111108</v>
      </c>
      <c r="DA43" s="188">
        <f t="shared" si="62"/>
        <v>2.0876543209876544</v>
      </c>
      <c r="DB43" s="172">
        <f t="shared" si="63"/>
        <v>350</v>
      </c>
      <c r="DC43" s="379">
        <f t="shared" si="116"/>
        <v>350</v>
      </c>
      <c r="DE43" s="188">
        <f t="shared" si="64"/>
        <v>1.1556982343499198</v>
      </c>
      <c r="DF43" s="150">
        <f t="shared" si="65"/>
        <v>2.5682182985553772</v>
      </c>
      <c r="DG43" s="150">
        <f t="shared" si="66"/>
        <v>0.51941493678648076</v>
      </c>
      <c r="DH43" s="150"/>
      <c r="DI43" s="150">
        <f t="shared" si="67"/>
        <v>2.2222222222222219</v>
      </c>
      <c r="DJ43" s="314">
        <f t="shared" si="117"/>
        <v>410.4</v>
      </c>
      <c r="DK43" s="456">
        <f t="shared" si="68"/>
        <v>0.38888888888888884</v>
      </c>
      <c r="DM43" s="150">
        <f t="shared" si="69"/>
        <v>1.082853373532829</v>
      </c>
      <c r="DN43" s="150">
        <f t="shared" si="70"/>
        <v>1.082853373532829</v>
      </c>
      <c r="DO43" s="150">
        <f t="shared" si="71"/>
        <v>1.2613728692835771</v>
      </c>
      <c r="DQ43" s="314">
        <f t="shared" si="72"/>
        <v>455.99999999999994</v>
      </c>
      <c r="DR43" s="144">
        <f t="shared" si="73"/>
        <v>350</v>
      </c>
      <c r="DT43">
        <f t="shared" si="74"/>
        <v>455.99999999999994</v>
      </c>
      <c r="DU43" s="144">
        <f t="shared" si="75"/>
        <v>350</v>
      </c>
      <c r="DV43" s="144"/>
      <c r="DW43" s="5">
        <f t="shared" si="118"/>
        <v>2.8571428571428572</v>
      </c>
      <c r="DX43" s="5">
        <f t="shared" si="76"/>
        <v>0.27071334338320724</v>
      </c>
      <c r="DY43" s="5">
        <f t="shared" si="119"/>
        <v>2.5864295137596498</v>
      </c>
      <c r="DZ43" s="5">
        <f t="shared" si="77"/>
        <v>2.4063408300729532</v>
      </c>
      <c r="EA43" s="150">
        <f t="shared" si="120"/>
        <v>9.4749670184122531E-2</v>
      </c>
      <c r="EB43" s="150">
        <f t="shared" si="78"/>
        <v>2.4623999999999997</v>
      </c>
      <c r="EC43" s="150">
        <f t="shared" si="79"/>
        <v>0.49012668676641452</v>
      </c>
      <c r="ED43" s="150">
        <f t="shared" si="121"/>
        <v>5.0240071934167805</v>
      </c>
      <c r="EE43" s="144">
        <f t="shared" si="80"/>
        <v>2.4689056916548502</v>
      </c>
      <c r="EF43" s="5">
        <f t="shared" si="81"/>
        <v>5.1189750793159725E-2</v>
      </c>
      <c r="EG43" s="5"/>
      <c r="EH43" s="150">
        <f t="shared" si="122"/>
        <v>0.19244112183944145</v>
      </c>
      <c r="EI43" s="150">
        <f t="shared" si="82"/>
        <v>0.59483069648625231</v>
      </c>
      <c r="EJ43" s="150"/>
      <c r="EK43" s="456">
        <f t="shared" si="83"/>
        <v>7.4067170749645501E-4</v>
      </c>
      <c r="EL43" s="456">
        <f t="shared" si="84"/>
        <v>0.40477059102657148</v>
      </c>
      <c r="EM43" s="456">
        <f t="shared" si="85"/>
        <v>4.3749999999999997E-2</v>
      </c>
      <c r="EN43" s="456">
        <f t="shared" si="86"/>
        <v>9.9804599999999993E-2</v>
      </c>
      <c r="EO43">
        <f t="shared" si="87"/>
        <v>2.1600000000000001E-2</v>
      </c>
      <c r="EP43" s="144">
        <f t="shared" si="123"/>
        <v>65.349999999999994</v>
      </c>
      <c r="EQ43" s="456">
        <f t="shared" si="88"/>
        <v>0.57096632480309706</v>
      </c>
      <c r="ER43" s="144">
        <f t="shared" si="124"/>
        <v>570.96632480309711</v>
      </c>
      <c r="ES43" s="456">
        <f t="shared" si="125"/>
        <v>0.28328999999999993</v>
      </c>
      <c r="ET43" s="456"/>
      <c r="EV43" s="144">
        <f t="shared" si="126"/>
        <v>283.28999999999991</v>
      </c>
      <c r="EW43" s="456">
        <f t="shared" si="89"/>
        <v>1.1110075612446825E-3</v>
      </c>
      <c r="EX43" s="456">
        <f t="shared" si="90"/>
        <v>1.06147067244696E-2</v>
      </c>
      <c r="EY43" s="456">
        <f t="shared" si="91"/>
        <v>0.13981837485432749</v>
      </c>
      <c r="EZ43" s="456">
        <f t="shared" si="92"/>
        <v>0.15450319339276952</v>
      </c>
      <c r="FA43" s="456">
        <f t="shared" si="93"/>
        <v>4.1039999999999995E-4</v>
      </c>
      <c r="FB43" s="144">
        <f t="shared" si="127"/>
        <v>154.91359339276951</v>
      </c>
      <c r="FC43" s="150">
        <f t="shared" si="128"/>
        <v>1.0091699181958667</v>
      </c>
      <c r="FD43" s="5">
        <f t="shared" si="129"/>
        <v>2.2799999999999998</v>
      </c>
      <c r="FE43" s="150">
        <f t="shared" si="130"/>
        <v>0.69318401198640311</v>
      </c>
      <c r="FF43" s="5">
        <f t="shared" si="131"/>
        <v>69.318401198640316</v>
      </c>
      <c r="FI43" s="59">
        <f t="shared" si="94"/>
        <v>-50</v>
      </c>
      <c r="FJ43">
        <f t="shared" si="95"/>
        <v>-50</v>
      </c>
      <c r="FL43">
        <f t="shared" si="181"/>
        <v>0.84221929052553368</v>
      </c>
    </row>
    <row r="44" spans="5:168">
      <c r="E44" s="147">
        <v>39</v>
      </c>
      <c r="F44" s="188">
        <f t="shared" si="182"/>
        <v>0.46799999999999997</v>
      </c>
      <c r="G44" s="188"/>
      <c r="H44" s="188">
        <f t="shared" si="132"/>
        <v>2.34</v>
      </c>
      <c r="I44" s="465">
        <f t="shared" si="133"/>
        <v>47.97360440986148</v>
      </c>
      <c r="J44" s="149">
        <f t="shared" si="134"/>
        <v>5.4158373540831111</v>
      </c>
      <c r="K44" s="149">
        <f t="shared" si="135"/>
        <v>53.415837354083109</v>
      </c>
      <c r="L44" s="379"/>
      <c r="M44" s="188">
        <f t="shared" si="136"/>
        <v>0.10145062920141257</v>
      </c>
      <c r="N44" s="149">
        <f t="shared" si="137"/>
        <v>12.459398022246676</v>
      </c>
      <c r="O44" s="149">
        <f t="shared" si="98"/>
        <v>2.34</v>
      </c>
      <c r="P44" s="188">
        <f t="shared" si="138"/>
        <v>2.491879604449335</v>
      </c>
      <c r="Q44" s="188">
        <f t="shared" si="139"/>
        <v>5</v>
      </c>
      <c r="R44" s="188">
        <f t="shared" si="140"/>
        <v>2.4334761762200534</v>
      </c>
      <c r="S44" s="149">
        <f t="shared" si="141"/>
        <v>208.38755884935244</v>
      </c>
      <c r="T44" s="149">
        <f t="shared" si="142"/>
        <v>5</v>
      </c>
      <c r="U44" s="188">
        <f t="shared" si="143"/>
        <v>1.0416789888441278</v>
      </c>
      <c r="V44" s="188">
        <f t="shared" si="11"/>
        <v>0.26056303294067257</v>
      </c>
      <c r="W44" s="188">
        <f t="shared" si="144"/>
        <v>2.3080729809408727</v>
      </c>
      <c r="X44" s="172">
        <f t="shared" si="145"/>
        <v>350</v>
      </c>
      <c r="Y44" s="379">
        <f t="shared" si="14"/>
        <v>350</v>
      </c>
      <c r="AA44" s="188">
        <f t="shared" si="146"/>
        <v>1.1586794183089908</v>
      </c>
      <c r="AB44" s="150">
        <f t="shared" si="147"/>
        <v>2.5673136231141176</v>
      </c>
      <c r="AC44" s="150">
        <f t="shared" si="148"/>
        <v>0.5205713547031573</v>
      </c>
      <c r="AD44" s="150"/>
      <c r="AE44" s="150">
        <f t="shared" si="149"/>
        <v>2.2157238512624375</v>
      </c>
      <c r="AF44" s="314">
        <f t="shared" si="150"/>
        <v>422.43531361848261</v>
      </c>
      <c r="AG44" s="456">
        <f t="shared" si="151"/>
        <v>0.38775167397092658</v>
      </c>
      <c r="AI44" s="150">
        <f t="shared" si="152"/>
        <v>1.0986164202805047</v>
      </c>
      <c r="AJ44" s="150">
        <f t="shared" si="153"/>
        <v>1.0986164202805047</v>
      </c>
      <c r="AK44" s="150">
        <f t="shared" si="154"/>
        <v>1.2730492002077811</v>
      </c>
      <c r="AM44" s="314">
        <f t="shared" si="155"/>
        <v>468</v>
      </c>
      <c r="AN44" s="144">
        <f t="shared" si="156"/>
        <v>350</v>
      </c>
      <c r="AP44">
        <f t="shared" si="157"/>
        <v>468</v>
      </c>
      <c r="AQ44" s="144">
        <f t="shared" si="158"/>
        <v>350</v>
      </c>
      <c r="AR44" s="144"/>
      <c r="AS44" s="5">
        <f t="shared" si="101"/>
        <v>2.8571428571428572</v>
      </c>
      <c r="AT44" s="5">
        <f t="shared" si="159"/>
        <v>0.27480522269567204</v>
      </c>
      <c r="AU44" s="5">
        <f t="shared" si="102"/>
        <v>2.5823376344471853</v>
      </c>
      <c r="AV44" s="5">
        <f t="shared" si="160"/>
        <v>2.4342306058040721</v>
      </c>
      <c r="AW44" s="150">
        <f t="shared" si="103"/>
        <v>9.6181827943485204E-2</v>
      </c>
      <c r="AX44" s="150">
        <f t="shared" si="161"/>
        <v>2.5346118817108958</v>
      </c>
      <c r="AY44" s="150">
        <f t="shared" si="162"/>
        <v>0.49647474238459877</v>
      </c>
      <c r="AZ44" s="150">
        <f t="shared" si="104"/>
        <v>5.1052181819703435</v>
      </c>
      <c r="BA44" s="144">
        <f t="shared" si="163"/>
        <v>2.5721768844314901</v>
      </c>
      <c r="BB44" s="5">
        <f t="shared" si="164"/>
        <v>5.2482593804614133E-2</v>
      </c>
      <c r="BC44" s="5"/>
      <c r="BD44" s="150">
        <f t="shared" si="105"/>
        <v>0.19671250632453713</v>
      </c>
      <c r="BE44" s="150">
        <f t="shared" si="165"/>
        <v>0.60301205307923633</v>
      </c>
      <c r="BF44" s="150"/>
      <c r="BG44" s="456">
        <f t="shared" si="166"/>
        <v>7.7391620288962126E-4</v>
      </c>
      <c r="BH44" s="456">
        <f t="shared" si="167"/>
        <v>0.38511057388274916</v>
      </c>
      <c r="BI44" s="456">
        <f t="shared" si="168"/>
        <v>0.41976903858628795</v>
      </c>
      <c r="BJ44" s="456">
        <f t="shared" si="169"/>
        <v>9.9863808808325114E-2</v>
      </c>
      <c r="BK44">
        <f t="shared" si="170"/>
        <v>2.1588121984437665E-2</v>
      </c>
      <c r="BL44" s="144">
        <f t="shared" si="106"/>
        <v>441.35716057072563</v>
      </c>
      <c r="BM44" s="456">
        <f t="shared" si="171"/>
        <v>0.48604663173354939</v>
      </c>
      <c r="BN44" s="144">
        <f t="shared" si="107"/>
        <v>486.04663173354942</v>
      </c>
      <c r="BO44" s="456">
        <f t="shared" si="172"/>
        <v>0.29074499999999992</v>
      </c>
      <c r="BP44" s="456"/>
      <c r="BR44" s="144">
        <f t="shared" si="109"/>
        <v>290.74499999999995</v>
      </c>
      <c r="BS44" s="456">
        <f t="shared" si="173"/>
        <v>1.1608743043344319E-3</v>
      </c>
      <c r="BT44" s="456">
        <f t="shared" si="174"/>
        <v>1.0908706084765072E-2</v>
      </c>
      <c r="BU44" s="456">
        <f t="shared" si="175"/>
        <v>3.5099999999999999E-2</v>
      </c>
      <c r="BV44" s="456">
        <f t="shared" si="176"/>
        <v>5.0114668724310675E-2</v>
      </c>
      <c r="BW44" s="456">
        <f t="shared" si="177"/>
        <v>4.2243531361848261E-4</v>
      </c>
      <c r="BX44" s="144">
        <f t="shared" si="110"/>
        <v>50.537104037929161</v>
      </c>
      <c r="BY44" s="150">
        <f t="shared" si="45"/>
        <v>1.2686858963422041</v>
      </c>
      <c r="BZ44" s="5">
        <f t="shared" si="111"/>
        <v>2.34</v>
      </c>
      <c r="CA44" s="150">
        <f t="shared" si="112"/>
        <v>0.64843548793532979</v>
      </c>
      <c r="CB44" s="5">
        <f t="shared" si="113"/>
        <v>64.843548793532975</v>
      </c>
      <c r="CE44" s="59">
        <f t="shared" si="178"/>
        <v>-50</v>
      </c>
      <c r="CF44">
        <f t="shared" si="179"/>
        <v>-50</v>
      </c>
      <c r="CG44" s="150">
        <f t="shared" si="180"/>
        <v>0.88651171946534313</v>
      </c>
      <c r="CI44" s="147">
        <v>39</v>
      </c>
      <c r="CJ44" s="188">
        <f t="shared" si="114"/>
        <v>0.46799999999999997</v>
      </c>
      <c r="CK44" s="188"/>
      <c r="CL44" s="188">
        <f t="shared" si="49"/>
        <v>2.34</v>
      </c>
      <c r="CM44" s="465">
        <f t="shared" si="50"/>
        <v>48</v>
      </c>
      <c r="CN44" s="149">
        <f t="shared" si="51"/>
        <v>5.4</v>
      </c>
      <c r="CO44" s="379">
        <f t="shared" si="52"/>
        <v>53.4</v>
      </c>
      <c r="CP44" s="379"/>
      <c r="CQ44" s="188">
        <f t="shared" si="53"/>
        <v>0.10112359550561799</v>
      </c>
      <c r="CR44" s="149">
        <f t="shared" si="54"/>
        <v>12.426067415730339</v>
      </c>
      <c r="CS44" s="149">
        <f t="shared" si="115"/>
        <v>2.34</v>
      </c>
      <c r="CT44" s="188">
        <f t="shared" si="55"/>
        <v>2.4852134831460679</v>
      </c>
      <c r="CU44" s="188">
        <f t="shared" si="56"/>
        <v>5</v>
      </c>
      <c r="CV44" s="188">
        <f t="shared" si="57"/>
        <v>2.4269662921348316</v>
      </c>
      <c r="CW44" s="149">
        <f t="shared" si="58"/>
        <v>208.50216546231198</v>
      </c>
      <c r="CX44" s="149">
        <f t="shared" si="59"/>
        <v>5</v>
      </c>
      <c r="CY44" s="188">
        <f t="shared" si="60"/>
        <v>0.96416666666666651</v>
      </c>
      <c r="CZ44" s="188">
        <f t="shared" si="61"/>
        <v>0.2410416666666666</v>
      </c>
      <c r="DA44" s="188">
        <f t="shared" si="62"/>
        <v>2.1425925925925919</v>
      </c>
      <c r="DB44" s="172">
        <f t="shared" si="63"/>
        <v>350</v>
      </c>
      <c r="DC44" s="379">
        <f t="shared" si="116"/>
        <v>350</v>
      </c>
      <c r="DE44" s="188">
        <f t="shared" si="64"/>
        <v>1.1556982343499198</v>
      </c>
      <c r="DF44" s="150">
        <f t="shared" si="65"/>
        <v>2.5682182985553772</v>
      </c>
      <c r="DG44" s="150">
        <f t="shared" si="66"/>
        <v>0.51941493678648076</v>
      </c>
      <c r="DH44" s="150"/>
      <c r="DI44" s="150">
        <f t="shared" si="67"/>
        <v>2.2222222222222219</v>
      </c>
      <c r="DJ44" s="314">
        <f t="shared" si="117"/>
        <v>421.2</v>
      </c>
      <c r="DK44" s="456">
        <f t="shared" si="68"/>
        <v>0.38888888888888884</v>
      </c>
      <c r="DM44" s="150">
        <f t="shared" si="69"/>
        <v>1.0970089203960793</v>
      </c>
      <c r="DN44" s="150">
        <f t="shared" si="70"/>
        <v>1.0970089203960793</v>
      </c>
      <c r="DO44" s="150">
        <f t="shared" si="71"/>
        <v>1.2718584595526514</v>
      </c>
      <c r="DQ44" s="314">
        <f t="shared" si="72"/>
        <v>468</v>
      </c>
      <c r="DR44" s="144">
        <f t="shared" si="73"/>
        <v>350</v>
      </c>
      <c r="DT44">
        <f t="shared" si="74"/>
        <v>468</v>
      </c>
      <c r="DU44" s="144">
        <f t="shared" si="75"/>
        <v>350</v>
      </c>
      <c r="DV44" s="144"/>
      <c r="DW44" s="5">
        <f t="shared" si="118"/>
        <v>2.8571428571428572</v>
      </c>
      <c r="DX44" s="5">
        <f t="shared" si="76"/>
        <v>0.27425223009901983</v>
      </c>
      <c r="DY44" s="5">
        <f t="shared" si="119"/>
        <v>2.5828906270438372</v>
      </c>
      <c r="DZ44" s="5">
        <f t="shared" si="77"/>
        <v>2.4377976008801765</v>
      </c>
      <c r="EA44" s="150">
        <f t="shared" si="120"/>
        <v>9.5988280534656939E-2</v>
      </c>
      <c r="EB44" s="150">
        <f t="shared" si="78"/>
        <v>2.5272000000000001</v>
      </c>
      <c r="EC44" s="150">
        <f t="shared" si="79"/>
        <v>0.49585446019803969</v>
      </c>
      <c r="ED44" s="150">
        <f t="shared" si="121"/>
        <v>5.0966567871360073</v>
      </c>
      <c r="EE44" s="144">
        <f t="shared" si="80"/>
        <v>2.5670008737268257</v>
      </c>
      <c r="EF44" s="5">
        <f t="shared" si="81"/>
        <v>5.2464965861827938E-2</v>
      </c>
      <c r="EG44" s="5"/>
      <c r="EH44" s="150">
        <f t="shared" si="122"/>
        <v>0.19622694286438441</v>
      </c>
      <c r="EI44" s="150">
        <f t="shared" si="82"/>
        <v>0.6021941913012403</v>
      </c>
      <c r="EJ44" s="150"/>
      <c r="EK44" s="456">
        <f t="shared" si="83"/>
        <v>7.7010026211804766E-4</v>
      </c>
      <c r="EL44" s="456">
        <f t="shared" si="84"/>
        <v>0.41006193444405442</v>
      </c>
      <c r="EM44" s="456">
        <f t="shared" si="85"/>
        <v>4.3749999999999997E-2</v>
      </c>
      <c r="EN44" s="456">
        <f t="shared" si="86"/>
        <v>9.9804599999999993E-2</v>
      </c>
      <c r="EO44">
        <f t="shared" si="87"/>
        <v>2.1600000000000001E-2</v>
      </c>
      <c r="EP44" s="144">
        <f t="shared" si="123"/>
        <v>65.349999999999994</v>
      </c>
      <c r="EQ44" s="456">
        <f t="shared" si="88"/>
        <v>0.57630001074528991</v>
      </c>
      <c r="ER44" s="144">
        <f t="shared" si="124"/>
        <v>576.30001074528991</v>
      </c>
      <c r="ES44" s="456">
        <f t="shared" si="125"/>
        <v>0.29074499999999992</v>
      </c>
      <c r="ET44" s="456"/>
      <c r="EV44" s="144">
        <f t="shared" si="126"/>
        <v>290.74499999999995</v>
      </c>
      <c r="EW44" s="456">
        <f t="shared" si="89"/>
        <v>1.1551503931770714E-3</v>
      </c>
      <c r="EX44" s="456">
        <f t="shared" si="90"/>
        <v>1.0879135321108645E-2</v>
      </c>
      <c r="EY44" s="456">
        <f t="shared" si="91"/>
        <v>0.14443269433499126</v>
      </c>
      <c r="EZ44" s="456">
        <f t="shared" si="92"/>
        <v>0.15950877455405907</v>
      </c>
      <c r="FA44" s="456">
        <f t="shared" si="93"/>
        <v>4.2120000000000005E-4</v>
      </c>
      <c r="FB44" s="144">
        <f t="shared" si="127"/>
        <v>159.92997455405907</v>
      </c>
      <c r="FC44" s="150">
        <f t="shared" si="128"/>
        <v>1.0269749852993488</v>
      </c>
      <c r="FD44" s="5">
        <f t="shared" si="129"/>
        <v>2.34</v>
      </c>
      <c r="FE44" s="150">
        <f t="shared" si="130"/>
        <v>0.6949858582902293</v>
      </c>
      <c r="FF44" s="5">
        <f t="shared" si="131"/>
        <v>69.498585829022929</v>
      </c>
      <c r="FI44" s="59">
        <f t="shared" si="94"/>
        <v>-50</v>
      </c>
      <c r="FJ44">
        <f t="shared" si="95"/>
        <v>-50</v>
      </c>
      <c r="FL44">
        <f t="shared" si="181"/>
        <v>0.85322916030806173</v>
      </c>
    </row>
    <row r="45" spans="5:168">
      <c r="E45" s="147">
        <v>40</v>
      </c>
      <c r="F45" s="188">
        <f t="shared" si="182"/>
        <v>0.48</v>
      </c>
      <c r="G45" s="188"/>
      <c r="H45" s="188">
        <f t="shared" si="132"/>
        <v>2.4</v>
      </c>
      <c r="I45" s="465">
        <f t="shared" si="133"/>
        <v>47.972890205351035</v>
      </c>
      <c r="J45" s="149">
        <f t="shared" si="134"/>
        <v>5.4162658767893772</v>
      </c>
      <c r="K45" s="149">
        <f t="shared" si="135"/>
        <v>53.416265876789375</v>
      </c>
      <c r="L45" s="379"/>
      <c r="M45" s="188">
        <f t="shared" si="136"/>
        <v>0.10145551438158699</v>
      </c>
      <c r="N45" s="149">
        <f t="shared" si="137"/>
        <v>12.459812485517531</v>
      </c>
      <c r="O45" s="149">
        <f t="shared" si="98"/>
        <v>2.4</v>
      </c>
      <c r="P45" s="188">
        <f t="shared" si="138"/>
        <v>2.4919624971035064</v>
      </c>
      <c r="Q45" s="188">
        <f t="shared" si="139"/>
        <v>5</v>
      </c>
      <c r="R45" s="188">
        <f t="shared" si="140"/>
        <v>2.433557126077643</v>
      </c>
      <c r="S45" s="149">
        <f t="shared" si="141"/>
        <v>201.98073005820245</v>
      </c>
      <c r="T45" s="149">
        <f t="shared" si="142"/>
        <v>5</v>
      </c>
      <c r="U45" s="188">
        <f t="shared" si="143"/>
        <v>1.0683945150910263</v>
      </c>
      <c r="V45" s="188">
        <f t="shared" si="11"/>
        <v>0.26724956795832688</v>
      </c>
      <c r="W45" s="188">
        <f t="shared" si="144"/>
        <v>2.3670799168175467</v>
      </c>
      <c r="X45" s="172">
        <f t="shared" si="145"/>
        <v>350</v>
      </c>
      <c r="Y45" s="379">
        <f t="shared" si="14"/>
        <v>350</v>
      </c>
      <c r="AA45" s="188">
        <f t="shared" si="146"/>
        <v>1.1587600469280861</v>
      </c>
      <c r="AB45" s="150">
        <f t="shared" si="147"/>
        <v>2.5672891396867006</v>
      </c>
      <c r="AC45" s="150">
        <f t="shared" si="148"/>
        <v>0.52060261469673219</v>
      </c>
      <c r="AD45" s="150"/>
      <c r="AE45" s="150">
        <f t="shared" si="149"/>
        <v>2.2155485482026025</v>
      </c>
      <c r="AF45" s="314">
        <f t="shared" si="150"/>
        <v>433.30127014315019</v>
      </c>
      <c r="AG45" s="456">
        <f t="shared" si="151"/>
        <v>0.38772099593545539</v>
      </c>
      <c r="AI45" s="150">
        <f t="shared" si="152"/>
        <v>1.1126561144308824</v>
      </c>
      <c r="AJ45" s="150">
        <f t="shared" si="153"/>
        <v>1.1126561144308824</v>
      </c>
      <c r="AK45" s="150">
        <f t="shared" si="154"/>
        <v>1.2834489736525054</v>
      </c>
      <c r="AM45" s="314">
        <f t="shared" si="155"/>
        <v>480</v>
      </c>
      <c r="AN45" s="144">
        <f t="shared" si="156"/>
        <v>350</v>
      </c>
      <c r="AP45">
        <f t="shared" si="157"/>
        <v>480</v>
      </c>
      <c r="AQ45" s="144">
        <f t="shared" si="158"/>
        <v>350</v>
      </c>
      <c r="AR45" s="144"/>
      <c r="AS45" s="5">
        <f t="shared" si="101"/>
        <v>2.8571428571428572</v>
      </c>
      <c r="AT45" s="5">
        <f t="shared" si="159"/>
        <v>0.27832122092325556</v>
      </c>
      <c r="AU45" s="5">
        <f t="shared" si="102"/>
        <v>2.5788216362196015</v>
      </c>
      <c r="AV45" s="5">
        <f t="shared" si="160"/>
        <v>2.4651436389760901</v>
      </c>
      <c r="AW45" s="150">
        <f t="shared" si="103"/>
        <v>9.7412427323139442E-2</v>
      </c>
      <c r="AX45" s="150">
        <f t="shared" si="161"/>
        <v>2.5998076208589005</v>
      </c>
      <c r="AY45" s="150">
        <f t="shared" si="162"/>
        <v>0.50213479077411871</v>
      </c>
      <c r="AZ45" s="150">
        <f t="shared" si="104"/>
        <v>5.1775094429344231</v>
      </c>
      <c r="BA45" s="144">
        <f t="shared" si="163"/>
        <v>2.6718837208632533</v>
      </c>
      <c r="BB45" s="5">
        <f t="shared" si="164"/>
        <v>5.3755811358890189E-2</v>
      </c>
      <c r="BC45" s="5"/>
      <c r="BD45" s="150">
        <f t="shared" si="105"/>
        <v>0.20049683167391857</v>
      </c>
      <c r="BE45" s="150">
        <f t="shared" si="165"/>
        <v>0.61030229953321491</v>
      </c>
      <c r="BF45" s="150"/>
      <c r="BG45" s="456">
        <f t="shared" si="166"/>
        <v>8.0397959022559281E-4</v>
      </c>
      <c r="BH45" s="456">
        <f t="shared" si="167"/>
        <v>0.3900351973735573</v>
      </c>
      <c r="BI45" s="456">
        <f t="shared" si="168"/>
        <v>0.41976278929682154</v>
      </c>
      <c r="BJ45" s="456">
        <f t="shared" si="169"/>
        <v>9.9865411107694854E-2</v>
      </c>
      <c r="BK45">
        <f t="shared" si="170"/>
        <v>2.1587800592407964E-2</v>
      </c>
      <c r="BL45" s="144">
        <f t="shared" si="106"/>
        <v>441.35058988922947</v>
      </c>
      <c r="BM45" s="456">
        <f t="shared" si="171"/>
        <v>0.49101545905927702</v>
      </c>
      <c r="BN45" s="144">
        <f t="shared" si="107"/>
        <v>491.01545905927702</v>
      </c>
      <c r="BO45" s="456">
        <f t="shared" si="172"/>
        <v>0.29819999999999997</v>
      </c>
      <c r="BP45" s="456"/>
      <c r="BR45" s="144">
        <f t="shared" si="109"/>
        <v>298.2</v>
      </c>
      <c r="BS45" s="456">
        <f t="shared" si="173"/>
        <v>1.2059693853383891E-3</v>
      </c>
      <c r="BT45" s="456">
        <f t="shared" si="174"/>
        <v>1.1174066904465898E-2</v>
      </c>
      <c r="BU45" s="456">
        <f t="shared" si="175"/>
        <v>3.5999999999999997E-2</v>
      </c>
      <c r="BV45" s="456">
        <f t="shared" si="176"/>
        <v>5.1402153841752105E-2</v>
      </c>
      <c r="BW45" s="456">
        <f t="shared" si="177"/>
        <v>4.3330127014315012E-4</v>
      </c>
      <c r="BX45" s="144">
        <f t="shared" si="110"/>
        <v>51.83545511189525</v>
      </c>
      <c r="BY45" s="150">
        <f t="shared" si="45"/>
        <v>1.2824015040604018</v>
      </c>
      <c r="BZ45" s="5">
        <f t="shared" si="111"/>
        <v>2.4</v>
      </c>
      <c r="CA45" s="150">
        <f t="shared" si="112"/>
        <v>0.65174859323559331</v>
      </c>
      <c r="CB45" s="5">
        <f t="shared" si="113"/>
        <v>65.174859323559332</v>
      </c>
      <c r="CE45" s="59">
        <f t="shared" si="178"/>
        <v>-50</v>
      </c>
      <c r="CF45">
        <f t="shared" si="179"/>
        <v>-50</v>
      </c>
      <c r="CG45" s="150">
        <f t="shared" si="180"/>
        <v>0.88528888952388218</v>
      </c>
      <c r="CI45" s="147">
        <v>40</v>
      </c>
      <c r="CJ45" s="188">
        <f t="shared" si="114"/>
        <v>0.48</v>
      </c>
      <c r="CK45" s="188"/>
      <c r="CL45" s="188">
        <f t="shared" si="49"/>
        <v>2.4</v>
      </c>
      <c r="CM45" s="465">
        <f t="shared" si="50"/>
        <v>48</v>
      </c>
      <c r="CN45" s="149">
        <f t="shared" si="51"/>
        <v>5.4</v>
      </c>
      <c r="CO45" s="379">
        <f t="shared" si="52"/>
        <v>53.4</v>
      </c>
      <c r="CP45" s="379"/>
      <c r="CQ45" s="188">
        <f t="shared" si="53"/>
        <v>0.10112359550561799</v>
      </c>
      <c r="CR45" s="149">
        <f t="shared" si="54"/>
        <v>12.426067415730339</v>
      </c>
      <c r="CS45" s="149">
        <f t="shared" si="115"/>
        <v>2.4</v>
      </c>
      <c r="CT45" s="188">
        <f t="shared" si="55"/>
        <v>2.4852134831460679</v>
      </c>
      <c r="CU45" s="188">
        <f t="shared" si="56"/>
        <v>5</v>
      </c>
      <c r="CV45" s="188">
        <f t="shared" si="57"/>
        <v>2.4269662921348316</v>
      </c>
      <c r="CW45" s="149">
        <f t="shared" si="58"/>
        <v>202.09481724155486</v>
      </c>
      <c r="CX45" s="149">
        <f t="shared" si="59"/>
        <v>5</v>
      </c>
      <c r="CY45" s="188">
        <f t="shared" si="60"/>
        <v>0.98888888888888882</v>
      </c>
      <c r="CZ45" s="188">
        <f t="shared" si="61"/>
        <v>0.24722222222222218</v>
      </c>
      <c r="DA45" s="188">
        <f t="shared" si="62"/>
        <v>2.1975308641975304</v>
      </c>
      <c r="DB45" s="172">
        <f t="shared" si="63"/>
        <v>350</v>
      </c>
      <c r="DC45" s="379">
        <f t="shared" si="116"/>
        <v>350</v>
      </c>
      <c r="DE45" s="188">
        <f t="shared" si="64"/>
        <v>1.1556982343499198</v>
      </c>
      <c r="DF45" s="150">
        <f t="shared" si="65"/>
        <v>2.5682182985553772</v>
      </c>
      <c r="DG45" s="150">
        <f t="shared" si="66"/>
        <v>0.51941493678648076</v>
      </c>
      <c r="DH45" s="150"/>
      <c r="DI45" s="150">
        <f t="shared" si="67"/>
        <v>2.2222222222222219</v>
      </c>
      <c r="DJ45" s="314">
        <f t="shared" si="117"/>
        <v>432</v>
      </c>
      <c r="DK45" s="456">
        <f t="shared" si="68"/>
        <v>0.38888888888888884</v>
      </c>
      <c r="DM45" s="150">
        <f t="shared" si="69"/>
        <v>1.1109841197270618</v>
      </c>
      <c r="DN45" s="150">
        <f t="shared" si="70"/>
        <v>1.1109841197270618</v>
      </c>
      <c r="DO45" s="150">
        <f t="shared" si="71"/>
        <v>1.2822104590570829</v>
      </c>
      <c r="DQ45" s="314">
        <f t="shared" si="72"/>
        <v>480</v>
      </c>
      <c r="DR45" s="144">
        <f t="shared" si="73"/>
        <v>350</v>
      </c>
      <c r="DT45">
        <f t="shared" si="74"/>
        <v>480</v>
      </c>
      <c r="DU45" s="144">
        <f t="shared" si="75"/>
        <v>350</v>
      </c>
      <c r="DV45" s="144"/>
      <c r="DW45" s="5">
        <f t="shared" si="118"/>
        <v>2.8571428571428572</v>
      </c>
      <c r="DX45" s="5">
        <f t="shared" si="76"/>
        <v>0.27774602993176545</v>
      </c>
      <c r="DY45" s="5">
        <f t="shared" si="119"/>
        <v>2.5793968272110916</v>
      </c>
      <c r="DZ45" s="5">
        <f t="shared" si="77"/>
        <v>2.4688535993934706</v>
      </c>
      <c r="EA45" s="150">
        <f t="shared" si="120"/>
        <v>9.7211110476117898E-2</v>
      </c>
      <c r="EB45" s="150">
        <f t="shared" si="78"/>
        <v>2.5920000000000005</v>
      </c>
      <c r="EC45" s="150">
        <f t="shared" si="79"/>
        <v>0.50149205986353096</v>
      </c>
      <c r="ED45" s="150">
        <f t="shared" si="121"/>
        <v>5.1685763493550647</v>
      </c>
      <c r="EE45" s="144">
        <f t="shared" si="80"/>
        <v>2.6663618873449479</v>
      </c>
      <c r="EF45" s="5">
        <f t="shared" si="81"/>
        <v>5.3737433900231057E-2</v>
      </c>
      <c r="EG45" s="5"/>
      <c r="EH45" s="150">
        <f t="shared" si="122"/>
        <v>0.19998857044884893</v>
      </c>
      <c r="EI45" s="150">
        <f t="shared" si="82"/>
        <v>0.60945315088068686</v>
      </c>
      <c r="EJ45" s="150"/>
      <c r="EK45" s="456">
        <f t="shared" si="83"/>
        <v>7.9990856620348427E-4</v>
      </c>
      <c r="EL45" s="456">
        <f t="shared" si="84"/>
        <v>0.41528586395397576</v>
      </c>
      <c r="EM45" s="456">
        <f t="shared" si="85"/>
        <v>4.3749999999999997E-2</v>
      </c>
      <c r="EN45" s="456">
        <f t="shared" si="86"/>
        <v>9.9804599999999993E-2</v>
      </c>
      <c r="EO45">
        <f t="shared" si="87"/>
        <v>2.1600000000000001E-2</v>
      </c>
      <c r="EP45" s="144">
        <f t="shared" si="123"/>
        <v>65.349999999999994</v>
      </c>
      <c r="EQ45" s="456">
        <f t="shared" si="88"/>
        <v>0.58156687943114793</v>
      </c>
      <c r="ER45" s="144">
        <f t="shared" si="124"/>
        <v>581.56687943114798</v>
      </c>
      <c r="ES45" s="456">
        <f t="shared" si="125"/>
        <v>0.29819999999999997</v>
      </c>
      <c r="ET45" s="456"/>
      <c r="EV45" s="144">
        <f t="shared" si="126"/>
        <v>298.2</v>
      </c>
      <c r="EW45" s="456">
        <f t="shared" si="89"/>
        <v>1.1998628493052263E-3</v>
      </c>
      <c r="EX45" s="456">
        <f t="shared" si="90"/>
        <v>1.1142994293551917E-2</v>
      </c>
      <c r="EY45" s="456">
        <f t="shared" si="91"/>
        <v>0.1490766906489118</v>
      </c>
      <c r="EZ45" s="456">
        <f t="shared" si="92"/>
        <v>0.16454430925828226</v>
      </c>
      <c r="FA45" s="456">
        <f t="shared" si="93"/>
        <v>4.3200000000000009E-4</v>
      </c>
      <c r="FB45" s="144">
        <f t="shared" si="127"/>
        <v>164.97630925828224</v>
      </c>
      <c r="FC45" s="150">
        <f t="shared" si="128"/>
        <v>1.0447431886894303</v>
      </c>
      <c r="FD45" s="5">
        <f t="shared" si="129"/>
        <v>2.4</v>
      </c>
      <c r="FE45" s="150">
        <f t="shared" si="130"/>
        <v>0.69671376603057944</v>
      </c>
      <c r="FF45" s="5">
        <f t="shared" si="131"/>
        <v>69.671376603057951</v>
      </c>
      <c r="FI45" s="59">
        <f t="shared" si="94"/>
        <v>-50</v>
      </c>
      <c r="FJ45">
        <f t="shared" si="95"/>
        <v>-50</v>
      </c>
      <c r="FL45">
        <f t="shared" si="181"/>
        <v>0.86409875978771467</v>
      </c>
    </row>
    <row r="46" spans="5:168">
      <c r="E46" s="147">
        <v>41</v>
      </c>
      <c r="F46" s="188">
        <f t="shared" si="182"/>
        <v>0.49199999999999994</v>
      </c>
      <c r="G46" s="188"/>
      <c r="H46" s="188">
        <f t="shared" si="132"/>
        <v>2.4599999999999995</v>
      </c>
      <c r="I46" s="465">
        <f t="shared" si="133"/>
        <v>47.972174503248084</v>
      </c>
      <c r="J46" s="149">
        <f t="shared" si="134"/>
        <v>5.416695298051148</v>
      </c>
      <c r="K46" s="149">
        <f t="shared" si="135"/>
        <v>53.416695298051145</v>
      </c>
      <c r="L46" s="379"/>
      <c r="M46" s="188">
        <f t="shared" si="136"/>
        <v>0.10146035866834828</v>
      </c>
      <c r="N46" s="149">
        <f t="shared" si="137"/>
        <v>12.460221519872366</v>
      </c>
      <c r="O46" s="149">
        <f t="shared" si="98"/>
        <v>2.4599999999999995</v>
      </c>
      <c r="P46" s="188">
        <f t="shared" si="138"/>
        <v>2.4920443039744731</v>
      </c>
      <c r="Q46" s="188">
        <f t="shared" si="139"/>
        <v>5</v>
      </c>
      <c r="R46" s="188">
        <f t="shared" si="140"/>
        <v>2.4336370156000711</v>
      </c>
      <c r="S46" s="149">
        <f t="shared" si="141"/>
        <v>195.88663423351485</v>
      </c>
      <c r="T46" s="149">
        <f t="shared" si="142"/>
        <v>5</v>
      </c>
      <c r="U46" s="188">
        <f t="shared" si="143"/>
        <v>1.0951102819923384</v>
      </c>
      <c r="V46" s="188">
        <f t="shared" si="11"/>
        <v>0.27393637082301309</v>
      </c>
      <c r="W46" s="188">
        <f t="shared" si="144"/>
        <v>2.4260776471285226</v>
      </c>
      <c r="X46" s="172">
        <f t="shared" si="145"/>
        <v>350</v>
      </c>
      <c r="Y46" s="379">
        <f t="shared" si="14"/>
        <v>344.82591939550809</v>
      </c>
      <c r="AA46" s="188">
        <f t="shared" si="146"/>
        <v>1.158840842741977</v>
      </c>
      <c r="AB46" s="150">
        <f t="shared" si="147"/>
        <v>2.5672646046579253</v>
      </c>
      <c r="AC46" s="150">
        <f t="shared" si="148"/>
        <v>0.5206339386506017</v>
      </c>
      <c r="AD46" s="150"/>
      <c r="AE46" s="150">
        <f t="shared" si="149"/>
        <v>2.2153729053796756</v>
      </c>
      <c r="AF46" s="314">
        <f t="shared" si="150"/>
        <v>444.16901444019413</v>
      </c>
      <c r="AG46" s="456">
        <f t="shared" si="151"/>
        <v>0.38769025844144323</v>
      </c>
      <c r="AI46" s="150">
        <f t="shared" si="152"/>
        <v>1.1265231142644092</v>
      </c>
      <c r="AJ46" s="150">
        <f t="shared" si="153"/>
        <v>1.1265231142644092</v>
      </c>
      <c r="AK46" s="150">
        <f t="shared" si="154"/>
        <v>1.2937208253810437</v>
      </c>
      <c r="AM46" s="314">
        <f t="shared" si="155"/>
        <v>491.99999999999994</v>
      </c>
      <c r="AN46" s="144">
        <f t="shared" si="156"/>
        <v>344.82591939550809</v>
      </c>
      <c r="AP46">
        <f t="shared" si="157"/>
        <v>491.99999999999994</v>
      </c>
      <c r="AQ46" s="144">
        <f t="shared" si="158"/>
        <v>344.82591939550809</v>
      </c>
      <c r="AR46" s="144"/>
      <c r="AS46" s="5">
        <f t="shared" si="101"/>
        <v>2.9000140179515363</v>
      </c>
      <c r="AT46" s="5">
        <f t="shared" si="159"/>
        <v>0.28179413401945375</v>
      </c>
      <c r="AU46" s="5">
        <f t="shared" si="102"/>
        <v>2.6182198839320825</v>
      </c>
      <c r="AV46" s="5">
        <f t="shared" si="160"/>
        <v>2.4956687846253045</v>
      </c>
      <c r="AW46" s="150">
        <f t="shared" si="103"/>
        <v>9.7169921343519164E-2</v>
      </c>
      <c r="AX46" s="150">
        <f t="shared" si="161"/>
        <v>2.6256169503657714</v>
      </c>
      <c r="AY46" s="150">
        <f t="shared" si="162"/>
        <v>0.5085294759298401</v>
      </c>
      <c r="AZ46" s="150">
        <f t="shared" si="104"/>
        <v>5.1631558732458176</v>
      </c>
      <c r="BA46" s="144">
        <f t="shared" si="163"/>
        <v>2.7728542787514243</v>
      </c>
      <c r="BB46" s="5">
        <f t="shared" si="164"/>
        <v>5.5942333421818903E-2</v>
      </c>
      <c r="BC46" s="5"/>
      <c r="BD46" s="150">
        <f t="shared" si="105"/>
        <v>0.20274278378651792</v>
      </c>
      <c r="BE46" s="150">
        <f t="shared" si="165"/>
        <v>0.61799148263803305</v>
      </c>
      <c r="BF46" s="150"/>
      <c r="BG46" s="456">
        <f t="shared" si="166"/>
        <v>8.2209272755013512E-4</v>
      </c>
      <c r="BH46" s="456">
        <f t="shared" si="167"/>
        <v>0.38906153708469254</v>
      </c>
      <c r="BI46" s="456">
        <f t="shared" si="168"/>
        <v>0.41355122946210682</v>
      </c>
      <c r="BJ46" s="456">
        <f t="shared" si="169"/>
        <v>9.839067393820175E-2</v>
      </c>
      <c r="BK46">
        <f t="shared" si="170"/>
        <v>2.1587478526461638E-2</v>
      </c>
      <c r="BL46" s="144">
        <f t="shared" si="106"/>
        <v>435.13870798856846</v>
      </c>
      <c r="BM46" s="456">
        <f t="shared" si="171"/>
        <v>0.48859170502942012</v>
      </c>
      <c r="BN46" s="144">
        <f t="shared" si="107"/>
        <v>488.5917050294201</v>
      </c>
      <c r="BO46" s="456">
        <f t="shared" si="172"/>
        <v>0.3056549999999999</v>
      </c>
      <c r="BP46" s="456"/>
      <c r="BR46" s="144">
        <f t="shared" si="109"/>
        <v>305.65499999999992</v>
      </c>
      <c r="BS46" s="456">
        <f t="shared" si="173"/>
        <v>1.2331390913252027E-3</v>
      </c>
      <c r="BT46" s="456">
        <f t="shared" si="174"/>
        <v>1.1457404178394628E-2</v>
      </c>
      <c r="BU46" s="456">
        <f t="shared" si="175"/>
        <v>3.6899999999999988E-2</v>
      </c>
      <c r="BV46" s="456">
        <f t="shared" si="176"/>
        <v>5.2689766595480685E-2</v>
      </c>
      <c r="BW46" s="456">
        <f t="shared" si="177"/>
        <v>4.3760282506096187E-4</v>
      </c>
      <c r="BX46" s="144">
        <f t="shared" si="110"/>
        <v>53.12736942054164</v>
      </c>
      <c r="BY46" s="150">
        <f t="shared" si="45"/>
        <v>1.2825127824385301</v>
      </c>
      <c r="BZ46" s="5">
        <f t="shared" si="111"/>
        <v>2.4599999999999995</v>
      </c>
      <c r="CA46" s="150">
        <f t="shared" si="112"/>
        <v>0.65731238422040172</v>
      </c>
      <c r="CB46" s="5">
        <f t="shared" si="113"/>
        <v>65.731238422040178</v>
      </c>
      <c r="CE46" s="59">
        <f t="shared" si="178"/>
        <v>-50</v>
      </c>
      <c r="CF46">
        <f t="shared" si="179"/>
        <v>-50</v>
      </c>
      <c r="CG46" s="150">
        <f t="shared" si="180"/>
        <v>0.88408125178605457</v>
      </c>
      <c r="CI46" s="147">
        <v>41</v>
      </c>
      <c r="CJ46" s="188">
        <f t="shared" si="114"/>
        <v>0.49199999999999994</v>
      </c>
      <c r="CK46" s="188"/>
      <c r="CL46" s="188">
        <f t="shared" si="49"/>
        <v>2.4599999999999995</v>
      </c>
      <c r="CM46" s="465">
        <f t="shared" si="50"/>
        <v>48</v>
      </c>
      <c r="CN46" s="149">
        <f t="shared" si="51"/>
        <v>5.4</v>
      </c>
      <c r="CO46" s="379">
        <f t="shared" si="52"/>
        <v>53.4</v>
      </c>
      <c r="CP46" s="379"/>
      <c r="CQ46" s="188">
        <f t="shared" si="53"/>
        <v>0.10112359550561799</v>
      </c>
      <c r="CR46" s="149">
        <f t="shared" si="54"/>
        <v>12.426067415730339</v>
      </c>
      <c r="CS46" s="149">
        <f t="shared" si="115"/>
        <v>2.4599999999999995</v>
      </c>
      <c r="CT46" s="188">
        <f t="shared" si="55"/>
        <v>2.4852134831460679</v>
      </c>
      <c r="CU46" s="188">
        <f t="shared" si="56"/>
        <v>5</v>
      </c>
      <c r="CV46" s="188">
        <f t="shared" si="57"/>
        <v>2.4269662921348316</v>
      </c>
      <c r="CW46" s="149">
        <f t="shared" si="58"/>
        <v>196.0001985996702</v>
      </c>
      <c r="CX46" s="149">
        <f t="shared" si="59"/>
        <v>5</v>
      </c>
      <c r="CY46" s="188">
        <f t="shared" si="60"/>
        <v>1.0136111111111108</v>
      </c>
      <c r="CZ46" s="188">
        <f t="shared" si="61"/>
        <v>0.2534027777777777</v>
      </c>
      <c r="DA46" s="188">
        <f t="shared" si="62"/>
        <v>2.2524691358024684</v>
      </c>
      <c r="DB46" s="172">
        <f t="shared" si="63"/>
        <v>350</v>
      </c>
      <c r="DC46" s="379">
        <f t="shared" si="116"/>
        <v>350</v>
      </c>
      <c r="DE46" s="188">
        <f t="shared" si="64"/>
        <v>1.1556982343499198</v>
      </c>
      <c r="DF46" s="150">
        <f t="shared" si="65"/>
        <v>2.5682182985553772</v>
      </c>
      <c r="DG46" s="150">
        <f t="shared" si="66"/>
        <v>0.51941493678648076</v>
      </c>
      <c r="DH46" s="150"/>
      <c r="DI46" s="150">
        <f t="shared" si="67"/>
        <v>2.2222222222222219</v>
      </c>
      <c r="DJ46" s="314">
        <f t="shared" si="117"/>
        <v>442.8</v>
      </c>
      <c r="DK46" s="456">
        <f t="shared" si="68"/>
        <v>0.38888888888888884</v>
      </c>
      <c r="DM46" s="150">
        <f t="shared" si="69"/>
        <v>1.1247856938736629</v>
      </c>
      <c r="DN46" s="150">
        <f t="shared" si="70"/>
        <v>1.1247856938736629</v>
      </c>
      <c r="DO46" s="150">
        <f t="shared" si="71"/>
        <v>1.2924338473138244</v>
      </c>
      <c r="DQ46" s="314">
        <f t="shared" si="72"/>
        <v>491.99999999999994</v>
      </c>
      <c r="DR46" s="144">
        <f t="shared" si="73"/>
        <v>350</v>
      </c>
      <c r="DT46">
        <f t="shared" si="74"/>
        <v>491.99999999999994</v>
      </c>
      <c r="DU46" s="144">
        <f t="shared" si="75"/>
        <v>350</v>
      </c>
      <c r="DV46" s="144"/>
      <c r="DW46" s="5">
        <f t="shared" si="118"/>
        <v>2.8571428571428572</v>
      </c>
      <c r="DX46" s="5">
        <f t="shared" si="76"/>
        <v>0.28119642346841572</v>
      </c>
      <c r="DY46" s="5">
        <f t="shared" si="119"/>
        <v>2.5759464336744413</v>
      </c>
      <c r="DZ46" s="5">
        <f t="shared" si="77"/>
        <v>2.4995237641636954</v>
      </c>
      <c r="EA46" s="150">
        <f t="shared" si="120"/>
        <v>9.8418748213945501E-2</v>
      </c>
      <c r="EB46" s="150">
        <f t="shared" si="78"/>
        <v>2.6568000000000005</v>
      </c>
      <c r="EC46" s="150">
        <f t="shared" si="79"/>
        <v>0.50704284693683144</v>
      </c>
      <c r="ED46" s="150">
        <f t="shared" si="121"/>
        <v>5.239793867619615</v>
      </c>
      <c r="EE46" s="144">
        <f t="shared" si="80"/>
        <v>2.7669728069292105</v>
      </c>
      <c r="EF46" s="5">
        <f t="shared" si="81"/>
        <v>5.5007189469089619E-2</v>
      </c>
      <c r="EG46" s="5"/>
      <c r="EH46" s="150">
        <f t="shared" si="122"/>
        <v>0.20372675843869445</v>
      </c>
      <c r="EI46" s="150">
        <f t="shared" si="82"/>
        <v>0.61661146081657248</v>
      </c>
      <c r="EJ46" s="150"/>
      <c r="EK46" s="456">
        <f t="shared" si="83"/>
        <v>8.300918420787633E-4</v>
      </c>
      <c r="EL46" s="456">
        <f t="shared" si="84"/>
        <v>0.42044489236997523</v>
      </c>
      <c r="EM46" s="456">
        <f t="shared" si="85"/>
        <v>4.3749999999999997E-2</v>
      </c>
      <c r="EN46" s="456">
        <f t="shared" si="86"/>
        <v>9.9804599999999993E-2</v>
      </c>
      <c r="EO46">
        <f t="shared" si="87"/>
        <v>2.1600000000000001E-2</v>
      </c>
      <c r="EP46" s="144">
        <f t="shared" si="123"/>
        <v>65.349999999999994</v>
      </c>
      <c r="EQ46" s="456">
        <f t="shared" si="88"/>
        <v>0.5867694374409278</v>
      </c>
      <c r="ER46" s="144">
        <f t="shared" si="124"/>
        <v>586.76943744092785</v>
      </c>
      <c r="ES46" s="456">
        <f t="shared" si="125"/>
        <v>0.3056549999999999</v>
      </c>
      <c r="ET46" s="456"/>
      <c r="EV46" s="144">
        <f t="shared" si="126"/>
        <v>305.65499999999992</v>
      </c>
      <c r="EW46" s="456">
        <f t="shared" si="89"/>
        <v>1.245137763118145E-3</v>
      </c>
      <c r="EX46" s="456">
        <f t="shared" si="90"/>
        <v>1.1406290808310425E-2</v>
      </c>
      <c r="EY46" s="456">
        <f t="shared" si="91"/>
        <v>0.153749805494791</v>
      </c>
      <c r="EZ46" s="456">
        <f t="shared" si="92"/>
        <v>0.16960924085902498</v>
      </c>
      <c r="FA46" s="456">
        <f t="shared" si="93"/>
        <v>4.4280000000000008E-4</v>
      </c>
      <c r="FB46" s="144">
        <f t="shared" si="127"/>
        <v>170.05204085902497</v>
      </c>
      <c r="FC46" s="150">
        <f t="shared" si="128"/>
        <v>1.0624764782999527</v>
      </c>
      <c r="FD46" s="5">
        <f t="shared" si="129"/>
        <v>2.4599999999999995</v>
      </c>
      <c r="FE46" s="150">
        <f t="shared" si="130"/>
        <v>0.69837230004365158</v>
      </c>
      <c r="FF46" s="5">
        <f t="shared" si="131"/>
        <v>69.837230004365153</v>
      </c>
      <c r="FI46" s="59">
        <f t="shared" si="94"/>
        <v>-50</v>
      </c>
      <c r="FJ46">
        <f t="shared" si="95"/>
        <v>-50</v>
      </c>
      <c r="FL46">
        <f t="shared" si="181"/>
        <v>0.8748333174572932</v>
      </c>
    </row>
    <row r="47" spans="5:168">
      <c r="E47" s="147">
        <v>42</v>
      </c>
      <c r="F47" s="188">
        <f t="shared" si="182"/>
        <v>0.504</v>
      </c>
      <c r="G47" s="188"/>
      <c r="H47" s="188">
        <f t="shared" si="132"/>
        <v>2.52</v>
      </c>
      <c r="I47" s="465">
        <f t="shared" si="133"/>
        <v>47.971457316490216</v>
      </c>
      <c r="J47" s="149">
        <f t="shared" si="134"/>
        <v>5.4171256101058711</v>
      </c>
      <c r="K47" s="149">
        <f t="shared" si="135"/>
        <v>53.41712561010587</v>
      </c>
      <c r="L47" s="379"/>
      <c r="M47" s="188">
        <f t="shared" si="136"/>
        <v>0.10146516363124397</v>
      </c>
      <c r="N47" s="149">
        <f t="shared" si="137"/>
        <v>12.460625321592104</v>
      </c>
      <c r="O47" s="149">
        <f t="shared" si="98"/>
        <v>2.52</v>
      </c>
      <c r="P47" s="188">
        <f t="shared" si="138"/>
        <v>2.492125064318421</v>
      </c>
      <c r="Q47" s="188">
        <f t="shared" si="139"/>
        <v>5</v>
      </c>
      <c r="R47" s="188">
        <f t="shared" si="140"/>
        <v>2.4337158831234578</v>
      </c>
      <c r="S47" s="149">
        <f t="shared" si="141"/>
        <v>190.08293649998805</v>
      </c>
      <c r="T47" s="149">
        <f t="shared" si="142"/>
        <v>5</v>
      </c>
      <c r="U47" s="188">
        <f t="shared" si="143"/>
        <v>1.1218262878639464</v>
      </c>
      <c r="V47" s="188">
        <f t="shared" si="11"/>
        <v>0.28062344167601128</v>
      </c>
      <c r="W47" s="188">
        <f t="shared" si="144"/>
        <v>2.485066144534954</v>
      </c>
      <c r="X47" s="172">
        <f t="shared" si="145"/>
        <v>350</v>
      </c>
      <c r="Y47" s="379">
        <f t="shared" si="14"/>
        <v>337.18970611405882</v>
      </c>
      <c r="AA47" s="188">
        <f t="shared" si="146"/>
        <v>1.1589218042783884</v>
      </c>
      <c r="AB47" s="150">
        <f t="shared" si="147"/>
        <v>2.5672400184696591</v>
      </c>
      <c r="AC47" s="150">
        <f t="shared" si="148"/>
        <v>0.52066532598859461</v>
      </c>
      <c r="AD47" s="150"/>
      <c r="AE47" s="150">
        <f t="shared" si="149"/>
        <v>2.2151969261361608</v>
      </c>
      <c r="AF47" s="314">
        <f t="shared" si="150"/>
        <v>455.03855124889316</v>
      </c>
      <c r="AG47" s="456">
        <f t="shared" si="151"/>
        <v>0.38765946207382818</v>
      </c>
      <c r="AI47" s="150">
        <f t="shared" si="152"/>
        <v>1.140223726478891</v>
      </c>
      <c r="AJ47" s="150">
        <f t="shared" si="153"/>
        <v>1.140223726478891</v>
      </c>
      <c r="AK47" s="150">
        <f t="shared" si="154"/>
        <v>1.3038694270214006</v>
      </c>
      <c r="AM47" s="314">
        <f t="shared" si="155"/>
        <v>504</v>
      </c>
      <c r="AN47" s="144">
        <f t="shared" si="156"/>
        <v>337.18970611405882</v>
      </c>
      <c r="AP47">
        <f t="shared" si="157"/>
        <v>504</v>
      </c>
      <c r="AQ47" s="144">
        <f t="shared" si="158"/>
        <v>337.18970611405882</v>
      </c>
      <c r="AR47" s="144"/>
      <c r="AS47" s="5">
        <f t="shared" si="101"/>
        <v>2.9656895862109649</v>
      </c>
      <c r="AT47" s="5">
        <f t="shared" si="159"/>
        <v>0.28522553791675748</v>
      </c>
      <c r="AU47" s="5">
        <f t="shared" si="102"/>
        <v>2.6804640482942075</v>
      </c>
      <c r="AV47" s="5">
        <f t="shared" si="160"/>
        <v>2.5258200940035582</v>
      </c>
      <c r="AW47" s="150">
        <f t="shared" si="103"/>
        <v>9.6175115306375791E-2</v>
      </c>
      <c r="AX47" s="150">
        <f t="shared" si="161"/>
        <v>2.6303025491345378</v>
      </c>
      <c r="AY47" s="150">
        <f t="shared" si="162"/>
        <v>0.51528128905485915</v>
      </c>
      <c r="AZ47" s="150">
        <f t="shared" si="104"/>
        <v>5.1045954995942111</v>
      </c>
      <c r="BA47" s="144">
        <f t="shared" si="163"/>
        <v>2.8750734222009156</v>
      </c>
      <c r="BB47" s="5">
        <f t="shared" si="164"/>
        <v>5.8670038563565501E-2</v>
      </c>
      <c r="BC47" s="5"/>
      <c r="BD47" s="150">
        <f t="shared" si="105"/>
        <v>0.20415536832149253</v>
      </c>
      <c r="BE47" s="150">
        <f t="shared" si="165"/>
        <v>0.62585192689164537</v>
      </c>
      <c r="BF47" s="150"/>
      <c r="BG47" s="456">
        <f t="shared" si="166"/>
        <v>8.3358828828968554E-4</v>
      </c>
      <c r="BH47" s="456">
        <f t="shared" si="167"/>
        <v>0.38507574872385797</v>
      </c>
      <c r="BI47" s="456">
        <f t="shared" si="168"/>
        <v>0.40438703986026125</v>
      </c>
      <c r="BJ47" s="456">
        <f t="shared" si="169"/>
        <v>9.6213350234384654E-2</v>
      </c>
      <c r="BK47">
        <f t="shared" si="170"/>
        <v>2.1587155792420598E-2</v>
      </c>
      <c r="BL47" s="144">
        <f t="shared" si="106"/>
        <v>425.97419565268183</v>
      </c>
      <c r="BM47" s="456">
        <f t="shared" si="171"/>
        <v>0.48244330908468125</v>
      </c>
      <c r="BN47" s="144">
        <f t="shared" si="107"/>
        <v>482.44330908468123</v>
      </c>
      <c r="BO47" s="456">
        <f t="shared" si="172"/>
        <v>0.31311</v>
      </c>
      <c r="BP47" s="456"/>
      <c r="BR47" s="144">
        <f t="shared" si="109"/>
        <v>313.11</v>
      </c>
      <c r="BS47" s="456">
        <f t="shared" si="173"/>
        <v>1.2503824324345283E-3</v>
      </c>
      <c r="BT47" s="456">
        <f t="shared" si="174"/>
        <v>1.1750719031819562E-2</v>
      </c>
      <c r="BU47" s="456">
        <f t="shared" si="175"/>
        <v>3.78E-2</v>
      </c>
      <c r="BV47" s="456">
        <f t="shared" si="176"/>
        <v>5.3977507179485303E-2</v>
      </c>
      <c r="BW47" s="456">
        <f t="shared" si="177"/>
        <v>4.3838375818908967E-4</v>
      </c>
      <c r="BX47" s="144">
        <f t="shared" si="110"/>
        <v>54.415890937674391</v>
      </c>
      <c r="BY47" s="150">
        <f t="shared" si="45"/>
        <v>1.2759433956750375</v>
      </c>
      <c r="BZ47" s="5">
        <f t="shared" si="111"/>
        <v>2.52</v>
      </c>
      <c r="CA47" s="150">
        <f t="shared" si="112"/>
        <v>0.66386659054800401</v>
      </c>
      <c r="CB47" s="5">
        <f t="shared" si="113"/>
        <v>66.386659054800404</v>
      </c>
      <c r="CE47" s="59">
        <f t="shared" si="178"/>
        <v>-50</v>
      </c>
      <c r="CF47">
        <f t="shared" si="179"/>
        <v>-50</v>
      </c>
      <c r="CG47" s="150">
        <f t="shared" si="180"/>
        <v>0.88288825370469615</v>
      </c>
      <c r="CI47" s="147">
        <v>42</v>
      </c>
      <c r="CJ47" s="188">
        <f t="shared" si="114"/>
        <v>0.504</v>
      </c>
      <c r="CK47" s="188"/>
      <c r="CL47" s="188">
        <f t="shared" si="49"/>
        <v>2.52</v>
      </c>
      <c r="CM47" s="465">
        <f t="shared" si="50"/>
        <v>48</v>
      </c>
      <c r="CN47" s="149">
        <f t="shared" si="51"/>
        <v>5.4</v>
      </c>
      <c r="CO47" s="379">
        <f t="shared" si="52"/>
        <v>53.4</v>
      </c>
      <c r="CP47" s="379"/>
      <c r="CQ47" s="188">
        <f t="shared" si="53"/>
        <v>0.10112359550561799</v>
      </c>
      <c r="CR47" s="149">
        <f t="shared" si="54"/>
        <v>12.426067415730339</v>
      </c>
      <c r="CS47" s="149">
        <f t="shared" si="115"/>
        <v>2.52</v>
      </c>
      <c r="CT47" s="188">
        <f t="shared" si="55"/>
        <v>2.4852134831460679</v>
      </c>
      <c r="CU47" s="188">
        <f t="shared" si="56"/>
        <v>5</v>
      </c>
      <c r="CV47" s="188">
        <f t="shared" si="57"/>
        <v>2.4269662921348316</v>
      </c>
      <c r="CW47" s="149">
        <f t="shared" si="58"/>
        <v>190.19597474524167</v>
      </c>
      <c r="CX47" s="149">
        <f t="shared" si="59"/>
        <v>5</v>
      </c>
      <c r="CY47" s="188">
        <f t="shared" si="60"/>
        <v>1.0383333333333333</v>
      </c>
      <c r="CZ47" s="188">
        <f t="shared" si="61"/>
        <v>0.25958333333333339</v>
      </c>
      <c r="DA47" s="188">
        <f t="shared" si="62"/>
        <v>2.3074074074074078</v>
      </c>
      <c r="DB47" s="172">
        <f t="shared" si="63"/>
        <v>350</v>
      </c>
      <c r="DC47" s="379">
        <f t="shared" si="116"/>
        <v>350</v>
      </c>
      <c r="DE47" s="188">
        <f t="shared" si="64"/>
        <v>1.1556982343499198</v>
      </c>
      <c r="DF47" s="150">
        <f t="shared" si="65"/>
        <v>2.5682182985553772</v>
      </c>
      <c r="DG47" s="150">
        <f t="shared" si="66"/>
        <v>0.51941493678648076</v>
      </c>
      <c r="DH47" s="150"/>
      <c r="DI47" s="150">
        <f t="shared" si="67"/>
        <v>2.2222222222222219</v>
      </c>
      <c r="DJ47" s="314">
        <f t="shared" si="117"/>
        <v>453.60000000000008</v>
      </c>
      <c r="DK47" s="456">
        <f t="shared" si="68"/>
        <v>0.38888888888888884</v>
      </c>
      <c r="DM47" s="150">
        <f t="shared" si="69"/>
        <v>1.1384199576606167</v>
      </c>
      <c r="DN47" s="150">
        <f t="shared" si="70"/>
        <v>1.1384199576606167</v>
      </c>
      <c r="DO47" s="150">
        <f t="shared" si="71"/>
        <v>1.3025333019708272</v>
      </c>
      <c r="DQ47" s="314">
        <f t="shared" si="72"/>
        <v>504</v>
      </c>
      <c r="DR47" s="144">
        <f t="shared" si="73"/>
        <v>350</v>
      </c>
      <c r="DT47">
        <f t="shared" si="74"/>
        <v>504</v>
      </c>
      <c r="DU47" s="144">
        <f t="shared" si="75"/>
        <v>350</v>
      </c>
      <c r="DV47" s="144"/>
      <c r="DW47" s="5">
        <f t="shared" si="118"/>
        <v>2.8571428571428572</v>
      </c>
      <c r="DX47" s="5">
        <f t="shared" si="76"/>
        <v>0.28460498941515416</v>
      </c>
      <c r="DY47" s="5">
        <f t="shared" si="119"/>
        <v>2.5725378677277031</v>
      </c>
      <c r="DZ47" s="5">
        <f t="shared" si="77"/>
        <v>2.5298221281347035</v>
      </c>
      <c r="EA47" s="150">
        <f t="shared" si="120"/>
        <v>9.9611746295303949E-2</v>
      </c>
      <c r="EB47" s="150">
        <f t="shared" si="78"/>
        <v>2.7216000000000005</v>
      </c>
      <c r="EC47" s="150">
        <f t="shared" si="79"/>
        <v>0.51250997883030835</v>
      </c>
      <c r="ED47" s="150">
        <f t="shared" si="121"/>
        <v>5.3103356274378415</v>
      </c>
      <c r="EE47" s="144">
        <f t="shared" si="80"/>
        <v>2.8688182933047544</v>
      </c>
      <c r="EF47" s="5">
        <f t="shared" si="81"/>
        <v>5.6274265856543493E-2</v>
      </c>
      <c r="EG47" s="5"/>
      <c r="EH47" s="150">
        <f t="shared" si="122"/>
        <v>0.20744221942403943</v>
      </c>
      <c r="EI47" s="150">
        <f t="shared" si="82"/>
        <v>0.62367277125142218</v>
      </c>
      <c r="EJ47" s="150"/>
      <c r="EK47" s="456">
        <f t="shared" si="83"/>
        <v>8.6064548799142651E-4</v>
      </c>
      <c r="EL47" s="456">
        <f t="shared" si="84"/>
        <v>0.42554138017353849</v>
      </c>
      <c r="EM47" s="456">
        <f t="shared" si="85"/>
        <v>4.3749999999999997E-2</v>
      </c>
      <c r="EN47" s="456">
        <f t="shared" si="86"/>
        <v>9.9804599999999993E-2</v>
      </c>
      <c r="EO47">
        <f t="shared" si="87"/>
        <v>2.1600000000000001E-2</v>
      </c>
      <c r="EP47" s="144">
        <f t="shared" si="123"/>
        <v>65.349999999999994</v>
      </c>
      <c r="EQ47" s="456">
        <f t="shared" si="88"/>
        <v>0.59191003925309571</v>
      </c>
      <c r="ER47" s="144">
        <f t="shared" si="124"/>
        <v>591.91003925309576</v>
      </c>
      <c r="ES47" s="456">
        <f t="shared" si="125"/>
        <v>0.31311</v>
      </c>
      <c r="ET47" s="456"/>
      <c r="EV47" s="144">
        <f t="shared" si="126"/>
        <v>313.11</v>
      </c>
      <c r="EW47" s="456">
        <f t="shared" si="89"/>
        <v>1.2909682319871395E-3</v>
      </c>
      <c r="EX47" s="456">
        <f t="shared" si="90"/>
        <v>1.1669031768012861E-2</v>
      </c>
      <c r="EY47" s="456">
        <f t="shared" si="91"/>
        <v>0.15845150448168363</v>
      </c>
      <c r="EZ47" s="456">
        <f t="shared" si="92"/>
        <v>0.17470303659002018</v>
      </c>
      <c r="FA47" s="456">
        <f t="shared" si="93"/>
        <v>4.5360000000000008E-4</v>
      </c>
      <c r="FB47" s="144">
        <f t="shared" si="127"/>
        <v>175.15663659002018</v>
      </c>
      <c r="FC47" s="150">
        <f t="shared" si="128"/>
        <v>1.0801766758431157</v>
      </c>
      <c r="FD47" s="5">
        <f t="shared" si="129"/>
        <v>2.52</v>
      </c>
      <c r="FE47" s="150">
        <f t="shared" si="130"/>
        <v>0.69996564804971628</v>
      </c>
      <c r="FF47" s="5">
        <f t="shared" si="131"/>
        <v>69.996564804971626</v>
      </c>
      <c r="FI47" s="59">
        <f t="shared" si="94"/>
        <v>-50</v>
      </c>
      <c r="FJ47">
        <f t="shared" si="95"/>
        <v>-50</v>
      </c>
      <c r="FL47">
        <f t="shared" si="181"/>
        <v>0.8854377448471461</v>
      </c>
    </row>
    <row r="48" spans="5:168">
      <c r="E48" s="147">
        <v>43</v>
      </c>
      <c r="F48" s="188">
        <f t="shared" si="182"/>
        <v>0.51600000000000001</v>
      </c>
      <c r="G48" s="188"/>
      <c r="H48" s="188">
        <f t="shared" si="132"/>
        <v>2.58</v>
      </c>
      <c r="I48" s="465">
        <f t="shared" si="133"/>
        <v>47.970738657522787</v>
      </c>
      <c r="J48" s="149">
        <f t="shared" si="134"/>
        <v>5.4175568054863268</v>
      </c>
      <c r="K48" s="149">
        <f t="shared" si="135"/>
        <v>53.417556805486328</v>
      </c>
      <c r="L48" s="379"/>
      <c r="M48" s="188">
        <f t="shared" si="136"/>
        <v>0.1014699307464058</v>
      </c>
      <c r="N48" s="149">
        <f t="shared" si="137"/>
        <v>12.46102407534789</v>
      </c>
      <c r="O48" s="149">
        <f t="shared" si="98"/>
        <v>2.58</v>
      </c>
      <c r="P48" s="188">
        <f t="shared" si="138"/>
        <v>2.4922048150695781</v>
      </c>
      <c r="Q48" s="188">
        <f t="shared" si="139"/>
        <v>5</v>
      </c>
      <c r="R48" s="188">
        <f t="shared" si="140"/>
        <v>2.4337937647163845</v>
      </c>
      <c r="S48" s="149">
        <f t="shared" si="141"/>
        <v>184.54937971134092</v>
      </c>
      <c r="T48" s="149">
        <f t="shared" si="142"/>
        <v>5</v>
      </c>
      <c r="U48" s="188">
        <f t="shared" si="143"/>
        <v>1.1485425310888915</v>
      </c>
      <c r="V48" s="188">
        <f t="shared" si="11"/>
        <v>0.28731078067119403</v>
      </c>
      <c r="W48" s="188">
        <f t="shared" si="144"/>
        <v>2.544045382063965</v>
      </c>
      <c r="X48" s="172">
        <f t="shared" si="145"/>
        <v>350</v>
      </c>
      <c r="Y48" s="379">
        <f t="shared" si="14"/>
        <v>329.8853537215868</v>
      </c>
      <c r="AA48" s="188">
        <f t="shared" si="146"/>
        <v>1.1590029301207185</v>
      </c>
      <c r="AB48" s="150">
        <f t="shared" si="147"/>
        <v>2.5672153815469065</v>
      </c>
      <c r="AC48" s="150">
        <f t="shared" si="148"/>
        <v>0.52069677615617249</v>
      </c>
      <c r="AD48" s="150"/>
      <c r="AE48" s="150">
        <f t="shared" si="149"/>
        <v>2.2150206136920749</v>
      </c>
      <c r="AF48" s="314">
        <f t="shared" si="150"/>
        <v>465.90988527182412</v>
      </c>
      <c r="AG48" s="456">
        <f t="shared" si="151"/>
        <v>0.38762860739611305</v>
      </c>
      <c r="AI48" s="150">
        <f t="shared" si="152"/>
        <v>1.1537638843267024</v>
      </c>
      <c r="AJ48" s="150">
        <f t="shared" si="153"/>
        <v>1.1537638843267024</v>
      </c>
      <c r="AK48" s="150">
        <f t="shared" si="154"/>
        <v>1.3138991735753351</v>
      </c>
      <c r="AM48" s="314">
        <f t="shared" si="155"/>
        <v>516</v>
      </c>
      <c r="AN48" s="144">
        <f t="shared" si="156"/>
        <v>329.8853537215868</v>
      </c>
      <c r="AP48">
        <f t="shared" si="157"/>
        <v>516</v>
      </c>
      <c r="AQ48" s="144">
        <f t="shared" si="158"/>
        <v>329.8853537215868</v>
      </c>
      <c r="AR48" s="144"/>
      <c r="AS48" s="5">
        <f t="shared" si="101"/>
        <v>3.0313561627351593</v>
      </c>
      <c r="AT48" s="5">
        <f t="shared" si="159"/>
        <v>0.28861691521502614</v>
      </c>
      <c r="AU48" s="5">
        <f t="shared" si="102"/>
        <v>2.7427392475201331</v>
      </c>
      <c r="AV48" s="5">
        <f t="shared" si="160"/>
        <v>2.5556107871170846</v>
      </c>
      <c r="AW48" s="150">
        <f t="shared" si="103"/>
        <v>9.5210493165742122E-2</v>
      </c>
      <c r="AX48" s="150">
        <f t="shared" si="161"/>
        <v>2.6348030966619365</v>
      </c>
      <c r="AY48" s="150">
        <f t="shared" si="162"/>
        <v>0.52195672795156745</v>
      </c>
      <c r="AZ48" s="150">
        <f t="shared" si="104"/>
        <v>5.0479339676342301</v>
      </c>
      <c r="BA48" s="144">
        <f t="shared" si="163"/>
        <v>2.9785265650190702</v>
      </c>
      <c r="BB48" s="5">
        <f t="shared" si="164"/>
        <v>6.1463399847435263E-2</v>
      </c>
      <c r="BC48" s="5"/>
      <c r="BD48" s="150">
        <f t="shared" si="105"/>
        <v>0.20554112077872863</v>
      </c>
      <c r="BE48" s="150">
        <f t="shared" si="165"/>
        <v>0.63362177040242562</v>
      </c>
      <c r="BF48" s="150"/>
      <c r="BG48" s="456">
        <f t="shared" si="166"/>
        <v>8.4494304661951816E-4</v>
      </c>
      <c r="BH48" s="456">
        <f t="shared" si="167"/>
        <v>0.381210862332721</v>
      </c>
      <c r="BI48" s="456">
        <f t="shared" si="168"/>
        <v>0.39562110225806757</v>
      </c>
      <c r="BJ48" s="456">
        <f t="shared" si="169"/>
        <v>9.4130653802578443E-2</v>
      </c>
      <c r="BK48">
        <f t="shared" si="170"/>
        <v>2.1586832395885255E-2</v>
      </c>
      <c r="BL48" s="144">
        <f t="shared" si="106"/>
        <v>417.20793465395286</v>
      </c>
      <c r="BM48" s="456">
        <f t="shared" si="171"/>
        <v>0.47651025727368407</v>
      </c>
      <c r="BN48" s="144">
        <f t="shared" si="107"/>
        <v>476.51025727368409</v>
      </c>
      <c r="BO48" s="456">
        <f t="shared" si="172"/>
        <v>0.32056499999999993</v>
      </c>
      <c r="BP48" s="456"/>
      <c r="BR48" s="144">
        <f t="shared" si="109"/>
        <v>320.56499999999994</v>
      </c>
      <c r="BS48" s="456">
        <f t="shared" si="173"/>
        <v>1.2674145699292773E-3</v>
      </c>
      <c r="BT48" s="456">
        <f t="shared" si="174"/>
        <v>1.2044296437837124E-2</v>
      </c>
      <c r="BU48" s="456">
        <f t="shared" si="175"/>
        <v>3.8699999999999998E-2</v>
      </c>
      <c r="BV48" s="456">
        <f t="shared" si="176"/>
        <v>5.5265375786526794E-2</v>
      </c>
      <c r="BW48" s="456">
        <f t="shared" si="177"/>
        <v>4.3913384944365601E-4</v>
      </c>
      <c r="BX48" s="144">
        <f t="shared" si="110"/>
        <v>55.704509635970446</v>
      </c>
      <c r="BY48" s="150">
        <f t="shared" si="45"/>
        <v>1.2699877015636072</v>
      </c>
      <c r="BZ48" s="5">
        <f t="shared" si="111"/>
        <v>2.58</v>
      </c>
      <c r="CA48" s="150">
        <f t="shared" si="112"/>
        <v>0.67013201079893758</v>
      </c>
      <c r="CB48" s="5">
        <f t="shared" si="113"/>
        <v>67.013201079893761</v>
      </c>
      <c r="CE48" s="59">
        <f t="shared" si="178"/>
        <v>-50</v>
      </c>
      <c r="CF48">
        <f t="shared" si="179"/>
        <v>-50</v>
      </c>
      <c r="CG48" s="150">
        <f t="shared" si="180"/>
        <v>0.88170937543600603</v>
      </c>
      <c r="CI48" s="147">
        <v>43</v>
      </c>
      <c r="CJ48" s="188">
        <f t="shared" si="114"/>
        <v>0.51600000000000001</v>
      </c>
      <c r="CK48" s="188"/>
      <c r="CL48" s="188">
        <f t="shared" si="49"/>
        <v>2.58</v>
      </c>
      <c r="CM48" s="465">
        <f t="shared" si="50"/>
        <v>48</v>
      </c>
      <c r="CN48" s="149">
        <f t="shared" si="51"/>
        <v>5.4</v>
      </c>
      <c r="CO48" s="379">
        <f t="shared" si="52"/>
        <v>53.4</v>
      </c>
      <c r="CP48" s="379"/>
      <c r="CQ48" s="188">
        <f t="shared" si="53"/>
        <v>0.10112359550561799</v>
      </c>
      <c r="CR48" s="149">
        <f t="shared" si="54"/>
        <v>12.426067415730339</v>
      </c>
      <c r="CS48" s="149">
        <f t="shared" si="115"/>
        <v>2.58</v>
      </c>
      <c r="CT48" s="188">
        <f t="shared" si="55"/>
        <v>2.4852134831460679</v>
      </c>
      <c r="CU48" s="188">
        <f t="shared" si="56"/>
        <v>5</v>
      </c>
      <c r="CV48" s="188">
        <f t="shared" si="57"/>
        <v>2.4269662921348316</v>
      </c>
      <c r="CW48" s="149">
        <f t="shared" si="58"/>
        <v>184.66188861117431</v>
      </c>
      <c r="CX48" s="149">
        <f t="shared" si="59"/>
        <v>5</v>
      </c>
      <c r="CY48" s="188">
        <f t="shared" si="60"/>
        <v>1.0630555555555554</v>
      </c>
      <c r="CZ48" s="188">
        <f t="shared" si="61"/>
        <v>0.26576388888888886</v>
      </c>
      <c r="DA48" s="188">
        <f t="shared" si="62"/>
        <v>2.3623456790123454</v>
      </c>
      <c r="DB48" s="172">
        <f t="shared" si="63"/>
        <v>350</v>
      </c>
      <c r="DC48" s="379">
        <f t="shared" si="116"/>
        <v>350</v>
      </c>
      <c r="DE48" s="188">
        <f t="shared" si="64"/>
        <v>1.1556982343499198</v>
      </c>
      <c r="DF48" s="150">
        <f t="shared" si="65"/>
        <v>2.5682182985553772</v>
      </c>
      <c r="DG48" s="150">
        <f t="shared" si="66"/>
        <v>0.51941493678648076</v>
      </c>
      <c r="DH48" s="150"/>
      <c r="DI48" s="150">
        <f t="shared" si="67"/>
        <v>2.2222222222222219</v>
      </c>
      <c r="DJ48" s="314">
        <f t="shared" si="117"/>
        <v>464.40000000000003</v>
      </c>
      <c r="DK48" s="456">
        <f t="shared" si="68"/>
        <v>0.38888888888888884</v>
      </c>
      <c r="DM48" s="150">
        <f t="shared" si="69"/>
        <v>1.1518928521599321</v>
      </c>
      <c r="DN48" s="150">
        <f t="shared" si="70"/>
        <v>1.1518928521599321</v>
      </c>
      <c r="DO48" s="150">
        <f t="shared" si="71"/>
        <v>1.3125132238221719</v>
      </c>
      <c r="DQ48" s="314">
        <f t="shared" si="72"/>
        <v>516</v>
      </c>
      <c r="DR48" s="144">
        <f t="shared" si="73"/>
        <v>350</v>
      </c>
      <c r="DT48">
        <f t="shared" si="74"/>
        <v>516</v>
      </c>
      <c r="DU48" s="144">
        <f t="shared" si="75"/>
        <v>350</v>
      </c>
      <c r="DV48" s="144"/>
      <c r="DW48" s="5">
        <f t="shared" si="118"/>
        <v>2.8571428571428572</v>
      </c>
      <c r="DX48" s="5">
        <f t="shared" si="76"/>
        <v>0.28797321303998302</v>
      </c>
      <c r="DY48" s="5">
        <f t="shared" si="119"/>
        <v>2.5691696441028742</v>
      </c>
      <c r="DZ48" s="5">
        <f t="shared" si="77"/>
        <v>2.5597618936887381</v>
      </c>
      <c r="EA48" s="150">
        <f t="shared" si="120"/>
        <v>0.10079062456399406</v>
      </c>
      <c r="EB48" s="150">
        <f t="shared" si="78"/>
        <v>2.7864000000000004</v>
      </c>
      <c r="EC48" s="150">
        <f t="shared" si="79"/>
        <v>0.51789642607996611</v>
      </c>
      <c r="ED48" s="150">
        <f t="shared" si="121"/>
        <v>5.3802263535407455</v>
      </c>
      <c r="EE48" s="144">
        <f t="shared" si="80"/>
        <v>2.9718835585726251</v>
      </c>
      <c r="EF48" s="5">
        <f t="shared" si="81"/>
        <v>5.7538695154387275E-2</v>
      </c>
      <c r="EG48" s="5"/>
      <c r="EH48" s="150">
        <f t="shared" si="122"/>
        <v>0.21113562792335497</v>
      </c>
      <c r="EI48" s="150">
        <f t="shared" si="82"/>
        <v>0.6306405163856228</v>
      </c>
      <c r="EJ48" s="150"/>
      <c r="EK48" s="456">
        <f t="shared" si="83"/>
        <v>8.9156506757178777E-4</v>
      </c>
      <c r="EL48" s="456">
        <f t="shared" si="84"/>
        <v>0.43057754813738264</v>
      </c>
      <c r="EM48" s="456">
        <f t="shared" si="85"/>
        <v>4.3749999999999997E-2</v>
      </c>
      <c r="EN48" s="456">
        <f t="shared" si="86"/>
        <v>9.9804599999999993E-2</v>
      </c>
      <c r="EO48">
        <f t="shared" si="87"/>
        <v>2.1600000000000001E-2</v>
      </c>
      <c r="EP48" s="144">
        <f t="shared" si="123"/>
        <v>65.349999999999994</v>
      </c>
      <c r="EQ48" s="456">
        <f t="shared" si="88"/>
        <v>0.5969908998539144</v>
      </c>
      <c r="ER48" s="144">
        <f t="shared" si="124"/>
        <v>596.99089985391436</v>
      </c>
      <c r="ES48" s="456">
        <f t="shared" si="125"/>
        <v>0.32056499999999993</v>
      </c>
      <c r="ET48" s="456"/>
      <c r="EV48" s="144">
        <f t="shared" si="126"/>
        <v>320.56499999999994</v>
      </c>
      <c r="EW48" s="456">
        <f t="shared" si="89"/>
        <v>1.3373476013576815E-3</v>
      </c>
      <c r="EX48" s="456">
        <f t="shared" si="90"/>
        <v>1.193122382721375E-2</v>
      </c>
      <c r="EY48" s="456">
        <f t="shared" si="91"/>
        <v>0.16318127555811335</v>
      </c>
      <c r="EZ48" s="456">
        <f t="shared" si="92"/>
        <v>0.17982518599554495</v>
      </c>
      <c r="FA48" s="456">
        <f t="shared" si="93"/>
        <v>4.6440000000000012E-4</v>
      </c>
      <c r="FB48" s="144">
        <f t="shared" si="127"/>
        <v>180.28958599554497</v>
      </c>
      <c r="FC48" s="150">
        <f t="shared" si="128"/>
        <v>1.0978454858494593</v>
      </c>
      <c r="FD48" s="5">
        <f t="shared" si="129"/>
        <v>2.58</v>
      </c>
      <c r="FE48" s="150">
        <f t="shared" si="130"/>
        <v>0.70149765941135134</v>
      </c>
      <c r="FF48" s="5">
        <f t="shared" si="131"/>
        <v>70.149765941135129</v>
      </c>
      <c r="FI48" s="59">
        <f t="shared" si="94"/>
        <v>-50</v>
      </c>
      <c r="FJ48">
        <f t="shared" si="95"/>
        <v>-50</v>
      </c>
      <c r="FL48">
        <f t="shared" si="181"/>
        <v>0.89591666279105819</v>
      </c>
    </row>
    <row r="49" spans="5:168">
      <c r="E49" s="147">
        <v>44</v>
      </c>
      <c r="F49" s="188">
        <f t="shared" si="182"/>
        <v>0.52800000000000002</v>
      </c>
      <c r="G49" s="188"/>
      <c r="H49" s="188">
        <f t="shared" si="132"/>
        <v>2.64</v>
      </c>
      <c r="I49" s="465">
        <f t="shared" si="133"/>
        <v>47.970247468186017</v>
      </c>
      <c r="J49" s="149">
        <f t="shared" si="134"/>
        <v>5.4178515190883907</v>
      </c>
      <c r="K49" s="149">
        <f t="shared" si="135"/>
        <v>53.417851519088387</v>
      </c>
      <c r="L49" s="379"/>
      <c r="M49" s="188">
        <f t="shared" si="136"/>
        <v>0.10147469929463002</v>
      </c>
      <c r="N49" s="149">
        <f t="shared" si="137"/>
        <v>12.461482078523298</v>
      </c>
      <c r="O49" s="149">
        <f t="shared" si="98"/>
        <v>2.64</v>
      </c>
      <c r="P49" s="188">
        <f t="shared" si="138"/>
        <v>2.4922964157046597</v>
      </c>
      <c r="Q49" s="188">
        <f t="shared" si="139"/>
        <v>5</v>
      </c>
      <c r="R49" s="188">
        <f t="shared" si="140"/>
        <v>2.4338832184615811</v>
      </c>
      <c r="S49" s="149">
        <f t="shared" si="141"/>
        <v>179.26840336663835</v>
      </c>
      <c r="T49" s="149">
        <f t="shared" si="142"/>
        <v>5</v>
      </c>
      <c r="U49" s="188">
        <f t="shared" si="143"/>
        <v>1.1752590596736758</v>
      </c>
      <c r="V49" s="188">
        <f t="shared" si="11"/>
        <v>0.29399699731458184</v>
      </c>
      <c r="W49" s="188">
        <f t="shared" si="144"/>
        <v>2.6030814366904438</v>
      </c>
      <c r="X49" s="172">
        <f t="shared" si="145"/>
        <v>350</v>
      </c>
      <c r="Y49" s="379">
        <f t="shared" si="14"/>
        <v>322.88494505669894</v>
      </c>
      <c r="AA49" s="188">
        <f t="shared" si="146"/>
        <v>1.1590583769584089</v>
      </c>
      <c r="AB49" s="150">
        <f t="shared" si="147"/>
        <v>2.5671985425398276</v>
      </c>
      <c r="AC49" s="150">
        <f t="shared" si="148"/>
        <v>0.52071827080808597</v>
      </c>
      <c r="AD49" s="150"/>
      <c r="AE49" s="150">
        <f t="shared" si="149"/>
        <v>2.2149001237337571</v>
      </c>
      <c r="AF49" s="314">
        <f t="shared" si="150"/>
        <v>476.77093367977841</v>
      </c>
      <c r="AG49" s="456">
        <f t="shared" si="151"/>
        <v>0.38760752165340745</v>
      </c>
      <c r="AI49" s="150">
        <f t="shared" si="152"/>
        <v>1.1671343828610781</v>
      </c>
      <c r="AJ49" s="150">
        <f t="shared" si="153"/>
        <v>1.1752590596736758</v>
      </c>
      <c r="AK49" s="150">
        <f t="shared" si="154"/>
        <v>1.3298215256842043</v>
      </c>
      <c r="AM49" s="314">
        <f t="shared" si="155"/>
        <v>528</v>
      </c>
      <c r="AN49" s="144">
        <f t="shared" si="156"/>
        <v>322.88494505669894</v>
      </c>
      <c r="AP49">
        <f t="shared" si="157"/>
        <v>528</v>
      </c>
      <c r="AQ49" s="144">
        <f t="shared" si="158"/>
        <v>322.88494505669894</v>
      </c>
      <c r="AR49" s="144"/>
      <c r="AS49" s="5">
        <f t="shared" si="101"/>
        <v>3.0970784340050259</v>
      </c>
      <c r="AT49" s="5">
        <f t="shared" si="159"/>
        <v>0.29399699731458184</v>
      </c>
      <c r="AU49" s="5">
        <f t="shared" si="102"/>
        <v>2.803081436690444</v>
      </c>
      <c r="AV49" s="5">
        <f t="shared" si="160"/>
        <v>2.6030814366904438</v>
      </c>
      <c r="AW49" s="150">
        <f t="shared" si="103"/>
        <v>9.4927204324753225E-2</v>
      </c>
      <c r="AX49" s="150">
        <f t="shared" si="161"/>
        <v>2.6758777088358578</v>
      </c>
      <c r="AY49" s="150">
        <f t="shared" si="162"/>
        <v>0.53184750139075776</v>
      </c>
      <c r="AZ49" s="150">
        <f t="shared" si="104"/>
        <v>5.0312875435882569</v>
      </c>
      <c r="BA49" s="144">
        <f t="shared" si="163"/>
        <v>3.1046082916419846</v>
      </c>
      <c r="BB49" s="5">
        <f t="shared" si="164"/>
        <v>6.4277124740796873E-2</v>
      </c>
      <c r="BC49" s="5"/>
      <c r="BD49" s="150">
        <f t="shared" si="105"/>
        <v>0.20905873863299826</v>
      </c>
      <c r="BE49" s="150">
        <f t="shared" si="165"/>
        <v>0.6455274816635338</v>
      </c>
      <c r="BF49" s="150"/>
      <c r="BG49" s="456">
        <f t="shared" si="166"/>
        <v>8.7411112397640565E-4</v>
      </c>
      <c r="BH49" s="456">
        <f t="shared" si="167"/>
        <v>0.38007481456237702</v>
      </c>
      <c r="BI49" s="456">
        <f t="shared" si="168"/>
        <v>0.38722176795303731</v>
      </c>
      <c r="BJ49" s="456">
        <f t="shared" si="169"/>
        <v>9.213414906077716E-2</v>
      </c>
      <c r="BK49">
        <f t="shared" si="170"/>
        <v>2.1586611360683707E-2</v>
      </c>
      <c r="BL49" s="144">
        <f t="shared" si="106"/>
        <v>408.80837931372099</v>
      </c>
      <c r="BM49" s="456">
        <f t="shared" si="171"/>
        <v>0.47341740824546891</v>
      </c>
      <c r="BN49" s="144">
        <f t="shared" si="107"/>
        <v>473.41740824546889</v>
      </c>
      <c r="BO49" s="456">
        <f t="shared" si="172"/>
        <v>0.32801999999999998</v>
      </c>
      <c r="BP49" s="456"/>
      <c r="BR49" s="144">
        <f t="shared" si="109"/>
        <v>328.02</v>
      </c>
      <c r="BS49" s="456">
        <f t="shared" si="173"/>
        <v>1.3111666859646084E-3</v>
      </c>
      <c r="BT49" s="456">
        <f t="shared" si="174"/>
        <v>1.2501171887485918E-2</v>
      </c>
      <c r="BU49" s="456">
        <f t="shared" si="175"/>
        <v>3.9600000000000003E-2</v>
      </c>
      <c r="BV49" s="456">
        <f t="shared" si="176"/>
        <v>5.6790052105261196E-2</v>
      </c>
      <c r="BW49" s="456">
        <f t="shared" si="177"/>
        <v>4.4597961813930975E-4</v>
      </c>
      <c r="BX49" s="144">
        <f t="shared" si="110"/>
        <v>57.236031723400508</v>
      </c>
      <c r="BY49" s="150">
        <f t="shared" si="45"/>
        <v>1.2674818192825905</v>
      </c>
      <c r="BZ49" s="5">
        <f t="shared" si="111"/>
        <v>2.64</v>
      </c>
      <c r="CA49" s="150">
        <f t="shared" si="112"/>
        <v>0.67562694392387501</v>
      </c>
      <c r="CB49" s="5">
        <f t="shared" si="113"/>
        <v>67.562694392387499</v>
      </c>
      <c r="CE49" s="59">
        <f t="shared" si="178"/>
        <v>-50</v>
      </c>
      <c r="CF49">
        <f t="shared" si="179"/>
        <v>-50</v>
      </c>
      <c r="CG49" s="150">
        <f t="shared" si="180"/>
        <v>0.88731944444444444</v>
      </c>
      <c r="CI49" s="147">
        <v>44</v>
      </c>
      <c r="CJ49" s="188">
        <f t="shared" si="114"/>
        <v>0.52800000000000002</v>
      </c>
      <c r="CK49" s="188"/>
      <c r="CL49" s="188">
        <f t="shared" si="49"/>
        <v>2.64</v>
      </c>
      <c r="CM49" s="465">
        <f t="shared" si="50"/>
        <v>48</v>
      </c>
      <c r="CN49" s="149">
        <f t="shared" si="51"/>
        <v>5.4</v>
      </c>
      <c r="CO49" s="379">
        <f t="shared" si="52"/>
        <v>53.4</v>
      </c>
      <c r="CP49" s="379"/>
      <c r="CQ49" s="188">
        <f t="shared" si="53"/>
        <v>0.10112359550561799</v>
      </c>
      <c r="CR49" s="149">
        <f t="shared" si="54"/>
        <v>12.426067415730339</v>
      </c>
      <c r="CS49" s="149">
        <f t="shared" si="115"/>
        <v>2.64</v>
      </c>
      <c r="CT49" s="188">
        <f t="shared" si="55"/>
        <v>2.4852134831460679</v>
      </c>
      <c r="CU49" s="188">
        <f t="shared" si="56"/>
        <v>5</v>
      </c>
      <c r="CV49" s="188">
        <f t="shared" si="57"/>
        <v>2.4269662921348316</v>
      </c>
      <c r="CW49" s="149">
        <f t="shared" si="58"/>
        <v>179.37952475161995</v>
      </c>
      <c r="CX49" s="149">
        <f t="shared" si="59"/>
        <v>5</v>
      </c>
      <c r="CY49" s="188">
        <f t="shared" si="60"/>
        <v>1.0877777777777777</v>
      </c>
      <c r="CZ49" s="188">
        <f t="shared" si="61"/>
        <v>0.27194444444444443</v>
      </c>
      <c r="DA49" s="188">
        <f t="shared" si="62"/>
        <v>2.4172839506172834</v>
      </c>
      <c r="DB49" s="172">
        <f t="shared" si="63"/>
        <v>350</v>
      </c>
      <c r="DC49" s="379">
        <f t="shared" si="116"/>
        <v>350</v>
      </c>
      <c r="DE49" s="188">
        <f t="shared" si="64"/>
        <v>1.1556982343499198</v>
      </c>
      <c r="DF49" s="150">
        <f t="shared" si="65"/>
        <v>2.5682182985553772</v>
      </c>
      <c r="DG49" s="150">
        <f t="shared" si="66"/>
        <v>0.51941493678648076</v>
      </c>
      <c r="DH49" s="150"/>
      <c r="DI49" s="150">
        <f t="shared" si="67"/>
        <v>2.2222222222222219</v>
      </c>
      <c r="DJ49" s="314">
        <f t="shared" si="117"/>
        <v>475.20000000000005</v>
      </c>
      <c r="DK49" s="456">
        <f t="shared" si="68"/>
        <v>0.38888888888888884</v>
      </c>
      <c r="DM49" s="150">
        <f t="shared" si="69"/>
        <v>1.1652099749462694</v>
      </c>
      <c r="DN49" s="150">
        <f t="shared" si="70"/>
        <v>1.0877777777777777</v>
      </c>
      <c r="DO49" s="150">
        <f t="shared" si="71"/>
        <v>1.2650205761316871</v>
      </c>
      <c r="DQ49" s="314">
        <f t="shared" si="72"/>
        <v>528</v>
      </c>
      <c r="DR49" s="144">
        <f t="shared" si="73"/>
        <v>350</v>
      </c>
      <c r="DT49">
        <f t="shared" si="74"/>
        <v>528</v>
      </c>
      <c r="DU49" s="144">
        <f t="shared" si="75"/>
        <v>350</v>
      </c>
      <c r="DV49" s="144"/>
      <c r="DW49" s="5">
        <f t="shared" si="118"/>
        <v>2.8571428571428572</v>
      </c>
      <c r="DX49" s="5">
        <f t="shared" si="76"/>
        <v>0.27194444444444443</v>
      </c>
      <c r="DY49" s="5">
        <f t="shared" si="119"/>
        <v>2.5851984126984129</v>
      </c>
      <c r="DZ49" s="5">
        <f t="shared" si="77"/>
        <v>2.4172839506172834</v>
      </c>
      <c r="EA49" s="150">
        <f t="shared" si="120"/>
        <v>9.5180555555555546E-2</v>
      </c>
      <c r="EB49" s="150">
        <f t="shared" si="78"/>
        <v>2.4848470370370372</v>
      </c>
      <c r="EC49" s="150">
        <f t="shared" si="79"/>
        <v>0.49212124228395054</v>
      </c>
      <c r="ED49" s="150">
        <f t="shared" si="121"/>
        <v>5.0492578322869832</v>
      </c>
      <c r="EE49" s="144">
        <f t="shared" si="80"/>
        <v>2.8717333333333332</v>
      </c>
      <c r="EF49" s="5">
        <f t="shared" si="81"/>
        <v>5.9244130291005288E-2</v>
      </c>
      <c r="EG49" s="5"/>
      <c r="EH49" s="150">
        <f t="shared" si="122"/>
        <v>0.19375533641632525</v>
      </c>
      <c r="EI49" s="150">
        <f t="shared" si="82"/>
        <v>0.59739353379430726</v>
      </c>
      <c r="EJ49" s="150"/>
      <c r="EK49" s="456">
        <f t="shared" si="83"/>
        <v>7.5082260779606755E-4</v>
      </c>
      <c r="EL49" s="456">
        <f t="shared" si="84"/>
        <v>0.40661133333333327</v>
      </c>
      <c r="EM49" s="456">
        <f t="shared" si="85"/>
        <v>4.3749999999999997E-2</v>
      </c>
      <c r="EN49" s="456">
        <f t="shared" si="86"/>
        <v>9.9804599999999993E-2</v>
      </c>
      <c r="EO49">
        <f t="shared" si="87"/>
        <v>2.1600000000000001E-2</v>
      </c>
      <c r="EP49" s="144">
        <f t="shared" si="123"/>
        <v>65.349999999999994</v>
      </c>
      <c r="EQ49" s="456">
        <f t="shared" si="88"/>
        <v>0.57282166682518088</v>
      </c>
      <c r="ER49" s="144">
        <f t="shared" si="124"/>
        <v>572.82166682518084</v>
      </c>
      <c r="ES49" s="456">
        <f t="shared" si="125"/>
        <v>0.32801999999999998</v>
      </c>
      <c r="ET49" s="456"/>
      <c r="EV49" s="144">
        <f t="shared" si="126"/>
        <v>328.02</v>
      </c>
      <c r="EW49" s="456">
        <f t="shared" si="89"/>
        <v>1.1262339116941012E-3</v>
      </c>
      <c r="EX49" s="456">
        <f t="shared" si="90"/>
        <v>1.0706371026577505E-2</v>
      </c>
      <c r="EY49" s="456">
        <f t="shared" si="91"/>
        <v>0.14141340227620408</v>
      </c>
      <c r="EZ49" s="456">
        <f t="shared" si="92"/>
        <v>0.15623372455491633</v>
      </c>
      <c r="FA49" s="456">
        <f t="shared" si="93"/>
        <v>4.1414117283950619E-4</v>
      </c>
      <c r="FB49" s="144">
        <f t="shared" si="127"/>
        <v>156.64786572775583</v>
      </c>
      <c r="FC49" s="150">
        <f t="shared" si="128"/>
        <v>1.0574895325529368</v>
      </c>
      <c r="FD49" s="5">
        <f t="shared" si="129"/>
        <v>2.64</v>
      </c>
      <c r="FE49" s="150">
        <f t="shared" si="130"/>
        <v>0.71399796449922837</v>
      </c>
      <c r="FF49" s="5">
        <f t="shared" si="131"/>
        <v>71.399796449922832</v>
      </c>
      <c r="FI49" s="59">
        <f t="shared" si="94"/>
        <v>-50</v>
      </c>
      <c r="FJ49">
        <f t="shared" si="95"/>
        <v>-50</v>
      </c>
      <c r="FL49">
        <f t="shared" si="181"/>
        <v>0.9048194444444444</v>
      </c>
    </row>
    <row r="50" spans="5:168">
      <c r="E50" s="147">
        <v>45</v>
      </c>
      <c r="F50" s="188">
        <f t="shared" si="182"/>
        <v>0.54</v>
      </c>
      <c r="G50" s="188"/>
      <c r="H50" s="188">
        <f t="shared" si="132"/>
        <v>2.7</v>
      </c>
      <c r="I50" s="465">
        <f t="shared" si="133"/>
        <v>47.969496910856137</v>
      </c>
      <c r="J50" s="149">
        <f t="shared" si="134"/>
        <v>5.4183018534863194</v>
      </c>
      <c r="K50" s="149">
        <f t="shared" si="135"/>
        <v>53.418301853486319</v>
      </c>
      <c r="L50" s="379"/>
      <c r="M50" s="188">
        <f t="shared" si="136"/>
        <v>0.10148354428052749</v>
      </c>
      <c r="N50" s="149">
        <f t="shared" si="137"/>
        <v>12.462373283500789</v>
      </c>
      <c r="O50" s="149">
        <f t="shared" si="98"/>
        <v>2.7</v>
      </c>
      <c r="P50" s="188">
        <f t="shared" si="138"/>
        <v>2.4924746567001579</v>
      </c>
      <c r="Q50" s="188">
        <f t="shared" si="139"/>
        <v>5</v>
      </c>
      <c r="R50" s="188">
        <f t="shared" si="140"/>
        <v>2.434057281933748</v>
      </c>
      <c r="S50" s="149">
        <f t="shared" si="141"/>
        <v>174.22138959946159</v>
      </c>
      <c r="T50" s="149">
        <f t="shared" si="142"/>
        <v>5</v>
      </c>
      <c r="U50" s="188">
        <f t="shared" si="143"/>
        <v>1.2019813250222642</v>
      </c>
      <c r="V50" s="188">
        <f t="shared" si="11"/>
        <v>0.300686411764366</v>
      </c>
      <c r="W50" s="188">
        <f t="shared" si="144"/>
        <v>2.6620473148771557</v>
      </c>
      <c r="X50" s="172">
        <f t="shared" si="145"/>
        <v>350</v>
      </c>
      <c r="Y50" s="379">
        <f t="shared" si="14"/>
        <v>316.18216594600614</v>
      </c>
      <c r="AA50" s="188">
        <f t="shared" si="146"/>
        <v>1.1591431002810457</v>
      </c>
      <c r="AB50" s="150">
        <f t="shared" si="147"/>
        <v>2.5671728116111812</v>
      </c>
      <c r="AC50" s="150">
        <f t="shared" si="148"/>
        <v>0.52075111406643382</v>
      </c>
      <c r="AD50" s="150"/>
      <c r="AE50" s="150">
        <f t="shared" si="149"/>
        <v>2.2147160354823705</v>
      </c>
      <c r="AF50" s="314">
        <f t="shared" si="150"/>
        <v>487.64716681376876</v>
      </c>
      <c r="AG50" s="456">
        <f t="shared" si="151"/>
        <v>0.38757530620941483</v>
      </c>
      <c r="AI50" s="150">
        <f t="shared" si="152"/>
        <v>1.1803718140772046</v>
      </c>
      <c r="AJ50" s="150">
        <f t="shared" si="153"/>
        <v>1.2019813250222642</v>
      </c>
      <c r="AK50" s="150">
        <f t="shared" si="154"/>
        <v>1.3496157963127882</v>
      </c>
      <c r="AM50" s="314">
        <f t="shared" si="155"/>
        <v>540</v>
      </c>
      <c r="AN50" s="144">
        <f t="shared" si="156"/>
        <v>316.18216594600614</v>
      </c>
      <c r="AP50">
        <f t="shared" si="157"/>
        <v>540</v>
      </c>
      <c r="AQ50" s="144">
        <f t="shared" si="158"/>
        <v>316.18216594600614</v>
      </c>
      <c r="AR50" s="144"/>
      <c r="AS50" s="5">
        <f t="shared" si="101"/>
        <v>3.1627337266415219</v>
      </c>
      <c r="AT50" s="5">
        <f t="shared" si="159"/>
        <v>0.300686411764366</v>
      </c>
      <c r="AU50" s="5">
        <f t="shared" si="102"/>
        <v>2.8620473148771559</v>
      </c>
      <c r="AV50" s="5">
        <f t="shared" si="160"/>
        <v>2.6620473148771557</v>
      </c>
      <c r="AW50" s="150">
        <f t="shared" si="103"/>
        <v>9.5071680942189901E-2</v>
      </c>
      <c r="AX50" s="150">
        <f t="shared" si="161"/>
        <v>2.7408423798669661</v>
      </c>
      <c r="AY50" s="150">
        <f t="shared" si="162"/>
        <v>0.54385346999563844</v>
      </c>
      <c r="AZ50" s="150">
        <f t="shared" si="104"/>
        <v>5.0396706669701805</v>
      </c>
      <c r="BA50" s="144">
        <f t="shared" si="163"/>
        <v>3.2474132470551531</v>
      </c>
      <c r="BB50" s="5">
        <f t="shared" si="164"/>
        <v>6.7121888628940682E-2</v>
      </c>
      <c r="BC50" s="5"/>
      <c r="BD50" s="150">
        <f t="shared" si="105"/>
        <v>0.21397482463726938</v>
      </c>
      <c r="BE50" s="150">
        <f t="shared" si="165"/>
        <v>0.66015236346534101</v>
      </c>
      <c r="BF50" s="150"/>
      <c r="BG50" s="456">
        <f t="shared" si="166"/>
        <v>9.157045115710037E-4</v>
      </c>
      <c r="BH50" s="456">
        <f t="shared" si="167"/>
        <v>0.3806505312641022</v>
      </c>
      <c r="BI50" s="456">
        <f t="shared" si="168"/>
        <v>0.37917748581536859</v>
      </c>
      <c r="BJ50" s="456">
        <f t="shared" si="169"/>
        <v>9.022305446940998E-2</v>
      </c>
      <c r="BK50">
        <f t="shared" si="170"/>
        <v>2.158627360988526E-2</v>
      </c>
      <c r="BL50" s="144">
        <f t="shared" si="106"/>
        <v>400.76375942525385</v>
      </c>
      <c r="BM50" s="456">
        <f t="shared" si="171"/>
        <v>0.47213925445799365</v>
      </c>
      <c r="BN50" s="144">
        <f t="shared" si="107"/>
        <v>472.13925445799367</v>
      </c>
      <c r="BO50" s="456">
        <f t="shared" si="172"/>
        <v>0.33547499999999997</v>
      </c>
      <c r="BP50" s="456"/>
      <c r="BR50" s="144">
        <f t="shared" si="109"/>
        <v>335.47499999999997</v>
      </c>
      <c r="BS50" s="456">
        <f t="shared" si="173"/>
        <v>1.3735567673565055E-3</v>
      </c>
      <c r="BT50" s="456">
        <f t="shared" si="174"/>
        <v>1.307403428966627E-2</v>
      </c>
      <c r="BU50" s="456">
        <f t="shared" si="175"/>
        <v>4.0500000000000001E-2</v>
      </c>
      <c r="BV50" s="456">
        <f t="shared" si="176"/>
        <v>5.8482607534516812E-2</v>
      </c>
      <c r="BW50" s="456">
        <f t="shared" si="177"/>
        <v>4.568070633111611E-4</v>
      </c>
      <c r="BX50" s="144">
        <f t="shared" si="110"/>
        <v>58.93941459782797</v>
      </c>
      <c r="BY50" s="150">
        <f t="shared" si="45"/>
        <v>1.2673174284810755</v>
      </c>
      <c r="BZ50" s="5">
        <f t="shared" si="111"/>
        <v>2.7</v>
      </c>
      <c r="CA50" s="150">
        <f t="shared" si="112"/>
        <v>0.68056061776577326</v>
      </c>
      <c r="CB50" s="5">
        <f t="shared" si="113"/>
        <v>68.056061776577323</v>
      </c>
      <c r="CE50" s="59">
        <f t="shared" si="178"/>
        <v>-50</v>
      </c>
      <c r="CF50">
        <f t="shared" si="179"/>
        <v>-50</v>
      </c>
      <c r="CG50" s="150">
        <f t="shared" si="180"/>
        <v>0.88515624999999998</v>
      </c>
      <c r="CI50" s="147">
        <v>45</v>
      </c>
      <c r="CJ50" s="188">
        <f t="shared" si="114"/>
        <v>0.54</v>
      </c>
      <c r="CK50" s="188"/>
      <c r="CL50" s="188">
        <f t="shared" si="49"/>
        <v>2.7</v>
      </c>
      <c r="CM50" s="465">
        <f t="shared" si="50"/>
        <v>48</v>
      </c>
      <c r="CN50" s="149">
        <f t="shared" si="51"/>
        <v>5.4</v>
      </c>
      <c r="CO50" s="379">
        <f t="shared" si="52"/>
        <v>53.4</v>
      </c>
      <c r="CP50" s="379"/>
      <c r="CQ50" s="188">
        <f t="shared" si="53"/>
        <v>0.10112359550561799</v>
      </c>
      <c r="CR50" s="149">
        <f t="shared" si="54"/>
        <v>12.426067415730339</v>
      </c>
      <c r="CS50" s="149">
        <f t="shared" si="115"/>
        <v>2.7</v>
      </c>
      <c r="CT50" s="188">
        <f t="shared" si="55"/>
        <v>2.4852134831460679</v>
      </c>
      <c r="CU50" s="188">
        <f t="shared" si="56"/>
        <v>5</v>
      </c>
      <c r="CV50" s="188">
        <f t="shared" si="57"/>
        <v>2.4269662921348316</v>
      </c>
      <c r="CW50" s="149">
        <f t="shared" si="58"/>
        <v>174.33210471937886</v>
      </c>
      <c r="CX50" s="149">
        <f t="shared" si="59"/>
        <v>5</v>
      </c>
      <c r="CY50" s="188">
        <f t="shared" si="60"/>
        <v>1.1125</v>
      </c>
      <c r="CZ50" s="188">
        <f t="shared" si="61"/>
        <v>0.27812500000000001</v>
      </c>
      <c r="DA50" s="188">
        <f t="shared" si="62"/>
        <v>2.4722222222222223</v>
      </c>
      <c r="DB50" s="172">
        <f t="shared" si="63"/>
        <v>350</v>
      </c>
      <c r="DC50" s="379">
        <f t="shared" si="116"/>
        <v>350</v>
      </c>
      <c r="DE50" s="188">
        <f t="shared" si="64"/>
        <v>1.1556982343499198</v>
      </c>
      <c r="DF50" s="150">
        <f t="shared" si="65"/>
        <v>2.5682182985553772</v>
      </c>
      <c r="DG50" s="150">
        <f t="shared" si="66"/>
        <v>0.51941493678648076</v>
      </c>
      <c r="DH50" s="150"/>
      <c r="DI50" s="150">
        <f t="shared" si="67"/>
        <v>2.2222222222222219</v>
      </c>
      <c r="DJ50" s="314">
        <f t="shared" si="117"/>
        <v>486.00000000000006</v>
      </c>
      <c r="DK50" s="456">
        <f t="shared" si="68"/>
        <v>0.38888888888888884</v>
      </c>
      <c r="DM50" s="150">
        <f t="shared" si="69"/>
        <v>1.1783766072743589</v>
      </c>
      <c r="DN50" s="150">
        <f t="shared" si="70"/>
        <v>1.1125</v>
      </c>
      <c r="DO50" s="150">
        <f t="shared" si="71"/>
        <v>1.2833333333333332</v>
      </c>
      <c r="DQ50" s="314">
        <f t="shared" si="72"/>
        <v>540</v>
      </c>
      <c r="DR50" s="144">
        <f t="shared" si="73"/>
        <v>350</v>
      </c>
      <c r="DT50">
        <f t="shared" si="74"/>
        <v>540</v>
      </c>
      <c r="DU50" s="144">
        <f t="shared" si="75"/>
        <v>350</v>
      </c>
      <c r="DV50" s="144"/>
      <c r="DW50" s="5">
        <f t="shared" si="118"/>
        <v>2.8571428571428572</v>
      </c>
      <c r="DX50" s="5">
        <f t="shared" si="76"/>
        <v>0.27812500000000001</v>
      </c>
      <c r="DY50" s="5">
        <f t="shared" si="119"/>
        <v>2.579017857142857</v>
      </c>
      <c r="DZ50" s="5">
        <f t="shared" si="77"/>
        <v>2.4722222222222223</v>
      </c>
      <c r="EA50" s="150">
        <f t="shared" si="120"/>
        <v>9.7343750000000007E-2</v>
      </c>
      <c r="EB50" s="150">
        <f t="shared" si="78"/>
        <v>2.5990781250000001</v>
      </c>
      <c r="EC50" s="150">
        <f t="shared" si="79"/>
        <v>0.50210253906250002</v>
      </c>
      <c r="ED50" s="150">
        <f t="shared" si="121"/>
        <v>5.1763891293058686</v>
      </c>
      <c r="EE50" s="144">
        <f t="shared" si="80"/>
        <v>3.0037500000000006</v>
      </c>
      <c r="EF50" s="5">
        <f t="shared" si="81"/>
        <v>6.0445731026785708E-2</v>
      </c>
      <c r="EG50" s="5"/>
      <c r="EH50" s="150">
        <f t="shared" si="122"/>
        <v>0.20039802110295196</v>
      </c>
      <c r="EI50" s="150">
        <f t="shared" si="82"/>
        <v>0.61023988436626631</v>
      </c>
      <c r="EJ50" s="150"/>
      <c r="EK50" s="456">
        <f t="shared" si="83"/>
        <v>8.0318733723958361E-4</v>
      </c>
      <c r="EL50" s="456">
        <f t="shared" si="84"/>
        <v>0.41585250000000001</v>
      </c>
      <c r="EM50" s="456">
        <f t="shared" si="85"/>
        <v>4.3749999999999997E-2</v>
      </c>
      <c r="EN50" s="456">
        <f t="shared" si="86"/>
        <v>9.9804599999999993E-2</v>
      </c>
      <c r="EO50">
        <f t="shared" si="87"/>
        <v>2.1600000000000001E-2</v>
      </c>
      <c r="EP50" s="144">
        <f t="shared" si="123"/>
        <v>65.349999999999994</v>
      </c>
      <c r="EQ50" s="456">
        <f t="shared" si="88"/>
        <v>0.58213824161514538</v>
      </c>
      <c r="ER50" s="144">
        <f t="shared" si="124"/>
        <v>582.13824161514538</v>
      </c>
      <c r="ES50" s="456">
        <f t="shared" si="125"/>
        <v>0.33547499999999997</v>
      </c>
      <c r="ET50" s="456"/>
      <c r="EV50" s="144">
        <f t="shared" si="126"/>
        <v>335.47499999999997</v>
      </c>
      <c r="EW50" s="456">
        <f t="shared" si="89"/>
        <v>1.2047810058593753E-3</v>
      </c>
      <c r="EX50" s="456">
        <f t="shared" si="90"/>
        <v>1.1171781494140621E-2</v>
      </c>
      <c r="EY50" s="456">
        <f t="shared" si="91"/>
        <v>0.14958572970501968</v>
      </c>
      <c r="EZ50" s="456">
        <f t="shared" si="92"/>
        <v>0.16509613301371986</v>
      </c>
      <c r="FA50" s="456">
        <f t="shared" si="93"/>
        <v>4.3317968750000008E-4</v>
      </c>
      <c r="FB50" s="144">
        <f t="shared" si="127"/>
        <v>165.52931270121988</v>
      </c>
      <c r="FC50" s="150">
        <f t="shared" si="128"/>
        <v>1.0831425543163651</v>
      </c>
      <c r="FD50" s="5">
        <f t="shared" si="129"/>
        <v>2.7</v>
      </c>
      <c r="FE50" s="150">
        <f t="shared" si="130"/>
        <v>0.71369237643964634</v>
      </c>
      <c r="FF50" s="5">
        <f t="shared" si="131"/>
        <v>71.369237643964638</v>
      </c>
      <c r="FI50" s="59">
        <f t="shared" si="94"/>
        <v>-50</v>
      </c>
      <c r="FJ50">
        <f t="shared" si="95"/>
        <v>-50</v>
      </c>
      <c r="FL50">
        <f t="shared" si="181"/>
        <v>0.90265624999999994</v>
      </c>
    </row>
    <row r="51" spans="5:168">
      <c r="E51" s="147">
        <v>46</v>
      </c>
      <c r="F51" s="188">
        <f t="shared" si="182"/>
        <v>0.55200000000000005</v>
      </c>
      <c r="G51" s="188"/>
      <c r="H51" s="188">
        <f t="shared" si="132"/>
        <v>2.7600000000000002</v>
      </c>
      <c r="I51" s="465">
        <f t="shared" si="133"/>
        <v>47.968742676030864</v>
      </c>
      <c r="J51" s="149">
        <f t="shared" si="134"/>
        <v>5.4187543943814838</v>
      </c>
      <c r="K51" s="149">
        <f t="shared" si="135"/>
        <v>53.41875439438148</v>
      </c>
      <c r="L51" s="379"/>
      <c r="M51" s="188">
        <f t="shared" si="136"/>
        <v>0.10149243200111757</v>
      </c>
      <c r="N51" s="149">
        <f t="shared" si="137"/>
        <v>12.463268746818992</v>
      </c>
      <c r="O51" s="149">
        <f t="shared" si="98"/>
        <v>2.7600000000000002</v>
      </c>
      <c r="P51" s="188">
        <f t="shared" si="138"/>
        <v>2.4926537493637984</v>
      </c>
      <c r="Q51" s="188">
        <f t="shared" si="139"/>
        <v>5</v>
      </c>
      <c r="R51" s="188">
        <f t="shared" si="140"/>
        <v>2.4342321771130848</v>
      </c>
      <c r="S51" s="149">
        <f t="shared" si="141"/>
        <v>169.39400226780353</v>
      </c>
      <c r="T51" s="149">
        <f t="shared" si="142"/>
        <v>5</v>
      </c>
      <c r="U51" s="188">
        <f t="shared" si="143"/>
        <v>1.2287041749228464</v>
      </c>
      <c r="V51" s="188">
        <f t="shared" si="11"/>
        <v>0.30737620534802346</v>
      </c>
      <c r="W51" s="188">
        <f t="shared" si="144"/>
        <v>2.7210035786752322</v>
      </c>
      <c r="X51" s="172">
        <f t="shared" si="145"/>
        <v>350</v>
      </c>
      <c r="Y51" s="379">
        <f t="shared" si="14"/>
        <v>309.7528998753005</v>
      </c>
      <c r="AA51" s="188">
        <f t="shared" si="146"/>
        <v>1.159228236644265</v>
      </c>
      <c r="AB51" s="150">
        <f t="shared" si="147"/>
        <v>2.567146954317534</v>
      </c>
      <c r="AC51" s="150">
        <f t="shared" si="148"/>
        <v>0.52078411648553691</v>
      </c>
      <c r="AD51" s="150"/>
      <c r="AE51" s="150">
        <f t="shared" si="149"/>
        <v>2.214531076079473</v>
      </c>
      <c r="AF51" s="314">
        <f t="shared" si="150"/>
        <v>498.52540428309646</v>
      </c>
      <c r="AG51" s="456">
        <f t="shared" si="151"/>
        <v>0.38754293831390779</v>
      </c>
      <c r="AI51" s="150">
        <f t="shared" si="152"/>
        <v>1.1934648289546301</v>
      </c>
      <c r="AJ51" s="150">
        <f t="shared" si="153"/>
        <v>1.2287041749228464</v>
      </c>
      <c r="AK51" s="150">
        <f t="shared" si="154"/>
        <v>1.3694104999428491</v>
      </c>
      <c r="AM51" s="314">
        <f t="shared" si="155"/>
        <v>552</v>
      </c>
      <c r="AN51" s="144">
        <f t="shared" si="156"/>
        <v>309.7528998753005</v>
      </c>
      <c r="AP51">
        <f t="shared" si="157"/>
        <v>552</v>
      </c>
      <c r="AQ51" s="144">
        <f t="shared" si="158"/>
        <v>309.7528998753005</v>
      </c>
      <c r="AR51" s="144"/>
      <c r="AS51" s="5">
        <f t="shared" si="101"/>
        <v>3.2283797840232564</v>
      </c>
      <c r="AT51" s="5">
        <f t="shared" si="159"/>
        <v>0.30737620534802346</v>
      </c>
      <c r="AU51" s="5">
        <f t="shared" si="102"/>
        <v>2.9210035786752329</v>
      </c>
      <c r="AV51" s="5">
        <f t="shared" si="160"/>
        <v>2.7210035786752322</v>
      </c>
      <c r="AW51" s="150">
        <f t="shared" si="103"/>
        <v>9.521067095921612E-2</v>
      </c>
      <c r="AX51" s="150">
        <f t="shared" si="161"/>
        <v>2.8058296429884169</v>
      </c>
      <c r="AY51" s="150">
        <f t="shared" si="162"/>
        <v>0.55585921300902608</v>
      </c>
      <c r="AZ51" s="150">
        <f t="shared" si="104"/>
        <v>5.0477343494940969</v>
      </c>
      <c r="BA51" s="144">
        <f t="shared" si="163"/>
        <v>3.3934333070421792</v>
      </c>
      <c r="BB51" s="5">
        <f t="shared" si="164"/>
        <v>7.0027979223124981E-2</v>
      </c>
      <c r="BC51" s="5"/>
      <c r="BD51" s="150">
        <f t="shared" si="105"/>
        <v>0.21889181352576628</v>
      </c>
      <c r="BE51" s="150">
        <f t="shared" si="165"/>
        <v>0.67477726482818912</v>
      </c>
      <c r="BF51" s="150"/>
      <c r="BG51" s="456">
        <f t="shared" si="166"/>
        <v>9.5827252057197683E-4</v>
      </c>
      <c r="BH51" s="456">
        <f t="shared" si="167"/>
        <v>0.38120425879943026</v>
      </c>
      <c r="BI51" s="456">
        <f t="shared" si="168"/>
        <v>0.37146142868181609</v>
      </c>
      <c r="BJ51" s="456">
        <f t="shared" si="169"/>
        <v>8.8389951367217903E-2</v>
      </c>
      <c r="BK51">
        <f t="shared" si="170"/>
        <v>2.158593420421389E-2</v>
      </c>
      <c r="BL51" s="144">
        <f t="shared" si="106"/>
        <v>393.04736288602999</v>
      </c>
      <c r="BM51" s="456">
        <f t="shared" si="171"/>
        <v>0.47091843759166091</v>
      </c>
      <c r="BN51" s="144">
        <f t="shared" si="107"/>
        <v>470.9184375916609</v>
      </c>
      <c r="BO51" s="456">
        <f t="shared" si="172"/>
        <v>0.34293000000000001</v>
      </c>
      <c r="BP51" s="456"/>
      <c r="BR51" s="144">
        <f t="shared" si="109"/>
        <v>342.93</v>
      </c>
      <c r="BS51" s="456">
        <f t="shared" si="173"/>
        <v>1.4374087808579651E-3</v>
      </c>
      <c r="BT51" s="456">
        <f t="shared" si="174"/>
        <v>1.3659730713870362E-2</v>
      </c>
      <c r="BU51" s="456">
        <f t="shared" si="175"/>
        <v>4.1399999999999999E-2</v>
      </c>
      <c r="BV51" s="456">
        <f t="shared" si="176"/>
        <v>6.0193152527089434E-2</v>
      </c>
      <c r="BW51" s="456">
        <f t="shared" si="177"/>
        <v>4.676382738314029E-4</v>
      </c>
      <c r="BX51" s="144">
        <f t="shared" si="110"/>
        <v>60.660790800920836</v>
      </c>
      <c r="BY51" s="150">
        <f t="shared" si="45"/>
        <v>1.2675565912786118</v>
      </c>
      <c r="BZ51" s="5">
        <f t="shared" si="111"/>
        <v>2.7600000000000002</v>
      </c>
      <c r="CA51" s="150">
        <f t="shared" si="112"/>
        <v>0.68527901159144089</v>
      </c>
      <c r="CB51" s="5">
        <f t="shared" si="113"/>
        <v>68.527901159144093</v>
      </c>
      <c r="CE51" s="59">
        <f t="shared" si="178"/>
        <v>-50</v>
      </c>
      <c r="CF51">
        <f t="shared" si="179"/>
        <v>-50</v>
      </c>
      <c r="CG51" s="150">
        <f t="shared" si="180"/>
        <v>0.88299305555555563</v>
      </c>
      <c r="CI51" s="147">
        <v>46</v>
      </c>
      <c r="CJ51" s="188">
        <f t="shared" si="114"/>
        <v>0.55200000000000005</v>
      </c>
      <c r="CK51" s="188"/>
      <c r="CL51" s="188">
        <f t="shared" si="49"/>
        <v>2.7600000000000002</v>
      </c>
      <c r="CM51" s="465">
        <f t="shared" si="50"/>
        <v>48</v>
      </c>
      <c r="CN51" s="149">
        <f t="shared" si="51"/>
        <v>5.4</v>
      </c>
      <c r="CO51" s="379">
        <f t="shared" si="52"/>
        <v>53.4</v>
      </c>
      <c r="CP51" s="379"/>
      <c r="CQ51" s="188">
        <f t="shared" si="53"/>
        <v>0.10112359550561799</v>
      </c>
      <c r="CR51" s="149">
        <f t="shared" si="54"/>
        <v>12.426067415730339</v>
      </c>
      <c r="CS51" s="149">
        <f t="shared" si="115"/>
        <v>2.7600000000000002</v>
      </c>
      <c r="CT51" s="188">
        <f t="shared" si="55"/>
        <v>2.4852134831460679</v>
      </c>
      <c r="CU51" s="188">
        <f t="shared" si="56"/>
        <v>5</v>
      </c>
      <c r="CV51" s="188">
        <f t="shared" si="57"/>
        <v>2.4269662921348316</v>
      </c>
      <c r="CW51" s="149">
        <f t="shared" si="58"/>
        <v>169.50430913327233</v>
      </c>
      <c r="CX51" s="149">
        <f t="shared" si="59"/>
        <v>5</v>
      </c>
      <c r="CY51" s="188">
        <f t="shared" si="60"/>
        <v>1.1372222222222221</v>
      </c>
      <c r="CZ51" s="188">
        <f t="shared" si="61"/>
        <v>0.28430555555555553</v>
      </c>
      <c r="DA51" s="188">
        <f t="shared" si="62"/>
        <v>2.5271604938271603</v>
      </c>
      <c r="DB51" s="172">
        <f t="shared" si="63"/>
        <v>350</v>
      </c>
      <c r="DC51" s="379">
        <f t="shared" si="116"/>
        <v>350</v>
      </c>
      <c r="DE51" s="188">
        <f t="shared" si="64"/>
        <v>1.1556982343499198</v>
      </c>
      <c r="DF51" s="150">
        <f t="shared" si="65"/>
        <v>2.5682182985553772</v>
      </c>
      <c r="DG51" s="150">
        <f t="shared" si="66"/>
        <v>0.51941493678648076</v>
      </c>
      <c r="DH51" s="150"/>
      <c r="DI51" s="150">
        <f t="shared" si="67"/>
        <v>2.2222222222222219</v>
      </c>
      <c r="DJ51" s="314">
        <f t="shared" si="117"/>
        <v>496.80000000000007</v>
      </c>
      <c r="DK51" s="456">
        <f t="shared" si="68"/>
        <v>0.38888888888888884</v>
      </c>
      <c r="DM51" s="150">
        <f t="shared" si="69"/>
        <v>1.1913977385527352</v>
      </c>
      <c r="DN51" s="150">
        <f t="shared" si="70"/>
        <v>1.1372222222222221</v>
      </c>
      <c r="DO51" s="150">
        <f t="shared" si="71"/>
        <v>1.3016460905349794</v>
      </c>
      <c r="DQ51" s="314">
        <f t="shared" si="72"/>
        <v>552</v>
      </c>
      <c r="DR51" s="144">
        <f t="shared" si="73"/>
        <v>350</v>
      </c>
      <c r="DT51">
        <f t="shared" si="74"/>
        <v>552</v>
      </c>
      <c r="DU51" s="144">
        <f t="shared" si="75"/>
        <v>350</v>
      </c>
      <c r="DV51" s="144"/>
      <c r="DW51" s="5">
        <f t="shared" si="118"/>
        <v>2.8571428571428572</v>
      </c>
      <c r="DX51" s="5">
        <f t="shared" si="76"/>
        <v>0.28430555555555553</v>
      </c>
      <c r="DY51" s="5">
        <f t="shared" si="119"/>
        <v>2.5728373015873016</v>
      </c>
      <c r="DZ51" s="5">
        <f t="shared" si="77"/>
        <v>2.5271604938271603</v>
      </c>
      <c r="EA51" s="150">
        <f t="shared" si="120"/>
        <v>9.950694444444444E-2</v>
      </c>
      <c r="EB51" s="150">
        <f t="shared" si="78"/>
        <v>2.715876203703703</v>
      </c>
      <c r="EC51" s="150">
        <f t="shared" si="79"/>
        <v>0.51203035686728393</v>
      </c>
      <c r="ED51" s="150">
        <f t="shared" si="121"/>
        <v>5.3041312244063814</v>
      </c>
      <c r="EE51" s="144">
        <f t="shared" si="80"/>
        <v>3.1387333333333336</v>
      </c>
      <c r="EF51" s="5">
        <f t="shared" si="81"/>
        <v>6.1640893683862427E-2</v>
      </c>
      <c r="EG51" s="5"/>
      <c r="EH51" s="150">
        <f t="shared" si="122"/>
        <v>0.20711492956999267</v>
      </c>
      <c r="EI51" s="150">
        <f t="shared" si="82"/>
        <v>0.62305286040156072</v>
      </c>
      <c r="EJ51" s="150"/>
      <c r="EK51" s="456">
        <f t="shared" si="83"/>
        <v>8.5793188101566042E-4</v>
      </c>
      <c r="EL51" s="456">
        <f t="shared" si="84"/>
        <v>0.42509366666666665</v>
      </c>
      <c r="EM51" s="456">
        <f t="shared" si="85"/>
        <v>4.3749999999999997E-2</v>
      </c>
      <c r="EN51" s="456">
        <f t="shared" si="86"/>
        <v>9.9804599999999993E-2</v>
      </c>
      <c r="EO51">
        <f t="shared" si="87"/>
        <v>2.1600000000000001E-2</v>
      </c>
      <c r="EP51" s="144">
        <f t="shared" si="123"/>
        <v>65.349999999999994</v>
      </c>
      <c r="EQ51" s="456">
        <f t="shared" si="88"/>
        <v>0.59145840576652675</v>
      </c>
      <c r="ER51" s="144">
        <f t="shared" si="124"/>
        <v>591.45840576652677</v>
      </c>
      <c r="ES51" s="456">
        <f t="shared" si="125"/>
        <v>0.34293000000000001</v>
      </c>
      <c r="ET51" s="456"/>
      <c r="EV51" s="144">
        <f t="shared" si="126"/>
        <v>342.93</v>
      </c>
      <c r="EW51" s="456">
        <f t="shared" si="89"/>
        <v>1.2868978215234905E-3</v>
      </c>
      <c r="EX51" s="456">
        <f t="shared" si="90"/>
        <v>1.1645846005637001E-2</v>
      </c>
      <c r="EY51" s="456">
        <f t="shared" si="91"/>
        <v>0.15803506489432073</v>
      </c>
      <c r="EZ51" s="456">
        <f t="shared" si="92"/>
        <v>0.17425195170822574</v>
      </c>
      <c r="FA51" s="456">
        <f t="shared" si="93"/>
        <v>4.5264603395061729E-4</v>
      </c>
      <c r="FB51" s="144">
        <f t="shared" si="127"/>
        <v>174.70459774217636</v>
      </c>
      <c r="FC51" s="150">
        <f t="shared" si="128"/>
        <v>1.1090930035087032</v>
      </c>
      <c r="FD51" s="5">
        <f t="shared" si="129"/>
        <v>2.7600000000000002</v>
      </c>
      <c r="FE51" s="150">
        <f t="shared" si="130"/>
        <v>0.71334547851320262</v>
      </c>
      <c r="FF51" s="5">
        <f t="shared" si="131"/>
        <v>71.334547851320266</v>
      </c>
      <c r="FI51" s="59">
        <f t="shared" si="94"/>
        <v>-50</v>
      </c>
      <c r="FJ51">
        <f t="shared" si="95"/>
        <v>-50</v>
      </c>
      <c r="FL51">
        <f t="shared" si="181"/>
        <v>0.90049305555555559</v>
      </c>
    </row>
    <row r="52" spans="5:168">
      <c r="E52" s="147">
        <v>47</v>
      </c>
      <c r="F52" s="188">
        <f t="shared" si="182"/>
        <v>0.56399999999999995</v>
      </c>
      <c r="G52" s="188"/>
      <c r="H52" s="188">
        <f t="shared" si="132"/>
        <v>2.82</v>
      </c>
      <c r="I52" s="465">
        <f t="shared" si="133"/>
        <v>47.96800800402243</v>
      </c>
      <c r="J52" s="149">
        <f t="shared" si="134"/>
        <v>5.4191951975865438</v>
      </c>
      <c r="K52" s="149">
        <f t="shared" si="135"/>
        <v>53.419195197586546</v>
      </c>
      <c r="L52" s="379"/>
      <c r="M52" s="188">
        <f t="shared" si="136"/>
        <v>0.1015011257896382</v>
      </c>
      <c r="N52" s="149">
        <f t="shared" si="137"/>
        <v>12.46414544459431</v>
      </c>
      <c r="O52" s="149">
        <f t="shared" si="98"/>
        <v>2.82</v>
      </c>
      <c r="P52" s="188">
        <f t="shared" si="138"/>
        <v>2.492829088918862</v>
      </c>
      <c r="Q52" s="188">
        <f t="shared" si="139"/>
        <v>5</v>
      </c>
      <c r="R52" s="188">
        <f t="shared" si="140"/>
        <v>2.4344034071473262</v>
      </c>
      <c r="S52" s="149">
        <f t="shared" si="141"/>
        <v>164.77230572177626</v>
      </c>
      <c r="T52" s="149">
        <f t="shared" si="142"/>
        <v>5</v>
      </c>
      <c r="U52" s="188">
        <f t="shared" si="143"/>
        <v>1.2554272825231232</v>
      </c>
      <c r="V52" s="188">
        <f t="shared" si="11"/>
        <v>0.31406614569056462</v>
      </c>
      <c r="W52" s="188">
        <f t="shared" si="144"/>
        <v>2.7799565878318577</v>
      </c>
      <c r="X52" s="172">
        <f t="shared" si="145"/>
        <v>350</v>
      </c>
      <c r="Y52" s="379">
        <f t="shared" si="14"/>
        <v>303.58017563851553</v>
      </c>
      <c r="AA52" s="188">
        <f t="shared" si="146"/>
        <v>1.159311162797962</v>
      </c>
      <c r="AB52" s="150">
        <f t="shared" si="147"/>
        <v>2.567121767411364</v>
      </c>
      <c r="AC52" s="150">
        <f t="shared" si="148"/>
        <v>0.52081626121378488</v>
      </c>
      <c r="AD52" s="150"/>
      <c r="AE52" s="150">
        <f t="shared" si="149"/>
        <v>2.2143509437239386</v>
      </c>
      <c r="AF52" s="314">
        <f t="shared" si="150"/>
        <v>509.40434857313511</v>
      </c>
      <c r="AG52" s="456">
        <f t="shared" si="151"/>
        <v>0.3875114151516893</v>
      </c>
      <c r="AI52" s="150">
        <f t="shared" si="152"/>
        <v>1.2064165930238373</v>
      </c>
      <c r="AJ52" s="150">
        <f t="shared" si="153"/>
        <v>1.2554272825231232</v>
      </c>
      <c r="AK52" s="150">
        <f t="shared" si="154"/>
        <v>1.3892053944615728</v>
      </c>
      <c r="AM52" s="314">
        <f t="shared" si="155"/>
        <v>564</v>
      </c>
      <c r="AN52" s="144">
        <f t="shared" si="156"/>
        <v>303.58017563851553</v>
      </c>
      <c r="AP52">
        <f t="shared" si="157"/>
        <v>564</v>
      </c>
      <c r="AQ52" s="144">
        <f t="shared" si="158"/>
        <v>303.58017563851553</v>
      </c>
      <c r="AR52" s="144"/>
      <c r="AS52" s="5">
        <f t="shared" si="101"/>
        <v>3.2940227335224224</v>
      </c>
      <c r="AT52" s="5">
        <f t="shared" si="159"/>
        <v>0.31406614569056462</v>
      </c>
      <c r="AU52" s="5">
        <f t="shared" si="102"/>
        <v>2.9799565878318579</v>
      </c>
      <c r="AV52" s="5">
        <f t="shared" si="160"/>
        <v>2.7799565878318577</v>
      </c>
      <c r="AW52" s="150">
        <f t="shared" si="103"/>
        <v>9.5344255670853209E-2</v>
      </c>
      <c r="AX52" s="150">
        <f t="shared" si="161"/>
        <v>2.8708320297802197</v>
      </c>
      <c r="AY52" s="150">
        <f t="shared" si="162"/>
        <v>0.56786475136103698</v>
      </c>
      <c r="AZ52" s="150">
        <f t="shared" si="104"/>
        <v>5.055485523444653</v>
      </c>
      <c r="BA52" s="144">
        <f t="shared" si="163"/>
        <v>3.5426661233895684</v>
      </c>
      <c r="BB52" s="5">
        <f t="shared" si="164"/>
        <v>7.2995505471246849E-2</v>
      </c>
      <c r="BC52" s="5"/>
      <c r="BD52" s="150">
        <f t="shared" si="105"/>
        <v>0.22380933732359654</v>
      </c>
      <c r="BE52" s="150">
        <f t="shared" si="165"/>
        <v>0.68940210890396703</v>
      </c>
      <c r="BF52" s="150"/>
      <c r="BG52" s="456">
        <f t="shared" si="166"/>
        <v>1.0018123894645484E-3</v>
      </c>
      <c r="BH52" s="456">
        <f t="shared" si="167"/>
        <v>0.38173640837568906</v>
      </c>
      <c r="BI52" s="456">
        <f t="shared" si="168"/>
        <v>0.36405340737227121</v>
      </c>
      <c r="BJ52" s="456">
        <f t="shared" si="169"/>
        <v>8.6629955115895052E-2</v>
      </c>
      <c r="BK52">
        <f t="shared" si="170"/>
        <v>2.1585603601810093E-2</v>
      </c>
      <c r="BL52" s="144">
        <f t="shared" si="106"/>
        <v>385.63901097408132</v>
      </c>
      <c r="BM52" s="456">
        <f t="shared" si="171"/>
        <v>0.4697504802260129</v>
      </c>
      <c r="BN52" s="144">
        <f t="shared" si="107"/>
        <v>469.75048022601288</v>
      </c>
      <c r="BO52" s="456">
        <f t="shared" si="172"/>
        <v>0.35038499999999995</v>
      </c>
      <c r="BP52" s="456"/>
      <c r="BR52" s="144">
        <f t="shared" si="109"/>
        <v>350.38499999999993</v>
      </c>
      <c r="BS52" s="456">
        <f t="shared" si="173"/>
        <v>1.5027185841968225E-3</v>
      </c>
      <c r="BT52" s="456">
        <f t="shared" si="174"/>
        <v>1.4258258032837114E-2</v>
      </c>
      <c r="BU52" s="456">
        <f t="shared" si="175"/>
        <v>4.2299999999999997E-2</v>
      </c>
      <c r="BV52" s="456">
        <f t="shared" si="176"/>
        <v>6.1921686705622446E-2</v>
      </c>
      <c r="BW52" s="456">
        <f t="shared" si="177"/>
        <v>4.7847200496337002E-4</v>
      </c>
      <c r="BX52" s="144">
        <f t="shared" si="110"/>
        <v>62.400158710585814</v>
      </c>
      <c r="BY52" s="150">
        <f t="shared" si="45"/>
        <v>1.2681746499106799</v>
      </c>
      <c r="BZ52" s="5">
        <f t="shared" si="111"/>
        <v>2.82</v>
      </c>
      <c r="CA52" s="150">
        <f t="shared" si="112"/>
        <v>0.68979440495811806</v>
      </c>
      <c r="CB52" s="5">
        <f t="shared" si="113"/>
        <v>68.979440495811801</v>
      </c>
      <c r="CE52" s="59">
        <f t="shared" si="178"/>
        <v>-50</v>
      </c>
      <c r="CF52">
        <f t="shared" si="179"/>
        <v>-50</v>
      </c>
      <c r="CG52" s="150">
        <f t="shared" si="180"/>
        <v>0.88147047842121806</v>
      </c>
      <c r="CI52" s="147">
        <v>47</v>
      </c>
      <c r="CJ52" s="188">
        <f t="shared" si="114"/>
        <v>0.56399999999999995</v>
      </c>
      <c r="CK52" s="188"/>
      <c r="CL52" s="188">
        <f t="shared" si="49"/>
        <v>2.82</v>
      </c>
      <c r="CM52" s="465">
        <f t="shared" si="50"/>
        <v>48</v>
      </c>
      <c r="CN52" s="149">
        <f t="shared" si="51"/>
        <v>5.4</v>
      </c>
      <c r="CO52" s="379">
        <f t="shared" si="52"/>
        <v>53.4</v>
      </c>
      <c r="CP52" s="379"/>
      <c r="CQ52" s="188">
        <f t="shared" si="53"/>
        <v>0.10112359550561799</v>
      </c>
      <c r="CR52" s="149">
        <f t="shared" si="54"/>
        <v>12.426067415730339</v>
      </c>
      <c r="CS52" s="149">
        <f t="shared" si="115"/>
        <v>2.82</v>
      </c>
      <c r="CT52" s="188">
        <f t="shared" si="55"/>
        <v>2.4852134831460679</v>
      </c>
      <c r="CU52" s="188">
        <f t="shared" si="56"/>
        <v>5</v>
      </c>
      <c r="CV52" s="188">
        <f t="shared" si="57"/>
        <v>2.4269662921348316</v>
      </c>
      <c r="CW52" s="149">
        <f t="shared" si="58"/>
        <v>164.88212246038768</v>
      </c>
      <c r="CX52" s="149">
        <f t="shared" si="59"/>
        <v>5</v>
      </c>
      <c r="CY52" s="188">
        <f t="shared" si="60"/>
        <v>1.1619444444444442</v>
      </c>
      <c r="CZ52" s="188">
        <f t="shared" si="61"/>
        <v>0.29048611111111106</v>
      </c>
      <c r="DA52" s="188">
        <f t="shared" si="62"/>
        <v>2.5820987654320979</v>
      </c>
      <c r="DB52" s="172">
        <f t="shared" si="63"/>
        <v>350</v>
      </c>
      <c r="DC52" s="379">
        <f t="shared" si="116"/>
        <v>348.11852146327976</v>
      </c>
      <c r="DE52" s="188">
        <f t="shared" si="64"/>
        <v>1.1556982343499198</v>
      </c>
      <c r="DF52" s="150">
        <f t="shared" si="65"/>
        <v>2.5682182985553772</v>
      </c>
      <c r="DG52" s="150">
        <f t="shared" si="66"/>
        <v>0.51941493678648076</v>
      </c>
      <c r="DH52" s="150"/>
      <c r="DI52" s="150">
        <f t="shared" si="67"/>
        <v>2.2222222222222219</v>
      </c>
      <c r="DJ52" s="314">
        <f t="shared" si="117"/>
        <v>507.6</v>
      </c>
      <c r="DK52" s="456">
        <f t="shared" si="68"/>
        <v>0.38888888888888884</v>
      </c>
      <c r="DM52" s="150">
        <f t="shared" si="69"/>
        <v>1.2042780884354387</v>
      </c>
      <c r="DN52" s="150">
        <f t="shared" si="70"/>
        <v>1.1619444444444442</v>
      </c>
      <c r="DO52" s="150">
        <f t="shared" si="71"/>
        <v>1.3199588477366253</v>
      </c>
      <c r="DQ52" s="314">
        <f t="shared" si="72"/>
        <v>564</v>
      </c>
      <c r="DR52" s="144">
        <f t="shared" si="73"/>
        <v>348.11852146327976</v>
      </c>
      <c r="DT52">
        <f t="shared" si="74"/>
        <v>564</v>
      </c>
      <c r="DU52" s="144">
        <f t="shared" si="75"/>
        <v>348.11852146327976</v>
      </c>
      <c r="DV52" s="144"/>
      <c r="DW52" s="5">
        <f t="shared" si="118"/>
        <v>2.8725848765432094</v>
      </c>
      <c r="DX52" s="5">
        <f t="shared" si="76"/>
        <v>0.29048611111111106</v>
      </c>
      <c r="DY52" s="5">
        <f t="shared" si="119"/>
        <v>2.5820987654320984</v>
      </c>
      <c r="DZ52" s="5">
        <f t="shared" si="77"/>
        <v>2.5820987654320979</v>
      </c>
      <c r="EA52" s="150">
        <f t="shared" si="120"/>
        <v>0.10112359550561797</v>
      </c>
      <c r="EB52" s="150">
        <f t="shared" si="78"/>
        <v>2.8199999999999994</v>
      </c>
      <c r="EC52" s="150">
        <f t="shared" si="79"/>
        <v>0.52222222222222214</v>
      </c>
      <c r="ED52" s="150">
        <f t="shared" si="121"/>
        <v>5.3999999999999995</v>
      </c>
      <c r="EE52" s="144">
        <f t="shared" si="80"/>
        <v>3.2766833333333323</v>
      </c>
      <c r="EF52" s="5">
        <f t="shared" si="81"/>
        <v>6.3207626028806557E-2</v>
      </c>
      <c r="EG52" s="5"/>
      <c r="EH52" s="150">
        <f t="shared" si="122"/>
        <v>0.21332953555647358</v>
      </c>
      <c r="EI52" s="150">
        <f t="shared" si="82"/>
        <v>0.63602579081697785</v>
      </c>
      <c r="EJ52" s="150"/>
      <c r="EK52" s="456">
        <f t="shared" si="83"/>
        <v>9.1018981481481452E-4</v>
      </c>
      <c r="EL52" s="456">
        <f t="shared" si="84"/>
        <v>0.432</v>
      </c>
      <c r="EM52" s="456">
        <f t="shared" si="85"/>
        <v>4.351481518290997E-2</v>
      </c>
      <c r="EN52" s="456">
        <f t="shared" si="86"/>
        <v>9.9268085106383006E-2</v>
      </c>
      <c r="EO52">
        <f t="shared" si="87"/>
        <v>2.1600000000000001E-2</v>
      </c>
      <c r="EP52" s="144">
        <f t="shared" si="123"/>
        <v>65.114815182909965</v>
      </c>
      <c r="EQ52" s="456">
        <f t="shared" si="88"/>
        <v>0.59766809371348906</v>
      </c>
      <c r="ER52" s="144">
        <f t="shared" si="124"/>
        <v>597.66809371348904</v>
      </c>
      <c r="ES52" s="456">
        <f t="shared" si="125"/>
        <v>0.35038499999999995</v>
      </c>
      <c r="ET52" s="456"/>
      <c r="EV52" s="144">
        <f t="shared" si="126"/>
        <v>350.38499999999993</v>
      </c>
      <c r="EW52" s="456">
        <f t="shared" si="89"/>
        <v>1.3652847222222217E-3</v>
      </c>
      <c r="EX52" s="456">
        <f t="shared" si="90"/>
        <v>1.2135864197530861E-2</v>
      </c>
      <c r="EY52" s="456">
        <f t="shared" si="91"/>
        <v>0.16453232685410416</v>
      </c>
      <c r="EZ52" s="456">
        <f t="shared" si="92"/>
        <v>0.18146975553010544</v>
      </c>
      <c r="FA52" s="456">
        <f t="shared" si="93"/>
        <v>4.6999999999999993E-4</v>
      </c>
      <c r="FB52" s="144">
        <f t="shared" si="127"/>
        <v>181.93975553010543</v>
      </c>
      <c r="FC52" s="150">
        <f t="shared" si="128"/>
        <v>1.1299928492435944</v>
      </c>
      <c r="FD52" s="5">
        <f t="shared" si="129"/>
        <v>2.82</v>
      </c>
      <c r="FE52" s="150">
        <f t="shared" si="130"/>
        <v>0.71392534306486577</v>
      </c>
      <c r="FF52" s="5">
        <f t="shared" si="131"/>
        <v>71.392534306486581</v>
      </c>
      <c r="FI52" s="59">
        <f t="shared" si="94"/>
        <v>-50</v>
      </c>
      <c r="FJ52">
        <f t="shared" si="95"/>
        <v>-50</v>
      </c>
      <c r="FL52">
        <f t="shared" si="181"/>
        <v>0.898876404494382</v>
      </c>
    </row>
    <row r="53" spans="5:168">
      <c r="E53" s="147">
        <v>48</v>
      </c>
      <c r="F53" s="188">
        <f t="shared" si="182"/>
        <v>0.57599999999999996</v>
      </c>
      <c r="G53" s="188"/>
      <c r="H53" s="188">
        <f t="shared" si="132"/>
        <v>2.88</v>
      </c>
      <c r="I53" s="465">
        <f t="shared" si="133"/>
        <v>47.967340758768792</v>
      </c>
      <c r="J53" s="149">
        <f t="shared" si="134"/>
        <v>5.4195955447387263</v>
      </c>
      <c r="K53" s="149">
        <f t="shared" si="135"/>
        <v>53.419595544738726</v>
      </c>
      <c r="L53" s="379"/>
      <c r="M53" s="188">
        <f t="shared" si="136"/>
        <v>0.10150913482609664</v>
      </c>
      <c r="N53" s="149">
        <f t="shared" si="137"/>
        <v>12.464955546447825</v>
      </c>
      <c r="O53" s="149">
        <f t="shared" si="98"/>
        <v>2.88</v>
      </c>
      <c r="P53" s="188">
        <f t="shared" si="138"/>
        <v>2.4929911092895649</v>
      </c>
      <c r="Q53" s="188">
        <f t="shared" si="139"/>
        <v>5</v>
      </c>
      <c r="R53" s="188">
        <f t="shared" si="140"/>
        <v>2.4345616301655908</v>
      </c>
      <c r="S53" s="149">
        <f t="shared" si="141"/>
        <v>160.34360600067541</v>
      </c>
      <c r="T53" s="149">
        <f t="shared" si="142"/>
        <v>5</v>
      </c>
      <c r="U53" s="188">
        <f t="shared" si="143"/>
        <v>1.2821499301242532</v>
      </c>
      <c r="V53" s="188">
        <f t="shared" si="11"/>
        <v>0.32075572500187843</v>
      </c>
      <c r="W53" s="188">
        <f t="shared" si="144"/>
        <v>2.8389201803864079</v>
      </c>
      <c r="X53" s="172">
        <f t="shared" si="145"/>
        <v>350</v>
      </c>
      <c r="Y53" s="379">
        <f t="shared" si="14"/>
        <v>297.64775774835562</v>
      </c>
      <c r="AA53" s="188">
        <f t="shared" si="146"/>
        <v>1.159386476440073</v>
      </c>
      <c r="AB53" s="150">
        <f t="shared" si="147"/>
        <v>2.567098891869724</v>
      </c>
      <c r="AC53" s="150">
        <f t="shared" si="148"/>
        <v>0.52084545431065965</v>
      </c>
      <c r="AD53" s="150"/>
      <c r="AE53" s="150">
        <f t="shared" si="149"/>
        <v>2.2141873689540259</v>
      </c>
      <c r="AF53" s="314">
        <f t="shared" si="150"/>
        <v>520.28117229491772</v>
      </c>
      <c r="AG53" s="456">
        <f t="shared" si="151"/>
        <v>0.38748278956695448</v>
      </c>
      <c r="AI53" s="150">
        <f t="shared" si="152"/>
        <v>1.2192282949178699</v>
      </c>
      <c r="AJ53" s="150">
        <f t="shared" si="153"/>
        <v>1.2821499301242532</v>
      </c>
      <c r="AK53" s="150">
        <f t="shared" si="154"/>
        <v>1.4089999482401874</v>
      </c>
      <c r="AM53" s="314">
        <f t="shared" si="155"/>
        <v>576</v>
      </c>
      <c r="AN53" s="144">
        <f t="shared" si="156"/>
        <v>297.64775774835562</v>
      </c>
      <c r="AP53">
        <f t="shared" si="157"/>
        <v>576</v>
      </c>
      <c r="AQ53" s="144">
        <f t="shared" si="158"/>
        <v>297.64775774835562</v>
      </c>
      <c r="AR53" s="144"/>
      <c r="AS53" s="5">
        <f t="shared" si="101"/>
        <v>3.3596759053882863</v>
      </c>
      <c r="AT53" s="5">
        <f t="shared" si="159"/>
        <v>0.32075572500187843</v>
      </c>
      <c r="AU53" s="5">
        <f t="shared" si="102"/>
        <v>3.0389201803864081</v>
      </c>
      <c r="AV53" s="5">
        <f t="shared" si="160"/>
        <v>2.8389201803864079</v>
      </c>
      <c r="AW53" s="150">
        <f t="shared" si="103"/>
        <v>9.5472222331757284E-2</v>
      </c>
      <c r="AX53" s="150">
        <f t="shared" si="161"/>
        <v>2.9358339725824889</v>
      </c>
      <c r="AY53" s="150">
        <f t="shared" si="162"/>
        <v>0.57987011346639172</v>
      </c>
      <c r="AZ53" s="150">
        <f t="shared" si="104"/>
        <v>5.0629165125142199</v>
      </c>
      <c r="BA53" s="144">
        <f t="shared" si="163"/>
        <v>3.6951059520216396</v>
      </c>
      <c r="BB53" s="5">
        <f t="shared" si="164"/>
        <v>7.6024731802482592E-2</v>
      </c>
      <c r="BC53" s="5"/>
      <c r="BD53" s="150">
        <f t="shared" si="105"/>
        <v>0.22872661439184958</v>
      </c>
      <c r="BE53" s="150">
        <f t="shared" si="165"/>
        <v>0.70402671609443757</v>
      </c>
      <c r="BF53" s="150"/>
      <c r="BG53" s="456">
        <f t="shared" si="166"/>
        <v>1.046317282623157E-3</v>
      </c>
      <c r="BH53" s="456">
        <f t="shared" si="167"/>
        <v>0.38224630491015787</v>
      </c>
      <c r="BI53" s="456">
        <f t="shared" si="168"/>
        <v>0.35693428554997092</v>
      </c>
      <c r="BJ53" s="456">
        <f t="shared" si="169"/>
        <v>8.4938347284830323E-2</v>
      </c>
      <c r="BK53">
        <f t="shared" si="170"/>
        <v>2.1585303341445955E-2</v>
      </c>
      <c r="BL53" s="144">
        <f t="shared" si="106"/>
        <v>378.5195888914169</v>
      </c>
      <c r="BM53" s="456">
        <f t="shared" si="171"/>
        <v>0.46862997889342617</v>
      </c>
      <c r="BN53" s="144">
        <f t="shared" si="107"/>
        <v>468.62997889342614</v>
      </c>
      <c r="BO53" s="456">
        <f t="shared" si="172"/>
        <v>0.35783999999999994</v>
      </c>
      <c r="BP53" s="456"/>
      <c r="BR53" s="144">
        <f t="shared" si="109"/>
        <v>357.83999999999992</v>
      </c>
      <c r="BS53" s="456">
        <f t="shared" si="173"/>
        <v>1.5694759239347354E-3</v>
      </c>
      <c r="BT53" s="456">
        <f t="shared" si="174"/>
        <v>1.4869608509241532E-2</v>
      </c>
      <c r="BU53" s="456">
        <f t="shared" si="175"/>
        <v>4.3199999999999995E-2</v>
      </c>
      <c r="BV53" s="456">
        <f t="shared" si="176"/>
        <v>6.36681964457049E-2</v>
      </c>
      <c r="BW53" s="456">
        <f t="shared" si="177"/>
        <v>4.8930566209708158E-4</v>
      </c>
      <c r="BX53" s="144">
        <f t="shared" si="110"/>
        <v>64.157502107801974</v>
      </c>
      <c r="BY53" s="150">
        <f t="shared" si="45"/>
        <v>1.2691470698926448</v>
      </c>
      <c r="BZ53" s="5">
        <f t="shared" si="111"/>
        <v>2.88</v>
      </c>
      <c r="CA53" s="150">
        <f t="shared" si="112"/>
        <v>0.69411856255905557</v>
      </c>
      <c r="CB53" s="5">
        <f t="shared" si="113"/>
        <v>69.411856255905562</v>
      </c>
      <c r="CE53" s="59">
        <f t="shared" si="178"/>
        <v>-50</v>
      </c>
      <c r="CF53">
        <f t="shared" si="179"/>
        <v>-50</v>
      </c>
      <c r="CG53" s="150">
        <f t="shared" si="180"/>
        <v>0.88183310188107555</v>
      </c>
      <c r="CI53" s="147">
        <v>48</v>
      </c>
      <c r="CJ53" s="188">
        <f t="shared" si="114"/>
        <v>0.57599999999999996</v>
      </c>
      <c r="CK53" s="188"/>
      <c r="CL53" s="188">
        <f t="shared" si="49"/>
        <v>2.88</v>
      </c>
      <c r="CM53" s="465">
        <f t="shared" si="50"/>
        <v>48</v>
      </c>
      <c r="CN53" s="149">
        <f t="shared" si="51"/>
        <v>5.4</v>
      </c>
      <c r="CO53" s="379">
        <f t="shared" si="52"/>
        <v>53.4</v>
      </c>
      <c r="CP53" s="379"/>
      <c r="CQ53" s="188">
        <f t="shared" si="53"/>
        <v>0.10112359550561799</v>
      </c>
      <c r="CR53" s="149">
        <f t="shared" si="54"/>
        <v>12.426067415730339</v>
      </c>
      <c r="CS53" s="149">
        <f t="shared" si="115"/>
        <v>2.88</v>
      </c>
      <c r="CT53" s="188">
        <f t="shared" si="55"/>
        <v>2.4852134831460679</v>
      </c>
      <c r="CU53" s="188">
        <f t="shared" si="56"/>
        <v>5</v>
      </c>
      <c r="CV53" s="188">
        <f t="shared" si="57"/>
        <v>2.4269662921348316</v>
      </c>
      <c r="CW53" s="149">
        <f t="shared" si="58"/>
        <v>160.4526972006116</v>
      </c>
      <c r="CX53" s="149">
        <f t="shared" si="59"/>
        <v>5</v>
      </c>
      <c r="CY53" s="188">
        <f t="shared" si="60"/>
        <v>1.1866666666666665</v>
      </c>
      <c r="CZ53" s="188">
        <f t="shared" si="61"/>
        <v>0.29666666666666663</v>
      </c>
      <c r="DA53" s="188">
        <f t="shared" si="62"/>
        <v>2.6370370370370368</v>
      </c>
      <c r="DB53" s="172">
        <f t="shared" si="63"/>
        <v>350</v>
      </c>
      <c r="DC53" s="379">
        <f t="shared" si="116"/>
        <v>340.86605226612807</v>
      </c>
      <c r="DE53" s="188">
        <f t="shared" si="64"/>
        <v>1.1556982343499198</v>
      </c>
      <c r="DF53" s="150">
        <f t="shared" si="65"/>
        <v>2.5682182985553772</v>
      </c>
      <c r="DG53" s="150">
        <f t="shared" si="66"/>
        <v>0.51941493678648076</v>
      </c>
      <c r="DH53" s="150"/>
      <c r="DI53" s="150">
        <f t="shared" si="67"/>
        <v>2.2222222222222219</v>
      </c>
      <c r="DJ53" s="314">
        <f t="shared" si="117"/>
        <v>518.4</v>
      </c>
      <c r="DK53" s="456">
        <f t="shared" si="68"/>
        <v>0.38888888888888884</v>
      </c>
      <c r="DM53" s="150">
        <f t="shared" si="69"/>
        <v>1.217022126809064</v>
      </c>
      <c r="DN53" s="150">
        <f t="shared" si="70"/>
        <v>1.1866666666666665</v>
      </c>
      <c r="DO53" s="150">
        <f t="shared" si="71"/>
        <v>1.3382716049382715</v>
      </c>
      <c r="DQ53" s="314">
        <f t="shared" si="72"/>
        <v>576</v>
      </c>
      <c r="DR53" s="144">
        <f t="shared" si="73"/>
        <v>340.86605226612807</v>
      </c>
      <c r="DT53">
        <f t="shared" si="74"/>
        <v>576</v>
      </c>
      <c r="DU53" s="144">
        <f t="shared" si="75"/>
        <v>340.86605226612807</v>
      </c>
      <c r="DV53" s="144"/>
      <c r="DW53" s="5">
        <f t="shared" si="118"/>
        <v>2.9337037037037033</v>
      </c>
      <c r="DX53" s="5">
        <f t="shared" si="76"/>
        <v>0.29666666666666663</v>
      </c>
      <c r="DY53" s="5">
        <f t="shared" si="119"/>
        <v>2.6370370370370368</v>
      </c>
      <c r="DZ53" s="5">
        <f t="shared" si="77"/>
        <v>2.6370370370370368</v>
      </c>
      <c r="EA53" s="150">
        <f t="shared" si="120"/>
        <v>0.10112359550561799</v>
      </c>
      <c r="EB53" s="150">
        <f t="shared" si="78"/>
        <v>2.88</v>
      </c>
      <c r="EC53" s="150">
        <f t="shared" si="79"/>
        <v>0.53333333333333321</v>
      </c>
      <c r="ED53" s="150">
        <f t="shared" si="121"/>
        <v>5.4000000000000012</v>
      </c>
      <c r="EE53" s="144">
        <f t="shared" si="80"/>
        <v>3.4175999999999993</v>
      </c>
      <c r="EF53" s="5">
        <f t="shared" si="81"/>
        <v>6.5925925925925916E-2</v>
      </c>
      <c r="EG53" s="5"/>
      <c r="EH53" s="150">
        <f t="shared" si="122"/>
        <v>0.21786846184490921</v>
      </c>
      <c r="EI53" s="150">
        <f t="shared" si="82"/>
        <v>0.6495582544513816</v>
      </c>
      <c r="EJ53" s="150"/>
      <c r="EK53" s="456">
        <f t="shared" si="83"/>
        <v>9.4933333333333328E-4</v>
      </c>
      <c r="EL53" s="456">
        <f t="shared" si="84"/>
        <v>0.432</v>
      </c>
      <c r="EM53" s="456">
        <f t="shared" si="85"/>
        <v>4.2608256533266005E-2</v>
      </c>
      <c r="EN53" s="456">
        <f t="shared" si="86"/>
        <v>9.7200000000000009E-2</v>
      </c>
      <c r="EO53">
        <f t="shared" si="87"/>
        <v>2.1600000000000001E-2</v>
      </c>
      <c r="EP53" s="144">
        <f t="shared" si="123"/>
        <v>64.20825653326601</v>
      </c>
      <c r="EQ53" s="456">
        <f t="shared" si="88"/>
        <v>0.5947480621911041</v>
      </c>
      <c r="ER53" s="144">
        <f t="shared" si="124"/>
        <v>594.74806219110405</v>
      </c>
      <c r="ES53" s="456">
        <f t="shared" si="125"/>
        <v>0.35783999999999994</v>
      </c>
      <c r="ET53" s="456"/>
      <c r="EV53" s="144">
        <f t="shared" si="126"/>
        <v>357.83999999999992</v>
      </c>
      <c r="EW53" s="456">
        <f t="shared" si="89"/>
        <v>1.4239999999999999E-3</v>
      </c>
      <c r="EX53" s="456">
        <f t="shared" si="90"/>
        <v>1.2657777777777775E-2</v>
      </c>
      <c r="EY53" s="456">
        <f t="shared" si="91"/>
        <v>0.16453232685410385</v>
      </c>
      <c r="EZ53" s="456">
        <f t="shared" si="92"/>
        <v>0.18219898614929153</v>
      </c>
      <c r="FA53" s="456">
        <f t="shared" si="93"/>
        <v>4.8000000000000007E-4</v>
      </c>
      <c r="FB53" s="144">
        <f t="shared" si="127"/>
        <v>182.67898614929155</v>
      </c>
      <c r="FC53" s="150">
        <f t="shared" si="128"/>
        <v>1.1352670483403955</v>
      </c>
      <c r="FD53" s="5">
        <f t="shared" si="129"/>
        <v>2.88</v>
      </c>
      <c r="FE53" s="150">
        <f t="shared" si="130"/>
        <v>0.71726238014240473</v>
      </c>
      <c r="FF53" s="5">
        <f t="shared" si="131"/>
        <v>71.726238014240479</v>
      </c>
      <c r="FI53" s="59">
        <f t="shared" si="94"/>
        <v>-50</v>
      </c>
      <c r="FJ53">
        <f t="shared" si="95"/>
        <v>-50</v>
      </c>
      <c r="FL53">
        <f t="shared" si="181"/>
        <v>0.898876404494382</v>
      </c>
    </row>
    <row r="54" spans="5:168">
      <c r="E54" s="147">
        <v>49</v>
      </c>
      <c r="F54" s="188">
        <f t="shared" si="182"/>
        <v>0.58799999999999997</v>
      </c>
      <c r="G54" s="188"/>
      <c r="H54" s="188">
        <f t="shared" si="132"/>
        <v>2.94</v>
      </c>
      <c r="I54" s="465">
        <f t="shared" si="133"/>
        <v>47.966673502920564</v>
      </c>
      <c r="J54" s="149">
        <f t="shared" si="134"/>
        <v>5.4199958982476639</v>
      </c>
      <c r="K54" s="149">
        <f t="shared" si="135"/>
        <v>53.419995898247663</v>
      </c>
      <c r="L54" s="379"/>
      <c r="M54" s="188">
        <f t="shared" si="136"/>
        <v>0.10151714396273578</v>
      </c>
      <c r="N54" s="149">
        <f t="shared" si="137"/>
        <v>12.4657656304884</v>
      </c>
      <c r="O54" s="149">
        <f t="shared" si="98"/>
        <v>2.94</v>
      </c>
      <c r="P54" s="188">
        <f t="shared" si="138"/>
        <v>2.4931531260976802</v>
      </c>
      <c r="Q54" s="188">
        <f t="shared" si="139"/>
        <v>5</v>
      </c>
      <c r="R54" s="188">
        <f t="shared" si="140"/>
        <v>2.4347198497047651</v>
      </c>
      <c r="S54" s="149">
        <f t="shared" si="141"/>
        <v>156.09586662443954</v>
      </c>
      <c r="T54" s="149">
        <f t="shared" si="142"/>
        <v>5</v>
      </c>
      <c r="U54" s="188">
        <f t="shared" si="143"/>
        <v>1.3088730542803209</v>
      </c>
      <c r="V54" s="188">
        <f t="shared" si="11"/>
        <v>0.32744560971916314</v>
      </c>
      <c r="W54" s="188">
        <f t="shared" si="144"/>
        <v>2.8978761139730573</v>
      </c>
      <c r="X54" s="172">
        <f t="shared" si="145"/>
        <v>350</v>
      </c>
      <c r="Y54" s="379">
        <f t="shared" si="14"/>
        <v>291.9433795322679</v>
      </c>
      <c r="AA54" s="188">
        <f t="shared" si="146"/>
        <v>1.1594617896483161</v>
      </c>
      <c r="AB54" s="150">
        <f t="shared" si="147"/>
        <v>2.5670760157361325</v>
      </c>
      <c r="AC54" s="150">
        <f t="shared" si="148"/>
        <v>0.52087464648951998</v>
      </c>
      <c r="AD54" s="150"/>
      <c r="AE54" s="150">
        <f t="shared" si="149"/>
        <v>2.21402381575228</v>
      </c>
      <c r="AF54" s="314">
        <f t="shared" si="150"/>
        <v>531.15959802827115</v>
      </c>
      <c r="AG54" s="456">
        <f t="shared" si="151"/>
        <v>0.38745416775664898</v>
      </c>
      <c r="AI54" s="150">
        <f t="shared" si="152"/>
        <v>1.2319086214120534</v>
      </c>
      <c r="AJ54" s="150">
        <f t="shared" si="153"/>
        <v>1.3088730542803209</v>
      </c>
      <c r="AK54" s="150">
        <f t="shared" si="154"/>
        <v>1.4287948550224598</v>
      </c>
      <c r="AM54" s="314">
        <f t="shared" si="155"/>
        <v>588</v>
      </c>
      <c r="AN54" s="144">
        <f t="shared" si="156"/>
        <v>291.9433795322679</v>
      </c>
      <c r="AP54">
        <f t="shared" si="157"/>
        <v>588</v>
      </c>
      <c r="AQ54" s="144">
        <f t="shared" si="158"/>
        <v>291.9433795322679</v>
      </c>
      <c r="AR54" s="144"/>
      <c r="AS54" s="5">
        <f t="shared" si="101"/>
        <v>3.4253217236922207</v>
      </c>
      <c r="AT54" s="5">
        <f t="shared" si="159"/>
        <v>0.32744560971916314</v>
      </c>
      <c r="AU54" s="5">
        <f t="shared" si="102"/>
        <v>3.0978761139730575</v>
      </c>
      <c r="AV54" s="5">
        <f t="shared" si="160"/>
        <v>2.8978761139730573</v>
      </c>
      <c r="AW54" s="150">
        <f t="shared" si="103"/>
        <v>9.5595577914416516E-2</v>
      </c>
      <c r="AX54" s="150">
        <f t="shared" si="161"/>
        <v>3.0008544780566648</v>
      </c>
      <c r="AY54" s="150">
        <f t="shared" si="162"/>
        <v>0.59187528911989307</v>
      </c>
      <c r="AZ54" s="150">
        <f t="shared" si="104"/>
        <v>5.0700790068780819</v>
      </c>
      <c r="BA54" s="144">
        <f t="shared" si="163"/>
        <v>3.8507603702973587</v>
      </c>
      <c r="BB54" s="5">
        <f t="shared" si="164"/>
        <v>7.9115309911702195E-2</v>
      </c>
      <c r="BC54" s="5"/>
      <c r="BD54" s="150">
        <f t="shared" si="105"/>
        <v>0.23364462856675519</v>
      </c>
      <c r="BE54" s="150">
        <f t="shared" si="165"/>
        <v>0.71865133754062893</v>
      </c>
      <c r="BF54" s="150"/>
      <c r="BG54" s="456">
        <f t="shared" si="166"/>
        <v>1.0917962491619399E-3</v>
      </c>
      <c r="BH54" s="456">
        <f t="shared" si="167"/>
        <v>0.38273773329465632</v>
      </c>
      <c r="BI54" s="456">
        <f t="shared" si="168"/>
        <v>0.35008881918408791</v>
      </c>
      <c r="BJ54" s="456">
        <f t="shared" si="169"/>
        <v>8.3311764323636822E-2</v>
      </c>
      <c r="BK54">
        <f t="shared" si="170"/>
        <v>2.1585003076314252E-2</v>
      </c>
      <c r="BL54" s="144">
        <f t="shared" si="106"/>
        <v>371.67382226040212</v>
      </c>
      <c r="BM54" s="456">
        <f t="shared" si="171"/>
        <v>0.46755736828044409</v>
      </c>
      <c r="BN54" s="144">
        <f t="shared" si="107"/>
        <v>467.55736828044411</v>
      </c>
      <c r="BO54" s="456">
        <f t="shared" si="172"/>
        <v>0.36529499999999993</v>
      </c>
      <c r="BP54" s="456"/>
      <c r="BR54" s="144">
        <f t="shared" si="109"/>
        <v>365.2949999999999</v>
      </c>
      <c r="BS54" s="456">
        <f t="shared" si="173"/>
        <v>1.63769437374291E-3</v>
      </c>
      <c r="BT54" s="456">
        <f t="shared" si="174"/>
        <v>1.5493792348468049E-2</v>
      </c>
      <c r="BU54" s="456">
        <f t="shared" si="175"/>
        <v>4.41E-2</v>
      </c>
      <c r="BV54" s="456">
        <f t="shared" si="176"/>
        <v>6.5432720317887508E-2</v>
      </c>
      <c r="BW54" s="456">
        <f t="shared" si="177"/>
        <v>5.0014241300944421E-4</v>
      </c>
      <c r="BX54" s="144">
        <f t="shared" si="110"/>
        <v>65.932862730896943</v>
      </c>
      <c r="BY54" s="150">
        <f t="shared" si="45"/>
        <v>1.2704590532717432</v>
      </c>
      <c r="BZ54" s="5">
        <f t="shared" si="111"/>
        <v>2.94</v>
      </c>
      <c r="CA54" s="150">
        <f t="shared" si="112"/>
        <v>0.69826115461578209</v>
      </c>
      <c r="CB54" s="5">
        <f t="shared" si="113"/>
        <v>69.826115461578212</v>
      </c>
      <c r="CE54" s="59">
        <f t="shared" si="178"/>
        <v>-50</v>
      </c>
      <c r="CF54">
        <f t="shared" si="179"/>
        <v>-50</v>
      </c>
      <c r="CG54" s="150">
        <f t="shared" si="180"/>
        <v>0.88218092438338802</v>
      </c>
      <c r="CI54" s="147">
        <v>49</v>
      </c>
      <c r="CJ54" s="188">
        <f t="shared" si="114"/>
        <v>0.58799999999999997</v>
      </c>
      <c r="CK54" s="188"/>
      <c r="CL54" s="188">
        <f t="shared" si="49"/>
        <v>2.94</v>
      </c>
      <c r="CM54" s="465">
        <f t="shared" si="50"/>
        <v>48</v>
      </c>
      <c r="CN54" s="149">
        <f t="shared" si="51"/>
        <v>5.4</v>
      </c>
      <c r="CO54" s="379">
        <f t="shared" si="52"/>
        <v>53.4</v>
      </c>
      <c r="CP54" s="379"/>
      <c r="CQ54" s="188">
        <f t="shared" si="53"/>
        <v>0.10112359550561799</v>
      </c>
      <c r="CR54" s="149">
        <f t="shared" si="54"/>
        <v>12.426067415730339</v>
      </c>
      <c r="CS54" s="149">
        <f t="shared" si="115"/>
        <v>2.94</v>
      </c>
      <c r="CT54" s="188">
        <f t="shared" si="55"/>
        <v>2.4852134831460679</v>
      </c>
      <c r="CU54" s="188">
        <f t="shared" si="56"/>
        <v>5</v>
      </c>
      <c r="CV54" s="188">
        <f t="shared" si="57"/>
        <v>2.4269662921348316</v>
      </c>
      <c r="CW54" s="149">
        <f t="shared" si="58"/>
        <v>156.20423470170041</v>
      </c>
      <c r="CX54" s="149">
        <f t="shared" si="59"/>
        <v>5</v>
      </c>
      <c r="CY54" s="188">
        <f t="shared" si="60"/>
        <v>1.2113888888888888</v>
      </c>
      <c r="CZ54" s="188">
        <f t="shared" si="61"/>
        <v>0.30284722222222221</v>
      </c>
      <c r="DA54" s="188">
        <f t="shared" si="62"/>
        <v>2.6919753086419753</v>
      </c>
      <c r="DB54" s="172">
        <f t="shared" si="63"/>
        <v>350</v>
      </c>
      <c r="DC54" s="379">
        <f t="shared" si="116"/>
        <v>333.90960221988047</v>
      </c>
      <c r="DE54" s="188">
        <f t="shared" si="64"/>
        <v>1.1556982343499198</v>
      </c>
      <c r="DF54" s="150">
        <f t="shared" si="65"/>
        <v>2.5682182985553772</v>
      </c>
      <c r="DG54" s="150">
        <f t="shared" si="66"/>
        <v>0.51941493678648076</v>
      </c>
      <c r="DH54" s="150"/>
      <c r="DI54" s="150">
        <f t="shared" si="67"/>
        <v>2.2222222222222219</v>
      </c>
      <c r="DJ54" s="314">
        <f t="shared" si="117"/>
        <v>529.20000000000005</v>
      </c>
      <c r="DK54" s="456">
        <f t="shared" si="68"/>
        <v>0.38888888888888884</v>
      </c>
      <c r="DM54" s="150">
        <f t="shared" si="69"/>
        <v>1.2296340919151518</v>
      </c>
      <c r="DN54" s="150">
        <f t="shared" si="70"/>
        <v>1.2113888888888888</v>
      </c>
      <c r="DO54" s="150">
        <f t="shared" si="71"/>
        <v>1.3565843621399176</v>
      </c>
      <c r="DQ54" s="314">
        <f t="shared" si="72"/>
        <v>588</v>
      </c>
      <c r="DR54" s="144">
        <f t="shared" si="73"/>
        <v>333.90960221988047</v>
      </c>
      <c r="DT54">
        <f t="shared" si="74"/>
        <v>588</v>
      </c>
      <c r="DU54" s="144">
        <f t="shared" si="75"/>
        <v>333.90960221988047</v>
      </c>
      <c r="DV54" s="144"/>
      <c r="DW54" s="5">
        <f t="shared" si="118"/>
        <v>2.994822530864198</v>
      </c>
      <c r="DX54" s="5">
        <f t="shared" si="76"/>
        <v>0.30284722222222221</v>
      </c>
      <c r="DY54" s="5">
        <f t="shared" si="119"/>
        <v>2.6919753086419758</v>
      </c>
      <c r="DZ54" s="5">
        <f t="shared" si="77"/>
        <v>2.6919753086419753</v>
      </c>
      <c r="EA54" s="150">
        <f t="shared" si="120"/>
        <v>0.10112359550561796</v>
      </c>
      <c r="EB54" s="150">
        <f t="shared" si="78"/>
        <v>2.9399999999999995</v>
      </c>
      <c r="EC54" s="150">
        <f t="shared" si="79"/>
        <v>0.5444444444444444</v>
      </c>
      <c r="ED54" s="150">
        <f t="shared" si="121"/>
        <v>5.3999999999999995</v>
      </c>
      <c r="EE54" s="144">
        <f t="shared" si="80"/>
        <v>3.5614833333333329</v>
      </c>
      <c r="EF54" s="5">
        <f t="shared" si="81"/>
        <v>6.8701453189300404E-2</v>
      </c>
      <c r="EG54" s="5"/>
      <c r="EH54" s="150">
        <f t="shared" si="122"/>
        <v>0.22240738813334482</v>
      </c>
      <c r="EI54" s="150">
        <f t="shared" si="82"/>
        <v>0.66309071808578546</v>
      </c>
      <c r="EJ54" s="150"/>
      <c r="EK54" s="456">
        <f t="shared" si="83"/>
        <v>9.8930092592592581E-4</v>
      </c>
      <c r="EL54" s="456">
        <f t="shared" si="84"/>
        <v>0.43199999999999994</v>
      </c>
      <c r="EM54" s="456">
        <f t="shared" si="85"/>
        <v>4.1738700277485059E-2</v>
      </c>
      <c r="EN54" s="456">
        <f t="shared" si="86"/>
        <v>9.5216326530612239E-2</v>
      </c>
      <c r="EO54">
        <f t="shared" si="87"/>
        <v>2.1600000000000001E-2</v>
      </c>
      <c r="EP54" s="144">
        <f t="shared" si="123"/>
        <v>63.33870027748506</v>
      </c>
      <c r="EQ54" s="456">
        <f t="shared" si="88"/>
        <v>0.59195058164464831</v>
      </c>
      <c r="ER54" s="144">
        <f t="shared" si="124"/>
        <v>591.95058164464831</v>
      </c>
      <c r="ES54" s="456">
        <f t="shared" si="125"/>
        <v>0.36529499999999993</v>
      </c>
      <c r="ET54" s="456"/>
      <c r="EV54" s="144">
        <f t="shared" si="126"/>
        <v>365.2949999999999</v>
      </c>
      <c r="EW54" s="456">
        <f t="shared" si="89"/>
        <v>1.4839513888888886E-3</v>
      </c>
      <c r="EX54" s="456">
        <f t="shared" si="90"/>
        <v>1.3190679012345677E-2</v>
      </c>
      <c r="EY54" s="456">
        <f t="shared" si="91"/>
        <v>0.1645323268541041</v>
      </c>
      <c r="EZ54" s="456">
        <f t="shared" si="92"/>
        <v>0.18294363897453161</v>
      </c>
      <c r="FA54" s="456">
        <f t="shared" si="93"/>
        <v>4.8999999999999998E-4</v>
      </c>
      <c r="FB54" s="144">
        <f t="shared" si="127"/>
        <v>183.43363897453162</v>
      </c>
      <c r="FC54" s="150">
        <f t="shared" si="128"/>
        <v>1.14067922061918</v>
      </c>
      <c r="FD54" s="5">
        <f t="shared" si="129"/>
        <v>2.94</v>
      </c>
      <c r="FE54" s="150">
        <f t="shared" si="130"/>
        <v>0.72046829487221997</v>
      </c>
      <c r="FF54" s="5">
        <f t="shared" si="131"/>
        <v>72.046829487221999</v>
      </c>
      <c r="FI54" s="59">
        <f t="shared" si="94"/>
        <v>-50</v>
      </c>
      <c r="FJ54">
        <f t="shared" si="95"/>
        <v>-50</v>
      </c>
      <c r="FL54">
        <f t="shared" si="181"/>
        <v>0.898876404494382</v>
      </c>
    </row>
    <row r="55" spans="5:168">
      <c r="E55" s="147">
        <v>50</v>
      </c>
      <c r="F55" s="188">
        <f t="shared" si="182"/>
        <v>0.6</v>
      </c>
      <c r="G55" s="188"/>
      <c r="H55" s="188">
        <f t="shared" si="132"/>
        <v>3</v>
      </c>
      <c r="I55" s="465">
        <f t="shared" si="133"/>
        <v>47.9660062371252</v>
      </c>
      <c r="J55" s="149">
        <f t="shared" si="134"/>
        <v>5.4203962577248799</v>
      </c>
      <c r="K55" s="149">
        <f t="shared" si="135"/>
        <v>53.420396257724882</v>
      </c>
      <c r="L55" s="379"/>
      <c r="M55" s="188">
        <f t="shared" si="136"/>
        <v>0.10152515319833064</v>
      </c>
      <c r="N55" s="149">
        <f t="shared" si="137"/>
        <v>12.46657569673272</v>
      </c>
      <c r="O55" s="149">
        <f t="shared" si="98"/>
        <v>3</v>
      </c>
      <c r="P55" s="188">
        <f t="shared" si="138"/>
        <v>2.493315139346544</v>
      </c>
      <c r="Q55" s="188">
        <f t="shared" si="139"/>
        <v>5</v>
      </c>
      <c r="R55" s="188">
        <f t="shared" si="140"/>
        <v>2.4348780657681091</v>
      </c>
      <c r="S55" s="149">
        <f t="shared" si="141"/>
        <v>152.01823305351218</v>
      </c>
      <c r="T55" s="149">
        <f t="shared" si="142"/>
        <v>5</v>
      </c>
      <c r="U55" s="188">
        <f t="shared" si="143"/>
        <v>1.3355966550111888</v>
      </c>
      <c r="V55" s="188">
        <f t="shared" si="11"/>
        <v>0.33413579986005604</v>
      </c>
      <c r="W55" s="188">
        <f t="shared" si="144"/>
        <v>2.9568243903373586</v>
      </c>
      <c r="X55" s="172">
        <f t="shared" si="145"/>
        <v>350</v>
      </c>
      <c r="Y55" s="379">
        <f t="shared" si="14"/>
        <v>286.45414027005842</v>
      </c>
      <c r="AA55" s="188">
        <f t="shared" si="146"/>
        <v>1.1595371023495127</v>
      </c>
      <c r="AB55" s="150">
        <f t="shared" si="147"/>
        <v>2.5670531390327738</v>
      </c>
      <c r="AC55" s="150">
        <f t="shared" si="148"/>
        <v>0.52090383772197457</v>
      </c>
      <c r="AD55" s="150"/>
      <c r="AE55" s="150">
        <f t="shared" si="149"/>
        <v>2.2138602842731649</v>
      </c>
      <c r="AF55" s="314">
        <f t="shared" si="150"/>
        <v>542.03962577248797</v>
      </c>
      <c r="AG55" s="456">
        <f t="shared" si="151"/>
        <v>0.3874255497478038</v>
      </c>
      <c r="AI55" s="150">
        <f t="shared" si="152"/>
        <v>1.2444615884245889</v>
      </c>
      <c r="AJ55" s="150">
        <f t="shared" si="153"/>
        <v>1.3355966550111888</v>
      </c>
      <c r="AK55" s="150">
        <f t="shared" si="154"/>
        <v>1.4485901148231028</v>
      </c>
      <c r="AM55" s="314">
        <f t="shared" si="155"/>
        <v>600</v>
      </c>
      <c r="AN55" s="144">
        <f t="shared" si="156"/>
        <v>286.45414027005842</v>
      </c>
      <c r="AP55">
        <f t="shared" si="157"/>
        <v>600</v>
      </c>
      <c r="AQ55" s="144">
        <f t="shared" si="158"/>
        <v>286.45414027005842</v>
      </c>
      <c r="AR55" s="144"/>
      <c r="AS55" s="5">
        <f t="shared" si="101"/>
        <v>3.4909601901974145</v>
      </c>
      <c r="AT55" s="5">
        <f t="shared" si="159"/>
        <v>0.33413579986005604</v>
      </c>
      <c r="AU55" s="5">
        <f t="shared" si="102"/>
        <v>3.1568243903373583</v>
      </c>
      <c r="AV55" s="5">
        <f t="shared" si="160"/>
        <v>2.9568243903373586</v>
      </c>
      <c r="AW55" s="150">
        <f t="shared" si="103"/>
        <v>9.5714583282360655E-2</v>
      </c>
      <c r="AX55" s="150">
        <f t="shared" si="161"/>
        <v>3.0658930397763164</v>
      </c>
      <c r="AY55" s="150">
        <f t="shared" si="162"/>
        <v>0.60388028887173906</v>
      </c>
      <c r="AZ55" s="150">
        <f t="shared" si="104"/>
        <v>5.0769880989235201</v>
      </c>
      <c r="BA55" s="144">
        <f t="shared" si="163"/>
        <v>4.0096295983206725</v>
      </c>
      <c r="BB55" s="5">
        <f t="shared" si="164"/>
        <v>8.2267230430110527E-2</v>
      </c>
      <c r="BC55" s="5"/>
      <c r="BD55" s="150">
        <f t="shared" si="105"/>
        <v>0.23856336487993174</v>
      </c>
      <c r="BE55" s="150">
        <f t="shared" si="165"/>
        <v>0.73327597980764148</v>
      </c>
      <c r="BF55" s="150"/>
      <c r="BG55" s="456">
        <f t="shared" si="166"/>
        <v>1.138249581256709E-3</v>
      </c>
      <c r="BH55" s="456">
        <f t="shared" si="167"/>
        <v>0.38321173830376826</v>
      </c>
      <c r="BI55" s="456">
        <f t="shared" si="168"/>
        <v>0.34350152697109898</v>
      </c>
      <c r="BJ55" s="456">
        <f t="shared" si="169"/>
        <v>8.174652762714453E-2</v>
      </c>
      <c r="BK55">
        <f t="shared" si="170"/>
        <v>2.1584702806706338E-2</v>
      </c>
      <c r="BL55" s="144">
        <f t="shared" si="106"/>
        <v>365.08622977780533</v>
      </c>
      <c r="BM55" s="456">
        <f t="shared" si="171"/>
        <v>0.46653001505550989</v>
      </c>
      <c r="BN55" s="144">
        <f t="shared" si="107"/>
        <v>466.53001505550992</v>
      </c>
      <c r="BO55" s="456">
        <f t="shared" si="172"/>
        <v>0.37274999999999997</v>
      </c>
      <c r="BP55" s="456"/>
      <c r="BR55" s="144">
        <f t="shared" si="109"/>
        <v>372.74999999999994</v>
      </c>
      <c r="BS55" s="456">
        <f t="shared" si="173"/>
        <v>1.7073743718850633E-3</v>
      </c>
      <c r="BT55" s="456">
        <f t="shared" si="174"/>
        <v>1.6130809876885699E-2</v>
      </c>
      <c r="BU55" s="456">
        <f t="shared" si="175"/>
        <v>4.4999999999999998E-2</v>
      </c>
      <c r="BV55" s="456">
        <f t="shared" si="176"/>
        <v>6.7215268335748035E-2</v>
      </c>
      <c r="BW55" s="456">
        <f t="shared" si="177"/>
        <v>5.1098217329605285E-4</v>
      </c>
      <c r="BX55" s="144">
        <f t="shared" si="110"/>
        <v>67.726250509044092</v>
      </c>
      <c r="BY55" s="150">
        <f t="shared" si="45"/>
        <v>1.2720924953423591</v>
      </c>
      <c r="BZ55" s="5">
        <f t="shared" si="111"/>
        <v>3</v>
      </c>
      <c r="CA55" s="150">
        <f t="shared" si="112"/>
        <v>0.70223198661329189</v>
      </c>
      <c r="CB55" s="5">
        <f t="shared" si="113"/>
        <v>70.223198661329192</v>
      </c>
      <c r="CE55" s="59">
        <f t="shared" si="178"/>
        <v>-50</v>
      </c>
      <c r="CF55">
        <f t="shared" si="179"/>
        <v>-50</v>
      </c>
      <c r="CG55" s="150">
        <f t="shared" si="180"/>
        <v>0.88251483398560782</v>
      </c>
      <c r="CI55" s="147">
        <v>50</v>
      </c>
      <c r="CJ55" s="188">
        <f t="shared" si="114"/>
        <v>0.6</v>
      </c>
      <c r="CK55" s="188"/>
      <c r="CL55" s="188">
        <f t="shared" si="49"/>
        <v>3</v>
      </c>
      <c r="CM55" s="465">
        <f t="shared" si="50"/>
        <v>48</v>
      </c>
      <c r="CN55" s="149">
        <f t="shared" si="51"/>
        <v>5.4</v>
      </c>
      <c r="CO55" s="379">
        <f t="shared" si="52"/>
        <v>53.4</v>
      </c>
      <c r="CP55" s="379"/>
      <c r="CQ55" s="188">
        <f t="shared" si="53"/>
        <v>0.10112359550561799</v>
      </c>
      <c r="CR55" s="149">
        <f t="shared" si="54"/>
        <v>12.426067415730339</v>
      </c>
      <c r="CS55" s="149">
        <f t="shared" si="115"/>
        <v>3</v>
      </c>
      <c r="CT55" s="188">
        <f t="shared" si="55"/>
        <v>2.4852134831460679</v>
      </c>
      <c r="CU55" s="188">
        <f t="shared" si="56"/>
        <v>5</v>
      </c>
      <c r="CV55" s="188">
        <f t="shared" si="57"/>
        <v>2.4269662921348316</v>
      </c>
      <c r="CW55" s="149">
        <f t="shared" si="58"/>
        <v>152.12588027661391</v>
      </c>
      <c r="CX55" s="149">
        <f t="shared" si="59"/>
        <v>5</v>
      </c>
      <c r="CY55" s="188">
        <f t="shared" si="60"/>
        <v>1.2361111111111109</v>
      </c>
      <c r="CZ55" s="188">
        <f t="shared" si="61"/>
        <v>0.30902777777777773</v>
      </c>
      <c r="DA55" s="188">
        <f t="shared" si="62"/>
        <v>2.7469135802469129</v>
      </c>
      <c r="DB55" s="172">
        <f t="shared" si="63"/>
        <v>350</v>
      </c>
      <c r="DC55" s="379">
        <f t="shared" si="116"/>
        <v>327.23141017548295</v>
      </c>
      <c r="DE55" s="188">
        <f t="shared" si="64"/>
        <v>1.1556982343499198</v>
      </c>
      <c r="DF55" s="150">
        <f t="shared" si="65"/>
        <v>2.5682182985553772</v>
      </c>
      <c r="DG55" s="150">
        <f t="shared" si="66"/>
        <v>0.51941493678648076</v>
      </c>
      <c r="DH55" s="150"/>
      <c r="DI55" s="150">
        <f t="shared" si="67"/>
        <v>2.2222222222222219</v>
      </c>
      <c r="DJ55" s="314">
        <f t="shared" si="117"/>
        <v>540</v>
      </c>
      <c r="DK55" s="456">
        <f t="shared" si="68"/>
        <v>0.38888888888888884</v>
      </c>
      <c r="DM55" s="150">
        <f t="shared" si="69"/>
        <v>1.2421180068162376</v>
      </c>
      <c r="DN55" s="150">
        <f t="shared" si="70"/>
        <v>1.2361111111111109</v>
      </c>
      <c r="DO55" s="150">
        <f t="shared" si="71"/>
        <v>1.3748971193415636</v>
      </c>
      <c r="DQ55" s="314">
        <f t="shared" si="72"/>
        <v>600</v>
      </c>
      <c r="DR55" s="144">
        <f t="shared" si="73"/>
        <v>327.23141017548295</v>
      </c>
      <c r="DT55">
        <f t="shared" si="74"/>
        <v>600</v>
      </c>
      <c r="DU55" s="144">
        <f t="shared" si="75"/>
        <v>327.23141017548295</v>
      </c>
      <c r="DV55" s="144"/>
      <c r="DW55" s="5">
        <f t="shared" si="118"/>
        <v>3.055941358024691</v>
      </c>
      <c r="DX55" s="5">
        <f t="shared" si="76"/>
        <v>0.30902777777777773</v>
      </c>
      <c r="DY55" s="5">
        <f t="shared" si="119"/>
        <v>2.7469135802469133</v>
      </c>
      <c r="DZ55" s="5">
        <f t="shared" si="77"/>
        <v>2.7469135802469129</v>
      </c>
      <c r="EA55" s="150">
        <f t="shared" si="120"/>
        <v>0.10112359550561797</v>
      </c>
      <c r="EB55" s="150">
        <f t="shared" si="78"/>
        <v>3</v>
      </c>
      <c r="EC55" s="150">
        <f t="shared" si="79"/>
        <v>0.55555555555555547</v>
      </c>
      <c r="ED55" s="150">
        <f t="shared" si="121"/>
        <v>5.4000000000000012</v>
      </c>
      <c r="EE55" s="144">
        <f t="shared" si="80"/>
        <v>3.708333333333333</v>
      </c>
      <c r="EF55" s="5">
        <f t="shared" si="81"/>
        <v>7.1534207818930023E-2</v>
      </c>
      <c r="EG55" s="5"/>
      <c r="EH55" s="150">
        <f t="shared" si="122"/>
        <v>0.22694631442178043</v>
      </c>
      <c r="EI55" s="150">
        <f t="shared" si="82"/>
        <v>0.6766231817201892</v>
      </c>
      <c r="EJ55" s="150"/>
      <c r="EK55" s="456">
        <f t="shared" si="83"/>
        <v>1.0300925925925924E-3</v>
      </c>
      <c r="EL55" s="456">
        <f t="shared" si="84"/>
        <v>0.432</v>
      </c>
      <c r="EM55" s="456">
        <f t="shared" si="85"/>
        <v>4.0903926271935363E-2</v>
      </c>
      <c r="EN55" s="456">
        <f t="shared" si="86"/>
        <v>9.331200000000002E-2</v>
      </c>
      <c r="EO55">
        <f t="shared" si="87"/>
        <v>2.1600000000000001E-2</v>
      </c>
      <c r="EP55" s="144">
        <f t="shared" si="123"/>
        <v>62.503926271935363</v>
      </c>
      <c r="EQ55" s="456">
        <f t="shared" si="88"/>
        <v>0.58926836729742404</v>
      </c>
      <c r="ER55" s="144">
        <f t="shared" si="124"/>
        <v>589.26836729742399</v>
      </c>
      <c r="ES55" s="456">
        <f t="shared" si="125"/>
        <v>0.37274999999999997</v>
      </c>
      <c r="ET55" s="456"/>
      <c r="EV55" s="144">
        <f t="shared" si="126"/>
        <v>372.74999999999994</v>
      </c>
      <c r="EW55" s="456">
        <f t="shared" si="89"/>
        <v>1.5451388888888886E-3</v>
      </c>
      <c r="EX55" s="456">
        <f t="shared" si="90"/>
        <v>1.3734567901234566E-2</v>
      </c>
      <c r="EY55" s="456">
        <f t="shared" si="91"/>
        <v>0.16453232685410402</v>
      </c>
      <c r="EZ55" s="456">
        <f t="shared" si="92"/>
        <v>0.18370371839011762</v>
      </c>
      <c r="FA55" s="456">
        <f t="shared" si="93"/>
        <v>5.0000000000000001E-4</v>
      </c>
      <c r="FB55" s="144">
        <f t="shared" si="127"/>
        <v>184.20371839011761</v>
      </c>
      <c r="FC55" s="150">
        <f t="shared" si="128"/>
        <v>1.1462220856875416</v>
      </c>
      <c r="FD55" s="5">
        <f t="shared" si="129"/>
        <v>3</v>
      </c>
      <c r="FE55" s="150">
        <f t="shared" si="130"/>
        <v>0.72355024357131836</v>
      </c>
      <c r="FF55" s="5">
        <f t="shared" si="131"/>
        <v>72.355024357131839</v>
      </c>
      <c r="FI55" s="59">
        <f t="shared" si="94"/>
        <v>-50</v>
      </c>
      <c r="FJ55">
        <f t="shared" si="95"/>
        <v>-50</v>
      </c>
      <c r="FL55">
        <f t="shared" si="181"/>
        <v>0.898876404494382</v>
      </c>
    </row>
    <row r="56" spans="5:168">
      <c r="E56" s="147">
        <v>51</v>
      </c>
      <c r="F56" s="188">
        <f t="shared" si="182"/>
        <v>0.61199999999999999</v>
      </c>
      <c r="G56" s="188"/>
      <c r="H56" s="188">
        <f t="shared" si="132"/>
        <v>3.06</v>
      </c>
      <c r="I56" s="465">
        <f t="shared" si="133"/>
        <v>47.965338961978468</v>
      </c>
      <c r="J56" s="149">
        <f t="shared" si="134"/>
        <v>5.4207966228129205</v>
      </c>
      <c r="K56" s="149">
        <f t="shared" si="135"/>
        <v>53.420796622812922</v>
      </c>
      <c r="L56" s="379"/>
      <c r="M56" s="188">
        <f t="shared" si="136"/>
        <v>0.10153316253175407</v>
      </c>
      <c r="N56" s="149">
        <f t="shared" si="137"/>
        <v>12.467385745196124</v>
      </c>
      <c r="O56" s="149">
        <f t="shared" si="98"/>
        <v>3.06</v>
      </c>
      <c r="P56" s="188">
        <f t="shared" si="138"/>
        <v>2.4934771490392249</v>
      </c>
      <c r="Q56" s="188">
        <f t="shared" si="139"/>
        <v>5</v>
      </c>
      <c r="R56" s="188">
        <f t="shared" si="140"/>
        <v>2.4350362783586177</v>
      </c>
      <c r="S56" s="149">
        <f t="shared" si="141"/>
        <v>148.10070215829739</v>
      </c>
      <c r="T56" s="149">
        <f t="shared" si="142"/>
        <v>5</v>
      </c>
      <c r="U56" s="188">
        <f t="shared" si="143"/>
        <v>1.3623207323367228</v>
      </c>
      <c r="V56" s="188">
        <f t="shared" si="11"/>
        <v>0.34082629544220278</v>
      </c>
      <c r="W56" s="188">
        <f t="shared" si="144"/>
        <v>3.0157650112240457</v>
      </c>
      <c r="X56" s="172">
        <f t="shared" si="145"/>
        <v>350</v>
      </c>
      <c r="Y56" s="379">
        <f t="shared" si="14"/>
        <v>281.16809432831474</v>
      </c>
      <c r="AA56" s="188">
        <f t="shared" si="146"/>
        <v>1.159612414476326</v>
      </c>
      <c r="AB56" s="150">
        <f t="shared" si="147"/>
        <v>2.5670302617800593</v>
      </c>
      <c r="AC56" s="150">
        <f t="shared" si="148"/>
        <v>0.52093302798189978</v>
      </c>
      <c r="AD56" s="150"/>
      <c r="AE56" s="150">
        <f t="shared" si="149"/>
        <v>2.2136967746583798</v>
      </c>
      <c r="AF56" s="314">
        <f t="shared" si="150"/>
        <v>552.92125552691789</v>
      </c>
      <c r="AG56" s="456">
        <f t="shared" si="151"/>
        <v>0.38739693556521643</v>
      </c>
      <c r="AI56" s="150">
        <f t="shared" si="152"/>
        <v>1.2568910118984835</v>
      </c>
      <c r="AJ56" s="150">
        <f t="shared" si="153"/>
        <v>1.3623207323367228</v>
      </c>
      <c r="AK56" s="150">
        <f t="shared" si="154"/>
        <v>1.4683857276568317</v>
      </c>
      <c r="AM56" s="314">
        <f t="shared" si="155"/>
        <v>612</v>
      </c>
      <c r="AN56" s="144">
        <f t="shared" si="156"/>
        <v>281.16809432831474</v>
      </c>
      <c r="AP56">
        <f t="shared" si="157"/>
        <v>612</v>
      </c>
      <c r="AQ56" s="144">
        <f t="shared" si="158"/>
        <v>281.16809432831474</v>
      </c>
      <c r="AR56" s="144"/>
      <c r="AS56" s="5">
        <f t="shared" si="101"/>
        <v>3.5565913066662489</v>
      </c>
      <c r="AT56" s="5">
        <f t="shared" si="159"/>
        <v>0.34082629544220278</v>
      </c>
      <c r="AU56" s="5">
        <f t="shared" si="102"/>
        <v>3.2157650112240459</v>
      </c>
      <c r="AV56" s="5">
        <f t="shared" si="160"/>
        <v>3.0157650112240457</v>
      </c>
      <c r="AW56" s="150">
        <f t="shared" si="103"/>
        <v>9.5829479986463337E-2</v>
      </c>
      <c r="AX56" s="150">
        <f t="shared" si="161"/>
        <v>3.1309491888075813</v>
      </c>
      <c r="AY56" s="150">
        <f t="shared" si="162"/>
        <v>0.61588512249105842</v>
      </c>
      <c r="AZ56" s="150">
        <f t="shared" si="104"/>
        <v>5.0836577706957637</v>
      </c>
      <c r="BA56" s="144">
        <f t="shared" si="163"/>
        <v>4.1717138562125617</v>
      </c>
      <c r="BB56" s="5">
        <f t="shared" si="164"/>
        <v>8.548048399200843E-2</v>
      </c>
      <c r="BC56" s="5"/>
      <c r="BD56" s="150">
        <f t="shared" si="105"/>
        <v>0.24348280948206796</v>
      </c>
      <c r="BE56" s="150">
        <f t="shared" si="165"/>
        <v>0.74790064897565589</v>
      </c>
      <c r="BF56" s="150"/>
      <c r="BG56" s="456">
        <f t="shared" si="166"/>
        <v>1.1856775702656201E-3</v>
      </c>
      <c r="BH56" s="456">
        <f t="shared" si="167"/>
        <v>0.38366928736368877</v>
      </c>
      <c r="BI56" s="456">
        <f t="shared" si="168"/>
        <v>0.33715807374377876</v>
      </c>
      <c r="BJ56" s="456">
        <f t="shared" si="169"/>
        <v>8.0239230930666511E-2</v>
      </c>
      <c r="BK56">
        <f t="shared" si="170"/>
        <v>2.1584402532890311E-2</v>
      </c>
      <c r="BL56" s="144">
        <f t="shared" si="106"/>
        <v>358.74247627666904</v>
      </c>
      <c r="BM56" s="456">
        <f t="shared" si="171"/>
        <v>0.46554548088049802</v>
      </c>
      <c r="BN56" s="144">
        <f t="shared" si="107"/>
        <v>465.54548088049802</v>
      </c>
      <c r="BO56" s="456">
        <f t="shared" si="172"/>
        <v>0.38020499999999996</v>
      </c>
      <c r="BP56" s="456"/>
      <c r="BR56" s="144">
        <f t="shared" si="109"/>
        <v>380.20499999999998</v>
      </c>
      <c r="BS56" s="456">
        <f t="shared" si="173"/>
        <v>1.77851635539843E-3</v>
      </c>
      <c r="BT56" s="456">
        <f t="shared" si="174"/>
        <v>1.6780661422146216E-2</v>
      </c>
      <c r="BU56" s="456">
        <f t="shared" si="175"/>
        <v>4.5899999999999996E-2</v>
      </c>
      <c r="BV56" s="456">
        <f t="shared" si="176"/>
        <v>6.9015850639474283E-2</v>
      </c>
      <c r="BW56" s="456">
        <f t="shared" si="177"/>
        <v>5.2182486480126364E-4</v>
      </c>
      <c r="BX56" s="144">
        <f t="shared" si="110"/>
        <v>69.537675504275541</v>
      </c>
      <c r="BY56" s="150">
        <f t="shared" si="45"/>
        <v>1.2740306326614426</v>
      </c>
      <c r="BZ56" s="5">
        <f t="shared" si="111"/>
        <v>3.06</v>
      </c>
      <c r="CA56" s="150">
        <f t="shared" si="112"/>
        <v>0.70604023352758682</v>
      </c>
      <c r="CB56" s="5">
        <f t="shared" si="113"/>
        <v>70.604023352758688</v>
      </c>
      <c r="CE56" s="59">
        <f t="shared" si="178"/>
        <v>-50</v>
      </c>
      <c r="CF56">
        <f t="shared" si="179"/>
        <v>-50</v>
      </c>
      <c r="CG56" s="150">
        <f t="shared" si="180"/>
        <v>0.882835649093623</v>
      </c>
      <c r="CI56" s="147">
        <v>51</v>
      </c>
      <c r="CJ56" s="188">
        <f t="shared" si="114"/>
        <v>0.61199999999999999</v>
      </c>
      <c r="CK56" s="188"/>
      <c r="CL56" s="188">
        <f t="shared" si="49"/>
        <v>3.06</v>
      </c>
      <c r="CM56" s="465">
        <f t="shared" si="50"/>
        <v>48</v>
      </c>
      <c r="CN56" s="149">
        <f t="shared" si="51"/>
        <v>5.4</v>
      </c>
      <c r="CO56" s="379">
        <f t="shared" si="52"/>
        <v>53.4</v>
      </c>
      <c r="CP56" s="379"/>
      <c r="CQ56" s="188">
        <f t="shared" si="53"/>
        <v>0.10112359550561799</v>
      </c>
      <c r="CR56" s="149">
        <f t="shared" si="54"/>
        <v>12.426067415730339</v>
      </c>
      <c r="CS56" s="149">
        <f t="shared" si="115"/>
        <v>3.06</v>
      </c>
      <c r="CT56" s="188">
        <f t="shared" si="55"/>
        <v>2.4852134831460679</v>
      </c>
      <c r="CU56" s="188">
        <f t="shared" si="56"/>
        <v>5</v>
      </c>
      <c r="CV56" s="188">
        <f t="shared" si="57"/>
        <v>2.4269662921348316</v>
      </c>
      <c r="CW56" s="149">
        <f t="shared" si="58"/>
        <v>148.20763066006018</v>
      </c>
      <c r="CX56" s="149">
        <f t="shared" si="59"/>
        <v>5</v>
      </c>
      <c r="CY56" s="188">
        <f t="shared" si="60"/>
        <v>1.2608333333333333</v>
      </c>
      <c r="CZ56" s="188">
        <f t="shared" si="61"/>
        <v>0.31520833333333331</v>
      </c>
      <c r="DA56" s="188">
        <f t="shared" si="62"/>
        <v>2.8018518518518514</v>
      </c>
      <c r="DB56" s="172">
        <f t="shared" si="63"/>
        <v>350</v>
      </c>
      <c r="DC56" s="379">
        <f t="shared" si="116"/>
        <v>320.81510801517931</v>
      </c>
      <c r="DE56" s="188">
        <f t="shared" si="64"/>
        <v>1.1556982343499198</v>
      </c>
      <c r="DF56" s="150">
        <f t="shared" si="65"/>
        <v>2.5682182985553772</v>
      </c>
      <c r="DG56" s="150">
        <f t="shared" si="66"/>
        <v>0.51941493678648076</v>
      </c>
      <c r="DH56" s="150"/>
      <c r="DI56" s="150">
        <f t="shared" si="67"/>
        <v>2.2222222222222219</v>
      </c>
      <c r="DJ56" s="314">
        <f t="shared" si="117"/>
        <v>550.79999999999995</v>
      </c>
      <c r="DK56" s="456">
        <f t="shared" si="68"/>
        <v>0.38888888888888884</v>
      </c>
      <c r="DM56" s="150">
        <f t="shared" si="69"/>
        <v>1.2544776943869054</v>
      </c>
      <c r="DN56" s="150">
        <f t="shared" si="70"/>
        <v>1.2608333333333333</v>
      </c>
      <c r="DO56" s="150">
        <f t="shared" si="71"/>
        <v>1.3932098765432097</v>
      </c>
      <c r="DQ56" s="314">
        <f t="shared" si="72"/>
        <v>612</v>
      </c>
      <c r="DR56" s="144">
        <f t="shared" si="73"/>
        <v>320.81510801517931</v>
      </c>
      <c r="DT56">
        <f t="shared" si="74"/>
        <v>612</v>
      </c>
      <c r="DU56" s="144">
        <f t="shared" si="75"/>
        <v>320.81510801517931</v>
      </c>
      <c r="DV56" s="144"/>
      <c r="DW56" s="5">
        <f t="shared" si="118"/>
        <v>3.1170601851851854</v>
      </c>
      <c r="DX56" s="5">
        <f t="shared" si="76"/>
        <v>0.31520833333333331</v>
      </c>
      <c r="DY56" s="5">
        <f t="shared" si="119"/>
        <v>2.8018518518518523</v>
      </c>
      <c r="DZ56" s="5">
        <f t="shared" si="77"/>
        <v>2.8018518518518514</v>
      </c>
      <c r="EA56" s="150">
        <f t="shared" si="120"/>
        <v>0.10112359550561796</v>
      </c>
      <c r="EB56" s="150">
        <f t="shared" si="78"/>
        <v>3.0599999999999996</v>
      </c>
      <c r="EC56" s="150">
        <f t="shared" si="79"/>
        <v>0.56666666666666665</v>
      </c>
      <c r="ED56" s="150">
        <f t="shared" si="121"/>
        <v>5.3999999999999995</v>
      </c>
      <c r="EE56" s="144">
        <f t="shared" si="80"/>
        <v>3.8581499999999993</v>
      </c>
      <c r="EF56" s="5">
        <f t="shared" si="81"/>
        <v>7.4424189814814815E-2</v>
      </c>
      <c r="EG56" s="5"/>
      <c r="EH56" s="150">
        <f t="shared" si="122"/>
        <v>0.23148524071021601</v>
      </c>
      <c r="EI56" s="150">
        <f t="shared" si="82"/>
        <v>0.69015564535459306</v>
      </c>
      <c r="EJ56" s="150"/>
      <c r="EK56" s="456">
        <f t="shared" si="83"/>
        <v>1.0717083333333329E-3</v>
      </c>
      <c r="EL56" s="456">
        <f t="shared" si="84"/>
        <v>0.43199999999999994</v>
      </c>
      <c r="EM56" s="456">
        <f t="shared" si="85"/>
        <v>4.0101888501897408E-2</v>
      </c>
      <c r="EN56" s="456">
        <f t="shared" si="86"/>
        <v>9.1482352941176459E-2</v>
      </c>
      <c r="EO56">
        <f t="shared" si="87"/>
        <v>2.1600000000000001E-2</v>
      </c>
      <c r="EP56" s="144">
        <f t="shared" si="123"/>
        <v>61.701888501897407</v>
      </c>
      <c r="EQ56" s="456">
        <f t="shared" si="88"/>
        <v>0.58669470573421645</v>
      </c>
      <c r="ER56" s="144">
        <f t="shared" si="124"/>
        <v>586.69470573421643</v>
      </c>
      <c r="ES56" s="456">
        <f t="shared" si="125"/>
        <v>0.38020499999999996</v>
      </c>
      <c r="ET56" s="456"/>
      <c r="EV56" s="144">
        <f t="shared" si="126"/>
        <v>380.20499999999998</v>
      </c>
      <c r="EW56" s="456">
        <f t="shared" si="89"/>
        <v>1.6075624999999992E-3</v>
      </c>
      <c r="EX56" s="456">
        <f t="shared" si="90"/>
        <v>1.4289444444444445E-2</v>
      </c>
      <c r="EY56" s="456">
        <f t="shared" si="91"/>
        <v>0.16453232685410404</v>
      </c>
      <c r="EZ56" s="456">
        <f t="shared" si="92"/>
        <v>0.18447922887181362</v>
      </c>
      <c r="FA56" s="456">
        <f t="shared" si="93"/>
        <v>5.1000000000000004E-4</v>
      </c>
      <c r="FB56" s="144">
        <f t="shared" si="127"/>
        <v>184.98922887181362</v>
      </c>
      <c r="FC56" s="150">
        <f t="shared" si="128"/>
        <v>1.1518889346060299</v>
      </c>
      <c r="FD56" s="5">
        <f t="shared" si="129"/>
        <v>3.06</v>
      </c>
      <c r="FE56" s="150">
        <f t="shared" si="130"/>
        <v>0.7265148838228388</v>
      </c>
      <c r="FF56" s="5">
        <f t="shared" si="131"/>
        <v>72.651488382283873</v>
      </c>
      <c r="FI56" s="59">
        <f t="shared" si="94"/>
        <v>-50</v>
      </c>
      <c r="FJ56">
        <f t="shared" si="95"/>
        <v>-50</v>
      </c>
      <c r="FL56">
        <f t="shared" si="181"/>
        <v>0.898876404494382</v>
      </c>
    </row>
    <row r="57" spans="5:168">
      <c r="E57" s="147">
        <v>52</v>
      </c>
      <c r="F57" s="188">
        <f t="shared" si="182"/>
        <v>0.624</v>
      </c>
      <c r="G57" s="188"/>
      <c r="H57" s="188">
        <f t="shared" si="132"/>
        <v>3.12</v>
      </c>
      <c r="I57" s="465">
        <f t="shared" si="133"/>
        <v>47.964671678029468</v>
      </c>
      <c r="J57" s="149">
        <f t="shared" si="134"/>
        <v>5.4211969931823187</v>
      </c>
      <c r="K57" s="149">
        <f t="shared" si="135"/>
        <v>53.421196993182321</v>
      </c>
      <c r="L57" s="379"/>
      <c r="M57" s="188">
        <f t="shared" si="136"/>
        <v>0.10154117196196737</v>
      </c>
      <c r="N57" s="149">
        <f t="shared" si="137"/>
        <v>12.468195775892726</v>
      </c>
      <c r="O57" s="149">
        <f t="shared" si="98"/>
        <v>3.12</v>
      </c>
      <c r="P57" s="188">
        <f t="shared" si="138"/>
        <v>2.4936391551785451</v>
      </c>
      <c r="Q57" s="188">
        <f t="shared" si="139"/>
        <v>5</v>
      </c>
      <c r="R57" s="188">
        <f t="shared" si="140"/>
        <v>2.4351944874790483</v>
      </c>
      <c r="S57" s="149">
        <f t="shared" si="141"/>
        <v>144.33404035502392</v>
      </c>
      <c r="T57" s="149">
        <f t="shared" si="142"/>
        <v>5</v>
      </c>
      <c r="U57" s="188">
        <f t="shared" si="143"/>
        <v>1.3890452862767919</v>
      </c>
      <c r="V57" s="188">
        <f t="shared" si="11"/>
        <v>0.34751709648325685</v>
      </c>
      <c r="W57" s="188">
        <f t="shared" si="144"/>
        <v>3.0746979783770656</v>
      </c>
      <c r="X57" s="172">
        <f t="shared" si="145"/>
        <v>350</v>
      </c>
      <c r="Y57" s="379">
        <f t="shared" si="14"/>
        <v>276.0741643809103</v>
      </c>
      <c r="AA57" s="188">
        <f t="shared" si="146"/>
        <v>1.1596877259666893</v>
      </c>
      <c r="AB57" s="150">
        <f t="shared" si="147"/>
        <v>2.5670073839968017</v>
      </c>
      <c r="AC57" s="150">
        <f t="shared" si="148"/>
        <v>0.52096221724521652</v>
      </c>
      <c r="AD57" s="150"/>
      <c r="AE57" s="150">
        <f t="shared" si="149"/>
        <v>2.2135332870381146</v>
      </c>
      <c r="AF57" s="314">
        <f t="shared" si="150"/>
        <v>563.80448729096111</v>
      </c>
      <c r="AG57" s="456">
        <f t="shared" si="151"/>
        <v>0.38736832523167009</v>
      </c>
      <c r="AI57" s="150">
        <f t="shared" si="152"/>
        <v>1.2692005214655642</v>
      </c>
      <c r="AJ57" s="150">
        <f t="shared" si="153"/>
        <v>1.3890452862767919</v>
      </c>
      <c r="AK57" s="150">
        <f t="shared" si="154"/>
        <v>1.4881816935383643</v>
      </c>
      <c r="AM57" s="314">
        <f t="shared" si="155"/>
        <v>624</v>
      </c>
      <c r="AN57" s="144">
        <f t="shared" si="156"/>
        <v>276.0741643809103</v>
      </c>
      <c r="AP57">
        <f t="shared" si="157"/>
        <v>624</v>
      </c>
      <c r="AQ57" s="144">
        <f t="shared" si="158"/>
        <v>276.0741643809103</v>
      </c>
      <c r="AR57" s="144"/>
      <c r="AS57" s="5">
        <f t="shared" si="101"/>
        <v>3.6222150748603226</v>
      </c>
      <c r="AT57" s="5">
        <f t="shared" si="159"/>
        <v>0.34751709648325685</v>
      </c>
      <c r="AU57" s="5">
        <f t="shared" si="102"/>
        <v>3.2746979783770658</v>
      </c>
      <c r="AV57" s="5">
        <f t="shared" si="160"/>
        <v>3.0746979783770656</v>
      </c>
      <c r="AW57" s="150">
        <f t="shared" si="103"/>
        <v>9.5940492019695317E-2</v>
      </c>
      <c r="AX57" s="150">
        <f t="shared" si="161"/>
        <v>3.1960224903025845</v>
      </c>
      <c r="AY57" s="150">
        <f t="shared" si="162"/>
        <v>0.62788979903687892</v>
      </c>
      <c r="AZ57" s="150">
        <f t="shared" si="104"/>
        <v>5.0901009941632562</v>
      </c>
      <c r="BA57" s="144">
        <f t="shared" si="163"/>
        <v>4.3370133641110451</v>
      </c>
      <c r="BB57" s="5">
        <f t="shared" si="164"/>
        <v>8.8755061234791724E-2</v>
      </c>
      <c r="BC57" s="5"/>
      <c r="BD57" s="150">
        <f t="shared" si="105"/>
        <v>0.24840294954022921</v>
      </c>
      <c r="BE57" s="150">
        <f t="shared" si="165"/>
        <v>0.76252535068392258</v>
      </c>
      <c r="BF57" s="150"/>
      <c r="BG57" s="456">
        <f t="shared" si="166"/>
        <v>1.2340805068057131E-3</v>
      </c>
      <c r="BH57" s="456">
        <f t="shared" si="167"/>
        <v>0.38411127758012087</v>
      </c>
      <c r="BI57" s="456">
        <f t="shared" si="168"/>
        <v>0.33104516633291747</v>
      </c>
      <c r="BJ57" s="456">
        <f t="shared" si="169"/>
        <v>7.8786715565045212E-2</v>
      </c>
      <c r="BK57">
        <f t="shared" si="170"/>
        <v>2.1584102255113261E-2</v>
      </c>
      <c r="BL57" s="144">
        <f t="shared" si="106"/>
        <v>352.62926858803075</v>
      </c>
      <c r="BM57" s="456">
        <f t="shared" si="171"/>
        <v>0.46460150469371453</v>
      </c>
      <c r="BN57" s="144">
        <f t="shared" si="107"/>
        <v>464.6015046937145</v>
      </c>
      <c r="BO57" s="456">
        <f t="shared" si="172"/>
        <v>0.38765999999999995</v>
      </c>
      <c r="BP57" s="456"/>
      <c r="BR57" s="144">
        <f t="shared" si="109"/>
        <v>387.65999999999997</v>
      </c>
      <c r="BS57" s="456">
        <f t="shared" si="173"/>
        <v>1.8511207602085696E-3</v>
      </c>
      <c r="BT57" s="456">
        <f t="shared" si="174"/>
        <v>1.7443347313069173E-2</v>
      </c>
      <c r="BU57" s="456">
        <f t="shared" si="175"/>
        <v>4.6800000000000001E-2</v>
      </c>
      <c r="BV57" s="456">
        <f t="shared" si="176"/>
        <v>7.0834477496027157E-2</v>
      </c>
      <c r="BW57" s="456">
        <f t="shared" si="177"/>
        <v>5.3267041505043083E-4</v>
      </c>
      <c r="BX57" s="144">
        <f t="shared" si="110"/>
        <v>71.367147911077595</v>
      </c>
      <c r="BY57" s="150">
        <f t="shared" si="45"/>
        <v>1.2762579211928229</v>
      </c>
      <c r="BZ57" s="5">
        <f t="shared" si="111"/>
        <v>3.12</v>
      </c>
      <c r="CA57" s="150">
        <f t="shared" si="112"/>
        <v>0.709694484702449</v>
      </c>
      <c r="CB57" s="5">
        <f t="shared" si="113"/>
        <v>70.969448470244899</v>
      </c>
      <c r="CE57" s="59">
        <f t="shared" si="178"/>
        <v>-50</v>
      </c>
      <c r="CF57">
        <f t="shared" si="179"/>
        <v>-50</v>
      </c>
      <c r="CG57" s="150">
        <f t="shared" si="180"/>
        <v>0.88314412515902219</v>
      </c>
      <c r="CI57" s="147">
        <v>52</v>
      </c>
      <c r="CJ57" s="188">
        <f t="shared" si="114"/>
        <v>0.624</v>
      </c>
      <c r="CK57" s="188"/>
      <c r="CL57" s="188">
        <f t="shared" si="49"/>
        <v>3.12</v>
      </c>
      <c r="CM57" s="465">
        <f t="shared" si="50"/>
        <v>48</v>
      </c>
      <c r="CN57" s="149">
        <f t="shared" si="51"/>
        <v>5.4</v>
      </c>
      <c r="CO57" s="379">
        <f t="shared" si="52"/>
        <v>53.4</v>
      </c>
      <c r="CP57" s="379"/>
      <c r="CQ57" s="188">
        <f t="shared" si="53"/>
        <v>0.10112359550561799</v>
      </c>
      <c r="CR57" s="149">
        <f t="shared" si="54"/>
        <v>12.426067415730339</v>
      </c>
      <c r="CS57" s="149">
        <f t="shared" si="115"/>
        <v>3.12</v>
      </c>
      <c r="CT57" s="188">
        <f t="shared" si="55"/>
        <v>2.4852134831460679</v>
      </c>
      <c r="CU57" s="188">
        <f t="shared" si="56"/>
        <v>5</v>
      </c>
      <c r="CV57" s="188">
        <f t="shared" si="57"/>
        <v>2.4269662921348316</v>
      </c>
      <c r="CW57" s="149">
        <f t="shared" si="58"/>
        <v>144.44025214320692</v>
      </c>
      <c r="CX57" s="149">
        <f t="shared" si="59"/>
        <v>5</v>
      </c>
      <c r="CY57" s="188">
        <f t="shared" si="60"/>
        <v>1.2855555555555556</v>
      </c>
      <c r="CZ57" s="188">
        <f t="shared" si="61"/>
        <v>0.32138888888888884</v>
      </c>
      <c r="DA57" s="188">
        <f t="shared" si="62"/>
        <v>2.8567901234567898</v>
      </c>
      <c r="DB57" s="172">
        <f t="shared" si="63"/>
        <v>350</v>
      </c>
      <c r="DC57" s="379">
        <f t="shared" si="116"/>
        <v>314.64558670719509</v>
      </c>
      <c r="DE57" s="188">
        <f t="shared" si="64"/>
        <v>1.1556982343499198</v>
      </c>
      <c r="DF57" s="150">
        <f t="shared" si="65"/>
        <v>2.5682182985553772</v>
      </c>
      <c r="DG57" s="150">
        <f t="shared" si="66"/>
        <v>0.51941493678648076</v>
      </c>
      <c r="DH57" s="150"/>
      <c r="DI57" s="150">
        <f t="shared" si="67"/>
        <v>2.2222222222222219</v>
      </c>
      <c r="DJ57" s="314">
        <f t="shared" si="117"/>
        <v>561.6</v>
      </c>
      <c r="DK57" s="456">
        <f t="shared" si="68"/>
        <v>0.38888888888888884</v>
      </c>
      <c r="DM57" s="150">
        <f t="shared" si="69"/>
        <v>1.2667167909881942</v>
      </c>
      <c r="DN57" s="150">
        <f t="shared" si="70"/>
        <v>1.2855555555555556</v>
      </c>
      <c r="DO57" s="150">
        <f t="shared" si="71"/>
        <v>1.4115226337448559</v>
      </c>
      <c r="DQ57" s="314">
        <f t="shared" si="72"/>
        <v>624</v>
      </c>
      <c r="DR57" s="144">
        <f t="shared" si="73"/>
        <v>314.64558670719509</v>
      </c>
      <c r="DT57">
        <f t="shared" si="74"/>
        <v>624</v>
      </c>
      <c r="DU57" s="144">
        <f t="shared" si="75"/>
        <v>314.64558670719509</v>
      </c>
      <c r="DV57" s="144"/>
      <c r="DW57" s="5">
        <f t="shared" si="118"/>
        <v>3.1781790123456788</v>
      </c>
      <c r="DX57" s="5">
        <f t="shared" si="76"/>
        <v>0.32138888888888884</v>
      </c>
      <c r="DY57" s="5">
        <f t="shared" si="119"/>
        <v>2.8567901234567898</v>
      </c>
      <c r="DZ57" s="5">
        <f t="shared" si="77"/>
        <v>2.8567901234567898</v>
      </c>
      <c r="EA57" s="150">
        <f t="shared" si="120"/>
        <v>0.10112359550561796</v>
      </c>
      <c r="EB57" s="150">
        <f t="shared" si="78"/>
        <v>3.12</v>
      </c>
      <c r="EC57" s="150">
        <f t="shared" si="79"/>
        <v>0.57777777777777772</v>
      </c>
      <c r="ED57" s="150">
        <f t="shared" si="121"/>
        <v>5.4</v>
      </c>
      <c r="EE57" s="144">
        <f t="shared" si="80"/>
        <v>4.010933333333333</v>
      </c>
      <c r="EF57" s="5">
        <f t="shared" si="81"/>
        <v>7.7371399176954708E-2</v>
      </c>
      <c r="EG57" s="5"/>
      <c r="EH57" s="150">
        <f t="shared" si="122"/>
        <v>0.23602416699865164</v>
      </c>
      <c r="EI57" s="150">
        <f t="shared" si="82"/>
        <v>0.70368810898899681</v>
      </c>
      <c r="EJ57" s="150"/>
      <c r="EK57" s="456">
        <f t="shared" si="83"/>
        <v>1.114148148148148E-3</v>
      </c>
      <c r="EL57" s="456">
        <f t="shared" si="84"/>
        <v>0.432</v>
      </c>
      <c r="EM57" s="456">
        <f t="shared" si="85"/>
        <v>3.9330698338399389E-2</v>
      </c>
      <c r="EN57" s="456">
        <f t="shared" si="86"/>
        <v>8.9723076923076919E-2</v>
      </c>
      <c r="EO57">
        <f t="shared" si="87"/>
        <v>2.1600000000000001E-2</v>
      </c>
      <c r="EP57" s="144">
        <f t="shared" si="123"/>
        <v>60.930698338399388</v>
      </c>
      <c r="EQ57" s="456">
        <f t="shared" si="88"/>
        <v>0.58422339996281991</v>
      </c>
      <c r="ER57" s="144">
        <f t="shared" si="124"/>
        <v>584.22339996281994</v>
      </c>
      <c r="ES57" s="456">
        <f t="shared" si="125"/>
        <v>0.38765999999999995</v>
      </c>
      <c r="ET57" s="456"/>
      <c r="EV57" s="144">
        <f t="shared" si="126"/>
        <v>387.65999999999997</v>
      </c>
      <c r="EW57" s="456">
        <f t="shared" si="89"/>
        <v>1.6712222222222219E-3</v>
      </c>
      <c r="EX57" s="456">
        <f t="shared" si="90"/>
        <v>1.4855308641975307E-2</v>
      </c>
      <c r="EY57" s="456">
        <f t="shared" si="91"/>
        <v>0.16453232685410404</v>
      </c>
      <c r="EZ57" s="456">
        <f t="shared" si="92"/>
        <v>0.18527017498691992</v>
      </c>
      <c r="FA57" s="456">
        <f t="shared" si="93"/>
        <v>5.1999999999999995E-4</v>
      </c>
      <c r="FB57" s="144">
        <f t="shared" si="127"/>
        <v>185.79017498691991</v>
      </c>
      <c r="FC57" s="150">
        <f t="shared" si="128"/>
        <v>1.1576735749497398</v>
      </c>
      <c r="FD57" s="5">
        <f t="shared" si="129"/>
        <v>3.12</v>
      </c>
      <c r="FE57" s="150">
        <f t="shared" si="130"/>
        <v>0.72936841611077319</v>
      </c>
      <c r="FF57" s="5">
        <f t="shared" si="131"/>
        <v>72.936841611077313</v>
      </c>
      <c r="FI57" s="59">
        <f t="shared" si="94"/>
        <v>-50</v>
      </c>
      <c r="FJ57">
        <f t="shared" si="95"/>
        <v>-50</v>
      </c>
      <c r="FL57">
        <f t="shared" si="181"/>
        <v>0.898876404494382</v>
      </c>
    </row>
    <row r="58" spans="5:168">
      <c r="E58" s="147">
        <v>53</v>
      </c>
      <c r="F58" s="188">
        <f t="shared" si="182"/>
        <v>0.63600000000000001</v>
      </c>
      <c r="G58" s="188"/>
      <c r="H58" s="188">
        <f t="shared" si="132"/>
        <v>3.18</v>
      </c>
      <c r="I58" s="465">
        <f t="shared" si="133"/>
        <v>47.964004385785159</v>
      </c>
      <c r="J58" s="149">
        <f t="shared" si="134"/>
        <v>5.4215973685289045</v>
      </c>
      <c r="K58" s="149">
        <f t="shared" si="135"/>
        <v>53.421597368528907</v>
      </c>
      <c r="L58" s="379"/>
      <c r="M58" s="188">
        <f t="shared" si="136"/>
        <v>0.10154918148801161</v>
      </c>
      <c r="N58" s="149">
        <f t="shared" si="137"/>
        <v>12.469005788835537</v>
      </c>
      <c r="O58" s="149">
        <f t="shared" si="98"/>
        <v>3.18</v>
      </c>
      <c r="P58" s="188">
        <f t="shared" si="138"/>
        <v>2.4938011577671073</v>
      </c>
      <c r="Q58" s="188">
        <f t="shared" si="139"/>
        <v>5</v>
      </c>
      <c r="R58" s="188">
        <f t="shared" si="140"/>
        <v>2.4353526931319411</v>
      </c>
      <c r="S58" s="149">
        <f t="shared" si="141"/>
        <v>140.70971100932246</v>
      </c>
      <c r="T58" s="149">
        <f t="shared" si="142"/>
        <v>5</v>
      </c>
      <c r="U58" s="188">
        <f t="shared" si="143"/>
        <v>1.4157703168512694</v>
      </c>
      <c r="V58" s="188">
        <f t="shared" si="11"/>
        <v>0.35420820300087885</v>
      </c>
      <c r="W58" s="188">
        <f t="shared" si="144"/>
        <v>3.1336232935396109</v>
      </c>
      <c r="X58" s="172">
        <f t="shared" si="145"/>
        <v>350</v>
      </c>
      <c r="Y58" s="379">
        <f t="shared" si="14"/>
        <v>271.16206392241293</v>
      </c>
      <c r="AA58" s="188">
        <f t="shared" si="146"/>
        <v>1.1597630367632998</v>
      </c>
      <c r="AB58" s="150">
        <f t="shared" si="147"/>
        <v>2.5669845057003702</v>
      </c>
      <c r="AC58" s="150">
        <f t="shared" si="148"/>
        <v>0.52099140548969491</v>
      </c>
      <c r="AD58" s="150"/>
      <c r="AE58" s="150">
        <f t="shared" si="149"/>
        <v>2.2133698215321509</v>
      </c>
      <c r="AF58" s="314">
        <f t="shared" si="150"/>
        <v>574.68932106406385</v>
      </c>
      <c r="AG58" s="456">
        <f t="shared" si="151"/>
        <v>0.3873397187681264</v>
      </c>
      <c r="AI58" s="150">
        <f t="shared" si="152"/>
        <v>1.2813935729331829</v>
      </c>
      <c r="AJ58" s="150">
        <f t="shared" si="153"/>
        <v>1.4157703168512694</v>
      </c>
      <c r="AK58" s="150">
        <f t="shared" si="154"/>
        <v>1.5079780124824218</v>
      </c>
      <c r="AM58" s="314">
        <f t="shared" si="155"/>
        <v>636</v>
      </c>
      <c r="AN58" s="144">
        <f t="shared" si="156"/>
        <v>271.16206392241293</v>
      </c>
      <c r="AP58">
        <f t="shared" si="157"/>
        <v>636</v>
      </c>
      <c r="AQ58" s="144">
        <f t="shared" si="158"/>
        <v>271.16206392241293</v>
      </c>
      <c r="AR58" s="144"/>
      <c r="AS58" s="5">
        <f t="shared" si="101"/>
        <v>3.6878314965404897</v>
      </c>
      <c r="AT58" s="5">
        <f t="shared" si="159"/>
        <v>0.35420820300087885</v>
      </c>
      <c r="AU58" s="5">
        <f t="shared" si="102"/>
        <v>3.3336232935396106</v>
      </c>
      <c r="AV58" s="5">
        <f t="shared" si="160"/>
        <v>3.1336232935396109</v>
      </c>
      <c r="AW58" s="150">
        <f t="shared" si="103"/>
        <v>9.6047827383967332E-2</v>
      </c>
      <c r="AX58" s="150">
        <f t="shared" si="161"/>
        <v>3.261112540457642</v>
      </c>
      <c r="AY58" s="150">
        <f t="shared" si="162"/>
        <v>0.63989432692149695</v>
      </c>
      <c r="AZ58" s="150">
        <f t="shared" si="104"/>
        <v>5.0963298208107402</v>
      </c>
      <c r="BA58" s="144">
        <f t="shared" si="163"/>
        <v>4.5055283421711785</v>
      </c>
      <c r="BB58" s="5">
        <f t="shared" si="164"/>
        <v>9.2090952798950243E-2</v>
      </c>
      <c r="BC58" s="5"/>
      <c r="BD58" s="150">
        <f t="shared" si="105"/>
        <v>0.25332377314627008</v>
      </c>
      <c r="BE58" s="150">
        <f t="shared" si="165"/>
        <v>0.77715009017005099</v>
      </c>
      <c r="BF58" s="150"/>
      <c r="BG58" s="456">
        <f t="shared" si="166"/>
        <v>1.283458680821258E-3</v>
      </c>
      <c r="BH58" s="456">
        <f t="shared" si="167"/>
        <v>0.38453854201357851</v>
      </c>
      <c r="BI58" s="456">
        <f t="shared" si="168"/>
        <v>0.32515046058082919</v>
      </c>
      <c r="BJ58" s="456">
        <f t="shared" si="169"/>
        <v>7.7386048361547777E-2</v>
      </c>
      <c r="BK58">
        <f t="shared" si="170"/>
        <v>2.1583801973603323E-2</v>
      </c>
      <c r="BL58" s="144">
        <f t="shared" si="106"/>
        <v>346.73426255443252</v>
      </c>
      <c r="BM58" s="456">
        <f t="shared" si="171"/>
        <v>0.46369598689014685</v>
      </c>
      <c r="BN58" s="144">
        <f t="shared" si="107"/>
        <v>463.69598689014686</v>
      </c>
      <c r="BO58" s="456">
        <f t="shared" si="172"/>
        <v>0.39511499999999999</v>
      </c>
      <c r="BP58" s="456"/>
      <c r="BR58" s="144">
        <f t="shared" si="109"/>
        <v>395.11500000000001</v>
      </c>
      <c r="BS58" s="456">
        <f t="shared" si="173"/>
        <v>1.9251880212318871E-3</v>
      </c>
      <c r="BT58" s="456">
        <f t="shared" si="174"/>
        <v>1.8118867879539549E-2</v>
      </c>
      <c r="BU58" s="456">
        <f t="shared" si="175"/>
        <v>4.7699999999999999E-2</v>
      </c>
      <c r="BV58" s="456">
        <f t="shared" si="176"/>
        <v>7.2671159299306107E-2</v>
      </c>
      <c r="BW58" s="456">
        <f t="shared" si="177"/>
        <v>5.4351875674294023E-4</v>
      </c>
      <c r="BX58" s="144">
        <f t="shared" si="110"/>
        <v>73.214678056049053</v>
      </c>
      <c r="BY58" s="150">
        <f t="shared" si="45"/>
        <v>1.2787599275006283</v>
      </c>
      <c r="BZ58" s="5">
        <f t="shared" si="111"/>
        <v>3.18</v>
      </c>
      <c r="CA58" s="150">
        <f t="shared" si="112"/>
        <v>0.71320278546204641</v>
      </c>
      <c r="CB58" s="5">
        <f t="shared" si="113"/>
        <v>71.320278546204634</v>
      </c>
      <c r="CE58" s="59">
        <f t="shared" si="178"/>
        <v>-50</v>
      </c>
      <c r="CF58">
        <f t="shared" si="179"/>
        <v>-50</v>
      </c>
      <c r="CG58" s="150">
        <f t="shared" si="180"/>
        <v>0.88344096061818</v>
      </c>
      <c r="CI58" s="147">
        <v>53</v>
      </c>
      <c r="CJ58" s="188">
        <f t="shared" si="114"/>
        <v>0.63600000000000001</v>
      </c>
      <c r="CK58" s="188"/>
      <c r="CL58" s="188">
        <f t="shared" si="49"/>
        <v>3.18</v>
      </c>
      <c r="CM58" s="465">
        <f t="shared" si="50"/>
        <v>48</v>
      </c>
      <c r="CN58" s="149">
        <f t="shared" si="51"/>
        <v>5.4</v>
      </c>
      <c r="CO58" s="379">
        <f t="shared" si="52"/>
        <v>53.4</v>
      </c>
      <c r="CP58" s="379"/>
      <c r="CQ58" s="188">
        <f t="shared" si="53"/>
        <v>0.10112359550561799</v>
      </c>
      <c r="CR58" s="149">
        <f t="shared" si="54"/>
        <v>12.426067415730339</v>
      </c>
      <c r="CS58" s="149">
        <f t="shared" si="115"/>
        <v>3.18</v>
      </c>
      <c r="CT58" s="188">
        <f t="shared" si="55"/>
        <v>2.4852134831460679</v>
      </c>
      <c r="CU58" s="188">
        <f t="shared" si="56"/>
        <v>5</v>
      </c>
      <c r="CV58" s="188">
        <f t="shared" si="57"/>
        <v>2.4269662921348316</v>
      </c>
      <c r="CW58" s="149">
        <f t="shared" si="58"/>
        <v>140.81520797623836</v>
      </c>
      <c r="CX58" s="149">
        <f t="shared" si="59"/>
        <v>5</v>
      </c>
      <c r="CY58" s="188">
        <f t="shared" si="60"/>
        <v>1.3102777777777777</v>
      </c>
      <c r="CZ58" s="188">
        <f t="shared" si="61"/>
        <v>0.32756944444444447</v>
      </c>
      <c r="DA58" s="188">
        <f t="shared" si="62"/>
        <v>2.9117283950617283</v>
      </c>
      <c r="DB58" s="172">
        <f t="shared" si="63"/>
        <v>350</v>
      </c>
      <c r="DC58" s="379">
        <f t="shared" si="116"/>
        <v>308.70887752404047</v>
      </c>
      <c r="DE58" s="188">
        <f t="shared" si="64"/>
        <v>1.1556982343499198</v>
      </c>
      <c r="DF58" s="150">
        <f t="shared" si="65"/>
        <v>2.5682182985553772</v>
      </c>
      <c r="DG58" s="150">
        <f t="shared" si="66"/>
        <v>0.51941493678648076</v>
      </c>
      <c r="DH58" s="150"/>
      <c r="DI58" s="150">
        <f t="shared" si="67"/>
        <v>2.2222222222222219</v>
      </c>
      <c r="DJ58" s="314">
        <f t="shared" si="117"/>
        <v>572.4</v>
      </c>
      <c r="DK58" s="456">
        <f t="shared" si="68"/>
        <v>0.38888888888888884</v>
      </c>
      <c r="DM58" s="150">
        <f t="shared" si="69"/>
        <v>1.2788387589639953</v>
      </c>
      <c r="DN58" s="150">
        <f t="shared" si="70"/>
        <v>1.3102777777777777</v>
      </c>
      <c r="DO58" s="150">
        <f t="shared" si="71"/>
        <v>1.429835390946502</v>
      </c>
      <c r="DQ58" s="314">
        <f t="shared" si="72"/>
        <v>636</v>
      </c>
      <c r="DR58" s="144">
        <f t="shared" si="73"/>
        <v>308.70887752404047</v>
      </c>
      <c r="DT58">
        <f t="shared" si="74"/>
        <v>636</v>
      </c>
      <c r="DU58" s="144">
        <f t="shared" si="75"/>
        <v>308.70887752404047</v>
      </c>
      <c r="DV58" s="144"/>
      <c r="DW58" s="5">
        <f t="shared" si="118"/>
        <v>3.2392978395061727</v>
      </c>
      <c r="DX58" s="5">
        <f t="shared" si="76"/>
        <v>0.32756944444444447</v>
      </c>
      <c r="DY58" s="5">
        <f t="shared" si="119"/>
        <v>2.9117283950617283</v>
      </c>
      <c r="DZ58" s="5">
        <f t="shared" si="77"/>
        <v>2.9117283950617283</v>
      </c>
      <c r="EA58" s="150">
        <f t="shared" si="120"/>
        <v>0.10112359550561799</v>
      </c>
      <c r="EB58" s="150">
        <f t="shared" si="78"/>
        <v>3.1799999999999993</v>
      </c>
      <c r="EC58" s="150">
        <f t="shared" si="79"/>
        <v>0.5888888888888888</v>
      </c>
      <c r="ED58" s="150">
        <f t="shared" si="121"/>
        <v>5.3999999999999995</v>
      </c>
      <c r="EE58" s="144">
        <f t="shared" si="80"/>
        <v>4.1666833333333342</v>
      </c>
      <c r="EF58" s="5">
        <f t="shared" si="81"/>
        <v>8.0375835905349788E-2</v>
      </c>
      <c r="EG58" s="5"/>
      <c r="EH58" s="150">
        <f t="shared" si="122"/>
        <v>0.24056309328708725</v>
      </c>
      <c r="EI58" s="150">
        <f t="shared" si="82"/>
        <v>0.71722057262340055</v>
      </c>
      <c r="EJ58" s="150"/>
      <c r="EK58" s="456">
        <f t="shared" si="83"/>
        <v>1.1574120370370369E-3</v>
      </c>
      <c r="EL58" s="456">
        <f t="shared" si="84"/>
        <v>0.43199999999999994</v>
      </c>
      <c r="EM58" s="456">
        <f t="shared" si="85"/>
        <v>3.8588609690505059E-2</v>
      </c>
      <c r="EN58" s="456">
        <f t="shared" si="86"/>
        <v>8.803018867924528E-2</v>
      </c>
      <c r="EO58">
        <f t="shared" si="87"/>
        <v>2.1600000000000001E-2</v>
      </c>
      <c r="EP58" s="144">
        <f t="shared" si="123"/>
        <v>60.188609690505061</v>
      </c>
      <c r="EQ58" s="456">
        <f t="shared" si="88"/>
        <v>0.58184872069501203</v>
      </c>
      <c r="ER58" s="144">
        <f t="shared" si="124"/>
        <v>581.84872069501205</v>
      </c>
      <c r="ES58" s="456">
        <f t="shared" si="125"/>
        <v>0.39511499999999999</v>
      </c>
      <c r="ET58" s="456"/>
      <c r="EV58" s="144">
        <f t="shared" si="126"/>
        <v>395.11500000000001</v>
      </c>
      <c r="EW58" s="456">
        <f t="shared" si="89"/>
        <v>1.7361180555555552E-3</v>
      </c>
      <c r="EX58" s="456">
        <f t="shared" si="90"/>
        <v>1.5432160493827157E-2</v>
      </c>
      <c r="EY58" s="456">
        <f t="shared" si="91"/>
        <v>0.16453232685410413</v>
      </c>
      <c r="EZ58" s="456">
        <f t="shared" si="92"/>
        <v>0.18607656139434103</v>
      </c>
      <c r="FA58" s="456">
        <f t="shared" si="93"/>
        <v>5.2999999999999987E-4</v>
      </c>
      <c r="FB58" s="144">
        <f t="shared" si="127"/>
        <v>186.60656139434104</v>
      </c>
      <c r="FC58" s="150">
        <f t="shared" si="128"/>
        <v>1.163570282089353</v>
      </c>
      <c r="FD58" s="5">
        <f t="shared" si="129"/>
        <v>3.18</v>
      </c>
      <c r="FE58" s="150">
        <f t="shared" si="130"/>
        <v>0.73211662146061784</v>
      </c>
      <c r="FF58" s="5">
        <f t="shared" si="131"/>
        <v>73.211662146061784</v>
      </c>
      <c r="FI58" s="59">
        <f t="shared" si="94"/>
        <v>-50</v>
      </c>
      <c r="FJ58">
        <f t="shared" si="95"/>
        <v>-50</v>
      </c>
      <c r="FL58">
        <f t="shared" si="181"/>
        <v>0.898876404494382</v>
      </c>
    </row>
    <row r="59" spans="5:168">
      <c r="E59" s="147">
        <v>54</v>
      </c>
      <c r="F59" s="188">
        <f t="shared" si="182"/>
        <v>0.64800000000000002</v>
      </c>
      <c r="G59" s="188"/>
      <c r="H59" s="188">
        <f t="shared" si="132"/>
        <v>3.24</v>
      </c>
      <c r="I59" s="465">
        <f t="shared" si="133"/>
        <v>47.963337085714286</v>
      </c>
      <c r="J59" s="149">
        <f t="shared" si="134"/>
        <v>5.421997748571429</v>
      </c>
      <c r="K59" s="149">
        <f t="shared" si="135"/>
        <v>53.421997748571428</v>
      </c>
      <c r="L59" s="379"/>
      <c r="M59" s="188">
        <f t="shared" si="136"/>
        <v>0.10155719110900023</v>
      </c>
      <c r="N59" s="149">
        <f t="shared" si="137"/>
        <v>12.469815784036566</v>
      </c>
      <c r="O59" s="149">
        <f t="shared" si="98"/>
        <v>3.24</v>
      </c>
      <c r="P59" s="188">
        <f t="shared" si="138"/>
        <v>2.4939631568073133</v>
      </c>
      <c r="Q59" s="188">
        <f t="shared" si="139"/>
        <v>5</v>
      </c>
      <c r="R59" s="188">
        <f t="shared" si="140"/>
        <v>2.4355108953196418</v>
      </c>
      <c r="S59" s="149">
        <f t="shared" si="141"/>
        <v>137.21980990614821</v>
      </c>
      <c r="T59" s="149">
        <f t="shared" si="142"/>
        <v>5</v>
      </c>
      <c r="U59" s="188">
        <f t="shared" si="143"/>
        <v>1.4424958240800307</v>
      </c>
      <c r="V59" s="188">
        <f t="shared" si="11"/>
        <v>0.36089961501273599</v>
      </c>
      <c r="W59" s="188">
        <f t="shared" si="144"/>
        <v>3.1925409584541309</v>
      </c>
      <c r="X59" s="172">
        <f t="shared" si="145"/>
        <v>350</v>
      </c>
      <c r="Y59" s="379">
        <f t="shared" si="14"/>
        <v>266.42222793375663</v>
      </c>
      <c r="AA59" s="188">
        <f t="shared" si="146"/>
        <v>1.1598383468131714</v>
      </c>
      <c r="AB59" s="150">
        <f t="shared" si="147"/>
        <v>2.5669616269068247</v>
      </c>
      <c r="AC59" s="150">
        <f t="shared" si="148"/>
        <v>0.52102059269478063</v>
      </c>
      <c r="AD59" s="150"/>
      <c r="AE59" s="150">
        <f t="shared" si="149"/>
        <v>2.2132063782508435</v>
      </c>
      <c r="AF59" s="314">
        <f t="shared" si="150"/>
        <v>585.5757568457143</v>
      </c>
      <c r="AG59" s="456">
        <f t="shared" si="151"/>
        <v>0.38731111619389763</v>
      </c>
      <c r="AI59" s="150">
        <f t="shared" si="152"/>
        <v>1.2934734597152564</v>
      </c>
      <c r="AJ59" s="150">
        <f t="shared" si="153"/>
        <v>1.4424958240800307</v>
      </c>
      <c r="AK59" s="150">
        <f t="shared" si="154"/>
        <v>1.5277746845037266</v>
      </c>
      <c r="AM59" s="314">
        <f t="shared" si="155"/>
        <v>648</v>
      </c>
      <c r="AN59" s="144">
        <f t="shared" si="156"/>
        <v>266.42222793375663</v>
      </c>
      <c r="AP59">
        <f t="shared" si="157"/>
        <v>648</v>
      </c>
      <c r="AQ59" s="144">
        <f t="shared" si="158"/>
        <v>266.42222793375663</v>
      </c>
      <c r="AR59" s="144"/>
      <c r="AS59" s="5">
        <f t="shared" si="101"/>
        <v>3.7534405734668677</v>
      </c>
      <c r="AT59" s="5">
        <f t="shared" si="159"/>
        <v>0.36089961501273599</v>
      </c>
      <c r="AU59" s="5">
        <f t="shared" si="102"/>
        <v>3.3925409584541315</v>
      </c>
      <c r="AV59" s="5">
        <f t="shared" si="160"/>
        <v>3.1925409584541309</v>
      </c>
      <c r="AW59" s="150">
        <f t="shared" si="103"/>
        <v>9.6151679492128161E-2</v>
      </c>
      <c r="AX59" s="150">
        <f t="shared" si="161"/>
        <v>3.3262189637915065</v>
      </c>
      <c r="AY59" s="150">
        <f t="shared" si="162"/>
        <v>0.65189871396717713</v>
      </c>
      <c r="AZ59" s="150">
        <f t="shared" si="104"/>
        <v>5.102355461862409</v>
      </c>
      <c r="BA59" s="144">
        <f t="shared" si="163"/>
        <v>4.6772590105650584</v>
      </c>
      <c r="BB59" s="5">
        <f t="shared" si="164"/>
        <v>9.5488149328066527E-2</v>
      </c>
      <c r="BC59" s="5"/>
      <c r="BD59" s="150">
        <f t="shared" si="105"/>
        <v>0.2582452692349762</v>
      </c>
      <c r="BE59" s="150">
        <f t="shared" si="165"/>
        <v>0.79177487230516708</v>
      </c>
      <c r="BF59" s="150"/>
      <c r="BG59" s="456">
        <f t="shared" si="166"/>
        <v>1.3338123816449068E-3</v>
      </c>
      <c r="BH59" s="456">
        <f t="shared" si="167"/>
        <v>0.38495185529447601</v>
      </c>
      <c r="BI59" s="456">
        <f t="shared" si="168"/>
        <v>0.3194624781378444</v>
      </c>
      <c r="BJ59" s="456">
        <f t="shared" si="169"/>
        <v>7.6034501881359365E-2</v>
      </c>
      <c r="BK59">
        <f t="shared" si="170"/>
        <v>2.1583501688571427E-2</v>
      </c>
      <c r="BL59" s="144">
        <f t="shared" si="106"/>
        <v>341.04597982641582</v>
      </c>
      <c r="BM59" s="456">
        <f t="shared" si="171"/>
        <v>0.46282697516609289</v>
      </c>
      <c r="BN59" s="144">
        <f t="shared" si="107"/>
        <v>462.82697516609289</v>
      </c>
      <c r="BO59" s="456">
        <f t="shared" si="172"/>
        <v>0.40256999999999998</v>
      </c>
      <c r="BP59" s="456"/>
      <c r="BR59" s="144">
        <f t="shared" si="109"/>
        <v>402.57</v>
      </c>
      <c r="BS59" s="456">
        <f t="shared" si="173"/>
        <v>2.0007185724673603E-3</v>
      </c>
      <c r="BT59" s="456">
        <f t="shared" si="174"/>
        <v>1.8807223452415908E-2</v>
      </c>
      <c r="BU59" s="456">
        <f t="shared" si="175"/>
        <v>4.8600000000000004E-2</v>
      </c>
      <c r="BV59" s="456">
        <f t="shared" si="176"/>
        <v>7.452590657031663E-2</v>
      </c>
      <c r="BW59" s="456">
        <f t="shared" si="177"/>
        <v>5.5436982729858443E-4</v>
      </c>
      <c r="BX59" s="144">
        <f t="shared" si="110"/>
        <v>75.080276397615222</v>
      </c>
      <c r="BY59" s="150">
        <f t="shared" si="45"/>
        <v>1.2815232313901239</v>
      </c>
      <c r="BZ59" s="5">
        <f t="shared" si="111"/>
        <v>3.24</v>
      </c>
      <c r="CA59" s="150">
        <f t="shared" si="112"/>
        <v>0.71657267566529237</v>
      </c>
      <c r="CB59" s="5">
        <f t="shared" si="113"/>
        <v>71.657267566529242</v>
      </c>
      <c r="CE59" s="59">
        <f t="shared" si="178"/>
        <v>-50</v>
      </c>
      <c r="CF59">
        <f t="shared" si="179"/>
        <v>-50</v>
      </c>
      <c r="CG59" s="150">
        <f t="shared" si="180"/>
        <v>0.88372680217144295</v>
      </c>
      <c r="CI59" s="147">
        <v>54</v>
      </c>
      <c r="CJ59" s="188">
        <f t="shared" si="114"/>
        <v>0.64800000000000002</v>
      </c>
      <c r="CK59" s="188"/>
      <c r="CL59" s="188">
        <f t="shared" si="49"/>
        <v>3.24</v>
      </c>
      <c r="CM59" s="465">
        <f t="shared" si="50"/>
        <v>48</v>
      </c>
      <c r="CN59" s="149">
        <f t="shared" si="51"/>
        <v>5.4</v>
      </c>
      <c r="CO59" s="379">
        <f t="shared" si="52"/>
        <v>53.4</v>
      </c>
      <c r="CP59" s="379"/>
      <c r="CQ59" s="188">
        <f t="shared" si="53"/>
        <v>0.10112359550561799</v>
      </c>
      <c r="CR59" s="149">
        <f t="shared" si="54"/>
        <v>12.426067415730339</v>
      </c>
      <c r="CS59" s="149">
        <f t="shared" si="115"/>
        <v>3.24</v>
      </c>
      <c r="CT59" s="188">
        <f t="shared" si="55"/>
        <v>2.4852134831460679</v>
      </c>
      <c r="CU59" s="188">
        <f t="shared" si="56"/>
        <v>5</v>
      </c>
      <c r="CV59" s="188">
        <f t="shared" si="57"/>
        <v>2.4269662921348316</v>
      </c>
      <c r="CW59" s="149">
        <f t="shared" si="58"/>
        <v>137.32459383737313</v>
      </c>
      <c r="CX59" s="149">
        <f t="shared" si="59"/>
        <v>5</v>
      </c>
      <c r="CY59" s="188">
        <f t="shared" si="60"/>
        <v>1.335</v>
      </c>
      <c r="CZ59" s="188">
        <f t="shared" si="61"/>
        <v>0.33374999999999999</v>
      </c>
      <c r="DA59" s="188">
        <f t="shared" si="62"/>
        <v>2.9666666666666663</v>
      </c>
      <c r="DB59" s="172">
        <f t="shared" si="63"/>
        <v>350</v>
      </c>
      <c r="DC59" s="379">
        <f t="shared" si="116"/>
        <v>302.99204645878052</v>
      </c>
      <c r="DE59" s="188">
        <f t="shared" si="64"/>
        <v>1.1556982343499198</v>
      </c>
      <c r="DF59" s="150">
        <f t="shared" si="65"/>
        <v>2.5682182985553772</v>
      </c>
      <c r="DG59" s="150">
        <f t="shared" si="66"/>
        <v>0.51941493678648076</v>
      </c>
      <c r="DH59" s="150"/>
      <c r="DI59" s="150">
        <f t="shared" si="67"/>
        <v>2.2222222222222219</v>
      </c>
      <c r="DJ59" s="314">
        <f t="shared" si="117"/>
        <v>583.20000000000005</v>
      </c>
      <c r="DK59" s="456">
        <f t="shared" si="68"/>
        <v>0.38888888888888884</v>
      </c>
      <c r="DM59" s="150">
        <f t="shared" si="69"/>
        <v>1.2908468980811452</v>
      </c>
      <c r="DN59" s="150">
        <f t="shared" si="70"/>
        <v>1.335</v>
      </c>
      <c r="DO59" s="150">
        <f t="shared" si="71"/>
        <v>1.4481481481481482</v>
      </c>
      <c r="DQ59" s="314">
        <f t="shared" si="72"/>
        <v>648</v>
      </c>
      <c r="DR59" s="144">
        <f t="shared" si="73"/>
        <v>302.99204645878052</v>
      </c>
      <c r="DT59">
        <f t="shared" si="74"/>
        <v>648</v>
      </c>
      <c r="DU59" s="144">
        <f t="shared" si="75"/>
        <v>302.99204645878052</v>
      </c>
      <c r="DV59" s="144"/>
      <c r="DW59" s="5">
        <f t="shared" si="118"/>
        <v>3.3004166666666661</v>
      </c>
      <c r="DX59" s="5">
        <f t="shared" si="76"/>
        <v>0.33374999999999999</v>
      </c>
      <c r="DY59" s="5">
        <f t="shared" si="119"/>
        <v>2.9666666666666659</v>
      </c>
      <c r="DZ59" s="5">
        <f t="shared" si="77"/>
        <v>2.9666666666666663</v>
      </c>
      <c r="EA59" s="150">
        <f t="shared" si="120"/>
        <v>0.10112359550561799</v>
      </c>
      <c r="EB59" s="150">
        <f t="shared" si="78"/>
        <v>3.2400000000000007</v>
      </c>
      <c r="EC59" s="150">
        <f t="shared" si="79"/>
        <v>0.6</v>
      </c>
      <c r="ED59" s="150">
        <f t="shared" si="121"/>
        <v>5.4000000000000012</v>
      </c>
      <c r="EE59" s="144">
        <f t="shared" si="80"/>
        <v>4.3254000000000001</v>
      </c>
      <c r="EF59" s="5">
        <f t="shared" si="81"/>
        <v>8.343749999999997E-2</v>
      </c>
      <c r="EG59" s="5"/>
      <c r="EH59" s="150">
        <f t="shared" si="122"/>
        <v>0.24510201957552288</v>
      </c>
      <c r="EI59" s="150">
        <f t="shared" si="82"/>
        <v>0.73075303625780441</v>
      </c>
      <c r="EJ59" s="150"/>
      <c r="EK59" s="456">
        <f t="shared" si="83"/>
        <v>1.2015000000000001E-3</v>
      </c>
      <c r="EL59" s="456">
        <f t="shared" si="84"/>
        <v>0.43200000000000011</v>
      </c>
      <c r="EM59" s="456">
        <f t="shared" si="85"/>
        <v>3.7874005807347559E-2</v>
      </c>
      <c r="EN59" s="456">
        <f t="shared" si="86"/>
        <v>8.6400000000000018E-2</v>
      </c>
      <c r="EO59">
        <f t="shared" si="87"/>
        <v>2.1600000000000001E-2</v>
      </c>
      <c r="EP59" s="144">
        <f t="shared" si="123"/>
        <v>59.474005807347559</v>
      </c>
      <c r="EQ59" s="456">
        <f t="shared" si="88"/>
        <v>0.57956536304075323</v>
      </c>
      <c r="ER59" s="144">
        <f t="shared" si="124"/>
        <v>579.56536304075325</v>
      </c>
      <c r="ES59" s="456">
        <f t="shared" si="125"/>
        <v>0.40256999999999998</v>
      </c>
      <c r="ET59" s="456"/>
      <c r="EV59" s="144">
        <f t="shared" si="126"/>
        <v>402.57</v>
      </c>
      <c r="EW59" s="456">
        <f t="shared" si="89"/>
        <v>1.80225E-3</v>
      </c>
      <c r="EX59" s="456">
        <f t="shared" si="90"/>
        <v>1.602E-2</v>
      </c>
      <c r="EY59" s="456">
        <f t="shared" si="91"/>
        <v>0.16453232685410432</v>
      </c>
      <c r="EZ59" s="456">
        <f t="shared" si="92"/>
        <v>0.18689839284465437</v>
      </c>
      <c r="FA59" s="456">
        <f t="shared" si="93"/>
        <v>5.4000000000000012E-4</v>
      </c>
      <c r="FB59" s="144">
        <f t="shared" si="127"/>
        <v>187.43839284465437</v>
      </c>
      <c r="FC59" s="150">
        <f t="shared" si="128"/>
        <v>1.1695737558854076</v>
      </c>
      <c r="FD59" s="5">
        <f t="shared" si="129"/>
        <v>3.24</v>
      </c>
      <c r="FE59" s="150">
        <f t="shared" si="130"/>
        <v>0.73476489551299817</v>
      </c>
      <c r="FF59" s="5">
        <f t="shared" si="131"/>
        <v>73.476489551299821</v>
      </c>
      <c r="FI59" s="59">
        <f t="shared" si="94"/>
        <v>-50</v>
      </c>
      <c r="FJ59">
        <f t="shared" si="95"/>
        <v>-50</v>
      </c>
      <c r="FL59">
        <f t="shared" si="181"/>
        <v>0.898876404494382</v>
      </c>
    </row>
    <row r="60" spans="5:168">
      <c r="E60" s="147">
        <v>55</v>
      </c>
      <c r="F60" s="188">
        <f t="shared" si="182"/>
        <v>0.66</v>
      </c>
      <c r="G60" s="188"/>
      <c r="H60" s="188">
        <f t="shared" si="132"/>
        <v>3.3000000000000003</v>
      </c>
      <c r="I60" s="465">
        <f t="shared" si="133"/>
        <v>47.962669778250934</v>
      </c>
      <c r="J60" s="149">
        <f t="shared" si="134"/>
        <v>5.4223981330494393</v>
      </c>
      <c r="K60" s="149">
        <f t="shared" si="135"/>
        <v>53.422398133049441</v>
      </c>
      <c r="L60" s="379"/>
      <c r="M60" s="188">
        <f t="shared" si="136"/>
        <v>0.10156520082411236</v>
      </c>
      <c r="N60" s="149">
        <f t="shared" si="137"/>
        <v>12.47062576150692</v>
      </c>
      <c r="O60" s="149">
        <f t="shared" si="98"/>
        <v>3.3000000000000003</v>
      </c>
      <c r="P60" s="188">
        <f t="shared" si="138"/>
        <v>2.4941251523013839</v>
      </c>
      <c r="Q60" s="188">
        <f t="shared" si="139"/>
        <v>5</v>
      </c>
      <c r="R60" s="188">
        <f t="shared" si="140"/>
        <v>2.4356690940443202</v>
      </c>
      <c r="S60" s="149">
        <f t="shared" si="141"/>
        <v>133.85700775942763</v>
      </c>
      <c r="T60" s="149">
        <f t="shared" si="142"/>
        <v>5</v>
      </c>
      <c r="U60" s="188">
        <f t="shared" si="143"/>
        <v>1.4692218079829542</v>
      </c>
      <c r="V60" s="188">
        <f t="shared" si="11"/>
        <v>0.36759133253650156</v>
      </c>
      <c r="W60" s="188">
        <f t="shared" si="144"/>
        <v>3.2514509748623621</v>
      </c>
      <c r="X60" s="172">
        <f t="shared" si="145"/>
        <v>350</v>
      </c>
      <c r="Y60" s="379">
        <f t="shared" si="14"/>
        <v>261.84575071678023</v>
      </c>
      <c r="AA60" s="188">
        <f t="shared" si="146"/>
        <v>1.1599136560672334</v>
      </c>
      <c r="AB60" s="150">
        <f t="shared" si="147"/>
        <v>2.566938747631037</v>
      </c>
      <c r="AC60" s="150">
        <f t="shared" si="148"/>
        <v>0.52104977884143833</v>
      </c>
      <c r="AD60" s="150"/>
      <c r="AE60" s="150">
        <f t="shared" si="149"/>
        <v>2.2130429572959929</v>
      </c>
      <c r="AF60" s="314">
        <f t="shared" si="150"/>
        <v>596.46379463543826</v>
      </c>
      <c r="AG60" s="456">
        <f t="shared" si="151"/>
        <v>0.38728251752679871</v>
      </c>
      <c r="AI60" s="150">
        <f t="shared" si="152"/>
        <v>1.3054433233147147</v>
      </c>
      <c r="AJ60" s="150">
        <f t="shared" si="153"/>
        <v>1.4692218079829542</v>
      </c>
      <c r="AK60" s="150">
        <f t="shared" si="154"/>
        <v>1.547571709617003</v>
      </c>
      <c r="AM60" s="314">
        <f t="shared" si="155"/>
        <v>660</v>
      </c>
      <c r="AN60" s="144">
        <f t="shared" si="156"/>
        <v>261.84575071678023</v>
      </c>
      <c r="AP60">
        <f t="shared" si="157"/>
        <v>660</v>
      </c>
      <c r="AQ60">
        <f t="shared" si="158"/>
        <v>261.84575071678023</v>
      </c>
      <c r="AS60" s="5">
        <f t="shared" si="101"/>
        <v>3.8190423073988637</v>
      </c>
      <c r="AT60" s="5">
        <f t="shared" si="159"/>
        <v>0.36759133253650156</v>
      </c>
      <c r="AU60" s="5">
        <f t="shared" si="102"/>
        <v>3.4514509748623623</v>
      </c>
      <c r="AV60" s="5">
        <f t="shared" si="160"/>
        <v>3.2514509748623621</v>
      </c>
      <c r="AW60" s="150">
        <f t="shared" si="103"/>
        <v>9.6252228425001848E-2</v>
      </c>
      <c r="AX60" s="150">
        <f t="shared" si="161"/>
        <v>3.3913414107050168</v>
      </c>
      <c r="AY60" s="150">
        <f t="shared" si="162"/>
        <v>0.6639029674569924</v>
      </c>
      <c r="AZ60" s="150">
        <f t="shared" si="104"/>
        <v>5.1081883602586968</v>
      </c>
      <c r="BA60" s="144">
        <f t="shared" si="163"/>
        <v>4.8522055894818203</v>
      </c>
      <c r="BB60" s="5">
        <f t="shared" si="164"/>
        <v>9.8946641468814669E-2</v>
      </c>
      <c r="BC60" s="5"/>
      <c r="BD60" s="150">
        <f t="shared" si="105"/>
        <v>0.26316742751075117</v>
      </c>
      <c r="BE60" s="150">
        <f t="shared" si="165"/>
        <v>0.80639970162544539</v>
      </c>
      <c r="BF60" s="150"/>
      <c r="BG60" s="456">
        <f t="shared" si="166"/>
        <v>1.3851418980525296E-3</v>
      </c>
      <c r="BH60" s="456">
        <f t="shared" si="167"/>
        <v>0.38535193865764084</v>
      </c>
      <c r="BI60" s="456">
        <f t="shared" si="168"/>
        <v>0.31397053186167856</v>
      </c>
      <c r="BJ60" s="456">
        <f t="shared" si="169"/>
        <v>7.4729536689261286E-2</v>
      </c>
      <c r="BK60">
        <f t="shared" si="170"/>
        <v>2.1583201400212918E-2</v>
      </c>
      <c r="BL60" s="144">
        <f t="shared" si="106"/>
        <v>335.55373326189147</v>
      </c>
      <c r="BM60" s="456">
        <f t="shared" si="171"/>
        <v>0.46199265182739335</v>
      </c>
      <c r="BN60" s="144">
        <f t="shared" si="107"/>
        <v>461.99265182739333</v>
      </c>
      <c r="BO60" s="456">
        <f t="shared" si="172"/>
        <v>0.41002499999999997</v>
      </c>
      <c r="BP60" s="456"/>
      <c r="BR60" s="144">
        <f t="shared" si="109"/>
        <v>410.02499999999998</v>
      </c>
      <c r="BS60" s="456">
        <f t="shared" si="173"/>
        <v>2.0777128470787945E-3</v>
      </c>
      <c r="BT60" s="456">
        <f t="shared" si="174"/>
        <v>1.9508414363448218E-2</v>
      </c>
      <c r="BU60" s="456">
        <f t="shared" si="175"/>
        <v>4.9500000000000002E-2</v>
      </c>
      <c r="BV60" s="456">
        <f t="shared" si="176"/>
        <v>7.6398729957340039E-2</v>
      </c>
      <c r="BW60" s="456">
        <f t="shared" si="177"/>
        <v>5.6522356845083621E-4</v>
      </c>
      <c r="BX60" s="144">
        <f t="shared" si="110"/>
        <v>76.96395352579087</v>
      </c>
      <c r="BY60" s="150">
        <f t="shared" si="45"/>
        <v>1.2845353386150755</v>
      </c>
      <c r="BZ60" s="5">
        <f t="shared" si="111"/>
        <v>3.3000000000000003</v>
      </c>
      <c r="CA60" s="150">
        <f t="shared" si="112"/>
        <v>0.71981122540477216</v>
      </c>
      <c r="CB60" s="5">
        <f t="shared" si="113"/>
        <v>71.981122540477216</v>
      </c>
      <c r="CE60" s="59">
        <f t="shared" si="178"/>
        <v>-50</v>
      </c>
      <c r="CF60">
        <f t="shared" si="179"/>
        <v>-50</v>
      </c>
      <c r="CG60" s="150">
        <f t="shared" si="180"/>
        <v>0.88400224948640549</v>
      </c>
      <c r="CI60" s="147">
        <v>55</v>
      </c>
      <c r="CJ60" s="188">
        <f t="shared" si="114"/>
        <v>0.66</v>
      </c>
      <c r="CK60" s="188"/>
      <c r="CL60" s="188">
        <f t="shared" si="49"/>
        <v>3.3000000000000003</v>
      </c>
      <c r="CM60" s="465">
        <f t="shared" si="50"/>
        <v>48</v>
      </c>
      <c r="CN60" s="149">
        <f t="shared" si="51"/>
        <v>5.4</v>
      </c>
      <c r="CO60" s="379">
        <f t="shared" si="52"/>
        <v>53.4</v>
      </c>
      <c r="CP60" s="379"/>
      <c r="CQ60" s="188">
        <f t="shared" si="53"/>
        <v>0.10112359550561799</v>
      </c>
      <c r="CR60" s="149">
        <f t="shared" si="54"/>
        <v>12.426067415730339</v>
      </c>
      <c r="CS60" s="149">
        <f t="shared" si="115"/>
        <v>3.3000000000000003</v>
      </c>
      <c r="CT60" s="188">
        <f t="shared" si="55"/>
        <v>2.4852134831460679</v>
      </c>
      <c r="CU60" s="188">
        <f t="shared" si="56"/>
        <v>5</v>
      </c>
      <c r="CV60" s="188">
        <f t="shared" si="57"/>
        <v>2.4269662921348316</v>
      </c>
      <c r="CW60" s="149">
        <f t="shared" si="58"/>
        <v>133.96108034170641</v>
      </c>
      <c r="CX60" s="149">
        <f t="shared" si="59"/>
        <v>5</v>
      </c>
      <c r="CY60" s="188">
        <f t="shared" si="60"/>
        <v>1.3597222222222223</v>
      </c>
      <c r="CZ60" s="188">
        <f t="shared" si="61"/>
        <v>0.33993055555555562</v>
      </c>
      <c r="DA60" s="188">
        <f t="shared" si="62"/>
        <v>3.0216049382716053</v>
      </c>
      <c r="DB60" s="172">
        <f t="shared" si="63"/>
        <v>350</v>
      </c>
      <c r="DC60" s="379">
        <f t="shared" si="116"/>
        <v>297.4831001595299</v>
      </c>
      <c r="DE60" s="188">
        <f t="shared" si="64"/>
        <v>1.1556982343499198</v>
      </c>
      <c r="DF60" s="150">
        <f t="shared" si="65"/>
        <v>2.5682182985553772</v>
      </c>
      <c r="DG60" s="150">
        <f t="shared" si="66"/>
        <v>0.51941493678648076</v>
      </c>
      <c r="DH60" s="150"/>
      <c r="DI60" s="150">
        <f t="shared" si="67"/>
        <v>2.2222222222222219</v>
      </c>
      <c r="DJ60" s="314">
        <f t="shared" si="117"/>
        <v>594.00000000000011</v>
      </c>
      <c r="DK60" s="456">
        <f t="shared" si="68"/>
        <v>0.38888888888888884</v>
      </c>
      <c r="DM60" s="150">
        <f t="shared" si="69"/>
        <v>1.3027443560203427</v>
      </c>
      <c r="DN60" s="150">
        <f t="shared" si="70"/>
        <v>1.3597222222222223</v>
      </c>
      <c r="DO60" s="150">
        <f t="shared" si="71"/>
        <v>1.4664609053497943</v>
      </c>
      <c r="DQ60" s="314">
        <f t="shared" si="72"/>
        <v>660</v>
      </c>
      <c r="DR60" s="144">
        <f t="shared" si="73"/>
        <v>297.4831001595299</v>
      </c>
      <c r="DT60">
        <f t="shared" si="74"/>
        <v>660</v>
      </c>
      <c r="DU60">
        <f t="shared" si="75"/>
        <v>297.4831001595299</v>
      </c>
      <c r="DW60" s="5">
        <f t="shared" si="118"/>
        <v>3.3615354938271609</v>
      </c>
      <c r="DX60" s="5">
        <f t="shared" si="76"/>
        <v>0.33993055555555562</v>
      </c>
      <c r="DY60" s="5">
        <f t="shared" si="119"/>
        <v>3.0216049382716053</v>
      </c>
      <c r="DZ60" s="5">
        <f t="shared" si="77"/>
        <v>3.0216049382716053</v>
      </c>
      <c r="EA60" s="150">
        <f t="shared" si="120"/>
        <v>0.10112359550561799</v>
      </c>
      <c r="EB60" s="150">
        <f t="shared" si="78"/>
        <v>3.3000000000000003</v>
      </c>
      <c r="EC60" s="150">
        <f t="shared" si="79"/>
        <v>0.61111111111111116</v>
      </c>
      <c r="ED60" s="150">
        <f t="shared" si="121"/>
        <v>5.4</v>
      </c>
      <c r="EE60" s="144">
        <f t="shared" si="80"/>
        <v>4.4870833333333344</v>
      </c>
      <c r="EF60" s="5">
        <f t="shared" si="81"/>
        <v>8.6556391460905352E-2</v>
      </c>
      <c r="EG60" s="5"/>
      <c r="EH60" s="150">
        <f t="shared" si="122"/>
        <v>0.24964094586395852</v>
      </c>
      <c r="EI60" s="150">
        <f t="shared" si="82"/>
        <v>0.74428549989220827</v>
      </c>
      <c r="EJ60" s="150"/>
      <c r="EK60" s="456">
        <f t="shared" si="83"/>
        <v>1.2464120370370374E-3</v>
      </c>
      <c r="EL60" s="456">
        <f t="shared" si="84"/>
        <v>0.432</v>
      </c>
      <c r="EM60" s="456">
        <f t="shared" si="85"/>
        <v>3.7185387519941236E-2</v>
      </c>
      <c r="EN60" s="456">
        <f t="shared" si="86"/>
        <v>8.482909090909091E-2</v>
      </c>
      <c r="EO60">
        <f t="shared" si="87"/>
        <v>2.1600000000000001E-2</v>
      </c>
      <c r="EP60" s="144">
        <f t="shared" si="123"/>
        <v>58.785387519941239</v>
      </c>
      <c r="EQ60" s="456">
        <f t="shared" si="88"/>
        <v>0.57736840792665556</v>
      </c>
      <c r="ER60" s="144">
        <f t="shared" si="124"/>
        <v>577.36840792665555</v>
      </c>
      <c r="ES60" s="456">
        <f t="shared" si="125"/>
        <v>0.41002499999999997</v>
      </c>
      <c r="ET60" s="456"/>
      <c r="EV60" s="144">
        <f t="shared" si="126"/>
        <v>410.02499999999998</v>
      </c>
      <c r="EW60" s="456">
        <f t="shared" si="89"/>
        <v>1.869618055555556E-3</v>
      </c>
      <c r="EX60" s="456">
        <f t="shared" si="90"/>
        <v>1.6618827160493829E-2</v>
      </c>
      <c r="EY60" s="456">
        <f t="shared" si="91"/>
        <v>0.16453232685410407</v>
      </c>
      <c r="EZ60" s="456">
        <f t="shared" si="92"/>
        <v>0.18773567418017958</v>
      </c>
      <c r="FA60" s="456">
        <f t="shared" si="93"/>
        <v>5.5000000000000014E-4</v>
      </c>
      <c r="FB60" s="144">
        <f t="shared" si="127"/>
        <v>188.28567418017957</v>
      </c>
      <c r="FC60" s="150">
        <f t="shared" si="128"/>
        <v>1.1756790821068352</v>
      </c>
      <c r="FD60" s="5">
        <f t="shared" si="129"/>
        <v>3.3000000000000003</v>
      </c>
      <c r="FE60" s="150">
        <f t="shared" si="130"/>
        <v>0.73731827940768979</v>
      </c>
      <c r="FF60" s="5">
        <f t="shared" si="131"/>
        <v>73.73182794076898</v>
      </c>
      <c r="FI60" s="59">
        <f t="shared" si="94"/>
        <v>-50</v>
      </c>
      <c r="FJ60">
        <f t="shared" si="95"/>
        <v>-50</v>
      </c>
      <c r="FL60">
        <f t="shared" si="181"/>
        <v>0.898876404494382</v>
      </c>
    </row>
    <row r="61" spans="5:168">
      <c r="E61" s="147">
        <v>56</v>
      </c>
      <c r="F61" s="188">
        <f t="shared" si="182"/>
        <v>0.67200000000000004</v>
      </c>
      <c r="G61" s="188"/>
      <c r="H61" s="188">
        <f t="shared" si="132"/>
        <v>3.3600000000000003</v>
      </c>
      <c r="I61" s="465">
        <f t="shared" si="133"/>
        <v>47.962002463797674</v>
      </c>
      <c r="J61" s="149">
        <f t="shared" si="134"/>
        <v>5.4227985217213952</v>
      </c>
      <c r="K61" s="149">
        <f t="shared" si="135"/>
        <v>53.422798521721397</v>
      </c>
      <c r="L61" s="379"/>
      <c r="M61" s="188">
        <f t="shared" si="136"/>
        <v>0.10157321063258672</v>
      </c>
      <c r="N61" s="149">
        <f t="shared" si="137"/>
        <v>12.471435721256869</v>
      </c>
      <c r="O61" s="149">
        <f t="shared" si="98"/>
        <v>3.3600000000000003</v>
      </c>
      <c r="P61" s="188">
        <f t="shared" si="138"/>
        <v>2.4942871442513739</v>
      </c>
      <c r="Q61" s="188">
        <f t="shared" si="139"/>
        <v>5</v>
      </c>
      <c r="R61" s="188">
        <f t="shared" si="140"/>
        <v>2.4358272893079822</v>
      </c>
      <c r="S61" s="149">
        <f t="shared" si="141"/>
        <v>130.61449888146626</v>
      </c>
      <c r="T61" s="149">
        <f t="shared" si="142"/>
        <v>5</v>
      </c>
      <c r="U61" s="188">
        <f t="shared" si="143"/>
        <v>1.4959482685799217</v>
      </c>
      <c r="V61" s="188">
        <f t="shared" si="11"/>
        <v>0.37428335558985448</v>
      </c>
      <c r="W61" s="188">
        <f t="shared" si="144"/>
        <v>3.3103533445053448</v>
      </c>
      <c r="X61" s="172">
        <f t="shared" si="145"/>
        <v>350</v>
      </c>
      <c r="Y61" s="379">
        <f t="shared" si="14"/>
        <v>257.42433004751598</v>
      </c>
      <c r="AA61" s="188">
        <f t="shared" si="146"/>
        <v>1.1599889644799763</v>
      </c>
      <c r="AB61" s="150">
        <f t="shared" si="147"/>
        <v>2.5669158678867974</v>
      </c>
      <c r="AC61" s="150">
        <f t="shared" si="148"/>
        <v>0.52107896391201447</v>
      </c>
      <c r="AD61" s="150"/>
      <c r="AE61" s="150">
        <f t="shared" si="149"/>
        <v>2.2128795587616188</v>
      </c>
      <c r="AF61" s="314">
        <f t="shared" si="150"/>
        <v>607.35343443279635</v>
      </c>
      <c r="AG61" s="456">
        <f t="shared" si="151"/>
        <v>0.38725392278328324</v>
      </c>
      <c r="AI61" s="150">
        <f t="shared" si="152"/>
        <v>1.3173061629518199</v>
      </c>
      <c r="AJ61" s="150">
        <f t="shared" si="153"/>
        <v>1.4959482685799217</v>
      </c>
      <c r="AK61" s="150">
        <f t="shared" si="154"/>
        <v>1.567369087836979</v>
      </c>
      <c r="AM61" s="314">
        <f t="shared" si="155"/>
        <v>672</v>
      </c>
      <c r="AN61" s="144">
        <f t="shared" si="156"/>
        <v>257.42433004751598</v>
      </c>
      <c r="AP61">
        <f t="shared" si="157"/>
        <v>672</v>
      </c>
      <c r="AQ61">
        <f t="shared" si="158"/>
        <v>257.42433004751598</v>
      </c>
      <c r="AS61" s="5">
        <f t="shared" si="101"/>
        <v>3.8846367000951996</v>
      </c>
      <c r="AT61" s="5">
        <f t="shared" si="159"/>
        <v>0.37428335558985448</v>
      </c>
      <c r="AU61" s="5">
        <f t="shared" si="102"/>
        <v>3.510353344505345</v>
      </c>
      <c r="AV61" s="5">
        <f t="shared" si="160"/>
        <v>3.3103533445053448</v>
      </c>
      <c r="AW61" s="150">
        <f t="shared" si="103"/>
        <v>9.6349642060654481E-2</v>
      </c>
      <c r="AX61" s="150">
        <f t="shared" si="161"/>
        <v>3.4564795552887966</v>
      </c>
      <c r="AY61" s="150">
        <f t="shared" si="162"/>
        <v>0.67590709418049522</v>
      </c>
      <c r="AZ61" s="150">
        <f t="shared" si="104"/>
        <v>5.1138382553590613</v>
      </c>
      <c r="BA61" s="144">
        <f t="shared" si="163"/>
        <v>5.0303682991276437</v>
      </c>
      <c r="BB61" s="5">
        <f t="shared" si="164"/>
        <v>0.10246641987095942</v>
      </c>
      <c r="BC61" s="5"/>
      <c r="BD61" s="150">
        <f t="shared" si="105"/>
        <v>0.26809023838182411</v>
      </c>
      <c r="BE61" s="150">
        <f t="shared" si="165"/>
        <v>0.82102458236043818</v>
      </c>
      <c r="BF61" s="150"/>
      <c r="BG61" s="456">
        <f t="shared" si="166"/>
        <v>1.4374475183124655E-3</v>
      </c>
      <c r="BH61" s="456">
        <f t="shared" si="167"/>
        <v>0.38573946446509688</v>
      </c>
      <c r="BI61" s="456">
        <f t="shared" si="168"/>
        <v>0.30866465879951066</v>
      </c>
      <c r="BJ61" s="456">
        <f t="shared" si="169"/>
        <v>7.3468785429085179E-2</v>
      </c>
      <c r="BK61">
        <f t="shared" si="170"/>
        <v>2.1582901108708953E-2</v>
      </c>
      <c r="BL61" s="144">
        <f t="shared" si="106"/>
        <v>330.24755990821961</v>
      </c>
      <c r="BM61" s="456">
        <f t="shared" si="171"/>
        <v>0.46119132238770655</v>
      </c>
      <c r="BN61" s="144">
        <f t="shared" si="107"/>
        <v>461.19132238770652</v>
      </c>
      <c r="BO61" s="456">
        <f t="shared" si="172"/>
        <v>0.41747999999999996</v>
      </c>
      <c r="BP61" s="456"/>
      <c r="BR61" s="144">
        <f t="shared" si="109"/>
        <v>417.47999999999996</v>
      </c>
      <c r="BS61" s="456">
        <f t="shared" si="173"/>
        <v>2.1561712774686983E-3</v>
      </c>
      <c r="BT61" s="456">
        <f t="shared" si="174"/>
        <v>2.0222440945203958E-2</v>
      </c>
      <c r="BU61" s="456">
        <f t="shared" si="175"/>
        <v>5.04E-2</v>
      </c>
      <c r="BV61" s="456">
        <f t="shared" si="176"/>
        <v>7.8289640236105795E-2</v>
      </c>
      <c r="BW61" s="456">
        <f t="shared" si="177"/>
        <v>5.7607992588146607E-4</v>
      </c>
      <c r="BX61" s="144">
        <f t="shared" si="110"/>
        <v>78.865720161987255</v>
      </c>
      <c r="BY61" s="150">
        <f t="shared" si="45"/>
        <v>1.2877846024579134</v>
      </c>
      <c r="BZ61" s="5">
        <f t="shared" si="111"/>
        <v>3.3600000000000003</v>
      </c>
      <c r="CA61" s="150">
        <f t="shared" si="112"/>
        <v>0.72292506804706769</v>
      </c>
      <c r="CB61" s="5">
        <f t="shared" si="113"/>
        <v>72.292506804706775</v>
      </c>
      <c r="CE61" s="59">
        <f t="shared" si="178"/>
        <v>-50</v>
      </c>
      <c r="CF61">
        <f t="shared" si="179"/>
        <v>-50</v>
      </c>
      <c r="CG61" s="150">
        <f t="shared" si="180"/>
        <v>0.88426785939726227</v>
      </c>
      <c r="CI61" s="147">
        <v>56</v>
      </c>
      <c r="CJ61" s="188">
        <f t="shared" si="114"/>
        <v>0.67200000000000004</v>
      </c>
      <c r="CK61" s="188"/>
      <c r="CL61" s="188">
        <f t="shared" si="49"/>
        <v>3.3600000000000003</v>
      </c>
      <c r="CM61" s="465">
        <f t="shared" si="50"/>
        <v>48</v>
      </c>
      <c r="CN61" s="149">
        <f t="shared" si="51"/>
        <v>5.4</v>
      </c>
      <c r="CO61" s="379">
        <f t="shared" si="52"/>
        <v>53.4</v>
      </c>
      <c r="CP61" s="379"/>
      <c r="CQ61" s="188">
        <f t="shared" si="53"/>
        <v>0.10112359550561799</v>
      </c>
      <c r="CR61" s="149">
        <f t="shared" si="54"/>
        <v>12.426067415730339</v>
      </c>
      <c r="CS61" s="149">
        <f t="shared" si="115"/>
        <v>3.3600000000000003</v>
      </c>
      <c r="CT61" s="188">
        <f t="shared" si="55"/>
        <v>2.4852134831460679</v>
      </c>
      <c r="CU61" s="188">
        <f t="shared" si="56"/>
        <v>5</v>
      </c>
      <c r="CV61" s="188">
        <f t="shared" si="57"/>
        <v>2.4269662921348316</v>
      </c>
      <c r="CW61" s="149">
        <f t="shared" si="58"/>
        <v>130.7178617099012</v>
      </c>
      <c r="CX61" s="149">
        <f t="shared" si="59"/>
        <v>5</v>
      </c>
      <c r="CY61" s="188">
        <f t="shared" si="60"/>
        <v>1.3844444444444446</v>
      </c>
      <c r="CZ61" s="188">
        <f t="shared" si="61"/>
        <v>0.34611111111111115</v>
      </c>
      <c r="DA61" s="188">
        <f t="shared" si="62"/>
        <v>3.0765432098765437</v>
      </c>
      <c r="DB61" s="172">
        <f t="shared" si="63"/>
        <v>350</v>
      </c>
      <c r="DC61" s="379">
        <f t="shared" si="116"/>
        <v>292.1709019423954</v>
      </c>
      <c r="DE61" s="188">
        <f t="shared" si="64"/>
        <v>1.1556982343499198</v>
      </c>
      <c r="DF61" s="150">
        <f t="shared" si="65"/>
        <v>2.5682182985553772</v>
      </c>
      <c r="DG61" s="150">
        <f t="shared" si="66"/>
        <v>0.51941493678648076</v>
      </c>
      <c r="DH61" s="150"/>
      <c r="DI61" s="150">
        <f t="shared" si="67"/>
        <v>2.2222222222222219</v>
      </c>
      <c r="DJ61" s="314">
        <f t="shared" si="117"/>
        <v>604.80000000000007</v>
      </c>
      <c r="DK61" s="456">
        <f t="shared" si="68"/>
        <v>0.38888888888888884</v>
      </c>
      <c r="DM61" s="150">
        <f t="shared" si="69"/>
        <v>1.3145341380123989</v>
      </c>
      <c r="DN61" s="150">
        <f t="shared" si="70"/>
        <v>1.3844444444444446</v>
      </c>
      <c r="DO61" s="150">
        <f t="shared" si="71"/>
        <v>1.4847736625514405</v>
      </c>
      <c r="DQ61" s="314">
        <f t="shared" si="72"/>
        <v>672</v>
      </c>
      <c r="DR61" s="144">
        <f t="shared" si="73"/>
        <v>292.1709019423954</v>
      </c>
      <c r="DT61">
        <f t="shared" si="74"/>
        <v>672</v>
      </c>
      <c r="DU61">
        <f t="shared" si="75"/>
        <v>292.1709019423954</v>
      </c>
      <c r="DW61" s="5">
        <f t="shared" si="118"/>
        <v>3.4226543209876548</v>
      </c>
      <c r="DX61" s="5">
        <f t="shared" si="76"/>
        <v>0.34611111111111115</v>
      </c>
      <c r="DY61" s="5">
        <f t="shared" si="119"/>
        <v>3.0765432098765437</v>
      </c>
      <c r="DZ61" s="5">
        <f t="shared" si="77"/>
        <v>3.0765432098765437</v>
      </c>
      <c r="EA61" s="150">
        <f t="shared" si="120"/>
        <v>0.10112359550561797</v>
      </c>
      <c r="EB61" s="150">
        <f t="shared" si="78"/>
        <v>3.3600000000000008</v>
      </c>
      <c r="EC61" s="150">
        <f t="shared" si="79"/>
        <v>0.62222222222222223</v>
      </c>
      <c r="ED61" s="150">
        <f t="shared" si="121"/>
        <v>5.4000000000000012</v>
      </c>
      <c r="EE61" s="144">
        <f t="shared" si="80"/>
        <v>4.6517333333333335</v>
      </c>
      <c r="EF61" s="5">
        <f t="shared" si="81"/>
        <v>8.9732510288065864E-2</v>
      </c>
      <c r="EG61" s="5"/>
      <c r="EH61" s="150">
        <f t="shared" si="122"/>
        <v>0.25417987215239413</v>
      </c>
      <c r="EI61" s="150">
        <f t="shared" si="82"/>
        <v>0.75781796352661213</v>
      </c>
      <c r="EJ61" s="150"/>
      <c r="EK61" s="456">
        <f t="shared" si="83"/>
        <v>1.2921481481481484E-3</v>
      </c>
      <c r="EL61" s="456">
        <f t="shared" si="84"/>
        <v>0.43199999999999994</v>
      </c>
      <c r="EM61" s="456">
        <f t="shared" si="85"/>
        <v>3.6521362742799428E-2</v>
      </c>
      <c r="EN61" s="456">
        <f t="shared" si="86"/>
        <v>8.3314285714285702E-2</v>
      </c>
      <c r="EO61">
        <f t="shared" si="87"/>
        <v>2.1600000000000001E-2</v>
      </c>
      <c r="EP61" s="144">
        <f t="shared" si="123"/>
        <v>58.121362742799427</v>
      </c>
      <c r="EQ61" s="456">
        <f t="shared" si="88"/>
        <v>0.5752532876481885</v>
      </c>
      <c r="ER61" s="144">
        <f t="shared" si="124"/>
        <v>575.25328764818846</v>
      </c>
      <c r="ES61" s="456">
        <f t="shared" si="125"/>
        <v>0.41747999999999996</v>
      </c>
      <c r="ET61" s="456"/>
      <c r="EV61" s="144">
        <f t="shared" si="126"/>
        <v>417.47999999999996</v>
      </c>
      <c r="EW61" s="456">
        <f t="shared" si="89"/>
        <v>1.9382222222222225E-3</v>
      </c>
      <c r="EX61" s="456">
        <f t="shared" si="90"/>
        <v>1.7228641975308646E-2</v>
      </c>
      <c r="EY61" s="456">
        <f t="shared" si="91"/>
        <v>0.1645323268541041</v>
      </c>
      <c r="EZ61" s="456">
        <f t="shared" si="92"/>
        <v>0.188588410335052</v>
      </c>
      <c r="FA61" s="456">
        <f t="shared" si="93"/>
        <v>5.6000000000000017E-4</v>
      </c>
      <c r="FB61" s="144">
        <f t="shared" si="127"/>
        <v>189.14841033505201</v>
      </c>
      <c r="FC61" s="150">
        <f t="shared" si="128"/>
        <v>1.1818816979832403</v>
      </c>
      <c r="FD61" s="5">
        <f t="shared" si="129"/>
        <v>3.3600000000000003</v>
      </c>
      <c r="FE61" s="150">
        <f t="shared" si="130"/>
        <v>0.7397814878119704</v>
      </c>
      <c r="FF61" s="5">
        <f t="shared" si="131"/>
        <v>73.978148781197035</v>
      </c>
      <c r="FI61" s="59">
        <f t="shared" si="94"/>
        <v>-50</v>
      </c>
      <c r="FJ61">
        <f t="shared" si="95"/>
        <v>-50</v>
      </c>
      <c r="FL61">
        <f t="shared" si="181"/>
        <v>0.898876404494382</v>
      </c>
    </row>
    <row r="62" spans="5:168">
      <c r="E62" s="147">
        <v>57</v>
      </c>
      <c r="F62" s="188">
        <f t="shared" si="182"/>
        <v>0.68399999999999994</v>
      </c>
      <c r="G62" s="188"/>
      <c r="H62" s="188">
        <f t="shared" si="132"/>
        <v>3.42</v>
      </c>
      <c r="I62" s="465">
        <f t="shared" si="133"/>
        <v>47.961335142728366</v>
      </c>
      <c r="J62" s="149">
        <f t="shared" si="134"/>
        <v>5.4231989143629811</v>
      </c>
      <c r="K62" s="149">
        <f t="shared" si="135"/>
        <v>53.423198914362985</v>
      </c>
      <c r="L62" s="379"/>
      <c r="M62" s="188">
        <f t="shared" si="136"/>
        <v>0.1015812205337165</v>
      </c>
      <c r="N62" s="149">
        <f t="shared" si="137"/>
        <v>12.472245663295942</v>
      </c>
      <c r="O62" s="149">
        <f t="shared" si="98"/>
        <v>3.42</v>
      </c>
      <c r="P62" s="188">
        <f t="shared" si="138"/>
        <v>2.4944491326591884</v>
      </c>
      <c r="Q62" s="188">
        <f t="shared" si="139"/>
        <v>5</v>
      </c>
      <c r="R62" s="188">
        <f t="shared" si="140"/>
        <v>2.4359854811124886</v>
      </c>
      <c r="S62" s="149">
        <f t="shared" si="141"/>
        <v>127.48595525566022</v>
      </c>
      <c r="T62" s="149">
        <f t="shared" si="142"/>
        <v>5</v>
      </c>
      <c r="U62" s="188">
        <f t="shared" si="143"/>
        <v>1.5226752058908173</v>
      </c>
      <c r="V62" s="188">
        <f t="shared" si="11"/>
        <v>0.38097568419047911</v>
      </c>
      <c r="W62" s="188">
        <f t="shared" si="144"/>
        <v>3.3692480691234397</v>
      </c>
      <c r="X62" s="172">
        <f t="shared" si="145"/>
        <v>350</v>
      </c>
      <c r="Y62" s="379">
        <f t="shared" si="14"/>
        <v>253.15021691140421</v>
      </c>
      <c r="AA62" s="188">
        <f t="shared" si="146"/>
        <v>1.1600642720091352</v>
      </c>
      <c r="AB62" s="150">
        <f t="shared" si="147"/>
        <v>2.5668929876869147</v>
      </c>
      <c r="AC62" s="150">
        <f t="shared" si="148"/>
        <v>0.52110814789011561</v>
      </c>
      <c r="AD62" s="150"/>
      <c r="AE62" s="150">
        <f t="shared" si="149"/>
        <v>2.2127161827346589</v>
      </c>
      <c r="AF62" s="314">
        <f t="shared" si="150"/>
        <v>618.24467623737962</v>
      </c>
      <c r="AG62" s="456">
        <f t="shared" si="151"/>
        <v>0.38722533197856529</v>
      </c>
      <c r="AI62" s="150">
        <f t="shared" si="152"/>
        <v>1.3290648444219069</v>
      </c>
      <c r="AJ62" s="150">
        <f t="shared" si="153"/>
        <v>1.5226752058908173</v>
      </c>
      <c r="AK62" s="150">
        <f t="shared" si="154"/>
        <v>1.5871668191783832</v>
      </c>
      <c r="AM62" s="314">
        <f t="shared" si="155"/>
        <v>683.99999999999989</v>
      </c>
      <c r="AN62" s="144">
        <f t="shared" si="156"/>
        <v>253.15021691140421</v>
      </c>
      <c r="AP62">
        <f t="shared" si="157"/>
        <v>683.99999999999989</v>
      </c>
      <c r="AQ62">
        <f t="shared" si="158"/>
        <v>253.15021691140421</v>
      </c>
      <c r="AS62" s="5">
        <f t="shared" si="101"/>
        <v>3.9502237533139191</v>
      </c>
      <c r="AT62" s="5">
        <f t="shared" si="159"/>
        <v>0.38097568419047911</v>
      </c>
      <c r="AU62" s="5">
        <f t="shared" si="102"/>
        <v>3.5692480691234398</v>
      </c>
      <c r="AV62" s="5">
        <f t="shared" si="160"/>
        <v>3.3692480691234397</v>
      </c>
      <c r="AW62" s="150">
        <f t="shared" si="103"/>
        <v>9.644407709079042E-2</v>
      </c>
      <c r="AX62" s="150">
        <f t="shared" si="161"/>
        <v>3.5216330933500792</v>
      </c>
      <c r="AY62" s="150">
        <f t="shared" si="162"/>
        <v>0.68791110047482407</v>
      </c>
      <c r="AZ62" s="150">
        <f t="shared" si="104"/>
        <v>5.1193142412141706</v>
      </c>
      <c r="BA62" s="144">
        <f t="shared" si="163"/>
        <v>5.211747359725754</v>
      </c>
      <c r="BB62" s="5">
        <f t="shared" si="164"/>
        <v>0.10604747518735495</v>
      </c>
      <c r="BC62" s="5"/>
      <c r="BD62" s="150">
        <f t="shared" si="105"/>
        <v>0.27301369290109484</v>
      </c>
      <c r="BE62" s="150">
        <f t="shared" si="165"/>
        <v>0.8356495184585786</v>
      </c>
      <c r="BF62" s="150"/>
      <c r="BG62" s="456">
        <f t="shared" si="166"/>
        <v>1.4907295302298666E-3</v>
      </c>
      <c r="BH62" s="456">
        <f t="shared" si="167"/>
        <v>0.38611506027679537</v>
      </c>
      <c r="BI62" s="456">
        <f t="shared" si="168"/>
        <v>0.30353555986855596</v>
      </c>
      <c r="BJ62" s="456">
        <f t="shared" si="169"/>
        <v>7.2250038490839566E-2</v>
      </c>
      <c r="BK62">
        <f t="shared" si="170"/>
        <v>2.1582600814227765E-2</v>
      </c>
      <c r="BL62" s="144">
        <f t="shared" si="106"/>
        <v>325.1181606827837</v>
      </c>
      <c r="BM62" s="456">
        <f t="shared" si="171"/>
        <v>0.46042140530639991</v>
      </c>
      <c r="BN62" s="144">
        <f t="shared" si="107"/>
        <v>460.42140530639989</v>
      </c>
      <c r="BO62" s="456">
        <f t="shared" si="172"/>
        <v>0.42493499999999995</v>
      </c>
      <c r="BP62" s="456"/>
      <c r="BR62" s="144">
        <f t="shared" si="109"/>
        <v>424.93499999999995</v>
      </c>
      <c r="BS62" s="456">
        <f t="shared" si="173"/>
        <v>2.2360942953447995E-3</v>
      </c>
      <c r="BT62" s="456">
        <f t="shared" si="174"/>
        <v>2.0949303531001627E-2</v>
      </c>
      <c r="BU62" s="456">
        <f t="shared" si="175"/>
        <v>5.1299999999999998E-2</v>
      </c>
      <c r="BV62" s="456">
        <f t="shared" si="176"/>
        <v>8.0198648309965703E-2</v>
      </c>
      <c r="BW62" s="456">
        <f t="shared" si="177"/>
        <v>5.8693884889167989E-4</v>
      </c>
      <c r="BX62" s="144">
        <f t="shared" si="110"/>
        <v>80.785587158857382</v>
      </c>
      <c r="BY62" s="150">
        <f t="shared" si="45"/>
        <v>1.291260153148041</v>
      </c>
      <c r="BZ62" s="5">
        <f t="shared" si="111"/>
        <v>3.42</v>
      </c>
      <c r="CA62" s="150">
        <f t="shared" si="112"/>
        <v>0.72592043080337487</v>
      </c>
      <c r="CB62" s="5">
        <f t="shared" si="113"/>
        <v>72.59204308033749</v>
      </c>
      <c r="CE62" s="59">
        <f t="shared" si="178"/>
        <v>-50</v>
      </c>
      <c r="CF62">
        <f t="shared" si="179"/>
        <v>-50</v>
      </c>
      <c r="CG62" s="150">
        <f t="shared" si="180"/>
        <v>0.884524149662124</v>
      </c>
      <c r="CI62" s="147">
        <v>57</v>
      </c>
      <c r="CJ62" s="188">
        <f t="shared" si="114"/>
        <v>0.68399999999999994</v>
      </c>
      <c r="CK62" s="188"/>
      <c r="CL62" s="188">
        <f t="shared" si="49"/>
        <v>3.42</v>
      </c>
      <c r="CM62" s="465">
        <f t="shared" si="50"/>
        <v>48</v>
      </c>
      <c r="CN62" s="149">
        <f t="shared" si="51"/>
        <v>5.4</v>
      </c>
      <c r="CO62" s="379">
        <f t="shared" si="52"/>
        <v>53.4</v>
      </c>
      <c r="CP62" s="379"/>
      <c r="CQ62" s="188">
        <f t="shared" si="53"/>
        <v>0.10112359550561799</v>
      </c>
      <c r="CR62" s="149">
        <f t="shared" si="54"/>
        <v>12.426067415730339</v>
      </c>
      <c r="CS62" s="149">
        <f t="shared" si="115"/>
        <v>3.42</v>
      </c>
      <c r="CT62" s="188">
        <f t="shared" si="55"/>
        <v>2.4852134831460679</v>
      </c>
      <c r="CU62" s="188">
        <f t="shared" si="56"/>
        <v>5</v>
      </c>
      <c r="CV62" s="188">
        <f t="shared" si="57"/>
        <v>2.4269662921348316</v>
      </c>
      <c r="CW62" s="149">
        <f t="shared" si="58"/>
        <v>127.58860984025941</v>
      </c>
      <c r="CX62" s="149">
        <f t="shared" si="59"/>
        <v>5</v>
      </c>
      <c r="CY62" s="188">
        <f t="shared" si="60"/>
        <v>1.4091666666666665</v>
      </c>
      <c r="CZ62" s="188">
        <f t="shared" si="61"/>
        <v>0.35229166666666667</v>
      </c>
      <c r="DA62" s="188">
        <f t="shared" si="62"/>
        <v>3.1314814814814813</v>
      </c>
      <c r="DB62" s="172">
        <f t="shared" si="63"/>
        <v>350</v>
      </c>
      <c r="DC62" s="379">
        <f t="shared" si="116"/>
        <v>287.04509664516041</v>
      </c>
      <c r="DE62" s="188">
        <f t="shared" si="64"/>
        <v>1.1556982343499198</v>
      </c>
      <c r="DF62" s="150">
        <f t="shared" si="65"/>
        <v>2.5682182985553772</v>
      </c>
      <c r="DG62" s="150">
        <f t="shared" si="66"/>
        <v>0.51941493678648076</v>
      </c>
      <c r="DH62" s="150"/>
      <c r="DI62" s="150">
        <f t="shared" si="67"/>
        <v>2.2222222222222219</v>
      </c>
      <c r="DJ62" s="314">
        <f t="shared" si="117"/>
        <v>615.6</v>
      </c>
      <c r="DK62" s="456">
        <f t="shared" si="68"/>
        <v>0.38888888888888884</v>
      </c>
      <c r="DM62" s="150">
        <f t="shared" si="69"/>
        <v>1.3262191157034131</v>
      </c>
      <c r="DN62" s="150">
        <f t="shared" si="70"/>
        <v>1.4091666666666665</v>
      </c>
      <c r="DO62" s="150">
        <f t="shared" si="71"/>
        <v>1.5030864197530862</v>
      </c>
      <c r="DQ62" s="314">
        <f t="shared" si="72"/>
        <v>683.99999999999989</v>
      </c>
      <c r="DR62" s="144">
        <f t="shared" si="73"/>
        <v>287.04509664516041</v>
      </c>
      <c r="DT62">
        <f t="shared" si="74"/>
        <v>683.99999999999989</v>
      </c>
      <c r="DU62">
        <f t="shared" si="75"/>
        <v>287.04509664516041</v>
      </c>
      <c r="DW62" s="5">
        <f t="shared" si="118"/>
        <v>3.4837731481481486</v>
      </c>
      <c r="DX62" s="5">
        <f t="shared" si="76"/>
        <v>0.35229166666666667</v>
      </c>
      <c r="DY62" s="5">
        <f t="shared" si="119"/>
        <v>3.1314814814814822</v>
      </c>
      <c r="DZ62" s="5">
        <f t="shared" si="77"/>
        <v>3.1314814814814813</v>
      </c>
      <c r="EA62" s="150">
        <f t="shared" si="120"/>
        <v>0.10112359550561796</v>
      </c>
      <c r="EB62" s="150">
        <f t="shared" si="78"/>
        <v>3.419999999999999</v>
      </c>
      <c r="EC62" s="150">
        <f t="shared" si="79"/>
        <v>0.63333333333333319</v>
      </c>
      <c r="ED62" s="150">
        <f t="shared" si="121"/>
        <v>5.3999999999999995</v>
      </c>
      <c r="EE62" s="144">
        <f t="shared" si="80"/>
        <v>4.8193499999999991</v>
      </c>
      <c r="EF62" s="5">
        <f t="shared" si="81"/>
        <v>9.2965856481481479E-2</v>
      </c>
      <c r="EG62" s="5"/>
      <c r="EH62" s="150">
        <f t="shared" si="122"/>
        <v>0.25871879844082962</v>
      </c>
      <c r="EI62" s="150">
        <f t="shared" si="82"/>
        <v>0.77135042716101565</v>
      </c>
      <c r="EJ62" s="150"/>
      <c r="EK62" s="456">
        <f t="shared" si="83"/>
        <v>1.3387083333333324E-3</v>
      </c>
      <c r="EL62" s="456">
        <f t="shared" si="84"/>
        <v>0.43199999999999988</v>
      </c>
      <c r="EM62" s="456">
        <f t="shared" si="85"/>
        <v>3.5880637080645046E-2</v>
      </c>
      <c r="EN62" s="456">
        <f t="shared" si="86"/>
        <v>8.1852631578947357E-2</v>
      </c>
      <c r="EO62">
        <f t="shared" si="87"/>
        <v>2.1600000000000001E-2</v>
      </c>
      <c r="EP62" s="144">
        <f t="shared" si="123"/>
        <v>57.480637080645046</v>
      </c>
      <c r="EQ62" s="456">
        <f t="shared" si="88"/>
        <v>0.57321575504796551</v>
      </c>
      <c r="ER62" s="144">
        <f t="shared" si="124"/>
        <v>573.21575504796556</v>
      </c>
      <c r="ES62" s="456">
        <f t="shared" si="125"/>
        <v>0.42493499999999995</v>
      </c>
      <c r="ET62" s="456"/>
      <c r="EV62" s="144">
        <f t="shared" si="126"/>
        <v>424.93499999999995</v>
      </c>
      <c r="EW62" s="456">
        <f t="shared" si="89"/>
        <v>2.0080624999999986E-3</v>
      </c>
      <c r="EX62" s="456">
        <f t="shared" si="90"/>
        <v>1.7849444444444439E-2</v>
      </c>
      <c r="EY62" s="456">
        <f t="shared" si="91"/>
        <v>0.16453232685410416</v>
      </c>
      <c r="EZ62" s="456">
        <f t="shared" si="92"/>
        <v>0.18945660633529315</v>
      </c>
      <c r="FA62" s="456">
        <f t="shared" si="93"/>
        <v>5.6999999999999987E-4</v>
      </c>
      <c r="FB62" s="144">
        <f t="shared" si="127"/>
        <v>190.02660633529314</v>
      </c>
      <c r="FC62" s="150">
        <f t="shared" si="128"/>
        <v>1.1881773613832587</v>
      </c>
      <c r="FD62" s="5">
        <f t="shared" si="129"/>
        <v>3.42</v>
      </c>
      <c r="FE62" s="150">
        <f t="shared" si="130"/>
        <v>0.74215893438906222</v>
      </c>
      <c r="FF62" s="5">
        <f t="shared" si="131"/>
        <v>74.215893438906221</v>
      </c>
      <c r="FI62" s="59">
        <f t="shared" si="94"/>
        <v>-50</v>
      </c>
      <c r="FJ62">
        <f t="shared" si="95"/>
        <v>-50</v>
      </c>
      <c r="FL62">
        <f t="shared" si="181"/>
        <v>0.898876404494382</v>
      </c>
    </row>
    <row r="63" spans="5:168">
      <c r="E63" s="147">
        <v>58</v>
      </c>
      <c r="F63" s="188">
        <f t="shared" si="182"/>
        <v>0.69599999999999995</v>
      </c>
      <c r="G63" s="188"/>
      <c r="H63" s="188">
        <f t="shared" si="132"/>
        <v>3.4799999999999995</v>
      </c>
      <c r="I63" s="465">
        <f t="shared" si="133"/>
        <v>47.960667815390671</v>
      </c>
      <c r="J63" s="149">
        <f t="shared" si="134"/>
        <v>5.4235993107655975</v>
      </c>
      <c r="K63" s="149">
        <f t="shared" si="135"/>
        <v>53.423599310765596</v>
      </c>
      <c r="L63" s="379"/>
      <c r="M63" s="188">
        <f t="shared" si="136"/>
        <v>0.10158923052684445</v>
      </c>
      <c r="N63" s="149">
        <f t="shared" si="137"/>
        <v>12.473055587632977</v>
      </c>
      <c r="O63" s="149">
        <f t="shared" si="98"/>
        <v>3.4799999999999995</v>
      </c>
      <c r="P63" s="188">
        <f t="shared" si="138"/>
        <v>2.4946111175265955</v>
      </c>
      <c r="Q63" s="188">
        <f t="shared" si="139"/>
        <v>5</v>
      </c>
      <c r="R63" s="188">
        <f t="shared" si="140"/>
        <v>2.436143669459566</v>
      </c>
      <c r="S63" s="149">
        <f t="shared" si="141"/>
        <v>124.46548536039111</v>
      </c>
      <c r="T63" s="149">
        <f t="shared" si="142"/>
        <v>5</v>
      </c>
      <c r="U63" s="188">
        <f t="shared" si="143"/>
        <v>1.5494026199355269</v>
      </c>
      <c r="V63" s="188">
        <f t="shared" si="11"/>
        <v>0.38766831835606441</v>
      </c>
      <c r="W63" s="188">
        <f t="shared" si="144"/>
        <v>3.42813515045634</v>
      </c>
      <c r="X63" s="172">
        <f t="shared" si="145"/>
        <v>350</v>
      </c>
      <c r="Y63" s="379">
        <f t="shared" si="14"/>
        <v>249.01617018019326</v>
      </c>
      <c r="AA63" s="188">
        <f t="shared" si="146"/>
        <v>1.1601395786154041</v>
      </c>
      <c r="AB63" s="150">
        <f t="shared" si="147"/>
        <v>2.5668701070432984</v>
      </c>
      <c r="AC63" s="150">
        <f t="shared" si="148"/>
        <v>0.52113733076049562</v>
      </c>
      <c r="AD63" s="150"/>
      <c r="AE63" s="150">
        <f t="shared" si="149"/>
        <v>2.2125528292955838</v>
      </c>
      <c r="AF63" s="314">
        <f t="shared" si="150"/>
        <v>629.13752004880928</v>
      </c>
      <c r="AG63" s="456">
        <f t="shared" si="151"/>
        <v>0.38719674512672714</v>
      </c>
      <c r="AI63" s="150">
        <f t="shared" si="152"/>
        <v>1.3407221082566017</v>
      </c>
      <c r="AJ63" s="150">
        <f t="shared" si="153"/>
        <v>1.5494026199355269</v>
      </c>
      <c r="AK63" s="150">
        <f t="shared" si="154"/>
        <v>1.6069649036559457</v>
      </c>
      <c r="AM63" s="314">
        <f t="shared" si="155"/>
        <v>696</v>
      </c>
      <c r="AN63" s="144">
        <f t="shared" si="156"/>
        <v>249.01617018019326</v>
      </c>
      <c r="AP63">
        <f t="shared" si="157"/>
        <v>696</v>
      </c>
      <c r="AQ63">
        <f t="shared" si="158"/>
        <v>249.01617018019326</v>
      </c>
      <c r="AS63" s="5">
        <f t="shared" si="101"/>
        <v>4.015803468812404</v>
      </c>
      <c r="AT63" s="5">
        <f t="shared" si="159"/>
        <v>0.38766831835606441</v>
      </c>
      <c r="AU63" s="5">
        <f t="shared" si="102"/>
        <v>3.6281351504563397</v>
      </c>
      <c r="AV63" s="5">
        <f t="shared" si="160"/>
        <v>3.42813515045634</v>
      </c>
      <c r="AW63" s="150">
        <f t="shared" si="103"/>
        <v>9.6535679937223076E-2</v>
      </c>
      <c r="AX63" s="150">
        <f t="shared" si="161"/>
        <v>3.586801740633518</v>
      </c>
      <c r="AY63" s="150">
        <f t="shared" si="162"/>
        <v>0.6999149922617679</v>
      </c>
      <c r="AZ63" s="150">
        <f t="shared" si="104"/>
        <v>5.1246248191409736</v>
      </c>
      <c r="BA63" s="144">
        <f t="shared" si="163"/>
        <v>5.3963429915164163</v>
      </c>
      <c r="BB63" s="5">
        <f t="shared" si="164"/>
        <v>0.10968979807394363</v>
      </c>
      <c r="BC63" s="5"/>
      <c r="BD63" s="150">
        <f t="shared" si="105"/>
        <v>0.2779377827128463</v>
      </c>
      <c r="BE63" s="150">
        <f t="shared" si="165"/>
        <v>0.85027451361017803</v>
      </c>
      <c r="BF63" s="150"/>
      <c r="BG63" s="456">
        <f t="shared" si="166"/>
        <v>1.5449882211866672E-3</v>
      </c>
      <c r="BH63" s="456">
        <f t="shared" si="167"/>
        <v>0.38647931252113643</v>
      </c>
      <c r="BI63" s="456">
        <f t="shared" si="168"/>
        <v>0.29857454546682605</v>
      </c>
      <c r="BJ63" s="456">
        <f t="shared" si="169"/>
        <v>7.1071231086945436E-2</v>
      </c>
      <c r="BK63">
        <f t="shared" si="170"/>
        <v>2.1582300516925803E-2</v>
      </c>
      <c r="BL63" s="144">
        <f t="shared" si="106"/>
        <v>320.15684598375185</v>
      </c>
      <c r="BM63" s="456">
        <f t="shared" si="171"/>
        <v>0.45968142273533813</v>
      </c>
      <c r="BN63" s="144">
        <f t="shared" si="107"/>
        <v>459.68142273533812</v>
      </c>
      <c r="BO63" s="456">
        <f t="shared" si="172"/>
        <v>0.43238999999999989</v>
      </c>
      <c r="BP63" s="456"/>
      <c r="BR63" s="144">
        <f t="shared" si="109"/>
        <v>432.38999999999987</v>
      </c>
      <c r="BS63" s="456">
        <f t="shared" si="173"/>
        <v>2.3174823317800007E-3</v>
      </c>
      <c r="BT63" s="456">
        <f t="shared" si="174"/>
        <v>2.1689002454850746E-2</v>
      </c>
      <c r="BU63" s="456">
        <f t="shared" si="175"/>
        <v>5.2199999999999989E-2</v>
      </c>
      <c r="BV63" s="456">
        <f t="shared" si="176"/>
        <v>8.2125765210070589E-2</v>
      </c>
      <c r="BW63" s="456">
        <f t="shared" si="177"/>
        <v>5.9780029010558626E-4</v>
      </c>
      <c r="BX63" s="144">
        <f t="shared" si="110"/>
        <v>82.723565500176178</v>
      </c>
      <c r="BY63" s="150">
        <f t="shared" si="45"/>
        <v>1.2949518342192659</v>
      </c>
      <c r="BZ63" s="5">
        <f t="shared" si="111"/>
        <v>3.4799999999999995</v>
      </c>
      <c r="CA63" s="150">
        <f t="shared" si="112"/>
        <v>0.72880316301012515</v>
      </c>
      <c r="CB63" s="5">
        <f t="shared" si="113"/>
        <v>72.880316301012513</v>
      </c>
      <c r="CE63" s="59">
        <f t="shared" si="178"/>
        <v>-50</v>
      </c>
      <c r="CF63">
        <f t="shared" si="179"/>
        <v>-50</v>
      </c>
      <c r="CG63" s="150">
        <f t="shared" si="180"/>
        <v>0.88477160233164565</v>
      </c>
      <c r="CI63" s="147">
        <v>58</v>
      </c>
      <c r="CJ63" s="188">
        <f t="shared" si="114"/>
        <v>0.69599999999999995</v>
      </c>
      <c r="CK63" s="188"/>
      <c r="CL63" s="188">
        <f t="shared" si="49"/>
        <v>3.4799999999999995</v>
      </c>
      <c r="CM63" s="465">
        <f t="shared" si="50"/>
        <v>48</v>
      </c>
      <c r="CN63" s="149">
        <f t="shared" si="51"/>
        <v>5.4</v>
      </c>
      <c r="CO63" s="379">
        <f t="shared" si="52"/>
        <v>53.4</v>
      </c>
      <c r="CP63" s="379"/>
      <c r="CQ63" s="188">
        <f t="shared" si="53"/>
        <v>0.10112359550561799</v>
      </c>
      <c r="CR63" s="149">
        <f t="shared" si="54"/>
        <v>12.426067415730339</v>
      </c>
      <c r="CS63" s="149">
        <f t="shared" si="115"/>
        <v>3.4799999999999995</v>
      </c>
      <c r="CT63" s="188">
        <f t="shared" si="55"/>
        <v>2.4852134831460679</v>
      </c>
      <c r="CU63" s="188">
        <f t="shared" si="56"/>
        <v>5</v>
      </c>
      <c r="CV63" s="188">
        <f t="shared" si="57"/>
        <v>2.4269662921348316</v>
      </c>
      <c r="CW63" s="149">
        <f t="shared" si="58"/>
        <v>124.56743313204447</v>
      </c>
      <c r="CX63" s="149">
        <f t="shared" si="59"/>
        <v>5</v>
      </c>
      <c r="CY63" s="188">
        <f t="shared" si="60"/>
        <v>1.4338888888888885</v>
      </c>
      <c r="CZ63" s="188">
        <f t="shared" si="61"/>
        <v>0.35847222222222214</v>
      </c>
      <c r="DA63" s="188">
        <f t="shared" si="62"/>
        <v>3.1864197530864184</v>
      </c>
      <c r="DB63" s="172">
        <f t="shared" si="63"/>
        <v>350</v>
      </c>
      <c r="DC63" s="379">
        <f t="shared" si="116"/>
        <v>282.09604325472668</v>
      </c>
      <c r="DE63" s="188">
        <f t="shared" si="64"/>
        <v>1.1556982343499198</v>
      </c>
      <c r="DF63" s="150">
        <f t="shared" si="65"/>
        <v>2.5682182985553772</v>
      </c>
      <c r="DG63" s="150">
        <f t="shared" si="66"/>
        <v>0.51941493678648076</v>
      </c>
      <c r="DH63" s="150"/>
      <c r="DI63" s="150">
        <f t="shared" si="67"/>
        <v>2.2222222222222219</v>
      </c>
      <c r="DJ63" s="314">
        <f t="shared" si="117"/>
        <v>626.4</v>
      </c>
      <c r="DK63" s="456">
        <f t="shared" si="68"/>
        <v>0.38888888888888884</v>
      </c>
      <c r="DM63" s="150">
        <f t="shared" si="69"/>
        <v>1.3378020353229718</v>
      </c>
      <c r="DN63" s="150">
        <f t="shared" si="70"/>
        <v>1.4338888888888885</v>
      </c>
      <c r="DO63" s="150">
        <f t="shared" si="71"/>
        <v>1.5213991769547321</v>
      </c>
      <c r="DQ63" s="314">
        <f t="shared" si="72"/>
        <v>696</v>
      </c>
      <c r="DR63" s="144">
        <f t="shared" si="73"/>
        <v>282.09604325472668</v>
      </c>
      <c r="DT63">
        <f t="shared" si="74"/>
        <v>696</v>
      </c>
      <c r="DU63">
        <f t="shared" si="75"/>
        <v>282.09604325472668</v>
      </c>
      <c r="DW63" s="5">
        <f t="shared" si="118"/>
        <v>3.5448919753086412</v>
      </c>
      <c r="DX63" s="5">
        <f t="shared" si="76"/>
        <v>0.35847222222222214</v>
      </c>
      <c r="DY63" s="5">
        <f t="shared" si="119"/>
        <v>3.1864197530864189</v>
      </c>
      <c r="DZ63" s="5">
        <f t="shared" si="77"/>
        <v>3.1864197530864184</v>
      </c>
      <c r="EA63" s="150">
        <f t="shared" si="120"/>
        <v>0.10112359550561797</v>
      </c>
      <c r="EB63" s="150">
        <f t="shared" si="78"/>
        <v>3.4799999999999991</v>
      </c>
      <c r="EC63" s="150">
        <f t="shared" si="79"/>
        <v>0.64444444444444426</v>
      </c>
      <c r="ED63" s="150">
        <f t="shared" si="121"/>
        <v>5.4</v>
      </c>
      <c r="EE63" s="144">
        <f t="shared" si="80"/>
        <v>4.9899333333333313</v>
      </c>
      <c r="EF63" s="5">
        <f t="shared" si="81"/>
        <v>9.6256430041152211E-2</v>
      </c>
      <c r="EG63" s="5"/>
      <c r="EH63" s="150">
        <f t="shared" si="122"/>
        <v>0.26325772472926529</v>
      </c>
      <c r="EI63" s="150">
        <f t="shared" si="82"/>
        <v>0.7848828907954194</v>
      </c>
      <c r="EJ63" s="150"/>
      <c r="EK63" s="456">
        <f t="shared" si="83"/>
        <v>1.3860925925925924E-3</v>
      </c>
      <c r="EL63" s="456">
        <f t="shared" si="84"/>
        <v>0.432</v>
      </c>
      <c r="EM63" s="456">
        <f t="shared" si="85"/>
        <v>3.5262005406840831E-2</v>
      </c>
      <c r="EN63" s="456">
        <f t="shared" si="86"/>
        <v>8.044137931034484E-2</v>
      </c>
      <c r="EO63">
        <f t="shared" si="87"/>
        <v>2.1600000000000001E-2</v>
      </c>
      <c r="EP63" s="144">
        <f t="shared" si="123"/>
        <v>56.862005406840829</v>
      </c>
      <c r="EQ63" s="456">
        <f t="shared" si="88"/>
        <v>0.5712518558824865</v>
      </c>
      <c r="ER63" s="144">
        <f t="shared" si="124"/>
        <v>571.25185588248655</v>
      </c>
      <c r="ES63" s="456">
        <f t="shared" si="125"/>
        <v>0.43238999999999989</v>
      </c>
      <c r="ET63" s="456"/>
      <c r="EV63" s="144">
        <f t="shared" si="126"/>
        <v>432.38999999999987</v>
      </c>
      <c r="EW63" s="456">
        <f t="shared" si="89"/>
        <v>2.0791388888888886E-3</v>
      </c>
      <c r="EX63" s="456">
        <f t="shared" si="90"/>
        <v>1.8481234567901229E-2</v>
      </c>
      <c r="EY63" s="456">
        <f t="shared" si="91"/>
        <v>0.16453232685410399</v>
      </c>
      <c r="EZ63" s="456">
        <f t="shared" si="92"/>
        <v>0.19034026729888617</v>
      </c>
      <c r="FA63" s="456">
        <f t="shared" si="93"/>
        <v>5.8E-4</v>
      </c>
      <c r="FB63" s="144">
        <f t="shared" si="127"/>
        <v>190.92026729888616</v>
      </c>
      <c r="FC63" s="150">
        <f t="shared" si="128"/>
        <v>1.1945621231813726</v>
      </c>
      <c r="FD63" s="5">
        <f t="shared" si="129"/>
        <v>3.4799999999999995</v>
      </c>
      <c r="FE63" s="150">
        <f t="shared" si="130"/>
        <v>0.74445475496892355</v>
      </c>
      <c r="FF63" s="5">
        <f t="shared" si="131"/>
        <v>74.445475496892357</v>
      </c>
      <c r="FI63" s="59">
        <f t="shared" si="94"/>
        <v>-50</v>
      </c>
      <c r="FJ63">
        <f t="shared" si="95"/>
        <v>-50</v>
      </c>
      <c r="FL63">
        <f t="shared" si="181"/>
        <v>0.898876404494382</v>
      </c>
    </row>
    <row r="64" spans="5:168">
      <c r="E64" s="147">
        <v>59</v>
      </c>
      <c r="F64" s="188">
        <f t="shared" si="182"/>
        <v>0.70799999999999996</v>
      </c>
      <c r="G64" s="188"/>
      <c r="H64" s="188">
        <f t="shared" si="132"/>
        <v>3.54</v>
      </c>
      <c r="I64" s="465">
        <f t="shared" si="133"/>
        <v>47.96000048210832</v>
      </c>
      <c r="J64" s="149">
        <f t="shared" si="134"/>
        <v>5.4239997107350097</v>
      </c>
      <c r="K64" s="149">
        <f t="shared" si="135"/>
        <v>53.423999710735011</v>
      </c>
      <c r="L64" s="379"/>
      <c r="M64" s="188">
        <f t="shared" si="136"/>
        <v>0.10159724061135869</v>
      </c>
      <c r="N64" s="149">
        <f t="shared" si="137"/>
        <v>12.473865494276193</v>
      </c>
      <c r="O64" s="149">
        <f t="shared" si="98"/>
        <v>3.54</v>
      </c>
      <c r="P64" s="188">
        <f t="shared" si="138"/>
        <v>2.4947730988552386</v>
      </c>
      <c r="Q64" s="188">
        <f t="shared" si="139"/>
        <v>5</v>
      </c>
      <c r="R64" s="188">
        <f t="shared" si="140"/>
        <v>2.4363018543508188</v>
      </c>
      <c r="S64" s="149">
        <f t="shared" si="141"/>
        <v>121.54759718040971</v>
      </c>
      <c r="T64" s="149">
        <f t="shared" si="142"/>
        <v>5</v>
      </c>
      <c r="U64" s="188">
        <f t="shared" si="143"/>
        <v>1.5761305107339396</v>
      </c>
      <c r="V64" s="188">
        <f t="shared" si="11"/>
        <v>0.39436125810430422</v>
      </c>
      <c r="W64" s="188">
        <f t="shared" si="144"/>
        <v>3.4870145902430898</v>
      </c>
      <c r="X64" s="172">
        <f t="shared" si="145"/>
        <v>350</v>
      </c>
      <c r="Y64" s="379">
        <f t="shared" si="14"/>
        <v>245.01541567285798</v>
      </c>
      <c r="AA64" s="188">
        <f t="shared" si="146"/>
        <v>1.1602148842621816</v>
      </c>
      <c r="AB64" s="150">
        <f t="shared" si="147"/>
        <v>2.5668472259670381</v>
      </c>
      <c r="AC64" s="150">
        <f t="shared" si="148"/>
        <v>0.52116651250895862</v>
      </c>
      <c r="AD64" s="150"/>
      <c r="AE64" s="150">
        <f t="shared" si="149"/>
        <v>2.2123894985189576</v>
      </c>
      <c r="AF64" s="314">
        <f t="shared" si="150"/>
        <v>640.03196586673118</v>
      </c>
      <c r="AG64" s="456">
        <f t="shared" si="151"/>
        <v>0.38716816224081757</v>
      </c>
      <c r="AI64" s="150">
        <f t="shared" si="152"/>
        <v>1.3522805772543034</v>
      </c>
      <c r="AJ64" s="150">
        <f t="shared" si="153"/>
        <v>1.5761305107339396</v>
      </c>
      <c r="AK64" s="150">
        <f t="shared" si="154"/>
        <v>1.6267633412843998</v>
      </c>
      <c r="AM64" s="314">
        <f t="shared" si="155"/>
        <v>708</v>
      </c>
      <c r="AN64" s="144">
        <f t="shared" si="156"/>
        <v>245.01541567285798</v>
      </c>
      <c r="AP64">
        <f t="shared" si="157"/>
        <v>708</v>
      </c>
      <c r="AQ64">
        <f t="shared" si="158"/>
        <v>245.01541567285798</v>
      </c>
      <c r="AS64" s="5">
        <f t="shared" si="101"/>
        <v>4.0813758483473928</v>
      </c>
      <c r="AT64" s="5">
        <f t="shared" si="159"/>
        <v>0.39436125810430422</v>
      </c>
      <c r="AU64" s="5">
        <f t="shared" si="102"/>
        <v>3.6870145902430886</v>
      </c>
      <c r="AV64" s="5">
        <f t="shared" si="160"/>
        <v>3.4870145902430898</v>
      </c>
      <c r="AW64" s="150">
        <f t="shared" si="103"/>
        <v>9.6624587579697357E-2</v>
      </c>
      <c r="AX64" s="150">
        <f t="shared" si="161"/>
        <v>3.6519852312140948</v>
      </c>
      <c r="AY64" s="150">
        <f t="shared" si="162"/>
        <v>0.71191877508124746</v>
      </c>
      <c r="AZ64" s="150">
        <f t="shared" si="104"/>
        <v>5.1297779452400496</v>
      </c>
      <c r="BA64" s="144">
        <f t="shared" si="163"/>
        <v>5.584155414756947</v>
      </c>
      <c r="BB64" s="5">
        <f t="shared" si="164"/>
        <v>0.11339337918975528</v>
      </c>
      <c r="BC64" s="5"/>
      <c r="BD64" s="150">
        <f t="shared" si="105"/>
        <v>0.28286250000465762</v>
      </c>
      <c r="BE64" s="150">
        <f t="shared" si="165"/>
        <v>0.86489957126820505</v>
      </c>
      <c r="BF64" s="150"/>
      <c r="BG64" s="456">
        <f t="shared" si="166"/>
        <v>1.6002238781776988E-3</v>
      </c>
      <c r="BH64" s="456">
        <f t="shared" si="167"/>
        <v>0.38683276981045045</v>
      </c>
      <c r="BI64" s="456">
        <f t="shared" si="168"/>
        <v>0.29377348634485601</v>
      </c>
      <c r="BJ64" s="456">
        <f t="shared" si="169"/>
        <v>6.9930431578564115E-2</v>
      </c>
      <c r="BK64">
        <f t="shared" si="170"/>
        <v>2.1582000216948744E-2</v>
      </c>
      <c r="BL64" s="144">
        <f t="shared" si="106"/>
        <v>315.35548656180475</v>
      </c>
      <c r="BM64" s="456">
        <f t="shared" si="171"/>
        <v>0.45896999216071971</v>
      </c>
      <c r="BN64" s="144">
        <f t="shared" si="107"/>
        <v>458.9699921607197</v>
      </c>
      <c r="BO64" s="456">
        <f t="shared" si="172"/>
        <v>0.43984499999999993</v>
      </c>
      <c r="BP64" s="456"/>
      <c r="BR64" s="144">
        <f t="shared" si="109"/>
        <v>439.84499999999991</v>
      </c>
      <c r="BS64" s="456">
        <f t="shared" si="173"/>
        <v>2.4003358172665478E-3</v>
      </c>
      <c r="BT64" s="456">
        <f t="shared" si="174"/>
        <v>2.2441538051397744E-2</v>
      </c>
      <c r="BU64" s="456">
        <f t="shared" si="175"/>
        <v>5.3100000000000001E-2</v>
      </c>
      <c r="BV64" s="456">
        <f t="shared" si="176"/>
        <v>8.407100209554931E-2</v>
      </c>
      <c r="BW64" s="456">
        <f t="shared" si="177"/>
        <v>6.0866420520234912E-4</v>
      </c>
      <c r="BX64" s="144">
        <f t="shared" si="110"/>
        <v>84.679666300751663</v>
      </c>
      <c r="BY64" s="150">
        <f t="shared" si="45"/>
        <v>1.2988501450232759</v>
      </c>
      <c r="BZ64" s="5">
        <f t="shared" si="111"/>
        <v>3.54</v>
      </c>
      <c r="CA64" s="150">
        <f t="shared" si="112"/>
        <v>0.73157876228939756</v>
      </c>
      <c r="CB64" s="5">
        <f t="shared" si="113"/>
        <v>73.157876228939756</v>
      </c>
      <c r="CE64" s="59">
        <f t="shared" si="178"/>
        <v>-50</v>
      </c>
      <c r="CF64">
        <f t="shared" si="179"/>
        <v>-50</v>
      </c>
      <c r="CG64" s="150">
        <f t="shared" si="180"/>
        <v>0.88501066677508189</v>
      </c>
      <c r="CI64" s="147">
        <v>59</v>
      </c>
      <c r="CJ64" s="188">
        <f t="shared" si="114"/>
        <v>0.70799999999999996</v>
      </c>
      <c r="CK64" s="188"/>
      <c r="CL64" s="188">
        <f t="shared" si="49"/>
        <v>3.54</v>
      </c>
      <c r="CM64" s="465">
        <f t="shared" si="50"/>
        <v>48</v>
      </c>
      <c r="CN64" s="149">
        <f t="shared" si="51"/>
        <v>5.4</v>
      </c>
      <c r="CO64" s="379">
        <f t="shared" si="52"/>
        <v>53.4</v>
      </c>
      <c r="CP64" s="379"/>
      <c r="CQ64" s="188">
        <f t="shared" si="53"/>
        <v>0.10112359550561799</v>
      </c>
      <c r="CR64" s="149">
        <f t="shared" si="54"/>
        <v>12.426067415730339</v>
      </c>
      <c r="CS64" s="149">
        <f t="shared" si="115"/>
        <v>3.54</v>
      </c>
      <c r="CT64" s="188">
        <f t="shared" si="55"/>
        <v>2.4852134831460679</v>
      </c>
      <c r="CU64" s="188">
        <f t="shared" si="56"/>
        <v>5</v>
      </c>
      <c r="CV64" s="188">
        <f t="shared" si="57"/>
        <v>2.4269662921348316</v>
      </c>
      <c r="CW64" s="149">
        <f t="shared" si="58"/>
        <v>121.64883949635116</v>
      </c>
      <c r="CX64" s="149">
        <f t="shared" si="59"/>
        <v>5</v>
      </c>
      <c r="CY64" s="188">
        <f t="shared" si="60"/>
        <v>1.4586111111111111</v>
      </c>
      <c r="CZ64" s="188">
        <f t="shared" si="61"/>
        <v>0.36465277777777777</v>
      </c>
      <c r="DA64" s="188">
        <f t="shared" si="62"/>
        <v>3.2413580246913578</v>
      </c>
      <c r="DB64" s="172">
        <f t="shared" si="63"/>
        <v>350</v>
      </c>
      <c r="DC64" s="379">
        <f t="shared" si="116"/>
        <v>277.31475438600245</v>
      </c>
      <c r="DE64" s="188">
        <f t="shared" si="64"/>
        <v>1.1556982343499198</v>
      </c>
      <c r="DF64" s="150">
        <f t="shared" si="65"/>
        <v>2.5682182985553772</v>
      </c>
      <c r="DG64" s="150">
        <f t="shared" si="66"/>
        <v>0.51941493678648076</v>
      </c>
      <c r="DH64" s="150"/>
      <c r="DI64" s="150">
        <f t="shared" si="67"/>
        <v>2.2222222222222219</v>
      </c>
      <c r="DJ64" s="314">
        <f t="shared" si="117"/>
        <v>637.20000000000005</v>
      </c>
      <c r="DK64" s="456">
        <f t="shared" si="68"/>
        <v>0.38888888888888884</v>
      </c>
      <c r="DM64" s="150">
        <f t="shared" si="69"/>
        <v>1.3492855252211924</v>
      </c>
      <c r="DN64" s="150">
        <f t="shared" si="70"/>
        <v>1.4586111111111111</v>
      </c>
      <c r="DO64" s="150">
        <f t="shared" si="71"/>
        <v>1.5397119341563785</v>
      </c>
      <c r="DQ64" s="314">
        <f t="shared" si="72"/>
        <v>708</v>
      </c>
      <c r="DR64" s="144">
        <f t="shared" si="73"/>
        <v>277.31475438600245</v>
      </c>
      <c r="DT64">
        <f t="shared" si="74"/>
        <v>708</v>
      </c>
      <c r="DU64">
        <f t="shared" si="75"/>
        <v>277.31475438600245</v>
      </c>
      <c r="DW64" s="5">
        <f t="shared" si="118"/>
        <v>3.606010802469136</v>
      </c>
      <c r="DX64" s="5">
        <f t="shared" si="76"/>
        <v>0.36465277777777777</v>
      </c>
      <c r="DY64" s="5">
        <f t="shared" si="119"/>
        <v>3.2413580246913583</v>
      </c>
      <c r="DZ64" s="5">
        <f t="shared" si="77"/>
        <v>3.2413580246913578</v>
      </c>
      <c r="EA64" s="150">
        <f t="shared" si="120"/>
        <v>0.10112359550561797</v>
      </c>
      <c r="EB64" s="150">
        <f t="shared" si="78"/>
        <v>3.5399999999999996</v>
      </c>
      <c r="EC64" s="150">
        <f t="shared" si="79"/>
        <v>0.65555555555555556</v>
      </c>
      <c r="ED64" s="150">
        <f t="shared" si="121"/>
        <v>5.3999999999999995</v>
      </c>
      <c r="EE64" s="144">
        <f t="shared" si="80"/>
        <v>5.1634833333333328</v>
      </c>
      <c r="EF64" s="5">
        <f t="shared" si="81"/>
        <v>9.9604230967078183E-2</v>
      </c>
      <c r="EG64" s="5"/>
      <c r="EH64" s="150">
        <f t="shared" si="122"/>
        <v>0.26779665101770095</v>
      </c>
      <c r="EI64" s="150">
        <f t="shared" si="82"/>
        <v>0.79841535442982337</v>
      </c>
      <c r="EJ64" s="150"/>
      <c r="EK64" s="456">
        <f t="shared" si="83"/>
        <v>1.4343009259259263E-3</v>
      </c>
      <c r="EL64" s="456">
        <f t="shared" si="84"/>
        <v>0.432</v>
      </c>
      <c r="EM64" s="456">
        <f t="shared" si="85"/>
        <v>3.4664344298250299E-2</v>
      </c>
      <c r="EN64" s="456">
        <f t="shared" si="86"/>
        <v>7.9077966101694916E-2</v>
      </c>
      <c r="EO64">
        <f t="shared" si="87"/>
        <v>2.1600000000000001E-2</v>
      </c>
      <c r="EP64" s="144">
        <f t="shared" si="123"/>
        <v>56.2643442982503</v>
      </c>
      <c r="EQ64" s="456">
        <f t="shared" si="88"/>
        <v>0.56935790399903907</v>
      </c>
      <c r="ER64" s="144">
        <f t="shared" si="124"/>
        <v>569.35790399903908</v>
      </c>
      <c r="ES64" s="456">
        <f t="shared" si="125"/>
        <v>0.43984499999999993</v>
      </c>
      <c r="ET64" s="456"/>
      <c r="EV64" s="144">
        <f t="shared" si="126"/>
        <v>439.84499999999991</v>
      </c>
      <c r="EW64" s="456">
        <f t="shared" si="89"/>
        <v>2.1514513888888894E-3</v>
      </c>
      <c r="EX64" s="456">
        <f t="shared" si="90"/>
        <v>1.9124012345679012E-2</v>
      </c>
      <c r="EY64" s="456">
        <f t="shared" si="91"/>
        <v>0.16453232685410418</v>
      </c>
      <c r="EZ64" s="456">
        <f t="shared" si="92"/>
        <v>0.19123939843585178</v>
      </c>
      <c r="FA64" s="456">
        <f t="shared" si="93"/>
        <v>5.8999999999999992E-4</v>
      </c>
      <c r="FB64" s="144">
        <f t="shared" si="127"/>
        <v>191.82939843585177</v>
      </c>
      <c r="FC64" s="150">
        <f t="shared" si="128"/>
        <v>1.2010323024348908</v>
      </c>
      <c r="FD64" s="5">
        <f t="shared" si="129"/>
        <v>3.54</v>
      </c>
      <c r="FE64" s="150">
        <f t="shared" si="130"/>
        <v>0.74667282865420115</v>
      </c>
      <c r="FF64" s="5">
        <f t="shared" si="131"/>
        <v>74.66728286542012</v>
      </c>
      <c r="FI64" s="59">
        <f t="shared" si="94"/>
        <v>-50</v>
      </c>
      <c r="FJ64">
        <f t="shared" si="95"/>
        <v>-50</v>
      </c>
      <c r="FL64">
        <f t="shared" si="181"/>
        <v>0.898876404494382</v>
      </c>
    </row>
    <row r="65" spans="5:168">
      <c r="E65" s="147">
        <v>60</v>
      </c>
      <c r="F65" s="188">
        <f t="shared" si="182"/>
        <v>0.72</v>
      </c>
      <c r="G65" s="188"/>
      <c r="H65" s="188">
        <f t="shared" si="132"/>
        <v>3.5999999999999996</v>
      </c>
      <c r="I65" s="465">
        <f t="shared" si="133"/>
        <v>47.959333143183116</v>
      </c>
      <c r="J65" s="149">
        <f t="shared" si="134"/>
        <v>5.4244001140901315</v>
      </c>
      <c r="K65" s="149">
        <f t="shared" si="135"/>
        <v>53.424400114090133</v>
      </c>
      <c r="L65" s="379"/>
      <c r="M65" s="188">
        <f t="shared" si="136"/>
        <v>0.10160525078668879</v>
      </c>
      <c r="N65" s="149">
        <f t="shared" si="137"/>
        <v>12.474675383233219</v>
      </c>
      <c r="O65" s="149">
        <f t="shared" si="98"/>
        <v>3.5999999999999996</v>
      </c>
      <c r="P65" s="188">
        <f t="shared" si="138"/>
        <v>2.4949350766466436</v>
      </c>
      <c r="Q65" s="188">
        <f t="shared" si="139"/>
        <v>5</v>
      </c>
      <c r="R65" s="188">
        <f t="shared" si="140"/>
        <v>2.4364600357877388</v>
      </c>
      <c r="S65" s="149">
        <f t="shared" si="141"/>
        <v>118.72716491717044</v>
      </c>
      <c r="T65" s="149">
        <f t="shared" si="142"/>
        <v>5</v>
      </c>
      <c r="U65" s="188">
        <f t="shared" si="143"/>
        <v>1.6028588783059465</v>
      </c>
      <c r="V65" s="188">
        <f t="shared" si="11"/>
        <v>0.40105450345289673</v>
      </c>
      <c r="W65" s="188">
        <f t="shared" si="144"/>
        <v>3.5458863902220918</v>
      </c>
      <c r="X65" s="172">
        <f t="shared" si="145"/>
        <v>350</v>
      </c>
      <c r="Y65" s="379">
        <f t="shared" si="14"/>
        <v>241.14160911365371</v>
      </c>
      <c r="AA65" s="188">
        <f t="shared" si="146"/>
        <v>1.1602901889153436</v>
      </c>
      <c r="AB65" s="150">
        <f t="shared" si="147"/>
        <v>2.5668243444684751</v>
      </c>
      <c r="AC65" s="150">
        <f t="shared" si="148"/>
        <v>0.52119569312227021</v>
      </c>
      <c r="AD65" s="150"/>
      <c r="AE65" s="150">
        <f t="shared" si="149"/>
        <v>2.2122261904739369</v>
      </c>
      <c r="AF65" s="314">
        <f t="shared" si="150"/>
        <v>650.92801369081565</v>
      </c>
      <c r="AG65" s="456">
        <f t="shared" si="151"/>
        <v>0.38713958333293896</v>
      </c>
      <c r="AI65" s="150">
        <f t="shared" si="152"/>
        <v>1.3637427634385093</v>
      </c>
      <c r="AJ65" s="150">
        <f t="shared" si="153"/>
        <v>1.6028588783059465</v>
      </c>
      <c r="AK65" s="150">
        <f t="shared" si="154"/>
        <v>1.6465621320784789</v>
      </c>
      <c r="AM65" s="314">
        <f t="shared" si="155"/>
        <v>720</v>
      </c>
      <c r="AN65" s="144">
        <f t="shared" si="156"/>
        <v>241.14160911365371</v>
      </c>
      <c r="AP65">
        <f t="shared" si="157"/>
        <v>720</v>
      </c>
      <c r="AQ65">
        <f t="shared" si="158"/>
        <v>241.14160911365371</v>
      </c>
      <c r="AS65" s="5">
        <f t="shared" si="101"/>
        <v>4.146940893674989</v>
      </c>
      <c r="AT65" s="5">
        <f t="shared" si="159"/>
        <v>0.40105450345289673</v>
      </c>
      <c r="AU65" s="5">
        <f t="shared" si="102"/>
        <v>3.7458863902220925</v>
      </c>
      <c r="AV65" s="5">
        <f t="shared" si="160"/>
        <v>3.5458863902220918</v>
      </c>
      <c r="AW65" s="150">
        <f t="shared" si="103"/>
        <v>9.6710928304908905E-2</v>
      </c>
      <c r="AX65" s="150">
        <f t="shared" si="161"/>
        <v>3.7171833160430161</v>
      </c>
      <c r="AY65" s="150">
        <f t="shared" si="162"/>
        <v>0.72392245412160672</v>
      </c>
      <c r="AZ65" s="150">
        <f t="shared" si="104"/>
        <v>5.1347810734139658</v>
      </c>
      <c r="BA65" s="144">
        <f t="shared" si="163"/>
        <v>5.7751848497217129</v>
      </c>
      <c r="BB65" s="5">
        <f t="shared" si="164"/>
        <v>0.11715820919690564</v>
      </c>
      <c r="BC65" s="5"/>
      <c r="BD65" s="150">
        <f t="shared" si="105"/>
        <v>0.28778783746393449</v>
      </c>
      <c r="BE65" s="150">
        <f t="shared" si="165"/>
        <v>0.87952469466708605</v>
      </c>
      <c r="BF65" s="150"/>
      <c r="BG65" s="456">
        <f t="shared" si="166"/>
        <v>1.6564367878433594E-3</v>
      </c>
      <c r="BH65" s="456">
        <f t="shared" si="167"/>
        <v>0.38717594594086585</v>
      </c>
      <c r="BI65" s="456">
        <f t="shared" si="168"/>
        <v>0.289124769154124</v>
      </c>
      <c r="BJ65" s="456">
        <f t="shared" si="169"/>
        <v>6.8825830913183145E-2</v>
      </c>
      <c r="BK65">
        <f t="shared" si="170"/>
        <v>2.1581699914432401E-2</v>
      </c>
      <c r="BL65" s="144">
        <f t="shared" si="106"/>
        <v>310.70646906855637</v>
      </c>
      <c r="BM65" s="456">
        <f t="shared" si="171"/>
        <v>0.45828581884055669</v>
      </c>
      <c r="BN65" s="144">
        <f t="shared" si="107"/>
        <v>458.28581884055671</v>
      </c>
      <c r="BO65" s="456">
        <f t="shared" si="172"/>
        <v>0.44729999999999998</v>
      </c>
      <c r="BP65" s="456"/>
      <c r="BR65" s="144">
        <f t="shared" si="109"/>
        <v>447.29999999999995</v>
      </c>
      <c r="BS65" s="456">
        <f t="shared" si="173"/>
        <v>2.4846551817650389E-3</v>
      </c>
      <c r="BT65" s="456">
        <f t="shared" si="174"/>
        <v>2.3206910655876926E-2</v>
      </c>
      <c r="BU65" s="456">
        <f t="shared" si="175"/>
        <v>5.3999999999999992E-2</v>
      </c>
      <c r="BV65" s="456">
        <f t="shared" si="176"/>
        <v>8.603437025368986E-2</v>
      </c>
      <c r="BW65" s="456">
        <f t="shared" si="177"/>
        <v>6.1953055267383592E-4</v>
      </c>
      <c r="BX65" s="144">
        <f t="shared" si="110"/>
        <v>86.653900806363694</v>
      </c>
      <c r="BY65" s="150">
        <f t="shared" si="45"/>
        <v>1.302946188715477</v>
      </c>
      <c r="BZ65" s="5">
        <f t="shared" si="111"/>
        <v>3.5999999999999996</v>
      </c>
      <c r="CA65" s="150">
        <f t="shared" si="112"/>
        <v>0.73425239874867232</v>
      </c>
      <c r="CB65" s="5">
        <f t="shared" si="113"/>
        <v>73.425239874867231</v>
      </c>
      <c r="CE65" s="59">
        <f t="shared" si="178"/>
        <v>-50</v>
      </c>
      <c r="CF65">
        <f t="shared" si="179"/>
        <v>-50</v>
      </c>
      <c r="CG65" s="150">
        <f t="shared" si="180"/>
        <v>0.88524176240373686</v>
      </c>
      <c r="CI65" s="147">
        <v>60</v>
      </c>
      <c r="CJ65" s="188">
        <f t="shared" si="114"/>
        <v>0.72</v>
      </c>
      <c r="CK65" s="188"/>
      <c r="CL65" s="188">
        <f t="shared" si="49"/>
        <v>3.5999999999999996</v>
      </c>
      <c r="CM65" s="465">
        <f t="shared" si="50"/>
        <v>48</v>
      </c>
      <c r="CN65" s="149">
        <f t="shared" si="51"/>
        <v>5.4</v>
      </c>
      <c r="CO65" s="379">
        <f t="shared" si="52"/>
        <v>53.4</v>
      </c>
      <c r="CP65" s="379"/>
      <c r="CQ65" s="188">
        <f t="shared" si="53"/>
        <v>0.10112359550561799</v>
      </c>
      <c r="CR65" s="149">
        <f t="shared" si="54"/>
        <v>12.426067415730339</v>
      </c>
      <c r="CS65" s="149">
        <f t="shared" si="115"/>
        <v>3.5999999999999996</v>
      </c>
      <c r="CT65" s="188">
        <f t="shared" si="55"/>
        <v>2.4852134831460679</v>
      </c>
      <c r="CU65" s="188">
        <f t="shared" si="56"/>
        <v>5</v>
      </c>
      <c r="CV65" s="188">
        <f t="shared" si="57"/>
        <v>2.4269662921348316</v>
      </c>
      <c r="CW65" s="149">
        <f t="shared" si="58"/>
        <v>118.82770306597878</v>
      </c>
      <c r="CX65" s="149">
        <f t="shared" si="59"/>
        <v>5</v>
      </c>
      <c r="CY65" s="188">
        <f t="shared" si="60"/>
        <v>1.4833333333333332</v>
      </c>
      <c r="CZ65" s="188">
        <f t="shared" si="61"/>
        <v>0.37083333333333329</v>
      </c>
      <c r="DA65" s="188">
        <f t="shared" si="62"/>
        <v>3.2962962962962958</v>
      </c>
      <c r="DB65" s="172">
        <f t="shared" si="63"/>
        <v>350</v>
      </c>
      <c r="DC65" s="379">
        <f t="shared" si="116"/>
        <v>272.69284181290249</v>
      </c>
      <c r="DE65" s="188">
        <f t="shared" si="64"/>
        <v>1.1556982343499198</v>
      </c>
      <c r="DF65" s="150">
        <f t="shared" si="65"/>
        <v>2.5682182985553772</v>
      </c>
      <c r="DG65" s="150">
        <f t="shared" si="66"/>
        <v>0.51941493678648076</v>
      </c>
      <c r="DH65" s="150"/>
      <c r="DI65" s="150">
        <f t="shared" si="67"/>
        <v>2.2222222222222219</v>
      </c>
      <c r="DJ65" s="314">
        <f t="shared" si="117"/>
        <v>648</v>
      </c>
      <c r="DK65" s="456">
        <f t="shared" si="68"/>
        <v>0.38888888888888884</v>
      </c>
      <c r="DM65" s="150">
        <f t="shared" si="69"/>
        <v>1.360672102833218</v>
      </c>
      <c r="DN65" s="150">
        <f t="shared" si="70"/>
        <v>1.4833333333333332</v>
      </c>
      <c r="DO65" s="150">
        <f t="shared" si="71"/>
        <v>1.5580246913580245</v>
      </c>
      <c r="DQ65" s="314">
        <f t="shared" si="72"/>
        <v>720</v>
      </c>
      <c r="DR65" s="144">
        <f t="shared" si="73"/>
        <v>272.69284181290249</v>
      </c>
      <c r="DT65">
        <f t="shared" si="74"/>
        <v>720</v>
      </c>
      <c r="DU65">
        <f t="shared" si="75"/>
        <v>272.69284181290249</v>
      </c>
      <c r="DW65" s="5">
        <f t="shared" si="118"/>
        <v>3.6671296296296285</v>
      </c>
      <c r="DX65" s="5">
        <f t="shared" si="76"/>
        <v>0.37083333333333329</v>
      </c>
      <c r="DY65" s="5">
        <f t="shared" si="119"/>
        <v>3.2962962962962954</v>
      </c>
      <c r="DZ65" s="5">
        <f t="shared" si="77"/>
        <v>3.2962962962962958</v>
      </c>
      <c r="EA65" s="150">
        <f t="shared" si="120"/>
        <v>0.101123595505618</v>
      </c>
      <c r="EB65" s="150">
        <f t="shared" si="78"/>
        <v>3.6</v>
      </c>
      <c r="EC65" s="150">
        <f t="shared" si="79"/>
        <v>0.66666666666666663</v>
      </c>
      <c r="ED65" s="150">
        <f t="shared" si="121"/>
        <v>5.4</v>
      </c>
      <c r="EE65" s="144">
        <f t="shared" si="80"/>
        <v>5.339999999999999</v>
      </c>
      <c r="EF65" s="5">
        <f t="shared" si="81"/>
        <v>0.10300925925925922</v>
      </c>
      <c r="EG65" s="5"/>
      <c r="EH65" s="150">
        <f t="shared" si="122"/>
        <v>0.2723355773061365</v>
      </c>
      <c r="EI65" s="150">
        <f t="shared" si="82"/>
        <v>0.811947818064227</v>
      </c>
      <c r="EJ65" s="150"/>
      <c r="EK65" s="456">
        <f t="shared" si="83"/>
        <v>1.483333333333333E-3</v>
      </c>
      <c r="EL65" s="456">
        <f t="shared" si="84"/>
        <v>0.43200000000000011</v>
      </c>
      <c r="EM65" s="456">
        <f t="shared" si="85"/>
        <v>3.4086605226612811E-2</v>
      </c>
      <c r="EN65" s="456">
        <f t="shared" si="86"/>
        <v>7.776000000000001E-2</v>
      </c>
      <c r="EO65">
        <f t="shared" si="87"/>
        <v>2.1600000000000001E-2</v>
      </c>
      <c r="EP65" s="144">
        <f t="shared" si="123"/>
        <v>55.686605226612812</v>
      </c>
      <c r="EQ65" s="456">
        <f t="shared" si="88"/>
        <v>0.56753045899491439</v>
      </c>
      <c r="ER65" s="144">
        <f t="shared" si="124"/>
        <v>567.5304589949144</v>
      </c>
      <c r="ES65" s="456">
        <f t="shared" si="125"/>
        <v>0.44729999999999998</v>
      </c>
      <c r="ET65" s="456"/>
      <c r="EV65" s="144">
        <f t="shared" si="126"/>
        <v>447.29999999999995</v>
      </c>
      <c r="EW65" s="456">
        <f t="shared" si="89"/>
        <v>2.2249999999999991E-3</v>
      </c>
      <c r="EX65" s="456">
        <f t="shared" si="90"/>
        <v>1.9777777777777773E-2</v>
      </c>
      <c r="EY65" s="456">
        <f t="shared" si="91"/>
        <v>0.16453232685410427</v>
      </c>
      <c r="EZ65" s="456">
        <f t="shared" si="92"/>
        <v>0.19215400504832378</v>
      </c>
      <c r="FA65" s="456">
        <f t="shared" si="93"/>
        <v>6.0000000000000006E-4</v>
      </c>
      <c r="FB65" s="144">
        <f t="shared" si="127"/>
        <v>192.75400504832376</v>
      </c>
      <c r="FC65" s="150">
        <f t="shared" si="128"/>
        <v>1.207584464043238</v>
      </c>
      <c r="FD65" s="5">
        <f t="shared" si="129"/>
        <v>3.5999999999999996</v>
      </c>
      <c r="FE65" s="150">
        <f t="shared" si="130"/>
        <v>0.7488167970682631</v>
      </c>
      <c r="FF65" s="5">
        <f t="shared" si="131"/>
        <v>74.881679706826304</v>
      </c>
      <c r="FI65" s="59">
        <f t="shared" si="94"/>
        <v>-50</v>
      </c>
      <c r="FJ65">
        <f t="shared" si="95"/>
        <v>-50</v>
      </c>
      <c r="FL65">
        <f t="shared" si="181"/>
        <v>0.898876404494382</v>
      </c>
    </row>
    <row r="66" spans="5:168">
      <c r="E66" s="147">
        <v>61</v>
      </c>
      <c r="F66" s="188">
        <f t="shared" si="182"/>
        <v>0.73199999999999998</v>
      </c>
      <c r="G66" s="188"/>
      <c r="H66" s="188">
        <f t="shared" si="132"/>
        <v>3.66</v>
      </c>
      <c r="I66" s="465">
        <f t="shared" si="133"/>
        <v>47.958665798896781</v>
      </c>
      <c r="J66" s="149">
        <f t="shared" si="134"/>
        <v>5.4248005206619299</v>
      </c>
      <c r="K66" s="149">
        <f t="shared" si="135"/>
        <v>53.424800520661933</v>
      </c>
      <c r="L66" s="379"/>
      <c r="M66" s="188">
        <f t="shared" si="136"/>
        <v>0.10161326105230248</v>
      </c>
      <c r="N66" s="149">
        <f t="shared" si="137"/>
        <v>12.475485254511179</v>
      </c>
      <c r="O66" s="149">
        <f t="shared" si="98"/>
        <v>3.66</v>
      </c>
      <c r="P66" s="188">
        <f t="shared" si="138"/>
        <v>2.4950970509022357</v>
      </c>
      <c r="Q66" s="188">
        <f t="shared" si="139"/>
        <v>5</v>
      </c>
      <c r="R66" s="188">
        <f t="shared" si="140"/>
        <v>2.4366182137717143</v>
      </c>
      <c r="S66" s="149">
        <f t="shared" si="141"/>
        <v>115.99939897365182</v>
      </c>
      <c r="T66" s="149">
        <f t="shared" si="142"/>
        <v>5</v>
      </c>
      <c r="U66" s="188">
        <f t="shared" si="143"/>
        <v>1.6295877226714399</v>
      </c>
      <c r="V66" s="188">
        <f t="shared" si="11"/>
        <v>0.40774805441954382</v>
      </c>
      <c r="W66" s="188">
        <f t="shared" si="144"/>
        <v>3.6047505521311201</v>
      </c>
      <c r="X66" s="172">
        <f t="shared" si="145"/>
        <v>350</v>
      </c>
      <c r="Y66" s="379">
        <f t="shared" si="14"/>
        <v>237.38880256125086</v>
      </c>
      <c r="AA66" s="188">
        <f t="shared" si="146"/>
        <v>1.160365492543034</v>
      </c>
      <c r="AB66" s="150">
        <f t="shared" si="147"/>
        <v>2.5668014625572568</v>
      </c>
      <c r="AC66" s="150">
        <f t="shared" si="148"/>
        <v>0.52122487258807537</v>
      </c>
      <c r="AD66" s="150"/>
      <c r="AE66" s="150">
        <f t="shared" si="149"/>
        <v>2.2120629052247196</v>
      </c>
      <c r="AF66" s="314">
        <f t="shared" si="150"/>
        <v>661.82566352075548</v>
      </c>
      <c r="AG66" s="456">
        <f t="shared" si="151"/>
        <v>0.38711100841432594</v>
      </c>
      <c r="AI66" s="150">
        <f t="shared" si="152"/>
        <v>1.3751110744962234</v>
      </c>
      <c r="AJ66" s="150">
        <f t="shared" si="153"/>
        <v>1.6295877226714399</v>
      </c>
      <c r="AK66" s="150">
        <f t="shared" si="154"/>
        <v>1.6663612760529185</v>
      </c>
      <c r="AM66" s="314">
        <f t="shared" si="155"/>
        <v>732</v>
      </c>
      <c r="AN66" s="144">
        <f t="shared" si="156"/>
        <v>237.38880256125086</v>
      </c>
      <c r="AP66">
        <f t="shared" si="157"/>
        <v>732</v>
      </c>
      <c r="AQ66">
        <f t="shared" si="158"/>
        <v>237.38880256125086</v>
      </c>
      <c r="AS66" s="5">
        <f t="shared" si="101"/>
        <v>4.212498606550664</v>
      </c>
      <c r="AT66" s="5">
        <f t="shared" si="159"/>
        <v>0.40774805441954382</v>
      </c>
      <c r="AU66" s="5">
        <f t="shared" si="102"/>
        <v>3.8047505521311202</v>
      </c>
      <c r="AV66" s="5">
        <f t="shared" si="160"/>
        <v>3.6047505521311201</v>
      </c>
      <c r="AW66" s="150">
        <f t="shared" si="103"/>
        <v>9.6794822385335266E-2</v>
      </c>
      <c r="AX66" s="150">
        <f t="shared" si="161"/>
        <v>3.7823957616298638</v>
      </c>
      <c r="AY66" s="150">
        <f t="shared" si="162"/>
        <v>0.73592603424706748</v>
      </c>
      <c r="AZ66" s="150">
        <f t="shared" si="104"/>
        <v>5.1396411943758276</v>
      </c>
      <c r="BA66" s="144">
        <f t="shared" si="163"/>
        <v>5.9694315167021221</v>
      </c>
      <c r="BB66" s="5">
        <f t="shared" si="164"/>
        <v>0.12098427876059532</v>
      </c>
      <c r="BC66" s="5"/>
      <c r="BD66" s="150">
        <f t="shared" si="105"/>
        <v>0.29271378823854782</v>
      </c>
      <c r="BE66" s="150">
        <f t="shared" si="165"/>
        <v>0.89414988683974861</v>
      </c>
      <c r="BF66" s="150"/>
      <c r="BG66" s="456">
        <f t="shared" si="166"/>
        <v>1.7136272364992283E-3</v>
      </c>
      <c r="BH66" s="456">
        <f t="shared" si="167"/>
        <v>0.38750932261107063</v>
      </c>
      <c r="BI66" s="456">
        <f t="shared" si="168"/>
        <v>0.28462125616088302</v>
      </c>
      <c r="BJ66" s="456">
        <f t="shared" si="169"/>
        <v>6.7755733051972272E-2</v>
      </c>
      <c r="BK66">
        <f t="shared" si="170"/>
        <v>2.1581399609503549E-2</v>
      </c>
      <c r="BL66" s="144">
        <f t="shared" si="106"/>
        <v>306.20265577038657</v>
      </c>
      <c r="BM66" s="456">
        <f t="shared" si="171"/>
        <v>0.45762768895081513</v>
      </c>
      <c r="BN66" s="144">
        <f t="shared" si="107"/>
        <v>457.62768895081513</v>
      </c>
      <c r="BO66" s="456">
        <f t="shared" si="172"/>
        <v>0.45475499999999996</v>
      </c>
      <c r="BP66" s="456"/>
      <c r="BR66" s="144">
        <f t="shared" si="109"/>
        <v>454.75499999999994</v>
      </c>
      <c r="BS66" s="456">
        <f t="shared" si="173"/>
        <v>2.5704408547488422E-3</v>
      </c>
      <c r="BT66" s="456">
        <f t="shared" si="174"/>
        <v>2.3985120604066056E-2</v>
      </c>
      <c r="BU66" s="456">
        <f t="shared" si="175"/>
        <v>5.4899999999999997E-2</v>
      </c>
      <c r="BV66" s="456">
        <f t="shared" si="176"/>
        <v>8.8015881100122956E-2</v>
      </c>
      <c r="BW66" s="456">
        <f t="shared" si="177"/>
        <v>6.3039929360497726E-4</v>
      </c>
      <c r="BX66" s="144">
        <f t="shared" si="110"/>
        <v>88.646280393727935</v>
      </c>
      <c r="BY66" s="150">
        <f t="shared" si="45"/>
        <v>1.3072316251149296</v>
      </c>
      <c r="BZ66" s="5">
        <f t="shared" si="111"/>
        <v>3.66</v>
      </c>
      <c r="CA66" s="150">
        <f t="shared" si="112"/>
        <v>0.73682893736917632</v>
      </c>
      <c r="CB66" s="5">
        <f t="shared" si="113"/>
        <v>73.682893736917634</v>
      </c>
      <c r="CE66" s="59">
        <f t="shared" si="178"/>
        <v>-50</v>
      </c>
      <c r="CF66">
        <f t="shared" si="179"/>
        <v>-50</v>
      </c>
      <c r="CG66" s="150">
        <f t="shared" si="180"/>
        <v>0.88546528112653433</v>
      </c>
      <c r="CI66" s="147">
        <v>61</v>
      </c>
      <c r="CJ66" s="188">
        <f t="shared" si="114"/>
        <v>0.73199999999999998</v>
      </c>
      <c r="CK66" s="188"/>
      <c r="CL66" s="188">
        <f t="shared" si="49"/>
        <v>3.66</v>
      </c>
      <c r="CM66" s="465">
        <f t="shared" si="50"/>
        <v>48</v>
      </c>
      <c r="CN66" s="149">
        <f t="shared" si="51"/>
        <v>5.4</v>
      </c>
      <c r="CO66" s="379">
        <f t="shared" si="52"/>
        <v>53.4</v>
      </c>
      <c r="CP66" s="379"/>
      <c r="CQ66" s="188">
        <f t="shared" si="53"/>
        <v>0.10112359550561799</v>
      </c>
      <c r="CR66" s="149">
        <f t="shared" si="54"/>
        <v>12.426067415730339</v>
      </c>
      <c r="CS66" s="149">
        <f t="shared" si="115"/>
        <v>3.66</v>
      </c>
      <c r="CT66" s="188">
        <f t="shared" si="55"/>
        <v>2.4852134831460679</v>
      </c>
      <c r="CU66" s="188">
        <f t="shared" si="56"/>
        <v>5</v>
      </c>
      <c r="CV66" s="188">
        <f t="shared" si="57"/>
        <v>2.4269662921348316</v>
      </c>
      <c r="CW66" s="149">
        <f t="shared" si="58"/>
        <v>116.09923417983654</v>
      </c>
      <c r="CX66" s="149">
        <f t="shared" si="59"/>
        <v>5</v>
      </c>
      <c r="CY66" s="188">
        <f t="shared" si="60"/>
        <v>1.5080555555555555</v>
      </c>
      <c r="CZ66" s="188">
        <f t="shared" si="61"/>
        <v>0.37701388888888887</v>
      </c>
      <c r="DA66" s="188">
        <f t="shared" si="62"/>
        <v>3.3512345679012339</v>
      </c>
      <c r="DB66" s="172">
        <f t="shared" si="63"/>
        <v>350</v>
      </c>
      <c r="DC66" s="379">
        <f t="shared" si="116"/>
        <v>268.22246735695319</v>
      </c>
      <c r="DE66" s="188">
        <f t="shared" si="64"/>
        <v>1.1556982343499198</v>
      </c>
      <c r="DF66" s="150">
        <f t="shared" si="65"/>
        <v>2.5682182985553772</v>
      </c>
      <c r="DG66" s="150">
        <f t="shared" si="66"/>
        <v>0.51941493678648076</v>
      </c>
      <c r="DH66" s="150"/>
      <c r="DI66" s="150">
        <f t="shared" si="67"/>
        <v>2.2222222222222219</v>
      </c>
      <c r="DJ66" s="314">
        <f t="shared" si="117"/>
        <v>658.8</v>
      </c>
      <c r="DK66" s="456">
        <f t="shared" si="68"/>
        <v>0.38888888888888884</v>
      </c>
      <c r="DM66" s="150">
        <f t="shared" si="69"/>
        <v>1.3719641811234411</v>
      </c>
      <c r="DN66" s="150">
        <f t="shared" si="70"/>
        <v>1.5080555555555555</v>
      </c>
      <c r="DO66" s="150">
        <f t="shared" si="71"/>
        <v>1.5763374485596706</v>
      </c>
      <c r="DQ66" s="314">
        <f t="shared" si="72"/>
        <v>732</v>
      </c>
      <c r="DR66" s="144">
        <f t="shared" si="73"/>
        <v>268.22246735695319</v>
      </c>
      <c r="DT66">
        <f t="shared" si="74"/>
        <v>732</v>
      </c>
      <c r="DU66">
        <f t="shared" si="75"/>
        <v>268.22246735695319</v>
      </c>
      <c r="DW66" s="5">
        <f t="shared" si="118"/>
        <v>3.7282484567901233</v>
      </c>
      <c r="DX66" s="5">
        <f t="shared" si="76"/>
        <v>0.37701388888888887</v>
      </c>
      <c r="DY66" s="5">
        <f t="shared" si="119"/>
        <v>3.3512345679012343</v>
      </c>
      <c r="DZ66" s="5">
        <f t="shared" si="77"/>
        <v>3.3512345679012339</v>
      </c>
      <c r="EA66" s="150">
        <f t="shared" si="120"/>
        <v>0.10112359550561797</v>
      </c>
      <c r="EB66" s="150">
        <f t="shared" si="78"/>
        <v>3.66</v>
      </c>
      <c r="EC66" s="150">
        <f t="shared" si="79"/>
        <v>0.6777777777777777</v>
      </c>
      <c r="ED66" s="150">
        <f t="shared" si="121"/>
        <v>5.4000000000000012</v>
      </c>
      <c r="EE66" s="144">
        <f t="shared" si="80"/>
        <v>5.5194833333333326</v>
      </c>
      <c r="EF66" s="5">
        <f t="shared" si="81"/>
        <v>0.10647151491769545</v>
      </c>
      <c r="EG66" s="5"/>
      <c r="EH66" s="150">
        <f t="shared" si="122"/>
        <v>0.27687450359457216</v>
      </c>
      <c r="EI66" s="150">
        <f t="shared" si="82"/>
        <v>0.82548028169863086</v>
      </c>
      <c r="EJ66" s="150"/>
      <c r="EK66" s="456">
        <f t="shared" si="83"/>
        <v>1.5331898148148151E-3</v>
      </c>
      <c r="EL66" s="456">
        <f t="shared" si="84"/>
        <v>0.43199999999999994</v>
      </c>
      <c r="EM66" s="456">
        <f t="shared" si="85"/>
        <v>3.3527808419619151E-2</v>
      </c>
      <c r="EN66" s="456">
        <f t="shared" si="86"/>
        <v>7.648524590163934E-2</v>
      </c>
      <c r="EO66">
        <f t="shared" si="87"/>
        <v>2.1600000000000001E-2</v>
      </c>
      <c r="EP66" s="144">
        <f t="shared" si="123"/>
        <v>55.12780841961915</v>
      </c>
      <c r="EQ66" s="456">
        <f t="shared" si="88"/>
        <v>0.56576630607407108</v>
      </c>
      <c r="ER66" s="144">
        <f t="shared" si="124"/>
        <v>565.76630607407105</v>
      </c>
      <c r="ES66" s="456">
        <f t="shared" si="125"/>
        <v>0.45475499999999996</v>
      </c>
      <c r="ET66" s="456"/>
      <c r="EV66" s="144">
        <f t="shared" si="126"/>
        <v>454.75499999999994</v>
      </c>
      <c r="EW66" s="456">
        <f t="shared" si="89"/>
        <v>2.2997847222222226E-3</v>
      </c>
      <c r="EX66" s="456">
        <f t="shared" si="90"/>
        <v>2.0442530864197526E-2</v>
      </c>
      <c r="EY66" s="456">
        <f t="shared" si="91"/>
        <v>0.16453232685410424</v>
      </c>
      <c r="EZ66" s="456">
        <f t="shared" si="92"/>
        <v>0.19308409253062866</v>
      </c>
      <c r="FA66" s="456">
        <f t="shared" si="93"/>
        <v>6.0999999999999997E-4</v>
      </c>
      <c r="FB66" s="144">
        <f t="shared" si="127"/>
        <v>193.69409253062867</v>
      </c>
      <c r="FC66" s="150">
        <f t="shared" si="128"/>
        <v>1.2142153986046997</v>
      </c>
      <c r="FD66" s="5">
        <f t="shared" si="129"/>
        <v>3.66</v>
      </c>
      <c r="FE66" s="150">
        <f t="shared" si="130"/>
        <v>0.75089008192943574</v>
      </c>
      <c r="FF66" s="5">
        <f t="shared" si="131"/>
        <v>75.089008192943567</v>
      </c>
      <c r="FI66" s="59">
        <f t="shared" si="94"/>
        <v>-50</v>
      </c>
      <c r="FJ66">
        <f t="shared" si="95"/>
        <v>-50</v>
      </c>
      <c r="FL66">
        <f t="shared" si="181"/>
        <v>0.898876404494382</v>
      </c>
    </row>
    <row r="67" spans="5:168">
      <c r="E67" s="147">
        <v>62</v>
      </c>
      <c r="F67" s="188">
        <f t="shared" si="182"/>
        <v>0.74399999999999999</v>
      </c>
      <c r="G67" s="188"/>
      <c r="H67" s="188">
        <f t="shared" si="132"/>
        <v>3.7199999999999998</v>
      </c>
      <c r="I67" s="465">
        <f t="shared" si="133"/>
        <v>47.957998449512601</v>
      </c>
      <c r="J67" s="149">
        <f t="shared" si="134"/>
        <v>5.4252009302924407</v>
      </c>
      <c r="K67" s="149">
        <f t="shared" si="135"/>
        <v>53.425200930292441</v>
      </c>
      <c r="L67" s="379"/>
      <c r="M67" s="188">
        <f t="shared" si="136"/>
        <v>0.10162127140770225</v>
      </c>
      <c r="N67" s="149">
        <f t="shared" si="137"/>
        <v>12.476295108116695</v>
      </c>
      <c r="O67" s="149">
        <f t="shared" si="98"/>
        <v>3.7199999999999998</v>
      </c>
      <c r="P67" s="188">
        <f t="shared" si="138"/>
        <v>2.495259021623339</v>
      </c>
      <c r="Q67" s="188">
        <f t="shared" si="139"/>
        <v>5</v>
      </c>
      <c r="R67" s="188">
        <f t="shared" si="140"/>
        <v>2.4367763883040419</v>
      </c>
      <c r="S67" s="149">
        <f t="shared" si="141"/>
        <v>113.35981884396632</v>
      </c>
      <c r="T67" s="149">
        <f t="shared" si="142"/>
        <v>5</v>
      </c>
      <c r="U67" s="188">
        <f t="shared" si="143"/>
        <v>1.6563170438503159</v>
      </c>
      <c r="V67" s="188">
        <f t="shared" si="11"/>
        <v>0.41444191102195155</v>
      </c>
      <c r="W67" s="188">
        <f t="shared" si="144"/>
        <v>3.6636070777073324</v>
      </c>
      <c r="X67" s="172">
        <f t="shared" si="145"/>
        <v>350</v>
      </c>
      <c r="Y67" s="379">
        <f t="shared" si="14"/>
        <v>233.75141393531158</v>
      </c>
      <c r="AA67" s="188">
        <f t="shared" si="146"/>
        <v>1.1604407951154831</v>
      </c>
      <c r="AB67" s="150">
        <f t="shared" si="147"/>
        <v>2.5667785802424032</v>
      </c>
      <c r="AC67" s="150">
        <f t="shared" si="148"/>
        <v>0.52125405089483001</v>
      </c>
      <c r="AD67" s="150"/>
      <c r="AE67" s="150">
        <f t="shared" si="149"/>
        <v>2.2118996428309528</v>
      </c>
      <c r="AF67" s="314">
        <f t="shared" si="150"/>
        <v>672.72491535626261</v>
      </c>
      <c r="AG67" s="456">
        <f t="shared" si="151"/>
        <v>0.38708243749541671</v>
      </c>
      <c r="AI67" s="150">
        <f t="shared" si="152"/>
        <v>1.3863878197431549</v>
      </c>
      <c r="AJ67" s="150">
        <f t="shared" si="153"/>
        <v>1.6563170438503159</v>
      </c>
      <c r="AK67" s="150">
        <f t="shared" si="154"/>
        <v>1.6861607732224562</v>
      </c>
      <c r="AM67" s="314">
        <f t="shared" si="155"/>
        <v>744</v>
      </c>
      <c r="AN67" s="144">
        <f t="shared" si="156"/>
        <v>233.75141393531158</v>
      </c>
      <c r="AP67">
        <f t="shared" si="157"/>
        <v>744</v>
      </c>
      <c r="AQ67">
        <f t="shared" si="158"/>
        <v>233.75141393531158</v>
      </c>
      <c r="AS67" s="5">
        <f t="shared" si="101"/>
        <v>4.2780489887292843</v>
      </c>
      <c r="AT67" s="5">
        <f t="shared" si="159"/>
        <v>0.41444191102195155</v>
      </c>
      <c r="AU67" s="5">
        <f t="shared" si="102"/>
        <v>3.8636070777073326</v>
      </c>
      <c r="AV67" s="5">
        <f t="shared" si="160"/>
        <v>3.6636070777073324</v>
      </c>
      <c r="AW67" s="150">
        <f t="shared" si="103"/>
        <v>9.6876382695433763E-2</v>
      </c>
      <c r="AX67" s="150">
        <f t="shared" si="161"/>
        <v>3.8476223488463441</v>
      </c>
      <c r="AY67" s="150">
        <f t="shared" si="162"/>
        <v>0.74792952002265156</v>
      </c>
      <c r="AZ67" s="150">
        <f t="shared" si="104"/>
        <v>5.1443648710774461</v>
      </c>
      <c r="BA67" s="144">
        <f t="shared" si="163"/>
        <v>6.1668956360066387</v>
      </c>
      <c r="BB67" s="5">
        <f t="shared" si="164"/>
        <v>0.12487157854910907</v>
      </c>
      <c r="BC67" s="5"/>
      <c r="BD67" s="150">
        <f t="shared" si="105"/>
        <v>0.29764034590113475</v>
      </c>
      <c r="BE67" s="150">
        <f t="shared" si="165"/>
        <v>0.908775150633094</v>
      </c>
      <c r="BF67" s="150"/>
      <c r="BG67" s="456">
        <f t="shared" si="166"/>
        <v>1.771795510162943E-3</v>
      </c>
      <c r="BH67" s="456">
        <f t="shared" si="167"/>
        <v>0.38783335189022328</v>
      </c>
      <c r="BI67" s="456">
        <f t="shared" si="168"/>
        <v>0.28025624867702631</v>
      </c>
      <c r="BJ67" s="456">
        <f t="shared" si="169"/>
        <v>6.6718546280367025E-2</v>
      </c>
      <c r="BK67">
        <f t="shared" si="170"/>
        <v>2.1581099302280669E-2</v>
      </c>
      <c r="BL67" s="144">
        <f t="shared" si="106"/>
        <v>301.83734797930703</v>
      </c>
      <c r="BM67" s="456">
        <f t="shared" si="171"/>
        <v>0.4569944633639309</v>
      </c>
      <c r="BN67" s="144">
        <f t="shared" si="107"/>
        <v>456.99446336393089</v>
      </c>
      <c r="BO67" s="456">
        <f t="shared" si="172"/>
        <v>0.4622099999999999</v>
      </c>
      <c r="BP67" s="456"/>
      <c r="BR67" s="144">
        <f t="shared" si="109"/>
        <v>462.20999999999992</v>
      </c>
      <c r="BS67" s="456">
        <f t="shared" si="173"/>
        <v>2.6576932652444141E-3</v>
      </c>
      <c r="BT67" s="456">
        <f t="shared" si="174"/>
        <v>2.4776168232246078E-2</v>
      </c>
      <c r="BU67" s="456">
        <f t="shared" si="175"/>
        <v>5.5799999999999995E-2</v>
      </c>
      <c r="BV67" s="456">
        <f t="shared" si="176"/>
        <v>9.0015546179007866E-2</v>
      </c>
      <c r="BW67" s="456">
        <f t="shared" si="177"/>
        <v>6.4127039147439076E-4</v>
      </c>
      <c r="BX67" s="144">
        <f t="shared" si="110"/>
        <v>90.656816570482263</v>
      </c>
      <c r="BY67" s="150">
        <f t="shared" si="45"/>
        <v>1.3116986279137202</v>
      </c>
      <c r="BZ67" s="5">
        <f t="shared" si="111"/>
        <v>3.7199999999999998</v>
      </c>
      <c r="CA67" s="150">
        <f t="shared" si="112"/>
        <v>0.73931295872193636</v>
      </c>
      <c r="CB67" s="5">
        <f t="shared" si="113"/>
        <v>73.93129587219363</v>
      </c>
      <c r="CE67" s="59">
        <f t="shared" si="178"/>
        <v>-50</v>
      </c>
      <c r="CF67">
        <f t="shared" si="179"/>
        <v>-50</v>
      </c>
      <c r="CG67" s="150">
        <f t="shared" si="180"/>
        <v>0.88568158956795118</v>
      </c>
      <c r="CI67" s="147">
        <v>62</v>
      </c>
      <c r="CJ67" s="188">
        <f t="shared" si="114"/>
        <v>0.74399999999999999</v>
      </c>
      <c r="CK67" s="188"/>
      <c r="CL67" s="188">
        <f t="shared" si="49"/>
        <v>3.7199999999999998</v>
      </c>
      <c r="CM67" s="465">
        <f t="shared" si="50"/>
        <v>48</v>
      </c>
      <c r="CN67" s="149">
        <f t="shared" si="51"/>
        <v>5.4</v>
      </c>
      <c r="CO67" s="379">
        <f t="shared" si="52"/>
        <v>53.4</v>
      </c>
      <c r="CP67" s="379"/>
      <c r="CQ67" s="188">
        <f t="shared" si="53"/>
        <v>0.10112359550561799</v>
      </c>
      <c r="CR67" s="149">
        <f t="shared" si="54"/>
        <v>12.426067415730339</v>
      </c>
      <c r="CS67" s="149">
        <f t="shared" si="115"/>
        <v>3.7199999999999998</v>
      </c>
      <c r="CT67" s="188">
        <f t="shared" si="55"/>
        <v>2.4852134831460679</v>
      </c>
      <c r="CU67" s="188">
        <f t="shared" si="56"/>
        <v>5</v>
      </c>
      <c r="CV67" s="188">
        <f t="shared" si="57"/>
        <v>2.4269662921348316</v>
      </c>
      <c r="CW67" s="149">
        <f t="shared" si="58"/>
        <v>113.45895227217879</v>
      </c>
      <c r="CX67" s="149">
        <f t="shared" si="59"/>
        <v>5</v>
      </c>
      <c r="CY67" s="188">
        <f t="shared" si="60"/>
        <v>1.5327777777777776</v>
      </c>
      <c r="CZ67" s="188">
        <f t="shared" si="61"/>
        <v>0.38319444444444445</v>
      </c>
      <c r="DA67" s="188">
        <f t="shared" si="62"/>
        <v>3.4061728395061723</v>
      </c>
      <c r="DB67" s="172">
        <f t="shared" si="63"/>
        <v>350</v>
      </c>
      <c r="DC67" s="379">
        <f t="shared" si="116"/>
        <v>263.89629852861532</v>
      </c>
      <c r="DE67" s="188">
        <f t="shared" si="64"/>
        <v>1.1556982343499198</v>
      </c>
      <c r="DF67" s="150">
        <f t="shared" si="65"/>
        <v>2.5682182985553772</v>
      </c>
      <c r="DG67" s="150">
        <f t="shared" si="66"/>
        <v>0.51941493678648076</v>
      </c>
      <c r="DH67" s="150"/>
      <c r="DI67" s="150">
        <f t="shared" si="67"/>
        <v>2.2222222222222219</v>
      </c>
      <c r="DJ67" s="314">
        <f t="shared" si="117"/>
        <v>669.6</v>
      </c>
      <c r="DK67" s="456">
        <f t="shared" si="68"/>
        <v>0.38888888888888884</v>
      </c>
      <c r="DM67" s="150">
        <f t="shared" si="69"/>
        <v>1.3831640745561813</v>
      </c>
      <c r="DN67" s="150">
        <f t="shared" si="70"/>
        <v>1.5327777777777776</v>
      </c>
      <c r="DO67" s="150">
        <f t="shared" si="71"/>
        <v>1.5946502057613166</v>
      </c>
      <c r="DQ67" s="314">
        <f t="shared" si="72"/>
        <v>744</v>
      </c>
      <c r="DR67" s="144">
        <f t="shared" si="73"/>
        <v>263.89629852861532</v>
      </c>
      <c r="DT67">
        <f t="shared" si="74"/>
        <v>744</v>
      </c>
      <c r="DU67">
        <f t="shared" si="75"/>
        <v>263.89629852861532</v>
      </c>
      <c r="DW67" s="5">
        <f t="shared" si="118"/>
        <v>3.7893672839506163</v>
      </c>
      <c r="DX67" s="5">
        <f t="shared" si="76"/>
        <v>0.38319444444444445</v>
      </c>
      <c r="DY67" s="5">
        <f t="shared" si="119"/>
        <v>3.4061728395061719</v>
      </c>
      <c r="DZ67" s="5">
        <f t="shared" si="77"/>
        <v>3.4061728395061723</v>
      </c>
      <c r="EA67" s="150">
        <f t="shared" si="120"/>
        <v>0.101123595505618</v>
      </c>
      <c r="EB67" s="150">
        <f t="shared" si="78"/>
        <v>3.7200000000000006</v>
      </c>
      <c r="EC67" s="150">
        <f t="shared" si="79"/>
        <v>0.68888888888888877</v>
      </c>
      <c r="ED67" s="150">
        <f t="shared" si="121"/>
        <v>5.4000000000000021</v>
      </c>
      <c r="EE67" s="144">
        <f t="shared" si="80"/>
        <v>5.7019333333333337</v>
      </c>
      <c r="EF67" s="5">
        <f t="shared" si="81"/>
        <v>0.10999099794238679</v>
      </c>
      <c r="EG67" s="5"/>
      <c r="EH67" s="150">
        <f t="shared" si="122"/>
        <v>0.28141342988300772</v>
      </c>
      <c r="EI67" s="150">
        <f t="shared" si="82"/>
        <v>0.8390127453330346</v>
      </c>
      <c r="EJ67" s="150"/>
      <c r="EK67" s="456">
        <f t="shared" si="83"/>
        <v>1.58387037037037E-3</v>
      </c>
      <c r="EL67" s="456">
        <f t="shared" si="84"/>
        <v>0.43200000000000011</v>
      </c>
      <c r="EM67" s="456">
        <f t="shared" si="85"/>
        <v>3.2987037316076911E-2</v>
      </c>
      <c r="EN67" s="456">
        <f t="shared" si="86"/>
        <v>7.5251612903225823E-2</v>
      </c>
      <c r="EO67">
        <f t="shared" si="87"/>
        <v>2.1600000000000001E-2</v>
      </c>
      <c r="EP67" s="144">
        <f t="shared" si="123"/>
        <v>54.587037316076909</v>
      </c>
      <c r="EQ67" s="456">
        <f t="shared" si="88"/>
        <v>0.56406243785316057</v>
      </c>
      <c r="ER67" s="144">
        <f t="shared" si="124"/>
        <v>564.06243785316053</v>
      </c>
      <c r="ES67" s="456">
        <f t="shared" si="125"/>
        <v>0.4622099999999999</v>
      </c>
      <c r="ET67" s="456"/>
      <c r="EV67" s="144">
        <f t="shared" si="126"/>
        <v>462.20999999999992</v>
      </c>
      <c r="EW67" s="456">
        <f t="shared" si="89"/>
        <v>2.3758055555555546E-3</v>
      </c>
      <c r="EX67" s="456">
        <f t="shared" si="90"/>
        <v>2.1118271604938267E-2</v>
      </c>
      <c r="EY67" s="456">
        <f t="shared" si="91"/>
        <v>0.16453232685410404</v>
      </c>
      <c r="EZ67" s="456">
        <f t="shared" si="92"/>
        <v>0.19402966636936492</v>
      </c>
      <c r="FA67" s="456">
        <f t="shared" si="93"/>
        <v>6.2000000000000011E-4</v>
      </c>
      <c r="FB67" s="144">
        <f t="shared" si="127"/>
        <v>194.64966636936492</v>
      </c>
      <c r="FC67" s="150">
        <f t="shared" si="128"/>
        <v>1.2209221042225256</v>
      </c>
      <c r="FD67" s="5">
        <f t="shared" si="129"/>
        <v>3.7199999999999998</v>
      </c>
      <c r="FE67" s="150">
        <f t="shared" si="130"/>
        <v>0.75289590111547755</v>
      </c>
      <c r="FF67" s="5">
        <f t="shared" si="131"/>
        <v>75.289590111547753</v>
      </c>
      <c r="FI67" s="59">
        <f t="shared" si="94"/>
        <v>-50</v>
      </c>
      <c r="FJ67">
        <f t="shared" si="95"/>
        <v>-50</v>
      </c>
      <c r="FL67">
        <f t="shared" si="181"/>
        <v>0.898876404494382</v>
      </c>
    </row>
    <row r="68" spans="5:168">
      <c r="E68" s="147">
        <v>63</v>
      </c>
      <c r="F68" s="188">
        <f t="shared" si="182"/>
        <v>0.75600000000000001</v>
      </c>
      <c r="G68" s="188"/>
      <c r="H68" s="188">
        <f t="shared" si="132"/>
        <v>3.7800000000000002</v>
      </c>
      <c r="I68" s="465">
        <f t="shared" si="133"/>
        <v>47.957331095276871</v>
      </c>
      <c r="J68" s="149">
        <f t="shared" si="134"/>
        <v>5.4256013428338763</v>
      </c>
      <c r="K68" s="149">
        <f t="shared" si="135"/>
        <v>53.425601342833879</v>
      </c>
      <c r="L68" s="379"/>
      <c r="M68" s="188">
        <f t="shared" si="136"/>
        <v>0.10162928185242288</v>
      </c>
      <c r="N68" s="149">
        <f t="shared" si="137"/>
        <v>12.477104944055954</v>
      </c>
      <c r="O68" s="149">
        <f t="shared" si="98"/>
        <v>3.7800000000000002</v>
      </c>
      <c r="P68" s="188">
        <f t="shared" si="138"/>
        <v>2.4954209888111909</v>
      </c>
      <c r="Q68" s="188">
        <f t="shared" si="139"/>
        <v>5</v>
      </c>
      <c r="R68" s="188">
        <f t="shared" si="140"/>
        <v>2.4369345593859286</v>
      </c>
      <c r="S68" s="149">
        <f t="shared" si="141"/>
        <v>110.80422858500955</v>
      </c>
      <c r="T68" s="149">
        <f t="shared" si="142"/>
        <v>5</v>
      </c>
      <c r="U68" s="188">
        <f t="shared" si="143"/>
        <v>1.6830468418624716</v>
      </c>
      <c r="V68" s="188">
        <f t="shared" si="11"/>
        <v>0.4211360732778297</v>
      </c>
      <c r="W68" s="188">
        <f t="shared" si="144"/>
        <v>3.7224559686872754</v>
      </c>
      <c r="X68" s="172">
        <f t="shared" si="145"/>
        <v>350</v>
      </c>
      <c r="Y68" s="379">
        <f t="shared" si="14"/>
        <v>230.22419931214012</v>
      </c>
      <c r="AA68" s="188">
        <f t="shared" si="146"/>
        <v>1.1605160966048358</v>
      </c>
      <c r="AB68" s="150">
        <f t="shared" si="147"/>
        <v>2.5667556975323516</v>
      </c>
      <c r="AC68" s="150">
        <f t="shared" si="148"/>
        <v>0.52128322803173166</v>
      </c>
      <c r="AD68" s="150"/>
      <c r="AE68" s="150">
        <f t="shared" si="149"/>
        <v>2.2117364033480964</v>
      </c>
      <c r="AF68" s="314">
        <f t="shared" si="150"/>
        <v>683.62576919706839</v>
      </c>
      <c r="AG68" s="456">
        <f t="shared" si="151"/>
        <v>0.38705387058591689</v>
      </c>
      <c r="AI68" s="150">
        <f t="shared" si="152"/>
        <v>1.3975752156575314</v>
      </c>
      <c r="AJ68" s="150">
        <f t="shared" si="153"/>
        <v>1.6830468418624716</v>
      </c>
      <c r="AK68" s="150">
        <f t="shared" si="154"/>
        <v>1.7059606236018308</v>
      </c>
      <c r="AM68" s="314">
        <f t="shared" si="155"/>
        <v>756</v>
      </c>
      <c r="AN68" s="144">
        <f t="shared" si="156"/>
        <v>230.22419931214012</v>
      </c>
      <c r="AP68">
        <f t="shared" si="157"/>
        <v>756</v>
      </c>
      <c r="AQ68">
        <f t="shared" si="158"/>
        <v>230.22419931214012</v>
      </c>
      <c r="AS68" s="5">
        <f t="shared" si="101"/>
        <v>4.3435920419651053</v>
      </c>
      <c r="AT68" s="5">
        <f t="shared" si="159"/>
        <v>0.4211360732778297</v>
      </c>
      <c r="AU68" s="5">
        <f t="shared" si="102"/>
        <v>3.9224559686872755</v>
      </c>
      <c r="AV68" s="5">
        <f t="shared" si="160"/>
        <v>3.7224559686872754</v>
      </c>
      <c r="AW68" s="150">
        <f t="shared" si="103"/>
        <v>9.6955715271847098E-2</v>
      </c>
      <c r="AX68" s="150">
        <f t="shared" si="161"/>
        <v>3.9128628718387302</v>
      </c>
      <c r="AY68" s="150">
        <f t="shared" si="162"/>
        <v>0.75993291573683619</v>
      </c>
      <c r="AZ68" s="150">
        <f t="shared" si="104"/>
        <v>5.1489582709347328</v>
      </c>
      <c r="BA68" s="144">
        <f t="shared" si="163"/>
        <v>6.3675774279607857</v>
      </c>
      <c r="BB68" s="5">
        <f t="shared" si="164"/>
        <v>0.12882009923381438</v>
      </c>
      <c r="BC68" s="5"/>
      <c r="BD68" s="150">
        <f t="shared" si="105"/>
        <v>0.30256750441667046</v>
      </c>
      <c r="BE68" s="150">
        <f t="shared" si="165"/>
        <v>0.92340048872206471</v>
      </c>
      <c r="BF68" s="150"/>
      <c r="BG68" s="456">
        <f t="shared" si="166"/>
        <v>1.8309418945786379E-3</v>
      </c>
      <c r="BH68" s="456">
        <f t="shared" si="167"/>
        <v>0.38814845846161045</v>
      </c>
      <c r="BI68" s="456">
        <f t="shared" si="168"/>
        <v>0.2760234538139329</v>
      </c>
      <c r="BJ68" s="456">
        <f t="shared" si="169"/>
        <v>6.5712775308246679E-2</v>
      </c>
      <c r="BK68">
        <f t="shared" si="170"/>
        <v>2.158079899287459E-2</v>
      </c>
      <c r="BL68" s="144">
        <f t="shared" si="106"/>
        <v>297.60425280680749</v>
      </c>
      <c r="BM68" s="456">
        <f t="shared" si="171"/>
        <v>0.45638507199266504</v>
      </c>
      <c r="BN68" s="144">
        <f t="shared" si="107"/>
        <v>456.38507199266502</v>
      </c>
      <c r="BO68" s="456">
        <f t="shared" si="172"/>
        <v>0.469665</v>
      </c>
      <c r="BP68" s="456"/>
      <c r="BR68" s="144">
        <f t="shared" si="109"/>
        <v>469.66500000000002</v>
      </c>
      <c r="BS68" s="456">
        <f t="shared" si="173"/>
        <v>2.7464128418679566E-3</v>
      </c>
      <c r="BT68" s="456">
        <f t="shared" si="174"/>
        <v>2.5580053877164437E-2</v>
      </c>
      <c r="BU68" s="456">
        <f t="shared" si="175"/>
        <v>5.67E-2</v>
      </c>
      <c r="BV68" s="456">
        <f t="shared" si="176"/>
        <v>9.2033377163220506E-2</v>
      </c>
      <c r="BW68" s="456">
        <f t="shared" si="177"/>
        <v>6.5214381197312187E-4</v>
      </c>
      <c r="BX68" s="144">
        <f t="shared" si="110"/>
        <v>92.685520975193626</v>
      </c>
      <c r="BY68" s="150">
        <f t="shared" si="45"/>
        <v>1.316339845774666</v>
      </c>
      <c r="BZ68" s="5">
        <f t="shared" si="111"/>
        <v>3.7800000000000002</v>
      </c>
      <c r="CA68" s="150">
        <f t="shared" si="112"/>
        <v>0.74170877814083902</v>
      </c>
      <c r="CB68" s="5">
        <f t="shared" si="113"/>
        <v>74.170877814083909</v>
      </c>
      <c r="CE68" s="59">
        <f t="shared" si="178"/>
        <v>-50</v>
      </c>
      <c r="CF68">
        <f t="shared" si="179"/>
        <v>-50</v>
      </c>
      <c r="CG68" s="150">
        <f t="shared" si="180"/>
        <v>0.88589103107472</v>
      </c>
      <c r="CI68" s="147">
        <v>63</v>
      </c>
      <c r="CJ68" s="188">
        <f t="shared" si="114"/>
        <v>0.75600000000000001</v>
      </c>
      <c r="CK68" s="188"/>
      <c r="CL68" s="188">
        <f t="shared" si="49"/>
        <v>3.7800000000000002</v>
      </c>
      <c r="CM68" s="465">
        <f t="shared" si="50"/>
        <v>48</v>
      </c>
      <c r="CN68" s="149">
        <f t="shared" si="51"/>
        <v>5.4</v>
      </c>
      <c r="CO68" s="379">
        <f t="shared" si="52"/>
        <v>53.4</v>
      </c>
      <c r="CP68" s="379"/>
      <c r="CQ68" s="188">
        <f t="shared" si="53"/>
        <v>0.10112359550561799</v>
      </c>
      <c r="CR68" s="149">
        <f t="shared" si="54"/>
        <v>12.426067415730339</v>
      </c>
      <c r="CS68" s="149">
        <f t="shared" si="115"/>
        <v>3.7800000000000002</v>
      </c>
      <c r="CT68" s="188">
        <f t="shared" si="55"/>
        <v>2.4852134831460679</v>
      </c>
      <c r="CU68" s="188">
        <f t="shared" si="56"/>
        <v>5</v>
      </c>
      <c r="CV68" s="188">
        <f t="shared" si="57"/>
        <v>2.4269662921348316</v>
      </c>
      <c r="CW68" s="149">
        <f t="shared" si="58"/>
        <v>110.90266134391631</v>
      </c>
      <c r="CX68" s="149">
        <f t="shared" si="59"/>
        <v>5</v>
      </c>
      <c r="CY68" s="188">
        <f t="shared" si="60"/>
        <v>1.5575000000000001</v>
      </c>
      <c r="CZ68" s="188">
        <f t="shared" si="61"/>
        <v>0.38937500000000003</v>
      </c>
      <c r="DA68" s="188">
        <f t="shared" si="62"/>
        <v>3.4611111111111112</v>
      </c>
      <c r="DB68" s="172">
        <f t="shared" si="63"/>
        <v>350</v>
      </c>
      <c r="DC68" s="379">
        <f t="shared" si="116"/>
        <v>259.70746839324039</v>
      </c>
      <c r="DE68" s="188">
        <f t="shared" si="64"/>
        <v>1.1556982343499198</v>
      </c>
      <c r="DF68" s="150">
        <f t="shared" si="65"/>
        <v>2.5682182985553772</v>
      </c>
      <c r="DG68" s="150">
        <f t="shared" si="66"/>
        <v>0.51941493678648076</v>
      </c>
      <c r="DH68" s="150"/>
      <c r="DI68" s="150">
        <f t="shared" si="67"/>
        <v>2.2222222222222219</v>
      </c>
      <c r="DJ68" s="314">
        <f t="shared" si="117"/>
        <v>680.4</v>
      </c>
      <c r="DK68" s="456">
        <f t="shared" si="68"/>
        <v>0.38888888888888884</v>
      </c>
      <c r="DM68" s="150">
        <f t="shared" si="69"/>
        <v>1.3942740046346702</v>
      </c>
      <c r="DN68" s="150">
        <f t="shared" si="70"/>
        <v>1.5575000000000001</v>
      </c>
      <c r="DO68" s="150">
        <f t="shared" si="71"/>
        <v>1.6129629629629629</v>
      </c>
      <c r="DQ68" s="314">
        <f t="shared" si="72"/>
        <v>756</v>
      </c>
      <c r="DR68" s="144">
        <f t="shared" si="73"/>
        <v>259.70746839324039</v>
      </c>
      <c r="DT68">
        <f t="shared" si="74"/>
        <v>756</v>
      </c>
      <c r="DU68">
        <f t="shared" si="75"/>
        <v>259.70746839324039</v>
      </c>
      <c r="DW68" s="5">
        <f t="shared" si="118"/>
        <v>3.8504861111111111</v>
      </c>
      <c r="DX68" s="5">
        <f t="shared" si="76"/>
        <v>0.38937500000000003</v>
      </c>
      <c r="DY68" s="5">
        <f t="shared" si="119"/>
        <v>3.4611111111111112</v>
      </c>
      <c r="DZ68" s="5">
        <f t="shared" si="77"/>
        <v>3.4611111111111112</v>
      </c>
      <c r="EA68" s="150">
        <f t="shared" si="120"/>
        <v>0.10112359550561799</v>
      </c>
      <c r="EB68" s="150">
        <f t="shared" si="78"/>
        <v>3.7800000000000007</v>
      </c>
      <c r="EC68" s="150">
        <f t="shared" si="79"/>
        <v>0.70000000000000007</v>
      </c>
      <c r="ED68" s="150">
        <f t="shared" si="121"/>
        <v>5.4</v>
      </c>
      <c r="EE68" s="144">
        <f t="shared" si="80"/>
        <v>5.8873500000000005</v>
      </c>
      <c r="EF68" s="5">
        <f t="shared" si="81"/>
        <v>0.11356770833333331</v>
      </c>
      <c r="EG68" s="5"/>
      <c r="EH68" s="150">
        <f t="shared" si="122"/>
        <v>0.28595235617144338</v>
      </c>
      <c r="EI68" s="150">
        <f t="shared" si="82"/>
        <v>0.85254520896743857</v>
      </c>
      <c r="EJ68" s="150"/>
      <c r="EK68" s="456">
        <f t="shared" si="83"/>
        <v>1.6353750000000003E-3</v>
      </c>
      <c r="EL68" s="456">
        <f t="shared" si="84"/>
        <v>0.432</v>
      </c>
      <c r="EM68" s="456">
        <f t="shared" si="85"/>
        <v>3.2463433549155048E-2</v>
      </c>
      <c r="EN68" s="456">
        <f t="shared" si="86"/>
        <v>7.4057142857142849E-2</v>
      </c>
      <c r="EO68">
        <f t="shared" si="87"/>
        <v>2.1600000000000001E-2</v>
      </c>
      <c r="EP68" s="144">
        <f t="shared" si="123"/>
        <v>54.06343354915505</v>
      </c>
      <c r="EQ68" s="456">
        <f t="shared" si="88"/>
        <v>0.56241603790030614</v>
      </c>
      <c r="ER68" s="144">
        <f t="shared" si="124"/>
        <v>562.41603790030615</v>
      </c>
      <c r="ES68" s="456">
        <f t="shared" si="125"/>
        <v>0.469665</v>
      </c>
      <c r="ET68" s="456"/>
      <c r="EV68" s="144">
        <f t="shared" si="126"/>
        <v>469.66500000000002</v>
      </c>
      <c r="EW68" s="456">
        <f t="shared" si="89"/>
        <v>2.4530625000000004E-3</v>
      </c>
      <c r="EX68" s="456">
        <f t="shared" si="90"/>
        <v>2.1805000000000005E-2</v>
      </c>
      <c r="EY68" s="456">
        <f t="shared" si="91"/>
        <v>0.16453232685410393</v>
      </c>
      <c r="EZ68" s="456">
        <f t="shared" si="92"/>
        <v>0.19499073214348453</v>
      </c>
      <c r="FA68" s="456">
        <f t="shared" si="93"/>
        <v>6.3000000000000013E-4</v>
      </c>
      <c r="FB68" s="144">
        <f t="shared" si="127"/>
        <v>195.62073214348453</v>
      </c>
      <c r="FC68" s="150">
        <f t="shared" si="128"/>
        <v>1.2277017700437907</v>
      </c>
      <c r="FD68" s="5">
        <f t="shared" si="129"/>
        <v>3.7800000000000002</v>
      </c>
      <c r="FE68" s="150">
        <f t="shared" si="130"/>
        <v>0.7548372833646092</v>
      </c>
      <c r="FF68" s="5">
        <f t="shared" si="131"/>
        <v>75.483728336460914</v>
      </c>
      <c r="FI68" s="59">
        <f t="shared" si="94"/>
        <v>-50</v>
      </c>
      <c r="FJ68">
        <f t="shared" si="95"/>
        <v>-50</v>
      </c>
      <c r="FL68">
        <f t="shared" si="181"/>
        <v>0.898876404494382</v>
      </c>
    </row>
    <row r="69" spans="5:168">
      <c r="E69" s="147">
        <v>64</v>
      </c>
      <c r="F69" s="188">
        <f t="shared" si="182"/>
        <v>0.76800000000000002</v>
      </c>
      <c r="G69" s="188"/>
      <c r="H69" s="188">
        <f t="shared" ref="H69:H100" si="183">F69*Vout</f>
        <v>3.84</v>
      </c>
      <c r="I69" s="465">
        <f t="shared" ref="I69:I105" si="184">Vin-F69*(Rdcr_pri+RON/1000)/CG69/Nps</f>
        <v>47.956663736420303</v>
      </c>
      <c r="J69" s="149">
        <f t="shared" ref="J69:J105" si="185">(T69+Vfwd1+F69/CG69*Rdcr_sec)*Nps</f>
        <v>5.4260017581478186</v>
      </c>
      <c r="K69" s="149">
        <f t="shared" ref="K69:K105" si="186">(Vout+Vfwd1+F69/CG69*Rdcr_sec)*Nps+VIN_nom</f>
        <v>53.426001758147819</v>
      </c>
      <c r="L69" s="379"/>
      <c r="M69" s="188">
        <f t="shared" ref="M69:M105" si="187">(Vout+Vfwd1+F69/FL69*Rdcr_sec)*Nps/((Vout+Vfwd1+F69/FL69*Rdcr_sec)*Nps+I69)</f>
        <v>0.10163729238602863</v>
      </c>
      <c r="N69" s="149">
        <f t="shared" ref="N69:N100" si="188">M69*I69*(Isw_max+VIN_nom/Lmag*ILIM_delay)*0.5*Efficiency</f>
        <v>12.477914762334738</v>
      </c>
      <c r="O69" s="149">
        <f t="shared" si="98"/>
        <v>3.84</v>
      </c>
      <c r="P69" s="188">
        <f t="shared" ref="P69:P100" si="189">N69/Vout</f>
        <v>2.4955829524669477</v>
      </c>
      <c r="Q69" s="188">
        <f t="shared" ref="Q69:Q105" si="190">MIN(Vout,N69/F69)</f>
        <v>5</v>
      </c>
      <c r="R69" s="188">
        <f t="shared" ref="R69:R100" si="191">Isw_max/2*I69*Nps*(Q69+Vfwd1+F69/FL69*Rdcr_sec)/Q69/(I69+Nps*(Q69+Vfwd1+F69/FL69*Rdcr_sec))</f>
        <v>2.437092727018503</v>
      </c>
      <c r="S69" s="149">
        <f t="shared" ref="S69:S105" si="192">(SQRT(Isw_max^2*Nps^2*I69^2+4*Isw_max*F69/Efficiency*(Nps^2*Vfwd1*I69-Nps*I69^2)+4*(F69/Efficiency)^2*Nps^2*Vfwd1^2+8*(F69/Efficiency)^2*Nps*Vfwd1*I69+4*(F69/Efficiency)^2*I69^2)-2*F69/Efficiency*I69-2*F69/Efficiency*Nps*Vfwd1+Isw_max*Nps*I69)/(4*F69/Efficiency*Nps)</f>
        <v>108.32869458774256</v>
      </c>
      <c r="T69" s="149">
        <f t="shared" ref="T69:T100" si="193">MIN(Vout, S69)</f>
        <v>5</v>
      </c>
      <c r="U69" s="188">
        <f t="shared" ref="U69:U105" si="194">MIN(2*(Vout+Vfwd1+F69/FL69*Rdcr_sec)*F69/(I69*M69), Isw_max)</f>
        <v>1.7097771167278051</v>
      </c>
      <c r="V69" s="188">
        <f t="shared" ref="V69:V104" si="195">L*U69/I69*1000000</f>
        <v>0.42783054120489084</v>
      </c>
      <c r="W69" s="188">
        <f t="shared" ref="W69:W105" si="196">L*U69/J69*1000000</f>
        <v>3.7812972268068914</v>
      </c>
      <c r="X69" s="172">
        <f t="shared" ref="X69:X105" si="197">IF(1/((350000*L)*(1/I69+1/J69))&gt;Isw_min, 350, 0.001/((Isw_min*L)*(1/I69+1/J69)))</f>
        <v>350</v>
      </c>
      <c r="Y69" s="379">
        <f t="shared" ref="Y69:Y104" si="198">MIN(1/(V69+W69+0.2)*1000, 350)</f>
        <v>226.80222770022655</v>
      </c>
      <c r="AA69" s="188">
        <f t="shared" ref="AA69:AA105" si="199">1/((X69*1000*L)*(1/I69+1/J69))</f>
        <v>1.1605913969850019</v>
      </c>
      <c r="AB69" s="150">
        <f t="shared" ref="AB69:AB100" si="200">L*AA69/J69*1000000</f>
        <v>2.566732814435003</v>
      </c>
      <c r="AC69" s="150">
        <f t="shared" ref="AC69:AC100" si="201">0.5*AB69*AA69*Nps*X69/1000</f>
        <v>0.52131240398866407</v>
      </c>
      <c r="AD69" s="150"/>
      <c r="AE69" s="150">
        <f t="shared" ref="AE69:AE105" si="202">L*Isw_min/J69*1000000</f>
        <v>2.2115731868277599</v>
      </c>
      <c r="AF69" s="314">
        <f t="shared" ref="AF69:AF100" si="203">MAX(12, F69/(0.5*AE69/1000000*Isw_min*Nps)/1000)</f>
        <v>694.52822504292078</v>
      </c>
      <c r="AG69" s="456">
        <f t="shared" ref="AG69:AG105" si="204">0.5*AE69/1000000*Isw_min*Nps*X69*1000</f>
        <v>0.38702530769485805</v>
      </c>
      <c r="AI69" s="150">
        <f t="shared" ref="AI69:AI105" si="205">SQRT(F69/Efficiency/(0.5*L/J69*Fsw_DCM*Nps))</f>
        <v>1.4086753910200491</v>
      </c>
      <c r="AJ69" s="150">
        <f t="shared" ref="AJ69:AJ100" si="206">MAX(IF(F69&gt;AC69,U69,AI69),Isw_min)</f>
        <v>1.7097771167278051</v>
      </c>
      <c r="AK69" s="150">
        <f t="shared" ref="AK69:AK100" si="207">IF(F69&gt;AG69, (AJ69-Isw_min)/1.08*0.8+1.2, AF69*0.2/350+1)</f>
        <v>1.7257608272057814</v>
      </c>
      <c r="AM69" s="314">
        <f t="shared" ref="AM69:AM105" si="208">F69*1000</f>
        <v>768</v>
      </c>
      <c r="AN69" s="144">
        <f t="shared" ref="AN69:AN105" si="209">IF(F69&gt;AG69, Y69, AF69)</f>
        <v>226.80222770022655</v>
      </c>
      <c r="AP69">
        <f t="shared" ref="AP69:AP105" si="210">IF(H69&gt;N69, "",AM69)</f>
        <v>768</v>
      </c>
      <c r="AQ69">
        <f t="shared" ref="AQ69:AQ105" si="211">IF(H69&gt;N69, "",AN69)</f>
        <v>226.80222770022655</v>
      </c>
      <c r="AS69" s="5">
        <f t="shared" si="101"/>
        <v>4.409127768011782</v>
      </c>
      <c r="AT69" s="5">
        <f t="shared" ref="AT69:AT105" si="212">L*AJ69/I69*1000000</f>
        <v>0.42783054120489084</v>
      </c>
      <c r="AU69" s="5">
        <f t="shared" si="102"/>
        <v>3.9812972268068911</v>
      </c>
      <c r="AV69" s="5">
        <f t="shared" ref="AV69:AV105" si="213">L*AJ69/J69*1000000</f>
        <v>3.7812972268068914</v>
      </c>
      <c r="AW69" s="150">
        <f t="shared" si="103"/>
        <v>9.7032919823462821E-2</v>
      </c>
      <c r="AX69" s="150">
        <f t="shared" ref="AX69:AX132" si="214">0.5*L*AJ69^2*AN69*1000</f>
        <v>3.9781171370376596</v>
      </c>
      <c r="AY69" s="150">
        <f t="shared" ref="AY69:AY132" si="215">AJ69*Nps/2*(1-AW69)</f>
        <v>0.77193622542218221</v>
      </c>
      <c r="AZ69" s="150">
        <f t="shared" si="104"/>
        <v>5.1534271951830917</v>
      </c>
      <c r="BA69" s="144">
        <f t="shared" ref="BA69:BA105" si="216">F69*AT69/Vout_ripple*1000</f>
        <v>6.5714771129071234</v>
      </c>
      <c r="BB69" s="5">
        <f t="shared" ref="BB69:BB105" si="217">H69/Efficiency/I69*AU69/Vinripple1</f>
        <v>0.13282983148916011</v>
      </c>
      <c r="BC69" s="5"/>
      <c r="BD69" s="150">
        <f t="shared" si="105"/>
        <v>0.30749525811296607</v>
      </c>
      <c r="BE69" s="150">
        <f t="shared" ref="BE69:BE132" si="218">AJ69*Nps*SQRT((1-AW69)/3)</f>
        <v>0.93802590362245464</v>
      </c>
      <c r="BF69" s="150"/>
      <c r="BG69" s="456">
        <f t="shared" ref="BG69:BG105" si="219">Rdson*BD69^2</f>
        <v>1.8910666752391925E-3</v>
      </c>
      <c r="BH69" s="456">
        <f t="shared" ref="BH69:BH105" si="220">0.5*K69*AJ69*AN69*1000*Tfall</f>
        <v>0.38845504166546746</v>
      </c>
      <c r="BI69" s="456">
        <f t="shared" ref="BI69:BI105" si="221">Qg*Vdd*AN69*1000*0+Qg*I69*AN69*1000</f>
        <v>0.27191695421226991</v>
      </c>
      <c r="BJ69" s="456">
        <f t="shared" ref="BJ69:BJ105" si="222">0.5*(Coss+Csw)*K69^2*AN69*1000</f>
        <v>6.4737014077247454E-2</v>
      </c>
      <c r="BK69">
        <f t="shared" ref="BK69:BK105" si="223">I69*IQ</f>
        <v>2.1580498681389136E-2</v>
      </c>
      <c r="BL69" s="144">
        <f t="shared" si="106"/>
        <v>293.49745289365904</v>
      </c>
      <c r="BM69" s="456">
        <f t="shared" ref="BM69:BM105" si="224">(BH69+BI69*0+BJ69+BK69*0+BG69*(1+RdsonTC*(Ta-25)))/(1-BG69*RdsonTC*ThetaJA)</f>
        <v>0.45579850864025512</v>
      </c>
      <c r="BN69" s="144">
        <f t="shared" si="107"/>
        <v>455.79850864025514</v>
      </c>
      <c r="BO69" s="456">
        <f t="shared" ref="BO69:BO105" si="225">Vfwd2*F69*(1+Diode_TC/1000*(Ta-25))</f>
        <v>0.47711999999999993</v>
      </c>
      <c r="BP69" s="456"/>
      <c r="BR69" s="144">
        <f t="shared" si="109"/>
        <v>477.11999999999995</v>
      </c>
      <c r="BS69" s="456">
        <f t="shared" ref="BS69:BS105" si="226">Rdcr_pri*BD69^2</f>
        <v>2.8366000128587886E-3</v>
      </c>
      <c r="BT69" s="456">
        <f t="shared" ref="BT69:BT105" si="227">Rdcr_sec*BE69^2</f>
        <v>2.6396777876001674E-2</v>
      </c>
      <c r="BU69" s="456">
        <f t="shared" ref="BU69:BU105" si="228">AJ69^2.5*AN69^2.5*k_core*0+BZ69*0.015</f>
        <v>5.7599999999999998E-2</v>
      </c>
      <c r="BV69" s="456">
        <f t="shared" ref="BV69:BV100" si="229">(BU69+(BS69+BT69)*(1+Ltc*(Ta-25)))/(1-(BS69+BT69)*Ltc*ThetaCa)</f>
        <v>9.4069385854543677E-2</v>
      </c>
      <c r="BW69" s="456">
        <f t="shared" ref="BW69:BW105" si="230">0.5*Lleak*0.000000001*AJ69^2*AN69*1000</f>
        <v>6.6301952283960987E-4</v>
      </c>
      <c r="BX69" s="144">
        <f t="shared" si="110"/>
        <v>94.732405377383287</v>
      </c>
      <c r="BY69" s="150">
        <f t="shared" ref="BY69:BY104" si="231">SUM(BM69,BO69:BQ69,BV69, BW69)+BK69+BI69</f>
        <v>1.3211483669112976</v>
      </c>
      <c r="BZ69" s="5">
        <f t="shared" si="111"/>
        <v>3.84</v>
      </c>
      <c r="CA69" s="150">
        <f t="shared" si="112"/>
        <v>0.7440204634725619</v>
      </c>
      <c r="CB69" s="5">
        <f t="shared" si="113"/>
        <v>74.402046347256189</v>
      </c>
      <c r="CE69" s="59">
        <f t="shared" ref="CE69:CE105" si="232">IF(ABS(F69-Ioutmax_Vinnom)&lt;Iout/200, AN69, -50)</f>
        <v>-50</v>
      </c>
      <c r="CF69">
        <f t="shared" ref="CF69:CF105" si="233">IF(ABS(F69-Ioutmax_Vinnom)&lt;Iout/200, N69*CA69, -50)</f>
        <v>-50</v>
      </c>
      <c r="CG69" s="150">
        <f t="shared" ref="CG69:CG105" si="234">MIN(SQRT(2*DU69*1000*Ls1_*CL69)/CU69,1-EA69-0.00000005*DU69*1000)</f>
        <v>0.88609392753440219</v>
      </c>
      <c r="CI69" s="147">
        <v>64</v>
      </c>
      <c r="CJ69" s="188">
        <f t="shared" si="114"/>
        <v>0.76800000000000002</v>
      </c>
      <c r="CK69" s="188"/>
      <c r="CL69" s="188">
        <f t="shared" ref="CL69:CL105" si="235">CJ69*Vout</f>
        <v>3.84</v>
      </c>
      <c r="CM69" s="465">
        <f t="shared" ref="CM69:CM105" si="236">Vin</f>
        <v>48</v>
      </c>
      <c r="CN69" s="149">
        <f t="shared" ref="CN69:CN105" si="237">(CX69+Vfwd1)*Nps</f>
        <v>5.4</v>
      </c>
      <c r="CO69" s="379">
        <f t="shared" ref="CO69:CO105" si="238">(Vout+Vfwd1)*Nps+CM69</f>
        <v>53.4</v>
      </c>
      <c r="CP69" s="379"/>
      <c r="CQ69" s="188">
        <f t="shared" ref="CQ69:CQ105" si="239">(Vout+Vfwd1)*Nps/((Vout+Vfwd1)*Nps+CM69)</f>
        <v>0.10112359550561799</v>
      </c>
      <c r="CR69" s="149">
        <f t="shared" ref="CR69:CR105" si="240">CQ69*CM69*(Isw_max+VIN_nom/Lmag*ILIM_delay)*0.5*Efficiency</f>
        <v>12.426067415730339</v>
      </c>
      <c r="CS69" s="149">
        <f t="shared" si="115"/>
        <v>3.84</v>
      </c>
      <c r="CT69" s="188">
        <f t="shared" ref="CT69:CT105" si="241">CR69/Vout</f>
        <v>2.4852134831460679</v>
      </c>
      <c r="CU69" s="188">
        <f t="shared" ref="CU69:CU105" si="242">MIN(Vout,CR69/CJ69)</f>
        <v>5</v>
      </c>
      <c r="CV69" s="188">
        <f t="shared" ref="CV69:CV105" si="243">Isw_max/2*CM69*Nps*(CU69+Vfwd1)/CU69/(CM69+Nps*(CU69+Vfwd1))</f>
        <v>2.4269662921348316</v>
      </c>
      <c r="CW69" s="149">
        <f t="shared" ref="CW69:CW105" si="244">(SQRT(Isw_max^2*Nps^2*CM69^2+4*Isw_max*CJ69/Efficiency*(Nps^2*Vfwd1*CM69-Nps*CM69^2)+4*(CJ69/Efficiency)^2*Nps^2*Vfwd1^2+8*(CJ69/Efficiency)^2*Nps*Vfwd1*CM69+4*(CJ69/Efficiency)^2*CM69^2)-2*CJ69/Efficiency*CM69-2*CJ69/Efficiency*Nps*Vfwd1+Isw_max*Nps*CM69)/(4*CJ69/Efficiency*Nps)</f>
        <v>108.42642773359245</v>
      </c>
      <c r="CX69" s="149">
        <f t="shared" ref="CX69:CX105" si="245">MIN(Vout, CW69)</f>
        <v>5</v>
      </c>
      <c r="CY69" s="188">
        <f t="shared" ref="CY69:CY105" si="246">MIN(2*Vout*CJ69/(CM69*CQ69), Isw_max)</f>
        <v>1.582222222222222</v>
      </c>
      <c r="CZ69" s="188">
        <f t="shared" ref="CZ69:CZ105" si="247">L*CY69/CM69*1000000</f>
        <v>0.39555555555555549</v>
      </c>
      <c r="DA69" s="188">
        <f t="shared" ref="DA69:DA105" si="248">L*CY69/CN69*1000000</f>
        <v>3.5160493827160493</v>
      </c>
      <c r="DB69" s="172">
        <f t="shared" ref="DB69:DB105" si="249">IF(1/((350000*L)*(1/CM69+1/CN69))&gt;Isw_min, 350, 0.001/((Isw_min*L)*(1/CM69+1/CN69)))</f>
        <v>350</v>
      </c>
      <c r="DC69" s="379">
        <f t="shared" si="116"/>
        <v>255.64953919959598</v>
      </c>
      <c r="DE69" s="188">
        <f t="shared" ref="DE69:DE105" si="250">1/((DB69*1000*L)*(1/CM69+1/CN69))</f>
        <v>1.1556982343499198</v>
      </c>
      <c r="DF69" s="150">
        <f t="shared" ref="DF69:DF105" si="251">L*DE69/CN69*1000000</f>
        <v>2.5682182985553772</v>
      </c>
      <c r="DG69" s="150">
        <f t="shared" ref="DG69:DG105" si="252">0.5*DF69*DE69*Nps*DB69/1000</f>
        <v>0.51941493678648076</v>
      </c>
      <c r="DH69" s="150"/>
      <c r="DI69" s="150">
        <f t="shared" ref="DI69:DI105" si="253">L*Isw_min/CN69*1000000</f>
        <v>2.2222222222222219</v>
      </c>
      <c r="DJ69" s="314">
        <f t="shared" si="117"/>
        <v>691.20000000000016</v>
      </c>
      <c r="DK69" s="456">
        <f t="shared" ref="DK69:DK105" si="254">0.5*DI69/1000000*Isw_min*Nps*DB69*1000</f>
        <v>0.38888888888888884</v>
      </c>
      <c r="DM69" s="150">
        <f t="shared" ref="DM69:DM105" si="255">SQRT(CJ69/Efficiency/(0.5*L/CN69*Fsw_DCM*Nps))</f>
        <v>1.4052961050458879</v>
      </c>
      <c r="DN69" s="150">
        <f t="shared" ref="DN69:DN105" si="256">MAX(IF(CJ69&gt;DG69,CY69,DM69),Isw_min)</f>
        <v>1.582222222222222</v>
      </c>
      <c r="DO69" s="150">
        <f t="shared" ref="DO69:DO105" si="257">IF(CJ69&gt;DK69, (DN69-Isw_min)/1.08*0.8+1.2, DJ69*0.2/350+1)</f>
        <v>1.6312757201646089</v>
      </c>
      <c r="DQ69" s="314">
        <f t="shared" ref="DQ69:DQ105" si="258">CJ69*1000</f>
        <v>768</v>
      </c>
      <c r="DR69" s="144">
        <f t="shared" ref="DR69:DR105" si="259">IF(CJ69&gt;DK69, DC69, DJ69)</f>
        <v>255.64953919959598</v>
      </c>
      <c r="DT69">
        <f t="shared" ref="DT69:DT105" si="260">IF(CL69&gt;CR69, "",DQ69)</f>
        <v>768</v>
      </c>
      <c r="DU69">
        <f t="shared" ref="DU69:DU105" si="261">IF(CL69&gt;CR69, "",DR69)</f>
        <v>255.64953919959598</v>
      </c>
      <c r="DW69" s="5">
        <f t="shared" si="118"/>
        <v>3.9116049382716054</v>
      </c>
      <c r="DX69" s="5">
        <f t="shared" ref="DX69:DX105" si="262">L*DN69/CM69*1000000</f>
        <v>0.39555555555555549</v>
      </c>
      <c r="DY69" s="5">
        <f t="shared" si="119"/>
        <v>3.5160493827160497</v>
      </c>
      <c r="DZ69" s="5">
        <f t="shared" ref="DZ69:DZ105" si="263">L*DN69/CN69*1000000</f>
        <v>3.5160493827160493</v>
      </c>
      <c r="EA69" s="150">
        <f t="shared" si="120"/>
        <v>0.10112359550561795</v>
      </c>
      <c r="EB69" s="150">
        <f t="shared" ref="EB69:EB105" si="264">0.5*L*DN69^2*DR69*1000</f>
        <v>3.839999999999999</v>
      </c>
      <c r="EC69" s="150">
        <f t="shared" ref="EC69:EC105" si="265">DN69*Nps/2*(1-EA69)</f>
        <v>0.71111111111111103</v>
      </c>
      <c r="ED69" s="150">
        <f t="shared" si="121"/>
        <v>5.3999999999999995</v>
      </c>
      <c r="EE69" s="144">
        <f t="shared" ref="EE69:EE105" si="266">CJ69*DX69/Vout_ripple*1000</f>
        <v>6.075733333333333</v>
      </c>
      <c r="EF69" s="5">
        <f t="shared" ref="EF69:EF105" si="267">CL69/Efficiency/CM69*DY69/Vinripple1</f>
        <v>0.11720164609053499</v>
      </c>
      <c r="EG69" s="5"/>
      <c r="EH69" s="150">
        <f t="shared" si="122"/>
        <v>0.29049128245987887</v>
      </c>
      <c r="EI69" s="150">
        <f t="shared" ref="EI69:EI105" si="268">DN69*Nps*SQRT((1-EA69)/3)</f>
        <v>0.8660776726018421</v>
      </c>
      <c r="EJ69" s="150"/>
      <c r="EK69" s="456">
        <f t="shared" ref="EK69:EK105" si="269">Rdson*EH69^2</f>
        <v>1.6877037037037028E-3</v>
      </c>
      <c r="EL69" s="456">
        <f t="shared" ref="EL69:EL105" si="270">0.5*CO69*DN69*DR69*1000*Trise</f>
        <v>0.43199999999999988</v>
      </c>
      <c r="EM69" s="456">
        <f t="shared" ref="EM69:EM105" si="271">Qg*Vdd*DR69*1000</f>
        <v>3.1956192399949498E-2</v>
      </c>
      <c r="EN69" s="456">
        <f t="shared" ref="EN69:EN105" si="272">0.5*(Coss+Csw)*CO69^2*DR69*1000</f>
        <v>7.2899999999999979E-2</v>
      </c>
      <c r="EO69">
        <f t="shared" ref="EO69:EO105" si="273">CM69*IQ</f>
        <v>2.1600000000000001E-2</v>
      </c>
      <c r="EP69" s="144">
        <f t="shared" si="123"/>
        <v>53.556192399949502</v>
      </c>
      <c r="EQ69" s="456">
        <f t="shared" ref="EQ69:EQ105" si="274">(EL69+EM69+EN69+EO69+EK69*(1+RdsonTC*(Ta-25)))/(1-EK69*RdsonTC*ThetaJA)</f>
        <v>0.56082446581712653</v>
      </c>
      <c r="ER69" s="144">
        <f t="shared" si="124"/>
        <v>560.82446581712657</v>
      </c>
      <c r="ES69" s="456">
        <f t="shared" si="125"/>
        <v>0.47711999999999993</v>
      </c>
      <c r="ET69" s="456"/>
      <c r="EV69" s="144">
        <f t="shared" si="126"/>
        <v>477.11999999999995</v>
      </c>
      <c r="EW69" s="456">
        <f t="shared" ref="EW69:EW105" si="275">Rdcr_pri*EH69^2</f>
        <v>2.5315555555555538E-3</v>
      </c>
      <c r="EX69" s="456">
        <f t="shared" ref="EX69:EX105" si="276">Rdcr_sec*EI69^2</f>
        <v>2.2502716049382705E-2</v>
      </c>
      <c r="EY69" s="456">
        <f t="shared" ref="EY69:EY105" si="277">DN69^2.5*DR69^2.5*k_core</f>
        <v>0.16453232685410393</v>
      </c>
      <c r="EZ69" s="456">
        <f t="shared" ref="EZ69:EZ105" si="278">(EY69+(EW69+EX69)*(1+Ltc*(Ta-25)))/(1-(EW69+EX69)*Ltc*ThetaCa)</f>
        <v>0.19596729552437478</v>
      </c>
      <c r="FA69" s="456">
        <f t="shared" ref="FA69:FA105" si="279">0.5*Lleak*0.000000001*DN69^2*DR69*1000</f>
        <v>6.3999999999999973E-4</v>
      </c>
      <c r="FB69" s="144">
        <f t="shared" si="127"/>
        <v>196.60729552437479</v>
      </c>
      <c r="FC69" s="150">
        <f t="shared" si="128"/>
        <v>1.2345517613415011</v>
      </c>
      <c r="FD69" s="5">
        <f t="shared" si="129"/>
        <v>3.84</v>
      </c>
      <c r="FE69" s="150">
        <f t="shared" si="130"/>
        <v>0.75671708174376029</v>
      </c>
      <c r="FF69" s="5">
        <f t="shared" si="131"/>
        <v>75.671708174376022</v>
      </c>
      <c r="FI69" s="59">
        <f t="shared" ref="FI69:FI105" si="280">IF(ABS(CJ69-Ioutmax_Vinnom)&lt;Iout/200, DR69, -50)</f>
        <v>-50</v>
      </c>
      <c r="FJ69">
        <f t="shared" ref="FJ69:FJ105" si="281">IF(ABS(CJ69-Ioutmax_Vinnom)&lt;Iout/200, CR69*FE69, -50)</f>
        <v>-50</v>
      </c>
      <c r="FL69">
        <f t="shared" ref="FL69:FL105" si="282">MIN(SQRT(2*L*DR69*1000*CJ69*(CX69+Vfwd1))/(Nps*(CX69+Vfwd1)), 1-EA69)</f>
        <v>0.898876404494382</v>
      </c>
    </row>
    <row r="70" spans="5:168">
      <c r="E70" s="147">
        <v>65</v>
      </c>
      <c r="F70" s="188">
        <f t="shared" ref="F70:F101" si="283">IF(PLOT_TYPE=1, E70/100*Iout_max, min_I*EXP(N70*rr/100))</f>
        <v>0.78</v>
      </c>
      <c r="G70" s="188"/>
      <c r="H70" s="188">
        <f t="shared" si="183"/>
        <v>3.9000000000000004</v>
      </c>
      <c r="I70" s="465">
        <f t="shared" si="184"/>
        <v>47.955996373159188</v>
      </c>
      <c r="J70" s="149">
        <f t="shared" si="185"/>
        <v>5.4264021761044887</v>
      </c>
      <c r="K70" s="149">
        <f t="shared" si="186"/>
        <v>53.426402176104489</v>
      </c>
      <c r="L70" s="379"/>
      <c r="M70" s="188">
        <f t="shared" si="187"/>
        <v>0.1016453030081111</v>
      </c>
      <c r="N70" s="149">
        <f t="shared" si="188"/>
        <v>12.478724562958446</v>
      </c>
      <c r="O70" s="149">
        <f t="shared" ref="O70:O133" si="284">T70*F70</f>
        <v>3.9000000000000004</v>
      </c>
      <c r="P70" s="188">
        <f t="shared" si="189"/>
        <v>2.4957449125916891</v>
      </c>
      <c r="Q70" s="188">
        <f t="shared" si="190"/>
        <v>5</v>
      </c>
      <c r="R70" s="188">
        <f t="shared" si="191"/>
        <v>2.437250891202821</v>
      </c>
      <c r="S70" s="149">
        <f t="shared" si="192"/>
        <v>105.9295254004585</v>
      </c>
      <c r="T70" s="149">
        <f t="shared" si="193"/>
        <v>5</v>
      </c>
      <c r="U70" s="188">
        <f t="shared" si="194"/>
        <v>1.7365078684662176</v>
      </c>
      <c r="V70" s="188">
        <f t="shared" si="195"/>
        <v>0.4345253148208516</v>
      </c>
      <c r="W70" s="188">
        <f t="shared" si="196"/>
        <v>3.8401308538015302</v>
      </c>
      <c r="X70" s="172">
        <f t="shared" si="197"/>
        <v>350</v>
      </c>
      <c r="Y70" s="379">
        <f t="shared" si="198"/>
        <v>223.480858040512</v>
      </c>
      <c r="AA70" s="188">
        <f t="shared" si="199"/>
        <v>1.1606666962315189</v>
      </c>
      <c r="AB70" s="150">
        <f t="shared" si="200"/>
        <v>2.5667099309577668</v>
      </c>
      <c r="AC70" s="150">
        <f t="shared" si="201"/>
        <v>0.52134157875614162</v>
      </c>
      <c r="AD70" s="150"/>
      <c r="AE70" s="150">
        <f t="shared" si="202"/>
        <v>2.2114099933179983</v>
      </c>
      <c r="AF70" s="314">
        <f t="shared" si="203"/>
        <v>705.43228289358353</v>
      </c>
      <c r="AG70" s="456">
        <f t="shared" si="204"/>
        <v>0.38699674883064972</v>
      </c>
      <c r="AI70" s="150">
        <f t="shared" si="205"/>
        <v>1.4196903916936896</v>
      </c>
      <c r="AJ70" s="150">
        <f t="shared" si="153"/>
        <v>1.7365078684662176</v>
      </c>
      <c r="AK70" s="150">
        <f t="shared" si="207"/>
        <v>1.74556138404905</v>
      </c>
      <c r="AM70" s="314">
        <f t="shared" si="208"/>
        <v>780</v>
      </c>
      <c r="AN70" s="144">
        <f t="shared" si="209"/>
        <v>223.480858040512</v>
      </c>
      <c r="AP70">
        <f t="shared" si="210"/>
        <v>780</v>
      </c>
      <c r="AQ70">
        <f t="shared" si="211"/>
        <v>223.480858040512</v>
      </c>
      <c r="AS70" s="5">
        <f t="shared" ref="AS70:AS133" si="285">1/AN70*1000</f>
        <v>4.4746561686223822</v>
      </c>
      <c r="AT70" s="5">
        <f t="shared" si="212"/>
        <v>0.4345253148208516</v>
      </c>
      <c r="AU70" s="5">
        <f t="shared" ref="AU70:AU105" si="286">AS70-AT70</f>
        <v>4.0401308538015304</v>
      </c>
      <c r="AV70" s="5">
        <f t="shared" si="213"/>
        <v>3.8401308538015302</v>
      </c>
      <c r="AW70" s="150">
        <f t="shared" ref="AW70:AW105" si="287">AT70/AS70</f>
        <v>9.7108090196487529E-2</v>
      </c>
      <c r="AX70" s="150">
        <f t="shared" si="214"/>
        <v>4.0433849622552689</v>
      </c>
      <c r="AY70" s="150">
        <f t="shared" si="215"/>
        <v>0.7839394528741449</v>
      </c>
      <c r="AZ70" s="150">
        <f t="shared" ref="AZ70:AZ133" si="288">AX70/AY70</f>
        <v>5.1577771056566553</v>
      </c>
      <c r="BA70" s="144">
        <f t="shared" si="216"/>
        <v>6.7785949112052855</v>
      </c>
      <c r="BB70" s="5">
        <f t="shared" si="217"/>
        <v>0.13690076599267603</v>
      </c>
      <c r="BC70" s="5"/>
      <c r="BD70" s="150">
        <f t="shared" ref="BD70:BD133" si="289">AJ70*SQRT(AW70/3)</f>
        <v>0.31242360165378996</v>
      </c>
      <c r="BE70" s="150">
        <f t="shared" si="218"/>
        <v>0.95265139770259233</v>
      </c>
      <c r="BF70" s="150"/>
      <c r="BG70" s="456">
        <f t="shared" si="219"/>
        <v>1.9521701374065207E-3</v>
      </c>
      <c r="BH70" s="456">
        <f t="shared" si="220"/>
        <v>0.3887534773616288</v>
      </c>
      <c r="BI70" s="456">
        <f t="shared" si="221"/>
        <v>0.26793118044153236</v>
      </c>
      <c r="BJ70" s="456">
        <f t="shared" si="222"/>
        <v>6.3789939202449242E-2</v>
      </c>
      <c r="BK70">
        <f t="shared" si="223"/>
        <v>2.1580198367921632E-2</v>
      </c>
      <c r="BL70" s="144">
        <f t="shared" ref="BL70:BL105" si="290">(BK70+BI70)*1000</f>
        <v>289.51137880945402</v>
      </c>
      <c r="BM70" s="456">
        <f t="shared" si="224"/>
        <v>0.45523382630476922</v>
      </c>
      <c r="BN70" s="144">
        <f t="shared" ref="BN70:BN105" si="291">BM70*1000</f>
        <v>455.2338263047692</v>
      </c>
      <c r="BO70" s="456">
        <f t="shared" si="225"/>
        <v>0.48457499999999992</v>
      </c>
      <c r="BP70" s="456"/>
      <c r="BR70" s="144">
        <f t="shared" ref="BR70:BR105" si="292">SUM(BO70:BQ70)*1000</f>
        <v>484.57499999999993</v>
      </c>
      <c r="BS70" s="456">
        <f t="shared" si="226"/>
        <v>2.928255206109781E-3</v>
      </c>
      <c r="BT70" s="456">
        <f t="shared" si="227"/>
        <v>2.722634056634108E-2</v>
      </c>
      <c r="BU70" s="456">
        <f t="shared" si="228"/>
        <v>5.8500000000000003E-2</v>
      </c>
      <c r="BV70" s="456">
        <f t="shared" si="229"/>
        <v>9.6123584183860147E-2</v>
      </c>
      <c r="BW70" s="456">
        <f t="shared" si="230"/>
        <v>6.7389749370921166E-4</v>
      </c>
      <c r="BX70" s="144">
        <f t="shared" ref="BX70:BX105" si="293">1000*(BV70+BW70)</f>
        <v>96.797481677569351</v>
      </c>
      <c r="BY70" s="150">
        <f t="shared" si="231"/>
        <v>1.3261176867917925</v>
      </c>
      <c r="BZ70" s="5">
        <f t="shared" ref="BZ70:BZ105" si="294">MIN(H70,O70)</f>
        <v>3.9000000000000004</v>
      </c>
      <c r="CA70" s="150">
        <f t="shared" ref="CA70:CA104" si="295">BZ70/(BZ70+BY70)</f>
        <v>0.74625185151429896</v>
      </c>
      <c r="CB70" s="5">
        <f t="shared" ref="CB70:CB104" si="296">CA70*100</f>
        <v>74.625185151429889</v>
      </c>
      <c r="CE70" s="59">
        <f t="shared" si="232"/>
        <v>-50</v>
      </c>
      <c r="CF70">
        <f t="shared" si="233"/>
        <v>-50</v>
      </c>
      <c r="CG70" s="150">
        <f t="shared" si="234"/>
        <v>0.88629058102609415</v>
      </c>
      <c r="CI70" s="147">
        <v>65</v>
      </c>
      <c r="CJ70" s="188">
        <f t="shared" ref="CJ70:CJ105" si="297">IF(PLOT_TYPE=1, CI70/100*Iout_max, min_I*EXP(CR70*rr/100))</f>
        <v>0.78</v>
      </c>
      <c r="CK70" s="188"/>
      <c r="CL70" s="188">
        <f t="shared" si="235"/>
        <v>3.9000000000000004</v>
      </c>
      <c r="CM70" s="465">
        <f t="shared" si="236"/>
        <v>48</v>
      </c>
      <c r="CN70" s="149">
        <f t="shared" si="237"/>
        <v>5.4</v>
      </c>
      <c r="CO70" s="379">
        <f t="shared" si="238"/>
        <v>53.4</v>
      </c>
      <c r="CP70" s="379"/>
      <c r="CQ70" s="188">
        <f t="shared" si="239"/>
        <v>0.10112359550561799</v>
      </c>
      <c r="CR70" s="149">
        <f t="shared" si="240"/>
        <v>12.426067415730339</v>
      </c>
      <c r="CS70" s="149">
        <f t="shared" ref="CS70:CS105" si="298">CX70*CJ70</f>
        <v>3.9000000000000004</v>
      </c>
      <c r="CT70" s="188">
        <f t="shared" si="241"/>
        <v>2.4852134831460679</v>
      </c>
      <c r="CU70" s="188">
        <f t="shared" si="242"/>
        <v>5</v>
      </c>
      <c r="CV70" s="188">
        <f t="shared" si="243"/>
        <v>2.4269662921348316</v>
      </c>
      <c r="CW70" s="149">
        <f t="shared" si="244"/>
        <v>106.02655994037278</v>
      </c>
      <c r="CX70" s="149">
        <f t="shared" si="245"/>
        <v>5</v>
      </c>
      <c r="CY70" s="188">
        <f t="shared" si="246"/>
        <v>1.6069444444444445</v>
      </c>
      <c r="CZ70" s="188">
        <f t="shared" si="247"/>
        <v>0.40173611111111118</v>
      </c>
      <c r="DA70" s="188">
        <f t="shared" si="248"/>
        <v>3.5709876543209877</v>
      </c>
      <c r="DB70" s="172">
        <f t="shared" si="249"/>
        <v>350</v>
      </c>
      <c r="DC70" s="379">
        <f t="shared" ref="DC70:DC105" si="299">MIN(1/(CZ70+DA70)*1000, 350)</f>
        <v>251.7164693657561</v>
      </c>
      <c r="DE70" s="188">
        <f t="shared" si="250"/>
        <v>1.1556982343499198</v>
      </c>
      <c r="DF70" s="150">
        <f t="shared" si="251"/>
        <v>2.5682182985553772</v>
      </c>
      <c r="DG70" s="150">
        <f t="shared" si="252"/>
        <v>0.51941493678648076</v>
      </c>
      <c r="DH70" s="150"/>
      <c r="DI70" s="150">
        <f t="shared" si="253"/>
        <v>2.2222222222222219</v>
      </c>
      <c r="DJ70" s="314">
        <f t="shared" ref="DJ70:DJ105" si="300">MAX(12, CJ70/(0.5*DI70/1000000*Isw_min*Nps)/1000)</f>
        <v>702.00000000000011</v>
      </c>
      <c r="DK70" s="456">
        <f t="shared" si="254"/>
        <v>0.38888888888888884</v>
      </c>
      <c r="DM70" s="150">
        <f t="shared" si="255"/>
        <v>1.4162324264449979</v>
      </c>
      <c r="DN70" s="150">
        <f t="shared" si="256"/>
        <v>1.6069444444444445</v>
      </c>
      <c r="DO70" s="150">
        <f t="shared" si="257"/>
        <v>1.6495884773662552</v>
      </c>
      <c r="DQ70" s="314">
        <f t="shared" si="258"/>
        <v>780</v>
      </c>
      <c r="DR70" s="144">
        <f t="shared" si="259"/>
        <v>251.7164693657561</v>
      </c>
      <c r="DT70">
        <f t="shared" si="260"/>
        <v>780</v>
      </c>
      <c r="DU70">
        <f t="shared" si="261"/>
        <v>251.7164693657561</v>
      </c>
      <c r="DW70" s="5">
        <f t="shared" ref="DW70:DW105" si="301">1/DR70*1000</f>
        <v>3.9727237654320979</v>
      </c>
      <c r="DX70" s="5">
        <f t="shared" si="262"/>
        <v>0.40173611111111118</v>
      </c>
      <c r="DY70" s="5">
        <f t="shared" ref="DY70:DY105" si="302">DW70-DX70</f>
        <v>3.5709876543209869</v>
      </c>
      <c r="DZ70" s="5">
        <f t="shared" si="263"/>
        <v>3.5709876543209877</v>
      </c>
      <c r="EA70" s="150">
        <f t="shared" ref="EA70:EA105" si="303">DX70/DW70</f>
        <v>0.10112359550561802</v>
      </c>
      <c r="EB70" s="150">
        <f t="shared" si="264"/>
        <v>3.9000000000000004</v>
      </c>
      <c r="EC70" s="150">
        <f t="shared" si="265"/>
        <v>0.72222222222222221</v>
      </c>
      <c r="ED70" s="150">
        <f t="shared" ref="ED70:ED105" si="304">EB70/EC70</f>
        <v>5.4</v>
      </c>
      <c r="EE70" s="144">
        <f t="shared" si="266"/>
        <v>6.2670833333333347</v>
      </c>
      <c r="EF70" s="5">
        <f t="shared" si="267"/>
        <v>0.12089281121399174</v>
      </c>
      <c r="EG70" s="5"/>
      <c r="EH70" s="150">
        <f t="shared" ref="EH70:EH105" si="305">DN70*SQRT(EA70/3)</f>
        <v>0.29503020874831465</v>
      </c>
      <c r="EI70" s="150">
        <f t="shared" si="268"/>
        <v>0.87961013623624607</v>
      </c>
      <c r="EJ70" s="150"/>
      <c r="EK70" s="456">
        <f t="shared" si="269"/>
        <v>1.7408564814814823E-3</v>
      </c>
      <c r="EL70" s="456">
        <f t="shared" si="270"/>
        <v>0.43200000000000011</v>
      </c>
      <c r="EM70" s="456">
        <f t="shared" si="271"/>
        <v>3.1464558670719511E-2</v>
      </c>
      <c r="EN70" s="456">
        <f t="shared" si="272"/>
        <v>7.1778461538461541E-2</v>
      </c>
      <c r="EO70">
        <f t="shared" si="273"/>
        <v>2.1600000000000001E-2</v>
      </c>
      <c r="EP70" s="144">
        <f t="shared" ref="EP70:EP105" si="306">(EO70+EM70)*1000</f>
        <v>53.064558670719514</v>
      </c>
      <c r="EQ70" s="456">
        <f t="shared" si="274"/>
        <v>0.55928524369780019</v>
      </c>
      <c r="ER70" s="144">
        <f t="shared" ref="ER70:ER105" si="307">EQ70*1000</f>
        <v>559.28524369780018</v>
      </c>
      <c r="ES70" s="456">
        <f t="shared" ref="ES70:ES105" si="308">Vfwd2*CJ70*(1+Diode_TC/1000*(Ta-25))</f>
        <v>0.48457499999999992</v>
      </c>
      <c r="ET70" s="456"/>
      <c r="EV70" s="144">
        <f t="shared" ref="EV70:EV105" si="309">SUM(ES70:EU70)*1000</f>
        <v>484.57499999999993</v>
      </c>
      <c r="EW70" s="456">
        <f t="shared" si="275"/>
        <v>2.6112847222222232E-3</v>
      </c>
      <c r="EX70" s="456">
        <f t="shared" si="276"/>
        <v>2.321141975308642E-2</v>
      </c>
      <c r="EY70" s="456">
        <f t="shared" si="277"/>
        <v>0.16453232685410416</v>
      </c>
      <c r="EZ70" s="456">
        <f t="shared" si="278"/>
        <v>0.19695936227594266</v>
      </c>
      <c r="FA70" s="456">
        <f t="shared" si="279"/>
        <v>6.5000000000000008E-4</v>
      </c>
      <c r="FB70" s="144">
        <f t="shared" ref="FB70:FB105" si="310">1000*(EZ70+FA70)</f>
        <v>197.60936227594266</v>
      </c>
      <c r="FC70" s="150">
        <f t="shared" ref="FC70:FC105" si="311">SUM(EQ70,ES70:EU70,EZ70, FA70)</f>
        <v>1.2414696059737429</v>
      </c>
      <c r="FD70" s="5">
        <f t="shared" ref="FD70:FD105" si="312">MIN(CL70,CS70)</f>
        <v>3.9000000000000004</v>
      </c>
      <c r="FE70" s="150">
        <f t="shared" ref="FE70:FE105" si="313">FD70/(FD70+FC70)</f>
        <v>0.75853798600086819</v>
      </c>
      <c r="FF70" s="5">
        <f t="shared" ref="FF70:FF105" si="314">FE70*100</f>
        <v>75.853798600086819</v>
      </c>
      <c r="FI70" s="59">
        <f t="shared" si="280"/>
        <v>-50</v>
      </c>
      <c r="FJ70">
        <f t="shared" si="281"/>
        <v>-50</v>
      </c>
      <c r="FL70">
        <f t="shared" si="282"/>
        <v>0.898876404494382</v>
      </c>
    </row>
    <row r="71" spans="5:168">
      <c r="E71" s="147">
        <v>66</v>
      </c>
      <c r="F71" s="188">
        <f t="shared" si="283"/>
        <v>0.79200000000000004</v>
      </c>
      <c r="G71" s="188"/>
      <c r="H71" s="188">
        <f t="shared" si="183"/>
        <v>3.96</v>
      </c>
      <c r="I71" s="465">
        <f t="shared" si="184"/>
        <v>47.955329005696534</v>
      </c>
      <c r="J71" s="149">
        <f t="shared" si="185"/>
        <v>5.4268025965820819</v>
      </c>
      <c r="K71" s="149">
        <f t="shared" si="186"/>
        <v>53.426802596582078</v>
      </c>
      <c r="L71" s="379"/>
      <c r="M71" s="188">
        <f t="shared" si="187"/>
        <v>0.10165331371828694</v>
      </c>
      <c r="N71" s="149">
        <f t="shared" si="188"/>
        <v>12.479534345932123</v>
      </c>
      <c r="O71" s="149">
        <f t="shared" si="284"/>
        <v>3.96</v>
      </c>
      <c r="P71" s="188">
        <f t="shared" si="189"/>
        <v>2.4959068691864248</v>
      </c>
      <c r="Q71" s="188">
        <f t="shared" si="190"/>
        <v>5</v>
      </c>
      <c r="R71" s="188">
        <f t="shared" si="191"/>
        <v>2.4374090519398677</v>
      </c>
      <c r="S71" s="149">
        <f t="shared" si="192"/>
        <v>103.60325338640391</v>
      </c>
      <c r="T71" s="149">
        <f t="shared" si="193"/>
        <v>5</v>
      </c>
      <c r="U71" s="188">
        <f t="shared" si="194"/>
        <v>1.7632390970976126</v>
      </c>
      <c r="V71" s="188">
        <f t="shared" si="195"/>
        <v>0.44122039414343134</v>
      </c>
      <c r="W71" s="188">
        <f t="shared" si="196"/>
        <v>3.8989568514059578</v>
      </c>
      <c r="X71" s="172">
        <f t="shared" si="197"/>
        <v>350</v>
      </c>
      <c r="Y71" s="379">
        <f t="shared" si="198"/>
        <v>220.25571820577542</v>
      </c>
      <c r="AA71" s="188">
        <f t="shared" si="199"/>
        <v>1.1607419943214246</v>
      </c>
      <c r="AB71" s="150">
        <f t="shared" si="200"/>
        <v>2.5666870471075951</v>
      </c>
      <c r="AC71" s="150">
        <f t="shared" si="201"/>
        <v>0.52137075232526175</v>
      </c>
      <c r="AD71" s="150"/>
      <c r="AE71" s="150">
        <f t="shared" si="202"/>
        <v>2.2112468228635884</v>
      </c>
      <c r="AF71" s="314">
        <f t="shared" si="203"/>
        <v>716.33794274883473</v>
      </c>
      <c r="AG71" s="456">
        <f t="shared" si="204"/>
        <v>0.38696819400112797</v>
      </c>
      <c r="AI71" s="150">
        <f t="shared" si="205"/>
        <v>1.4306221850737679</v>
      </c>
      <c r="AJ71" s="150">
        <f t="shared" si="153"/>
        <v>1.7632390970976126</v>
      </c>
      <c r="AK71" s="150">
        <f t="shared" si="207"/>
        <v>1.7653622941463798</v>
      </c>
      <c r="AM71" s="314">
        <f t="shared" si="208"/>
        <v>792</v>
      </c>
      <c r="AN71" s="144">
        <f t="shared" si="209"/>
        <v>220.25571820577542</v>
      </c>
      <c r="AP71">
        <f t="shared" si="210"/>
        <v>792</v>
      </c>
      <c r="AQ71">
        <f t="shared" si="211"/>
        <v>220.25571820577542</v>
      </c>
      <c r="AS71" s="5">
        <f t="shared" si="285"/>
        <v>4.5401772455493896</v>
      </c>
      <c r="AT71" s="5">
        <f t="shared" si="212"/>
        <v>0.44122039414343134</v>
      </c>
      <c r="AU71" s="5">
        <f t="shared" si="286"/>
        <v>4.0989568514059584</v>
      </c>
      <c r="AV71" s="5">
        <f t="shared" si="213"/>
        <v>3.8989568514059578</v>
      </c>
      <c r="AW71" s="150">
        <f t="shared" si="287"/>
        <v>9.718131479909678E-2</v>
      </c>
      <c r="AX71" s="150">
        <f t="shared" si="214"/>
        <v>4.1086661758607983</v>
      </c>
      <c r="AY71" s="150">
        <f t="shared" si="215"/>
        <v>0.79594260166824715</v>
      </c>
      <c r="AZ71" s="150">
        <f t="shared" si="288"/>
        <v>5.1620131492513215</v>
      </c>
      <c r="BA71" s="144">
        <f t="shared" si="216"/>
        <v>6.9889310432319531</v>
      </c>
      <c r="BB71" s="5">
        <f t="shared" si="217"/>
        <v>0.14103289342497125</v>
      </c>
      <c r="BC71" s="5"/>
      <c r="BD71" s="150">
        <f t="shared" si="289"/>
        <v>0.31735253001434349</v>
      </c>
      <c r="BE71" s="150">
        <f t="shared" si="218"/>
        <v>0.96727697319400874</v>
      </c>
      <c r="BF71" s="150"/>
      <c r="BG71" s="456">
        <f t="shared" si="219"/>
        <v>2.0142525661300957E-3</v>
      </c>
      <c r="BH71" s="456">
        <f t="shared" si="220"/>
        <v>0.38904411963027807</v>
      </c>
      <c r="BI71" s="456">
        <f t="shared" si="221"/>
        <v>0.2640608857985986</v>
      </c>
      <c r="BJ71" s="456">
        <f t="shared" si="222"/>
        <v>6.2870303984106826E-2</v>
      </c>
      <c r="BK71">
        <f t="shared" si="223"/>
        <v>2.157989805256344E-2</v>
      </c>
      <c r="BL71" s="144">
        <f t="shared" si="290"/>
        <v>285.64078385116204</v>
      </c>
      <c r="BM71" s="456">
        <f t="shared" si="224"/>
        <v>0.45469013289160243</v>
      </c>
      <c r="BN71" s="144">
        <f t="shared" si="291"/>
        <v>454.69013289160245</v>
      </c>
      <c r="BO71" s="456">
        <f t="shared" si="225"/>
        <v>0.49202999999999997</v>
      </c>
      <c r="BP71" s="456"/>
      <c r="BR71" s="144">
        <f t="shared" si="292"/>
        <v>492.03</v>
      </c>
      <c r="BS71" s="456">
        <f t="shared" si="226"/>
        <v>3.0213788491951438E-3</v>
      </c>
      <c r="BT71" s="456">
        <f t="shared" si="227"/>
        <v>2.8068742286140893E-2</v>
      </c>
      <c r="BU71" s="456">
        <f t="shared" si="228"/>
        <v>5.9399999999999994E-2</v>
      </c>
      <c r="BV71" s="456">
        <f t="shared" si="229"/>
        <v>9.8195984211347426E-2</v>
      </c>
      <c r="BW71" s="456">
        <f t="shared" si="230"/>
        <v>6.8477769597679976E-4</v>
      </c>
      <c r="BX71" s="144">
        <f t="shared" si="293"/>
        <v>98.880761907324228</v>
      </c>
      <c r="BY71" s="150">
        <f t="shared" si="231"/>
        <v>1.3312416786500887</v>
      </c>
      <c r="BZ71" s="5">
        <f t="shared" si="294"/>
        <v>3.96</v>
      </c>
      <c r="CA71" s="150">
        <f t="shared" si="295"/>
        <v>0.74840656324174604</v>
      </c>
      <c r="CB71" s="5">
        <f t="shared" si="296"/>
        <v>74.840656324174603</v>
      </c>
      <c r="CE71" s="59">
        <f t="shared" si="232"/>
        <v>-50</v>
      </c>
      <c r="CF71">
        <f t="shared" si="233"/>
        <v>-50</v>
      </c>
      <c r="CG71" s="150">
        <f t="shared" si="234"/>
        <v>0.88648127532106824</v>
      </c>
      <c r="CI71" s="147">
        <v>66</v>
      </c>
      <c r="CJ71" s="188">
        <f t="shared" si="297"/>
        <v>0.79200000000000004</v>
      </c>
      <c r="CK71" s="188"/>
      <c r="CL71" s="188">
        <f t="shared" si="235"/>
        <v>3.96</v>
      </c>
      <c r="CM71" s="465">
        <f t="shared" si="236"/>
        <v>48</v>
      </c>
      <c r="CN71" s="149">
        <f t="shared" si="237"/>
        <v>5.4</v>
      </c>
      <c r="CO71" s="379">
        <f t="shared" si="238"/>
        <v>53.4</v>
      </c>
      <c r="CP71" s="379"/>
      <c r="CQ71" s="188">
        <f t="shared" si="239"/>
        <v>0.10112359550561799</v>
      </c>
      <c r="CR71" s="149">
        <f t="shared" si="240"/>
        <v>12.426067415730339</v>
      </c>
      <c r="CS71" s="149">
        <f t="shared" si="298"/>
        <v>3.96</v>
      </c>
      <c r="CT71" s="188">
        <f t="shared" si="241"/>
        <v>2.4852134831460679</v>
      </c>
      <c r="CU71" s="188">
        <f t="shared" si="242"/>
        <v>5</v>
      </c>
      <c r="CV71" s="188">
        <f t="shared" si="243"/>
        <v>2.4269662921348316</v>
      </c>
      <c r="CW71" s="149">
        <f t="shared" si="244"/>
        <v>103.69959028141463</v>
      </c>
      <c r="CX71" s="149">
        <f t="shared" si="245"/>
        <v>5</v>
      </c>
      <c r="CY71" s="188">
        <f t="shared" si="246"/>
        <v>1.6316666666666666</v>
      </c>
      <c r="CZ71" s="188">
        <f t="shared" si="247"/>
        <v>0.40791666666666665</v>
      </c>
      <c r="DA71" s="188">
        <f t="shared" si="248"/>
        <v>3.6259259259259253</v>
      </c>
      <c r="DB71" s="172">
        <f t="shared" si="249"/>
        <v>350</v>
      </c>
      <c r="DC71" s="379">
        <f t="shared" si="299"/>
        <v>247.90258346627496</v>
      </c>
      <c r="DE71" s="188">
        <f t="shared" si="250"/>
        <v>1.1556982343499198</v>
      </c>
      <c r="DF71" s="150">
        <f t="shared" si="251"/>
        <v>2.5682182985553772</v>
      </c>
      <c r="DG71" s="150">
        <f t="shared" si="252"/>
        <v>0.51941493678648076</v>
      </c>
      <c r="DH71" s="150"/>
      <c r="DI71" s="150">
        <f t="shared" si="253"/>
        <v>2.2222222222222219</v>
      </c>
      <c r="DJ71" s="314">
        <f t="shared" si="300"/>
        <v>712.80000000000007</v>
      </c>
      <c r="DK71" s="456">
        <f t="shared" si="254"/>
        <v>0.38888888888888884</v>
      </c>
      <c r="DM71" s="150">
        <f t="shared" si="255"/>
        <v>1.4270849409097655</v>
      </c>
      <c r="DN71" s="150">
        <f t="shared" si="256"/>
        <v>1.6316666666666666</v>
      </c>
      <c r="DO71" s="150">
        <f t="shared" si="257"/>
        <v>1.6679012345679012</v>
      </c>
      <c r="DQ71" s="314">
        <f t="shared" si="258"/>
        <v>792</v>
      </c>
      <c r="DR71" s="144">
        <f t="shared" si="259"/>
        <v>247.90258346627496</v>
      </c>
      <c r="DT71">
        <f t="shared" si="260"/>
        <v>792</v>
      </c>
      <c r="DU71">
        <f t="shared" si="261"/>
        <v>247.90258346627496</v>
      </c>
      <c r="DW71" s="5">
        <f t="shared" si="301"/>
        <v>4.0338425925925918</v>
      </c>
      <c r="DX71" s="5">
        <f t="shared" si="262"/>
        <v>0.40791666666666665</v>
      </c>
      <c r="DY71" s="5">
        <f t="shared" si="302"/>
        <v>3.6259259259259253</v>
      </c>
      <c r="DZ71" s="5">
        <f t="shared" si="263"/>
        <v>3.6259259259259253</v>
      </c>
      <c r="EA71" s="150">
        <f t="shared" si="303"/>
        <v>0.10112359550561799</v>
      </c>
      <c r="EB71" s="150">
        <f t="shared" si="264"/>
        <v>3.9600000000000009</v>
      </c>
      <c r="EC71" s="150">
        <f t="shared" si="265"/>
        <v>0.73333333333333328</v>
      </c>
      <c r="ED71" s="150">
        <f t="shared" si="304"/>
        <v>5.4000000000000012</v>
      </c>
      <c r="EE71" s="144">
        <f t="shared" si="266"/>
        <v>6.4614000000000011</v>
      </c>
      <c r="EF71" s="5">
        <f t="shared" si="267"/>
        <v>0.12464120370370367</v>
      </c>
      <c r="EG71" s="5"/>
      <c r="EH71" s="150">
        <f t="shared" si="305"/>
        <v>0.2995691350367502</v>
      </c>
      <c r="EI71" s="150">
        <f t="shared" si="268"/>
        <v>0.89314259987064981</v>
      </c>
      <c r="EJ71" s="150"/>
      <c r="EK71" s="456">
        <f t="shared" si="269"/>
        <v>1.7948333333333336E-3</v>
      </c>
      <c r="EL71" s="456">
        <f t="shared" si="270"/>
        <v>0.43200000000000011</v>
      </c>
      <c r="EM71" s="456">
        <f t="shared" si="271"/>
        <v>3.0987822933284368E-2</v>
      </c>
      <c r="EN71" s="456">
        <f t="shared" si="272"/>
        <v>7.0690909090909096E-2</v>
      </c>
      <c r="EO71">
        <f t="shared" si="273"/>
        <v>2.1600000000000001E-2</v>
      </c>
      <c r="EP71" s="144">
        <f t="shared" si="306"/>
        <v>52.587822933284372</v>
      </c>
      <c r="EQ71" s="456">
        <f t="shared" si="274"/>
        <v>0.55779604381912407</v>
      </c>
      <c r="ER71" s="144">
        <f t="shared" si="307"/>
        <v>557.79604381912407</v>
      </c>
      <c r="ES71" s="456">
        <f t="shared" si="308"/>
        <v>0.49202999999999997</v>
      </c>
      <c r="ET71" s="456"/>
      <c r="EV71" s="144">
        <f t="shared" si="309"/>
        <v>492.03</v>
      </c>
      <c r="EW71" s="456">
        <f t="shared" si="275"/>
        <v>2.6922500000000002E-3</v>
      </c>
      <c r="EX71" s="456">
        <f t="shared" si="276"/>
        <v>2.3931111111111111E-2</v>
      </c>
      <c r="EY71" s="456">
        <f t="shared" si="277"/>
        <v>0.16453232685410396</v>
      </c>
      <c r="EZ71" s="456">
        <f t="shared" si="278"/>
        <v>0.19796693825469902</v>
      </c>
      <c r="FA71" s="456">
        <f t="shared" si="279"/>
        <v>6.600000000000001E-4</v>
      </c>
      <c r="FB71" s="144">
        <f t="shared" si="310"/>
        <v>198.62693825469901</v>
      </c>
      <c r="FC71" s="150">
        <f t="shared" si="311"/>
        <v>1.2484529820738233</v>
      </c>
      <c r="FD71" s="5">
        <f t="shared" si="312"/>
        <v>3.96</v>
      </c>
      <c r="FE71" s="150">
        <f t="shared" si="313"/>
        <v>0.76030253390580993</v>
      </c>
      <c r="FF71" s="5">
        <f t="shared" si="314"/>
        <v>76.030253390580995</v>
      </c>
      <c r="FI71" s="59">
        <f t="shared" si="280"/>
        <v>-50</v>
      </c>
      <c r="FJ71">
        <f t="shared" si="281"/>
        <v>-50</v>
      </c>
      <c r="FL71">
        <f t="shared" si="282"/>
        <v>0.898876404494382</v>
      </c>
    </row>
    <row r="72" spans="5:168">
      <c r="E72" s="147">
        <v>67</v>
      </c>
      <c r="F72" s="188">
        <f t="shared" si="283"/>
        <v>0.80400000000000005</v>
      </c>
      <c r="G72" s="188"/>
      <c r="H72" s="188">
        <f t="shared" si="183"/>
        <v>4.0200000000000005</v>
      </c>
      <c r="I72" s="465">
        <f t="shared" si="184"/>
        <v>47.954661634223051</v>
      </c>
      <c r="J72" s="149">
        <f t="shared" si="185"/>
        <v>5.4272030194661687</v>
      </c>
      <c r="K72" s="149">
        <f t="shared" si="186"/>
        <v>53.42720301946617</v>
      </c>
      <c r="L72" s="379"/>
      <c r="M72" s="188">
        <f t="shared" si="187"/>
        <v>0.10166132451619625</v>
      </c>
      <c r="N72" s="149">
        <f t="shared" si="188"/>
        <v>12.480344111260507</v>
      </c>
      <c r="O72" s="149">
        <f t="shared" si="284"/>
        <v>4.0200000000000005</v>
      </c>
      <c r="P72" s="188">
        <f t="shared" si="189"/>
        <v>2.4960688222521012</v>
      </c>
      <c r="Q72" s="188">
        <f t="shared" si="190"/>
        <v>5</v>
      </c>
      <c r="R72" s="188">
        <f t="shared" si="191"/>
        <v>2.4375672092305676</v>
      </c>
      <c r="S72" s="149">
        <f t="shared" si="192"/>
        <v>101.3466180241098</v>
      </c>
      <c r="T72" s="149">
        <f t="shared" si="193"/>
        <v>5</v>
      </c>
      <c r="U72" s="188">
        <f t="shared" si="194"/>
        <v>1.7899708026418943</v>
      </c>
      <c r="V72" s="188">
        <f t="shared" si="195"/>
        <v>0.44791577919035275</v>
      </c>
      <c r="W72" s="188">
        <f t="shared" si="196"/>
        <v>3.9577752213543538</v>
      </c>
      <c r="X72" s="172">
        <f t="shared" si="197"/>
        <v>350</v>
      </c>
      <c r="Y72" s="379">
        <f t="shared" si="198"/>
        <v>217.12268579931475</v>
      </c>
      <c r="AA72" s="188">
        <f t="shared" si="199"/>
        <v>1.160817291233146</v>
      </c>
      <c r="AB72" s="150">
        <f t="shared" si="200"/>
        <v>2.5666641628910205</v>
      </c>
      <c r="AC72" s="150">
        <f t="shared" si="201"/>
        <v>0.52139992468766039</v>
      </c>
      <c r="AD72" s="150"/>
      <c r="AE72" s="150">
        <f t="shared" si="202"/>
        <v>2.2110836755062735</v>
      </c>
      <c r="AF72" s="314">
        <f t="shared" si="203"/>
        <v>727.24520460846657</v>
      </c>
      <c r="AG72" s="456">
        <f t="shared" si="204"/>
        <v>0.38693964321359781</v>
      </c>
      <c r="AI72" s="150">
        <f t="shared" si="205"/>
        <v>1.4414726642355988</v>
      </c>
      <c r="AJ72" s="150">
        <f t="shared" si="206"/>
        <v>1.7899708026418943</v>
      </c>
      <c r="AK72" s="150">
        <f t="shared" si="207"/>
        <v>1.7851635575125142</v>
      </c>
      <c r="AM72" s="314">
        <f t="shared" si="208"/>
        <v>804</v>
      </c>
      <c r="AN72" s="144">
        <f t="shared" si="209"/>
        <v>217.12268579931475</v>
      </c>
      <c r="AP72">
        <f t="shared" si="210"/>
        <v>804</v>
      </c>
      <c r="AQ72">
        <f t="shared" si="211"/>
        <v>217.12268579931475</v>
      </c>
      <c r="AS72" s="5">
        <f t="shared" si="285"/>
        <v>4.6056910005447067</v>
      </c>
      <c r="AT72" s="5">
        <f t="shared" si="212"/>
        <v>0.44791577919035275</v>
      </c>
      <c r="AU72" s="5">
        <f t="shared" si="286"/>
        <v>4.1577752213543544</v>
      </c>
      <c r="AV72" s="5">
        <f t="shared" si="213"/>
        <v>3.9577752213543538</v>
      </c>
      <c r="AW72" s="150">
        <f t="shared" si="287"/>
        <v>9.7252676989702205E-2</v>
      </c>
      <c r="AX72" s="150">
        <f t="shared" si="214"/>
        <v>4.1739606160268279</v>
      </c>
      <c r="AY72" s="150">
        <f t="shared" si="215"/>
        <v>0.80794567517578209</v>
      </c>
      <c r="AZ72" s="150">
        <f t="shared" si="288"/>
        <v>5.1661401803019897</v>
      </c>
      <c r="BA72" s="144">
        <f t="shared" si="216"/>
        <v>7.2024857293808733</v>
      </c>
      <c r="BB72" s="5">
        <f t="shared" si="217"/>
        <v>0.14522620446973314</v>
      </c>
      <c r="BC72" s="5"/>
      <c r="BD72" s="150">
        <f t="shared" si="289"/>
        <v>0.32228203845885445</v>
      </c>
      <c r="BE72" s="150">
        <f t="shared" si="218"/>
        <v>0.98190263220119134</v>
      </c>
      <c r="BF72" s="150"/>
      <c r="BG72" s="456">
        <f t="shared" si="219"/>
        <v>2.0773142462638906E-3</v>
      </c>
      <c r="BH72" s="456">
        <f t="shared" si="220"/>
        <v>0.38932730232698087</v>
      </c>
      <c r="BI72" s="456">
        <f t="shared" si="221"/>
        <v>0.26030112326549659</v>
      </c>
      <c r="BJ72" s="456">
        <f t="shared" si="222"/>
        <v>6.1976932932445154E-2</v>
      </c>
      <c r="BK72">
        <f t="shared" si="223"/>
        <v>2.1579597735400372E-2</v>
      </c>
      <c r="BL72" s="144">
        <f t="shared" si="290"/>
        <v>281.88072100089693</v>
      </c>
      <c r="BM72" s="456">
        <f t="shared" si="224"/>
        <v>0.45416658729331927</v>
      </c>
      <c r="BN72" s="144">
        <f t="shared" si="291"/>
        <v>454.16658729331925</v>
      </c>
      <c r="BO72" s="456">
        <f t="shared" si="225"/>
        <v>0.49948499999999996</v>
      </c>
      <c r="BP72" s="456"/>
      <c r="BR72" s="144">
        <f t="shared" si="292"/>
        <v>499.48499999999996</v>
      </c>
      <c r="BS72" s="456">
        <f t="shared" si="226"/>
        <v>3.1159713693958359E-3</v>
      </c>
      <c r="BT72" s="456">
        <f t="shared" si="227"/>
        <v>2.8923983373708842E-2</v>
      </c>
      <c r="BU72" s="456">
        <f t="shared" si="228"/>
        <v>6.0300000000000006E-2</v>
      </c>
      <c r="BV72" s="456">
        <f t="shared" si="229"/>
        <v>0.10028659812667529</v>
      </c>
      <c r="BW72" s="456">
        <f t="shared" si="230"/>
        <v>6.9566010267113805E-4</v>
      </c>
      <c r="BX72" s="144">
        <f t="shared" si="293"/>
        <v>100.98225822934643</v>
      </c>
      <c r="BY72" s="150">
        <f t="shared" si="231"/>
        <v>1.3365145665235625</v>
      </c>
      <c r="BZ72" s="5">
        <f t="shared" si="294"/>
        <v>4.0200000000000005</v>
      </c>
      <c r="CA72" s="150">
        <f t="shared" si="295"/>
        <v>0.75048801792189002</v>
      </c>
      <c r="CB72" s="5">
        <f t="shared" si="296"/>
        <v>75.048801792188996</v>
      </c>
      <c r="CE72" s="59">
        <f t="shared" si="232"/>
        <v>-50</v>
      </c>
      <c r="CF72">
        <f t="shared" si="233"/>
        <v>-50</v>
      </c>
      <c r="CG72" s="150">
        <f t="shared" si="234"/>
        <v>0.88666627724902813</v>
      </c>
      <c r="CI72" s="147">
        <v>67</v>
      </c>
      <c r="CJ72" s="188">
        <f t="shared" si="297"/>
        <v>0.80400000000000005</v>
      </c>
      <c r="CK72" s="188"/>
      <c r="CL72" s="188">
        <f t="shared" si="235"/>
        <v>4.0200000000000005</v>
      </c>
      <c r="CM72" s="465">
        <f t="shared" si="236"/>
        <v>48</v>
      </c>
      <c r="CN72" s="149">
        <f t="shared" si="237"/>
        <v>5.4</v>
      </c>
      <c r="CO72" s="379">
        <f t="shared" si="238"/>
        <v>53.4</v>
      </c>
      <c r="CP72" s="379"/>
      <c r="CQ72" s="188">
        <f t="shared" si="239"/>
        <v>0.10112359550561799</v>
      </c>
      <c r="CR72" s="149">
        <f t="shared" si="240"/>
        <v>12.426067415730339</v>
      </c>
      <c r="CS72" s="149">
        <f t="shared" si="298"/>
        <v>4.0200000000000005</v>
      </c>
      <c r="CT72" s="188">
        <f t="shared" si="241"/>
        <v>2.4852134831460679</v>
      </c>
      <c r="CU72" s="188">
        <f t="shared" si="242"/>
        <v>5</v>
      </c>
      <c r="CV72" s="188">
        <f t="shared" si="243"/>
        <v>2.4269662921348316</v>
      </c>
      <c r="CW72" s="149">
        <f t="shared" si="244"/>
        <v>101.44225819196959</v>
      </c>
      <c r="CX72" s="149">
        <f t="shared" si="245"/>
        <v>5</v>
      </c>
      <c r="CY72" s="188">
        <f t="shared" si="246"/>
        <v>1.6563888888888889</v>
      </c>
      <c r="CZ72" s="188">
        <f t="shared" si="247"/>
        <v>0.41409722222222228</v>
      </c>
      <c r="DA72" s="188">
        <f t="shared" si="248"/>
        <v>3.6808641975308647</v>
      </c>
      <c r="DB72" s="172">
        <f t="shared" si="249"/>
        <v>350</v>
      </c>
      <c r="DC72" s="379">
        <f t="shared" si="299"/>
        <v>244.20254490707674</v>
      </c>
      <c r="DE72" s="188">
        <f t="shared" si="250"/>
        <v>1.1556982343499198</v>
      </c>
      <c r="DF72" s="150">
        <f t="shared" si="251"/>
        <v>2.5682182985553772</v>
      </c>
      <c r="DG72" s="150">
        <f t="shared" si="252"/>
        <v>0.51941493678648076</v>
      </c>
      <c r="DH72" s="150"/>
      <c r="DI72" s="150">
        <f t="shared" si="253"/>
        <v>2.2222222222222219</v>
      </c>
      <c r="DJ72" s="314">
        <f t="shared" si="300"/>
        <v>723.60000000000014</v>
      </c>
      <c r="DK72" s="456">
        <f t="shared" si="254"/>
        <v>0.38888888888888884</v>
      </c>
      <c r="DM72" s="150">
        <f t="shared" si="255"/>
        <v>1.4378555460923645</v>
      </c>
      <c r="DN72" s="150">
        <f t="shared" si="256"/>
        <v>1.6563888888888889</v>
      </c>
      <c r="DO72" s="150">
        <f t="shared" si="257"/>
        <v>1.6862139917695473</v>
      </c>
      <c r="DQ72" s="314">
        <f t="shared" si="258"/>
        <v>804</v>
      </c>
      <c r="DR72" s="144">
        <f t="shared" si="259"/>
        <v>244.20254490707674</v>
      </c>
      <c r="DT72">
        <f t="shared" si="260"/>
        <v>804</v>
      </c>
      <c r="DU72">
        <f t="shared" si="261"/>
        <v>244.20254490707674</v>
      </c>
      <c r="DW72" s="5">
        <f t="shared" si="301"/>
        <v>4.0949614197530879</v>
      </c>
      <c r="DX72" s="5">
        <f t="shared" si="262"/>
        <v>0.41409722222222228</v>
      </c>
      <c r="DY72" s="5">
        <f t="shared" si="302"/>
        <v>3.6808641975308656</v>
      </c>
      <c r="DZ72" s="5">
        <f t="shared" si="263"/>
        <v>3.6808641975308647</v>
      </c>
      <c r="EA72" s="150">
        <f t="shared" si="303"/>
        <v>0.10112359550561796</v>
      </c>
      <c r="EB72" s="150">
        <f t="shared" si="264"/>
        <v>4.0199999999999996</v>
      </c>
      <c r="EC72" s="150">
        <f t="shared" si="265"/>
        <v>0.74444444444444446</v>
      </c>
      <c r="ED72" s="150">
        <f t="shared" si="304"/>
        <v>5.3999999999999995</v>
      </c>
      <c r="EE72" s="144">
        <f t="shared" si="266"/>
        <v>6.6586833333333351</v>
      </c>
      <c r="EF72" s="5">
        <f t="shared" si="267"/>
        <v>0.1284468235596708</v>
      </c>
      <c r="EG72" s="5"/>
      <c r="EH72" s="150">
        <f t="shared" si="305"/>
        <v>0.30410806132518575</v>
      </c>
      <c r="EI72" s="150">
        <f t="shared" si="268"/>
        <v>0.90667506350505367</v>
      </c>
      <c r="EJ72" s="150"/>
      <c r="EK72" s="456">
        <f t="shared" si="269"/>
        <v>1.8496342592592588E-3</v>
      </c>
      <c r="EL72" s="456">
        <f t="shared" si="270"/>
        <v>0.43199999999999994</v>
      </c>
      <c r="EM72" s="456">
        <f t="shared" si="271"/>
        <v>3.0525318113384589E-2</v>
      </c>
      <c r="EN72" s="456">
        <f t="shared" si="272"/>
        <v>6.9635820895522366E-2</v>
      </c>
      <c r="EO72">
        <f t="shared" si="273"/>
        <v>2.1600000000000001E-2</v>
      </c>
      <c r="EP72" s="144">
        <f t="shared" si="306"/>
        <v>52.125318113384587</v>
      </c>
      <c r="EQ72" s="456">
        <f t="shared" si="274"/>
        <v>0.55635467743295708</v>
      </c>
      <c r="ER72" s="144">
        <f t="shared" si="307"/>
        <v>556.35467743295703</v>
      </c>
      <c r="ES72" s="456">
        <f t="shared" si="308"/>
        <v>0.49948499999999996</v>
      </c>
      <c r="ET72" s="456"/>
      <c r="EV72" s="144">
        <f t="shared" si="309"/>
        <v>499.48499999999996</v>
      </c>
      <c r="EW72" s="456">
        <f t="shared" si="275"/>
        <v>2.7744513888888879E-3</v>
      </c>
      <c r="EX72" s="456">
        <f t="shared" si="276"/>
        <v>2.4661790123456793E-2</v>
      </c>
      <c r="EY72" s="456">
        <f t="shared" si="277"/>
        <v>0.16453232685410416</v>
      </c>
      <c r="EZ72" s="456">
        <f t="shared" si="278"/>
        <v>0.19899002940984778</v>
      </c>
      <c r="FA72" s="456">
        <f t="shared" si="279"/>
        <v>6.6999999999999991E-4</v>
      </c>
      <c r="FB72" s="144">
        <f t="shared" si="310"/>
        <v>199.66002940984779</v>
      </c>
      <c r="FC72" s="150">
        <f t="shared" si="311"/>
        <v>1.2554997068428047</v>
      </c>
      <c r="FD72" s="5">
        <f t="shared" si="312"/>
        <v>4.0200000000000005</v>
      </c>
      <c r="FE72" s="150">
        <f t="shared" si="313"/>
        <v>0.76201312167370483</v>
      </c>
      <c r="FF72" s="5">
        <f t="shared" si="314"/>
        <v>76.201312167370489</v>
      </c>
      <c r="FI72" s="59">
        <f t="shared" si="280"/>
        <v>-50</v>
      </c>
      <c r="FJ72">
        <f t="shared" si="281"/>
        <v>-50</v>
      </c>
      <c r="FL72">
        <f t="shared" si="282"/>
        <v>0.898876404494382</v>
      </c>
    </row>
    <row r="73" spans="5:168">
      <c r="E73" s="147">
        <v>68</v>
      </c>
      <c r="F73" s="188">
        <f t="shared" si="283"/>
        <v>0.81600000000000006</v>
      </c>
      <c r="G73" s="188"/>
      <c r="H73" s="188">
        <f t="shared" si="183"/>
        <v>4.08</v>
      </c>
      <c r="I73" s="465">
        <f t="shared" si="184"/>
        <v>47.953994258918101</v>
      </c>
      <c r="J73" s="149">
        <f t="shared" si="185"/>
        <v>5.4276034446491375</v>
      </c>
      <c r="K73" s="149">
        <f t="shared" si="186"/>
        <v>53.427603444649137</v>
      </c>
      <c r="L73" s="379"/>
      <c r="M73" s="188">
        <f t="shared" si="187"/>
        <v>0.10166933540150049</v>
      </c>
      <c r="N73" s="149">
        <f t="shared" si="188"/>
        <v>12.481153858948028</v>
      </c>
      <c r="O73" s="149">
        <f t="shared" si="284"/>
        <v>4.08</v>
      </c>
      <c r="P73" s="188">
        <f t="shared" si="189"/>
        <v>2.4962307717896057</v>
      </c>
      <c r="Q73" s="188">
        <f t="shared" si="190"/>
        <v>5</v>
      </c>
      <c r="R73" s="188">
        <f t="shared" si="191"/>
        <v>2.4377253630757867</v>
      </c>
      <c r="S73" s="149">
        <f t="shared" si="192"/>
        <v>99.156550681335432</v>
      </c>
      <c r="T73" s="149">
        <f t="shared" si="193"/>
        <v>5</v>
      </c>
      <c r="U73" s="188">
        <f t="shared" si="194"/>
        <v>1.8167029851189676</v>
      </c>
      <c r="V73" s="188">
        <f t="shared" si="195"/>
        <v>0.45461146997934043</v>
      </c>
      <c r="W73" s="188">
        <f t="shared" si="196"/>
        <v>4.0165859653803206</v>
      </c>
      <c r="X73" s="172">
        <f t="shared" si="197"/>
        <v>350</v>
      </c>
      <c r="Y73" s="379">
        <f t="shared" si="198"/>
        <v>214.07787057559995</v>
      </c>
      <c r="AA73" s="188">
        <f t="shared" si="199"/>
        <v>1.1608925869463951</v>
      </c>
      <c r="AB73" s="150">
        <f t="shared" si="200"/>
        <v>2.5666412783141856</v>
      </c>
      <c r="AC73" s="150">
        <f t="shared" si="201"/>
        <v>0.52142909583547259</v>
      </c>
      <c r="AD73" s="150"/>
      <c r="AE73" s="150">
        <f t="shared" si="202"/>
        <v>2.2109205512849934</v>
      </c>
      <c r="AF73" s="314">
        <f t="shared" si="203"/>
        <v>738.15406847228269</v>
      </c>
      <c r="AG73" s="456">
        <f t="shared" si="204"/>
        <v>0.38691109647487387</v>
      </c>
      <c r="AI73" s="150">
        <f t="shared" si="205"/>
        <v>1.4522436518045179</v>
      </c>
      <c r="AJ73" s="150">
        <f t="shared" si="206"/>
        <v>1.8167029851189676</v>
      </c>
      <c r="AK73" s="150">
        <f t="shared" si="207"/>
        <v>1.8049651741621981</v>
      </c>
      <c r="AM73" s="314">
        <f t="shared" si="208"/>
        <v>816.00000000000011</v>
      </c>
      <c r="AN73" s="144">
        <f t="shared" si="209"/>
        <v>214.07787057559995</v>
      </c>
      <c r="AP73">
        <f t="shared" si="210"/>
        <v>816.00000000000011</v>
      </c>
      <c r="AQ73">
        <f t="shared" si="211"/>
        <v>214.07787057559995</v>
      </c>
      <c r="AS73" s="5">
        <f t="shared" si="285"/>
        <v>4.6711974353596615</v>
      </c>
      <c r="AT73" s="5">
        <f t="shared" si="212"/>
        <v>0.45461146997934043</v>
      </c>
      <c r="AU73" s="5">
        <f t="shared" si="286"/>
        <v>4.2165859653803208</v>
      </c>
      <c r="AV73" s="5">
        <f t="shared" si="213"/>
        <v>4.0165859653803206</v>
      </c>
      <c r="AW73" s="150">
        <f t="shared" si="287"/>
        <v>9.7322255432420485E-2</v>
      </c>
      <c r="AX73" s="150">
        <f t="shared" si="214"/>
        <v>4.2392681300391883</v>
      </c>
      <c r="AY73" s="150">
        <f t="shared" si="215"/>
        <v>0.81994867657818937</v>
      </c>
      <c r="AZ73" s="150">
        <f t="shared" si="288"/>
        <v>5.1701627810785746</v>
      </c>
      <c r="BA73" s="144">
        <f t="shared" si="216"/>
        <v>7.4192591900628369</v>
      </c>
      <c r="BB73" s="5">
        <f t="shared" si="217"/>
        <v>0.14948068981372623</v>
      </c>
      <c r="BC73" s="5"/>
      <c r="BD73" s="150">
        <f t="shared" si="289"/>
        <v>0.32721212252007664</v>
      </c>
      <c r="BE73" s="150">
        <f t="shared" si="218"/>
        <v>0.99652837671051575</v>
      </c>
      <c r="BF73" s="150"/>
      <c r="BG73" s="456">
        <f t="shared" si="219"/>
        <v>2.1413554624818728E-3</v>
      </c>
      <c r="BH73" s="456">
        <f t="shared" si="220"/>
        <v>0.38960334050636136</v>
      </c>
      <c r="BI73" s="456">
        <f t="shared" si="221"/>
        <v>0.25664722441359333</v>
      </c>
      <c r="BJ73" s="456">
        <f t="shared" si="222"/>
        <v>6.1108716754955571E-2</v>
      </c>
      <c r="BK73">
        <f t="shared" si="223"/>
        <v>2.1579297416513144E-2</v>
      </c>
      <c r="BL73" s="144">
        <f t="shared" si="290"/>
        <v>278.22652183010649</v>
      </c>
      <c r="BM73" s="456">
        <f t="shared" si="224"/>
        <v>0.45366239580063933</v>
      </c>
      <c r="BN73" s="144">
        <f t="shared" si="291"/>
        <v>453.66239580063933</v>
      </c>
      <c r="BO73" s="456">
        <f t="shared" si="225"/>
        <v>0.50694000000000006</v>
      </c>
      <c r="BP73" s="456"/>
      <c r="BR73" s="144">
        <f t="shared" si="292"/>
        <v>506.94000000000005</v>
      </c>
      <c r="BS73" s="456">
        <f t="shared" si="226"/>
        <v>3.2120331937228091E-3</v>
      </c>
      <c r="BT73" s="456">
        <f t="shared" si="227"/>
        <v>2.9792064167678864E-2</v>
      </c>
      <c r="BU73" s="456">
        <f t="shared" si="228"/>
        <v>6.1199999999999997E-2</v>
      </c>
      <c r="BV73" s="456">
        <f t="shared" si="229"/>
        <v>0.1023954382492053</v>
      </c>
      <c r="BW73" s="456">
        <f t="shared" si="230"/>
        <v>7.0654468833986485E-4</v>
      </c>
      <c r="BX73" s="144">
        <f t="shared" si="293"/>
        <v>103.10198293754516</v>
      </c>
      <c r="BY73" s="150">
        <f t="shared" si="231"/>
        <v>1.3419309005682911</v>
      </c>
      <c r="BZ73" s="5">
        <f t="shared" si="294"/>
        <v>4.08</v>
      </c>
      <c r="CA73" s="150">
        <f t="shared" si="295"/>
        <v>0.75249944619773024</v>
      </c>
      <c r="CB73" s="5">
        <f t="shared" si="296"/>
        <v>75.249944619773018</v>
      </c>
      <c r="CE73" s="59">
        <f t="shared" si="232"/>
        <v>-50</v>
      </c>
      <c r="CF73">
        <f t="shared" si="233"/>
        <v>-50</v>
      </c>
      <c r="CG73" s="150">
        <f t="shared" si="234"/>
        <v>0.88684583794381278</v>
      </c>
      <c r="CI73" s="147">
        <v>68</v>
      </c>
      <c r="CJ73" s="188">
        <f t="shared" si="297"/>
        <v>0.81600000000000006</v>
      </c>
      <c r="CK73" s="188"/>
      <c r="CL73" s="188">
        <f t="shared" si="235"/>
        <v>4.08</v>
      </c>
      <c r="CM73" s="465">
        <f t="shared" si="236"/>
        <v>48</v>
      </c>
      <c r="CN73" s="149">
        <f t="shared" si="237"/>
        <v>5.4</v>
      </c>
      <c r="CO73" s="379">
        <f t="shared" si="238"/>
        <v>53.4</v>
      </c>
      <c r="CP73" s="379"/>
      <c r="CQ73" s="188">
        <f t="shared" si="239"/>
        <v>0.10112359550561799</v>
      </c>
      <c r="CR73" s="149">
        <f t="shared" si="240"/>
        <v>12.426067415730339</v>
      </c>
      <c r="CS73" s="149">
        <f t="shared" si="298"/>
        <v>4.08</v>
      </c>
      <c r="CT73" s="188">
        <f t="shared" si="241"/>
        <v>2.4852134831460679</v>
      </c>
      <c r="CU73" s="188">
        <f t="shared" si="242"/>
        <v>5</v>
      </c>
      <c r="CV73" s="188">
        <f t="shared" si="243"/>
        <v>2.4269662921348316</v>
      </c>
      <c r="CW73" s="149">
        <f t="shared" si="244"/>
        <v>99.251494999118947</v>
      </c>
      <c r="CX73" s="149">
        <f t="shared" si="245"/>
        <v>5</v>
      </c>
      <c r="CY73" s="188">
        <f t="shared" si="246"/>
        <v>1.681111111111111</v>
      </c>
      <c r="CZ73" s="188">
        <f t="shared" si="247"/>
        <v>0.42027777777777775</v>
      </c>
      <c r="DA73" s="188">
        <f t="shared" si="248"/>
        <v>3.7358024691358023</v>
      </c>
      <c r="DB73" s="172">
        <f t="shared" si="249"/>
        <v>350</v>
      </c>
      <c r="DC73" s="379">
        <f t="shared" si="299"/>
        <v>240.61133101138446</v>
      </c>
      <c r="DE73" s="188">
        <f t="shared" si="250"/>
        <v>1.1556982343499198</v>
      </c>
      <c r="DF73" s="150">
        <f t="shared" si="251"/>
        <v>2.5682182985553772</v>
      </c>
      <c r="DG73" s="150">
        <f t="shared" si="252"/>
        <v>0.51941493678648076</v>
      </c>
      <c r="DH73" s="150"/>
      <c r="DI73" s="150">
        <f t="shared" si="253"/>
        <v>2.2222222222222219</v>
      </c>
      <c r="DJ73" s="314">
        <f t="shared" si="300"/>
        <v>734.40000000000009</v>
      </c>
      <c r="DK73" s="456">
        <f t="shared" si="254"/>
        <v>0.38888888888888884</v>
      </c>
      <c r="DM73" s="150">
        <f t="shared" si="255"/>
        <v>1.4485460690933218</v>
      </c>
      <c r="DN73" s="150">
        <f t="shared" si="256"/>
        <v>1.681111111111111</v>
      </c>
      <c r="DO73" s="150">
        <f t="shared" si="257"/>
        <v>1.7045267489711933</v>
      </c>
      <c r="DQ73" s="314">
        <f t="shared" si="258"/>
        <v>816.00000000000011</v>
      </c>
      <c r="DR73" s="144">
        <f t="shared" si="259"/>
        <v>240.61133101138446</v>
      </c>
      <c r="DT73">
        <f t="shared" si="260"/>
        <v>816.00000000000011</v>
      </c>
      <c r="DU73">
        <f t="shared" si="261"/>
        <v>240.61133101138446</v>
      </c>
      <c r="DW73" s="5">
        <f t="shared" si="301"/>
        <v>4.1560802469135805</v>
      </c>
      <c r="DX73" s="5">
        <f t="shared" si="262"/>
        <v>0.42027777777777775</v>
      </c>
      <c r="DY73" s="5">
        <f t="shared" si="302"/>
        <v>3.7358024691358027</v>
      </c>
      <c r="DZ73" s="5">
        <f t="shared" si="263"/>
        <v>3.7358024691358023</v>
      </c>
      <c r="EA73" s="150">
        <f t="shared" si="303"/>
        <v>0.10112359550561796</v>
      </c>
      <c r="EB73" s="150">
        <f t="shared" si="264"/>
        <v>4.0799999999999992</v>
      </c>
      <c r="EC73" s="150">
        <f t="shared" si="265"/>
        <v>0.75555555555555554</v>
      </c>
      <c r="ED73" s="150">
        <f t="shared" si="304"/>
        <v>5.3999999999999995</v>
      </c>
      <c r="EE73" s="144">
        <f t="shared" si="266"/>
        <v>6.8589333333333338</v>
      </c>
      <c r="EF73" s="5">
        <f t="shared" si="267"/>
        <v>0.13230967078189301</v>
      </c>
      <c r="EG73" s="5"/>
      <c r="EH73" s="150">
        <f t="shared" si="305"/>
        <v>0.30864698761362136</v>
      </c>
      <c r="EI73" s="150">
        <f t="shared" si="268"/>
        <v>0.92020752713945742</v>
      </c>
      <c r="EJ73" s="150"/>
      <c r="EK73" s="456">
        <f t="shared" si="269"/>
        <v>1.9052592592592589E-3</v>
      </c>
      <c r="EL73" s="456">
        <f t="shared" si="270"/>
        <v>0.43199999999999994</v>
      </c>
      <c r="EM73" s="456">
        <f t="shared" si="271"/>
        <v>3.0076416376423058E-2</v>
      </c>
      <c r="EN73" s="456">
        <f t="shared" si="272"/>
        <v>6.8611764705882344E-2</v>
      </c>
      <c r="EO73">
        <f t="shared" si="273"/>
        <v>2.1600000000000001E-2</v>
      </c>
      <c r="EP73" s="144">
        <f t="shared" si="306"/>
        <v>51.676416376423063</v>
      </c>
      <c r="EQ73" s="456">
        <f t="shared" si="274"/>
        <v>0.55495908454756471</v>
      </c>
      <c r="ER73" s="144">
        <f t="shared" si="307"/>
        <v>554.95908454756466</v>
      </c>
      <c r="ES73" s="456">
        <f t="shared" si="308"/>
        <v>0.50694000000000006</v>
      </c>
      <c r="ET73" s="456"/>
      <c r="EV73" s="144">
        <f t="shared" si="309"/>
        <v>506.94000000000005</v>
      </c>
      <c r="EW73" s="456">
        <f t="shared" si="275"/>
        <v>2.8578888888888881E-3</v>
      </c>
      <c r="EX73" s="456">
        <f t="shared" si="276"/>
        <v>2.5403456790123454E-2</v>
      </c>
      <c r="EY73" s="456">
        <f t="shared" si="277"/>
        <v>0.16453232685410416</v>
      </c>
      <c r="EZ73" s="456">
        <f t="shared" si="278"/>
        <v>0.20002864178337093</v>
      </c>
      <c r="FA73" s="456">
        <f t="shared" si="279"/>
        <v>6.7999999999999983E-4</v>
      </c>
      <c r="FB73" s="144">
        <f t="shared" si="310"/>
        <v>200.70864178337092</v>
      </c>
      <c r="FC73" s="150">
        <f t="shared" si="311"/>
        <v>1.2626077263309359</v>
      </c>
      <c r="FD73" s="5">
        <f t="shared" si="312"/>
        <v>4.08</v>
      </c>
      <c r="FE73" s="150">
        <f t="shared" si="313"/>
        <v>0.76367201355469183</v>
      </c>
      <c r="FF73" s="5">
        <f t="shared" si="314"/>
        <v>76.367201355469177</v>
      </c>
      <c r="FI73" s="59">
        <f t="shared" si="280"/>
        <v>-50</v>
      </c>
      <c r="FJ73">
        <f t="shared" si="281"/>
        <v>-50</v>
      </c>
      <c r="FL73">
        <f t="shared" si="282"/>
        <v>0.898876404494382</v>
      </c>
    </row>
    <row r="74" spans="5:168">
      <c r="E74" s="147">
        <v>69</v>
      </c>
      <c r="F74" s="188">
        <f t="shared" si="283"/>
        <v>0.82799999999999996</v>
      </c>
      <c r="G74" s="188"/>
      <c r="H74" s="188">
        <f t="shared" si="183"/>
        <v>4.1399999999999997</v>
      </c>
      <c r="I74" s="465">
        <f t="shared" si="184"/>
        <v>47.953326879950495</v>
      </c>
      <c r="J74" s="149">
        <f t="shared" si="185"/>
        <v>5.428003872029703</v>
      </c>
      <c r="K74" s="149">
        <f t="shared" si="186"/>
        <v>53.428003872029706</v>
      </c>
      <c r="L74" s="379"/>
      <c r="M74" s="188">
        <f t="shared" si="187"/>
        <v>0.10167734637388116</v>
      </c>
      <c r="N74" s="149">
        <f t="shared" si="188"/>
        <v>12.481963588998843</v>
      </c>
      <c r="O74" s="149">
        <f t="shared" si="284"/>
        <v>4.1399999999999997</v>
      </c>
      <c r="P74" s="188">
        <f t="shared" si="189"/>
        <v>2.4963927177997687</v>
      </c>
      <c r="Q74" s="188">
        <f t="shared" si="190"/>
        <v>5</v>
      </c>
      <c r="R74" s="188">
        <f t="shared" si="191"/>
        <v>2.4378835134763364</v>
      </c>
      <c r="S74" s="149">
        <f t="shared" si="192"/>
        <v>97.030160713131934</v>
      </c>
      <c r="T74" s="149">
        <f t="shared" si="193"/>
        <v>5</v>
      </c>
      <c r="U74" s="188">
        <f t="shared" si="194"/>
        <v>1.843435644548741</v>
      </c>
      <c r="V74" s="188">
        <f t="shared" si="195"/>
        <v>0.46130746652812277</v>
      </c>
      <c r="W74" s="188">
        <f t="shared" si="196"/>
        <v>4.0753890852168944</v>
      </c>
      <c r="X74" s="172">
        <f t="shared" si="197"/>
        <v>350</v>
      </c>
      <c r="Y74" s="379">
        <f t="shared" si="198"/>
        <v>211.11759832527085</v>
      </c>
      <c r="AA74" s="188">
        <f t="shared" si="199"/>
        <v>1.1609678814420739</v>
      </c>
      <c r="AB74" s="150">
        <f t="shared" si="200"/>
        <v>2.5666183933828726</v>
      </c>
      <c r="AC74" s="150">
        <f t="shared" si="201"/>
        <v>0.52145826576129528</v>
      </c>
      <c r="AD74" s="150"/>
      <c r="AE74" s="150">
        <f t="shared" si="202"/>
        <v>2.2107574502360881</v>
      </c>
      <c r="AF74" s="314">
        <f t="shared" si="203"/>
        <v>749.06453434009893</v>
      </c>
      <c r="AG74" s="456">
        <f t="shared" si="204"/>
        <v>0.38688255379131536</v>
      </c>
      <c r="AI74" s="150">
        <f t="shared" si="205"/>
        <v>1.4629369035706408</v>
      </c>
      <c r="AJ74" s="150">
        <f t="shared" si="206"/>
        <v>1.843435644548741</v>
      </c>
      <c r="AK74" s="150">
        <f t="shared" si="207"/>
        <v>1.8247671441101785</v>
      </c>
      <c r="AM74" s="314">
        <f t="shared" si="208"/>
        <v>828</v>
      </c>
      <c r="AN74" s="144">
        <f t="shared" si="209"/>
        <v>211.11759832527085</v>
      </c>
      <c r="AP74">
        <f t="shared" si="210"/>
        <v>828</v>
      </c>
      <c r="AQ74">
        <f t="shared" si="211"/>
        <v>211.11759832527085</v>
      </c>
      <c r="AS74" s="5">
        <f t="shared" si="285"/>
        <v>4.736696551745017</v>
      </c>
      <c r="AT74" s="5">
        <f t="shared" si="212"/>
        <v>0.46130746652812277</v>
      </c>
      <c r="AU74" s="5">
        <f t="shared" si="286"/>
        <v>4.2753890852168945</v>
      </c>
      <c r="AV74" s="5">
        <f t="shared" si="213"/>
        <v>4.0753890852168944</v>
      </c>
      <c r="AW74" s="150">
        <f t="shared" si="287"/>
        <v>9.7390124422932545E-2</v>
      </c>
      <c r="AX74" s="150">
        <f t="shared" si="214"/>
        <v>4.3045885736643639</v>
      </c>
      <c r="AY74" s="150">
        <f t="shared" si="215"/>
        <v>0.83195160888023523</v>
      </c>
      <c r="AZ74" s="150">
        <f t="shared" si="288"/>
        <v>5.1740852805827524</v>
      </c>
      <c r="BA74" s="144">
        <f t="shared" si="216"/>
        <v>7.6392516457057127</v>
      </c>
      <c r="BB74" s="5">
        <f t="shared" si="217"/>
        <v>0.15379634014679142</v>
      </c>
      <c r="BC74" s="5"/>
      <c r="BD74" s="150">
        <f t="shared" si="289"/>
        <v>0.33214277798051223</v>
      </c>
      <c r="BE74" s="150">
        <f t="shared" si="218"/>
        <v>1.0111542085984373</v>
      </c>
      <c r="BF74" s="150"/>
      <c r="BG74" s="456">
        <f t="shared" si="219"/>
        <v>2.2063764992922368E-3</v>
      </c>
      <c r="BH74" s="456">
        <f t="shared" si="220"/>
        <v>0.38987253172718767</v>
      </c>
      <c r="BI74" s="456">
        <f t="shared" si="221"/>
        <v>0.25309478006504504</v>
      </c>
      <c r="BJ74" s="456">
        <f t="shared" si="222"/>
        <v>6.0264607761246466E-2</v>
      </c>
      <c r="BK74">
        <f t="shared" si="223"/>
        <v>2.1578997095977721E-2</v>
      </c>
      <c r="BL74" s="144">
        <f t="shared" si="290"/>
        <v>274.67377716102277</v>
      </c>
      <c r="BM74" s="456">
        <f t="shared" si="224"/>
        <v>0.45317680881238598</v>
      </c>
      <c r="BN74" s="144">
        <f t="shared" si="291"/>
        <v>453.17680881238596</v>
      </c>
      <c r="BO74" s="456">
        <f t="shared" si="225"/>
        <v>0.51439499999999982</v>
      </c>
      <c r="BP74" s="456"/>
      <c r="BR74" s="144">
        <f t="shared" si="292"/>
        <v>514.39499999999987</v>
      </c>
      <c r="BS74" s="456">
        <f t="shared" si="226"/>
        <v>3.3095647489383554E-3</v>
      </c>
      <c r="BT74" s="456">
        <f t="shared" si="227"/>
        <v>3.0672985006989957E-2</v>
      </c>
      <c r="BU74" s="456">
        <f t="shared" si="228"/>
        <v>6.2099999999999995E-2</v>
      </c>
      <c r="BV74" s="456">
        <f t="shared" si="229"/>
        <v>0.10452251702819314</v>
      </c>
      <c r="BW74" s="456">
        <f t="shared" si="230"/>
        <v>7.1743142894406065E-4</v>
      </c>
      <c r="BX74" s="144">
        <f t="shared" si="293"/>
        <v>105.2399484571372</v>
      </c>
      <c r="BY74" s="150">
        <f t="shared" si="231"/>
        <v>1.3474855344305454</v>
      </c>
      <c r="BZ74" s="5">
        <f t="shared" si="294"/>
        <v>4.1399999999999997</v>
      </c>
      <c r="CA74" s="150">
        <f t="shared" si="295"/>
        <v>0.75444390222517843</v>
      </c>
      <c r="CB74" s="5">
        <f t="shared" si="296"/>
        <v>75.444390222517839</v>
      </c>
      <c r="CE74" s="59">
        <f t="shared" si="232"/>
        <v>-50</v>
      </c>
      <c r="CF74">
        <f t="shared" si="233"/>
        <v>-50</v>
      </c>
      <c r="CG74" s="150">
        <f t="shared" si="234"/>
        <v>0.88702019398077758</v>
      </c>
      <c r="CI74" s="147">
        <v>69</v>
      </c>
      <c r="CJ74" s="188">
        <f t="shared" si="297"/>
        <v>0.82799999999999996</v>
      </c>
      <c r="CK74" s="188"/>
      <c r="CL74" s="188">
        <f t="shared" si="235"/>
        <v>4.1399999999999997</v>
      </c>
      <c r="CM74" s="465">
        <f t="shared" si="236"/>
        <v>48</v>
      </c>
      <c r="CN74" s="149">
        <f t="shared" si="237"/>
        <v>5.4</v>
      </c>
      <c r="CO74" s="379">
        <f t="shared" si="238"/>
        <v>53.4</v>
      </c>
      <c r="CP74" s="379"/>
      <c r="CQ74" s="188">
        <f t="shared" si="239"/>
        <v>0.10112359550561799</v>
      </c>
      <c r="CR74" s="149">
        <f t="shared" si="240"/>
        <v>12.426067415730339</v>
      </c>
      <c r="CS74" s="149">
        <f t="shared" si="298"/>
        <v>4.1399999999999997</v>
      </c>
      <c r="CT74" s="188">
        <f t="shared" si="241"/>
        <v>2.4852134831460679</v>
      </c>
      <c r="CU74" s="188">
        <f t="shared" si="242"/>
        <v>5</v>
      </c>
      <c r="CV74" s="188">
        <f t="shared" si="243"/>
        <v>2.4269662921348316</v>
      </c>
      <c r="CW74" s="149">
        <f t="shared" si="244"/>
        <v>97.124410019647883</v>
      </c>
      <c r="CX74" s="149">
        <f t="shared" si="245"/>
        <v>5</v>
      </c>
      <c r="CY74" s="188">
        <f t="shared" si="246"/>
        <v>1.7058333333333331</v>
      </c>
      <c r="CZ74" s="188">
        <f t="shared" si="247"/>
        <v>0.42645833333333333</v>
      </c>
      <c r="DA74" s="188">
        <f t="shared" si="248"/>
        <v>3.7907407407407403</v>
      </c>
      <c r="DB74" s="172">
        <f t="shared" si="249"/>
        <v>350</v>
      </c>
      <c r="DC74" s="379">
        <f t="shared" si="299"/>
        <v>237.12421027208907</v>
      </c>
      <c r="DE74" s="188">
        <f t="shared" si="250"/>
        <v>1.1556982343499198</v>
      </c>
      <c r="DF74" s="150">
        <f t="shared" si="251"/>
        <v>2.5682182985553772</v>
      </c>
      <c r="DG74" s="150">
        <f t="shared" si="252"/>
        <v>0.51941493678648076</v>
      </c>
      <c r="DH74" s="150"/>
      <c r="DI74" s="150">
        <f t="shared" si="253"/>
        <v>2.2222222222222219</v>
      </c>
      <c r="DJ74" s="314">
        <f t="shared" si="300"/>
        <v>745.2</v>
      </c>
      <c r="DK74" s="456">
        <f t="shared" si="254"/>
        <v>0.38888888888888884</v>
      </c>
      <c r="DM74" s="150">
        <f t="shared" si="255"/>
        <v>1.4591582700799997</v>
      </c>
      <c r="DN74" s="150">
        <f t="shared" si="256"/>
        <v>1.7058333333333331</v>
      </c>
      <c r="DO74" s="150">
        <f t="shared" si="257"/>
        <v>1.7228395061728392</v>
      </c>
      <c r="DQ74" s="314">
        <f t="shared" si="258"/>
        <v>828</v>
      </c>
      <c r="DR74" s="144">
        <f t="shared" si="259"/>
        <v>237.12421027208907</v>
      </c>
      <c r="DT74">
        <f t="shared" si="260"/>
        <v>828</v>
      </c>
      <c r="DU74">
        <f t="shared" si="261"/>
        <v>237.12421027208907</v>
      </c>
      <c r="DW74" s="5">
        <f t="shared" si="301"/>
        <v>4.2171990740740739</v>
      </c>
      <c r="DX74" s="5">
        <f t="shared" si="262"/>
        <v>0.42645833333333333</v>
      </c>
      <c r="DY74" s="5">
        <f t="shared" si="302"/>
        <v>3.7907407407407407</v>
      </c>
      <c r="DZ74" s="5">
        <f t="shared" si="263"/>
        <v>3.7907407407407403</v>
      </c>
      <c r="EA74" s="150">
        <f t="shared" si="303"/>
        <v>0.10112359550561797</v>
      </c>
      <c r="EB74" s="150">
        <f t="shared" si="264"/>
        <v>4.1399999999999988</v>
      </c>
      <c r="EC74" s="150">
        <f t="shared" si="265"/>
        <v>0.7666666666666665</v>
      </c>
      <c r="ED74" s="150">
        <f t="shared" si="304"/>
        <v>5.3999999999999995</v>
      </c>
      <c r="EE74" s="144">
        <f t="shared" si="266"/>
        <v>7.0621499999999999</v>
      </c>
      <c r="EF74" s="5">
        <f t="shared" si="267"/>
        <v>0.13622974537037033</v>
      </c>
      <c r="EG74" s="5"/>
      <c r="EH74" s="150">
        <f t="shared" si="305"/>
        <v>0.31318591390205697</v>
      </c>
      <c r="EI74" s="150">
        <f t="shared" si="268"/>
        <v>0.93373999077386105</v>
      </c>
      <c r="EJ74" s="150"/>
      <c r="EK74" s="456">
        <f t="shared" si="269"/>
        <v>1.9617083333333327E-3</v>
      </c>
      <c r="EL74" s="456">
        <f t="shared" si="270"/>
        <v>0.43199999999999994</v>
      </c>
      <c r="EM74" s="456">
        <f t="shared" si="271"/>
        <v>2.9640526284011134E-2</v>
      </c>
      <c r="EN74" s="456">
        <f t="shared" si="272"/>
        <v>6.7617391304347824E-2</v>
      </c>
      <c r="EO74">
        <f t="shared" si="273"/>
        <v>2.1600000000000001E-2</v>
      </c>
      <c r="EP74" s="144">
        <f t="shared" si="306"/>
        <v>51.240526284011139</v>
      </c>
      <c r="EQ74" s="456">
        <f t="shared" si="274"/>
        <v>0.55360732459754103</v>
      </c>
      <c r="ER74" s="144">
        <f t="shared" si="307"/>
        <v>553.60732459754104</v>
      </c>
      <c r="ES74" s="456">
        <f t="shared" si="308"/>
        <v>0.51439499999999982</v>
      </c>
      <c r="ET74" s="456"/>
      <c r="EV74" s="144">
        <f t="shared" si="309"/>
        <v>514.39499999999987</v>
      </c>
      <c r="EW74" s="456">
        <f t="shared" si="275"/>
        <v>2.942562499999999E-3</v>
      </c>
      <c r="EX74" s="456">
        <f t="shared" si="276"/>
        <v>2.6156111111111102E-2</v>
      </c>
      <c r="EY74" s="456">
        <f t="shared" si="277"/>
        <v>0.16453232685410396</v>
      </c>
      <c r="EZ74" s="456">
        <f t="shared" si="278"/>
        <v>0.20108278151011991</v>
      </c>
      <c r="FA74" s="456">
        <f t="shared" si="279"/>
        <v>6.8999999999999986E-4</v>
      </c>
      <c r="FB74" s="144">
        <f t="shared" si="310"/>
        <v>201.7727815101199</v>
      </c>
      <c r="FC74" s="150">
        <f t="shared" si="311"/>
        <v>1.2697751061076608</v>
      </c>
      <c r="FD74" s="5">
        <f t="shared" si="312"/>
        <v>4.1399999999999997</v>
      </c>
      <c r="FE74" s="150">
        <f t="shared" si="313"/>
        <v>0.76528135066574599</v>
      </c>
      <c r="FF74" s="5">
        <f t="shared" si="314"/>
        <v>76.528135066574592</v>
      </c>
      <c r="FI74" s="59">
        <f t="shared" si="280"/>
        <v>-50</v>
      </c>
      <c r="FJ74">
        <f t="shared" si="281"/>
        <v>-50</v>
      </c>
      <c r="FL74">
        <f t="shared" si="282"/>
        <v>0.898876404494382</v>
      </c>
    </row>
    <row r="75" spans="5:168">
      <c r="E75" s="147">
        <v>70</v>
      </c>
      <c r="F75" s="188">
        <f t="shared" si="283"/>
        <v>0.84</v>
      </c>
      <c r="G75" s="188"/>
      <c r="H75" s="188">
        <f t="shared" si="183"/>
        <v>4.2</v>
      </c>
      <c r="I75" s="465">
        <f t="shared" si="184"/>
        <v>47.952659497479267</v>
      </c>
      <c r="J75" s="149">
        <f t="shared" si="185"/>
        <v>5.4284043015124412</v>
      </c>
      <c r="K75" s="149">
        <f t="shared" si="186"/>
        <v>53.428404301512444</v>
      </c>
      <c r="L75" s="379"/>
      <c r="M75" s="188">
        <f t="shared" si="187"/>
        <v>0.1016853574330383</v>
      </c>
      <c r="N75" s="149">
        <f t="shared" si="188"/>
        <v>12.482773301416854</v>
      </c>
      <c r="O75" s="149">
        <f t="shared" si="284"/>
        <v>4.2</v>
      </c>
      <c r="P75" s="188">
        <f t="shared" si="189"/>
        <v>2.4965546602833708</v>
      </c>
      <c r="Q75" s="188">
        <f t="shared" si="190"/>
        <v>5</v>
      </c>
      <c r="R75" s="188">
        <f t="shared" si="191"/>
        <v>2.4380416604329791</v>
      </c>
      <c r="S75" s="149">
        <f t="shared" si="192"/>
        <v>94.964722751619973</v>
      </c>
      <c r="T75" s="149">
        <f t="shared" si="193"/>
        <v>5</v>
      </c>
      <c r="U75" s="188">
        <f t="shared" si="194"/>
        <v>1.8701687809511245</v>
      </c>
      <c r="V75" s="188">
        <f t="shared" si="195"/>
        <v>0.46800376885443035</v>
      </c>
      <c r="W75" s="188">
        <f t="shared" si="196"/>
        <v>4.1341845825965438</v>
      </c>
      <c r="X75" s="172">
        <f t="shared" si="197"/>
        <v>350</v>
      </c>
      <c r="Y75" s="379">
        <f t="shared" si="198"/>
        <v>208.23839608412098</v>
      </c>
      <c r="AA75" s="188">
        <f t="shared" si="199"/>
        <v>1.1610431747021885</v>
      </c>
      <c r="AB75" s="150">
        <f t="shared" si="200"/>
        <v>2.5665955081025262</v>
      </c>
      <c r="AC75" s="150">
        <f t="shared" si="201"/>
        <v>0.52148743445815338</v>
      </c>
      <c r="AD75" s="150"/>
      <c r="AE75" s="150">
        <f t="shared" si="202"/>
        <v>2.2105943723934871</v>
      </c>
      <c r="AF75" s="314">
        <f t="shared" si="203"/>
        <v>759.97660221174169</v>
      </c>
      <c r="AG75" s="456">
        <f t="shared" si="204"/>
        <v>0.3868540151688602</v>
      </c>
      <c r="AI75" s="150">
        <f t="shared" si="205"/>
        <v>1.4735541118686399</v>
      </c>
      <c r="AJ75" s="150">
        <f t="shared" si="206"/>
        <v>1.8701687809511245</v>
      </c>
      <c r="AK75" s="150">
        <f t="shared" si="207"/>
        <v>1.8445694673712032</v>
      </c>
      <c r="AM75" s="314">
        <f t="shared" si="208"/>
        <v>840</v>
      </c>
      <c r="AN75" s="144">
        <f t="shared" si="209"/>
        <v>208.23839608412098</v>
      </c>
      <c r="AP75">
        <f t="shared" si="210"/>
        <v>840</v>
      </c>
      <c r="AQ75">
        <f t="shared" si="211"/>
        <v>208.23839608412098</v>
      </c>
      <c r="AS75" s="5">
        <f t="shared" si="285"/>
        <v>4.8021883514509751</v>
      </c>
      <c r="AT75" s="5">
        <f t="shared" si="212"/>
        <v>0.46800376885443035</v>
      </c>
      <c r="AU75" s="5">
        <f t="shared" si="286"/>
        <v>4.3341845825965448</v>
      </c>
      <c r="AV75" s="5">
        <f t="shared" si="213"/>
        <v>4.1341845825965438</v>
      </c>
      <c r="AW75" s="150">
        <f t="shared" si="287"/>
        <v>9.745635418757026E-2</v>
      </c>
      <c r="AX75" s="150">
        <f t="shared" si="214"/>
        <v>4.3699218105688518</v>
      </c>
      <c r="AY75" s="150">
        <f t="shared" si="215"/>
        <v>0.84395447492210762</v>
      </c>
      <c r="AZ75" s="150">
        <f t="shared" si="288"/>
        <v>5.1779117718075627</v>
      </c>
      <c r="BA75" s="144">
        <f t="shared" si="216"/>
        <v>7.8624633167544298</v>
      </c>
      <c r="BB75" s="5">
        <f t="shared" si="217"/>
        <v>0.15817314616184455</v>
      </c>
      <c r="BC75" s="5"/>
      <c r="BD75" s="150">
        <f t="shared" si="289"/>
        <v>0.3370740008551863</v>
      </c>
      <c r="BE75" s="150">
        <f t="shared" si="218"/>
        <v>1.0257801296390061</v>
      </c>
      <c r="BF75" s="150"/>
      <c r="BG75" s="456">
        <f t="shared" si="219"/>
        <v>2.2723776410504427E-3</v>
      </c>
      <c r="BH75" s="456">
        <f t="shared" si="220"/>
        <v>0.39013515725023296</v>
      </c>
      <c r="BI75" s="456">
        <f t="shared" si="221"/>
        <v>0.24963962254307684</v>
      </c>
      <c r="BJ75" s="456">
        <f t="shared" si="222"/>
        <v>5.9443615645424698E-2</v>
      </c>
      <c r="BK75">
        <f t="shared" si="223"/>
        <v>2.1578696773865671E-2</v>
      </c>
      <c r="BL75" s="144">
        <f t="shared" si="290"/>
        <v>271.21831931694254</v>
      </c>
      <c r="BM75" s="456">
        <f t="shared" si="224"/>
        <v>0.45270911781574014</v>
      </c>
      <c r="BN75" s="144">
        <f t="shared" si="291"/>
        <v>452.70911781574011</v>
      </c>
      <c r="BO75" s="456">
        <f t="shared" si="225"/>
        <v>0.52184999999999993</v>
      </c>
      <c r="BP75" s="456"/>
      <c r="BR75" s="144">
        <f t="shared" si="292"/>
        <v>521.84999999999991</v>
      </c>
      <c r="BS75" s="456">
        <f t="shared" si="226"/>
        <v>3.4085664615756636E-3</v>
      </c>
      <c r="BT75" s="456">
        <f t="shared" si="227"/>
        <v>3.1566746230866485E-2</v>
      </c>
      <c r="BU75" s="456">
        <f t="shared" si="228"/>
        <v>6.3E-2</v>
      </c>
      <c r="BV75" s="456">
        <f t="shared" si="229"/>
        <v>0.10666784704299292</v>
      </c>
      <c r="BW75" s="456">
        <f t="shared" si="230"/>
        <v>7.2832030176147526E-4</v>
      </c>
      <c r="BX75" s="144">
        <f t="shared" si="293"/>
        <v>107.3961673447544</v>
      </c>
      <c r="BY75" s="150">
        <f t="shared" si="231"/>
        <v>1.3531736044774367</v>
      </c>
      <c r="BZ75" s="5">
        <f t="shared" si="294"/>
        <v>4.2</v>
      </c>
      <c r="CA75" s="150">
        <f t="shared" si="295"/>
        <v>0.75632427493597643</v>
      </c>
      <c r="CB75" s="5">
        <f t="shared" si="296"/>
        <v>75.632427493597646</v>
      </c>
      <c r="CE75" s="59">
        <f t="shared" si="232"/>
        <v>-50</v>
      </c>
      <c r="CF75">
        <f t="shared" si="233"/>
        <v>-50</v>
      </c>
      <c r="CG75" s="150">
        <f t="shared" si="234"/>
        <v>0.88718956841668617</v>
      </c>
      <c r="CI75" s="147">
        <v>70</v>
      </c>
      <c r="CJ75" s="188">
        <f t="shared" si="297"/>
        <v>0.84</v>
      </c>
      <c r="CK75" s="188"/>
      <c r="CL75" s="188">
        <f t="shared" si="235"/>
        <v>4.2</v>
      </c>
      <c r="CM75" s="465">
        <f t="shared" si="236"/>
        <v>48</v>
      </c>
      <c r="CN75" s="149">
        <f t="shared" si="237"/>
        <v>5.4</v>
      </c>
      <c r="CO75" s="379">
        <f t="shared" si="238"/>
        <v>53.4</v>
      </c>
      <c r="CP75" s="379"/>
      <c r="CQ75" s="188">
        <f t="shared" si="239"/>
        <v>0.10112359550561799</v>
      </c>
      <c r="CR75" s="149">
        <f t="shared" si="240"/>
        <v>12.426067415730339</v>
      </c>
      <c r="CS75" s="149">
        <f t="shared" si="298"/>
        <v>4.2</v>
      </c>
      <c r="CT75" s="188">
        <f t="shared" si="241"/>
        <v>2.4852134831460679</v>
      </c>
      <c r="CU75" s="188">
        <f t="shared" si="242"/>
        <v>5</v>
      </c>
      <c r="CV75" s="188">
        <f t="shared" si="243"/>
        <v>2.4269662921348316</v>
      </c>
      <c r="CW75" s="149">
        <f t="shared" si="244"/>
        <v>95.058277849649642</v>
      </c>
      <c r="CX75" s="149">
        <f t="shared" si="245"/>
        <v>5</v>
      </c>
      <c r="CY75" s="188">
        <f t="shared" si="246"/>
        <v>1.7305555555555556</v>
      </c>
      <c r="CZ75" s="188">
        <f t="shared" si="247"/>
        <v>0.43263888888888896</v>
      </c>
      <c r="DA75" s="188">
        <f t="shared" si="248"/>
        <v>3.8456790123456792</v>
      </c>
      <c r="DB75" s="172">
        <f t="shared" si="249"/>
        <v>350</v>
      </c>
      <c r="DC75" s="379">
        <f t="shared" si="299"/>
        <v>233.73672155391634</v>
      </c>
      <c r="DE75" s="188">
        <f t="shared" si="250"/>
        <v>1.1556982343499198</v>
      </c>
      <c r="DF75" s="150">
        <f t="shared" si="251"/>
        <v>2.5682182985553772</v>
      </c>
      <c r="DG75" s="150">
        <f t="shared" si="252"/>
        <v>0.51941493678648076</v>
      </c>
      <c r="DH75" s="150"/>
      <c r="DI75" s="150">
        <f t="shared" si="253"/>
        <v>2.2222222222222219</v>
      </c>
      <c r="DJ75" s="314">
        <f t="shared" si="300"/>
        <v>756</v>
      </c>
      <c r="DK75" s="456">
        <f t="shared" si="254"/>
        <v>0.38888888888888884</v>
      </c>
      <c r="DM75" s="150">
        <f t="shared" si="255"/>
        <v>1.4696938456699069</v>
      </c>
      <c r="DN75" s="150">
        <f t="shared" si="256"/>
        <v>1.7305555555555556</v>
      </c>
      <c r="DO75" s="150">
        <f t="shared" si="257"/>
        <v>1.7411522633744856</v>
      </c>
      <c r="DQ75" s="314">
        <f t="shared" si="258"/>
        <v>840</v>
      </c>
      <c r="DR75" s="144">
        <f t="shared" si="259"/>
        <v>233.73672155391634</v>
      </c>
      <c r="DT75">
        <f t="shared" si="260"/>
        <v>840</v>
      </c>
      <c r="DU75">
        <f t="shared" si="261"/>
        <v>233.73672155391634</v>
      </c>
      <c r="DW75" s="5">
        <f t="shared" si="301"/>
        <v>4.2783179012345682</v>
      </c>
      <c r="DX75" s="5">
        <f t="shared" si="262"/>
        <v>0.43263888888888896</v>
      </c>
      <c r="DY75" s="5">
        <f t="shared" si="302"/>
        <v>3.8456790123456792</v>
      </c>
      <c r="DZ75" s="5">
        <f t="shared" si="263"/>
        <v>3.8456790123456792</v>
      </c>
      <c r="EA75" s="150">
        <f t="shared" si="303"/>
        <v>0.10112359550561799</v>
      </c>
      <c r="EB75" s="150">
        <f t="shared" si="264"/>
        <v>4.2</v>
      </c>
      <c r="EC75" s="150">
        <f t="shared" si="265"/>
        <v>0.77777777777777779</v>
      </c>
      <c r="ED75" s="150">
        <f t="shared" si="304"/>
        <v>5.4</v>
      </c>
      <c r="EE75" s="144">
        <f t="shared" si="266"/>
        <v>7.2683333333333344</v>
      </c>
      <c r="EF75" s="5">
        <f t="shared" si="267"/>
        <v>0.14020704732510289</v>
      </c>
      <c r="EG75" s="5"/>
      <c r="EH75" s="150">
        <f t="shared" si="305"/>
        <v>0.31772484019049263</v>
      </c>
      <c r="EI75" s="150">
        <f t="shared" si="268"/>
        <v>0.94727245440826502</v>
      </c>
      <c r="EJ75" s="150"/>
      <c r="EK75" s="456">
        <f t="shared" si="269"/>
        <v>2.0189814814814818E-3</v>
      </c>
      <c r="EL75" s="456">
        <f t="shared" si="270"/>
        <v>0.43199999999999994</v>
      </c>
      <c r="EM75" s="456">
        <f t="shared" si="271"/>
        <v>2.9217090194239539E-2</v>
      </c>
      <c r="EN75" s="456">
        <f t="shared" si="272"/>
        <v>6.6651428571428556E-2</v>
      </c>
      <c r="EO75">
        <f t="shared" si="273"/>
        <v>2.1600000000000001E-2</v>
      </c>
      <c r="EP75" s="144">
        <f t="shared" si="306"/>
        <v>50.817090194239533</v>
      </c>
      <c r="EQ75" s="456">
        <f t="shared" si="274"/>
        <v>0.55229756791345319</v>
      </c>
      <c r="ER75" s="144">
        <f t="shared" si="307"/>
        <v>552.29756791345324</v>
      </c>
      <c r="ES75" s="456">
        <f t="shared" si="308"/>
        <v>0.52184999999999993</v>
      </c>
      <c r="ET75" s="456"/>
      <c r="EV75" s="144">
        <f t="shared" si="309"/>
        <v>521.84999999999991</v>
      </c>
      <c r="EW75" s="456">
        <f t="shared" si="275"/>
        <v>3.0284722222222223E-3</v>
      </c>
      <c r="EX75" s="456">
        <f t="shared" si="276"/>
        <v>2.6919753086419754E-2</v>
      </c>
      <c r="EY75" s="456">
        <f t="shared" si="277"/>
        <v>0.16453232685410416</v>
      </c>
      <c r="EZ75" s="456">
        <f t="shared" si="278"/>
        <v>0.20215245481790675</v>
      </c>
      <c r="FA75" s="456">
        <f t="shared" si="279"/>
        <v>7.000000000000001E-4</v>
      </c>
      <c r="FB75" s="144">
        <f t="shared" si="310"/>
        <v>202.85245481790676</v>
      </c>
      <c r="FC75" s="150">
        <f t="shared" si="311"/>
        <v>1.2770000227313598</v>
      </c>
      <c r="FD75" s="5">
        <f t="shared" si="312"/>
        <v>4.2</v>
      </c>
      <c r="FE75" s="150">
        <f t="shared" si="313"/>
        <v>0.76684315913248347</v>
      </c>
      <c r="FF75" s="5">
        <f t="shared" si="314"/>
        <v>76.684315913248341</v>
      </c>
      <c r="FI75" s="59">
        <f t="shared" si="280"/>
        <v>-50</v>
      </c>
      <c r="FJ75">
        <f t="shared" si="281"/>
        <v>-50</v>
      </c>
      <c r="FL75">
        <f t="shared" si="282"/>
        <v>0.898876404494382</v>
      </c>
    </row>
    <row r="76" spans="5:168">
      <c r="E76" s="147">
        <v>71</v>
      </c>
      <c r="F76" s="188">
        <f t="shared" si="283"/>
        <v>0.85199999999999998</v>
      </c>
      <c r="G76" s="188"/>
      <c r="H76" s="188">
        <f t="shared" si="183"/>
        <v>4.26</v>
      </c>
      <c r="I76" s="465">
        <f t="shared" si="184"/>
        <v>47.951992111654377</v>
      </c>
      <c r="J76" s="149">
        <f t="shared" si="185"/>
        <v>5.4288047330073743</v>
      </c>
      <c r="K76" s="149">
        <f t="shared" si="186"/>
        <v>53.428804733007375</v>
      </c>
      <c r="L76" s="379"/>
      <c r="M76" s="188">
        <f t="shared" si="187"/>
        <v>0.10169336857868908</v>
      </c>
      <c r="N76" s="149">
        <f t="shared" si="188"/>
        <v>12.483582996205721</v>
      </c>
      <c r="O76" s="149">
        <f t="shared" si="284"/>
        <v>4.26</v>
      </c>
      <c r="P76" s="188">
        <f t="shared" si="189"/>
        <v>2.496716599241144</v>
      </c>
      <c r="Q76" s="188">
        <f t="shared" si="190"/>
        <v>5</v>
      </c>
      <c r="R76" s="188">
        <f t="shared" si="191"/>
        <v>2.4381998039464299</v>
      </c>
      <c r="S76" s="149">
        <f t="shared" si="192"/>
        <v>92.957665069993055</v>
      </c>
      <c r="T76" s="149">
        <f t="shared" si="193"/>
        <v>5</v>
      </c>
      <c r="U76" s="188">
        <f t="shared" si="194"/>
        <v>1.8969023943460284</v>
      </c>
      <c r="V76" s="188">
        <f t="shared" si="195"/>
        <v>0.47470037697599643</v>
      </c>
      <c r="W76" s="188">
        <f t="shared" si="196"/>
        <v>4.1929724592511741</v>
      </c>
      <c r="X76" s="172">
        <f t="shared" si="197"/>
        <v>350</v>
      </c>
      <c r="Y76" s="379">
        <f t="shared" si="198"/>
        <v>205.43697854087469</v>
      </c>
      <c r="AA76" s="188">
        <f t="shared" si="199"/>
        <v>1.1611184667097707</v>
      </c>
      <c r="AB76" s="150">
        <f t="shared" si="200"/>
        <v>2.5665726224782826</v>
      </c>
      <c r="AC76" s="150">
        <f t="shared" si="201"/>
        <v>0.52151660191947036</v>
      </c>
      <c r="AD76" s="150"/>
      <c r="AE76" s="150">
        <f t="shared" si="202"/>
        <v>2.2104313177888804</v>
      </c>
      <c r="AF76" s="314">
        <f t="shared" si="203"/>
        <v>770.89027208704715</v>
      </c>
      <c r="AG76" s="456">
        <f t="shared" si="204"/>
        <v>0.38682548061305405</v>
      </c>
      <c r="AI76" s="150">
        <f t="shared" si="205"/>
        <v>1.4840969087409421</v>
      </c>
      <c r="AJ76" s="150">
        <f t="shared" si="206"/>
        <v>1.8969023943460284</v>
      </c>
      <c r="AK76" s="150">
        <f t="shared" si="207"/>
        <v>1.8643721439600209</v>
      </c>
      <c r="AM76" s="314">
        <f t="shared" si="208"/>
        <v>852</v>
      </c>
      <c r="AN76" s="144">
        <f t="shared" si="209"/>
        <v>205.43697854087469</v>
      </c>
      <c r="AP76">
        <f t="shared" si="210"/>
        <v>852</v>
      </c>
      <c r="AQ76">
        <f t="shared" si="211"/>
        <v>205.43697854087469</v>
      </c>
      <c r="AS76" s="5">
        <f t="shared" si="285"/>
        <v>4.8676728362271708</v>
      </c>
      <c r="AT76" s="5">
        <f t="shared" si="212"/>
        <v>0.47470037697599643</v>
      </c>
      <c r="AU76" s="5">
        <f t="shared" si="286"/>
        <v>4.3929724592511743</v>
      </c>
      <c r="AV76" s="5">
        <f t="shared" si="213"/>
        <v>4.1929724592511741</v>
      </c>
      <c r="AW76" s="150">
        <f t="shared" si="287"/>
        <v>9.7521011158162904E-2</v>
      </c>
      <c r="AX76" s="150">
        <f t="shared" si="214"/>
        <v>4.4352677117855928</v>
      </c>
      <c r="AY76" s="150">
        <f t="shared" si="215"/>
        <v>0.85595727739053173</v>
      </c>
      <c r="AZ76" s="150">
        <f t="shared" si="288"/>
        <v>5.1816461276045622</v>
      </c>
      <c r="BA76" s="144">
        <f t="shared" si="216"/>
        <v>8.088894423670979</v>
      </c>
      <c r="BB76" s="5">
        <f t="shared" si="217"/>
        <v>0.16261109855487529</v>
      </c>
      <c r="BC76" s="5"/>
      <c r="BD76" s="150">
        <f t="shared" si="289"/>
        <v>0.34200578737582837</v>
      </c>
      <c r="BE76" s="150">
        <f t="shared" si="218"/>
        <v>1.0404061415107748</v>
      </c>
      <c r="BF76" s="150"/>
      <c r="BG76" s="456">
        <f t="shared" si="219"/>
        <v>2.3393591719712064E-3</v>
      </c>
      <c r="BH76" s="456">
        <f t="shared" si="220"/>
        <v>0.3903914831390522</v>
      </c>
      <c r="BI76" s="456">
        <f t="shared" si="221"/>
        <v>0.24627780936085328</v>
      </c>
      <c r="BJ76" s="456">
        <f t="shared" si="222"/>
        <v>5.8644803610310006E-2</v>
      </c>
      <c r="BK76">
        <f t="shared" si="223"/>
        <v>2.157839645024447E-2</v>
      </c>
      <c r="BL76" s="144">
        <f t="shared" si="290"/>
        <v>267.85620581109777</v>
      </c>
      <c r="BM76" s="456">
        <f t="shared" si="224"/>
        <v>0.45225865261124204</v>
      </c>
      <c r="BN76" s="144">
        <f t="shared" si="291"/>
        <v>452.25865261124204</v>
      </c>
      <c r="BO76" s="456">
        <f t="shared" si="225"/>
        <v>0.52930499999999991</v>
      </c>
      <c r="BP76" s="456"/>
      <c r="BR76" s="144">
        <f t="shared" si="292"/>
        <v>529.30499999999995</v>
      </c>
      <c r="BS76" s="456">
        <f t="shared" si="226"/>
        <v>3.5090387579568096E-3</v>
      </c>
      <c r="BT76" s="456">
        <f t="shared" si="227"/>
        <v>3.2473348178800154E-2</v>
      </c>
      <c r="BU76" s="456">
        <f t="shared" si="228"/>
        <v>6.3899999999999998E-2</v>
      </c>
      <c r="BV76" s="456">
        <f t="shared" si="229"/>
        <v>0.10883144100326378</v>
      </c>
      <c r="BW76" s="456">
        <f t="shared" si="230"/>
        <v>7.3921128529759895E-4</v>
      </c>
      <c r="BX76" s="144">
        <f t="shared" si="293"/>
        <v>109.57065228856138</v>
      </c>
      <c r="BY76" s="150">
        <f t="shared" si="231"/>
        <v>1.358990510710901</v>
      </c>
      <c r="BZ76" s="5">
        <f t="shared" si="294"/>
        <v>4.26</v>
      </c>
      <c r="CA76" s="150">
        <f t="shared" si="295"/>
        <v>0.75814329849456086</v>
      </c>
      <c r="CB76" s="5">
        <f t="shared" si="296"/>
        <v>75.814329849456087</v>
      </c>
      <c r="CE76" s="59">
        <f t="shared" si="232"/>
        <v>-50</v>
      </c>
      <c r="CF76">
        <f t="shared" si="233"/>
        <v>-50</v>
      </c>
      <c r="CG76" s="150">
        <f t="shared" si="234"/>
        <v>0.88735417174172415</v>
      </c>
      <c r="CI76" s="147">
        <v>71</v>
      </c>
      <c r="CJ76" s="188">
        <f t="shared" si="297"/>
        <v>0.85199999999999998</v>
      </c>
      <c r="CK76" s="188"/>
      <c r="CL76" s="188">
        <f t="shared" si="235"/>
        <v>4.26</v>
      </c>
      <c r="CM76" s="465">
        <f t="shared" si="236"/>
        <v>48</v>
      </c>
      <c r="CN76" s="149">
        <f t="shared" si="237"/>
        <v>5.4</v>
      </c>
      <c r="CO76" s="379">
        <f t="shared" si="238"/>
        <v>53.4</v>
      </c>
      <c r="CP76" s="379"/>
      <c r="CQ76" s="188">
        <f t="shared" si="239"/>
        <v>0.10112359550561799</v>
      </c>
      <c r="CR76" s="149">
        <f t="shared" si="240"/>
        <v>12.426067415730339</v>
      </c>
      <c r="CS76" s="149">
        <f t="shared" si="298"/>
        <v>4.26</v>
      </c>
      <c r="CT76" s="188">
        <f t="shared" si="241"/>
        <v>2.4852134831460679</v>
      </c>
      <c r="CU76" s="188">
        <f t="shared" si="242"/>
        <v>5</v>
      </c>
      <c r="CV76" s="188">
        <f t="shared" si="243"/>
        <v>2.4269662921348316</v>
      </c>
      <c r="CW76" s="149">
        <f t="shared" si="244"/>
        <v>93.050526728370784</v>
      </c>
      <c r="CX76" s="149">
        <f t="shared" si="245"/>
        <v>5</v>
      </c>
      <c r="CY76" s="188">
        <f t="shared" si="246"/>
        <v>1.7552777777777775</v>
      </c>
      <c r="CZ76" s="188">
        <f t="shared" si="247"/>
        <v>0.43881944444444443</v>
      </c>
      <c r="DA76" s="188">
        <f t="shared" si="248"/>
        <v>3.9006172839506172</v>
      </c>
      <c r="DB76" s="172">
        <f t="shared" si="249"/>
        <v>350</v>
      </c>
      <c r="DC76" s="379">
        <f t="shared" si="299"/>
        <v>230.44465505315696</v>
      </c>
      <c r="DE76" s="188">
        <f t="shared" si="250"/>
        <v>1.1556982343499198</v>
      </c>
      <c r="DF76" s="150">
        <f t="shared" si="251"/>
        <v>2.5682182985553772</v>
      </c>
      <c r="DG76" s="150">
        <f t="shared" si="252"/>
        <v>0.51941493678648076</v>
      </c>
      <c r="DH76" s="150"/>
      <c r="DI76" s="150">
        <f t="shared" si="253"/>
        <v>2.2222222222222219</v>
      </c>
      <c r="DJ76" s="314">
        <f t="shared" si="300"/>
        <v>766.8</v>
      </c>
      <c r="DK76" s="456">
        <f t="shared" si="254"/>
        <v>0.38888888888888884</v>
      </c>
      <c r="DM76" s="150">
        <f t="shared" si="255"/>
        <v>1.4801544320972535</v>
      </c>
      <c r="DN76" s="150">
        <f t="shared" si="256"/>
        <v>1.7552777777777775</v>
      </c>
      <c r="DO76" s="150">
        <f t="shared" si="257"/>
        <v>1.7594650205761315</v>
      </c>
      <c r="DQ76" s="314">
        <f t="shared" si="258"/>
        <v>852</v>
      </c>
      <c r="DR76" s="144">
        <f t="shared" si="259"/>
        <v>230.44465505315696</v>
      </c>
      <c r="DT76">
        <f t="shared" si="260"/>
        <v>852</v>
      </c>
      <c r="DU76">
        <f t="shared" si="261"/>
        <v>230.44465505315696</v>
      </c>
      <c r="DW76" s="5">
        <f t="shared" si="301"/>
        <v>4.3394367283950617</v>
      </c>
      <c r="DX76" s="5">
        <f t="shared" si="262"/>
        <v>0.43881944444444443</v>
      </c>
      <c r="DY76" s="5">
        <f t="shared" si="302"/>
        <v>3.9006172839506172</v>
      </c>
      <c r="DZ76" s="5">
        <f t="shared" si="263"/>
        <v>3.9006172839506172</v>
      </c>
      <c r="EA76" s="150">
        <f t="shared" si="303"/>
        <v>0.10112359550561797</v>
      </c>
      <c r="EB76" s="150">
        <f t="shared" si="264"/>
        <v>4.259999999999998</v>
      </c>
      <c r="EC76" s="150">
        <f t="shared" si="265"/>
        <v>0.78888888888888875</v>
      </c>
      <c r="ED76" s="150">
        <f t="shared" si="304"/>
        <v>5.3999999999999986</v>
      </c>
      <c r="EE76" s="144">
        <f t="shared" si="266"/>
        <v>7.4774833333333319</v>
      </c>
      <c r="EF76" s="5">
        <f t="shared" si="267"/>
        <v>0.1442415766460905</v>
      </c>
      <c r="EG76" s="5"/>
      <c r="EH76" s="150">
        <f t="shared" si="305"/>
        <v>0.32226376647892818</v>
      </c>
      <c r="EI76" s="150">
        <f t="shared" si="268"/>
        <v>0.96080491804266865</v>
      </c>
      <c r="EJ76" s="150"/>
      <c r="EK76" s="456">
        <f t="shared" si="269"/>
        <v>2.0770787037037029E-3</v>
      </c>
      <c r="EL76" s="456">
        <f t="shared" si="270"/>
        <v>0.43199999999999994</v>
      </c>
      <c r="EM76" s="456">
        <f t="shared" si="271"/>
        <v>2.8805581881644619E-2</v>
      </c>
      <c r="EN76" s="456">
        <f t="shared" si="272"/>
        <v>6.5712676056338029E-2</v>
      </c>
      <c r="EO76">
        <f t="shared" si="273"/>
        <v>2.1600000000000001E-2</v>
      </c>
      <c r="EP76" s="144">
        <f t="shared" si="306"/>
        <v>50.405581881644622</v>
      </c>
      <c r="EQ76" s="456">
        <f t="shared" si="274"/>
        <v>0.55102808791236135</v>
      </c>
      <c r="ER76" s="144">
        <f t="shared" si="307"/>
        <v>551.02808791236134</v>
      </c>
      <c r="ES76" s="456">
        <f t="shared" si="308"/>
        <v>0.52930499999999991</v>
      </c>
      <c r="ET76" s="456"/>
      <c r="EV76" s="144">
        <f t="shared" si="309"/>
        <v>529.30499999999995</v>
      </c>
      <c r="EW76" s="456">
        <f t="shared" si="275"/>
        <v>3.1156180555555546E-3</v>
      </c>
      <c r="EX76" s="456">
        <f t="shared" si="276"/>
        <v>2.7694382716049376E-2</v>
      </c>
      <c r="EY76" s="456">
        <f t="shared" si="277"/>
        <v>0.16453232685410421</v>
      </c>
      <c r="EZ76" s="456">
        <f t="shared" si="278"/>
        <v>0.2032376680275943</v>
      </c>
      <c r="FA76" s="456">
        <f t="shared" si="279"/>
        <v>7.099999999999998E-4</v>
      </c>
      <c r="FB76" s="144">
        <f t="shared" si="310"/>
        <v>203.94766802759429</v>
      </c>
      <c r="FC76" s="150">
        <f t="shared" si="311"/>
        <v>1.2842807559399556</v>
      </c>
      <c r="FD76" s="5">
        <f t="shared" si="312"/>
        <v>4.26</v>
      </c>
      <c r="FE76" s="150">
        <f t="shared" si="313"/>
        <v>0.76835935760215235</v>
      </c>
      <c r="FF76" s="5">
        <f t="shared" si="314"/>
        <v>76.835935760215236</v>
      </c>
      <c r="FI76" s="59">
        <f t="shared" si="280"/>
        <v>-50</v>
      </c>
      <c r="FJ76">
        <f t="shared" si="281"/>
        <v>-50</v>
      </c>
      <c r="FL76">
        <f t="shared" si="282"/>
        <v>0.898876404494382</v>
      </c>
    </row>
    <row r="77" spans="5:168">
      <c r="E77" s="147">
        <v>72</v>
      </c>
      <c r="F77" s="188">
        <f t="shared" si="283"/>
        <v>0.86399999999999999</v>
      </c>
      <c r="G77" s="188"/>
      <c r="H77" s="188">
        <f t="shared" si="183"/>
        <v>4.32</v>
      </c>
      <c r="I77" s="465">
        <f t="shared" si="184"/>
        <v>47.951324722617358</v>
      </c>
      <c r="J77" s="149">
        <f t="shared" si="185"/>
        <v>5.4292051664295879</v>
      </c>
      <c r="K77" s="149">
        <f t="shared" si="186"/>
        <v>53.42920516642959</v>
      </c>
      <c r="L77" s="379"/>
      <c r="M77" s="188">
        <f t="shared" si="187"/>
        <v>0.10170137981056665</v>
      </c>
      <c r="N77" s="149">
        <f t="shared" si="188"/>
        <v>12.484392673368889</v>
      </c>
      <c r="O77" s="149">
        <f t="shared" si="284"/>
        <v>4.32</v>
      </c>
      <c r="P77" s="188">
        <f t="shared" si="189"/>
        <v>2.4968785346737778</v>
      </c>
      <c r="Q77" s="188">
        <f t="shared" si="190"/>
        <v>5</v>
      </c>
      <c r="R77" s="188">
        <f t="shared" si="191"/>
        <v>2.4383579440173615</v>
      </c>
      <c r="S77" s="149">
        <f t="shared" si="192"/>
        <v>91.006558916313594</v>
      </c>
      <c r="T77" s="149">
        <f t="shared" si="193"/>
        <v>5</v>
      </c>
      <c r="U77" s="188">
        <f t="shared" si="194"/>
        <v>1.9236364847533658</v>
      </c>
      <c r="V77" s="188">
        <f t="shared" si="195"/>
        <v>0.48139729091055655</v>
      </c>
      <c r="W77" s="188">
        <f t="shared" si="196"/>
        <v>4.251752716912133</v>
      </c>
      <c r="X77" s="172">
        <f t="shared" si="197"/>
        <v>350</v>
      </c>
      <c r="Y77" s="379">
        <f t="shared" si="198"/>
        <v>202.71023553191384</v>
      </c>
      <c r="AA77" s="188">
        <f t="shared" si="199"/>
        <v>1.1611937574488058</v>
      </c>
      <c r="AB77" s="150">
        <f t="shared" si="200"/>
        <v>2.5665497365149879</v>
      </c>
      <c r="AC77" s="150">
        <f t="shared" si="201"/>
        <v>0.52154576813903919</v>
      </c>
      <c r="AD77" s="150"/>
      <c r="AE77" s="150">
        <f t="shared" si="202"/>
        <v>2.2102682864518766</v>
      </c>
      <c r="AF77" s="314">
        <f t="shared" si="203"/>
        <v>781.80554396586058</v>
      </c>
      <c r="AG77" s="456">
        <f t="shared" si="204"/>
        <v>0.38679695012907839</v>
      </c>
      <c r="AI77" s="150">
        <f t="shared" si="205"/>
        <v>1.4945668689010687</v>
      </c>
      <c r="AJ77" s="150">
        <f t="shared" si="206"/>
        <v>1.9236364847533658</v>
      </c>
      <c r="AK77" s="150">
        <f t="shared" si="207"/>
        <v>1.8841751738913821</v>
      </c>
      <c r="AM77" s="314">
        <f t="shared" si="208"/>
        <v>864</v>
      </c>
      <c r="AN77" s="144">
        <f t="shared" si="209"/>
        <v>202.71023553191384</v>
      </c>
      <c r="AP77">
        <f t="shared" si="210"/>
        <v>864</v>
      </c>
      <c r="AQ77">
        <f t="shared" si="211"/>
        <v>202.71023553191384</v>
      </c>
      <c r="AS77" s="5">
        <f t="shared" si="285"/>
        <v>4.9331500078226895</v>
      </c>
      <c r="AT77" s="5">
        <f t="shared" si="212"/>
        <v>0.48139729091055655</v>
      </c>
      <c r="AU77" s="5">
        <f t="shared" si="286"/>
        <v>4.4517527169121331</v>
      </c>
      <c r="AV77" s="5">
        <f t="shared" si="213"/>
        <v>4.251752716912133</v>
      </c>
      <c r="AW77" s="150">
        <f t="shared" si="287"/>
        <v>9.7584158224904169E-2</v>
      </c>
      <c r="AX77" s="150">
        <f t="shared" si="214"/>
        <v>4.5006261552230757</v>
      </c>
      <c r="AY77" s="150">
        <f t="shared" si="215"/>
        <v>0.86796001882899743</v>
      </c>
      <c r="AZ77" s="150">
        <f t="shared" si="288"/>
        <v>5.185292015287831</v>
      </c>
      <c r="BA77" s="144">
        <f t="shared" si="216"/>
        <v>8.3185451869344185</v>
      </c>
      <c r="BB77" s="5">
        <f t="shared" si="217"/>
        <v>0.16711018802494623</v>
      </c>
      <c r="BC77" s="5"/>
      <c r="BD77" s="150">
        <f t="shared" si="289"/>
        <v>0.34693813397632844</v>
      </c>
      <c r="BE77" s="150">
        <f t="shared" si="218"/>
        <v>1.0550322458031565</v>
      </c>
      <c r="BF77" s="150"/>
      <c r="BG77" s="456">
        <f t="shared" si="219"/>
        <v>2.4073213761395366E-3</v>
      </c>
      <c r="BH77" s="456">
        <f t="shared" si="220"/>
        <v>0.3906417612727312</v>
      </c>
      <c r="BI77" s="456">
        <f t="shared" si="221"/>
        <v>0.24300560821472619</v>
      </c>
      <c r="BJ77" s="456">
        <f t="shared" si="222"/>
        <v>5.7867284801590223E-2</v>
      </c>
      <c r="BK77">
        <f t="shared" si="223"/>
        <v>2.1578096125177811E-2</v>
      </c>
      <c r="BL77" s="144">
        <f t="shared" si="290"/>
        <v>264.58370433990405</v>
      </c>
      <c r="BM77" s="456">
        <f t="shared" si="224"/>
        <v>0.45182477875970567</v>
      </c>
      <c r="BN77" s="144">
        <f t="shared" si="291"/>
        <v>451.82477875970568</v>
      </c>
      <c r="BO77" s="456">
        <f t="shared" si="225"/>
        <v>0.53676000000000001</v>
      </c>
      <c r="BP77" s="456"/>
      <c r="BR77" s="144">
        <f t="shared" si="292"/>
        <v>536.76</v>
      </c>
      <c r="BS77" s="456">
        <f t="shared" si="226"/>
        <v>3.6109820642093045E-3</v>
      </c>
      <c r="BT77" s="456">
        <f t="shared" si="227"/>
        <v>3.3392791190533559E-2</v>
      </c>
      <c r="BU77" s="456">
        <f t="shared" si="228"/>
        <v>6.4799999999999996E-2</v>
      </c>
      <c r="BV77" s="456">
        <f t="shared" si="229"/>
        <v>0.11101331174917912</v>
      </c>
      <c r="BW77" s="456">
        <f t="shared" si="230"/>
        <v>7.5010435920384595E-4</v>
      </c>
      <c r="BX77" s="144">
        <f t="shared" si="293"/>
        <v>111.76341610838297</v>
      </c>
      <c r="BY77" s="150">
        <f t="shared" si="231"/>
        <v>1.3649318992079928</v>
      </c>
      <c r="BZ77" s="5">
        <f t="shared" si="294"/>
        <v>4.32</v>
      </c>
      <c r="CA77" s="150">
        <f t="shared" si="295"/>
        <v>0.75990356201133191</v>
      </c>
      <c r="CB77" s="5">
        <f t="shared" si="296"/>
        <v>75.990356201133196</v>
      </c>
      <c r="CE77" s="59">
        <f t="shared" si="232"/>
        <v>-50</v>
      </c>
      <c r="CF77">
        <f t="shared" si="233"/>
        <v>-50</v>
      </c>
      <c r="CG77" s="150">
        <f t="shared" si="234"/>
        <v>0.88751420275217774</v>
      </c>
      <c r="CI77" s="147">
        <v>72</v>
      </c>
      <c r="CJ77" s="188">
        <f t="shared" si="297"/>
        <v>0.86399999999999999</v>
      </c>
      <c r="CK77" s="188"/>
      <c r="CL77" s="188">
        <f t="shared" si="235"/>
        <v>4.32</v>
      </c>
      <c r="CM77" s="465">
        <f t="shared" si="236"/>
        <v>48</v>
      </c>
      <c r="CN77" s="149">
        <f t="shared" si="237"/>
        <v>5.4</v>
      </c>
      <c r="CO77" s="379">
        <f t="shared" si="238"/>
        <v>53.4</v>
      </c>
      <c r="CP77" s="379"/>
      <c r="CQ77" s="188">
        <f t="shared" si="239"/>
        <v>0.10112359550561799</v>
      </c>
      <c r="CR77" s="149">
        <f t="shared" si="240"/>
        <v>12.426067415730339</v>
      </c>
      <c r="CS77" s="149">
        <f t="shared" si="298"/>
        <v>4.32</v>
      </c>
      <c r="CT77" s="188">
        <f t="shared" si="241"/>
        <v>2.4852134831460679</v>
      </c>
      <c r="CU77" s="188">
        <f t="shared" si="242"/>
        <v>5</v>
      </c>
      <c r="CV77" s="188">
        <f t="shared" si="243"/>
        <v>2.4269662921348316</v>
      </c>
      <c r="CW77" s="149">
        <f t="shared" si="244"/>
        <v>91.09872787186238</v>
      </c>
      <c r="CX77" s="149">
        <f t="shared" si="245"/>
        <v>5</v>
      </c>
      <c r="CY77" s="188">
        <f t="shared" si="246"/>
        <v>1.78</v>
      </c>
      <c r="CZ77" s="188">
        <f t="shared" si="247"/>
        <v>0.44500000000000001</v>
      </c>
      <c r="DA77" s="188">
        <f t="shared" si="248"/>
        <v>3.9555555555555557</v>
      </c>
      <c r="DB77" s="172">
        <f t="shared" si="249"/>
        <v>350</v>
      </c>
      <c r="DC77" s="379">
        <f t="shared" si="299"/>
        <v>227.24403484408532</v>
      </c>
      <c r="DE77" s="188">
        <f t="shared" si="250"/>
        <v>1.1556982343499198</v>
      </c>
      <c r="DF77" s="150">
        <f t="shared" si="251"/>
        <v>2.5682182985553772</v>
      </c>
      <c r="DG77" s="150">
        <f t="shared" si="252"/>
        <v>0.51941493678648076</v>
      </c>
      <c r="DH77" s="150"/>
      <c r="DI77" s="150">
        <f t="shared" si="253"/>
        <v>2.2222222222222219</v>
      </c>
      <c r="DJ77" s="314">
        <f t="shared" si="300"/>
        <v>777.6</v>
      </c>
      <c r="DK77" s="456">
        <f t="shared" si="254"/>
        <v>0.38888888888888884</v>
      </c>
      <c r="DM77" s="150">
        <f t="shared" si="255"/>
        <v>1.4905416081794851</v>
      </c>
      <c r="DN77" s="150">
        <f t="shared" si="256"/>
        <v>1.78</v>
      </c>
      <c r="DO77" s="150">
        <f t="shared" si="257"/>
        <v>1.7777777777777777</v>
      </c>
      <c r="DQ77" s="314">
        <f t="shared" si="258"/>
        <v>864</v>
      </c>
      <c r="DR77" s="144">
        <f t="shared" si="259"/>
        <v>227.24403484408532</v>
      </c>
      <c r="DT77">
        <f t="shared" si="260"/>
        <v>864</v>
      </c>
      <c r="DU77">
        <f t="shared" si="261"/>
        <v>227.24403484408532</v>
      </c>
      <c r="DW77" s="5">
        <f t="shared" si="301"/>
        <v>4.400555555555556</v>
      </c>
      <c r="DX77" s="5">
        <f t="shared" si="262"/>
        <v>0.44500000000000001</v>
      </c>
      <c r="DY77" s="5">
        <f t="shared" si="302"/>
        <v>3.9555555555555562</v>
      </c>
      <c r="DZ77" s="5">
        <f t="shared" si="263"/>
        <v>3.9555555555555557</v>
      </c>
      <c r="EA77" s="150">
        <f t="shared" si="303"/>
        <v>0.10112359550561797</v>
      </c>
      <c r="EB77" s="150">
        <f t="shared" si="264"/>
        <v>4.3199999999999994</v>
      </c>
      <c r="EC77" s="150">
        <f t="shared" si="265"/>
        <v>0.8</v>
      </c>
      <c r="ED77" s="150">
        <f t="shared" si="304"/>
        <v>5.3999999999999986</v>
      </c>
      <c r="EE77" s="144">
        <f t="shared" si="266"/>
        <v>7.6895999999999995</v>
      </c>
      <c r="EF77" s="5">
        <f t="shared" si="267"/>
        <v>0.14833333333333334</v>
      </c>
      <c r="EG77" s="5"/>
      <c r="EH77" s="150">
        <f t="shared" si="305"/>
        <v>0.32680269276736384</v>
      </c>
      <c r="EI77" s="150">
        <f t="shared" si="268"/>
        <v>0.97433738167707262</v>
      </c>
      <c r="EJ77" s="150"/>
      <c r="EK77" s="456">
        <f t="shared" si="269"/>
        <v>2.1360000000000003E-3</v>
      </c>
      <c r="EL77" s="456">
        <f t="shared" si="270"/>
        <v>0.43199999999999994</v>
      </c>
      <c r="EM77" s="456">
        <f t="shared" si="271"/>
        <v>2.8405504355510664E-2</v>
      </c>
      <c r="EN77" s="456">
        <f t="shared" si="272"/>
        <v>6.4799999999999983E-2</v>
      </c>
      <c r="EO77">
        <f t="shared" si="273"/>
        <v>2.1600000000000001E-2</v>
      </c>
      <c r="EP77" s="144">
        <f t="shared" si="306"/>
        <v>50.005504355510666</v>
      </c>
      <c r="EQ77" s="456">
        <f t="shared" si="274"/>
        <v>0.54979725393912737</v>
      </c>
      <c r="ER77" s="144">
        <f t="shared" si="307"/>
        <v>549.79725393912736</v>
      </c>
      <c r="ES77" s="456">
        <f t="shared" si="308"/>
        <v>0.53676000000000001</v>
      </c>
      <c r="ET77" s="456"/>
      <c r="EV77" s="144">
        <f t="shared" si="309"/>
        <v>536.76</v>
      </c>
      <c r="EW77" s="456">
        <f t="shared" si="275"/>
        <v>3.2040000000000003E-3</v>
      </c>
      <c r="EX77" s="456">
        <f t="shared" si="276"/>
        <v>2.8480000000000002E-2</v>
      </c>
      <c r="EY77" s="456">
        <f t="shared" si="277"/>
        <v>0.16453232685410388</v>
      </c>
      <c r="EZ77" s="456">
        <f t="shared" si="278"/>
        <v>0.20433842755319148</v>
      </c>
      <c r="FA77" s="456">
        <f t="shared" si="279"/>
        <v>7.1999999999999994E-4</v>
      </c>
      <c r="FB77" s="144">
        <f t="shared" si="310"/>
        <v>205.05842755319148</v>
      </c>
      <c r="FC77" s="150">
        <f t="shared" si="311"/>
        <v>1.291615681492319</v>
      </c>
      <c r="FD77" s="5">
        <f t="shared" si="312"/>
        <v>4.32</v>
      </c>
      <c r="FE77" s="150">
        <f t="shared" si="313"/>
        <v>0.76983176418296084</v>
      </c>
      <c r="FF77" s="5">
        <f t="shared" si="314"/>
        <v>76.983176418296082</v>
      </c>
      <c r="FI77" s="59">
        <f t="shared" si="280"/>
        <v>-50</v>
      </c>
      <c r="FJ77">
        <f t="shared" si="281"/>
        <v>-50</v>
      </c>
      <c r="FL77">
        <f t="shared" si="282"/>
        <v>0.898876404494382</v>
      </c>
    </row>
    <row r="78" spans="5:168">
      <c r="E78" s="147">
        <v>73</v>
      </c>
      <c r="F78" s="188">
        <f t="shared" si="283"/>
        <v>0.876</v>
      </c>
      <c r="G78" s="188"/>
      <c r="H78" s="188">
        <f t="shared" si="183"/>
        <v>4.38</v>
      </c>
      <c r="I78" s="465">
        <f t="shared" si="184"/>
        <v>47.950657330501869</v>
      </c>
      <c r="J78" s="149">
        <f t="shared" si="185"/>
        <v>5.4296056016988778</v>
      </c>
      <c r="K78" s="149">
        <f t="shared" si="186"/>
        <v>53.429605601698881</v>
      </c>
      <c r="L78" s="379"/>
      <c r="M78" s="188">
        <f t="shared" si="187"/>
        <v>0.10170939112841909</v>
      </c>
      <c r="N78" s="149">
        <f t="shared" si="188"/>
        <v>12.485202332909596</v>
      </c>
      <c r="O78" s="149">
        <f t="shared" si="284"/>
        <v>4.38</v>
      </c>
      <c r="P78" s="188">
        <f t="shared" si="189"/>
        <v>2.497040466581919</v>
      </c>
      <c r="Q78" s="188">
        <f t="shared" si="190"/>
        <v>5</v>
      </c>
      <c r="R78" s="188">
        <f t="shared" si="191"/>
        <v>2.4385160806464055</v>
      </c>
      <c r="S78" s="149">
        <f t="shared" si="192"/>
        <v>89.10910872411371</v>
      </c>
      <c r="T78" s="149">
        <f t="shared" si="193"/>
        <v>5</v>
      </c>
      <c r="U78" s="188">
        <f t="shared" si="194"/>
        <v>1.9503710521930491</v>
      </c>
      <c r="V78" s="188">
        <f t="shared" si="195"/>
        <v>0.48809451067584836</v>
      </c>
      <c r="W78" s="188">
        <f t="shared" si="196"/>
        <v>4.3105253573102136</v>
      </c>
      <c r="X78" s="172">
        <f t="shared" si="197"/>
        <v>350</v>
      </c>
      <c r="Y78" s="379">
        <f t="shared" si="198"/>
        <v>200.05522052287981</v>
      </c>
      <c r="AA78" s="188">
        <f t="shared" si="199"/>
        <v>1.161269046904166</v>
      </c>
      <c r="AB78" s="150">
        <f t="shared" si="200"/>
        <v>2.5665268502172194</v>
      </c>
      <c r="AC78" s="150">
        <f t="shared" si="201"/>
        <v>0.52157493311099778</v>
      </c>
      <c r="AD78" s="150"/>
      <c r="AE78" s="150">
        <f t="shared" si="202"/>
        <v>2.2101052784101487</v>
      </c>
      <c r="AF78" s="314">
        <f t="shared" si="203"/>
        <v>792.722417848036</v>
      </c>
      <c r="AG78" s="456">
        <f t="shared" si="204"/>
        <v>0.38676842372177606</v>
      </c>
      <c r="AI78" s="150">
        <f t="shared" si="205"/>
        <v>1.5049655125123405</v>
      </c>
      <c r="AJ78" s="150">
        <f t="shared" si="206"/>
        <v>1.9503710521930491</v>
      </c>
      <c r="AK78" s="150">
        <f t="shared" si="207"/>
        <v>1.9039785571800363</v>
      </c>
      <c r="AM78" s="314">
        <f t="shared" si="208"/>
        <v>876</v>
      </c>
      <c r="AN78" s="144">
        <f t="shared" si="209"/>
        <v>200.05522052287981</v>
      </c>
      <c r="AP78">
        <f t="shared" si="210"/>
        <v>876</v>
      </c>
      <c r="AQ78">
        <f t="shared" si="211"/>
        <v>200.05522052287981</v>
      </c>
      <c r="AS78" s="5">
        <f t="shared" si="285"/>
        <v>4.9986198679860614</v>
      </c>
      <c r="AT78" s="5">
        <f t="shared" si="212"/>
        <v>0.48809451067584836</v>
      </c>
      <c r="AU78" s="5">
        <f t="shared" si="286"/>
        <v>4.5105253573102129</v>
      </c>
      <c r="AV78" s="5">
        <f t="shared" si="213"/>
        <v>4.3105253573102136</v>
      </c>
      <c r="AW78" s="150">
        <f t="shared" si="287"/>
        <v>9.7645854969263965E-2</v>
      </c>
      <c r="AX78" s="150">
        <f t="shared" si="214"/>
        <v>4.5659970252131536</v>
      </c>
      <c r="AY78" s="150">
        <f t="shared" si="215"/>
        <v>0.87996270164717794</v>
      </c>
      <c r="AZ78" s="150">
        <f t="shared" si="288"/>
        <v>5.1888529100906089</v>
      </c>
      <c r="BA78" s="144">
        <f t="shared" si="216"/>
        <v>8.5514158270408647</v>
      </c>
      <c r="BB78" s="5">
        <f t="shared" si="217"/>
        <v>0.1716704052741915</v>
      </c>
      <c r="BC78" s="5"/>
      <c r="BD78" s="150">
        <f t="shared" si="289"/>
        <v>0.35187103727934771</v>
      </c>
      <c r="BE78" s="150">
        <f t="shared" si="218"/>
        <v>1.0696584440222792</v>
      </c>
      <c r="BF78" s="150"/>
      <c r="BG78" s="456">
        <f t="shared" si="219"/>
        <v>2.4762645375208821E-3</v>
      </c>
      <c r="BH78" s="456">
        <f t="shared" si="220"/>
        <v>0.39088623027871205</v>
      </c>
      <c r="BI78" s="456">
        <f t="shared" si="221"/>
        <v>0.23981948316176485</v>
      </c>
      <c r="BJ78" s="456">
        <f t="shared" si="222"/>
        <v>5.7110219023381294E-2</v>
      </c>
      <c r="BK78">
        <f t="shared" si="223"/>
        <v>2.1577795798725839E-2</v>
      </c>
      <c r="BL78" s="144">
        <f t="shared" si="290"/>
        <v>261.39727896049072</v>
      </c>
      <c r="BM78" s="456">
        <f t="shared" si="224"/>
        <v>0.45140689523061339</v>
      </c>
      <c r="BN78" s="144">
        <f t="shared" si="291"/>
        <v>451.40689523061337</v>
      </c>
      <c r="BO78" s="456">
        <f t="shared" si="225"/>
        <v>0.54421499999999989</v>
      </c>
      <c r="BP78" s="456"/>
      <c r="BR78" s="144">
        <f t="shared" si="292"/>
        <v>544.21499999999992</v>
      </c>
      <c r="BS78" s="456">
        <f t="shared" si="226"/>
        <v>3.714396806281323E-3</v>
      </c>
      <c r="BT78" s="456">
        <f t="shared" si="227"/>
        <v>3.4325075606044898E-2</v>
      </c>
      <c r="BU78" s="456">
        <f t="shared" si="228"/>
        <v>6.5699999999999995E-2</v>
      </c>
      <c r="BV78" s="456">
        <f t="shared" si="229"/>
        <v>0.11321347225163809</v>
      </c>
      <c r="BW78" s="456">
        <f t="shared" si="230"/>
        <v>7.6099950420219253E-4</v>
      </c>
      <c r="BX78" s="144">
        <f t="shared" si="293"/>
        <v>113.97447175584028</v>
      </c>
      <c r="BY78" s="150">
        <f t="shared" si="231"/>
        <v>1.3709936459469441</v>
      </c>
      <c r="BZ78" s="5">
        <f t="shared" si="294"/>
        <v>4.38</v>
      </c>
      <c r="CA78" s="150">
        <f t="shared" si="295"/>
        <v>0.76160751856974107</v>
      </c>
      <c r="CB78" s="5">
        <f t="shared" si="296"/>
        <v>76.160751856974102</v>
      </c>
      <c r="CE78" s="59">
        <f t="shared" si="232"/>
        <v>-50</v>
      </c>
      <c r="CF78">
        <f t="shared" si="233"/>
        <v>-50</v>
      </c>
      <c r="CG78" s="150">
        <f t="shared" si="234"/>
        <v>0.88766984935138604</v>
      </c>
      <c r="CI78" s="147">
        <v>73</v>
      </c>
      <c r="CJ78" s="188">
        <f t="shared" si="297"/>
        <v>0.876</v>
      </c>
      <c r="CK78" s="188"/>
      <c r="CL78" s="188">
        <f t="shared" si="235"/>
        <v>4.38</v>
      </c>
      <c r="CM78" s="465">
        <f t="shared" si="236"/>
        <v>48</v>
      </c>
      <c r="CN78" s="149">
        <f t="shared" si="237"/>
        <v>5.4</v>
      </c>
      <c r="CO78" s="379">
        <f t="shared" si="238"/>
        <v>53.4</v>
      </c>
      <c r="CP78" s="379"/>
      <c r="CQ78" s="188">
        <f t="shared" si="239"/>
        <v>0.10112359550561799</v>
      </c>
      <c r="CR78" s="149">
        <f t="shared" si="240"/>
        <v>12.426067415730339</v>
      </c>
      <c r="CS78" s="149">
        <f t="shared" si="298"/>
        <v>4.38</v>
      </c>
      <c r="CT78" s="188">
        <f t="shared" si="241"/>
        <v>2.4852134831460679</v>
      </c>
      <c r="CU78" s="188">
        <f t="shared" si="242"/>
        <v>5</v>
      </c>
      <c r="CV78" s="188">
        <f t="shared" si="243"/>
        <v>2.4269662921348316</v>
      </c>
      <c r="CW78" s="149">
        <f t="shared" si="244"/>
        <v>89.200585683448097</v>
      </c>
      <c r="CX78" s="149">
        <f t="shared" si="245"/>
        <v>5</v>
      </c>
      <c r="CY78" s="188">
        <f t="shared" si="246"/>
        <v>1.8047222222222221</v>
      </c>
      <c r="CZ78" s="188">
        <f t="shared" si="247"/>
        <v>0.45118055555555553</v>
      </c>
      <c r="DA78" s="188">
        <f t="shared" si="248"/>
        <v>4.0104938271604933</v>
      </c>
      <c r="DB78" s="172">
        <f t="shared" si="249"/>
        <v>350</v>
      </c>
      <c r="DC78" s="379">
        <f t="shared" si="299"/>
        <v>224.13110285991982</v>
      </c>
      <c r="DE78" s="188">
        <f t="shared" si="250"/>
        <v>1.1556982343499198</v>
      </c>
      <c r="DF78" s="150">
        <f t="shared" si="251"/>
        <v>2.5682182985553772</v>
      </c>
      <c r="DG78" s="150">
        <f t="shared" si="252"/>
        <v>0.51941493678648076</v>
      </c>
      <c r="DH78" s="150"/>
      <c r="DI78" s="150">
        <f t="shared" si="253"/>
        <v>2.2222222222222219</v>
      </c>
      <c r="DJ78" s="314">
        <f t="shared" si="300"/>
        <v>788.4</v>
      </c>
      <c r="DK78" s="456">
        <f t="shared" si="254"/>
        <v>0.38888888888888884</v>
      </c>
      <c r="DM78" s="150">
        <f t="shared" si="255"/>
        <v>1.5008568980990256</v>
      </c>
      <c r="DN78" s="150">
        <f t="shared" si="256"/>
        <v>1.8047222222222221</v>
      </c>
      <c r="DO78" s="150">
        <f t="shared" si="257"/>
        <v>1.7960905349794238</v>
      </c>
      <c r="DQ78" s="314">
        <f t="shared" si="258"/>
        <v>876</v>
      </c>
      <c r="DR78" s="144">
        <f t="shared" si="259"/>
        <v>224.13110285991982</v>
      </c>
      <c r="DT78">
        <f t="shared" si="260"/>
        <v>876</v>
      </c>
      <c r="DU78">
        <f t="shared" si="261"/>
        <v>224.13110285991982</v>
      </c>
      <c r="DW78" s="5">
        <f t="shared" si="301"/>
        <v>4.4616743827160485</v>
      </c>
      <c r="DX78" s="5">
        <f t="shared" si="262"/>
        <v>0.45118055555555553</v>
      </c>
      <c r="DY78" s="5">
        <f t="shared" si="302"/>
        <v>4.0104938271604933</v>
      </c>
      <c r="DZ78" s="5">
        <f t="shared" si="263"/>
        <v>4.0104938271604933</v>
      </c>
      <c r="EA78" s="150">
        <f t="shared" si="303"/>
        <v>0.10112359550561799</v>
      </c>
      <c r="EB78" s="150">
        <f t="shared" si="264"/>
        <v>4.38</v>
      </c>
      <c r="EC78" s="150">
        <f t="shared" si="265"/>
        <v>0.81111111111111101</v>
      </c>
      <c r="ED78" s="150">
        <f t="shared" si="304"/>
        <v>5.4</v>
      </c>
      <c r="EE78" s="144">
        <f t="shared" si="266"/>
        <v>7.9046833333333337</v>
      </c>
      <c r="EF78" s="5">
        <f t="shared" si="267"/>
        <v>0.15248231738683124</v>
      </c>
      <c r="EG78" s="5"/>
      <c r="EH78" s="150">
        <f t="shared" si="305"/>
        <v>0.33134161905579945</v>
      </c>
      <c r="EI78" s="150">
        <f t="shared" si="268"/>
        <v>0.98786984531147626</v>
      </c>
      <c r="EJ78" s="150"/>
      <c r="EK78" s="456">
        <f t="shared" si="269"/>
        <v>2.1957453703703705E-3</v>
      </c>
      <c r="EL78" s="456">
        <f t="shared" si="270"/>
        <v>0.432</v>
      </c>
      <c r="EM78" s="456">
        <f t="shared" si="271"/>
        <v>2.8016387857489975E-2</v>
      </c>
      <c r="EN78" s="456">
        <f t="shared" si="272"/>
        <v>6.3912328767123286E-2</v>
      </c>
      <c r="EO78">
        <f t="shared" si="273"/>
        <v>2.1600000000000001E-2</v>
      </c>
      <c r="EP78" s="144">
        <f t="shared" si="306"/>
        <v>49.616387857489983</v>
      </c>
      <c r="EQ78" s="456">
        <f t="shared" si="274"/>
        <v>0.54860352469610962</v>
      </c>
      <c r="ER78" s="144">
        <f t="shared" si="307"/>
        <v>548.60352469610962</v>
      </c>
      <c r="ES78" s="456">
        <f t="shared" si="308"/>
        <v>0.54421499999999989</v>
      </c>
      <c r="ET78" s="456"/>
      <c r="EV78" s="144">
        <f t="shared" si="309"/>
        <v>544.21499999999992</v>
      </c>
      <c r="EW78" s="456">
        <f t="shared" si="275"/>
        <v>3.2936180555555557E-3</v>
      </c>
      <c r="EX78" s="456">
        <f t="shared" si="276"/>
        <v>2.9276604938271601E-2</v>
      </c>
      <c r="EY78" s="456">
        <f t="shared" si="277"/>
        <v>0.16453232685410388</v>
      </c>
      <c r="EZ78" s="456">
        <f t="shared" si="278"/>
        <v>0.20545473990194915</v>
      </c>
      <c r="FA78" s="456">
        <f t="shared" si="279"/>
        <v>7.3000000000000007E-4</v>
      </c>
      <c r="FB78" s="144">
        <f t="shared" si="310"/>
        <v>206.18473990194917</v>
      </c>
      <c r="FC78" s="150">
        <f t="shared" si="311"/>
        <v>1.2990032645980585</v>
      </c>
      <c r="FD78" s="5">
        <f t="shared" si="312"/>
        <v>4.38</v>
      </c>
      <c r="FE78" s="150">
        <f t="shared" si="313"/>
        <v>0.7712621028595239</v>
      </c>
      <c r="FF78" s="5">
        <f t="shared" si="314"/>
        <v>77.126210285952396</v>
      </c>
      <c r="FI78" s="59">
        <f t="shared" si="280"/>
        <v>-50</v>
      </c>
      <c r="FJ78">
        <f t="shared" si="281"/>
        <v>-50</v>
      </c>
      <c r="FL78">
        <f t="shared" si="282"/>
        <v>0.898876404494382</v>
      </c>
    </row>
    <row r="79" spans="5:168">
      <c r="E79" s="147">
        <v>74</v>
      </c>
      <c r="F79" s="188">
        <f t="shared" si="283"/>
        <v>0.88800000000000001</v>
      </c>
      <c r="G79" s="188"/>
      <c r="H79" s="188">
        <f t="shared" si="183"/>
        <v>4.4400000000000004</v>
      </c>
      <c r="I79" s="465">
        <f t="shared" si="184"/>
        <v>47.949989935434282</v>
      </c>
      <c r="J79" s="149">
        <f t="shared" si="185"/>
        <v>5.4300060387394318</v>
      </c>
      <c r="K79" s="149">
        <f t="shared" si="186"/>
        <v>53.430006038739435</v>
      </c>
      <c r="L79" s="379"/>
      <c r="M79" s="188">
        <f t="shared" si="187"/>
        <v>0.10171740253200828</v>
      </c>
      <c r="N79" s="149">
        <f t="shared" si="188"/>
        <v>12.486011974830886</v>
      </c>
      <c r="O79" s="149">
        <f t="shared" si="284"/>
        <v>4.4400000000000004</v>
      </c>
      <c r="P79" s="188">
        <f t="shared" si="189"/>
        <v>2.4972023949661772</v>
      </c>
      <c r="Q79" s="188">
        <f t="shared" si="190"/>
        <v>5</v>
      </c>
      <c r="R79" s="188">
        <f t="shared" si="191"/>
        <v>2.4386742138341573</v>
      </c>
      <c r="S79" s="149">
        <f t="shared" si="192"/>
        <v>87.263143116865479</v>
      </c>
      <c r="T79" s="149">
        <f t="shared" si="193"/>
        <v>5</v>
      </c>
      <c r="U79" s="188">
        <f t="shared" si="194"/>
        <v>1.9771060966849952</v>
      </c>
      <c r="V79" s="188">
        <f t="shared" si="195"/>
        <v>0.49479203628961221</v>
      </c>
      <c r="W79" s="188">
        <f t="shared" si="196"/>
        <v>4.3692903821756577</v>
      </c>
      <c r="X79" s="172">
        <f t="shared" si="197"/>
        <v>350</v>
      </c>
      <c r="Y79" s="379">
        <f t="shared" si="198"/>
        <v>197.46913998746919</v>
      </c>
      <c r="AA79" s="188">
        <f t="shared" si="199"/>
        <v>1.1613443350615509</v>
      </c>
      <c r="AB79" s="150">
        <f t="shared" si="200"/>
        <v>2.5665039635893043</v>
      </c>
      <c r="AC79" s="150">
        <f t="shared" si="201"/>
        <v>0.52160409682980469</v>
      </c>
      <c r="AD79" s="150"/>
      <c r="AE79" s="150">
        <f t="shared" si="202"/>
        <v>2.2099422936895632</v>
      </c>
      <c r="AF79" s="314">
        <f t="shared" si="203"/>
        <v>803.64089373343586</v>
      </c>
      <c r="AG79" s="456">
        <f t="shared" si="204"/>
        <v>0.3867399013956736</v>
      </c>
      <c r="AI79" s="150">
        <f t="shared" si="205"/>
        <v>1.5152943077958116</v>
      </c>
      <c r="AJ79" s="150">
        <f t="shared" si="206"/>
        <v>1.9771060966849952</v>
      </c>
      <c r="AK79" s="150">
        <f t="shared" si="207"/>
        <v>1.9237822938407372</v>
      </c>
      <c r="AM79" s="314">
        <f t="shared" si="208"/>
        <v>888</v>
      </c>
      <c r="AN79" s="144">
        <f t="shared" si="209"/>
        <v>197.46913998746919</v>
      </c>
      <c r="AP79">
        <f t="shared" si="210"/>
        <v>888</v>
      </c>
      <c r="AQ79">
        <f t="shared" si="211"/>
        <v>197.46913998746919</v>
      </c>
      <c r="AS79" s="5">
        <f t="shared" si="285"/>
        <v>5.0640824184652704</v>
      </c>
      <c r="AT79" s="5">
        <f t="shared" si="212"/>
        <v>0.49479203628961221</v>
      </c>
      <c r="AU79" s="5">
        <f t="shared" si="286"/>
        <v>4.5692903821756579</v>
      </c>
      <c r="AV79" s="5">
        <f t="shared" si="213"/>
        <v>4.3692903821756577</v>
      </c>
      <c r="AW79" s="150">
        <f t="shared" si="287"/>
        <v>9.7706157878758373E-2</v>
      </c>
      <c r="AX79" s="150">
        <f t="shared" si="214"/>
        <v>4.6313802120941361</v>
      </c>
      <c r="AY79" s="150">
        <f t="shared" si="215"/>
        <v>0.89196532812961771</v>
      </c>
      <c r="AZ79" s="150">
        <f t="shared" si="288"/>
        <v>5.1923321075784212</v>
      </c>
      <c r="BA79" s="144">
        <f t="shared" si="216"/>
        <v>8.7875065645035146</v>
      </c>
      <c r="BB79" s="5">
        <f t="shared" si="217"/>
        <v>0.17629174100781606</v>
      </c>
      <c r="BC79" s="5"/>
      <c r="BD79" s="150">
        <f t="shared" si="289"/>
        <v>0.3568044940839819</v>
      </c>
      <c r="BE79" s="150">
        <f t="shared" si="218"/>
        <v>1.0842847375963871</v>
      </c>
      <c r="BF79" s="150"/>
      <c r="BG79" s="456">
        <f t="shared" si="219"/>
        <v>2.5461889399705259E-3</v>
      </c>
      <c r="BH79" s="456">
        <f t="shared" si="220"/>
        <v>0.3911251163929601</v>
      </c>
      <c r="BI79" s="456">
        <f t="shared" si="221"/>
        <v>0.2367160818739503</v>
      </c>
      <c r="BJ79" s="456">
        <f t="shared" si="222"/>
        <v>5.6372809709619665E-2</v>
      </c>
      <c r="BK79">
        <f t="shared" si="223"/>
        <v>2.1577495470945427E-2</v>
      </c>
      <c r="BL79" s="144">
        <f t="shared" si="290"/>
        <v>258.29357734489571</v>
      </c>
      <c r="BM79" s="456">
        <f t="shared" si="224"/>
        <v>0.45100443223368447</v>
      </c>
      <c r="BN79" s="144">
        <f t="shared" si="291"/>
        <v>451.0044322336845</v>
      </c>
      <c r="BO79" s="456">
        <f t="shared" si="225"/>
        <v>0.55166999999999988</v>
      </c>
      <c r="BP79" s="456"/>
      <c r="BR79" s="144">
        <f t="shared" si="292"/>
        <v>551.66999999999985</v>
      </c>
      <c r="BS79" s="456">
        <f t="shared" si="226"/>
        <v>3.8192834099557882E-3</v>
      </c>
      <c r="BT79" s="456">
        <f t="shared" si="227"/>
        <v>3.5270201765533978E-2</v>
      </c>
      <c r="BU79" s="456">
        <f t="shared" si="228"/>
        <v>6.6600000000000006E-2</v>
      </c>
      <c r="BV79" s="456">
        <f t="shared" si="229"/>
        <v>0.11543193561247948</v>
      </c>
      <c r="BW79" s="456">
        <f t="shared" si="230"/>
        <v>7.7189670201568939E-4</v>
      </c>
      <c r="BX79" s="144">
        <f t="shared" si="293"/>
        <v>116.20383231449517</v>
      </c>
      <c r="BY79" s="150">
        <f t="shared" si="231"/>
        <v>1.377171841893075</v>
      </c>
      <c r="BZ79" s="5">
        <f t="shared" si="294"/>
        <v>4.4400000000000004</v>
      </c>
      <c r="CA79" s="150">
        <f t="shared" si="295"/>
        <v>0.76325749361997475</v>
      </c>
      <c r="CB79" s="5">
        <f t="shared" si="296"/>
        <v>76.325749361997481</v>
      </c>
      <c r="CE79" s="59">
        <f t="shared" si="232"/>
        <v>-50</v>
      </c>
      <c r="CF79">
        <f t="shared" si="233"/>
        <v>-50</v>
      </c>
      <c r="CG79" s="150">
        <f t="shared" si="234"/>
        <v>0.88782128928575077</v>
      </c>
      <c r="CI79" s="147">
        <v>74</v>
      </c>
      <c r="CJ79" s="188">
        <f t="shared" si="297"/>
        <v>0.88800000000000001</v>
      </c>
      <c r="CK79" s="188"/>
      <c r="CL79" s="188">
        <f t="shared" si="235"/>
        <v>4.4400000000000004</v>
      </c>
      <c r="CM79" s="465">
        <f t="shared" si="236"/>
        <v>48</v>
      </c>
      <c r="CN79" s="149">
        <f t="shared" si="237"/>
        <v>5.4</v>
      </c>
      <c r="CO79" s="379">
        <f t="shared" si="238"/>
        <v>53.4</v>
      </c>
      <c r="CP79" s="379"/>
      <c r="CQ79" s="188">
        <f t="shared" si="239"/>
        <v>0.10112359550561799</v>
      </c>
      <c r="CR79" s="149">
        <f t="shared" si="240"/>
        <v>12.426067415730339</v>
      </c>
      <c r="CS79" s="149">
        <f t="shared" si="298"/>
        <v>4.4400000000000004</v>
      </c>
      <c r="CT79" s="188">
        <f t="shared" si="241"/>
        <v>2.4852134831460679</v>
      </c>
      <c r="CU79" s="188">
        <f t="shared" si="242"/>
        <v>5</v>
      </c>
      <c r="CV79" s="188">
        <f t="shared" si="243"/>
        <v>2.4269662921348316</v>
      </c>
      <c r="CW79" s="149">
        <f t="shared" si="244"/>
        <v>87.353928758072868</v>
      </c>
      <c r="CX79" s="149">
        <f t="shared" si="245"/>
        <v>5</v>
      </c>
      <c r="CY79" s="188">
        <f t="shared" si="246"/>
        <v>1.8294444444444444</v>
      </c>
      <c r="CZ79" s="188">
        <f t="shared" si="247"/>
        <v>0.45736111111111111</v>
      </c>
      <c r="DA79" s="188">
        <f t="shared" si="248"/>
        <v>4.0654320987654318</v>
      </c>
      <c r="DB79" s="172">
        <f t="shared" si="249"/>
        <v>350</v>
      </c>
      <c r="DC79" s="379">
        <f t="shared" si="299"/>
        <v>221.10230417262358</v>
      </c>
      <c r="DE79" s="188">
        <f t="shared" si="250"/>
        <v>1.1556982343499198</v>
      </c>
      <c r="DF79" s="150">
        <f t="shared" si="251"/>
        <v>2.5682182985553772</v>
      </c>
      <c r="DG79" s="150">
        <f t="shared" si="252"/>
        <v>0.51941493678648076</v>
      </c>
      <c r="DH79" s="150"/>
      <c r="DI79" s="150">
        <f t="shared" si="253"/>
        <v>2.2222222222222219</v>
      </c>
      <c r="DJ79" s="314">
        <f t="shared" si="300"/>
        <v>799.20000000000016</v>
      </c>
      <c r="DK79" s="456">
        <f t="shared" si="254"/>
        <v>0.38888888888888884</v>
      </c>
      <c r="DM79" s="150">
        <f t="shared" si="255"/>
        <v>1.5111017740141039</v>
      </c>
      <c r="DN79" s="150">
        <f t="shared" si="256"/>
        <v>1.8294444444444444</v>
      </c>
      <c r="DO79" s="150">
        <f t="shared" si="257"/>
        <v>1.81440329218107</v>
      </c>
      <c r="DQ79" s="314">
        <f t="shared" si="258"/>
        <v>888</v>
      </c>
      <c r="DR79" s="144">
        <f t="shared" si="259"/>
        <v>221.10230417262358</v>
      </c>
      <c r="DT79">
        <f t="shared" si="260"/>
        <v>888</v>
      </c>
      <c r="DU79">
        <f t="shared" si="261"/>
        <v>221.10230417262358</v>
      </c>
      <c r="DW79" s="5">
        <f t="shared" si="301"/>
        <v>4.5227932098765429</v>
      </c>
      <c r="DX79" s="5">
        <f t="shared" si="262"/>
        <v>0.45736111111111111</v>
      </c>
      <c r="DY79" s="5">
        <f t="shared" si="302"/>
        <v>4.0654320987654318</v>
      </c>
      <c r="DZ79" s="5">
        <f t="shared" si="263"/>
        <v>4.0654320987654318</v>
      </c>
      <c r="EA79" s="150">
        <f t="shared" si="303"/>
        <v>0.10112359550561799</v>
      </c>
      <c r="EB79" s="150">
        <f t="shared" si="264"/>
        <v>4.4399999999999995</v>
      </c>
      <c r="EC79" s="150">
        <f t="shared" si="265"/>
        <v>0.82222222222222219</v>
      </c>
      <c r="ED79" s="150">
        <f t="shared" si="304"/>
        <v>5.3999999999999995</v>
      </c>
      <c r="EE79" s="144">
        <f t="shared" si="266"/>
        <v>8.1227333333333327</v>
      </c>
      <c r="EF79" s="5">
        <f t="shared" si="267"/>
        <v>0.15668852880658435</v>
      </c>
      <c r="EG79" s="5"/>
      <c r="EH79" s="150">
        <f t="shared" si="305"/>
        <v>0.33588054534423506</v>
      </c>
      <c r="EI79" s="150">
        <f t="shared" si="268"/>
        <v>1.0014023089458801</v>
      </c>
      <c r="EJ79" s="150"/>
      <c r="EK79" s="456">
        <f t="shared" si="269"/>
        <v>2.2563148148148147E-3</v>
      </c>
      <c r="EL79" s="456">
        <f t="shared" si="270"/>
        <v>0.43199999999999994</v>
      </c>
      <c r="EM79" s="456">
        <f t="shared" si="271"/>
        <v>2.7637788021577948E-2</v>
      </c>
      <c r="EN79" s="456">
        <f t="shared" si="272"/>
        <v>6.3048648648648647E-2</v>
      </c>
      <c r="EO79">
        <f t="shared" si="273"/>
        <v>2.1600000000000001E-2</v>
      </c>
      <c r="EP79" s="144">
        <f t="shared" si="306"/>
        <v>49.237788021577956</v>
      </c>
      <c r="EQ79" s="456">
        <f t="shared" si="274"/>
        <v>0.54744544220558589</v>
      </c>
      <c r="ER79" s="144">
        <f t="shared" si="307"/>
        <v>547.44544220558589</v>
      </c>
      <c r="ES79" s="456">
        <f t="shared" si="308"/>
        <v>0.55166999999999988</v>
      </c>
      <c r="ET79" s="456"/>
      <c r="EV79" s="144">
        <f t="shared" si="309"/>
        <v>551.66999999999985</v>
      </c>
      <c r="EW79" s="456">
        <f t="shared" si="275"/>
        <v>3.3844722222222223E-3</v>
      </c>
      <c r="EX79" s="456">
        <f t="shared" si="276"/>
        <v>3.0084197530864196E-2</v>
      </c>
      <c r="EY79" s="456">
        <f t="shared" si="277"/>
        <v>0.16453232685410413</v>
      </c>
      <c r="EZ79" s="456">
        <f t="shared" si="278"/>
        <v>0.20658661167445461</v>
      </c>
      <c r="FA79" s="456">
        <f t="shared" si="279"/>
        <v>7.3999999999999999E-4</v>
      </c>
      <c r="FB79" s="144">
        <f t="shared" si="310"/>
        <v>207.3266116744546</v>
      </c>
      <c r="FC79" s="150">
        <f t="shared" si="311"/>
        <v>1.3064420538800403</v>
      </c>
      <c r="FD79" s="5">
        <f t="shared" si="312"/>
        <v>4.4400000000000004</v>
      </c>
      <c r="FE79" s="150">
        <f t="shared" si="313"/>
        <v>0.77265200942939627</v>
      </c>
      <c r="FF79" s="5">
        <f t="shared" si="314"/>
        <v>77.265200942939629</v>
      </c>
      <c r="FI79" s="59">
        <f t="shared" si="280"/>
        <v>-50</v>
      </c>
      <c r="FJ79">
        <f t="shared" si="281"/>
        <v>-50</v>
      </c>
      <c r="FL79">
        <f t="shared" si="282"/>
        <v>0.898876404494382</v>
      </c>
    </row>
    <row r="80" spans="5:168">
      <c r="E80" s="147">
        <v>75</v>
      </c>
      <c r="F80" s="188">
        <f t="shared" si="283"/>
        <v>0.89999999999999991</v>
      </c>
      <c r="G80" s="188"/>
      <c r="H80" s="188">
        <f t="shared" si="183"/>
        <v>4.5</v>
      </c>
      <c r="I80" s="465">
        <f t="shared" si="184"/>
        <v>47.949322537534123</v>
      </c>
      <c r="J80" s="149">
        <f t="shared" si="185"/>
        <v>5.4304064774795275</v>
      </c>
      <c r="K80" s="149">
        <f t="shared" si="186"/>
        <v>53.430406477479529</v>
      </c>
      <c r="L80" s="379"/>
      <c r="M80" s="188">
        <f t="shared" si="187"/>
        <v>0.10172541402110902</v>
      </c>
      <c r="N80" s="149">
        <f t="shared" si="188"/>
        <v>12.486821599135622</v>
      </c>
      <c r="O80" s="149">
        <f t="shared" si="284"/>
        <v>4.5</v>
      </c>
      <c r="P80" s="188">
        <f t="shared" si="189"/>
        <v>2.4973643198271245</v>
      </c>
      <c r="Q80" s="188">
        <f t="shared" si="190"/>
        <v>5</v>
      </c>
      <c r="R80" s="188">
        <f t="shared" si="191"/>
        <v>2.4388323435811761</v>
      </c>
      <c r="S80" s="149">
        <f t="shared" si="192"/>
        <v>85.466606632232384</v>
      </c>
      <c r="T80" s="149">
        <f t="shared" si="193"/>
        <v>5</v>
      </c>
      <c r="U80" s="188">
        <f t="shared" si="194"/>
        <v>2.0038416182491208</v>
      </c>
      <c r="V80" s="188">
        <f t="shared" si="195"/>
        <v>0.50148986776959081</v>
      </c>
      <c r="W80" s="188">
        <f t="shared" si="196"/>
        <v>4.4280477932381634</v>
      </c>
      <c r="X80" s="172">
        <f t="shared" si="197"/>
        <v>350</v>
      </c>
      <c r="Y80" s="379">
        <f t="shared" si="198"/>
        <v>194.94934360293573</v>
      </c>
      <c r="AA80" s="188">
        <f t="shared" si="199"/>
        <v>1.1614196219074293</v>
      </c>
      <c r="AB80" s="150">
        <f t="shared" si="200"/>
        <v>2.5664810766353341</v>
      </c>
      <c r="AC80" s="150">
        <f t="shared" si="201"/>
        <v>0.52163325929021687</v>
      </c>
      <c r="AD80" s="150"/>
      <c r="AE80" s="150">
        <f t="shared" si="202"/>
        <v>2.2097793323143073</v>
      </c>
      <c r="AF80" s="314">
        <f t="shared" si="203"/>
        <v>814.56097162192907</v>
      </c>
      <c r="AG80" s="456">
        <f t="shared" si="204"/>
        <v>0.38671138315500375</v>
      </c>
      <c r="AI80" s="150">
        <f t="shared" si="205"/>
        <v>1.5255546734800889</v>
      </c>
      <c r="AJ80" s="150">
        <f t="shared" si="206"/>
        <v>2.0038416182491208</v>
      </c>
      <c r="AK80" s="150">
        <f t="shared" si="207"/>
        <v>1.9435863838882375</v>
      </c>
      <c r="AM80" s="314">
        <f t="shared" si="208"/>
        <v>899.99999999999989</v>
      </c>
      <c r="AN80" s="144">
        <f t="shared" si="209"/>
        <v>194.94934360293573</v>
      </c>
      <c r="AP80">
        <f t="shared" si="210"/>
        <v>899.99999999999989</v>
      </c>
      <c r="AQ80">
        <f t="shared" si="211"/>
        <v>194.94934360293573</v>
      </c>
      <c r="AS80" s="5">
        <f t="shared" si="285"/>
        <v>5.1295376610077543</v>
      </c>
      <c r="AT80" s="5">
        <f t="shared" si="212"/>
        <v>0.50148986776959081</v>
      </c>
      <c r="AU80" s="5">
        <f t="shared" si="286"/>
        <v>4.6280477932381636</v>
      </c>
      <c r="AV80" s="5">
        <f t="shared" si="213"/>
        <v>4.4280477932381634</v>
      </c>
      <c r="AW80" s="150">
        <f t="shared" si="287"/>
        <v>9.7765120545204767E-2</v>
      </c>
      <c r="AX80" s="150">
        <f t="shared" si="214"/>
        <v>4.6967756118258679</v>
      </c>
      <c r="AY80" s="150">
        <f t="shared" si="215"/>
        <v>0.90396790044374864</v>
      </c>
      <c r="AZ80" s="150">
        <f t="shared" si="288"/>
        <v>5.1957327351117986</v>
      </c>
      <c r="BA80" s="144">
        <f t="shared" si="216"/>
        <v>9.0268176198526344</v>
      </c>
      <c r="BB80" s="5">
        <f t="shared" si="217"/>
        <v>0.18097418593409423</v>
      </c>
      <c r="BC80" s="5"/>
      <c r="BD80" s="150">
        <f t="shared" si="289"/>
        <v>0.36173850135437724</v>
      </c>
      <c r="BE80" s="150">
        <f t="shared" si="218"/>
        <v>1.0989111278808252</v>
      </c>
      <c r="BF80" s="150"/>
      <c r="BG80" s="456">
        <f t="shared" si="219"/>
        <v>2.6170948672422155E-3</v>
      </c>
      <c r="BH80" s="456">
        <f t="shared" si="220"/>
        <v>0.39135863425398815</v>
      </c>
      <c r="BI80" s="456">
        <f t="shared" si="221"/>
        <v>0.23369222387244321</v>
      </c>
      <c r="BJ80" s="456">
        <f t="shared" si="222"/>
        <v>5.5654301128336539E-2</v>
      </c>
      <c r="BK80">
        <f t="shared" si="223"/>
        <v>2.1577195141890354E-2</v>
      </c>
      <c r="BL80" s="144">
        <f t="shared" si="290"/>
        <v>255.26941901433352</v>
      </c>
      <c r="BM80" s="456">
        <f t="shared" si="224"/>
        <v>0.45061684921718165</v>
      </c>
      <c r="BN80" s="144">
        <f t="shared" si="291"/>
        <v>450.61684921718165</v>
      </c>
      <c r="BO80" s="456">
        <f t="shared" si="225"/>
        <v>0.55912499999999987</v>
      </c>
      <c r="BP80" s="456"/>
      <c r="BR80" s="144">
        <f t="shared" si="292"/>
        <v>559.12499999999989</v>
      </c>
      <c r="BS80" s="456">
        <f t="shared" si="226"/>
        <v>3.925642300863323E-3</v>
      </c>
      <c r="BT80" s="456">
        <f t="shared" si="227"/>
        <v>3.622817000940922E-2</v>
      </c>
      <c r="BU80" s="456">
        <f t="shared" si="228"/>
        <v>6.7500000000000004E-2</v>
      </c>
      <c r="BV80" s="456">
        <f t="shared" si="229"/>
        <v>0.11766871506469788</v>
      </c>
      <c r="BW80" s="456">
        <f t="shared" si="230"/>
        <v>7.8279593530431141E-4</v>
      </c>
      <c r="BX80" s="144">
        <f t="shared" si="293"/>
        <v>118.45151100000218</v>
      </c>
      <c r="BY80" s="150">
        <f t="shared" si="231"/>
        <v>1.3834627792315173</v>
      </c>
      <c r="BZ80" s="5">
        <f t="shared" si="294"/>
        <v>4.5</v>
      </c>
      <c r="CA80" s="150">
        <f t="shared" si="295"/>
        <v>0.76485569278773924</v>
      </c>
      <c r="CB80" s="5">
        <f t="shared" si="296"/>
        <v>76.485569278773923</v>
      </c>
      <c r="CE80" s="59">
        <f t="shared" si="232"/>
        <v>-50</v>
      </c>
      <c r="CF80">
        <f t="shared" si="233"/>
        <v>-50</v>
      </c>
      <c r="CG80" s="150">
        <f t="shared" si="234"/>
        <v>0.88796869082186591</v>
      </c>
      <c r="CI80" s="147">
        <v>75</v>
      </c>
      <c r="CJ80" s="188">
        <f t="shared" si="297"/>
        <v>0.89999999999999991</v>
      </c>
      <c r="CK80" s="188"/>
      <c r="CL80" s="188">
        <f t="shared" si="235"/>
        <v>4.5</v>
      </c>
      <c r="CM80" s="465">
        <f t="shared" si="236"/>
        <v>48</v>
      </c>
      <c r="CN80" s="149">
        <f t="shared" si="237"/>
        <v>5.4</v>
      </c>
      <c r="CO80" s="379">
        <f t="shared" si="238"/>
        <v>53.4</v>
      </c>
      <c r="CP80" s="379"/>
      <c r="CQ80" s="188">
        <f t="shared" si="239"/>
        <v>0.10112359550561799</v>
      </c>
      <c r="CR80" s="149">
        <f t="shared" si="240"/>
        <v>12.426067415730339</v>
      </c>
      <c r="CS80" s="149">
        <f t="shared" si="298"/>
        <v>4.5</v>
      </c>
      <c r="CT80" s="188">
        <f t="shared" si="241"/>
        <v>2.4852134831460679</v>
      </c>
      <c r="CU80" s="188">
        <f t="shared" si="242"/>
        <v>5</v>
      </c>
      <c r="CV80" s="188">
        <f t="shared" si="243"/>
        <v>2.4269662921348316</v>
      </c>
      <c r="CW80" s="149">
        <f t="shared" si="244"/>
        <v>85.556701606442616</v>
      </c>
      <c r="CX80" s="149">
        <f t="shared" si="245"/>
        <v>5</v>
      </c>
      <c r="CY80" s="188">
        <f t="shared" si="246"/>
        <v>1.8541666666666665</v>
      </c>
      <c r="CZ80" s="188">
        <f t="shared" si="247"/>
        <v>0.46354166666666663</v>
      </c>
      <c r="DA80" s="188">
        <f t="shared" si="248"/>
        <v>4.1203703703703694</v>
      </c>
      <c r="DB80" s="172">
        <f t="shared" si="249"/>
        <v>350</v>
      </c>
      <c r="DC80" s="379">
        <f t="shared" si="299"/>
        <v>218.15427345032197</v>
      </c>
      <c r="DE80" s="188">
        <f t="shared" si="250"/>
        <v>1.1556982343499198</v>
      </c>
      <c r="DF80" s="150">
        <f t="shared" si="251"/>
        <v>2.5682182985553772</v>
      </c>
      <c r="DG80" s="150">
        <f t="shared" si="252"/>
        <v>0.51941493678648076</v>
      </c>
      <c r="DH80" s="150"/>
      <c r="DI80" s="150">
        <f t="shared" si="253"/>
        <v>2.2222222222222219</v>
      </c>
      <c r="DJ80" s="314">
        <f t="shared" si="300"/>
        <v>810</v>
      </c>
      <c r="DK80" s="456">
        <f t="shared" si="254"/>
        <v>0.38888888888888884</v>
      </c>
      <c r="DM80" s="150">
        <f t="shared" si="255"/>
        <v>1.5212776585113299</v>
      </c>
      <c r="DN80" s="150">
        <f t="shared" si="256"/>
        <v>1.8541666666666665</v>
      </c>
      <c r="DO80" s="150">
        <f t="shared" si="257"/>
        <v>1.8327160493827159</v>
      </c>
      <c r="DQ80" s="314">
        <f t="shared" si="258"/>
        <v>899.99999999999989</v>
      </c>
      <c r="DR80" s="144">
        <f t="shared" si="259"/>
        <v>218.15427345032197</v>
      </c>
      <c r="DT80">
        <f t="shared" si="260"/>
        <v>899.99999999999989</v>
      </c>
      <c r="DU80">
        <f t="shared" si="261"/>
        <v>218.15427345032197</v>
      </c>
      <c r="DW80" s="5">
        <f t="shared" si="301"/>
        <v>4.5839120370370363</v>
      </c>
      <c r="DX80" s="5">
        <f t="shared" si="262"/>
        <v>0.46354166666666663</v>
      </c>
      <c r="DY80" s="5">
        <f t="shared" si="302"/>
        <v>4.1203703703703694</v>
      </c>
      <c r="DZ80" s="5">
        <f t="shared" si="263"/>
        <v>4.1203703703703694</v>
      </c>
      <c r="EA80" s="150">
        <f t="shared" si="303"/>
        <v>0.10112359550561799</v>
      </c>
      <c r="EB80" s="150">
        <f t="shared" si="264"/>
        <v>4.5000000000000009</v>
      </c>
      <c r="EC80" s="150">
        <f t="shared" si="265"/>
        <v>0.83333333333333326</v>
      </c>
      <c r="ED80" s="150">
        <f t="shared" si="304"/>
        <v>5.4000000000000012</v>
      </c>
      <c r="EE80" s="144">
        <f t="shared" si="266"/>
        <v>8.3437499999999982</v>
      </c>
      <c r="EF80" s="5">
        <f t="shared" si="267"/>
        <v>0.1609519675925925</v>
      </c>
      <c r="EG80" s="5"/>
      <c r="EH80" s="150">
        <f t="shared" si="305"/>
        <v>0.34041947163267067</v>
      </c>
      <c r="EI80" s="150">
        <f t="shared" si="268"/>
        <v>1.0149347725802838</v>
      </c>
      <c r="EJ80" s="150"/>
      <c r="EK80" s="456">
        <f t="shared" si="269"/>
        <v>2.3177083333333335E-3</v>
      </c>
      <c r="EL80" s="456">
        <f t="shared" si="270"/>
        <v>0.432</v>
      </c>
      <c r="EM80" s="456">
        <f t="shared" si="271"/>
        <v>2.7269284181290245E-2</v>
      </c>
      <c r="EN80" s="456">
        <f t="shared" si="272"/>
        <v>6.2208000000000013E-2</v>
      </c>
      <c r="EO80">
        <f t="shared" si="273"/>
        <v>2.1600000000000001E-2</v>
      </c>
      <c r="EP80" s="144">
        <f t="shared" si="306"/>
        <v>48.869284181290247</v>
      </c>
      <c r="EQ80" s="456">
        <f t="shared" si="274"/>
        <v>0.54632162625518188</v>
      </c>
      <c r="ER80" s="144">
        <f t="shared" si="307"/>
        <v>546.32162625518185</v>
      </c>
      <c r="ES80" s="456">
        <f t="shared" si="308"/>
        <v>0.55912499999999987</v>
      </c>
      <c r="ET80" s="456"/>
      <c r="EV80" s="144">
        <f t="shared" si="309"/>
        <v>559.12499999999989</v>
      </c>
      <c r="EW80" s="456">
        <f t="shared" si="275"/>
        <v>3.4765625000000001E-3</v>
      </c>
      <c r="EX80" s="456">
        <f t="shared" si="276"/>
        <v>3.0902777777777769E-2</v>
      </c>
      <c r="EY80" s="456">
        <f t="shared" si="277"/>
        <v>0.16453232685410402</v>
      </c>
      <c r="EZ80" s="456">
        <f t="shared" si="278"/>
        <v>0.20773404956472977</v>
      </c>
      <c r="FA80" s="456">
        <f t="shared" si="279"/>
        <v>7.5000000000000012E-4</v>
      </c>
      <c r="FB80" s="144">
        <f t="shared" si="310"/>
        <v>208.48404956472976</v>
      </c>
      <c r="FC80" s="150">
        <f t="shared" si="311"/>
        <v>1.3139306758199114</v>
      </c>
      <c r="FD80" s="5">
        <f t="shared" si="312"/>
        <v>4.5</v>
      </c>
      <c r="FE80" s="150">
        <f t="shared" si="313"/>
        <v>0.7740030370013633</v>
      </c>
      <c r="FF80" s="5">
        <f t="shared" si="314"/>
        <v>77.400303700136334</v>
      </c>
      <c r="FI80" s="59">
        <f t="shared" si="280"/>
        <v>-50</v>
      </c>
      <c r="FJ80">
        <f t="shared" si="281"/>
        <v>-50</v>
      </c>
      <c r="FL80">
        <f t="shared" si="282"/>
        <v>0.898876404494382</v>
      </c>
    </row>
    <row r="81" spans="5:168">
      <c r="E81" s="147">
        <v>76</v>
      </c>
      <c r="F81" s="188">
        <f t="shared" si="283"/>
        <v>0.91199999999999992</v>
      </c>
      <c r="G81" s="188"/>
      <c r="H81" s="188">
        <f t="shared" si="183"/>
        <v>4.5599999999999996</v>
      </c>
      <c r="I81" s="465">
        <f t="shared" si="184"/>
        <v>47.94865513691456</v>
      </c>
      <c r="J81" s="149">
        <f t="shared" si="185"/>
        <v>5.4308069178512648</v>
      </c>
      <c r="K81" s="149">
        <f t="shared" si="186"/>
        <v>53.430806917851264</v>
      </c>
      <c r="L81" s="379"/>
      <c r="M81" s="188">
        <f t="shared" si="187"/>
        <v>0.10173342559550821</v>
      </c>
      <c r="N81" s="149">
        <f t="shared" si="188"/>
        <v>12.48763120582651</v>
      </c>
      <c r="O81" s="149">
        <f t="shared" si="284"/>
        <v>4.5599999999999996</v>
      </c>
      <c r="P81" s="188">
        <f t="shared" si="189"/>
        <v>2.4975262411653021</v>
      </c>
      <c r="Q81" s="188">
        <f t="shared" si="190"/>
        <v>5</v>
      </c>
      <c r="R81" s="188">
        <f t="shared" si="191"/>
        <v>2.4389904698879898</v>
      </c>
      <c r="S81" s="149">
        <f t="shared" si="192"/>
        <v>83.717552099812494</v>
      </c>
      <c r="T81" s="149">
        <f t="shared" si="193"/>
        <v>5</v>
      </c>
      <c r="U81" s="188">
        <f t="shared" si="194"/>
        <v>2.0305776169053438</v>
      </c>
      <c r="V81" s="188">
        <f t="shared" si="195"/>
        <v>0.50818800513352858</v>
      </c>
      <c r="W81" s="188">
        <f t="shared" si="196"/>
        <v>4.4867975922268775</v>
      </c>
      <c r="X81" s="172">
        <f t="shared" si="197"/>
        <v>350</v>
      </c>
      <c r="Y81" s="379">
        <f t="shared" si="198"/>
        <v>192.49331518996013</v>
      </c>
      <c r="AA81" s="188">
        <f t="shared" si="199"/>
        <v>1.1614949074289906</v>
      </c>
      <c r="AB81" s="150">
        <f t="shared" si="200"/>
        <v>2.5664581893591842</v>
      </c>
      <c r="AC81" s="150">
        <f t="shared" si="201"/>
        <v>0.52166242048727107</v>
      </c>
      <c r="AD81" s="150"/>
      <c r="AE81" s="150">
        <f t="shared" si="202"/>
        <v>2.2096163943069955</v>
      </c>
      <c r="AF81" s="314">
        <f t="shared" si="203"/>
        <v>825.48265151339217</v>
      </c>
      <c r="AG81" s="456">
        <f t="shared" si="204"/>
        <v>0.38668286900372423</v>
      </c>
      <c r="AI81" s="150">
        <f t="shared" si="205"/>
        <v>1.5357479811045935</v>
      </c>
      <c r="AJ81" s="150">
        <f t="shared" si="206"/>
        <v>2.0305776169053438</v>
      </c>
      <c r="AK81" s="150">
        <f t="shared" si="207"/>
        <v>1.9633908273372915</v>
      </c>
      <c r="AM81" s="314">
        <f t="shared" si="208"/>
        <v>911.99999999999989</v>
      </c>
      <c r="AN81" s="144">
        <f t="shared" si="209"/>
        <v>192.49331518996013</v>
      </c>
      <c r="AP81">
        <f t="shared" si="210"/>
        <v>911.99999999999989</v>
      </c>
      <c r="AQ81">
        <f t="shared" si="211"/>
        <v>192.49331518996013</v>
      </c>
      <c r="AS81" s="5">
        <f t="shared" si="285"/>
        <v>5.1949855973604055</v>
      </c>
      <c r="AT81" s="5">
        <f t="shared" si="212"/>
        <v>0.50818800513352858</v>
      </c>
      <c r="AU81" s="5">
        <f t="shared" si="286"/>
        <v>4.6867975922268768</v>
      </c>
      <c r="AV81" s="5">
        <f t="shared" si="213"/>
        <v>4.4867975922268775</v>
      </c>
      <c r="AW81" s="150">
        <f t="shared" si="287"/>
        <v>9.7822793847925402E-2</v>
      </c>
      <c r="AX81" s="150">
        <f t="shared" si="214"/>
        <v>4.7621831256340998</v>
      </c>
      <c r="AY81" s="150">
        <f t="shared" si="215"/>
        <v>0.91597042064730039</v>
      </c>
      <c r="AZ81" s="150">
        <f t="shared" si="288"/>
        <v>5.1990577624425338</v>
      </c>
      <c r="BA81" s="144">
        <f t="shared" si="216"/>
        <v>9.2693492136355609</v>
      </c>
      <c r="BB81" s="5">
        <f t="shared" si="217"/>
        <v>0.18571773076436873</v>
      </c>
      <c r="BC81" s="5"/>
      <c r="BD81" s="150">
        <f t="shared" si="289"/>
        <v>0.36667305620921764</v>
      </c>
      <c r="BE81" s="150">
        <f t="shared" si="218"/>
        <v>1.1135376161626453</v>
      </c>
      <c r="BF81" s="150"/>
      <c r="BG81" s="456">
        <f t="shared" si="219"/>
        <v>2.6889826029961616E-3</v>
      </c>
      <c r="BH81" s="456">
        <f t="shared" si="220"/>
        <v>0.39158698763659811</v>
      </c>
      <c r="BI81" s="456">
        <f t="shared" si="221"/>
        <v>0.23074488965511988</v>
      </c>
      <c r="BJ81" s="456">
        <f t="shared" si="222"/>
        <v>5.4953975798186318E-2</v>
      </c>
      <c r="BK81">
        <f t="shared" si="223"/>
        <v>2.1576894811611552E-2</v>
      </c>
      <c r="BL81" s="144">
        <f t="shared" si="290"/>
        <v>252.32178446673143</v>
      </c>
      <c r="BM81" s="456">
        <f t="shared" si="224"/>
        <v>0.45024363301818943</v>
      </c>
      <c r="BN81" s="144">
        <f t="shared" si="291"/>
        <v>450.24363301818943</v>
      </c>
      <c r="BO81" s="456">
        <f t="shared" si="225"/>
        <v>0.56657999999999986</v>
      </c>
      <c r="BP81" s="456"/>
      <c r="BR81" s="144">
        <f t="shared" si="292"/>
        <v>566.57999999999981</v>
      </c>
      <c r="BS81" s="456">
        <f t="shared" si="226"/>
        <v>4.0334739044942426E-3</v>
      </c>
      <c r="BT81" s="456">
        <f t="shared" si="227"/>
        <v>3.7198980678275602E-2</v>
      </c>
      <c r="BU81" s="456">
        <f t="shared" si="228"/>
        <v>6.8399999999999989E-2</v>
      </c>
      <c r="BV81" s="456">
        <f t="shared" si="229"/>
        <v>0.11992382397266219</v>
      </c>
      <c r="BW81" s="456">
        <f t="shared" si="230"/>
        <v>7.9369718760568338E-4</v>
      </c>
      <c r="BX81" s="144">
        <f t="shared" si="293"/>
        <v>120.71752116026786</v>
      </c>
      <c r="BY81" s="150">
        <f t="shared" si="231"/>
        <v>1.3898629386451884</v>
      </c>
      <c r="BZ81" s="5">
        <f t="shared" si="294"/>
        <v>4.5599999999999996</v>
      </c>
      <c r="CA81" s="150">
        <f t="shared" si="295"/>
        <v>0.76640420914272911</v>
      </c>
      <c r="CB81" s="5">
        <f t="shared" si="296"/>
        <v>76.640420914272909</v>
      </c>
      <c r="CE81" s="59">
        <f t="shared" si="232"/>
        <v>-50</v>
      </c>
      <c r="CF81">
        <f t="shared" si="233"/>
        <v>-50</v>
      </c>
      <c r="CG81" s="150">
        <f t="shared" si="234"/>
        <v>0.88811221337018853</v>
      </c>
      <c r="CI81" s="147">
        <v>76</v>
      </c>
      <c r="CJ81" s="188">
        <f t="shared" si="297"/>
        <v>0.91199999999999992</v>
      </c>
      <c r="CK81" s="188"/>
      <c r="CL81" s="188">
        <f t="shared" si="235"/>
        <v>4.5599999999999996</v>
      </c>
      <c r="CM81" s="465">
        <f t="shared" si="236"/>
        <v>48</v>
      </c>
      <c r="CN81" s="149">
        <f t="shared" si="237"/>
        <v>5.4</v>
      </c>
      <c r="CO81" s="379">
        <f t="shared" si="238"/>
        <v>53.4</v>
      </c>
      <c r="CP81" s="379"/>
      <c r="CQ81" s="188">
        <f t="shared" si="239"/>
        <v>0.10112359550561799</v>
      </c>
      <c r="CR81" s="149">
        <f t="shared" si="240"/>
        <v>12.426067415730339</v>
      </c>
      <c r="CS81" s="149">
        <f t="shared" si="298"/>
        <v>4.5599999999999996</v>
      </c>
      <c r="CT81" s="188">
        <f t="shared" si="241"/>
        <v>2.4852134831460679</v>
      </c>
      <c r="CU81" s="188">
        <f t="shared" si="242"/>
        <v>5</v>
      </c>
      <c r="CV81" s="188">
        <f t="shared" si="243"/>
        <v>2.4269662921348316</v>
      </c>
      <c r="CW81" s="149">
        <f t="shared" si="244"/>
        <v>83.806957032664741</v>
      </c>
      <c r="CX81" s="149">
        <f t="shared" si="245"/>
        <v>5</v>
      </c>
      <c r="CY81" s="188">
        <f t="shared" si="246"/>
        <v>1.8788888888888886</v>
      </c>
      <c r="CZ81" s="188">
        <f t="shared" si="247"/>
        <v>0.46972222222222215</v>
      </c>
      <c r="DA81" s="188">
        <f t="shared" si="248"/>
        <v>4.1753086419753087</v>
      </c>
      <c r="DB81" s="172">
        <f t="shared" si="249"/>
        <v>350</v>
      </c>
      <c r="DC81" s="379">
        <f t="shared" si="299"/>
        <v>215.28382248387035</v>
      </c>
      <c r="DE81" s="188">
        <f t="shared" si="250"/>
        <v>1.1556982343499198</v>
      </c>
      <c r="DF81" s="150">
        <f t="shared" si="251"/>
        <v>2.5682182985553772</v>
      </c>
      <c r="DG81" s="150">
        <f t="shared" si="252"/>
        <v>0.51941493678648076</v>
      </c>
      <c r="DH81" s="150"/>
      <c r="DI81" s="150">
        <f t="shared" si="253"/>
        <v>2.2222222222222219</v>
      </c>
      <c r="DJ81" s="314">
        <f t="shared" si="300"/>
        <v>820.8</v>
      </c>
      <c r="DK81" s="456">
        <f t="shared" si="254"/>
        <v>0.38888888888888884</v>
      </c>
      <c r="DM81" s="150">
        <f t="shared" si="255"/>
        <v>1.5313859269115859</v>
      </c>
      <c r="DN81" s="150">
        <f t="shared" si="256"/>
        <v>1.8788888888888886</v>
      </c>
      <c r="DO81" s="150">
        <f t="shared" si="257"/>
        <v>1.8510288065843619</v>
      </c>
      <c r="DQ81" s="314">
        <f t="shared" si="258"/>
        <v>911.99999999999989</v>
      </c>
      <c r="DR81" s="144">
        <f t="shared" si="259"/>
        <v>215.28382248387035</v>
      </c>
      <c r="DT81">
        <f t="shared" si="260"/>
        <v>911.99999999999989</v>
      </c>
      <c r="DU81">
        <f t="shared" si="261"/>
        <v>215.28382248387035</v>
      </c>
      <c r="DW81" s="5">
        <f t="shared" si="301"/>
        <v>4.6450308641975298</v>
      </c>
      <c r="DX81" s="5">
        <f t="shared" si="262"/>
        <v>0.46972222222222215</v>
      </c>
      <c r="DY81" s="5">
        <f t="shared" si="302"/>
        <v>4.1753086419753078</v>
      </c>
      <c r="DZ81" s="5">
        <f t="shared" si="263"/>
        <v>4.1753086419753087</v>
      </c>
      <c r="EA81" s="150">
        <f t="shared" si="303"/>
        <v>0.10112359550561799</v>
      </c>
      <c r="EB81" s="150">
        <f t="shared" si="264"/>
        <v>4.5599999999999996</v>
      </c>
      <c r="EC81" s="150">
        <f t="shared" si="265"/>
        <v>0.84444444444444433</v>
      </c>
      <c r="ED81" s="150">
        <f t="shared" si="304"/>
        <v>5.4</v>
      </c>
      <c r="EE81" s="144">
        <f t="shared" si="266"/>
        <v>8.567733333333333</v>
      </c>
      <c r="EF81" s="5">
        <f t="shared" si="267"/>
        <v>0.16527263374485587</v>
      </c>
      <c r="EG81" s="5"/>
      <c r="EH81" s="150">
        <f t="shared" si="305"/>
        <v>0.34495839792110622</v>
      </c>
      <c r="EI81" s="150">
        <f t="shared" si="268"/>
        <v>1.0284672362146876</v>
      </c>
      <c r="EJ81" s="150"/>
      <c r="EK81" s="456">
        <f t="shared" si="269"/>
        <v>2.3799259259259251E-3</v>
      </c>
      <c r="EL81" s="456">
        <f t="shared" si="270"/>
        <v>0.432</v>
      </c>
      <c r="EM81" s="456">
        <f t="shared" si="271"/>
        <v>2.6910477810483793E-2</v>
      </c>
      <c r="EN81" s="456">
        <f t="shared" si="272"/>
        <v>6.1389473684210528E-2</v>
      </c>
      <c r="EO81">
        <f t="shared" si="273"/>
        <v>2.1600000000000001E-2</v>
      </c>
      <c r="EP81" s="144">
        <f t="shared" si="306"/>
        <v>48.510477810483792</v>
      </c>
      <c r="EQ81" s="456">
        <f t="shared" si="274"/>
        <v>0.54523076928181824</v>
      </c>
      <c r="ER81" s="144">
        <f t="shared" si="307"/>
        <v>545.2307692818182</v>
      </c>
      <c r="ES81" s="456">
        <f t="shared" si="308"/>
        <v>0.56657999999999986</v>
      </c>
      <c r="ET81" s="456"/>
      <c r="EV81" s="144">
        <f t="shared" si="309"/>
        <v>566.57999999999981</v>
      </c>
      <c r="EW81" s="456">
        <f t="shared" si="275"/>
        <v>3.5698888888888876E-3</v>
      </c>
      <c r="EX81" s="456">
        <f t="shared" si="276"/>
        <v>3.1732345679012341E-2</v>
      </c>
      <c r="EY81" s="456">
        <f t="shared" si="277"/>
        <v>0.16453232685410404</v>
      </c>
      <c r="EZ81" s="456">
        <f t="shared" si="278"/>
        <v>0.2088970603603324</v>
      </c>
      <c r="FA81" s="456">
        <f t="shared" si="279"/>
        <v>7.5999999999999993E-4</v>
      </c>
      <c r="FB81" s="144">
        <f t="shared" si="310"/>
        <v>209.65706036033242</v>
      </c>
      <c r="FC81" s="150">
        <f t="shared" si="311"/>
        <v>1.3214678296421505</v>
      </c>
      <c r="FD81" s="5">
        <f t="shared" si="312"/>
        <v>4.5599999999999996</v>
      </c>
      <c r="FE81" s="150">
        <f t="shared" si="313"/>
        <v>0.77531666109231212</v>
      </c>
      <c r="FF81" s="5">
        <f t="shared" si="314"/>
        <v>77.53166610923121</v>
      </c>
      <c r="FI81" s="59">
        <f t="shared" si="280"/>
        <v>-50</v>
      </c>
      <c r="FJ81">
        <f t="shared" si="281"/>
        <v>-50</v>
      </c>
      <c r="FL81">
        <f t="shared" si="282"/>
        <v>0.898876404494382</v>
      </c>
    </row>
    <row r="82" spans="5:168">
      <c r="E82" s="147">
        <v>77</v>
      </c>
      <c r="F82" s="188">
        <f t="shared" si="283"/>
        <v>0.92399999999999993</v>
      </c>
      <c r="G82" s="188"/>
      <c r="H82" s="188">
        <f t="shared" si="183"/>
        <v>4.6199999999999992</v>
      </c>
      <c r="I82" s="465">
        <f t="shared" si="184"/>
        <v>47.947987733682808</v>
      </c>
      <c r="J82" s="149">
        <f t="shared" si="185"/>
        <v>5.4312073597903137</v>
      </c>
      <c r="K82" s="149">
        <f t="shared" si="186"/>
        <v>53.431207359790314</v>
      </c>
      <c r="L82" s="379"/>
      <c r="M82" s="188">
        <f t="shared" si="187"/>
        <v>0.10174143725500398</v>
      </c>
      <c r="N82" s="149">
        <f t="shared" si="188"/>
        <v>12.488440794906086</v>
      </c>
      <c r="O82" s="149">
        <f t="shared" si="284"/>
        <v>4.6199999999999992</v>
      </c>
      <c r="P82" s="188">
        <f t="shared" si="189"/>
        <v>2.4976881589812172</v>
      </c>
      <c r="Q82" s="188">
        <f t="shared" si="190"/>
        <v>5</v>
      </c>
      <c r="R82" s="188">
        <f t="shared" si="191"/>
        <v>2.4391485927550947</v>
      </c>
      <c r="S82" s="149">
        <f t="shared" si="192"/>
        <v>82.014133612971975</v>
      </c>
      <c r="T82" s="149">
        <f t="shared" si="193"/>
        <v>5</v>
      </c>
      <c r="U82" s="188">
        <f t="shared" si="194"/>
        <v>2.0573140926735847</v>
      </c>
      <c r="V82" s="188">
        <f t="shared" si="195"/>
        <v>0.51488644839917219</v>
      </c>
      <c r="W82" s="188">
        <f t="shared" si="196"/>
        <v>4.545539780870409</v>
      </c>
      <c r="X82" s="172">
        <f t="shared" si="197"/>
        <v>350</v>
      </c>
      <c r="Y82" s="379">
        <f t="shared" si="198"/>
        <v>190.09866433177825</v>
      </c>
      <c r="AA82" s="188">
        <f t="shared" si="199"/>
        <v>1.161570191614097</v>
      </c>
      <c r="AB82" s="150">
        <f t="shared" si="200"/>
        <v>2.5664353017645252</v>
      </c>
      <c r="AC82" s="150">
        <f t="shared" si="201"/>
        <v>0.5216915804162654</v>
      </c>
      <c r="AD82" s="150"/>
      <c r="AE82" s="150">
        <f t="shared" si="202"/>
        <v>2.2094534796887766</v>
      </c>
      <c r="AF82" s="314">
        <f t="shared" si="203"/>
        <v>836.40593340770806</v>
      </c>
      <c r="AG82" s="456">
        <f t="shared" si="204"/>
        <v>0.38665435894553596</v>
      </c>
      <c r="AI82" s="150">
        <f t="shared" si="205"/>
        <v>1.5458755571868448</v>
      </c>
      <c r="AJ82" s="150">
        <f t="shared" si="206"/>
        <v>2.0573140926735847</v>
      </c>
      <c r="AK82" s="150">
        <f t="shared" si="207"/>
        <v>1.9831956242026552</v>
      </c>
      <c r="AM82" s="314">
        <f t="shared" si="208"/>
        <v>923.99999999999989</v>
      </c>
      <c r="AN82" s="144">
        <f t="shared" si="209"/>
        <v>190.09866433177825</v>
      </c>
      <c r="AP82">
        <f t="shared" si="210"/>
        <v>923.99999999999989</v>
      </c>
      <c r="AQ82">
        <f t="shared" si="211"/>
        <v>190.09866433177825</v>
      </c>
      <c r="AS82" s="5">
        <f t="shared" si="285"/>
        <v>5.2604262292695809</v>
      </c>
      <c r="AT82" s="5">
        <f t="shared" si="212"/>
        <v>0.51488644839917219</v>
      </c>
      <c r="AU82" s="5">
        <f t="shared" si="286"/>
        <v>4.7455397808704092</v>
      </c>
      <c r="AV82" s="5">
        <f t="shared" si="213"/>
        <v>4.545539780870409</v>
      </c>
      <c r="AW82" s="150">
        <f t="shared" si="287"/>
        <v>9.7879226123215687E-2</v>
      </c>
      <c r="AX82" s="150">
        <f t="shared" si="214"/>
        <v>4.8276026596814736</v>
      </c>
      <c r="AY82" s="150">
        <f t="shared" si="215"/>
        <v>0.92797289069515432</v>
      </c>
      <c r="AZ82" s="150">
        <f t="shared" si="288"/>
        <v>5.2023100115188337</v>
      </c>
      <c r="BA82" s="144">
        <f t="shared" si="216"/>
        <v>9.5151015664167016</v>
      </c>
      <c r="BB82" s="5">
        <f t="shared" si="217"/>
        <v>0.19052236621304977</v>
      </c>
      <c r="BC82" s="5"/>
      <c r="BD82" s="150">
        <f t="shared" si="289"/>
        <v>0.37160815591200597</v>
      </c>
      <c r="BE82" s="150">
        <f t="shared" si="218"/>
        <v>1.12816420366487</v>
      </c>
      <c r="BF82" s="150"/>
      <c r="BG82" s="456">
        <f t="shared" si="219"/>
        <v>2.7618524308064348E-3</v>
      </c>
      <c r="BH82" s="456">
        <f t="shared" si="220"/>
        <v>0.39181037013061254</v>
      </c>
      <c r="BI82" s="456">
        <f t="shared" si="221"/>
        <v>0.22787121063923971</v>
      </c>
      <c r="BJ82" s="456">
        <f t="shared" si="222"/>
        <v>5.4271152098664024E-2</v>
      </c>
      <c r="BK82">
        <f t="shared" si="223"/>
        <v>2.1576594480157262E-2</v>
      </c>
      <c r="BL82" s="144">
        <f t="shared" si="290"/>
        <v>249.44780511939695</v>
      </c>
      <c r="BM82" s="456">
        <f t="shared" si="224"/>
        <v>0.44988429615157</v>
      </c>
      <c r="BN82" s="144">
        <f t="shared" si="291"/>
        <v>449.88429615156997</v>
      </c>
      <c r="BO82" s="456">
        <f t="shared" si="225"/>
        <v>0.57403499999999996</v>
      </c>
      <c r="BP82" s="456"/>
      <c r="BR82" s="144">
        <f t="shared" si="292"/>
        <v>574.03499999999997</v>
      </c>
      <c r="BS82" s="456">
        <f t="shared" si="226"/>
        <v>4.1427786462096515E-3</v>
      </c>
      <c r="BT82" s="456">
        <f t="shared" si="227"/>
        <v>3.8182634112923705E-2</v>
      </c>
      <c r="BU82" s="456">
        <f t="shared" si="228"/>
        <v>6.9299999999999987E-2</v>
      </c>
      <c r="BV82" s="456">
        <f t="shared" si="229"/>
        <v>0.12219727583233699</v>
      </c>
      <c r="BW82" s="456">
        <f t="shared" si="230"/>
        <v>8.0460044328024556E-4</v>
      </c>
      <c r="BX82" s="144">
        <f t="shared" si="293"/>
        <v>123.00187627561724</v>
      </c>
      <c r="BY82" s="150">
        <f t="shared" si="231"/>
        <v>1.3963689775465844</v>
      </c>
      <c r="BZ82" s="5">
        <f t="shared" si="294"/>
        <v>4.6199999999999992</v>
      </c>
      <c r="CA82" s="150">
        <f t="shared" si="295"/>
        <v>0.767905029967758</v>
      </c>
      <c r="CB82" s="5">
        <f t="shared" si="296"/>
        <v>76.7905029967758</v>
      </c>
      <c r="CE82" s="59">
        <f t="shared" si="232"/>
        <v>-50</v>
      </c>
      <c r="CF82">
        <f t="shared" si="233"/>
        <v>-50</v>
      </c>
      <c r="CG82" s="150">
        <f t="shared" si="234"/>
        <v>0.88825200806011306</v>
      </c>
      <c r="CI82" s="147">
        <v>77</v>
      </c>
      <c r="CJ82" s="188">
        <f t="shared" si="297"/>
        <v>0.92399999999999993</v>
      </c>
      <c r="CK82" s="188"/>
      <c r="CL82" s="188">
        <f t="shared" si="235"/>
        <v>4.6199999999999992</v>
      </c>
      <c r="CM82" s="465">
        <f t="shared" si="236"/>
        <v>48</v>
      </c>
      <c r="CN82" s="149">
        <f t="shared" si="237"/>
        <v>5.4</v>
      </c>
      <c r="CO82" s="379">
        <f t="shared" si="238"/>
        <v>53.4</v>
      </c>
      <c r="CP82" s="379"/>
      <c r="CQ82" s="188">
        <f t="shared" si="239"/>
        <v>0.10112359550561799</v>
      </c>
      <c r="CR82" s="149">
        <f t="shared" si="240"/>
        <v>12.426067415730339</v>
      </c>
      <c r="CS82" s="149">
        <f t="shared" si="298"/>
        <v>4.6199999999999992</v>
      </c>
      <c r="CT82" s="188">
        <f t="shared" si="241"/>
        <v>2.4852134831460679</v>
      </c>
      <c r="CU82" s="188">
        <f t="shared" si="242"/>
        <v>5</v>
      </c>
      <c r="CV82" s="188">
        <f t="shared" si="243"/>
        <v>2.4269662921348316</v>
      </c>
      <c r="CW82" s="149">
        <f t="shared" si="244"/>
        <v>82.102849105987232</v>
      </c>
      <c r="CX82" s="149">
        <f t="shared" si="245"/>
        <v>5</v>
      </c>
      <c r="CY82" s="188">
        <f t="shared" si="246"/>
        <v>1.9036111111111107</v>
      </c>
      <c r="CZ82" s="188">
        <f t="shared" si="247"/>
        <v>0.47590277777777767</v>
      </c>
      <c r="DA82" s="188">
        <f t="shared" si="248"/>
        <v>4.2302469135802454</v>
      </c>
      <c r="DB82" s="172">
        <f t="shared" si="249"/>
        <v>350</v>
      </c>
      <c r="DC82" s="379">
        <f t="shared" si="299"/>
        <v>212.48792868537859</v>
      </c>
      <c r="DE82" s="188">
        <f t="shared" si="250"/>
        <v>1.1556982343499198</v>
      </c>
      <c r="DF82" s="150">
        <f t="shared" si="251"/>
        <v>2.5682182985553772</v>
      </c>
      <c r="DG82" s="150">
        <f t="shared" si="252"/>
        <v>0.51941493678648076</v>
      </c>
      <c r="DH82" s="150"/>
      <c r="DI82" s="150">
        <f t="shared" si="253"/>
        <v>2.2222222222222219</v>
      </c>
      <c r="DJ82" s="314">
        <f t="shared" si="300"/>
        <v>831.6</v>
      </c>
      <c r="DK82" s="456">
        <f t="shared" si="254"/>
        <v>0.38888888888888884</v>
      </c>
      <c r="DM82" s="150">
        <f t="shared" si="255"/>
        <v>1.5414279094398156</v>
      </c>
      <c r="DN82" s="150">
        <f t="shared" si="256"/>
        <v>1.9036111111111107</v>
      </c>
      <c r="DO82" s="150">
        <f t="shared" si="257"/>
        <v>1.8693415637860078</v>
      </c>
      <c r="DQ82" s="314">
        <f t="shared" si="258"/>
        <v>923.99999999999989</v>
      </c>
      <c r="DR82" s="144">
        <f t="shared" si="259"/>
        <v>212.48792868537859</v>
      </c>
      <c r="DT82">
        <f t="shared" si="260"/>
        <v>923.99999999999989</v>
      </c>
      <c r="DU82">
        <f t="shared" si="261"/>
        <v>212.48792868537859</v>
      </c>
      <c r="DW82" s="5">
        <f t="shared" si="301"/>
        <v>4.7061496913580223</v>
      </c>
      <c r="DX82" s="5">
        <f t="shared" si="262"/>
        <v>0.47590277777777767</v>
      </c>
      <c r="DY82" s="5">
        <f t="shared" si="302"/>
        <v>4.2302469135802445</v>
      </c>
      <c r="DZ82" s="5">
        <f t="shared" si="263"/>
        <v>4.2302469135802454</v>
      </c>
      <c r="EA82" s="150">
        <f t="shared" si="303"/>
        <v>0.101123595505618</v>
      </c>
      <c r="EB82" s="150">
        <f t="shared" si="264"/>
        <v>4.62</v>
      </c>
      <c r="EC82" s="150">
        <f t="shared" si="265"/>
        <v>0.85555555555555529</v>
      </c>
      <c r="ED82" s="150">
        <f t="shared" si="304"/>
        <v>5.4000000000000021</v>
      </c>
      <c r="EE82" s="144">
        <f t="shared" si="266"/>
        <v>8.7946833333333316</v>
      </c>
      <c r="EF82" s="5">
        <f t="shared" si="267"/>
        <v>0.16965052726337435</v>
      </c>
      <c r="EG82" s="5"/>
      <c r="EH82" s="150">
        <f t="shared" si="305"/>
        <v>0.34949732420954183</v>
      </c>
      <c r="EI82" s="150">
        <f t="shared" si="268"/>
        <v>1.0419996998490912</v>
      </c>
      <c r="EJ82" s="150"/>
      <c r="EK82" s="456">
        <f t="shared" si="269"/>
        <v>2.4429675925925916E-3</v>
      </c>
      <c r="EL82" s="456">
        <f t="shared" si="270"/>
        <v>0.43200000000000011</v>
      </c>
      <c r="EM82" s="456">
        <f t="shared" si="271"/>
        <v>2.6560991085672322E-2</v>
      </c>
      <c r="EN82" s="456">
        <f t="shared" si="272"/>
        <v>6.0592207792207815E-2</v>
      </c>
      <c r="EO82">
        <f t="shared" si="273"/>
        <v>2.1600000000000001E-2</v>
      </c>
      <c r="EP82" s="144">
        <f t="shared" si="306"/>
        <v>48.160991085672322</v>
      </c>
      <c r="EQ82" s="456">
        <f t="shared" si="274"/>
        <v>0.54417163165431215</v>
      </c>
      <c r="ER82" s="144">
        <f t="shared" si="307"/>
        <v>544.17163165431214</v>
      </c>
      <c r="ES82" s="456">
        <f t="shared" si="308"/>
        <v>0.57403499999999996</v>
      </c>
      <c r="ET82" s="456"/>
      <c r="EV82" s="144">
        <f t="shared" si="309"/>
        <v>574.03499999999997</v>
      </c>
      <c r="EW82" s="456">
        <f t="shared" si="275"/>
        <v>3.6644513888888872E-3</v>
      </c>
      <c r="EX82" s="456">
        <f t="shared" si="276"/>
        <v>3.2572901234567887E-2</v>
      </c>
      <c r="EY82" s="456">
        <f t="shared" si="277"/>
        <v>0.16453232685410402</v>
      </c>
      <c r="EZ82" s="456">
        <f t="shared" si="278"/>
        <v>0.21007565094245473</v>
      </c>
      <c r="FA82" s="456">
        <f t="shared" si="279"/>
        <v>7.7000000000000018E-4</v>
      </c>
      <c r="FB82" s="144">
        <f t="shared" si="310"/>
        <v>210.84565094245471</v>
      </c>
      <c r="FC82" s="150">
        <f t="shared" si="311"/>
        <v>1.329052282596767</v>
      </c>
      <c r="FD82" s="5">
        <f t="shared" si="312"/>
        <v>4.6199999999999992</v>
      </c>
      <c r="FE82" s="150">
        <f t="shared" si="313"/>
        <v>0.77659428435605637</v>
      </c>
      <c r="FF82" s="5">
        <f t="shared" si="314"/>
        <v>77.659428435605633</v>
      </c>
      <c r="FI82" s="59">
        <f t="shared" si="280"/>
        <v>-50</v>
      </c>
      <c r="FJ82">
        <f t="shared" si="281"/>
        <v>-50</v>
      </c>
      <c r="FL82">
        <f t="shared" si="282"/>
        <v>0.898876404494382</v>
      </c>
    </row>
    <row r="83" spans="5:168">
      <c r="E83" s="147">
        <v>78</v>
      </c>
      <c r="F83" s="188">
        <f t="shared" si="283"/>
        <v>0.93599999999999994</v>
      </c>
      <c r="G83" s="188"/>
      <c r="H83" s="188">
        <f t="shared" si="183"/>
        <v>4.68</v>
      </c>
      <c r="I83" s="465">
        <f t="shared" si="184"/>
        <v>47.947320327940531</v>
      </c>
      <c r="J83" s="149">
        <f t="shared" si="185"/>
        <v>5.4316078032356803</v>
      </c>
      <c r="K83" s="149">
        <f t="shared" si="186"/>
        <v>53.431607803235678</v>
      </c>
      <c r="L83" s="379"/>
      <c r="M83" s="188">
        <f t="shared" si="187"/>
        <v>0.10174944899940504</v>
      </c>
      <c r="N83" s="149">
        <f t="shared" si="188"/>
        <v>12.48925036637676</v>
      </c>
      <c r="O83" s="149">
        <f t="shared" si="284"/>
        <v>4.68</v>
      </c>
      <c r="P83" s="188">
        <f t="shared" si="189"/>
        <v>2.4978500732753521</v>
      </c>
      <c r="Q83" s="188">
        <f t="shared" si="190"/>
        <v>5</v>
      </c>
      <c r="R83" s="188">
        <f t="shared" si="191"/>
        <v>2.4393067121829608</v>
      </c>
      <c r="S83" s="149">
        <f t="shared" si="192"/>
        <v>80.354600041459435</v>
      </c>
      <c r="T83" s="149">
        <f t="shared" si="193"/>
        <v>5</v>
      </c>
      <c r="U83" s="188">
        <f t="shared" si="194"/>
        <v>2.084051045573764</v>
      </c>
      <c r="V83" s="188">
        <f t="shared" si="195"/>
        <v>0.52158519758427035</v>
      </c>
      <c r="W83" s="188">
        <f t="shared" si="196"/>
        <v>4.6042743608968246</v>
      </c>
      <c r="X83" s="172">
        <f t="shared" si="197"/>
        <v>350</v>
      </c>
      <c r="Y83" s="379">
        <f t="shared" si="198"/>
        <v>187.76311861388891</v>
      </c>
      <c r="AA83" s="188">
        <f t="shared" si="199"/>
        <v>1.1616454744512374</v>
      </c>
      <c r="AB83" s="150">
        <f t="shared" si="200"/>
        <v>2.5664124138548368</v>
      </c>
      <c r="AC83" s="150">
        <f t="shared" si="201"/>
        <v>0.52172073907274075</v>
      </c>
      <c r="AD83" s="150"/>
      <c r="AE83" s="150">
        <f t="shared" si="202"/>
        <v>2.2092905884794263</v>
      </c>
      <c r="AF83" s="314">
        <f t="shared" si="203"/>
        <v>847.33081730476613</v>
      </c>
      <c r="AG83" s="456">
        <f t="shared" si="204"/>
        <v>0.38662585298389957</v>
      </c>
      <c r="AI83" s="150">
        <f t="shared" si="205"/>
        <v>1.5559386852634431</v>
      </c>
      <c r="AJ83" s="150">
        <f t="shared" si="206"/>
        <v>2.084051045573764</v>
      </c>
      <c r="AK83" s="150">
        <f t="shared" si="207"/>
        <v>2.0030007744990845</v>
      </c>
      <c r="AM83" s="314">
        <f t="shared" si="208"/>
        <v>936</v>
      </c>
      <c r="AN83" s="144">
        <f t="shared" si="209"/>
        <v>187.76311861388891</v>
      </c>
      <c r="AP83">
        <f t="shared" si="210"/>
        <v>936</v>
      </c>
      <c r="AQ83">
        <f t="shared" si="211"/>
        <v>187.76311861388891</v>
      </c>
      <c r="AS83" s="5">
        <f t="shared" si="285"/>
        <v>5.3258595584810964</v>
      </c>
      <c r="AT83" s="5">
        <f t="shared" si="212"/>
        <v>0.52158519758427035</v>
      </c>
      <c r="AU83" s="5">
        <f t="shared" si="286"/>
        <v>4.8042743608968257</v>
      </c>
      <c r="AV83" s="5">
        <f t="shared" si="213"/>
        <v>4.6042743608968246</v>
      </c>
      <c r="AW83" s="150">
        <f t="shared" si="287"/>
        <v>9.7934463321264029E-2</v>
      </c>
      <c r="AX83" s="150">
        <f t="shared" si="214"/>
        <v>4.8930341247628846</v>
      </c>
      <c r="AY83" s="150">
        <f t="shared" si="215"/>
        <v>0.93997531244568922</v>
      </c>
      <c r="AZ83" s="150">
        <f t="shared" si="288"/>
        <v>5.2054921655674855</v>
      </c>
      <c r="BA83" s="144">
        <f t="shared" si="216"/>
        <v>9.7640748987775421</v>
      </c>
      <c r="BB83" s="5">
        <f t="shared" si="217"/>
        <v>0.19538808299761357</v>
      </c>
      <c r="BC83" s="5"/>
      <c r="BD83" s="150">
        <f t="shared" si="289"/>
        <v>0.37654379786206854</v>
      </c>
      <c r="BE83" s="150">
        <f t="shared" si="218"/>
        <v>1.142790891550437</v>
      </c>
      <c r="BF83" s="150"/>
      <c r="BG83" s="456">
        <f t="shared" si="219"/>
        <v>2.8357046341678065E-3</v>
      </c>
      <c r="BH83" s="456">
        <f t="shared" si="220"/>
        <v>0.3920289657693472</v>
      </c>
      <c r="BI83" s="456">
        <f t="shared" si="221"/>
        <v>0.22506845984883059</v>
      </c>
      <c r="BJ83" s="456">
        <f t="shared" si="222"/>
        <v>5.3605182057279169E-2</v>
      </c>
      <c r="BK83">
        <f t="shared" si="223"/>
        <v>2.1576294147573238E-2</v>
      </c>
      <c r="BL83" s="144">
        <f t="shared" si="290"/>
        <v>246.64475399640381</v>
      </c>
      <c r="BM83" s="456">
        <f t="shared" si="224"/>
        <v>0.44953837522561746</v>
      </c>
      <c r="BN83" s="144">
        <f t="shared" si="291"/>
        <v>449.53837522561747</v>
      </c>
      <c r="BO83" s="456">
        <f t="shared" si="225"/>
        <v>0.58148999999999984</v>
      </c>
      <c r="BP83" s="456"/>
      <c r="BR83" s="144">
        <f t="shared" si="292"/>
        <v>581.4899999999999</v>
      </c>
      <c r="BS83" s="456">
        <f t="shared" si="226"/>
        <v>4.2535569512517097E-3</v>
      </c>
      <c r="BT83" s="456">
        <f t="shared" si="227"/>
        <v>3.9179130654319279E-2</v>
      </c>
      <c r="BU83" s="456">
        <f t="shared" si="228"/>
        <v>7.0199999999999999E-2</v>
      </c>
      <c r="BV83" s="456">
        <f t="shared" si="229"/>
        <v>0.12448908427150546</v>
      </c>
      <c r="BW83" s="456">
        <f t="shared" si="230"/>
        <v>8.1550568746048091E-4</v>
      </c>
      <c r="BX83" s="144">
        <f t="shared" si="293"/>
        <v>125.30458995896593</v>
      </c>
      <c r="BY83" s="150">
        <f t="shared" si="231"/>
        <v>1.4029777191809871</v>
      </c>
      <c r="BZ83" s="5">
        <f t="shared" si="294"/>
        <v>4.68</v>
      </c>
      <c r="CA83" s="150">
        <f t="shared" si="295"/>
        <v>0.76936004306622974</v>
      </c>
      <c r="CB83" s="5">
        <f t="shared" si="296"/>
        <v>76.936004306622976</v>
      </c>
      <c r="CE83" s="59">
        <f t="shared" si="232"/>
        <v>-50</v>
      </c>
      <c r="CF83">
        <f t="shared" si="233"/>
        <v>-50</v>
      </c>
      <c r="CG83" s="150">
        <f t="shared" si="234"/>
        <v>0.88838821827080883</v>
      </c>
      <c r="CI83" s="147">
        <v>78</v>
      </c>
      <c r="CJ83" s="188">
        <f t="shared" si="297"/>
        <v>0.93599999999999994</v>
      </c>
      <c r="CK83" s="188"/>
      <c r="CL83" s="188">
        <f t="shared" si="235"/>
        <v>4.68</v>
      </c>
      <c r="CM83" s="465">
        <f t="shared" si="236"/>
        <v>48</v>
      </c>
      <c r="CN83" s="149">
        <f t="shared" si="237"/>
        <v>5.4</v>
      </c>
      <c r="CO83" s="379">
        <f t="shared" si="238"/>
        <v>53.4</v>
      </c>
      <c r="CP83" s="379"/>
      <c r="CQ83" s="188">
        <f t="shared" si="239"/>
        <v>0.10112359550561799</v>
      </c>
      <c r="CR83" s="149">
        <f t="shared" si="240"/>
        <v>12.426067415730339</v>
      </c>
      <c r="CS83" s="149">
        <f t="shared" si="298"/>
        <v>4.68</v>
      </c>
      <c r="CT83" s="188">
        <f t="shared" si="241"/>
        <v>2.4852134831460679</v>
      </c>
      <c r="CU83" s="188">
        <f t="shared" si="242"/>
        <v>5</v>
      </c>
      <c r="CV83" s="188">
        <f t="shared" si="243"/>
        <v>2.4269662921348316</v>
      </c>
      <c r="CW83" s="149">
        <f t="shared" si="244"/>
        <v>80.442626673325989</v>
      </c>
      <c r="CX83" s="149">
        <f t="shared" si="245"/>
        <v>5</v>
      </c>
      <c r="CY83" s="188">
        <f t="shared" si="246"/>
        <v>1.928333333333333</v>
      </c>
      <c r="CZ83" s="188">
        <f t="shared" si="247"/>
        <v>0.4820833333333332</v>
      </c>
      <c r="DA83" s="188">
        <f t="shared" si="248"/>
        <v>4.2851851851851839</v>
      </c>
      <c r="DB83" s="172">
        <f t="shared" si="249"/>
        <v>350</v>
      </c>
      <c r="DC83" s="379">
        <f t="shared" si="299"/>
        <v>209.76372447146346</v>
      </c>
      <c r="DE83" s="188">
        <f t="shared" si="250"/>
        <v>1.1556982343499198</v>
      </c>
      <c r="DF83" s="150">
        <f t="shared" si="251"/>
        <v>2.5682182985553772</v>
      </c>
      <c r="DG83" s="150">
        <f t="shared" si="252"/>
        <v>0.51941493678648076</v>
      </c>
      <c r="DH83" s="150"/>
      <c r="DI83" s="150">
        <f t="shared" si="253"/>
        <v>2.2222222222222219</v>
      </c>
      <c r="DJ83" s="314">
        <f t="shared" si="300"/>
        <v>842.4</v>
      </c>
      <c r="DK83" s="456">
        <f t="shared" si="254"/>
        <v>0.38888888888888884</v>
      </c>
      <c r="DM83" s="150">
        <f t="shared" si="255"/>
        <v>1.5514048932684024</v>
      </c>
      <c r="DN83" s="150">
        <f t="shared" si="256"/>
        <v>1.928333333333333</v>
      </c>
      <c r="DO83" s="150">
        <f t="shared" si="257"/>
        <v>1.887654320987654</v>
      </c>
      <c r="DQ83" s="314">
        <f t="shared" si="258"/>
        <v>936</v>
      </c>
      <c r="DR83" s="144">
        <f t="shared" si="259"/>
        <v>209.76372447146346</v>
      </c>
      <c r="DT83">
        <f t="shared" si="260"/>
        <v>936</v>
      </c>
      <c r="DU83">
        <f t="shared" si="261"/>
        <v>209.76372447146346</v>
      </c>
      <c r="DW83" s="5">
        <f t="shared" si="301"/>
        <v>4.7672685185185166</v>
      </c>
      <c r="DX83" s="5">
        <f t="shared" si="262"/>
        <v>0.4820833333333332</v>
      </c>
      <c r="DY83" s="5">
        <f t="shared" si="302"/>
        <v>4.285185185185183</v>
      </c>
      <c r="DZ83" s="5">
        <f t="shared" si="263"/>
        <v>4.2851851851851839</v>
      </c>
      <c r="EA83" s="150">
        <f t="shared" si="303"/>
        <v>0.10112359550561799</v>
      </c>
      <c r="EB83" s="150">
        <f t="shared" si="264"/>
        <v>4.68</v>
      </c>
      <c r="EC83" s="150">
        <f t="shared" si="265"/>
        <v>0.86666666666666647</v>
      </c>
      <c r="ED83" s="150">
        <f t="shared" si="304"/>
        <v>5.4000000000000012</v>
      </c>
      <c r="EE83" s="144">
        <f t="shared" si="266"/>
        <v>9.0245999999999977</v>
      </c>
      <c r="EF83" s="5">
        <f t="shared" si="267"/>
        <v>0.17408564814814803</v>
      </c>
      <c r="EG83" s="5"/>
      <c r="EH83" s="150">
        <f t="shared" si="305"/>
        <v>0.35403625049797743</v>
      </c>
      <c r="EI83" s="150">
        <f t="shared" si="268"/>
        <v>1.0555321634834951</v>
      </c>
      <c r="EJ83" s="150"/>
      <c r="EK83" s="456">
        <f t="shared" si="269"/>
        <v>2.5068333333333327E-3</v>
      </c>
      <c r="EL83" s="456">
        <f t="shared" si="270"/>
        <v>0.43200000000000011</v>
      </c>
      <c r="EM83" s="456">
        <f t="shared" si="271"/>
        <v>2.622046555893293E-2</v>
      </c>
      <c r="EN83" s="456">
        <f t="shared" si="272"/>
        <v>5.9815384615384631E-2</v>
      </c>
      <c r="EO83">
        <f t="shared" si="273"/>
        <v>2.1600000000000001E-2</v>
      </c>
      <c r="EP83" s="144">
        <f t="shared" si="306"/>
        <v>47.820465558932938</v>
      </c>
      <c r="EQ83" s="456">
        <f t="shared" si="274"/>
        <v>0.54314303731885372</v>
      </c>
      <c r="ER83" s="144">
        <f t="shared" si="307"/>
        <v>543.14303731885377</v>
      </c>
      <c r="ES83" s="456">
        <f t="shared" si="308"/>
        <v>0.58148999999999984</v>
      </c>
      <c r="ET83" s="456"/>
      <c r="EV83" s="144">
        <f t="shared" si="309"/>
        <v>581.4899999999999</v>
      </c>
      <c r="EW83" s="456">
        <f t="shared" si="275"/>
        <v>3.7602499999999988E-3</v>
      </c>
      <c r="EX83" s="456">
        <f t="shared" si="276"/>
        <v>3.3424444444444437E-2</v>
      </c>
      <c r="EY83" s="456">
        <f t="shared" si="277"/>
        <v>0.16453232685410427</v>
      </c>
      <c r="EZ83" s="456">
        <f t="shared" si="278"/>
        <v>0.21126982828602706</v>
      </c>
      <c r="FA83" s="456">
        <f t="shared" si="279"/>
        <v>7.8000000000000009E-4</v>
      </c>
      <c r="FB83" s="144">
        <f t="shared" si="310"/>
        <v>212.04982828602706</v>
      </c>
      <c r="FC83" s="150">
        <f t="shared" si="311"/>
        <v>1.3366828656048806</v>
      </c>
      <c r="FD83" s="5">
        <f t="shared" si="312"/>
        <v>4.68</v>
      </c>
      <c r="FE83" s="150">
        <f t="shared" si="313"/>
        <v>0.77783724097439211</v>
      </c>
      <c r="FF83" s="5">
        <f t="shared" si="314"/>
        <v>77.783724097439205</v>
      </c>
      <c r="FI83" s="59">
        <f t="shared" si="280"/>
        <v>-50</v>
      </c>
      <c r="FJ83">
        <f t="shared" si="281"/>
        <v>-50</v>
      </c>
      <c r="FL83">
        <f t="shared" si="282"/>
        <v>0.898876404494382</v>
      </c>
    </row>
    <row r="84" spans="5:168">
      <c r="E84" s="147">
        <v>79</v>
      </c>
      <c r="F84" s="188">
        <f t="shared" si="283"/>
        <v>0.94799999999999995</v>
      </c>
      <c r="G84" s="188"/>
      <c r="H84" s="188">
        <f t="shared" si="183"/>
        <v>4.74</v>
      </c>
      <c r="I84" s="465">
        <f t="shared" si="184"/>
        <v>47.946652919784171</v>
      </c>
      <c r="J84" s="149">
        <f t="shared" si="185"/>
        <v>5.4320082481294971</v>
      </c>
      <c r="K84" s="149">
        <f t="shared" si="186"/>
        <v>53.432008248129499</v>
      </c>
      <c r="L84" s="379"/>
      <c r="M84" s="188">
        <f t="shared" si="187"/>
        <v>0.10175746082852985</v>
      </c>
      <c r="N84" s="149">
        <f t="shared" si="188"/>
        <v>12.490059920240778</v>
      </c>
      <c r="O84" s="149">
        <f t="shared" si="284"/>
        <v>4.74</v>
      </c>
      <c r="P84" s="188">
        <f t="shared" si="189"/>
        <v>2.4980119840481558</v>
      </c>
      <c r="Q84" s="188">
        <f t="shared" si="190"/>
        <v>5</v>
      </c>
      <c r="R84" s="188">
        <f t="shared" si="191"/>
        <v>2.4394648281720279</v>
      </c>
      <c r="S84" s="149">
        <f t="shared" si="192"/>
        <v>78.737289036891184</v>
      </c>
      <c r="T84" s="149">
        <f t="shared" si="193"/>
        <v>5</v>
      </c>
      <c r="U84" s="188">
        <f t="shared" si="194"/>
        <v>2.1107884756258053</v>
      </c>
      <c r="V84" s="188">
        <f t="shared" si="195"/>
        <v>0.5282842527065742</v>
      </c>
      <c r="W84" s="188">
        <f t="shared" si="196"/>
        <v>4.6630013340336554</v>
      </c>
      <c r="X84" s="172">
        <f t="shared" si="197"/>
        <v>350</v>
      </c>
      <c r="Y84" s="379">
        <f t="shared" si="198"/>
        <v>185.48451643138367</v>
      </c>
      <c r="AA84" s="188">
        <f t="shared" si="199"/>
        <v>1.1617207559294909</v>
      </c>
      <c r="AB84" s="150">
        <f t="shared" si="200"/>
        <v>2.5663895256334213</v>
      </c>
      <c r="AC84" s="150">
        <f t="shared" si="201"/>
        <v>0.5217498964524675</v>
      </c>
      <c r="AD84" s="150"/>
      <c r="AE84" s="150">
        <f t="shared" si="202"/>
        <v>2.2091277206974382</v>
      </c>
      <c r="AF84" s="314">
        <f t="shared" si="203"/>
        <v>858.25730320446041</v>
      </c>
      <c r="AG84" s="456">
        <f t="shared" si="204"/>
        <v>0.38659735112205168</v>
      </c>
      <c r="AI84" s="150">
        <f t="shared" si="205"/>
        <v>1.5659386078136381</v>
      </c>
      <c r="AJ84" s="150">
        <f t="shared" si="206"/>
        <v>2.1107884756258053</v>
      </c>
      <c r="AK84" s="150">
        <f t="shared" si="207"/>
        <v>2.0228062782413372</v>
      </c>
      <c r="AM84" s="314">
        <f t="shared" si="208"/>
        <v>948</v>
      </c>
      <c r="AN84" s="144">
        <f t="shared" si="209"/>
        <v>185.48451643138367</v>
      </c>
      <c r="AP84">
        <f t="shared" si="210"/>
        <v>948</v>
      </c>
      <c r="AQ84">
        <f t="shared" si="211"/>
        <v>185.48451643138367</v>
      </c>
      <c r="AS84" s="5">
        <f t="shared" si="285"/>
        <v>5.3912855867402296</v>
      </c>
      <c r="AT84" s="5">
        <f t="shared" si="212"/>
        <v>0.5282842527065742</v>
      </c>
      <c r="AU84" s="5">
        <f t="shared" si="286"/>
        <v>4.8630013340336555</v>
      </c>
      <c r="AV84" s="5">
        <f t="shared" si="213"/>
        <v>4.6630013340336554</v>
      </c>
      <c r="AW84" s="150">
        <f t="shared" si="287"/>
        <v>9.7988549151593801E-2</v>
      </c>
      <c r="AX84" s="150">
        <f t="shared" si="214"/>
        <v>4.9584774360231521</v>
      </c>
      <c r="AY84" s="150">
        <f t="shared" si="215"/>
        <v>0.95197768766666413</v>
      </c>
      <c r="AZ84" s="150">
        <f t="shared" si="288"/>
        <v>5.2086067775144826</v>
      </c>
      <c r="BA84" s="144">
        <f t="shared" si="216"/>
        <v>10.016269431316648</v>
      </c>
      <c r="BB84" s="5">
        <f t="shared" si="217"/>
        <v>0.20031487183860139</v>
      </c>
      <c r="BC84" s="5"/>
      <c r="BD84" s="150">
        <f t="shared" si="289"/>
        <v>0.38147997958622359</v>
      </c>
      <c r="BE84" s="150">
        <f t="shared" si="218"/>
        <v>1.1574176809258609</v>
      </c>
      <c r="BF84" s="150"/>
      <c r="BG84" s="456">
        <f t="shared" si="219"/>
        <v>2.9105394965021113E-3</v>
      </c>
      <c r="BH84" s="456">
        <f t="shared" si="220"/>
        <v>0.39224294961211614</v>
      </c>
      <c r="BI84" s="456">
        <f t="shared" si="221"/>
        <v>0.22233404328323889</v>
      </c>
      <c r="BJ84" s="456">
        <f t="shared" si="222"/>
        <v>5.2955449298585672E-2</v>
      </c>
      <c r="BK84">
        <f t="shared" si="223"/>
        <v>2.1575993813902877E-2</v>
      </c>
      <c r="BL84" s="144">
        <f t="shared" si="290"/>
        <v>243.91003709714175</v>
      </c>
      <c r="BM84" s="456">
        <f t="shared" si="224"/>
        <v>0.44920542947359887</v>
      </c>
      <c r="BN84" s="144">
        <f t="shared" si="291"/>
        <v>449.20542947359888</v>
      </c>
      <c r="BO84" s="456">
        <f t="shared" si="225"/>
        <v>0.58894499999999994</v>
      </c>
      <c r="BP84" s="456"/>
      <c r="BR84" s="144">
        <f t="shared" si="292"/>
        <v>588.94499999999994</v>
      </c>
      <c r="BS84" s="456">
        <f t="shared" si="226"/>
        <v>4.3658092447531665E-3</v>
      </c>
      <c r="BT84" s="456">
        <f t="shared" si="227"/>
        <v>4.0188470643593939E-2</v>
      </c>
      <c r="BU84" s="456">
        <f t="shared" si="228"/>
        <v>7.1099999999999997E-2</v>
      </c>
      <c r="BV84" s="456">
        <f t="shared" si="229"/>
        <v>0.12679926304999564</v>
      </c>
      <c r="BW84" s="456">
        <f t="shared" si="230"/>
        <v>8.2641290600385885E-4</v>
      </c>
      <c r="BX84" s="144">
        <f t="shared" si="293"/>
        <v>127.6256759559995</v>
      </c>
      <c r="BY84" s="150">
        <f t="shared" si="231"/>
        <v>1.40968614252674</v>
      </c>
      <c r="BZ84" s="5">
        <f t="shared" si="294"/>
        <v>4.74</v>
      </c>
      <c r="CA84" s="150">
        <f t="shared" si="295"/>
        <v>0.77077104264258633</v>
      </c>
      <c r="CB84" s="5">
        <f t="shared" si="296"/>
        <v>77.077104264258637</v>
      </c>
      <c r="CE84" s="59">
        <f t="shared" si="232"/>
        <v>-50</v>
      </c>
      <c r="CF84">
        <f t="shared" si="233"/>
        <v>-50</v>
      </c>
      <c r="CG84" s="150">
        <f t="shared" si="234"/>
        <v>0.88852098012174019</v>
      </c>
      <c r="CI84" s="147">
        <v>79</v>
      </c>
      <c r="CJ84" s="188">
        <f t="shared" si="297"/>
        <v>0.94799999999999995</v>
      </c>
      <c r="CK84" s="188"/>
      <c r="CL84" s="188">
        <f t="shared" si="235"/>
        <v>4.74</v>
      </c>
      <c r="CM84" s="465">
        <f t="shared" si="236"/>
        <v>48</v>
      </c>
      <c r="CN84" s="149">
        <f t="shared" si="237"/>
        <v>5.4</v>
      </c>
      <c r="CO84" s="379">
        <f t="shared" si="238"/>
        <v>53.4</v>
      </c>
      <c r="CP84" s="379"/>
      <c r="CQ84" s="188">
        <f t="shared" si="239"/>
        <v>0.10112359550561799</v>
      </c>
      <c r="CR84" s="149">
        <f t="shared" si="240"/>
        <v>12.426067415730339</v>
      </c>
      <c r="CS84" s="149">
        <f t="shared" si="298"/>
        <v>4.74</v>
      </c>
      <c r="CT84" s="188">
        <f t="shared" si="241"/>
        <v>2.4852134831460679</v>
      </c>
      <c r="CU84" s="188">
        <f t="shared" si="242"/>
        <v>5</v>
      </c>
      <c r="CV84" s="188">
        <f t="shared" si="243"/>
        <v>2.4269662921348316</v>
      </c>
      <c r="CW84" s="149">
        <f t="shared" si="244"/>
        <v>78.82462736467005</v>
      </c>
      <c r="CX84" s="149">
        <f t="shared" si="245"/>
        <v>5</v>
      </c>
      <c r="CY84" s="188">
        <f t="shared" si="246"/>
        <v>1.9530555555555555</v>
      </c>
      <c r="CZ84" s="188">
        <f t="shared" si="247"/>
        <v>0.48826388888888889</v>
      </c>
      <c r="DA84" s="188">
        <f t="shared" si="248"/>
        <v>4.3401234567901241</v>
      </c>
      <c r="DB84" s="172">
        <f t="shared" si="249"/>
        <v>350</v>
      </c>
      <c r="DC84" s="379">
        <f t="shared" si="299"/>
        <v>207.10848745283724</v>
      </c>
      <c r="DE84" s="188">
        <f t="shared" si="250"/>
        <v>1.1556982343499198</v>
      </c>
      <c r="DF84" s="150">
        <f t="shared" si="251"/>
        <v>2.5682182985553772</v>
      </c>
      <c r="DG84" s="150">
        <f t="shared" si="252"/>
        <v>0.51941493678648076</v>
      </c>
      <c r="DH84" s="150"/>
      <c r="DI84" s="150">
        <f t="shared" si="253"/>
        <v>2.2222222222222219</v>
      </c>
      <c r="DJ84" s="314">
        <f t="shared" si="300"/>
        <v>853.2</v>
      </c>
      <c r="DK84" s="456">
        <f t="shared" si="254"/>
        <v>0.38888888888888884</v>
      </c>
      <c r="DM84" s="150">
        <f t="shared" si="255"/>
        <v>1.5613181244430252</v>
      </c>
      <c r="DN84" s="150">
        <f t="shared" si="256"/>
        <v>1.9530555555555555</v>
      </c>
      <c r="DO84" s="150">
        <f t="shared" si="257"/>
        <v>1.9059670781893003</v>
      </c>
      <c r="DQ84" s="314">
        <f t="shared" si="258"/>
        <v>948</v>
      </c>
      <c r="DR84" s="144">
        <f t="shared" si="259"/>
        <v>207.10848745283724</v>
      </c>
      <c r="DT84">
        <f t="shared" si="260"/>
        <v>948</v>
      </c>
      <c r="DU84">
        <f t="shared" si="261"/>
        <v>207.10848745283724</v>
      </c>
      <c r="DW84" s="5">
        <f t="shared" si="301"/>
        <v>4.8283873456790127</v>
      </c>
      <c r="DX84" s="5">
        <f t="shared" si="262"/>
        <v>0.48826388888888889</v>
      </c>
      <c r="DY84" s="5">
        <f t="shared" si="302"/>
        <v>4.3401234567901241</v>
      </c>
      <c r="DZ84" s="5">
        <f t="shared" si="263"/>
        <v>4.3401234567901241</v>
      </c>
      <c r="EA84" s="150">
        <f t="shared" si="303"/>
        <v>0.10112359550561797</v>
      </c>
      <c r="EB84" s="150">
        <f t="shared" si="264"/>
        <v>4.7399999999999984</v>
      </c>
      <c r="EC84" s="150">
        <f t="shared" si="265"/>
        <v>0.87777777777777777</v>
      </c>
      <c r="ED84" s="150">
        <f t="shared" si="304"/>
        <v>5.3999999999999986</v>
      </c>
      <c r="EE84" s="144">
        <f t="shared" si="266"/>
        <v>9.2574833333333331</v>
      </c>
      <c r="EF84" s="5">
        <f t="shared" si="267"/>
        <v>0.17857799639917696</v>
      </c>
      <c r="EG84" s="5"/>
      <c r="EH84" s="150">
        <f t="shared" si="305"/>
        <v>0.3585751767864131</v>
      </c>
      <c r="EI84" s="150">
        <f t="shared" si="268"/>
        <v>1.069064627117899</v>
      </c>
      <c r="EJ84" s="150"/>
      <c r="EK84" s="456">
        <f t="shared" si="269"/>
        <v>2.5715231481481483E-3</v>
      </c>
      <c r="EL84" s="456">
        <f t="shared" si="270"/>
        <v>0.43199999999999994</v>
      </c>
      <c r="EM84" s="456">
        <f t="shared" si="271"/>
        <v>2.5888560931604652E-2</v>
      </c>
      <c r="EN84" s="456">
        <f t="shared" si="272"/>
        <v>5.9058227848101254E-2</v>
      </c>
      <c r="EO84">
        <f t="shared" si="273"/>
        <v>2.1600000000000001E-2</v>
      </c>
      <c r="EP84" s="144">
        <f t="shared" si="306"/>
        <v>47.488560931604653</v>
      </c>
      <c r="EQ84" s="456">
        <f t="shared" si="274"/>
        <v>0.54214386977520901</v>
      </c>
      <c r="ER84" s="144">
        <f t="shared" si="307"/>
        <v>542.14386977520905</v>
      </c>
      <c r="ES84" s="456">
        <f t="shared" si="308"/>
        <v>0.58894499999999994</v>
      </c>
      <c r="ET84" s="456"/>
      <c r="EV84" s="144">
        <f t="shared" si="309"/>
        <v>588.94499999999994</v>
      </c>
      <c r="EW84" s="456">
        <f t="shared" si="275"/>
        <v>3.857284722222222E-3</v>
      </c>
      <c r="EX84" s="456">
        <f t="shared" si="276"/>
        <v>3.428697530864197E-2</v>
      </c>
      <c r="EY84" s="456">
        <f t="shared" si="277"/>
        <v>0.16453232685410388</v>
      </c>
      <c r="EZ84" s="456">
        <f t="shared" si="278"/>
        <v>0.21247959945981942</v>
      </c>
      <c r="FA84" s="456">
        <f t="shared" si="279"/>
        <v>7.899999999999998E-4</v>
      </c>
      <c r="FB84" s="144">
        <f t="shared" si="310"/>
        <v>213.26959945981943</v>
      </c>
      <c r="FC84" s="150">
        <f t="shared" si="311"/>
        <v>1.3443584692350283</v>
      </c>
      <c r="FD84" s="5">
        <f t="shared" si="312"/>
        <v>4.74</v>
      </c>
      <c r="FE84" s="150">
        <f t="shared" si="313"/>
        <v>0.77904680073788435</v>
      </c>
      <c r="FF84" s="5">
        <f t="shared" si="314"/>
        <v>77.904680073788441</v>
      </c>
      <c r="FI84" s="59">
        <f t="shared" si="280"/>
        <v>-50</v>
      </c>
      <c r="FJ84">
        <f t="shared" si="281"/>
        <v>-50</v>
      </c>
      <c r="FL84">
        <f t="shared" si="282"/>
        <v>0.898876404494382</v>
      </c>
    </row>
    <row r="85" spans="5:168">
      <c r="E85" s="147">
        <v>80</v>
      </c>
      <c r="F85" s="188">
        <f t="shared" si="283"/>
        <v>0.96</v>
      </c>
      <c r="G85" s="188"/>
      <c r="H85" s="188">
        <f t="shared" si="183"/>
        <v>4.8</v>
      </c>
      <c r="I85" s="465">
        <f t="shared" si="184"/>
        <v>47.945985509305302</v>
      </c>
      <c r="J85" s="149">
        <f t="shared" si="185"/>
        <v>5.4324086944168206</v>
      </c>
      <c r="K85" s="149">
        <f t="shared" si="186"/>
        <v>53.432408694416822</v>
      </c>
      <c r="L85" s="379"/>
      <c r="M85" s="188">
        <f t="shared" si="187"/>
        <v>0.10176547274220629</v>
      </c>
      <c r="N85" s="149">
        <f t="shared" si="188"/>
        <v>12.490869456500294</v>
      </c>
      <c r="O85" s="149">
        <f t="shared" si="284"/>
        <v>4.8</v>
      </c>
      <c r="P85" s="188">
        <f t="shared" si="189"/>
        <v>2.4981738913000586</v>
      </c>
      <c r="Q85" s="188">
        <f t="shared" si="190"/>
        <v>5</v>
      </c>
      <c r="R85" s="188">
        <f t="shared" si="191"/>
        <v>2.4396229407227135</v>
      </c>
      <c r="S85" s="149">
        <f t="shared" si="192"/>
        <v>77.160621487988578</v>
      </c>
      <c r="T85" s="149">
        <f t="shared" si="193"/>
        <v>5</v>
      </c>
      <c r="U85" s="188">
        <f t="shared" si="194"/>
        <v>2.1375263828496305</v>
      </c>
      <c r="V85" s="188">
        <f t="shared" si="195"/>
        <v>0.53498361378383563</v>
      </c>
      <c r="W85" s="188">
        <f t="shared" si="196"/>
        <v>4.7217207020078922</v>
      </c>
      <c r="X85" s="172">
        <f t="shared" si="197"/>
        <v>350</v>
      </c>
      <c r="Y85" s="379">
        <f t="shared" si="198"/>
        <v>183.2608003160434</v>
      </c>
      <c r="AA85" s="188">
        <f t="shared" si="199"/>
        <v>1.1617960360384858</v>
      </c>
      <c r="AB85" s="150">
        <f t="shared" si="200"/>
        <v>2.5663666371034113</v>
      </c>
      <c r="AC85" s="150">
        <f t="shared" si="201"/>
        <v>0.52177905255142842</v>
      </c>
      <c r="AD85" s="150"/>
      <c r="AE85" s="150">
        <f t="shared" si="202"/>
        <v>2.2089648763601031</v>
      </c>
      <c r="AF85" s="314">
        <f t="shared" si="203"/>
        <v>869.18539110669121</v>
      </c>
      <c r="AG85" s="456">
        <f t="shared" si="204"/>
        <v>0.38656885336301799</v>
      </c>
      <c r="AI85" s="150">
        <f t="shared" si="205"/>
        <v>1.5758765280736318</v>
      </c>
      <c r="AJ85" s="150">
        <f t="shared" si="206"/>
        <v>2.1375263828496305</v>
      </c>
      <c r="AK85" s="150">
        <f t="shared" si="207"/>
        <v>2.0426121354441706</v>
      </c>
      <c r="AM85" s="314">
        <f t="shared" si="208"/>
        <v>960</v>
      </c>
      <c r="AN85" s="144">
        <f t="shared" si="209"/>
        <v>183.2608003160434</v>
      </c>
      <c r="AP85">
        <f t="shared" si="210"/>
        <v>960</v>
      </c>
      <c r="AQ85">
        <f t="shared" si="211"/>
        <v>183.2608003160434</v>
      </c>
      <c r="AS85" s="5">
        <f t="shared" si="285"/>
        <v>5.4567043157917272</v>
      </c>
      <c r="AT85" s="5">
        <f t="shared" si="212"/>
        <v>0.53498361378383563</v>
      </c>
      <c r="AU85" s="5">
        <f t="shared" si="286"/>
        <v>4.9217207020078915</v>
      </c>
      <c r="AV85" s="5">
        <f t="shared" si="213"/>
        <v>4.7217207020078922</v>
      </c>
      <c r="AW85" s="150">
        <f t="shared" si="287"/>
        <v>9.8041525217994793E-2</v>
      </c>
      <c r="AX85" s="150">
        <f t="shared" si="214"/>
        <v>5.0239325126950307</v>
      </c>
      <c r="AY85" s="150">
        <f t="shared" si="215"/>
        <v>0.96398001804067457</v>
      </c>
      <c r="AZ85" s="150">
        <f t="shared" si="288"/>
        <v>5.2116562777995767</v>
      </c>
      <c r="BA85" s="144">
        <f t="shared" si="216"/>
        <v>10.271685384649645</v>
      </c>
      <c r="BB85" s="5">
        <f t="shared" si="217"/>
        <v>0.20530272345961847</v>
      </c>
      <c r="BC85" s="5"/>
      <c r="BD85" s="150">
        <f t="shared" si="289"/>
        <v>0.38641669873105278</v>
      </c>
      <c r="BE85" s="150">
        <f t="shared" si="218"/>
        <v>1.1720445728446236</v>
      </c>
      <c r="BF85" s="150"/>
      <c r="BG85" s="456">
        <f t="shared" si="219"/>
        <v>2.9863573011641043E-3</v>
      </c>
      <c r="BH85" s="456">
        <f t="shared" si="220"/>
        <v>0.39245248828464024</v>
      </c>
      <c r="BI85" s="456">
        <f t="shared" si="221"/>
        <v>0.21966549190941773</v>
      </c>
      <c r="BJ85" s="456">
        <f t="shared" si="222"/>
        <v>5.232136714142166E-2</v>
      </c>
      <c r="BK85">
        <f t="shared" si="223"/>
        <v>2.1575693479187384E-2</v>
      </c>
      <c r="BL85" s="144">
        <f t="shared" si="290"/>
        <v>241.24118538860512</v>
      </c>
      <c r="BM85" s="456">
        <f t="shared" si="224"/>
        <v>0.44888503939140967</v>
      </c>
      <c r="BN85" s="144">
        <f t="shared" si="291"/>
        <v>448.88503939140969</v>
      </c>
      <c r="BO85" s="456">
        <f t="shared" si="225"/>
        <v>0.59639999999999993</v>
      </c>
      <c r="BP85" s="456"/>
      <c r="BR85" s="144">
        <f t="shared" si="292"/>
        <v>596.4</v>
      </c>
      <c r="BS85" s="456">
        <f t="shared" si="226"/>
        <v>4.4795359517461565E-3</v>
      </c>
      <c r="BT85" s="456">
        <f t="shared" si="227"/>
        <v>4.1210654422036086E-2</v>
      </c>
      <c r="BU85" s="456">
        <f t="shared" si="228"/>
        <v>7.1999999999999995E-2</v>
      </c>
      <c r="BV85" s="456">
        <f t="shared" si="229"/>
        <v>0.12912782605990833</v>
      </c>
      <c r="BW85" s="456">
        <f t="shared" si="230"/>
        <v>8.3732208544917176E-4</v>
      </c>
      <c r="BX85" s="144">
        <f t="shared" si="293"/>
        <v>129.96514814535752</v>
      </c>
      <c r="BY85" s="150">
        <f t="shared" si="231"/>
        <v>1.4164913729253719</v>
      </c>
      <c r="BZ85" s="5">
        <f t="shared" si="294"/>
        <v>4.8</v>
      </c>
      <c r="CA85" s="150">
        <f t="shared" si="295"/>
        <v>0.77213973478760001</v>
      </c>
      <c r="CB85" s="5">
        <f t="shared" si="296"/>
        <v>77.213973478759996</v>
      </c>
      <c r="CE85" s="59">
        <f t="shared" si="232"/>
        <v>-50</v>
      </c>
      <c r="CF85">
        <f t="shared" si="233"/>
        <v>-50</v>
      </c>
      <c r="CG85" s="150">
        <f t="shared" si="234"/>
        <v>0.88865042292639818</v>
      </c>
      <c r="CI85" s="147">
        <v>80</v>
      </c>
      <c r="CJ85" s="188">
        <f t="shared" si="297"/>
        <v>0.96</v>
      </c>
      <c r="CK85" s="188"/>
      <c r="CL85" s="188">
        <f t="shared" si="235"/>
        <v>4.8</v>
      </c>
      <c r="CM85" s="465">
        <f t="shared" si="236"/>
        <v>48</v>
      </c>
      <c r="CN85" s="149">
        <f t="shared" si="237"/>
        <v>5.4</v>
      </c>
      <c r="CO85" s="379">
        <f t="shared" si="238"/>
        <v>53.4</v>
      </c>
      <c r="CP85" s="379"/>
      <c r="CQ85" s="188">
        <f t="shared" si="239"/>
        <v>0.10112359550561799</v>
      </c>
      <c r="CR85" s="149">
        <f t="shared" si="240"/>
        <v>12.426067415730339</v>
      </c>
      <c r="CS85" s="149">
        <f t="shared" si="298"/>
        <v>4.8</v>
      </c>
      <c r="CT85" s="188">
        <f t="shared" si="241"/>
        <v>2.4852134831460679</v>
      </c>
      <c r="CU85" s="188">
        <f t="shared" si="242"/>
        <v>5</v>
      </c>
      <c r="CV85" s="188">
        <f t="shared" si="243"/>
        <v>2.4269662921348316</v>
      </c>
      <c r="CW85" s="149">
        <f t="shared" si="244"/>
        <v>77.247272048244923</v>
      </c>
      <c r="CX85" s="149">
        <f t="shared" si="245"/>
        <v>5</v>
      </c>
      <c r="CY85" s="188">
        <f t="shared" si="246"/>
        <v>1.9777777777777776</v>
      </c>
      <c r="CZ85" s="188">
        <f t="shared" si="247"/>
        <v>0.49444444444444435</v>
      </c>
      <c r="DA85" s="188">
        <f t="shared" si="248"/>
        <v>4.3950617283950608</v>
      </c>
      <c r="DB85" s="172">
        <f t="shared" si="249"/>
        <v>350</v>
      </c>
      <c r="DC85" s="379">
        <f t="shared" si="299"/>
        <v>204.51963135967685</v>
      </c>
      <c r="DE85" s="188">
        <f t="shared" si="250"/>
        <v>1.1556982343499198</v>
      </c>
      <c r="DF85" s="150">
        <f t="shared" si="251"/>
        <v>2.5682182985553772</v>
      </c>
      <c r="DG85" s="150">
        <f t="shared" si="252"/>
        <v>0.51941493678648076</v>
      </c>
      <c r="DH85" s="150"/>
      <c r="DI85" s="150">
        <f t="shared" si="253"/>
        <v>2.2222222222222219</v>
      </c>
      <c r="DJ85" s="314">
        <f t="shared" si="300"/>
        <v>864</v>
      </c>
      <c r="DK85" s="456">
        <f t="shared" si="254"/>
        <v>0.38888888888888884</v>
      </c>
      <c r="DM85" s="150">
        <f t="shared" si="255"/>
        <v>1.5711688096991452</v>
      </c>
      <c r="DN85" s="150">
        <f t="shared" si="256"/>
        <v>1.9777777777777776</v>
      </c>
      <c r="DO85" s="150">
        <f t="shared" si="257"/>
        <v>1.9242798353909463</v>
      </c>
      <c r="DQ85" s="314">
        <f t="shared" si="258"/>
        <v>960</v>
      </c>
      <c r="DR85" s="144">
        <f t="shared" si="259"/>
        <v>204.51963135967685</v>
      </c>
      <c r="DT85">
        <f t="shared" si="260"/>
        <v>960</v>
      </c>
      <c r="DU85">
        <f t="shared" si="261"/>
        <v>204.51963135967685</v>
      </c>
      <c r="DW85" s="5">
        <f t="shared" si="301"/>
        <v>4.8895061728395053</v>
      </c>
      <c r="DX85" s="5">
        <f t="shared" si="262"/>
        <v>0.49444444444444435</v>
      </c>
      <c r="DY85" s="5">
        <f t="shared" si="302"/>
        <v>4.3950617283950608</v>
      </c>
      <c r="DZ85" s="5">
        <f t="shared" si="263"/>
        <v>4.3950617283950608</v>
      </c>
      <c r="EA85" s="150">
        <f t="shared" si="303"/>
        <v>0.10112359550561797</v>
      </c>
      <c r="EB85" s="150">
        <f t="shared" si="264"/>
        <v>4.8000000000000007</v>
      </c>
      <c r="EC85" s="150">
        <f t="shared" si="265"/>
        <v>0.88888888888888884</v>
      </c>
      <c r="ED85" s="150">
        <f t="shared" si="304"/>
        <v>5.4000000000000012</v>
      </c>
      <c r="EE85" s="144">
        <f t="shared" si="266"/>
        <v>9.4933333333333305</v>
      </c>
      <c r="EF85" s="5">
        <f t="shared" si="267"/>
        <v>0.18312757201646082</v>
      </c>
      <c r="EG85" s="5"/>
      <c r="EH85" s="150">
        <f t="shared" si="305"/>
        <v>0.3631141030748487</v>
      </c>
      <c r="EI85" s="150">
        <f t="shared" si="268"/>
        <v>1.0825970907523028</v>
      </c>
      <c r="EJ85" s="150"/>
      <c r="EK85" s="456">
        <f t="shared" si="269"/>
        <v>2.6370370370370371E-3</v>
      </c>
      <c r="EL85" s="456">
        <f t="shared" si="270"/>
        <v>0.43200000000000011</v>
      </c>
      <c r="EM85" s="456">
        <f t="shared" si="271"/>
        <v>2.5564953919959606E-2</v>
      </c>
      <c r="EN85" s="456">
        <f t="shared" si="272"/>
        <v>5.8320000000000011E-2</v>
      </c>
      <c r="EO85">
        <f t="shared" si="273"/>
        <v>2.1600000000000001E-2</v>
      </c>
      <c r="EP85" s="144">
        <f t="shared" si="306"/>
        <v>47.164953919959601</v>
      </c>
      <c r="EQ85" s="456">
        <f t="shared" si="274"/>
        <v>0.54117306835470502</v>
      </c>
      <c r="ER85" s="144">
        <f t="shared" si="307"/>
        <v>541.17306835470504</v>
      </c>
      <c r="ES85" s="456">
        <f t="shared" si="308"/>
        <v>0.59639999999999993</v>
      </c>
      <c r="ET85" s="456"/>
      <c r="EV85" s="144">
        <f t="shared" si="309"/>
        <v>596.4</v>
      </c>
      <c r="EW85" s="456">
        <f t="shared" si="275"/>
        <v>3.9555555555555559E-3</v>
      </c>
      <c r="EX85" s="456">
        <f t="shared" si="276"/>
        <v>3.5160493827160494E-2</v>
      </c>
      <c r="EY85" s="456">
        <f t="shared" si="277"/>
        <v>0.1645323268541041</v>
      </c>
      <c r="EZ85" s="456">
        <f t="shared" si="278"/>
        <v>0.21370497162655008</v>
      </c>
      <c r="FA85" s="456">
        <f t="shared" si="279"/>
        <v>8.0000000000000015E-4</v>
      </c>
      <c r="FB85" s="144">
        <f t="shared" si="310"/>
        <v>214.50497162655009</v>
      </c>
      <c r="FC85" s="150">
        <f t="shared" si="311"/>
        <v>1.3520780399812549</v>
      </c>
      <c r="FD85" s="5">
        <f t="shared" si="312"/>
        <v>4.8</v>
      </c>
      <c r="FE85" s="150">
        <f t="shared" si="313"/>
        <v>0.78022417284138113</v>
      </c>
      <c r="FF85" s="5">
        <f t="shared" si="314"/>
        <v>78.022417284138115</v>
      </c>
      <c r="FI85" s="59">
        <f t="shared" si="280"/>
        <v>-50</v>
      </c>
      <c r="FJ85">
        <f t="shared" si="281"/>
        <v>-50</v>
      </c>
      <c r="FL85">
        <f t="shared" si="282"/>
        <v>0.898876404494382</v>
      </c>
    </row>
    <row r="86" spans="5:168">
      <c r="E86" s="147">
        <v>81</v>
      </c>
      <c r="F86" s="188">
        <f t="shared" si="283"/>
        <v>0.97199999999999998</v>
      </c>
      <c r="G86" s="188"/>
      <c r="H86" s="188">
        <f t="shared" si="183"/>
        <v>4.8599999999999994</v>
      </c>
      <c r="I86" s="465">
        <f t="shared" si="184"/>
        <v>47.94531809659091</v>
      </c>
      <c r="J86" s="149">
        <f t="shared" si="185"/>
        <v>5.4328091420454552</v>
      </c>
      <c r="K86" s="149">
        <f t="shared" si="186"/>
        <v>53.432809142045457</v>
      </c>
      <c r="L86" s="379"/>
      <c r="M86" s="188">
        <f t="shared" si="187"/>
        <v>0.10177348474027074</v>
      </c>
      <c r="N86" s="149">
        <f t="shared" si="188"/>
        <v>12.491678975157305</v>
      </c>
      <c r="O86" s="149">
        <f t="shared" si="284"/>
        <v>4.8599999999999994</v>
      </c>
      <c r="P86" s="188">
        <f t="shared" si="189"/>
        <v>2.4983357950314611</v>
      </c>
      <c r="Q86" s="188">
        <f t="shared" si="190"/>
        <v>5</v>
      </c>
      <c r="R86" s="188">
        <f t="shared" si="191"/>
        <v>2.4397810498354109</v>
      </c>
      <c r="S86" s="149">
        <f t="shared" si="192"/>
        <v>75.623096386707516</v>
      </c>
      <c r="T86" s="149">
        <f t="shared" si="193"/>
        <v>5</v>
      </c>
      <c r="U86" s="188">
        <f t="shared" si="194"/>
        <v>2.1642647672651667</v>
      </c>
      <c r="V86" s="188">
        <f t="shared" si="195"/>
        <v>0.5416832808338099</v>
      </c>
      <c r="W86" s="188">
        <f t="shared" si="196"/>
        <v>4.7804324665459985</v>
      </c>
      <c r="X86" s="172">
        <f t="shared" si="197"/>
        <v>350</v>
      </c>
      <c r="Y86" s="379">
        <f t="shared" si="198"/>
        <v>181.09001073990356</v>
      </c>
      <c r="AA86" s="188">
        <f t="shared" si="199"/>
        <v>1.1618713147683692</v>
      </c>
      <c r="AB86" s="150">
        <f t="shared" si="200"/>
        <v>2.5663437482677867</v>
      </c>
      <c r="AC86" s="150">
        <f t="shared" si="201"/>
        <v>0.52180820736580869</v>
      </c>
      <c r="AD86" s="150"/>
      <c r="AE86" s="150">
        <f t="shared" si="202"/>
        <v>2.2088020554835825</v>
      </c>
      <c r="AF86" s="314">
        <f t="shared" si="203"/>
        <v>880.11508101136383</v>
      </c>
      <c r="AG86" s="456">
        <f t="shared" si="204"/>
        <v>0.38654035970962691</v>
      </c>
      <c r="AI86" s="150">
        <f t="shared" si="205"/>
        <v>1.5857536117491031</v>
      </c>
      <c r="AJ86" s="150">
        <f t="shared" si="206"/>
        <v>2.1642647672651667</v>
      </c>
      <c r="AK86" s="150">
        <f t="shared" si="207"/>
        <v>2.0624183461223455</v>
      </c>
      <c r="AM86" s="314">
        <f t="shared" si="208"/>
        <v>972</v>
      </c>
      <c r="AN86" s="144">
        <f t="shared" si="209"/>
        <v>181.09001073990356</v>
      </c>
      <c r="AP86">
        <f t="shared" si="210"/>
        <v>972</v>
      </c>
      <c r="AQ86">
        <f t="shared" si="211"/>
        <v>181.09001073990356</v>
      </c>
      <c r="AS86" s="5">
        <f t="shared" si="285"/>
        <v>5.5221157473798073</v>
      </c>
      <c r="AT86" s="5">
        <f t="shared" si="212"/>
        <v>0.5416832808338099</v>
      </c>
      <c r="AU86" s="5">
        <f t="shared" si="286"/>
        <v>4.9804324665459969</v>
      </c>
      <c r="AV86" s="5">
        <f t="shared" si="213"/>
        <v>4.7804324665459985</v>
      </c>
      <c r="AW86" s="150">
        <f t="shared" si="287"/>
        <v>9.8093431143820839E-2</v>
      </c>
      <c r="AX86" s="150">
        <f t="shared" si="214"/>
        <v>5.0893992778560069</v>
      </c>
      <c r="AY86" s="150">
        <f t="shared" si="215"/>
        <v>0.97598230517022178</v>
      </c>
      <c r="AZ86" s="150">
        <f t="shared" si="288"/>
        <v>5.2146429816351647</v>
      </c>
      <c r="BA86" s="144">
        <f t="shared" si="216"/>
        <v>10.530322979409263</v>
      </c>
      <c r="BB86" s="5">
        <f t="shared" si="217"/>
        <v>0.21035162858733328</v>
      </c>
      <c r="BC86" s="5"/>
      <c r="BD86" s="150">
        <f t="shared" si="289"/>
        <v>0.3913539530557319</v>
      </c>
      <c r="BE86" s="150">
        <f t="shared" si="218"/>
        <v>1.186671568310331</v>
      </c>
      <c r="BF86" s="150"/>
      <c r="BG86" s="456">
        <f t="shared" si="219"/>
        <v>3.06315833144696E-3</v>
      </c>
      <c r="BH86" s="456">
        <f t="shared" si="220"/>
        <v>0.39265774048087165</v>
      </c>
      <c r="BI86" s="456">
        <f t="shared" si="221"/>
        <v>0.21706045422599349</v>
      </c>
      <c r="BJ86" s="456">
        <f t="shared" si="222"/>
        <v>5.1702376832013307E-2</v>
      </c>
      <c r="BK86">
        <f t="shared" si="223"/>
        <v>2.1575393143465908E-2</v>
      </c>
      <c r="BL86" s="144">
        <f t="shared" si="290"/>
        <v>238.63584736945938</v>
      </c>
      <c r="BM86" s="456">
        <f t="shared" si="224"/>
        <v>0.4485768054725075</v>
      </c>
      <c r="BN86" s="144">
        <f t="shared" si="291"/>
        <v>448.57680547250749</v>
      </c>
      <c r="BO86" s="456">
        <f t="shared" si="225"/>
        <v>0.60385499999999992</v>
      </c>
      <c r="BP86" s="456"/>
      <c r="BR86" s="144">
        <f t="shared" si="292"/>
        <v>603.8549999999999</v>
      </c>
      <c r="BS86" s="456">
        <f t="shared" si="226"/>
        <v>4.59473749717044E-3</v>
      </c>
      <c r="BT86" s="456">
        <f t="shared" si="227"/>
        <v>4.2245682331083015E-2</v>
      </c>
      <c r="BU86" s="456">
        <f t="shared" si="228"/>
        <v>7.2899999999999993E-2</v>
      </c>
      <c r="BV86" s="456">
        <f t="shared" si="229"/>
        <v>0.13147478732584814</v>
      </c>
      <c r="BW86" s="456">
        <f t="shared" si="230"/>
        <v>8.482332129760012E-4</v>
      </c>
      <c r="BX86" s="144">
        <f t="shared" si="293"/>
        <v>132.32302053882412</v>
      </c>
      <c r="BY86" s="150">
        <f t="shared" si="231"/>
        <v>1.4233906733807911</v>
      </c>
      <c r="BZ86" s="5">
        <f t="shared" si="294"/>
        <v>4.8599999999999994</v>
      </c>
      <c r="CA86" s="150">
        <f t="shared" si="295"/>
        <v>0.77346774259781426</v>
      </c>
      <c r="CB86" s="5">
        <f t="shared" si="296"/>
        <v>77.346774259781427</v>
      </c>
      <c r="CE86" s="59">
        <f t="shared" si="232"/>
        <v>-50</v>
      </c>
      <c r="CF86">
        <f t="shared" si="233"/>
        <v>-50</v>
      </c>
      <c r="CG86" s="150">
        <f t="shared" si="234"/>
        <v>0.88877666961242263</v>
      </c>
      <c r="CI86" s="147">
        <v>81</v>
      </c>
      <c r="CJ86" s="188">
        <f t="shared" si="297"/>
        <v>0.97199999999999998</v>
      </c>
      <c r="CK86" s="188"/>
      <c r="CL86" s="188">
        <f t="shared" si="235"/>
        <v>4.8599999999999994</v>
      </c>
      <c r="CM86" s="465">
        <f t="shared" si="236"/>
        <v>48</v>
      </c>
      <c r="CN86" s="149">
        <f t="shared" si="237"/>
        <v>5.4</v>
      </c>
      <c r="CO86" s="379">
        <f t="shared" si="238"/>
        <v>53.4</v>
      </c>
      <c r="CP86" s="379"/>
      <c r="CQ86" s="188">
        <f t="shared" si="239"/>
        <v>0.10112359550561799</v>
      </c>
      <c r="CR86" s="149">
        <f t="shared" si="240"/>
        <v>12.426067415730339</v>
      </c>
      <c r="CS86" s="149">
        <f t="shared" si="298"/>
        <v>4.8599999999999994</v>
      </c>
      <c r="CT86" s="188">
        <f t="shared" si="241"/>
        <v>2.4852134831460679</v>
      </c>
      <c r="CU86" s="188">
        <f t="shared" si="242"/>
        <v>5</v>
      </c>
      <c r="CV86" s="188">
        <f t="shared" si="243"/>
        <v>2.4269662921348316</v>
      </c>
      <c r="CW86" s="149">
        <f t="shared" si="244"/>
        <v>75.709059696573917</v>
      </c>
      <c r="CX86" s="149">
        <f t="shared" si="245"/>
        <v>5</v>
      </c>
      <c r="CY86" s="188">
        <f t="shared" si="246"/>
        <v>2.0024999999999995</v>
      </c>
      <c r="CZ86" s="188">
        <f t="shared" si="247"/>
        <v>0.50062499999999988</v>
      </c>
      <c r="DA86" s="188">
        <f t="shared" si="248"/>
        <v>4.4499999999999993</v>
      </c>
      <c r="DB86" s="172">
        <f t="shared" si="249"/>
        <v>350</v>
      </c>
      <c r="DC86" s="379">
        <f t="shared" si="299"/>
        <v>201.99469763918702</v>
      </c>
      <c r="DE86" s="188">
        <f t="shared" si="250"/>
        <v>1.1556982343499198</v>
      </c>
      <c r="DF86" s="150">
        <f t="shared" si="251"/>
        <v>2.5682182985553772</v>
      </c>
      <c r="DG86" s="150">
        <f t="shared" si="252"/>
        <v>0.51941493678648076</v>
      </c>
      <c r="DH86" s="150"/>
      <c r="DI86" s="150">
        <f t="shared" si="253"/>
        <v>2.2222222222222219</v>
      </c>
      <c r="DJ86" s="314">
        <f t="shared" si="300"/>
        <v>874.8</v>
      </c>
      <c r="DK86" s="456">
        <f t="shared" si="254"/>
        <v>0.38888888888888884</v>
      </c>
      <c r="DM86" s="150">
        <f t="shared" si="255"/>
        <v>1.5809581181766237</v>
      </c>
      <c r="DN86" s="150">
        <f t="shared" si="256"/>
        <v>2.0024999999999995</v>
      </c>
      <c r="DO86" s="150">
        <f t="shared" si="257"/>
        <v>1.9425925925925922</v>
      </c>
      <c r="DQ86" s="314">
        <f t="shared" si="258"/>
        <v>972</v>
      </c>
      <c r="DR86" s="144">
        <f t="shared" si="259"/>
        <v>201.99469763918702</v>
      </c>
      <c r="DT86">
        <f t="shared" si="260"/>
        <v>972</v>
      </c>
      <c r="DU86">
        <f t="shared" si="261"/>
        <v>201.99469763918702</v>
      </c>
      <c r="DW86" s="5">
        <f t="shared" si="301"/>
        <v>4.9506249999999987</v>
      </c>
      <c r="DX86" s="5">
        <f t="shared" si="262"/>
        <v>0.50062499999999988</v>
      </c>
      <c r="DY86" s="5">
        <f t="shared" si="302"/>
        <v>4.4499999999999993</v>
      </c>
      <c r="DZ86" s="5">
        <f t="shared" si="263"/>
        <v>4.4499999999999993</v>
      </c>
      <c r="EA86" s="150">
        <f t="shared" si="303"/>
        <v>0.10112359550561797</v>
      </c>
      <c r="EB86" s="150">
        <f t="shared" si="264"/>
        <v>4.8599999999999985</v>
      </c>
      <c r="EC86" s="150">
        <f t="shared" si="265"/>
        <v>0.8999999999999998</v>
      </c>
      <c r="ED86" s="150">
        <f t="shared" si="304"/>
        <v>5.3999999999999995</v>
      </c>
      <c r="EE86" s="144">
        <f t="shared" si="266"/>
        <v>9.7321499999999972</v>
      </c>
      <c r="EF86" s="5">
        <f t="shared" si="267"/>
        <v>0.18773437499999993</v>
      </c>
      <c r="EG86" s="5"/>
      <c r="EH86" s="150">
        <f t="shared" si="305"/>
        <v>0.36765302936328426</v>
      </c>
      <c r="EI86" s="150">
        <f t="shared" si="268"/>
        <v>1.0961295543867065</v>
      </c>
      <c r="EJ86" s="150"/>
      <c r="EK86" s="456">
        <f t="shared" si="269"/>
        <v>2.7033749999999992E-3</v>
      </c>
      <c r="EL86" s="456">
        <f t="shared" si="270"/>
        <v>0.432</v>
      </c>
      <c r="EM86" s="456">
        <f t="shared" si="271"/>
        <v>2.524933720489838E-2</v>
      </c>
      <c r="EN86" s="456">
        <f t="shared" si="272"/>
        <v>5.7600000000000012E-2</v>
      </c>
      <c r="EO86">
        <f t="shared" si="273"/>
        <v>2.1600000000000001E-2</v>
      </c>
      <c r="EP86" s="144">
        <f t="shared" si="306"/>
        <v>46.849337204898383</v>
      </c>
      <c r="EQ86" s="456">
        <f t="shared" si="274"/>
        <v>0.54022962477391934</v>
      </c>
      <c r="ER86" s="144">
        <f t="shared" si="307"/>
        <v>540.22962477391934</v>
      </c>
      <c r="ES86" s="456">
        <f t="shared" si="308"/>
        <v>0.60385499999999992</v>
      </c>
      <c r="ET86" s="456"/>
      <c r="EV86" s="144">
        <f t="shared" si="309"/>
        <v>603.8549999999999</v>
      </c>
      <c r="EW86" s="456">
        <f t="shared" si="275"/>
        <v>4.0550624999999979E-3</v>
      </c>
      <c r="EX86" s="456">
        <f t="shared" si="276"/>
        <v>3.6044999999999987E-2</v>
      </c>
      <c r="EY86" s="456">
        <f t="shared" si="277"/>
        <v>0.16453232685410391</v>
      </c>
      <c r="EZ86" s="456">
        <f t="shared" si="278"/>
        <v>0.21494595204298753</v>
      </c>
      <c r="FA86" s="456">
        <f t="shared" si="279"/>
        <v>8.0999999999999996E-4</v>
      </c>
      <c r="FB86" s="144">
        <f t="shared" si="310"/>
        <v>215.75595204298753</v>
      </c>
      <c r="FC86" s="150">
        <f t="shared" si="311"/>
        <v>1.3598405768169066</v>
      </c>
      <c r="FD86" s="5">
        <f t="shared" si="312"/>
        <v>4.8599999999999994</v>
      </c>
      <c r="FE86" s="150">
        <f t="shared" si="313"/>
        <v>0.78137050941700747</v>
      </c>
      <c r="FF86" s="5">
        <f t="shared" si="314"/>
        <v>78.13705094170075</v>
      </c>
      <c r="FI86" s="59">
        <f t="shared" si="280"/>
        <v>-50</v>
      </c>
      <c r="FJ86">
        <f t="shared" si="281"/>
        <v>-50</v>
      </c>
      <c r="FL86">
        <f t="shared" si="282"/>
        <v>0.898876404494382</v>
      </c>
    </row>
    <row r="87" spans="5:168">
      <c r="E87" s="147">
        <v>82</v>
      </c>
      <c r="F87" s="188">
        <f t="shared" si="283"/>
        <v>0.98399999999999987</v>
      </c>
      <c r="G87" s="188"/>
      <c r="H87" s="188">
        <f t="shared" si="183"/>
        <v>4.919999999999999</v>
      </c>
      <c r="I87" s="465">
        <f t="shared" si="184"/>
        <v>47.944650681723708</v>
      </c>
      <c r="J87" s="149">
        <f t="shared" si="185"/>
        <v>5.4332095909657756</v>
      </c>
      <c r="K87" s="149">
        <f t="shared" si="186"/>
        <v>53.433209590965774</v>
      </c>
      <c r="L87" s="379"/>
      <c r="M87" s="188">
        <f t="shared" si="187"/>
        <v>0.10178149682256779</v>
      </c>
      <c r="N87" s="149">
        <f t="shared" si="188"/>
        <v>12.492488476213721</v>
      </c>
      <c r="O87" s="149">
        <f t="shared" si="284"/>
        <v>4.919999999999999</v>
      </c>
      <c r="P87" s="188">
        <f t="shared" si="189"/>
        <v>2.4984976952427442</v>
      </c>
      <c r="Q87" s="188">
        <f t="shared" si="190"/>
        <v>5</v>
      </c>
      <c r="R87" s="188">
        <f t="shared" si="191"/>
        <v>2.4399391555104923</v>
      </c>
      <c r="S87" s="149">
        <f t="shared" si="192"/>
        <v>74.123286070191895</v>
      </c>
      <c r="T87" s="149">
        <f t="shared" si="193"/>
        <v>5</v>
      </c>
      <c r="U87" s="188">
        <f t="shared" si="194"/>
        <v>2.1910036288923402</v>
      </c>
      <c r="V87" s="188">
        <f t="shared" si="195"/>
        <v>0.54838325387425335</v>
      </c>
      <c r="W87" s="188">
        <f t="shared" si="196"/>
        <v>4.8391366293739031</v>
      </c>
      <c r="X87" s="172">
        <f t="shared" si="197"/>
        <v>350</v>
      </c>
      <c r="Y87" s="379">
        <f t="shared" si="198"/>
        <v>178.9702803560632</v>
      </c>
      <c r="AA87" s="188">
        <f t="shared" si="199"/>
        <v>1.1619465921097716</v>
      </c>
      <c r="AB87" s="150">
        <f t="shared" si="200"/>
        <v>2.5663208591293771</v>
      </c>
      <c r="AC87" s="150">
        <f t="shared" si="201"/>
        <v>0.52183736089198018</v>
      </c>
      <c r="AD87" s="150"/>
      <c r="AE87" s="150">
        <f t="shared" si="202"/>
        <v>2.2086392580829832</v>
      </c>
      <c r="AF87" s="314">
        <f t="shared" si="203"/>
        <v>891.04637291838719</v>
      </c>
      <c r="AG87" s="456">
        <f t="shared" si="204"/>
        <v>0.38651187016452204</v>
      </c>
      <c r="AI87" s="150">
        <f t="shared" si="205"/>
        <v>1.5955709886328533</v>
      </c>
      <c r="AJ87" s="150">
        <f t="shared" si="206"/>
        <v>2.1910036288923402</v>
      </c>
      <c r="AK87" s="150">
        <f t="shared" si="207"/>
        <v>2.0822249102906225</v>
      </c>
      <c r="AM87" s="314">
        <f t="shared" si="208"/>
        <v>983.99999999999989</v>
      </c>
      <c r="AN87" s="144">
        <f t="shared" si="209"/>
        <v>178.9702803560632</v>
      </c>
      <c r="AP87">
        <f t="shared" si="210"/>
        <v>983.99999999999989</v>
      </c>
      <c r="AQ87">
        <f t="shared" si="211"/>
        <v>178.9702803560632</v>
      </c>
      <c r="AS87" s="5">
        <f t="shared" si="285"/>
        <v>5.5875198832481558</v>
      </c>
      <c r="AT87" s="5">
        <f t="shared" si="212"/>
        <v>0.54838325387425335</v>
      </c>
      <c r="AU87" s="5">
        <f t="shared" si="286"/>
        <v>5.0391366293739024</v>
      </c>
      <c r="AV87" s="5">
        <f t="shared" si="213"/>
        <v>4.8391366293739031</v>
      </c>
      <c r="AW87" s="150">
        <f t="shared" si="287"/>
        <v>9.8144304688445302E-2</v>
      </c>
      <c r="AX87" s="150">
        <f t="shared" si="214"/>
        <v>5.1548776582021896</v>
      </c>
      <c r="AY87" s="150">
        <f t="shared" si="215"/>
        <v>0.98798455058242063</v>
      </c>
      <c r="AZ87" s="150">
        <f t="shared" si="288"/>
        <v>5.2175690957549588</v>
      </c>
      <c r="BA87" s="144">
        <f t="shared" si="216"/>
        <v>10.792182436245307</v>
      </c>
      <c r="BB87" s="5">
        <f t="shared" si="217"/>
        <v>0.21546157795147594</v>
      </c>
      <c r="BC87" s="5"/>
      <c r="BD87" s="150">
        <f t="shared" si="289"/>
        <v>0.3962917404253678</v>
      </c>
      <c r="BE87" s="150">
        <f t="shared" si="218"/>
        <v>1.2012986682796392</v>
      </c>
      <c r="BF87" s="150"/>
      <c r="BG87" s="456">
        <f t="shared" si="219"/>
        <v>3.1409428705873417E-3</v>
      </c>
      <c r="BH87" s="456">
        <f t="shared" si="220"/>
        <v>0.39285885742940563</v>
      </c>
      <c r="BI87" s="456">
        <f t="shared" si="221"/>
        <v>0.21451668935204021</v>
      </c>
      <c r="BJ87" s="456">
        <f t="shared" si="222"/>
        <v>5.1097945901757327E-2</v>
      </c>
      <c r="BK87">
        <f t="shared" si="223"/>
        <v>2.1575092806775668E-2</v>
      </c>
      <c r="BL87" s="144">
        <f t="shared" si="290"/>
        <v>236.09178215881587</v>
      </c>
      <c r="BM87" s="456">
        <f t="shared" si="224"/>
        <v>0.44828034703211317</v>
      </c>
      <c r="BN87" s="144">
        <f t="shared" si="291"/>
        <v>448.28034703211318</v>
      </c>
      <c r="BO87" s="456">
        <f t="shared" si="225"/>
        <v>0.6113099999999998</v>
      </c>
      <c r="BP87" s="456"/>
      <c r="BR87" s="144">
        <f t="shared" si="292"/>
        <v>611.30999999999983</v>
      </c>
      <c r="BS87" s="456">
        <f t="shared" si="226"/>
        <v>4.7114143058810121E-3</v>
      </c>
      <c r="BT87" s="456">
        <f t="shared" si="227"/>
        <v>4.329355471231304E-2</v>
      </c>
      <c r="BU87" s="456">
        <f t="shared" si="228"/>
        <v>7.3799999999999977E-2</v>
      </c>
      <c r="BV87" s="456">
        <f t="shared" si="229"/>
        <v>0.13384016100515603</v>
      </c>
      <c r="BW87" s="456">
        <f t="shared" si="230"/>
        <v>8.5914627636703156E-4</v>
      </c>
      <c r="BX87" s="144">
        <f t="shared" si="293"/>
        <v>134.69930728152306</v>
      </c>
      <c r="BY87" s="150">
        <f t="shared" si="231"/>
        <v>1.4303814364724519</v>
      </c>
      <c r="BZ87" s="5">
        <f t="shared" si="294"/>
        <v>4.919999999999999</v>
      </c>
      <c r="CA87" s="150">
        <f t="shared" si="295"/>
        <v>0.77475661095611148</v>
      </c>
      <c r="CB87" s="5">
        <f t="shared" si="296"/>
        <v>77.475661095611144</v>
      </c>
      <c r="CE87" s="59">
        <f t="shared" si="232"/>
        <v>-50</v>
      </c>
      <c r="CF87">
        <f t="shared" si="233"/>
        <v>-50</v>
      </c>
      <c r="CG87" s="150">
        <f t="shared" si="234"/>
        <v>0.88889983711098308</v>
      </c>
      <c r="CI87" s="147">
        <v>82</v>
      </c>
      <c r="CJ87" s="188">
        <f t="shared" si="297"/>
        <v>0.98399999999999987</v>
      </c>
      <c r="CK87" s="188"/>
      <c r="CL87" s="188">
        <f t="shared" si="235"/>
        <v>4.919999999999999</v>
      </c>
      <c r="CM87" s="465">
        <f t="shared" si="236"/>
        <v>48</v>
      </c>
      <c r="CN87" s="149">
        <f t="shared" si="237"/>
        <v>5.4</v>
      </c>
      <c r="CO87" s="379">
        <f t="shared" si="238"/>
        <v>53.4</v>
      </c>
      <c r="CP87" s="379"/>
      <c r="CQ87" s="188">
        <f t="shared" si="239"/>
        <v>0.10112359550561799</v>
      </c>
      <c r="CR87" s="149">
        <f t="shared" si="240"/>
        <v>12.426067415730339</v>
      </c>
      <c r="CS87" s="149">
        <f t="shared" si="298"/>
        <v>4.919999999999999</v>
      </c>
      <c r="CT87" s="188">
        <f t="shared" si="241"/>
        <v>2.4852134831460679</v>
      </c>
      <c r="CU87" s="188">
        <f t="shared" si="242"/>
        <v>5</v>
      </c>
      <c r="CV87" s="188">
        <f t="shared" si="243"/>
        <v>2.4269662921348316</v>
      </c>
      <c r="CW87" s="149">
        <f t="shared" si="244"/>
        <v>74.208562628368497</v>
      </c>
      <c r="CX87" s="149">
        <f t="shared" si="245"/>
        <v>5</v>
      </c>
      <c r="CY87" s="188">
        <f t="shared" si="246"/>
        <v>2.0272222222222216</v>
      </c>
      <c r="CZ87" s="188">
        <f t="shared" si="247"/>
        <v>0.5068055555555554</v>
      </c>
      <c r="DA87" s="188">
        <f t="shared" si="248"/>
        <v>4.5049382716049369</v>
      </c>
      <c r="DB87" s="172">
        <f t="shared" si="249"/>
        <v>350</v>
      </c>
      <c r="DC87" s="379">
        <f t="shared" si="299"/>
        <v>199.53134766797746</v>
      </c>
      <c r="DE87" s="188">
        <f t="shared" si="250"/>
        <v>1.1556982343499198</v>
      </c>
      <c r="DF87" s="150">
        <f t="shared" si="251"/>
        <v>2.5682182985553772</v>
      </c>
      <c r="DG87" s="150">
        <f t="shared" si="252"/>
        <v>0.51941493678648076</v>
      </c>
      <c r="DH87" s="150"/>
      <c r="DI87" s="150">
        <f t="shared" si="253"/>
        <v>2.2222222222222219</v>
      </c>
      <c r="DJ87" s="314">
        <f t="shared" si="300"/>
        <v>885.6</v>
      </c>
      <c r="DK87" s="456">
        <f t="shared" si="254"/>
        <v>0.38888888888888884</v>
      </c>
      <c r="DM87" s="150">
        <f t="shared" si="255"/>
        <v>1.5906871830393663</v>
      </c>
      <c r="DN87" s="150">
        <f t="shared" si="256"/>
        <v>2.0272222222222216</v>
      </c>
      <c r="DO87" s="150">
        <f t="shared" si="257"/>
        <v>1.9609053497942381</v>
      </c>
      <c r="DQ87" s="314">
        <f t="shared" si="258"/>
        <v>983.99999999999989</v>
      </c>
      <c r="DR87" s="144">
        <f t="shared" si="259"/>
        <v>199.53134766797746</v>
      </c>
      <c r="DT87">
        <f t="shared" si="260"/>
        <v>983.99999999999989</v>
      </c>
      <c r="DU87">
        <f t="shared" si="261"/>
        <v>199.53134766797746</v>
      </c>
      <c r="DW87" s="5">
        <f t="shared" si="301"/>
        <v>5.0117438271604922</v>
      </c>
      <c r="DX87" s="5">
        <f t="shared" si="262"/>
        <v>0.5068055555555554</v>
      </c>
      <c r="DY87" s="5">
        <f t="shared" si="302"/>
        <v>4.5049382716049369</v>
      </c>
      <c r="DZ87" s="5">
        <f t="shared" si="263"/>
        <v>4.5049382716049369</v>
      </c>
      <c r="EA87" s="150">
        <f t="shared" si="303"/>
        <v>0.10112359550561797</v>
      </c>
      <c r="EB87" s="150">
        <f t="shared" si="264"/>
        <v>4.92</v>
      </c>
      <c r="EC87" s="150">
        <f t="shared" si="265"/>
        <v>0.91111111111111076</v>
      </c>
      <c r="ED87" s="150">
        <f t="shared" si="304"/>
        <v>5.4000000000000021</v>
      </c>
      <c r="EE87" s="144">
        <f t="shared" si="266"/>
        <v>9.9739333333333295</v>
      </c>
      <c r="EF87" s="5">
        <f t="shared" si="267"/>
        <v>0.1923984053497941</v>
      </c>
      <c r="EG87" s="5"/>
      <c r="EH87" s="150">
        <f t="shared" si="305"/>
        <v>0.37219195565171981</v>
      </c>
      <c r="EI87" s="150">
        <f t="shared" si="268"/>
        <v>1.1096620180211101</v>
      </c>
      <c r="EJ87" s="150"/>
      <c r="EK87" s="456">
        <f t="shared" si="269"/>
        <v>2.7705370370370353E-3</v>
      </c>
      <c r="EL87" s="456">
        <f t="shared" si="270"/>
        <v>0.43200000000000011</v>
      </c>
      <c r="EM87" s="456">
        <f t="shared" si="271"/>
        <v>2.4941418458497181E-2</v>
      </c>
      <c r="EN87" s="456">
        <f t="shared" si="272"/>
        <v>5.6897560975609773E-2</v>
      </c>
      <c r="EO87">
        <f t="shared" si="273"/>
        <v>2.1600000000000001E-2</v>
      </c>
      <c r="EP87" s="144">
        <f t="shared" si="306"/>
        <v>46.541418458497184</v>
      </c>
      <c r="EQ87" s="456">
        <f t="shared" si="274"/>
        <v>0.53931257994054227</v>
      </c>
      <c r="ER87" s="144">
        <f t="shared" si="307"/>
        <v>539.31257994054226</v>
      </c>
      <c r="ES87" s="456">
        <f t="shared" si="308"/>
        <v>0.6113099999999998</v>
      </c>
      <c r="ET87" s="456"/>
      <c r="EV87" s="144">
        <f t="shared" si="309"/>
        <v>611.30999999999983</v>
      </c>
      <c r="EW87" s="456">
        <f t="shared" si="275"/>
        <v>4.1558055555555523E-3</v>
      </c>
      <c r="EX87" s="456">
        <f t="shared" si="276"/>
        <v>3.694049382716047E-2</v>
      </c>
      <c r="EY87" s="456">
        <f t="shared" si="277"/>
        <v>0.16453232685410407</v>
      </c>
      <c r="EZ87" s="456">
        <f t="shared" si="278"/>
        <v>0.21620254806006253</v>
      </c>
      <c r="FA87" s="456">
        <f t="shared" si="279"/>
        <v>8.1999999999999987E-4</v>
      </c>
      <c r="FB87" s="144">
        <f t="shared" si="310"/>
        <v>217.02254806006252</v>
      </c>
      <c r="FC87" s="150">
        <f t="shared" si="311"/>
        <v>1.3676451280006046</v>
      </c>
      <c r="FD87" s="5">
        <f t="shared" si="312"/>
        <v>4.919999999999999</v>
      </c>
      <c r="FE87" s="150">
        <f t="shared" si="313"/>
        <v>0.78248690882535554</v>
      </c>
      <c r="FF87" s="5">
        <f t="shared" si="314"/>
        <v>78.248690882535556</v>
      </c>
      <c r="FI87" s="59">
        <f t="shared" si="280"/>
        <v>-50</v>
      </c>
      <c r="FJ87">
        <f t="shared" si="281"/>
        <v>-50</v>
      </c>
      <c r="FL87">
        <f t="shared" si="282"/>
        <v>0.898876404494382</v>
      </c>
    </row>
    <row r="88" spans="5:168">
      <c r="E88" s="147">
        <v>83</v>
      </c>
      <c r="F88" s="188">
        <f t="shared" si="283"/>
        <v>0.99599999999999989</v>
      </c>
      <c r="G88" s="188"/>
      <c r="H88" s="188">
        <f t="shared" si="183"/>
        <v>4.9799999999999995</v>
      </c>
      <c r="I88" s="465">
        <f t="shared" si="184"/>
        <v>47.943983264782368</v>
      </c>
      <c r="J88" s="149">
        <f t="shared" si="185"/>
        <v>5.4336100411305779</v>
      </c>
      <c r="K88" s="149">
        <f t="shared" si="186"/>
        <v>53.433610041130578</v>
      </c>
      <c r="L88" s="379"/>
      <c r="M88" s="188">
        <f t="shared" si="187"/>
        <v>0.10178950898894965</v>
      </c>
      <c r="N88" s="149">
        <f t="shared" si="188"/>
        <v>12.493297959671338</v>
      </c>
      <c r="O88" s="149">
        <f t="shared" si="284"/>
        <v>4.9799999999999995</v>
      </c>
      <c r="P88" s="188">
        <f t="shared" si="189"/>
        <v>2.4986595919342678</v>
      </c>
      <c r="Q88" s="188">
        <f t="shared" si="190"/>
        <v>5</v>
      </c>
      <c r="R88" s="188">
        <f t="shared" si="191"/>
        <v>2.4400972577483082</v>
      </c>
      <c r="S88" s="149">
        <f t="shared" si="192"/>
        <v>72.65983180686311</v>
      </c>
      <c r="T88" s="149">
        <f t="shared" si="193"/>
        <v>5</v>
      </c>
      <c r="U88" s="188">
        <f t="shared" si="194"/>
        <v>2.2177429677510778</v>
      </c>
      <c r="V88" s="188">
        <f t="shared" si="195"/>
        <v>0.55508353292292389</v>
      </c>
      <c r="W88" s="188">
        <f t="shared" si="196"/>
        <v>4.8978331922170026</v>
      </c>
      <c r="X88" s="172">
        <f t="shared" si="197"/>
        <v>350</v>
      </c>
      <c r="Y88" s="379">
        <f t="shared" si="198"/>
        <v>176.8998286411599</v>
      </c>
      <c r="AA88" s="188">
        <f t="shared" si="199"/>
        <v>1.1620218680537795</v>
      </c>
      <c r="AB88" s="150">
        <f t="shared" si="200"/>
        <v>2.5662979696908752</v>
      </c>
      <c r="AC88" s="150">
        <f t="shared" si="201"/>
        <v>0.52186651312649224</v>
      </c>
      <c r="AD88" s="150"/>
      <c r="AE88" s="150">
        <f t="shared" si="202"/>
        <v>2.2084764841724169</v>
      </c>
      <c r="AF88" s="314">
        <f t="shared" si="203"/>
        <v>901.97926682767581</v>
      </c>
      <c r="AG88" s="456">
        <f t="shared" si="204"/>
        <v>0.38648338473017296</v>
      </c>
      <c r="AI88" s="150">
        <f t="shared" si="205"/>
        <v>1.6053297541339115</v>
      </c>
      <c r="AJ88" s="150">
        <f t="shared" si="206"/>
        <v>2.2177429677510778</v>
      </c>
      <c r="AK88" s="150">
        <f t="shared" si="207"/>
        <v>2.1020318279637613</v>
      </c>
      <c r="AM88" s="314">
        <f t="shared" si="208"/>
        <v>995.99999999999989</v>
      </c>
      <c r="AN88" s="144">
        <f t="shared" si="209"/>
        <v>176.8998286411599</v>
      </c>
      <c r="AP88">
        <f t="shared" si="210"/>
        <v>995.99999999999989</v>
      </c>
      <c r="AQ88">
        <f t="shared" si="211"/>
        <v>176.8998286411599</v>
      </c>
      <c r="AS88" s="5">
        <f t="shared" si="285"/>
        <v>5.652916725139927</v>
      </c>
      <c r="AT88" s="5">
        <f t="shared" si="212"/>
        <v>0.55508353292292389</v>
      </c>
      <c r="AU88" s="5">
        <f t="shared" si="286"/>
        <v>5.0978331922170028</v>
      </c>
      <c r="AV88" s="5">
        <f t="shared" si="213"/>
        <v>4.8978331922170026</v>
      </c>
      <c r="AW88" s="150">
        <f t="shared" si="287"/>
        <v>9.8194181855594892E-2</v>
      </c>
      <c r="AX88" s="150">
        <f t="shared" si="214"/>
        <v>5.2203675838380015</v>
      </c>
      <c r="AY88" s="150">
        <f t="shared" si="215"/>
        <v>0.99998675573338081</v>
      </c>
      <c r="AZ88" s="150">
        <f t="shared" si="288"/>
        <v>5.2204367246938519</v>
      </c>
      <c r="BA88" s="144">
        <f t="shared" si="216"/>
        <v>11.057263975824643</v>
      </c>
      <c r="BB88" s="5">
        <f t="shared" si="217"/>
        <v>0.22063256228483699</v>
      </c>
      <c r="BC88" s="5"/>
      <c r="BD88" s="150">
        <f t="shared" si="289"/>
        <v>0.40123005880480334</v>
      </c>
      <c r="BE88" s="150">
        <f t="shared" si="218"/>
        <v>1.2159258736649807</v>
      </c>
      <c r="BF88" s="150"/>
      <c r="BG88" s="456">
        <f t="shared" si="219"/>
        <v>3.2197112017701189E-3</v>
      </c>
      <c r="BH88" s="456">
        <f t="shared" si="220"/>
        <v>0.39305598332736391</v>
      </c>
      <c r="BI88" s="456">
        <f t="shared" si="221"/>
        <v>0.21203206059786597</v>
      </c>
      <c r="BJ88" s="456">
        <f t="shared" si="222"/>
        <v>5.0507566639537503E-2</v>
      </c>
      <c r="BK88">
        <f t="shared" si="223"/>
        <v>2.1574792469152063E-2</v>
      </c>
      <c r="BL88" s="144">
        <f t="shared" si="290"/>
        <v>233.60685306701802</v>
      </c>
      <c r="BM88" s="456">
        <f t="shared" si="224"/>
        <v>0.44799530111341551</v>
      </c>
      <c r="BN88" s="144">
        <f t="shared" si="291"/>
        <v>447.99530111341551</v>
      </c>
      <c r="BO88" s="456">
        <f t="shared" si="225"/>
        <v>0.6187649999999999</v>
      </c>
      <c r="BP88" s="456"/>
      <c r="BR88" s="144">
        <f t="shared" si="292"/>
        <v>618.76499999999987</v>
      </c>
      <c r="BS88" s="456">
        <f t="shared" si="226"/>
        <v>4.829566802655178E-3</v>
      </c>
      <c r="BT88" s="456">
        <f t="shared" si="227"/>
        <v>4.4354271907438403E-2</v>
      </c>
      <c r="BU88" s="456">
        <f t="shared" si="228"/>
        <v>7.4699999999999989E-2</v>
      </c>
      <c r="BV88" s="456">
        <f t="shared" si="229"/>
        <v>0.13622396138814519</v>
      </c>
      <c r="BW88" s="456">
        <f t="shared" si="230"/>
        <v>8.7006126397300035E-4</v>
      </c>
      <c r="BX88" s="144">
        <f t="shared" si="293"/>
        <v>137.09402265211818</v>
      </c>
      <c r="BY88" s="150">
        <f t="shared" si="231"/>
        <v>1.4374611768325518</v>
      </c>
      <c r="BZ88" s="5">
        <f t="shared" si="294"/>
        <v>4.9799999999999995</v>
      </c>
      <c r="CA88" s="150">
        <f t="shared" si="295"/>
        <v>0.77600781099823724</v>
      </c>
      <c r="CB88" s="5">
        <f t="shared" si="296"/>
        <v>77.60078109982372</v>
      </c>
      <c r="CE88" s="59">
        <f t="shared" si="232"/>
        <v>-50</v>
      </c>
      <c r="CF88">
        <f t="shared" si="233"/>
        <v>-50</v>
      </c>
      <c r="CG88" s="150">
        <f t="shared" si="234"/>
        <v>0.889020036718012</v>
      </c>
      <c r="CI88" s="147">
        <v>83</v>
      </c>
      <c r="CJ88" s="188">
        <f t="shared" si="297"/>
        <v>0.99599999999999989</v>
      </c>
      <c r="CK88" s="188"/>
      <c r="CL88" s="188">
        <f t="shared" si="235"/>
        <v>4.9799999999999995</v>
      </c>
      <c r="CM88" s="465">
        <f t="shared" si="236"/>
        <v>48</v>
      </c>
      <c r="CN88" s="149">
        <f t="shared" si="237"/>
        <v>5.4</v>
      </c>
      <c r="CO88" s="379">
        <f t="shared" si="238"/>
        <v>53.4</v>
      </c>
      <c r="CP88" s="379"/>
      <c r="CQ88" s="188">
        <f t="shared" si="239"/>
        <v>0.10112359550561799</v>
      </c>
      <c r="CR88" s="149">
        <f t="shared" si="240"/>
        <v>12.426067415730339</v>
      </c>
      <c r="CS88" s="149">
        <f t="shared" si="298"/>
        <v>4.9799999999999995</v>
      </c>
      <c r="CT88" s="188">
        <f t="shared" si="241"/>
        <v>2.4852134831460679</v>
      </c>
      <c r="CU88" s="188">
        <f t="shared" si="242"/>
        <v>5</v>
      </c>
      <c r="CV88" s="188">
        <f t="shared" si="243"/>
        <v>2.4269662921348316</v>
      </c>
      <c r="CW88" s="149">
        <f t="shared" si="244"/>
        <v>72.744422094559738</v>
      </c>
      <c r="CX88" s="149">
        <f t="shared" si="245"/>
        <v>5</v>
      </c>
      <c r="CY88" s="188">
        <f t="shared" si="246"/>
        <v>2.0519444444444441</v>
      </c>
      <c r="CZ88" s="188">
        <f t="shared" si="247"/>
        <v>0.51298611111111103</v>
      </c>
      <c r="DA88" s="188">
        <f t="shared" si="248"/>
        <v>4.5598765432098753</v>
      </c>
      <c r="DB88" s="172">
        <f t="shared" si="249"/>
        <v>350</v>
      </c>
      <c r="DC88" s="379">
        <f t="shared" si="299"/>
        <v>197.12735552739937</v>
      </c>
      <c r="DE88" s="188">
        <f t="shared" si="250"/>
        <v>1.1556982343499198</v>
      </c>
      <c r="DF88" s="150">
        <f t="shared" si="251"/>
        <v>2.5682182985553772</v>
      </c>
      <c r="DG88" s="150">
        <f t="shared" si="252"/>
        <v>0.51941493678648076</v>
      </c>
      <c r="DH88" s="150"/>
      <c r="DI88" s="150">
        <f t="shared" si="253"/>
        <v>2.2222222222222219</v>
      </c>
      <c r="DJ88" s="314">
        <f t="shared" si="300"/>
        <v>896.4</v>
      </c>
      <c r="DK88" s="456">
        <f t="shared" si="254"/>
        <v>0.38888888888888884</v>
      </c>
      <c r="DM88" s="150">
        <f t="shared" si="255"/>
        <v>1.6003571030063439</v>
      </c>
      <c r="DN88" s="150">
        <f t="shared" si="256"/>
        <v>2.0519444444444441</v>
      </c>
      <c r="DO88" s="150">
        <f t="shared" si="257"/>
        <v>1.9792181069958845</v>
      </c>
      <c r="DQ88" s="314">
        <f t="shared" si="258"/>
        <v>995.99999999999989</v>
      </c>
      <c r="DR88" s="144">
        <f t="shared" si="259"/>
        <v>197.12735552739937</v>
      </c>
      <c r="DT88">
        <f t="shared" si="260"/>
        <v>995.99999999999989</v>
      </c>
      <c r="DU88">
        <f t="shared" si="261"/>
        <v>197.12735552739937</v>
      </c>
      <c r="DW88" s="5">
        <f t="shared" si="301"/>
        <v>5.0728626543209865</v>
      </c>
      <c r="DX88" s="5">
        <f t="shared" si="262"/>
        <v>0.51298611111111103</v>
      </c>
      <c r="DY88" s="5">
        <f t="shared" si="302"/>
        <v>4.5598765432098753</v>
      </c>
      <c r="DZ88" s="5">
        <f t="shared" si="263"/>
        <v>4.5598765432098753</v>
      </c>
      <c r="EA88" s="150">
        <f t="shared" si="303"/>
        <v>0.10112359550561799</v>
      </c>
      <c r="EB88" s="150">
        <f t="shared" si="264"/>
        <v>4.9799999999999995</v>
      </c>
      <c r="EC88" s="150">
        <f t="shared" si="265"/>
        <v>0.92222222222222205</v>
      </c>
      <c r="ED88" s="150">
        <f t="shared" si="304"/>
        <v>5.4</v>
      </c>
      <c r="EE88" s="144">
        <f t="shared" si="266"/>
        <v>10.218683333333333</v>
      </c>
      <c r="EF88" s="5">
        <f t="shared" si="267"/>
        <v>0.19711966306584353</v>
      </c>
      <c r="EG88" s="5"/>
      <c r="EH88" s="150">
        <f t="shared" si="305"/>
        <v>0.37673088194015547</v>
      </c>
      <c r="EI88" s="150">
        <f t="shared" si="268"/>
        <v>1.1231944816555139</v>
      </c>
      <c r="EJ88" s="150"/>
      <c r="EK88" s="456">
        <f t="shared" si="269"/>
        <v>2.8385231481481473E-3</v>
      </c>
      <c r="EL88" s="456">
        <f t="shared" si="270"/>
        <v>0.432</v>
      </c>
      <c r="EM88" s="456">
        <f t="shared" si="271"/>
        <v>2.4640919440924919E-2</v>
      </c>
      <c r="EN88" s="456">
        <f t="shared" si="272"/>
        <v>5.6212048192771091E-2</v>
      </c>
      <c r="EO88">
        <f t="shared" si="273"/>
        <v>2.1600000000000001E-2</v>
      </c>
      <c r="EP88" s="144">
        <f t="shared" si="306"/>
        <v>46.24091944092492</v>
      </c>
      <c r="EQ88" s="456">
        <f t="shared" si="274"/>
        <v>0.53842102099013567</v>
      </c>
      <c r="ER88" s="144">
        <f t="shared" si="307"/>
        <v>538.42102099013562</v>
      </c>
      <c r="ES88" s="456">
        <f t="shared" si="308"/>
        <v>0.6187649999999999</v>
      </c>
      <c r="ET88" s="456"/>
      <c r="EV88" s="144">
        <f t="shared" si="309"/>
        <v>618.76499999999987</v>
      </c>
      <c r="EW88" s="456">
        <f t="shared" si="275"/>
        <v>4.2577847222222201E-3</v>
      </c>
      <c r="EX88" s="456">
        <f t="shared" si="276"/>
        <v>3.7846975308641957E-2</v>
      </c>
      <c r="EY88" s="456">
        <f t="shared" si="277"/>
        <v>0.16453232685410388</v>
      </c>
      <c r="EZ88" s="456">
        <f t="shared" si="278"/>
        <v>0.21747476712297395</v>
      </c>
      <c r="FA88" s="456">
        <f t="shared" si="279"/>
        <v>8.299999999999999E-4</v>
      </c>
      <c r="FB88" s="144">
        <f t="shared" si="310"/>
        <v>218.30476712297394</v>
      </c>
      <c r="FC88" s="150">
        <f t="shared" si="311"/>
        <v>1.3754907881131098</v>
      </c>
      <c r="FD88" s="5">
        <f t="shared" si="312"/>
        <v>4.9799999999999995</v>
      </c>
      <c r="FE88" s="150">
        <f t="shared" si="313"/>
        <v>0.78357441872376921</v>
      </c>
      <c r="FF88" s="5">
        <f t="shared" si="314"/>
        <v>78.357441872376924</v>
      </c>
      <c r="FI88" s="59">
        <f t="shared" si="280"/>
        <v>-50</v>
      </c>
      <c r="FJ88">
        <f t="shared" si="281"/>
        <v>-50</v>
      </c>
      <c r="FL88">
        <f t="shared" si="282"/>
        <v>0.898876404494382</v>
      </c>
    </row>
    <row r="89" spans="5:168">
      <c r="E89" s="147">
        <v>84</v>
      </c>
      <c r="F89" s="188">
        <f t="shared" si="283"/>
        <v>1.008</v>
      </c>
      <c r="G89" s="188"/>
      <c r="H89" s="188">
        <f t="shared" si="183"/>
        <v>5.04</v>
      </c>
      <c r="I89" s="465">
        <f t="shared" si="184"/>
        <v>47.943315845841788</v>
      </c>
      <c r="J89" s="149">
        <f t="shared" si="185"/>
        <v>5.4340104924949291</v>
      </c>
      <c r="K89" s="149">
        <f t="shared" si="186"/>
        <v>53.434010492494927</v>
      </c>
      <c r="L89" s="379"/>
      <c r="M89" s="188">
        <f t="shared" si="187"/>
        <v>0.10179752123927566</v>
      </c>
      <c r="N89" s="149">
        <f t="shared" si="188"/>
        <v>12.494107425531855</v>
      </c>
      <c r="O89" s="149">
        <f t="shared" si="284"/>
        <v>5.04</v>
      </c>
      <c r="P89" s="188">
        <f t="shared" si="189"/>
        <v>2.498821485106371</v>
      </c>
      <c r="Q89" s="188">
        <f t="shared" si="190"/>
        <v>5</v>
      </c>
      <c r="R89" s="188">
        <f t="shared" si="191"/>
        <v>2.4402553565491907</v>
      </c>
      <c r="S89" s="149">
        <f t="shared" si="192"/>
        <v>71.231439697976654</v>
      </c>
      <c r="T89" s="149">
        <f t="shared" si="193"/>
        <v>5</v>
      </c>
      <c r="U89" s="188">
        <f t="shared" si="194"/>
        <v>2.2444827838613102</v>
      </c>
      <c r="V89" s="188">
        <f t="shared" si="195"/>
        <v>0.56178411799758188</v>
      </c>
      <c r="W89" s="188">
        <f t="shared" si="196"/>
        <v>4.9565221568001698</v>
      </c>
      <c r="X89" s="172">
        <f t="shared" si="197"/>
        <v>350</v>
      </c>
      <c r="Y89" s="379">
        <f t="shared" si="198"/>
        <v>174.87695690720389</v>
      </c>
      <c r="AA89" s="188">
        <f t="shared" si="199"/>
        <v>1.1620971425919069</v>
      </c>
      <c r="AB89" s="150">
        <f t="shared" si="200"/>
        <v>2.5662750799548437</v>
      </c>
      <c r="AC89" s="150">
        <f t="shared" si="201"/>
        <v>0.52189566406605969</v>
      </c>
      <c r="AD89" s="150"/>
      <c r="AE89" s="150">
        <f t="shared" si="202"/>
        <v>2.208313733765062</v>
      </c>
      <c r="AF89" s="314">
        <f t="shared" si="203"/>
        <v>912.91376273914807</v>
      </c>
      <c r="AG89" s="456">
        <f t="shared" si="204"/>
        <v>0.38645490340888583</v>
      </c>
      <c r="AI89" s="150">
        <f t="shared" si="205"/>
        <v>1.6150309707239567</v>
      </c>
      <c r="AJ89" s="150">
        <f t="shared" si="206"/>
        <v>2.2444827838613102</v>
      </c>
      <c r="AK89" s="150">
        <f t="shared" si="207"/>
        <v>2.1218390991565261</v>
      </c>
      <c r="AM89" s="314">
        <f t="shared" si="208"/>
        <v>1008</v>
      </c>
      <c r="AN89" s="144">
        <f t="shared" si="209"/>
        <v>174.87695690720389</v>
      </c>
      <c r="AP89">
        <f t="shared" si="210"/>
        <v>1008</v>
      </c>
      <c r="AQ89">
        <f t="shared" si="211"/>
        <v>174.87695690720389</v>
      </c>
      <c r="AS89" s="5">
        <f t="shared" si="285"/>
        <v>5.7183062747977518</v>
      </c>
      <c r="AT89" s="5">
        <f t="shared" si="212"/>
        <v>0.56178411799758188</v>
      </c>
      <c r="AU89" s="5">
        <f t="shared" si="286"/>
        <v>5.15652215680017</v>
      </c>
      <c r="AV89" s="5">
        <f t="shared" si="213"/>
        <v>4.9565221568001698</v>
      </c>
      <c r="AW89" s="150">
        <f t="shared" si="287"/>
        <v>9.8243096994214671E-2</v>
      </c>
      <c r="AX89" s="150">
        <f t="shared" si="214"/>
        <v>5.2858689880803844</v>
      </c>
      <c r="AY89" s="150">
        <f t="shared" si="215"/>
        <v>1.0119889220122893</v>
      </c>
      <c r="AZ89" s="150">
        <f t="shared" si="288"/>
        <v>5.2232478766365338</v>
      </c>
      <c r="BA89" s="144">
        <f t="shared" si="216"/>
        <v>11.325567818831251</v>
      </c>
      <c r="BB89" s="5">
        <f t="shared" si="217"/>
        <v>0.22586457232326676</v>
      </c>
      <c r="BC89" s="5"/>
      <c r="BD89" s="150">
        <f t="shared" si="289"/>
        <v>0.40616890625285357</v>
      </c>
      <c r="BE89" s="150">
        <f t="shared" si="218"/>
        <v>1.2305531853371066</v>
      </c>
      <c r="BF89" s="150"/>
      <c r="BG89" s="456">
        <f t="shared" si="219"/>
        <v>3.2994636081327871E-3</v>
      </c>
      <c r="BH89" s="456">
        <f t="shared" si="220"/>
        <v>0.39324925574436581</v>
      </c>
      <c r="BI89" s="456">
        <f t="shared" si="221"/>
        <v>0.20960452947904348</v>
      </c>
      <c r="BJ89" s="456">
        <f t="shared" si="222"/>
        <v>4.9930754669363038E-2</v>
      </c>
      <c r="BK89">
        <f t="shared" si="223"/>
        <v>2.1574492130628804E-2</v>
      </c>
      <c r="BL89" s="144">
        <f t="shared" si="290"/>
        <v>231.1790216096723</v>
      </c>
      <c r="BM89" s="456">
        <f t="shared" si="224"/>
        <v>0.44772132146918664</v>
      </c>
      <c r="BN89" s="144">
        <f t="shared" si="291"/>
        <v>447.72132146918665</v>
      </c>
      <c r="BO89" s="456">
        <f t="shared" si="225"/>
        <v>0.62622</v>
      </c>
      <c r="BP89" s="456"/>
      <c r="BR89" s="144">
        <f t="shared" si="292"/>
        <v>626.22</v>
      </c>
      <c r="BS89" s="456">
        <f t="shared" si="226"/>
        <v>4.9491954121991802E-3</v>
      </c>
      <c r="BT89" s="456">
        <f t="shared" si="227"/>
        <v>4.542783425829898E-2</v>
      </c>
      <c r="BU89" s="456">
        <f t="shared" si="228"/>
        <v>7.5600000000000001E-2</v>
      </c>
      <c r="BV89" s="456">
        <f t="shared" si="229"/>
        <v>0.13862620289833916</v>
      </c>
      <c r="BW89" s="456">
        <f t="shared" si="230"/>
        <v>8.80978164680064E-4</v>
      </c>
      <c r="BX89" s="144">
        <f t="shared" si="293"/>
        <v>139.5071810630192</v>
      </c>
      <c r="BY89" s="150">
        <f t="shared" si="231"/>
        <v>1.4446275241418782</v>
      </c>
      <c r="BZ89" s="5">
        <f t="shared" si="294"/>
        <v>5.04</v>
      </c>
      <c r="CA89" s="150">
        <f t="shared" si="295"/>
        <v>0.77722274428814664</v>
      </c>
      <c r="CB89" s="5">
        <f t="shared" si="296"/>
        <v>77.722274428814657</v>
      </c>
      <c r="CE89" s="59">
        <f t="shared" si="232"/>
        <v>-50</v>
      </c>
      <c r="CF89">
        <f t="shared" si="233"/>
        <v>-50</v>
      </c>
      <c r="CG89" s="150">
        <f t="shared" si="234"/>
        <v>0.88913737442963547</v>
      </c>
      <c r="CI89" s="147">
        <v>84</v>
      </c>
      <c r="CJ89" s="188">
        <f t="shared" si="297"/>
        <v>1.008</v>
      </c>
      <c r="CK89" s="188"/>
      <c r="CL89" s="188">
        <f t="shared" si="235"/>
        <v>5.04</v>
      </c>
      <c r="CM89" s="465">
        <f t="shared" si="236"/>
        <v>48</v>
      </c>
      <c r="CN89" s="149">
        <f t="shared" si="237"/>
        <v>5.4</v>
      </c>
      <c r="CO89" s="379">
        <f t="shared" si="238"/>
        <v>53.4</v>
      </c>
      <c r="CP89" s="379"/>
      <c r="CQ89" s="188">
        <f t="shared" si="239"/>
        <v>0.10112359550561799</v>
      </c>
      <c r="CR89" s="149">
        <f t="shared" si="240"/>
        <v>12.426067415730339</v>
      </c>
      <c r="CS89" s="149">
        <f t="shared" si="298"/>
        <v>5.04</v>
      </c>
      <c r="CT89" s="188">
        <f t="shared" si="241"/>
        <v>2.4852134831460679</v>
      </c>
      <c r="CU89" s="188">
        <f t="shared" si="242"/>
        <v>5</v>
      </c>
      <c r="CV89" s="188">
        <f t="shared" si="243"/>
        <v>2.4269662921348316</v>
      </c>
      <c r="CW89" s="149">
        <f t="shared" si="244"/>
        <v>71.315344179800832</v>
      </c>
      <c r="CX89" s="149">
        <f t="shared" si="245"/>
        <v>5</v>
      </c>
      <c r="CY89" s="188">
        <f t="shared" si="246"/>
        <v>2.0766666666666667</v>
      </c>
      <c r="CZ89" s="188">
        <f t="shared" si="247"/>
        <v>0.51916666666666678</v>
      </c>
      <c r="DA89" s="188">
        <f t="shared" si="248"/>
        <v>4.6148148148148156</v>
      </c>
      <c r="DB89" s="172">
        <f t="shared" si="249"/>
        <v>350</v>
      </c>
      <c r="DC89" s="379">
        <f t="shared" si="299"/>
        <v>194.78060129493025</v>
      </c>
      <c r="DE89" s="188">
        <f t="shared" si="250"/>
        <v>1.1556982343499198</v>
      </c>
      <c r="DF89" s="150">
        <f t="shared" si="251"/>
        <v>2.5682182985553772</v>
      </c>
      <c r="DG89" s="150">
        <f t="shared" si="252"/>
        <v>0.51941493678648076</v>
      </c>
      <c r="DH89" s="150"/>
      <c r="DI89" s="150">
        <f t="shared" si="253"/>
        <v>2.2222222222222219</v>
      </c>
      <c r="DJ89" s="314">
        <f t="shared" si="300"/>
        <v>907.20000000000016</v>
      </c>
      <c r="DK89" s="456">
        <f t="shared" si="254"/>
        <v>0.38888888888888884</v>
      </c>
      <c r="DM89" s="150">
        <f t="shared" si="255"/>
        <v>1.6099689437998488</v>
      </c>
      <c r="DN89" s="150">
        <f t="shared" si="256"/>
        <v>2.0766666666666667</v>
      </c>
      <c r="DO89" s="150">
        <f t="shared" si="257"/>
        <v>1.9975308641975307</v>
      </c>
      <c r="DQ89" s="314">
        <f t="shared" si="258"/>
        <v>1008</v>
      </c>
      <c r="DR89" s="144">
        <f t="shared" si="259"/>
        <v>194.78060129493025</v>
      </c>
      <c r="DT89">
        <f t="shared" si="260"/>
        <v>1008</v>
      </c>
      <c r="DU89">
        <f t="shared" si="261"/>
        <v>194.78060129493025</v>
      </c>
      <c r="DW89" s="5">
        <f t="shared" si="301"/>
        <v>5.1339814814814826</v>
      </c>
      <c r="DX89" s="5">
        <f t="shared" si="262"/>
        <v>0.51916666666666678</v>
      </c>
      <c r="DY89" s="5">
        <f t="shared" si="302"/>
        <v>4.6148148148148156</v>
      </c>
      <c r="DZ89" s="5">
        <f t="shared" si="263"/>
        <v>4.6148148148148156</v>
      </c>
      <c r="EA89" s="150">
        <f t="shared" si="303"/>
        <v>0.10112359550561797</v>
      </c>
      <c r="EB89" s="150">
        <f t="shared" si="264"/>
        <v>5.0399999999999991</v>
      </c>
      <c r="EC89" s="150">
        <f t="shared" si="265"/>
        <v>0.93333333333333335</v>
      </c>
      <c r="ED89" s="150">
        <f t="shared" si="304"/>
        <v>5.3999999999999986</v>
      </c>
      <c r="EE89" s="144">
        <f t="shared" si="266"/>
        <v>10.466400000000002</v>
      </c>
      <c r="EF89" s="5">
        <f t="shared" si="267"/>
        <v>0.20189814814814816</v>
      </c>
      <c r="EG89" s="5"/>
      <c r="EH89" s="150">
        <f t="shared" si="305"/>
        <v>0.38126980822859119</v>
      </c>
      <c r="EI89" s="150">
        <f t="shared" si="268"/>
        <v>1.136726945289918</v>
      </c>
      <c r="EJ89" s="150"/>
      <c r="EK89" s="456">
        <f t="shared" si="269"/>
        <v>2.9073333333333343E-3</v>
      </c>
      <c r="EL89" s="456">
        <f t="shared" si="270"/>
        <v>0.43199999999999988</v>
      </c>
      <c r="EM89" s="456">
        <f t="shared" si="271"/>
        <v>2.4347575161866281E-2</v>
      </c>
      <c r="EN89" s="456">
        <f t="shared" si="272"/>
        <v>5.554285714285713E-2</v>
      </c>
      <c r="EO89">
        <f t="shared" si="273"/>
        <v>2.1600000000000001E-2</v>
      </c>
      <c r="EP89" s="144">
        <f t="shared" si="306"/>
        <v>45.947575161866283</v>
      </c>
      <c r="EQ89" s="456">
        <f t="shared" si="274"/>
        <v>0.5375540785345565</v>
      </c>
      <c r="ER89" s="144">
        <f t="shared" si="307"/>
        <v>537.55407853455654</v>
      </c>
      <c r="ES89" s="456">
        <f t="shared" si="308"/>
        <v>0.62622</v>
      </c>
      <c r="ET89" s="456"/>
      <c r="EV89" s="144">
        <f t="shared" si="309"/>
        <v>626.22</v>
      </c>
      <c r="EW89" s="456">
        <f t="shared" si="275"/>
        <v>4.3610000000000012E-3</v>
      </c>
      <c r="EX89" s="456">
        <f t="shared" si="276"/>
        <v>3.8764444444444449E-2</v>
      </c>
      <c r="EY89" s="456">
        <f t="shared" si="277"/>
        <v>0.16453232685410402</v>
      </c>
      <c r="EZ89" s="456">
        <f t="shared" si="278"/>
        <v>0.21876261677130251</v>
      </c>
      <c r="FA89" s="456">
        <f t="shared" si="279"/>
        <v>8.3999999999999993E-4</v>
      </c>
      <c r="FB89" s="144">
        <f t="shared" si="310"/>
        <v>219.60261677130254</v>
      </c>
      <c r="FC89" s="150">
        <f t="shared" si="311"/>
        <v>1.383376695305859</v>
      </c>
      <c r="FD89" s="5">
        <f t="shared" si="312"/>
        <v>5.04</v>
      </c>
      <c r="FE89" s="150">
        <f t="shared" si="313"/>
        <v>0.78463403892896122</v>
      </c>
      <c r="FF89" s="5">
        <f t="shared" si="314"/>
        <v>78.463403892896125</v>
      </c>
      <c r="FI89" s="59">
        <f t="shared" si="280"/>
        <v>-50</v>
      </c>
      <c r="FJ89">
        <f t="shared" si="281"/>
        <v>-50</v>
      </c>
      <c r="FL89">
        <f t="shared" si="282"/>
        <v>0.898876404494382</v>
      </c>
    </row>
    <row r="90" spans="5:168">
      <c r="E90" s="147">
        <v>85</v>
      </c>
      <c r="F90" s="188">
        <f t="shared" si="283"/>
        <v>1.02</v>
      </c>
      <c r="G90" s="188"/>
      <c r="H90" s="188">
        <f t="shared" si="183"/>
        <v>5.0999999999999996</v>
      </c>
      <c r="I90" s="465">
        <f t="shared" si="184"/>
        <v>47.942648424973278</v>
      </c>
      <c r="J90" s="149">
        <f t="shared" si="185"/>
        <v>5.4344109450160349</v>
      </c>
      <c r="K90" s="149">
        <f t="shared" si="186"/>
        <v>53.434410945016033</v>
      </c>
      <c r="L90" s="379"/>
      <c r="M90" s="188">
        <f t="shared" si="187"/>
        <v>0.10180553357341196</v>
      </c>
      <c r="N90" s="149">
        <f t="shared" si="188"/>
        <v>12.494916873796871</v>
      </c>
      <c r="O90" s="149">
        <f t="shared" si="284"/>
        <v>5.0999999999999996</v>
      </c>
      <c r="P90" s="188">
        <f t="shared" si="189"/>
        <v>2.4989833747593742</v>
      </c>
      <c r="Q90" s="188">
        <f t="shared" si="190"/>
        <v>5</v>
      </c>
      <c r="R90" s="188">
        <f t="shared" si="191"/>
        <v>2.4404134519134515</v>
      </c>
      <c r="S90" s="149">
        <f t="shared" si="192"/>
        <v>69.836876868674466</v>
      </c>
      <c r="T90" s="149">
        <f t="shared" si="193"/>
        <v>5</v>
      </c>
      <c r="U90" s="188">
        <f t="shared" si="194"/>
        <v>2.2712230772429667</v>
      </c>
      <c r="V90" s="188">
        <f t="shared" si="195"/>
        <v>0.56848500911598931</v>
      </c>
      <c r="W90" s="188">
        <f t="shared" si="196"/>
        <v>5.015203524847748</v>
      </c>
      <c r="X90" s="172">
        <f t="shared" si="197"/>
        <v>350</v>
      </c>
      <c r="Y90" s="379">
        <f t="shared" si="198"/>
        <v>172.9000436534001</v>
      </c>
      <c r="AA90" s="188">
        <f t="shared" si="199"/>
        <v>1.1621724157160707</v>
      </c>
      <c r="AB90" s="150">
        <f t="shared" si="200"/>
        <v>2.5662521899237229</v>
      </c>
      <c r="AC90" s="150">
        <f t="shared" si="201"/>
        <v>0.52192481370755417</v>
      </c>
      <c r="AD90" s="150"/>
      <c r="AE90" s="150">
        <f t="shared" si="202"/>
        <v>2.2081510068732193</v>
      </c>
      <c r="AF90" s="314">
        <f t="shared" si="203"/>
        <v>923.84986065272597</v>
      </c>
      <c r="AG90" s="456">
        <f t="shared" si="204"/>
        <v>0.38642642620281337</v>
      </c>
      <c r="AI90" s="150">
        <f t="shared" si="205"/>
        <v>1.6246756693064495</v>
      </c>
      <c r="AJ90" s="150">
        <f t="shared" si="206"/>
        <v>2.2712230772429667</v>
      </c>
      <c r="AK90" s="150">
        <f t="shared" si="207"/>
        <v>2.1416467238836789</v>
      </c>
      <c r="AM90" s="314">
        <f t="shared" si="208"/>
        <v>1020</v>
      </c>
      <c r="AN90" s="144">
        <f t="shared" si="209"/>
        <v>172.9000436534001</v>
      </c>
      <c r="AP90">
        <f t="shared" si="210"/>
        <v>1020</v>
      </c>
      <c r="AQ90">
        <f t="shared" si="211"/>
        <v>172.9000436534001</v>
      </c>
      <c r="AS90" s="5">
        <f t="shared" si="285"/>
        <v>5.7836885339637378</v>
      </c>
      <c r="AT90" s="5">
        <f t="shared" si="212"/>
        <v>0.56848500911598931</v>
      </c>
      <c r="AU90" s="5">
        <f t="shared" si="286"/>
        <v>5.2152035248477482</v>
      </c>
      <c r="AV90" s="5">
        <f t="shared" si="213"/>
        <v>5.015203524847748</v>
      </c>
      <c r="AW90" s="150">
        <f t="shared" si="287"/>
        <v>9.8291082892458123E-2</v>
      </c>
      <c r="AX90" s="150">
        <f t="shared" si="214"/>
        <v>5.3513818072762973</v>
      </c>
      <c r="AY90" s="150">
        <f t="shared" si="215"/>
        <v>1.0239910507452072</v>
      </c>
      <c r="AZ90" s="150">
        <f t="shared" si="288"/>
        <v>5.2260044688689815</v>
      </c>
      <c r="BA90" s="144">
        <f t="shared" si="216"/>
        <v>11.597094185966181</v>
      </c>
      <c r="BB90" s="5">
        <f t="shared" si="217"/>
        <v>0.23115759880567421</v>
      </c>
      <c r="BC90" s="5"/>
      <c r="BD90" s="150">
        <f t="shared" si="289"/>
        <v>0.41110828091693563</v>
      </c>
      <c r="BE90" s="150">
        <f t="shared" si="218"/>
        <v>1.2451806041274462</v>
      </c>
      <c r="BF90" s="150"/>
      <c r="BG90" s="456">
        <f t="shared" si="219"/>
        <v>3.3802003727695612E-3</v>
      </c>
      <c r="BH90" s="456">
        <f t="shared" si="220"/>
        <v>0.39343880599896297</v>
      </c>
      <c r="BI90" s="456">
        <f t="shared" si="221"/>
        <v>0.20723215013843735</v>
      </c>
      <c r="BJ90" s="456">
        <f t="shared" si="222"/>
        <v>4.936704762495342E-2</v>
      </c>
      <c r="BK90">
        <f t="shared" si="223"/>
        <v>2.1574191791237974E-2</v>
      </c>
      <c r="BL90" s="144">
        <f t="shared" si="290"/>
        <v>228.80634192967534</v>
      </c>
      <c r="BM90" s="456">
        <f t="shared" si="224"/>
        <v>0.44745807761280687</v>
      </c>
      <c r="BN90" s="144">
        <f t="shared" si="291"/>
        <v>447.45807761280685</v>
      </c>
      <c r="BO90" s="456">
        <f t="shared" si="225"/>
        <v>0.63367499999999999</v>
      </c>
      <c r="BP90" s="456"/>
      <c r="BR90" s="144">
        <f t="shared" si="292"/>
        <v>633.67499999999995</v>
      </c>
      <c r="BS90" s="456">
        <f t="shared" si="226"/>
        <v>5.0703005591543416E-3</v>
      </c>
      <c r="BT90" s="456">
        <f t="shared" si="227"/>
        <v>4.6514242106855765E-2</v>
      </c>
      <c r="BU90" s="456">
        <f t="shared" si="228"/>
        <v>7.6499999999999999E-2</v>
      </c>
      <c r="BV90" s="456">
        <f t="shared" si="229"/>
        <v>0.14104690009271181</v>
      </c>
      <c r="BW90" s="456">
        <f t="shared" si="230"/>
        <v>8.9189696787938296E-4</v>
      </c>
      <c r="BX90" s="144">
        <f t="shared" si="293"/>
        <v>141.93879706059121</v>
      </c>
      <c r="BY90" s="150">
        <f t="shared" si="231"/>
        <v>1.451878216603073</v>
      </c>
      <c r="BZ90" s="5">
        <f t="shared" si="294"/>
        <v>5.0999999999999996</v>
      </c>
      <c r="CA90" s="150">
        <f t="shared" si="295"/>
        <v>0.77840274672324072</v>
      </c>
      <c r="CB90" s="5">
        <f t="shared" si="296"/>
        <v>77.840274672324071</v>
      </c>
      <c r="CE90" s="59">
        <f t="shared" si="232"/>
        <v>-50</v>
      </c>
      <c r="CF90">
        <f t="shared" si="233"/>
        <v>-50</v>
      </c>
      <c r="CG90" s="150">
        <f t="shared" si="234"/>
        <v>0.88925195125392664</v>
      </c>
      <c r="CI90" s="147">
        <v>85</v>
      </c>
      <c r="CJ90" s="188">
        <f t="shared" si="297"/>
        <v>1.02</v>
      </c>
      <c r="CK90" s="188"/>
      <c r="CL90" s="188">
        <f t="shared" si="235"/>
        <v>5.0999999999999996</v>
      </c>
      <c r="CM90" s="465">
        <f t="shared" si="236"/>
        <v>48</v>
      </c>
      <c r="CN90" s="149">
        <f t="shared" si="237"/>
        <v>5.4</v>
      </c>
      <c r="CO90" s="379">
        <f t="shared" si="238"/>
        <v>53.4</v>
      </c>
      <c r="CP90" s="379"/>
      <c r="CQ90" s="188">
        <f t="shared" si="239"/>
        <v>0.10112359550561799</v>
      </c>
      <c r="CR90" s="149">
        <f t="shared" si="240"/>
        <v>12.426067415730339</v>
      </c>
      <c r="CS90" s="149">
        <f t="shared" si="298"/>
        <v>5.0999999999999996</v>
      </c>
      <c r="CT90" s="188">
        <f t="shared" si="241"/>
        <v>2.4852134831460679</v>
      </c>
      <c r="CU90" s="188">
        <f t="shared" si="242"/>
        <v>5</v>
      </c>
      <c r="CV90" s="188">
        <f t="shared" si="243"/>
        <v>2.4269662921348316</v>
      </c>
      <c r="CW90" s="149">
        <f t="shared" si="244"/>
        <v>69.920095993469886</v>
      </c>
      <c r="CX90" s="149">
        <f t="shared" si="245"/>
        <v>5</v>
      </c>
      <c r="CY90" s="188">
        <f t="shared" si="246"/>
        <v>2.1013888888888888</v>
      </c>
      <c r="CZ90" s="188">
        <f t="shared" si="247"/>
        <v>0.52534722222222219</v>
      </c>
      <c r="DA90" s="188">
        <f t="shared" si="248"/>
        <v>4.6697530864197523</v>
      </c>
      <c r="DB90" s="172">
        <f t="shared" si="249"/>
        <v>350</v>
      </c>
      <c r="DC90" s="379">
        <f t="shared" si="299"/>
        <v>192.48906480910762</v>
      </c>
      <c r="DE90" s="188">
        <f t="shared" si="250"/>
        <v>1.1556982343499198</v>
      </c>
      <c r="DF90" s="150">
        <f t="shared" si="251"/>
        <v>2.5682182985553772</v>
      </c>
      <c r="DG90" s="150">
        <f t="shared" si="252"/>
        <v>0.51941493678648076</v>
      </c>
      <c r="DH90" s="150"/>
      <c r="DI90" s="150">
        <f t="shared" si="253"/>
        <v>2.2222222222222219</v>
      </c>
      <c r="DJ90" s="314">
        <f t="shared" si="300"/>
        <v>918.00000000000011</v>
      </c>
      <c r="DK90" s="456">
        <f t="shared" si="254"/>
        <v>0.38888888888888884</v>
      </c>
      <c r="DM90" s="150">
        <f t="shared" si="255"/>
        <v>1.6195237395163873</v>
      </c>
      <c r="DN90" s="150">
        <f t="shared" si="256"/>
        <v>2.1013888888888888</v>
      </c>
      <c r="DO90" s="150">
        <f t="shared" si="257"/>
        <v>2.0158436213991768</v>
      </c>
      <c r="DQ90" s="314">
        <f t="shared" si="258"/>
        <v>1020</v>
      </c>
      <c r="DR90" s="144">
        <f t="shared" si="259"/>
        <v>192.48906480910762</v>
      </c>
      <c r="DT90">
        <f t="shared" si="260"/>
        <v>1020</v>
      </c>
      <c r="DU90">
        <f t="shared" si="261"/>
        <v>192.48906480910762</v>
      </c>
      <c r="DW90" s="5">
        <f t="shared" si="301"/>
        <v>5.1951003086419743</v>
      </c>
      <c r="DX90" s="5">
        <f t="shared" si="262"/>
        <v>0.52534722222222219</v>
      </c>
      <c r="DY90" s="5">
        <f t="shared" si="302"/>
        <v>4.6697530864197523</v>
      </c>
      <c r="DZ90" s="5">
        <f t="shared" si="263"/>
        <v>4.6697530864197523</v>
      </c>
      <c r="EA90" s="150">
        <f t="shared" si="303"/>
        <v>0.10112359550561799</v>
      </c>
      <c r="EB90" s="150">
        <f t="shared" si="264"/>
        <v>5.0999999999999996</v>
      </c>
      <c r="EC90" s="150">
        <f t="shared" si="265"/>
        <v>0.94444444444444431</v>
      </c>
      <c r="ED90" s="150">
        <f t="shared" si="304"/>
        <v>5.4</v>
      </c>
      <c r="EE90" s="144">
        <f t="shared" si="266"/>
        <v>10.717083333333331</v>
      </c>
      <c r="EF90" s="5">
        <f t="shared" si="267"/>
        <v>0.20673386059670773</v>
      </c>
      <c r="EG90" s="5"/>
      <c r="EH90" s="150">
        <f t="shared" si="305"/>
        <v>0.38580873451702674</v>
      </c>
      <c r="EI90" s="150">
        <f t="shared" si="268"/>
        <v>1.1502594089243217</v>
      </c>
      <c r="EJ90" s="150"/>
      <c r="EK90" s="456">
        <f t="shared" si="269"/>
        <v>2.9769675925925927E-3</v>
      </c>
      <c r="EL90" s="456">
        <f t="shared" si="270"/>
        <v>0.432</v>
      </c>
      <c r="EM90" s="456">
        <f t="shared" si="271"/>
        <v>2.406113310113845E-2</v>
      </c>
      <c r="EN90" s="456">
        <f t="shared" si="272"/>
        <v>5.4889411764705895E-2</v>
      </c>
      <c r="EO90">
        <f t="shared" si="273"/>
        <v>2.1600000000000001E-2</v>
      </c>
      <c r="EP90" s="144">
        <f t="shared" si="306"/>
        <v>45.661133101138454</v>
      </c>
      <c r="EQ90" s="456">
        <f t="shared" si="274"/>
        <v>0.53671092410460652</v>
      </c>
      <c r="ER90" s="144">
        <f t="shared" si="307"/>
        <v>536.71092410460653</v>
      </c>
      <c r="ES90" s="456">
        <f t="shared" si="308"/>
        <v>0.63367499999999999</v>
      </c>
      <c r="ET90" s="456"/>
      <c r="EV90" s="144">
        <f t="shared" si="309"/>
        <v>633.67499999999995</v>
      </c>
      <c r="EW90" s="456">
        <f t="shared" si="275"/>
        <v>4.4654513888888886E-3</v>
      </c>
      <c r="EX90" s="456">
        <f t="shared" si="276"/>
        <v>3.9692901234567889E-2</v>
      </c>
      <c r="EY90" s="456">
        <f t="shared" si="277"/>
        <v>0.16453232685410393</v>
      </c>
      <c r="EZ90" s="456">
        <f t="shared" si="278"/>
        <v>0.2200661046391203</v>
      </c>
      <c r="FA90" s="456">
        <f t="shared" si="279"/>
        <v>8.5000000000000006E-4</v>
      </c>
      <c r="FB90" s="144">
        <f t="shared" si="310"/>
        <v>220.91610463912028</v>
      </c>
      <c r="FC90" s="150">
        <f t="shared" si="311"/>
        <v>1.391302028743727</v>
      </c>
      <c r="FD90" s="5">
        <f t="shared" si="312"/>
        <v>5.0999999999999996</v>
      </c>
      <c r="FE90" s="150">
        <f t="shared" si="313"/>
        <v>0.78566672408971427</v>
      </c>
      <c r="FF90" s="5">
        <f t="shared" si="314"/>
        <v>78.566672408971428</v>
      </c>
      <c r="FI90" s="59">
        <f t="shared" si="280"/>
        <v>-50</v>
      </c>
      <c r="FJ90">
        <f t="shared" si="281"/>
        <v>-50</v>
      </c>
      <c r="FL90">
        <f t="shared" si="282"/>
        <v>0.898876404494382</v>
      </c>
    </row>
    <row r="91" spans="5:168">
      <c r="E91" s="147">
        <v>86</v>
      </c>
      <c r="F91" s="188">
        <f t="shared" si="283"/>
        <v>1.032</v>
      </c>
      <c r="G91" s="188"/>
      <c r="H91" s="188">
        <f t="shared" si="183"/>
        <v>5.16</v>
      </c>
      <c r="I91" s="465">
        <f t="shared" si="184"/>
        <v>47.941981002244816</v>
      </c>
      <c r="J91" s="149">
        <f t="shared" si="185"/>
        <v>5.4348113986531104</v>
      </c>
      <c r="K91" s="149">
        <f t="shared" si="186"/>
        <v>53.43481139865311</v>
      </c>
      <c r="L91" s="379"/>
      <c r="M91" s="188">
        <f t="shared" si="187"/>
        <v>0.10181354599123102</v>
      </c>
      <c r="N91" s="149">
        <f t="shared" si="188"/>
        <v>12.495726304467908</v>
      </c>
      <c r="O91" s="149">
        <f t="shared" si="284"/>
        <v>5.16</v>
      </c>
      <c r="P91" s="188">
        <f t="shared" si="189"/>
        <v>2.4991452608935818</v>
      </c>
      <c r="Q91" s="188">
        <f t="shared" si="190"/>
        <v>5</v>
      </c>
      <c r="R91" s="188">
        <f t="shared" si="191"/>
        <v>2.4405715438413877</v>
      </c>
      <c r="S91" s="149">
        <f t="shared" si="192"/>
        <v>68.47496792497914</v>
      </c>
      <c r="T91" s="149">
        <f t="shared" si="193"/>
        <v>5</v>
      </c>
      <c r="U91" s="188">
        <f t="shared" si="194"/>
        <v>2.2979638479159799</v>
      </c>
      <c r="V91" s="188">
        <f t="shared" si="195"/>
        <v>0.57518620629590944</v>
      </c>
      <c r="W91" s="188">
        <f t="shared" si="196"/>
        <v>5.0738772980835565</v>
      </c>
      <c r="X91" s="172">
        <f t="shared" si="197"/>
        <v>350</v>
      </c>
      <c r="Y91" s="379">
        <f t="shared" si="198"/>
        <v>170.96754023122733</v>
      </c>
      <c r="AA91" s="188">
        <f t="shared" si="199"/>
        <v>1.1622476874185663</v>
      </c>
      <c r="AB91" s="150">
        <f t="shared" si="200"/>
        <v>2.5662292995998395</v>
      </c>
      <c r="AC91" s="150">
        <f t="shared" si="201"/>
        <v>0.52195396204799405</v>
      </c>
      <c r="AD91" s="150"/>
      <c r="AE91" s="150">
        <f t="shared" si="202"/>
        <v>2.2079883035083641</v>
      </c>
      <c r="AF91" s="314">
        <f t="shared" si="203"/>
        <v>934.78756056833504</v>
      </c>
      <c r="AG91" s="456">
        <f t="shared" si="204"/>
        <v>0.38639795311396369</v>
      </c>
      <c r="AI91" s="150">
        <f t="shared" si="205"/>
        <v>1.63426485051347</v>
      </c>
      <c r="AJ91" s="150">
        <f t="shared" si="206"/>
        <v>2.2979638479159799</v>
      </c>
      <c r="AK91" s="150">
        <f t="shared" si="207"/>
        <v>2.1614547021599853</v>
      </c>
      <c r="AM91" s="314">
        <f t="shared" si="208"/>
        <v>1032</v>
      </c>
      <c r="AN91" s="144">
        <f t="shared" si="209"/>
        <v>170.96754023122733</v>
      </c>
      <c r="AP91">
        <f t="shared" si="210"/>
        <v>1032</v>
      </c>
      <c r="AQ91">
        <f t="shared" si="211"/>
        <v>170.96754023122733</v>
      </c>
      <c r="AS91" s="5">
        <f t="shared" si="285"/>
        <v>5.8490635043794672</v>
      </c>
      <c r="AT91" s="5">
        <f t="shared" si="212"/>
        <v>0.57518620629590944</v>
      </c>
      <c r="AU91" s="5">
        <f t="shared" si="286"/>
        <v>5.2738772980835575</v>
      </c>
      <c r="AV91" s="5">
        <f t="shared" si="213"/>
        <v>5.0738772980835565</v>
      </c>
      <c r="AW91" s="150">
        <f t="shared" si="287"/>
        <v>9.8338170865342911E-2</v>
      </c>
      <c r="AX91" s="150">
        <f t="shared" si="214"/>
        <v>5.4169059806325812</v>
      </c>
      <c r="AY91" s="150">
        <f t="shared" si="215"/>
        <v>1.0359931431986187</v>
      </c>
      <c r="AZ91" s="150">
        <f t="shared" si="288"/>
        <v>5.2287083328639969</v>
      </c>
      <c r="BA91" s="144">
        <f t="shared" si="216"/>
        <v>11.871843297947571</v>
      </c>
      <c r="BB91" s="5">
        <f t="shared" si="217"/>
        <v>0.23651163247402565</v>
      </c>
      <c r="BC91" s="5"/>
      <c r="BD91" s="150">
        <f t="shared" si="289"/>
        <v>0.41604818102806296</v>
      </c>
      <c r="BE91" s="150">
        <f t="shared" si="218"/>
        <v>1.2598081308303177</v>
      </c>
      <c r="BF91" s="150"/>
      <c r="BG91" s="456">
        <f t="shared" si="219"/>
        <v>3.4619217787351972E-3</v>
      </c>
      <c r="BH91" s="456">
        <f t="shared" si="220"/>
        <v>0.39362475950970827</v>
      </c>
      <c r="BI91" s="456">
        <f t="shared" si="221"/>
        <v>0.20491306414415067</v>
      </c>
      <c r="BJ91" s="456">
        <f t="shared" si="222"/>
        <v>4.8816003913647849E-2</v>
      </c>
      <c r="BK91">
        <f t="shared" si="223"/>
        <v>2.1573891451010168E-2</v>
      </c>
      <c r="BL91" s="144">
        <f t="shared" si="290"/>
        <v>226.48695559516082</v>
      </c>
      <c r="BM91" s="456">
        <f t="shared" si="224"/>
        <v>0.44720525393324778</v>
      </c>
      <c r="BN91" s="144">
        <f t="shared" si="291"/>
        <v>447.20525393324777</v>
      </c>
      <c r="BO91" s="456">
        <f t="shared" si="225"/>
        <v>0.64112999999999987</v>
      </c>
      <c r="BP91" s="456"/>
      <c r="BR91" s="144">
        <f t="shared" si="292"/>
        <v>641.12999999999988</v>
      </c>
      <c r="BS91" s="456">
        <f t="shared" si="226"/>
        <v>5.1928826681027955E-3</v>
      </c>
      <c r="BT91" s="456">
        <f t="shared" si="227"/>
        <v>4.7613495795185361E-2</v>
      </c>
      <c r="BU91" s="456">
        <f t="shared" si="228"/>
        <v>7.7399999999999997E-2</v>
      </c>
      <c r="BV91" s="456">
        <f t="shared" si="229"/>
        <v>0.14348606766193051</v>
      </c>
      <c r="BW91" s="456">
        <f t="shared" si="230"/>
        <v>9.0281766343876366E-4</v>
      </c>
      <c r="BX91" s="144">
        <f t="shared" si="293"/>
        <v>144.38888532536927</v>
      </c>
      <c r="BY91" s="150">
        <f t="shared" si="231"/>
        <v>1.4592110948537775</v>
      </c>
      <c r="BZ91" s="5">
        <f t="shared" si="294"/>
        <v>5.16</v>
      </c>
      <c r="CA91" s="150">
        <f t="shared" si="295"/>
        <v>0.77954909218890645</v>
      </c>
      <c r="CB91" s="5">
        <f t="shared" si="296"/>
        <v>77.954909218890649</v>
      </c>
      <c r="CE91" s="59">
        <f t="shared" si="232"/>
        <v>-50</v>
      </c>
      <c r="CF91">
        <f t="shared" si="233"/>
        <v>-50</v>
      </c>
      <c r="CG91" s="150">
        <f t="shared" si="234"/>
        <v>0.88936386350090868</v>
      </c>
      <c r="CI91" s="147">
        <v>86</v>
      </c>
      <c r="CJ91" s="188">
        <f t="shared" si="297"/>
        <v>1.032</v>
      </c>
      <c r="CK91" s="188"/>
      <c r="CL91" s="188">
        <f t="shared" si="235"/>
        <v>5.16</v>
      </c>
      <c r="CM91" s="465">
        <f t="shared" si="236"/>
        <v>48</v>
      </c>
      <c r="CN91" s="149">
        <f t="shared" si="237"/>
        <v>5.4</v>
      </c>
      <c r="CO91" s="379">
        <f t="shared" si="238"/>
        <v>53.4</v>
      </c>
      <c r="CP91" s="379"/>
      <c r="CQ91" s="188">
        <f t="shared" si="239"/>
        <v>0.10112359550561799</v>
      </c>
      <c r="CR91" s="149">
        <f t="shared" si="240"/>
        <v>12.426067415730339</v>
      </c>
      <c r="CS91" s="149">
        <f t="shared" si="298"/>
        <v>5.16</v>
      </c>
      <c r="CT91" s="188">
        <f t="shared" si="241"/>
        <v>2.4852134831460679</v>
      </c>
      <c r="CU91" s="188">
        <f t="shared" si="242"/>
        <v>5</v>
      </c>
      <c r="CV91" s="188">
        <f t="shared" si="243"/>
        <v>2.4269662921348316</v>
      </c>
      <c r="CW91" s="149">
        <f t="shared" si="244"/>
        <v>68.557502126617877</v>
      </c>
      <c r="CX91" s="149">
        <f t="shared" si="245"/>
        <v>5</v>
      </c>
      <c r="CY91" s="188">
        <f t="shared" si="246"/>
        <v>2.1261111111111108</v>
      </c>
      <c r="CZ91" s="188">
        <f t="shared" si="247"/>
        <v>0.53152777777777771</v>
      </c>
      <c r="DA91" s="188">
        <f t="shared" si="248"/>
        <v>4.7246913580246908</v>
      </c>
      <c r="DB91" s="172">
        <f t="shared" si="249"/>
        <v>350</v>
      </c>
      <c r="DC91" s="379">
        <f t="shared" si="299"/>
        <v>190.25081986946682</v>
      </c>
      <c r="DE91" s="188">
        <f t="shared" si="250"/>
        <v>1.1556982343499198</v>
      </c>
      <c r="DF91" s="150">
        <f t="shared" si="251"/>
        <v>2.5682182985553772</v>
      </c>
      <c r="DG91" s="150">
        <f t="shared" si="252"/>
        <v>0.51941493678648076</v>
      </c>
      <c r="DH91" s="150"/>
      <c r="DI91" s="150">
        <f t="shared" si="253"/>
        <v>2.2222222222222219</v>
      </c>
      <c r="DJ91" s="314">
        <f t="shared" si="300"/>
        <v>928.80000000000007</v>
      </c>
      <c r="DK91" s="456">
        <f t="shared" si="254"/>
        <v>0.38888888888888884</v>
      </c>
      <c r="DM91" s="150">
        <f t="shared" si="255"/>
        <v>1.6290224939252023</v>
      </c>
      <c r="DN91" s="150">
        <f t="shared" si="256"/>
        <v>2.1261111111111108</v>
      </c>
      <c r="DO91" s="150">
        <f t="shared" si="257"/>
        <v>2.034156378600823</v>
      </c>
      <c r="DQ91" s="314">
        <f t="shared" si="258"/>
        <v>1032</v>
      </c>
      <c r="DR91" s="144">
        <f t="shared" si="259"/>
        <v>190.25081986946682</v>
      </c>
      <c r="DT91">
        <f t="shared" si="260"/>
        <v>1032</v>
      </c>
      <c r="DU91">
        <f t="shared" si="261"/>
        <v>190.25081986946682</v>
      </c>
      <c r="DW91" s="5">
        <f t="shared" si="301"/>
        <v>5.2562191358024686</v>
      </c>
      <c r="DX91" s="5">
        <f t="shared" si="262"/>
        <v>0.53152777777777771</v>
      </c>
      <c r="DY91" s="5">
        <f t="shared" si="302"/>
        <v>4.7246913580246908</v>
      </c>
      <c r="DZ91" s="5">
        <f t="shared" si="263"/>
        <v>4.7246913580246908</v>
      </c>
      <c r="EA91" s="150">
        <f t="shared" si="303"/>
        <v>0.10112359550561797</v>
      </c>
      <c r="EB91" s="150">
        <f t="shared" si="264"/>
        <v>5.1599999999999993</v>
      </c>
      <c r="EC91" s="150">
        <f t="shared" si="265"/>
        <v>0.95555555555555538</v>
      </c>
      <c r="ED91" s="150">
        <f t="shared" si="304"/>
        <v>5.4</v>
      </c>
      <c r="EE91" s="144">
        <f t="shared" si="266"/>
        <v>10.970733333333332</v>
      </c>
      <c r="EF91" s="5">
        <f t="shared" si="267"/>
        <v>0.21162680041152257</v>
      </c>
      <c r="EG91" s="5"/>
      <c r="EH91" s="150">
        <f t="shared" si="305"/>
        <v>0.39034766080546235</v>
      </c>
      <c r="EI91" s="150">
        <f t="shared" si="268"/>
        <v>1.1637918725587255</v>
      </c>
      <c r="EJ91" s="150"/>
      <c r="EK91" s="456">
        <f t="shared" si="269"/>
        <v>3.0474259259259256E-3</v>
      </c>
      <c r="EL91" s="456">
        <f t="shared" si="270"/>
        <v>0.432</v>
      </c>
      <c r="EM91" s="456">
        <f t="shared" si="271"/>
        <v>2.3781352483683352E-2</v>
      </c>
      <c r="EN91" s="456">
        <f t="shared" si="272"/>
        <v>5.425116279069768E-2</v>
      </c>
      <c r="EO91">
        <f t="shared" si="273"/>
        <v>2.1600000000000001E-2</v>
      </c>
      <c r="EP91" s="144">
        <f t="shared" si="306"/>
        <v>45.381352483683358</v>
      </c>
      <c r="EQ91" s="456">
        <f t="shared" si="274"/>
        <v>0.53589076777110178</v>
      </c>
      <c r="ER91" s="144">
        <f t="shared" si="307"/>
        <v>535.89076777110176</v>
      </c>
      <c r="ES91" s="456">
        <f t="shared" si="308"/>
        <v>0.64112999999999987</v>
      </c>
      <c r="ET91" s="456"/>
      <c r="EV91" s="144">
        <f t="shared" si="309"/>
        <v>641.12999999999988</v>
      </c>
      <c r="EW91" s="456">
        <f t="shared" si="275"/>
        <v>4.5711388888888885E-3</v>
      </c>
      <c r="EX91" s="456">
        <f t="shared" si="276"/>
        <v>4.063234567901234E-2</v>
      </c>
      <c r="EY91" s="456">
        <f t="shared" si="277"/>
        <v>0.16453232685410391</v>
      </c>
      <c r="EZ91" s="456">
        <f t="shared" si="278"/>
        <v>0.22138523845510677</v>
      </c>
      <c r="FA91" s="456">
        <f t="shared" si="279"/>
        <v>8.5999999999999987E-4</v>
      </c>
      <c r="FB91" s="144">
        <f t="shared" si="310"/>
        <v>222.24523845510677</v>
      </c>
      <c r="FC91" s="150">
        <f t="shared" si="311"/>
        <v>1.3992660062262083</v>
      </c>
      <c r="FD91" s="5">
        <f t="shared" si="312"/>
        <v>5.16</v>
      </c>
      <c r="FE91" s="150">
        <f t="shared" si="313"/>
        <v>0.78667338618406513</v>
      </c>
      <c r="FF91" s="5">
        <f t="shared" si="314"/>
        <v>78.667338618406518</v>
      </c>
      <c r="FI91" s="59">
        <f t="shared" si="280"/>
        <v>-50</v>
      </c>
      <c r="FJ91">
        <f t="shared" si="281"/>
        <v>-50</v>
      </c>
      <c r="FL91">
        <f t="shared" si="282"/>
        <v>0.898876404494382</v>
      </c>
    </row>
    <row r="92" spans="5:168">
      <c r="E92" s="147">
        <v>87</v>
      </c>
      <c r="F92" s="188">
        <f t="shared" si="283"/>
        <v>1.044</v>
      </c>
      <c r="G92" s="188"/>
      <c r="H92" s="188">
        <f t="shared" si="183"/>
        <v>5.2200000000000006</v>
      </c>
      <c r="I92" s="465">
        <f t="shared" si="184"/>
        <v>47.941313577721225</v>
      </c>
      <c r="J92" s="149">
        <f t="shared" si="185"/>
        <v>5.4352118533672673</v>
      </c>
      <c r="K92" s="149">
        <f t="shared" si="186"/>
        <v>53.435211853367264</v>
      </c>
      <c r="L92" s="379"/>
      <c r="M92" s="188">
        <f t="shared" si="187"/>
        <v>0.10182155849261131</v>
      </c>
      <c r="N92" s="149">
        <f t="shared" si="188"/>
        <v>12.496535717546399</v>
      </c>
      <c r="O92" s="149">
        <f t="shared" si="284"/>
        <v>5.2200000000000006</v>
      </c>
      <c r="P92" s="188">
        <f t="shared" si="189"/>
        <v>2.49930714350928</v>
      </c>
      <c r="Q92" s="188">
        <f t="shared" si="190"/>
        <v>5</v>
      </c>
      <c r="R92" s="188">
        <f t="shared" si="191"/>
        <v>2.4407296323332806</v>
      </c>
      <c r="S92" s="149">
        <f t="shared" si="192"/>
        <v>67.144591655342069</v>
      </c>
      <c r="T92" s="149">
        <f t="shared" si="193"/>
        <v>5</v>
      </c>
      <c r="U92" s="188">
        <f t="shared" si="194"/>
        <v>2.3247050959002822</v>
      </c>
      <c r="V92" s="188">
        <f t="shared" si="195"/>
        <v>0.58188770955510771</v>
      </c>
      <c r="W92" s="188">
        <f t="shared" si="196"/>
        <v>5.1325434782308887</v>
      </c>
      <c r="X92" s="172">
        <f t="shared" si="197"/>
        <v>350</v>
      </c>
      <c r="Y92" s="379">
        <f t="shared" si="198"/>
        <v>169.07796679841653</v>
      </c>
      <c r="AA92" s="188">
        <f t="shared" si="199"/>
        <v>1.1623229576920462</v>
      </c>
      <c r="AB92" s="150">
        <f t="shared" si="200"/>
        <v>2.5662064089854111</v>
      </c>
      <c r="AC92" s="150">
        <f t="shared" si="201"/>
        <v>0.52198310908453638</v>
      </c>
      <c r="AD92" s="150"/>
      <c r="AE92" s="150">
        <f t="shared" si="202"/>
        <v>2.2078256236811931</v>
      </c>
      <c r="AF92" s="314">
        <f t="shared" si="203"/>
        <v>945.72686248590458</v>
      </c>
      <c r="AG92" s="456">
        <f t="shared" si="204"/>
        <v>0.3863694841442088</v>
      </c>
      <c r="AI92" s="150">
        <f t="shared" si="205"/>
        <v>1.6437994859348652</v>
      </c>
      <c r="AJ92" s="150">
        <f t="shared" si="206"/>
        <v>2.3247050959002822</v>
      </c>
      <c r="AK92" s="150">
        <f t="shared" si="207"/>
        <v>2.1812630340002088</v>
      </c>
      <c r="AM92" s="314">
        <f t="shared" si="208"/>
        <v>1044</v>
      </c>
      <c r="AN92" s="144">
        <f t="shared" si="209"/>
        <v>169.07796679841653</v>
      </c>
      <c r="AP92">
        <f t="shared" si="210"/>
        <v>1044</v>
      </c>
      <c r="AQ92">
        <f t="shared" si="211"/>
        <v>169.07796679841653</v>
      </c>
      <c r="AS92" s="5">
        <f t="shared" si="285"/>
        <v>5.914431187785997</v>
      </c>
      <c r="AT92" s="5">
        <f t="shared" si="212"/>
        <v>0.58188770955510771</v>
      </c>
      <c r="AU92" s="5">
        <f t="shared" si="286"/>
        <v>5.3325434782308889</v>
      </c>
      <c r="AV92" s="5">
        <f t="shared" si="213"/>
        <v>5.1325434782308887</v>
      </c>
      <c r="AW92" s="150">
        <f t="shared" si="287"/>
        <v>9.8384390836565139E-2</v>
      </c>
      <c r="AX92" s="150">
        <f t="shared" si="214"/>
        <v>5.4824414500571077</v>
      </c>
      <c r="AY92" s="150">
        <f t="shared" si="215"/>
        <v>1.0479952005827371</v>
      </c>
      <c r="AZ92" s="150">
        <f t="shared" si="288"/>
        <v>5.2313612190290559</v>
      </c>
      <c r="BA92" s="144">
        <f t="shared" si="216"/>
        <v>12.149815375510649</v>
      </c>
      <c r="BB92" s="5">
        <f t="shared" si="217"/>
        <v>0.24192666407334346</v>
      </c>
      <c r="BC92" s="5"/>
      <c r="BD92" s="150">
        <f t="shared" si="289"/>
        <v>0.42098860489617596</v>
      </c>
      <c r="BE92" s="150">
        <f t="shared" si="218"/>
        <v>1.2744357662049841</v>
      </c>
      <c r="BF92" s="150"/>
      <c r="BG92" s="456">
        <f t="shared" si="219"/>
        <v>3.5446281090485711E-3</v>
      </c>
      <c r="BH92" s="456">
        <f t="shared" si="220"/>
        <v>0.39380723612282459</v>
      </c>
      <c r="BI92" s="456">
        <f t="shared" si="221"/>
        <v>0.20264549563416059</v>
      </c>
      <c r="BJ92" s="456">
        <f t="shared" si="222"/>
        <v>4.8277201562693307E-2</v>
      </c>
      <c r="BK92">
        <f t="shared" si="223"/>
        <v>2.157359110997455E-2</v>
      </c>
      <c r="BL92" s="144">
        <f t="shared" si="290"/>
        <v>224.21908674413515</v>
      </c>
      <c r="BM92" s="456">
        <f t="shared" si="224"/>
        <v>0.44696254886903414</v>
      </c>
      <c r="BN92" s="144">
        <f t="shared" si="291"/>
        <v>446.96254886903415</v>
      </c>
      <c r="BO92" s="456">
        <f t="shared" si="225"/>
        <v>0.64858499999999997</v>
      </c>
      <c r="BP92" s="456"/>
      <c r="BR92" s="144">
        <f t="shared" si="292"/>
        <v>648.58499999999992</v>
      </c>
      <c r="BS92" s="456">
        <f t="shared" si="226"/>
        <v>5.3169421635728565E-3</v>
      </c>
      <c r="BT92" s="456">
        <f t="shared" si="227"/>
        <v>4.8725595665474547E-2</v>
      </c>
      <c r="BU92" s="456">
        <f t="shared" si="228"/>
        <v>7.8300000000000008E-2</v>
      </c>
      <c r="BV92" s="456">
        <f t="shared" si="229"/>
        <v>0.14594372043060141</v>
      </c>
      <c r="BW92" s="456">
        <f t="shared" si="230"/>
        <v>9.1374024167618451E-4</v>
      </c>
      <c r="BX92" s="144">
        <f t="shared" si="293"/>
        <v>146.8574606722776</v>
      </c>
      <c r="BY92" s="150">
        <f t="shared" si="231"/>
        <v>1.4666240962854467</v>
      </c>
      <c r="BZ92" s="5">
        <f t="shared" si="294"/>
        <v>5.2200000000000006</v>
      </c>
      <c r="CA92" s="150">
        <f t="shared" si="295"/>
        <v>0.78066299598026068</v>
      </c>
      <c r="CB92" s="5">
        <f t="shared" si="296"/>
        <v>78.066299598026063</v>
      </c>
      <c r="CE92" s="59">
        <f t="shared" si="232"/>
        <v>-50</v>
      </c>
      <c r="CF92">
        <f t="shared" si="233"/>
        <v>-50</v>
      </c>
      <c r="CG92" s="150">
        <f t="shared" si="234"/>
        <v>0.88947320305255773</v>
      </c>
      <c r="CI92" s="147">
        <v>87</v>
      </c>
      <c r="CJ92" s="188">
        <f t="shared" si="297"/>
        <v>1.044</v>
      </c>
      <c r="CK92" s="188"/>
      <c r="CL92" s="188">
        <f t="shared" si="235"/>
        <v>5.2200000000000006</v>
      </c>
      <c r="CM92" s="465">
        <f t="shared" si="236"/>
        <v>48</v>
      </c>
      <c r="CN92" s="149">
        <f t="shared" si="237"/>
        <v>5.4</v>
      </c>
      <c r="CO92" s="379">
        <f t="shared" si="238"/>
        <v>53.4</v>
      </c>
      <c r="CP92" s="379"/>
      <c r="CQ92" s="188">
        <f t="shared" si="239"/>
        <v>0.10112359550561799</v>
      </c>
      <c r="CR92" s="149">
        <f t="shared" si="240"/>
        <v>12.426067415730339</v>
      </c>
      <c r="CS92" s="149">
        <f t="shared" si="298"/>
        <v>5.2200000000000006</v>
      </c>
      <c r="CT92" s="188">
        <f t="shared" si="241"/>
        <v>2.4852134831460679</v>
      </c>
      <c r="CU92" s="188">
        <f t="shared" si="242"/>
        <v>5</v>
      </c>
      <c r="CV92" s="188">
        <f t="shared" si="243"/>
        <v>2.4269662921348316</v>
      </c>
      <c r="CW92" s="149">
        <f t="shared" si="244"/>
        <v>67.226441353474115</v>
      </c>
      <c r="CX92" s="149">
        <f t="shared" si="245"/>
        <v>5</v>
      </c>
      <c r="CY92" s="188">
        <f t="shared" si="246"/>
        <v>2.1508333333333334</v>
      </c>
      <c r="CZ92" s="188">
        <f t="shared" si="247"/>
        <v>0.53770833333333345</v>
      </c>
      <c r="DA92" s="188">
        <f t="shared" si="248"/>
        <v>4.7796296296296301</v>
      </c>
      <c r="DB92" s="172">
        <f t="shared" si="249"/>
        <v>350</v>
      </c>
      <c r="DC92" s="379">
        <f t="shared" si="299"/>
        <v>188.0640288364844</v>
      </c>
      <c r="DE92" s="188">
        <f t="shared" si="250"/>
        <v>1.1556982343499198</v>
      </c>
      <c r="DF92" s="150">
        <f t="shared" si="251"/>
        <v>2.5682182985553772</v>
      </c>
      <c r="DG92" s="150">
        <f t="shared" si="252"/>
        <v>0.51941493678648076</v>
      </c>
      <c r="DH92" s="150"/>
      <c r="DI92" s="150">
        <f t="shared" si="253"/>
        <v>2.2222222222222219</v>
      </c>
      <c r="DJ92" s="314">
        <f t="shared" si="300"/>
        <v>939.60000000000014</v>
      </c>
      <c r="DK92" s="456">
        <f t="shared" si="254"/>
        <v>0.38888888888888884</v>
      </c>
      <c r="DM92" s="150">
        <f t="shared" si="255"/>
        <v>1.6384661816990391</v>
      </c>
      <c r="DN92" s="150">
        <f t="shared" si="256"/>
        <v>2.1508333333333334</v>
      </c>
      <c r="DO92" s="150">
        <f t="shared" si="257"/>
        <v>2.0524691358024691</v>
      </c>
      <c r="DQ92" s="314">
        <f t="shared" si="258"/>
        <v>1044</v>
      </c>
      <c r="DR92" s="144">
        <f t="shared" si="259"/>
        <v>188.0640288364844</v>
      </c>
      <c r="DT92">
        <f t="shared" si="260"/>
        <v>1044</v>
      </c>
      <c r="DU92">
        <f t="shared" si="261"/>
        <v>188.0640288364844</v>
      </c>
      <c r="DW92" s="5">
        <f t="shared" si="301"/>
        <v>5.3173379629629638</v>
      </c>
      <c r="DX92" s="5">
        <f t="shared" si="262"/>
        <v>0.53770833333333345</v>
      </c>
      <c r="DY92" s="5">
        <f t="shared" si="302"/>
        <v>4.7796296296296301</v>
      </c>
      <c r="DZ92" s="5">
        <f t="shared" si="263"/>
        <v>4.7796296296296301</v>
      </c>
      <c r="EA92" s="150">
        <f t="shared" si="303"/>
        <v>0.10112359550561799</v>
      </c>
      <c r="EB92" s="150">
        <f t="shared" si="264"/>
        <v>5.2199999999999989</v>
      </c>
      <c r="EC92" s="150">
        <f t="shared" si="265"/>
        <v>0.96666666666666667</v>
      </c>
      <c r="ED92" s="150">
        <f t="shared" si="304"/>
        <v>5.3999999999999986</v>
      </c>
      <c r="EE92" s="144">
        <f t="shared" si="266"/>
        <v>11.227350000000003</v>
      </c>
      <c r="EF92" s="5">
        <f t="shared" si="267"/>
        <v>0.21657696759259262</v>
      </c>
      <c r="EG92" s="5"/>
      <c r="EH92" s="150">
        <f t="shared" si="305"/>
        <v>0.39488658709389801</v>
      </c>
      <c r="EI92" s="150">
        <f t="shared" si="268"/>
        <v>1.1773243361931294</v>
      </c>
      <c r="EJ92" s="150"/>
      <c r="EK92" s="456">
        <f t="shared" si="269"/>
        <v>3.118708333333334E-3</v>
      </c>
      <c r="EL92" s="456">
        <f t="shared" si="270"/>
        <v>0.43199999999999994</v>
      </c>
      <c r="EM92" s="456">
        <f t="shared" si="271"/>
        <v>2.3508003604560547E-2</v>
      </c>
      <c r="EN92" s="456">
        <f t="shared" si="272"/>
        <v>5.3627586206896539E-2</v>
      </c>
      <c r="EO92">
        <f t="shared" si="273"/>
        <v>2.1600000000000001E-2</v>
      </c>
      <c r="EP92" s="144">
        <f t="shared" si="306"/>
        <v>45.108003604560551</v>
      </c>
      <c r="EQ92" s="456">
        <f t="shared" si="274"/>
        <v>0.53509285593000799</v>
      </c>
      <c r="ER92" s="144">
        <f t="shared" si="307"/>
        <v>535.092855930008</v>
      </c>
      <c r="ES92" s="456">
        <f t="shared" si="308"/>
        <v>0.64858499999999997</v>
      </c>
      <c r="ET92" s="456"/>
      <c r="EV92" s="144">
        <f t="shared" si="309"/>
        <v>648.58499999999992</v>
      </c>
      <c r="EW92" s="456">
        <f t="shared" si="275"/>
        <v>4.6780625000000008E-3</v>
      </c>
      <c r="EX92" s="456">
        <f t="shared" si="276"/>
        <v>4.1582777777777781E-2</v>
      </c>
      <c r="EY92" s="456">
        <f t="shared" si="277"/>
        <v>0.16453232685410379</v>
      </c>
      <c r="EZ92" s="456">
        <f t="shared" si="278"/>
        <v>0.222720026042662</v>
      </c>
      <c r="FA92" s="456">
        <f t="shared" si="279"/>
        <v>8.7000000000000001E-4</v>
      </c>
      <c r="FB92" s="144">
        <f t="shared" si="310"/>
        <v>223.590026042662</v>
      </c>
      <c r="FC92" s="150">
        <f t="shared" si="311"/>
        <v>1.4072678819726701</v>
      </c>
      <c r="FD92" s="5">
        <f t="shared" si="312"/>
        <v>5.2200000000000006</v>
      </c>
      <c r="FE92" s="150">
        <f t="shared" si="313"/>
        <v>0.78765489685414936</v>
      </c>
      <c r="FF92" s="5">
        <f t="shared" si="314"/>
        <v>78.765489685414934</v>
      </c>
      <c r="FI92" s="59">
        <f t="shared" si="280"/>
        <v>-50</v>
      </c>
      <c r="FJ92">
        <f t="shared" si="281"/>
        <v>-50</v>
      </c>
      <c r="FL92">
        <f t="shared" si="282"/>
        <v>0.898876404494382</v>
      </c>
    </row>
    <row r="93" spans="5:168">
      <c r="E93" s="147">
        <v>88</v>
      </c>
      <c r="F93" s="188">
        <f t="shared" si="283"/>
        <v>1.056</v>
      </c>
      <c r="G93" s="188"/>
      <c r="H93" s="188">
        <f t="shared" si="183"/>
        <v>5.28</v>
      </c>
      <c r="I93" s="465">
        <f t="shared" si="184"/>
        <v>47.940646151464328</v>
      </c>
      <c r="J93" s="149">
        <f t="shared" si="185"/>
        <v>5.4356123091214039</v>
      </c>
      <c r="K93" s="149">
        <f t="shared" si="186"/>
        <v>53.435612309121403</v>
      </c>
      <c r="L93" s="379"/>
      <c r="M93" s="188">
        <f t="shared" si="187"/>
        <v>0.10182957107743688</v>
      </c>
      <c r="N93" s="149">
        <f t="shared" si="188"/>
        <v>12.497345113033695</v>
      </c>
      <c r="O93" s="149">
        <f t="shared" si="284"/>
        <v>5.28</v>
      </c>
      <c r="P93" s="188">
        <f t="shared" si="189"/>
        <v>2.4994690226067391</v>
      </c>
      <c r="Q93" s="188">
        <f t="shared" si="190"/>
        <v>5</v>
      </c>
      <c r="R93" s="188">
        <f t="shared" si="191"/>
        <v>2.4408877173893937</v>
      </c>
      <c r="S93" s="149">
        <f t="shared" si="192"/>
        <v>65.844677957301911</v>
      </c>
      <c r="T93" s="149">
        <f t="shared" si="193"/>
        <v>5</v>
      </c>
      <c r="U93" s="188">
        <f t="shared" si="194"/>
        <v>2.3514468212158084</v>
      </c>
      <c r="V93" s="188">
        <f t="shared" si="195"/>
        <v>0.58858951891135103</v>
      </c>
      <c r="W93" s="188">
        <f t="shared" si="196"/>
        <v>5.1912020670125152</v>
      </c>
      <c r="X93" s="172">
        <f t="shared" si="197"/>
        <v>350</v>
      </c>
      <c r="Y93" s="379">
        <f t="shared" si="198"/>
        <v>167.22990853961375</v>
      </c>
      <c r="AA93" s="188">
        <f t="shared" si="199"/>
        <v>1.1623982265294994</v>
      </c>
      <c r="AB93" s="150">
        <f t="shared" si="200"/>
        <v>2.566183518082553</v>
      </c>
      <c r="AC93" s="150">
        <f t="shared" si="201"/>
        <v>0.52201225481446845</v>
      </c>
      <c r="AD93" s="150"/>
      <c r="AE93" s="150">
        <f t="shared" si="202"/>
        <v>2.2076629674016695</v>
      </c>
      <c r="AF93" s="314">
        <f t="shared" si="203"/>
        <v>956.66776640536716</v>
      </c>
      <c r="AG93" s="456">
        <f t="shared" si="204"/>
        <v>0.38634101929529213</v>
      </c>
      <c r="AI93" s="150">
        <f t="shared" si="205"/>
        <v>1.6532805192839799</v>
      </c>
      <c r="AJ93" s="150">
        <f t="shared" si="206"/>
        <v>2.3514468212158084</v>
      </c>
      <c r="AK93" s="150">
        <f t="shared" si="207"/>
        <v>2.2010717194191174</v>
      </c>
      <c r="AM93" s="314">
        <f t="shared" si="208"/>
        <v>1056</v>
      </c>
      <c r="AN93" s="144">
        <f t="shared" si="209"/>
        <v>167.22990853961375</v>
      </c>
      <c r="AP93">
        <f t="shared" si="210"/>
        <v>1056</v>
      </c>
      <c r="AQ93">
        <f t="shared" si="211"/>
        <v>167.22990853961375</v>
      </c>
      <c r="AS93" s="5">
        <f t="shared" si="285"/>
        <v>5.9797915859238664</v>
      </c>
      <c r="AT93" s="5">
        <f t="shared" si="212"/>
        <v>0.58858951891135103</v>
      </c>
      <c r="AU93" s="5">
        <f t="shared" si="286"/>
        <v>5.3912020670125154</v>
      </c>
      <c r="AV93" s="5">
        <f t="shared" si="213"/>
        <v>5.1912020670125152</v>
      </c>
      <c r="AW93" s="150">
        <f t="shared" si="287"/>
        <v>9.8429771414920486E-2</v>
      </c>
      <c r="AX93" s="150">
        <f t="shared" si="214"/>
        <v>5.5479881600104264</v>
      </c>
      <c r="AY93" s="150">
        <f t="shared" si="215"/>
        <v>1.0599972240545974</v>
      </c>
      <c r="AZ93" s="150">
        <f t="shared" si="288"/>
        <v>5.2339648011424087</v>
      </c>
      <c r="BA93" s="144">
        <f t="shared" si="216"/>
        <v>12.431010639407734</v>
      </c>
      <c r="BB93" s="5">
        <f t="shared" si="217"/>
        <v>0.24740268435170548</v>
      </c>
      <c r="BC93" s="5"/>
      <c r="BD93" s="150">
        <f t="shared" si="289"/>
        <v>0.42592955090578122</v>
      </c>
      <c r="BE93" s="150">
        <f t="shared" si="218"/>
        <v>1.289063510977579</v>
      </c>
      <c r="BF93" s="150"/>
      <c r="BG93" s="456">
        <f t="shared" si="219"/>
        <v>3.6283196466960093E-3</v>
      </c>
      <c r="BH93" s="456">
        <f t="shared" si="220"/>
        <v>0.39398635041827823</v>
      </c>
      <c r="BI93" s="456">
        <f t="shared" si="221"/>
        <v>0.20042774678098416</v>
      </c>
      <c r="BJ93" s="456">
        <f t="shared" si="222"/>
        <v>4.7750237141577209E-2</v>
      </c>
      <c r="BK93">
        <f t="shared" si="223"/>
        <v>2.1573290768158948E-2</v>
      </c>
      <c r="BL93" s="144">
        <f t="shared" si="290"/>
        <v>222.00103754914309</v>
      </c>
      <c r="BM93" s="456">
        <f t="shared" si="224"/>
        <v>0.44672967413665482</v>
      </c>
      <c r="BN93" s="144">
        <f t="shared" si="291"/>
        <v>446.72967413665481</v>
      </c>
      <c r="BO93" s="456">
        <f t="shared" si="225"/>
        <v>0.65603999999999996</v>
      </c>
      <c r="BP93" s="456"/>
      <c r="BR93" s="144">
        <f t="shared" si="292"/>
        <v>656.04</v>
      </c>
      <c r="BS93" s="456">
        <f t="shared" si="226"/>
        <v>5.4424794700440142E-3</v>
      </c>
      <c r="BT93" s="456">
        <f t="shared" si="227"/>
        <v>4.9850542060015282E-2</v>
      </c>
      <c r="BU93" s="456">
        <f t="shared" si="228"/>
        <v>7.9200000000000007E-2</v>
      </c>
      <c r="BV93" s="456">
        <f t="shared" si="229"/>
        <v>0.14841987335751719</v>
      </c>
      <c r="BW93" s="456">
        <f t="shared" si="230"/>
        <v>9.2466469333507106E-4</v>
      </c>
      <c r="BX93" s="144">
        <f t="shared" si="293"/>
        <v>149.34453805085226</v>
      </c>
      <c r="BY93" s="150">
        <f t="shared" si="231"/>
        <v>1.4741152497366501</v>
      </c>
      <c r="BZ93" s="5">
        <f t="shared" si="294"/>
        <v>5.28</v>
      </c>
      <c r="CA93" s="150">
        <f t="shared" si="295"/>
        <v>0.78174561800760989</v>
      </c>
      <c r="CB93" s="5">
        <f t="shared" si="296"/>
        <v>78.174561800760983</v>
      </c>
      <c r="CE93" s="59">
        <f t="shared" si="232"/>
        <v>-50</v>
      </c>
      <c r="CF93">
        <f t="shared" si="233"/>
        <v>-50</v>
      </c>
      <c r="CG93" s="150">
        <f t="shared" si="234"/>
        <v>0.88958005761439674</v>
      </c>
      <c r="CI93" s="147">
        <v>88</v>
      </c>
      <c r="CJ93" s="188">
        <f t="shared" si="297"/>
        <v>1.056</v>
      </c>
      <c r="CK93" s="188"/>
      <c r="CL93" s="188">
        <f t="shared" si="235"/>
        <v>5.28</v>
      </c>
      <c r="CM93" s="465">
        <f t="shared" si="236"/>
        <v>48</v>
      </c>
      <c r="CN93" s="149">
        <f t="shared" si="237"/>
        <v>5.4</v>
      </c>
      <c r="CO93" s="379">
        <f t="shared" si="238"/>
        <v>53.4</v>
      </c>
      <c r="CP93" s="379"/>
      <c r="CQ93" s="188">
        <f t="shared" si="239"/>
        <v>0.10112359550561799</v>
      </c>
      <c r="CR93" s="149">
        <f t="shared" si="240"/>
        <v>12.426067415730339</v>
      </c>
      <c r="CS93" s="149">
        <f t="shared" si="298"/>
        <v>5.28</v>
      </c>
      <c r="CT93" s="188">
        <f t="shared" si="241"/>
        <v>2.4852134831460679</v>
      </c>
      <c r="CU93" s="188">
        <f t="shared" si="242"/>
        <v>5</v>
      </c>
      <c r="CV93" s="188">
        <f t="shared" si="243"/>
        <v>2.4269662921348316</v>
      </c>
      <c r="CW93" s="149">
        <f t="shared" si="244"/>
        <v>65.925843558065509</v>
      </c>
      <c r="CX93" s="149">
        <f t="shared" si="245"/>
        <v>5</v>
      </c>
      <c r="CY93" s="188">
        <f t="shared" si="246"/>
        <v>2.1755555555555555</v>
      </c>
      <c r="CZ93" s="188">
        <f t="shared" si="247"/>
        <v>0.54388888888888887</v>
      </c>
      <c r="DA93" s="188">
        <f t="shared" si="248"/>
        <v>4.8345679012345668</v>
      </c>
      <c r="DB93" s="172">
        <f t="shared" si="249"/>
        <v>350</v>
      </c>
      <c r="DC93" s="379">
        <f t="shared" si="299"/>
        <v>185.92693759970624</v>
      </c>
      <c r="DE93" s="188">
        <f t="shared" si="250"/>
        <v>1.1556982343499198</v>
      </c>
      <c r="DF93" s="150">
        <f t="shared" si="251"/>
        <v>2.5682182985553772</v>
      </c>
      <c r="DG93" s="150">
        <f t="shared" si="252"/>
        <v>0.51941493678648076</v>
      </c>
      <c r="DH93" s="150"/>
      <c r="DI93" s="150">
        <f t="shared" si="253"/>
        <v>2.2222222222222219</v>
      </c>
      <c r="DJ93" s="314">
        <f t="shared" si="300"/>
        <v>950.40000000000009</v>
      </c>
      <c r="DK93" s="456">
        <f t="shared" si="254"/>
        <v>0.38888888888888884</v>
      </c>
      <c r="DM93" s="150">
        <f t="shared" si="255"/>
        <v>1.6478557495814286</v>
      </c>
      <c r="DN93" s="150">
        <f t="shared" si="256"/>
        <v>2.1755555555555555</v>
      </c>
      <c r="DO93" s="150">
        <f t="shared" si="257"/>
        <v>2.0707818930041153</v>
      </c>
      <c r="DQ93" s="314">
        <f t="shared" si="258"/>
        <v>1056</v>
      </c>
      <c r="DR93" s="144">
        <f t="shared" si="259"/>
        <v>185.92693759970624</v>
      </c>
      <c r="DT93">
        <f t="shared" si="260"/>
        <v>1056</v>
      </c>
      <c r="DU93">
        <f t="shared" si="261"/>
        <v>185.92693759970624</v>
      </c>
      <c r="DW93" s="5">
        <f t="shared" si="301"/>
        <v>5.3784567901234555</v>
      </c>
      <c r="DX93" s="5">
        <f t="shared" si="262"/>
        <v>0.54388888888888887</v>
      </c>
      <c r="DY93" s="5">
        <f t="shared" si="302"/>
        <v>4.8345679012345668</v>
      </c>
      <c r="DZ93" s="5">
        <f t="shared" si="263"/>
        <v>4.8345679012345668</v>
      </c>
      <c r="EA93" s="150">
        <f t="shared" si="303"/>
        <v>0.101123595505618</v>
      </c>
      <c r="EB93" s="150">
        <f t="shared" si="264"/>
        <v>5.2800000000000011</v>
      </c>
      <c r="EC93" s="150">
        <f t="shared" si="265"/>
        <v>0.97777777777777775</v>
      </c>
      <c r="ED93" s="150">
        <f t="shared" si="304"/>
        <v>5.4000000000000012</v>
      </c>
      <c r="EE93" s="144">
        <f t="shared" si="266"/>
        <v>11.486933333333333</v>
      </c>
      <c r="EF93" s="5">
        <f t="shared" si="267"/>
        <v>0.22158436213991758</v>
      </c>
      <c r="EG93" s="5"/>
      <c r="EH93" s="150">
        <f t="shared" si="305"/>
        <v>0.39942551338233356</v>
      </c>
      <c r="EI93" s="150">
        <f t="shared" si="268"/>
        <v>1.190856799827533</v>
      </c>
      <c r="EJ93" s="150"/>
      <c r="EK93" s="456">
        <f t="shared" si="269"/>
        <v>3.1908148148148147E-3</v>
      </c>
      <c r="EL93" s="456">
        <f t="shared" si="270"/>
        <v>0.43200000000000011</v>
      </c>
      <c r="EM93" s="456">
        <f t="shared" si="271"/>
        <v>2.324086719996328E-2</v>
      </c>
      <c r="EN93" s="456">
        <f t="shared" si="272"/>
        <v>5.3018181818181825E-2</v>
      </c>
      <c r="EO93">
        <f t="shared" si="273"/>
        <v>2.1600000000000001E-2</v>
      </c>
      <c r="EP93" s="144">
        <f t="shared" si="306"/>
        <v>44.840867199963284</v>
      </c>
      <c r="EQ93" s="456">
        <f t="shared" si="274"/>
        <v>0.534316469238589</v>
      </c>
      <c r="ER93" s="144">
        <f t="shared" si="307"/>
        <v>534.31646923858898</v>
      </c>
      <c r="ES93" s="456">
        <f t="shared" si="308"/>
        <v>0.65603999999999996</v>
      </c>
      <c r="ET93" s="456"/>
      <c r="EV93" s="144">
        <f t="shared" si="309"/>
        <v>656.04</v>
      </c>
      <c r="EW93" s="456">
        <f t="shared" si="275"/>
        <v>4.7862222222222221E-3</v>
      </c>
      <c r="EX93" s="456">
        <f t="shared" si="276"/>
        <v>4.2544197530864185E-2</v>
      </c>
      <c r="EY93" s="456">
        <f t="shared" si="277"/>
        <v>0.16453232685410404</v>
      </c>
      <c r="EZ93" s="456">
        <f t="shared" si="278"/>
        <v>0.2240704753200248</v>
      </c>
      <c r="FA93" s="456">
        <f t="shared" si="279"/>
        <v>8.8000000000000025E-4</v>
      </c>
      <c r="FB93" s="144">
        <f t="shared" si="310"/>
        <v>224.95047532002479</v>
      </c>
      <c r="FC93" s="150">
        <f t="shared" si="311"/>
        <v>1.4153069445586137</v>
      </c>
      <c r="FD93" s="5">
        <f t="shared" si="312"/>
        <v>5.28</v>
      </c>
      <c r="FE93" s="150">
        <f t="shared" si="313"/>
        <v>0.78861208959077567</v>
      </c>
      <c r="FF93" s="5">
        <f t="shared" si="314"/>
        <v>78.861208959077572</v>
      </c>
      <c r="FI93" s="59">
        <f t="shared" si="280"/>
        <v>-50</v>
      </c>
      <c r="FJ93">
        <f t="shared" si="281"/>
        <v>-50</v>
      </c>
      <c r="FL93">
        <f t="shared" si="282"/>
        <v>0.898876404494382</v>
      </c>
    </row>
    <row r="94" spans="5:168">
      <c r="E94" s="147">
        <v>89</v>
      </c>
      <c r="F94" s="188">
        <f t="shared" si="283"/>
        <v>1.0680000000000001</v>
      </c>
      <c r="G94" s="188"/>
      <c r="H94" s="188">
        <f t="shared" si="183"/>
        <v>5.34</v>
      </c>
      <c r="I94" s="465">
        <f t="shared" si="184"/>
        <v>47.939978723533166</v>
      </c>
      <c r="J94" s="149">
        <f t="shared" si="185"/>
        <v>5.4360127658801023</v>
      </c>
      <c r="K94" s="149">
        <f t="shared" si="186"/>
        <v>53.436012765880101</v>
      </c>
      <c r="L94" s="379"/>
      <c r="M94" s="188">
        <f t="shared" si="187"/>
        <v>0.10183758374559718</v>
      </c>
      <c r="N94" s="149">
        <f t="shared" si="188"/>
        <v>12.498154490931086</v>
      </c>
      <c r="O94" s="149">
        <f t="shared" si="284"/>
        <v>5.34</v>
      </c>
      <c r="P94" s="188">
        <f t="shared" si="189"/>
        <v>2.4996308981862172</v>
      </c>
      <c r="Q94" s="188">
        <f t="shared" si="190"/>
        <v>5</v>
      </c>
      <c r="R94" s="188">
        <f t="shared" si="191"/>
        <v>2.4410457990099781</v>
      </c>
      <c r="S94" s="149">
        <f t="shared" si="192"/>
        <v>64.574204971559482</v>
      </c>
      <c r="T94" s="149">
        <f t="shared" si="193"/>
        <v>5</v>
      </c>
      <c r="U94" s="188">
        <f t="shared" si="194"/>
        <v>2.3781890238824941</v>
      </c>
      <c r="V94" s="188">
        <f t="shared" si="195"/>
        <v>0.59529163438240817</v>
      </c>
      <c r="W94" s="188">
        <f t="shared" si="196"/>
        <v>5.2498530661506866</v>
      </c>
      <c r="X94" s="172">
        <f t="shared" si="197"/>
        <v>350</v>
      </c>
      <c r="Y94" s="379">
        <f t="shared" si="198"/>
        <v>165.42201213344228</v>
      </c>
      <c r="AA94" s="188">
        <f t="shared" si="199"/>
        <v>1.1624734939242314</v>
      </c>
      <c r="AB94" s="150">
        <f t="shared" si="200"/>
        <v>2.5661606268932835</v>
      </c>
      <c r="AC94" s="150">
        <f t="shared" si="201"/>
        <v>0.52204139923520043</v>
      </c>
      <c r="AD94" s="150"/>
      <c r="AE94" s="150">
        <f t="shared" si="202"/>
        <v>2.2075003346790658</v>
      </c>
      <c r="AF94" s="314">
        <f t="shared" si="203"/>
        <v>967.61027232665833</v>
      </c>
      <c r="AG94" s="456">
        <f t="shared" si="204"/>
        <v>0.38631255856883651</v>
      </c>
      <c r="AI94" s="150">
        <f t="shared" si="205"/>
        <v>1.6627088675039194</v>
      </c>
      <c r="AJ94" s="150">
        <f t="shared" si="206"/>
        <v>2.3781890238824941</v>
      </c>
      <c r="AK94" s="150">
        <f t="shared" si="207"/>
        <v>2.2208807584314769</v>
      </c>
      <c r="AM94" s="314">
        <f t="shared" si="208"/>
        <v>1068</v>
      </c>
      <c r="AN94" s="144">
        <f t="shared" si="209"/>
        <v>165.42201213344228</v>
      </c>
      <c r="AP94">
        <f t="shared" si="210"/>
        <v>1068</v>
      </c>
      <c r="AQ94">
        <f t="shared" si="211"/>
        <v>165.42201213344228</v>
      </c>
      <c r="AS94" s="5">
        <f t="shared" si="285"/>
        <v>6.045144700533096</v>
      </c>
      <c r="AT94" s="5">
        <f t="shared" si="212"/>
        <v>0.59529163438240817</v>
      </c>
      <c r="AU94" s="5">
        <f t="shared" si="286"/>
        <v>5.4498530661506877</v>
      </c>
      <c r="AV94" s="5">
        <f t="shared" si="213"/>
        <v>5.2498530661506866</v>
      </c>
      <c r="AW94" s="150">
        <f t="shared" si="287"/>
        <v>9.8474339965743396E-2</v>
      </c>
      <c r="AX94" s="150">
        <f t="shared" si="214"/>
        <v>5.6135460573670741</v>
      </c>
      <c r="AY94" s="150">
        <f t="shared" si="215"/>
        <v>1.0719992147209449</v>
      </c>
      <c r="AZ94" s="150">
        <f t="shared" si="288"/>
        <v>5.2365206805010134</v>
      </c>
      <c r="BA94" s="144">
        <f t="shared" si="216"/>
        <v>12.71542931040824</v>
      </c>
      <c r="BB94" s="5">
        <f t="shared" si="217"/>
        <v>0.25293968406024359</v>
      </c>
      <c r="BC94" s="5"/>
      <c r="BD94" s="150">
        <f t="shared" si="289"/>
        <v>0.43087101751187734</v>
      </c>
      <c r="BE94" s="150">
        <f t="shared" si="218"/>
        <v>1.3036913658429037</v>
      </c>
      <c r="BF94" s="150"/>
      <c r="BG94" s="456">
        <f t="shared" si="219"/>
        <v>3.7129966746344101E-3</v>
      </c>
      <c r="BH94" s="456">
        <f t="shared" si="220"/>
        <v>0.39416221199589579</v>
      </c>
      <c r="BI94" s="456">
        <f t="shared" si="221"/>
        <v>0.19825819355203167</v>
      </c>
      <c r="BJ94" s="456">
        <f t="shared" si="222"/>
        <v>4.7234724754619935E-2</v>
      </c>
      <c r="BK94">
        <f t="shared" si="223"/>
        <v>2.1572990425589925E-2</v>
      </c>
      <c r="BL94" s="144">
        <f t="shared" si="290"/>
        <v>219.83118397762158</v>
      </c>
      <c r="BM94" s="456">
        <f t="shared" si="224"/>
        <v>0.44650635400927657</v>
      </c>
      <c r="BN94" s="144">
        <f t="shared" si="291"/>
        <v>446.50635400927655</v>
      </c>
      <c r="BO94" s="456">
        <f t="shared" si="225"/>
        <v>0.66349500000000006</v>
      </c>
      <c r="BP94" s="456"/>
      <c r="BR94" s="144">
        <f t="shared" si="292"/>
        <v>663.495</v>
      </c>
      <c r="BS94" s="456">
        <f t="shared" si="226"/>
        <v>5.5694950119516149E-3</v>
      </c>
      <c r="BT94" s="456">
        <f t="shared" si="227"/>
        <v>5.0988335321200069E-2</v>
      </c>
      <c r="BU94" s="456">
        <f t="shared" si="228"/>
        <v>8.0099999999999991E-2</v>
      </c>
      <c r="BV94" s="456">
        <f t="shared" si="229"/>
        <v>0.15091454153590755</v>
      </c>
      <c r="BW94" s="456">
        <f t="shared" si="230"/>
        <v>9.3559100956117915E-4</v>
      </c>
      <c r="BX94" s="144">
        <f t="shared" si="293"/>
        <v>151.85013254546871</v>
      </c>
      <c r="BY94" s="150">
        <f t="shared" si="231"/>
        <v>1.4816826705323667</v>
      </c>
      <c r="BZ94" s="5">
        <f t="shared" si="294"/>
        <v>5.34</v>
      </c>
      <c r="CA94" s="150">
        <f t="shared" si="295"/>
        <v>0.78279806580086264</v>
      </c>
      <c r="CB94" s="5">
        <f t="shared" si="296"/>
        <v>78.279806580086259</v>
      </c>
      <c r="CE94" s="59">
        <f t="shared" si="232"/>
        <v>-50</v>
      </c>
      <c r="CF94">
        <f t="shared" si="233"/>
        <v>-50</v>
      </c>
      <c r="CG94" s="150">
        <f t="shared" si="234"/>
        <v>0.88968451095012691</v>
      </c>
      <c r="CI94" s="147">
        <v>89</v>
      </c>
      <c r="CJ94" s="188">
        <f t="shared" si="297"/>
        <v>1.0680000000000001</v>
      </c>
      <c r="CK94" s="188"/>
      <c r="CL94" s="188">
        <f t="shared" si="235"/>
        <v>5.34</v>
      </c>
      <c r="CM94" s="465">
        <f t="shared" si="236"/>
        <v>48</v>
      </c>
      <c r="CN94" s="149">
        <f t="shared" si="237"/>
        <v>5.4</v>
      </c>
      <c r="CO94" s="379">
        <f t="shared" si="238"/>
        <v>53.4</v>
      </c>
      <c r="CP94" s="379"/>
      <c r="CQ94" s="188">
        <f t="shared" si="239"/>
        <v>0.10112359550561799</v>
      </c>
      <c r="CR94" s="149">
        <f t="shared" si="240"/>
        <v>12.426067415730339</v>
      </c>
      <c r="CS94" s="149">
        <f t="shared" si="298"/>
        <v>5.34</v>
      </c>
      <c r="CT94" s="188">
        <f t="shared" si="241"/>
        <v>2.4852134831460679</v>
      </c>
      <c r="CU94" s="188">
        <f t="shared" si="242"/>
        <v>5</v>
      </c>
      <c r="CV94" s="188">
        <f t="shared" si="243"/>
        <v>2.4269662921348316</v>
      </c>
      <c r="CW94" s="149">
        <f t="shared" si="244"/>
        <v>64.654686868254544</v>
      </c>
      <c r="CX94" s="149">
        <f t="shared" si="245"/>
        <v>5</v>
      </c>
      <c r="CY94" s="188">
        <f t="shared" si="246"/>
        <v>2.2002777777777776</v>
      </c>
      <c r="CZ94" s="188">
        <f t="shared" si="247"/>
        <v>0.55006944444444439</v>
      </c>
      <c r="DA94" s="188">
        <f t="shared" si="248"/>
        <v>4.8895061728395053</v>
      </c>
      <c r="DB94" s="172">
        <f t="shared" si="249"/>
        <v>350</v>
      </c>
      <c r="DC94" s="379">
        <f t="shared" si="299"/>
        <v>183.83787088510277</v>
      </c>
      <c r="DE94" s="188">
        <f t="shared" si="250"/>
        <v>1.1556982343499198</v>
      </c>
      <c r="DF94" s="150">
        <f t="shared" si="251"/>
        <v>2.5682182985553772</v>
      </c>
      <c r="DG94" s="150">
        <f t="shared" si="252"/>
        <v>0.51941493678648076</v>
      </c>
      <c r="DH94" s="150"/>
      <c r="DI94" s="150">
        <f t="shared" si="253"/>
        <v>2.2222222222222219</v>
      </c>
      <c r="DJ94" s="314">
        <f t="shared" si="300"/>
        <v>961.20000000000016</v>
      </c>
      <c r="DK94" s="456">
        <f t="shared" si="254"/>
        <v>0.38888888888888884</v>
      </c>
      <c r="DM94" s="150">
        <f t="shared" si="255"/>
        <v>1.6571921174944428</v>
      </c>
      <c r="DN94" s="150">
        <f t="shared" si="256"/>
        <v>2.2002777777777776</v>
      </c>
      <c r="DO94" s="150">
        <f t="shared" si="257"/>
        <v>2.089094650205761</v>
      </c>
      <c r="DQ94" s="314">
        <f t="shared" si="258"/>
        <v>1068</v>
      </c>
      <c r="DR94" s="144">
        <f t="shared" si="259"/>
        <v>183.83787088510277</v>
      </c>
      <c r="DT94">
        <f t="shared" si="260"/>
        <v>1068</v>
      </c>
      <c r="DU94">
        <f t="shared" si="261"/>
        <v>183.83787088510277</v>
      </c>
      <c r="DW94" s="5">
        <f t="shared" si="301"/>
        <v>5.4395756172839498</v>
      </c>
      <c r="DX94" s="5">
        <f t="shared" si="262"/>
        <v>0.55006944444444439</v>
      </c>
      <c r="DY94" s="5">
        <f t="shared" si="302"/>
        <v>4.8895061728395053</v>
      </c>
      <c r="DZ94" s="5">
        <f t="shared" si="263"/>
        <v>4.8895061728395053</v>
      </c>
      <c r="EA94" s="150">
        <f t="shared" si="303"/>
        <v>0.10112359550561799</v>
      </c>
      <c r="EB94" s="150">
        <f t="shared" si="264"/>
        <v>5.34</v>
      </c>
      <c r="EC94" s="150">
        <f t="shared" si="265"/>
        <v>0.98888888888888871</v>
      </c>
      <c r="ED94" s="150">
        <f t="shared" si="304"/>
        <v>5.4000000000000012</v>
      </c>
      <c r="EE94" s="144">
        <f t="shared" si="266"/>
        <v>11.749483333333332</v>
      </c>
      <c r="EF94" s="5">
        <f t="shared" si="267"/>
        <v>0.22664898405349784</v>
      </c>
      <c r="EG94" s="5"/>
      <c r="EH94" s="150">
        <f t="shared" si="305"/>
        <v>0.40396443967076917</v>
      </c>
      <c r="EI94" s="150">
        <f t="shared" si="268"/>
        <v>1.2043892634619369</v>
      </c>
      <c r="EJ94" s="150"/>
      <c r="EK94" s="456">
        <f t="shared" si="269"/>
        <v>3.26374537037037E-3</v>
      </c>
      <c r="EL94" s="456">
        <f t="shared" si="270"/>
        <v>0.432</v>
      </c>
      <c r="EM94" s="456">
        <f t="shared" si="271"/>
        <v>2.2979733860637844E-2</v>
      </c>
      <c r="EN94" s="456">
        <f t="shared" si="272"/>
        <v>5.2422471910112366E-2</v>
      </c>
      <c r="EO94">
        <f t="shared" si="273"/>
        <v>2.1600000000000001E-2</v>
      </c>
      <c r="EP94" s="144">
        <f t="shared" si="306"/>
        <v>44.579733860637852</v>
      </c>
      <c r="EQ94" s="456">
        <f t="shared" si="274"/>
        <v>0.53356092069068883</v>
      </c>
      <c r="ER94" s="144">
        <f t="shared" si="307"/>
        <v>533.56092069068882</v>
      </c>
      <c r="ES94" s="456">
        <f t="shared" si="308"/>
        <v>0.66349500000000006</v>
      </c>
      <c r="ET94" s="456"/>
      <c r="EV94" s="144">
        <f t="shared" si="309"/>
        <v>663.495</v>
      </c>
      <c r="EW94" s="456">
        <f t="shared" si="275"/>
        <v>4.895618055555555E-3</v>
      </c>
      <c r="EX94" s="456">
        <f t="shared" si="276"/>
        <v>4.3516604938271607E-2</v>
      </c>
      <c r="EY94" s="456">
        <f t="shared" si="277"/>
        <v>0.16453232685410385</v>
      </c>
      <c r="EZ94" s="456">
        <f t="shared" si="278"/>
        <v>0.22543659430038868</v>
      </c>
      <c r="FA94" s="456">
        <f t="shared" si="279"/>
        <v>8.9000000000000006E-4</v>
      </c>
      <c r="FB94" s="144">
        <f t="shared" si="310"/>
        <v>226.32659430038868</v>
      </c>
      <c r="FC94" s="150">
        <f t="shared" si="311"/>
        <v>1.4233825149910775</v>
      </c>
      <c r="FD94" s="5">
        <f t="shared" si="312"/>
        <v>5.34</v>
      </c>
      <c r="FE94" s="150">
        <f t="shared" si="313"/>
        <v>0.7895457617787931</v>
      </c>
      <c r="FF94" s="5">
        <f t="shared" si="314"/>
        <v>78.954576177879304</v>
      </c>
      <c r="FI94" s="59">
        <f t="shared" si="280"/>
        <v>-50</v>
      </c>
      <c r="FJ94">
        <f t="shared" si="281"/>
        <v>-50</v>
      </c>
      <c r="FL94">
        <f t="shared" si="282"/>
        <v>0.898876404494382</v>
      </c>
    </row>
    <row r="95" spans="5:168">
      <c r="E95" s="147">
        <v>90</v>
      </c>
      <c r="F95" s="188">
        <f t="shared" si="283"/>
        <v>1.08</v>
      </c>
      <c r="G95" s="188"/>
      <c r="H95" s="188">
        <f t="shared" si="183"/>
        <v>5.4</v>
      </c>
      <c r="I95" s="465">
        <f t="shared" si="184"/>
        <v>47.939311293984112</v>
      </c>
      <c r="J95" s="149">
        <f t="shared" si="185"/>
        <v>5.4364132236095353</v>
      </c>
      <c r="K95" s="149">
        <f t="shared" si="186"/>
        <v>53.436413223609534</v>
      </c>
      <c r="L95" s="379"/>
      <c r="M95" s="188">
        <f t="shared" si="187"/>
        <v>0.1018455964969866</v>
      </c>
      <c r="N95" s="149">
        <f t="shared" si="188"/>
        <v>12.498963851239779</v>
      </c>
      <c r="O95" s="149">
        <f t="shared" si="284"/>
        <v>5.4</v>
      </c>
      <c r="P95" s="188">
        <f t="shared" si="189"/>
        <v>2.4997927702479559</v>
      </c>
      <c r="Q95" s="188">
        <f t="shared" si="190"/>
        <v>5</v>
      </c>
      <c r="R95" s="188">
        <f t="shared" si="191"/>
        <v>2.4412038771952691</v>
      </c>
      <c r="S95" s="149">
        <f t="shared" si="192"/>
        <v>63.332196407346601</v>
      </c>
      <c r="T95" s="149">
        <f t="shared" si="193"/>
        <v>5</v>
      </c>
      <c r="U95" s="188">
        <f t="shared" si="194"/>
        <v>2.4049317039202749</v>
      </c>
      <c r="V95" s="188">
        <f t="shared" si="195"/>
        <v>0.60199405598604905</v>
      </c>
      <c r="W95" s="188">
        <f t="shared" si="196"/>
        <v>5.3084964773671297</v>
      </c>
      <c r="X95" s="172">
        <f t="shared" si="197"/>
        <v>350</v>
      </c>
      <c r="Y95" s="379">
        <f t="shared" si="198"/>
        <v>163.65298244742428</v>
      </c>
      <c r="AA95" s="188">
        <f t="shared" si="199"/>
        <v>1.1625487598698481</v>
      </c>
      <c r="AB95" s="150">
        <f t="shared" si="200"/>
        <v>2.5661377354195332</v>
      </c>
      <c r="AC95" s="150">
        <f t="shared" si="201"/>
        <v>0.52207054234425987</v>
      </c>
      <c r="AD95" s="150"/>
      <c r="AE95" s="150">
        <f t="shared" si="202"/>
        <v>2.207337725522001</v>
      </c>
      <c r="AF95" s="314">
        <f t="shared" si="203"/>
        <v>978.55438024971636</v>
      </c>
      <c r="AG95" s="456">
        <f t="shared" si="204"/>
        <v>0.38628410196635016</v>
      </c>
      <c r="AI95" s="150">
        <f t="shared" si="205"/>
        <v>1.6720854218180161</v>
      </c>
      <c r="AJ95" s="150">
        <f t="shared" si="206"/>
        <v>2.4049317039202749</v>
      </c>
      <c r="AK95" s="150">
        <f t="shared" si="207"/>
        <v>2.2406901510520552</v>
      </c>
      <c r="AM95" s="314">
        <f t="shared" si="208"/>
        <v>1080</v>
      </c>
      <c r="AN95" s="144">
        <f t="shared" si="209"/>
        <v>163.65298244742428</v>
      </c>
      <c r="AP95">
        <f t="shared" si="210"/>
        <v>1080</v>
      </c>
      <c r="AQ95">
        <f t="shared" si="211"/>
        <v>163.65298244742428</v>
      </c>
      <c r="AS95" s="5">
        <f t="shared" si="285"/>
        <v>6.1104905333531789</v>
      </c>
      <c r="AT95" s="5">
        <f t="shared" si="212"/>
        <v>0.60199405598604905</v>
      </c>
      <c r="AU95" s="5">
        <f t="shared" si="286"/>
        <v>5.5084964773671299</v>
      </c>
      <c r="AV95" s="5">
        <f t="shared" si="213"/>
        <v>5.3084964773671297</v>
      </c>
      <c r="AW95" s="150">
        <f t="shared" si="287"/>
        <v>9.8518122677738629E-2</v>
      </c>
      <c r="AX95" s="150">
        <f t="shared" si="214"/>
        <v>5.6791150912858344</v>
      </c>
      <c r="AY95" s="150">
        <f t="shared" si="215"/>
        <v>1.0840011736409372</v>
      </c>
      <c r="AZ95" s="150">
        <f t="shared" si="288"/>
        <v>5.2390303898019353</v>
      </c>
      <c r="BA95" s="144">
        <f t="shared" si="216"/>
        <v>13.00307160929866</v>
      </c>
      <c r="BB95" s="5">
        <f t="shared" si="217"/>
        <v>0.25853765395314254</v>
      </c>
      <c r="BC95" s="5"/>
      <c r="BD95" s="150">
        <f t="shared" si="289"/>
        <v>0.43581300323614458</v>
      </c>
      <c r="BE95" s="150">
        <f t="shared" si="218"/>
        <v>1.3183193314661099</v>
      </c>
      <c r="BF95" s="150"/>
      <c r="BG95" s="456">
        <f t="shared" si="219"/>
        <v>3.7986594757941556E-3</v>
      </c>
      <c r="BH95" s="456">
        <f t="shared" si="220"/>
        <v>0.39433492574302936</v>
      </c>
      <c r="BI95" s="456">
        <f t="shared" si="221"/>
        <v>0.19613528174339975</v>
      </c>
      <c r="BJ95" s="456">
        <f t="shared" si="222"/>
        <v>4.6730295098540986E-2</v>
      </c>
      <c r="BK95">
        <f t="shared" si="223"/>
        <v>2.1572690082292848E-2</v>
      </c>
      <c r="BL95" s="144">
        <f t="shared" si="290"/>
        <v>217.7079718256926</v>
      </c>
      <c r="BM95" s="456">
        <f t="shared" si="224"/>
        <v>0.44629232464197988</v>
      </c>
      <c r="BN95" s="144">
        <f t="shared" si="291"/>
        <v>446.29232464197986</v>
      </c>
      <c r="BO95" s="456">
        <f t="shared" si="225"/>
        <v>0.67094999999999994</v>
      </c>
      <c r="BP95" s="456"/>
      <c r="BR95" s="144">
        <f t="shared" si="292"/>
        <v>670.94999999999993</v>
      </c>
      <c r="BS95" s="456">
        <f t="shared" si="226"/>
        <v>5.6979892136912328E-3</v>
      </c>
      <c r="BT95" s="456">
        <f t="shared" si="227"/>
        <v>5.2138975791517529E-2</v>
      </c>
      <c r="BU95" s="456">
        <f t="shared" si="228"/>
        <v>8.1000000000000003E-2</v>
      </c>
      <c r="BV95" s="456">
        <f t="shared" si="229"/>
        <v>0.15342774019369174</v>
      </c>
      <c r="BW95" s="456">
        <f t="shared" si="230"/>
        <v>9.4651918188097236E-4</v>
      </c>
      <c r="BX95" s="144">
        <f t="shared" si="293"/>
        <v>154.37425937557271</v>
      </c>
      <c r="BY95" s="150">
        <f t="shared" si="231"/>
        <v>1.4893245558432449</v>
      </c>
      <c r="BZ95" s="5">
        <f t="shared" si="294"/>
        <v>5.4</v>
      </c>
      <c r="CA95" s="150">
        <f t="shared" si="295"/>
        <v>0.78382139732696143</v>
      </c>
      <c r="CB95" s="5">
        <f t="shared" si="296"/>
        <v>78.382139732696146</v>
      </c>
      <c r="CE95" s="59">
        <f t="shared" si="232"/>
        <v>-50</v>
      </c>
      <c r="CF95">
        <f t="shared" si="233"/>
        <v>-50</v>
      </c>
      <c r="CG95" s="150">
        <f t="shared" si="234"/>
        <v>0.88978664310061861</v>
      </c>
      <c r="CI95" s="147">
        <v>90</v>
      </c>
      <c r="CJ95" s="188">
        <f t="shared" si="297"/>
        <v>1.08</v>
      </c>
      <c r="CK95" s="188"/>
      <c r="CL95" s="188">
        <f t="shared" si="235"/>
        <v>5.4</v>
      </c>
      <c r="CM95" s="465">
        <f t="shared" si="236"/>
        <v>48</v>
      </c>
      <c r="CN95" s="149">
        <f t="shared" si="237"/>
        <v>5.4</v>
      </c>
      <c r="CO95" s="379">
        <f t="shared" si="238"/>
        <v>53.4</v>
      </c>
      <c r="CP95" s="379"/>
      <c r="CQ95" s="188">
        <f t="shared" si="239"/>
        <v>0.10112359550561799</v>
      </c>
      <c r="CR95" s="149">
        <f t="shared" si="240"/>
        <v>12.426067415730339</v>
      </c>
      <c r="CS95" s="149">
        <f t="shared" si="298"/>
        <v>5.4</v>
      </c>
      <c r="CT95" s="188">
        <f t="shared" si="241"/>
        <v>2.4852134831460679</v>
      </c>
      <c r="CU95" s="188">
        <f t="shared" si="242"/>
        <v>5</v>
      </c>
      <c r="CV95" s="188">
        <f t="shared" si="243"/>
        <v>2.4269662921348316</v>
      </c>
      <c r="CW95" s="149">
        <f t="shared" si="244"/>
        <v>63.411994981074649</v>
      </c>
      <c r="CX95" s="149">
        <f t="shared" si="245"/>
        <v>5</v>
      </c>
      <c r="CY95" s="188">
        <f t="shared" si="246"/>
        <v>2.2250000000000001</v>
      </c>
      <c r="CZ95" s="188">
        <f t="shared" si="247"/>
        <v>0.55625000000000002</v>
      </c>
      <c r="DA95" s="188">
        <f t="shared" si="248"/>
        <v>4.9444444444444446</v>
      </c>
      <c r="DB95" s="172">
        <f t="shared" si="249"/>
        <v>350</v>
      </c>
      <c r="DC95" s="379">
        <f t="shared" si="299"/>
        <v>181.79522787526824</v>
      </c>
      <c r="DE95" s="188">
        <f t="shared" si="250"/>
        <v>1.1556982343499198</v>
      </c>
      <c r="DF95" s="150">
        <f t="shared" si="251"/>
        <v>2.5682182985553772</v>
      </c>
      <c r="DG95" s="150">
        <f t="shared" si="252"/>
        <v>0.51941493678648076</v>
      </c>
      <c r="DH95" s="150"/>
      <c r="DI95" s="150">
        <f t="shared" si="253"/>
        <v>2.2222222222222219</v>
      </c>
      <c r="DJ95" s="314">
        <f t="shared" si="300"/>
        <v>972.00000000000011</v>
      </c>
      <c r="DK95" s="456">
        <f t="shared" si="254"/>
        <v>0.38888888888888884</v>
      </c>
      <c r="DM95" s="150">
        <f t="shared" si="255"/>
        <v>1.6664761795905927</v>
      </c>
      <c r="DN95" s="150">
        <f t="shared" si="256"/>
        <v>2.2250000000000001</v>
      </c>
      <c r="DO95" s="150">
        <f t="shared" si="257"/>
        <v>2.1074074074074076</v>
      </c>
      <c r="DQ95" s="314">
        <f t="shared" si="258"/>
        <v>1080</v>
      </c>
      <c r="DR95" s="144">
        <f t="shared" si="259"/>
        <v>181.79522787526824</v>
      </c>
      <c r="DT95">
        <f t="shared" si="260"/>
        <v>1080</v>
      </c>
      <c r="DU95">
        <f t="shared" si="261"/>
        <v>181.79522787526824</v>
      </c>
      <c r="DW95" s="5">
        <f t="shared" si="301"/>
        <v>5.500694444444445</v>
      </c>
      <c r="DX95" s="5">
        <f t="shared" si="262"/>
        <v>0.55625000000000002</v>
      </c>
      <c r="DY95" s="5">
        <f t="shared" si="302"/>
        <v>4.9444444444444446</v>
      </c>
      <c r="DZ95" s="5">
        <f t="shared" si="263"/>
        <v>4.9444444444444446</v>
      </c>
      <c r="EA95" s="150">
        <f t="shared" si="303"/>
        <v>0.10112359550561797</v>
      </c>
      <c r="EB95" s="150">
        <f t="shared" si="264"/>
        <v>5.4</v>
      </c>
      <c r="EC95" s="150">
        <f t="shared" si="265"/>
        <v>1</v>
      </c>
      <c r="ED95" s="150">
        <f t="shared" si="304"/>
        <v>5.4</v>
      </c>
      <c r="EE95" s="144">
        <f t="shared" si="266"/>
        <v>12.015000000000002</v>
      </c>
      <c r="EF95" s="5">
        <f t="shared" si="267"/>
        <v>0.23177083333333331</v>
      </c>
      <c r="EG95" s="5"/>
      <c r="EH95" s="150">
        <f t="shared" si="305"/>
        <v>0.40850336595920483</v>
      </c>
      <c r="EI95" s="150">
        <f t="shared" si="268"/>
        <v>1.2179217270963407</v>
      </c>
      <c r="EJ95" s="150"/>
      <c r="EK95" s="456">
        <f t="shared" si="269"/>
        <v>3.3375000000000006E-3</v>
      </c>
      <c r="EL95" s="456">
        <f t="shared" si="270"/>
        <v>0.43199999999999994</v>
      </c>
      <c r="EM95" s="456">
        <f t="shared" si="271"/>
        <v>2.2724403484408528E-2</v>
      </c>
      <c r="EN95" s="456">
        <f t="shared" si="272"/>
        <v>5.1839999999999983E-2</v>
      </c>
      <c r="EO95">
        <f t="shared" si="273"/>
        <v>2.1600000000000001E-2</v>
      </c>
      <c r="EP95" s="144">
        <f t="shared" si="306"/>
        <v>44.324403484408528</v>
      </c>
      <c r="EQ95" s="456">
        <f t="shared" si="274"/>
        <v>0.53282555382033248</v>
      </c>
      <c r="ER95" s="144">
        <f t="shared" si="307"/>
        <v>532.82555382033252</v>
      </c>
      <c r="ES95" s="456">
        <f t="shared" si="308"/>
        <v>0.67094999999999994</v>
      </c>
      <c r="ET95" s="456"/>
      <c r="EV95" s="144">
        <f t="shared" si="309"/>
        <v>670.94999999999993</v>
      </c>
      <c r="EW95" s="456">
        <f t="shared" si="275"/>
        <v>5.0062500000000003E-3</v>
      </c>
      <c r="EX95" s="456">
        <f t="shared" si="276"/>
        <v>4.4499999999999998E-2</v>
      </c>
      <c r="EY95" s="456">
        <f t="shared" si="277"/>
        <v>0.16453232685410402</v>
      </c>
      <c r="EZ95" s="456">
        <f t="shared" si="278"/>
        <v>0.22681839109202401</v>
      </c>
      <c r="FA95" s="456">
        <f t="shared" si="279"/>
        <v>9.0000000000000008E-4</v>
      </c>
      <c r="FB95" s="144">
        <f t="shared" si="310"/>
        <v>227.71839109202401</v>
      </c>
      <c r="FC95" s="150">
        <f t="shared" si="311"/>
        <v>1.4314939449123565</v>
      </c>
      <c r="FD95" s="5">
        <f t="shared" si="312"/>
        <v>5.4</v>
      </c>
      <c r="FE95" s="150">
        <f t="shared" si="313"/>
        <v>0.79045667661340202</v>
      </c>
      <c r="FF95" s="5">
        <f t="shared" si="314"/>
        <v>79.045667661340204</v>
      </c>
      <c r="FI95" s="59">
        <f t="shared" si="280"/>
        <v>-50</v>
      </c>
      <c r="FJ95">
        <f t="shared" si="281"/>
        <v>-50</v>
      </c>
      <c r="FL95">
        <f t="shared" si="282"/>
        <v>0.898876404494382</v>
      </c>
    </row>
    <row r="96" spans="5:168">
      <c r="E96" s="147">
        <v>91</v>
      </c>
      <c r="F96" s="188">
        <f t="shared" si="283"/>
        <v>1.0920000000000001</v>
      </c>
      <c r="G96" s="188"/>
      <c r="H96" s="188">
        <f t="shared" si="183"/>
        <v>5.4600000000000009</v>
      </c>
      <c r="I96" s="465">
        <f t="shared" si="184"/>
        <v>47.938643862871039</v>
      </c>
      <c r="J96" s="149">
        <f t="shared" si="185"/>
        <v>5.4368136822773758</v>
      </c>
      <c r="K96" s="149">
        <f t="shared" si="186"/>
        <v>53.436813682277375</v>
      </c>
      <c r="L96" s="379"/>
      <c r="M96" s="188">
        <f t="shared" si="187"/>
        <v>0.10185360933150436</v>
      </c>
      <c r="N96" s="149">
        <f t="shared" si="188"/>
        <v>12.499773193960925</v>
      </c>
      <c r="O96" s="149">
        <f t="shared" si="284"/>
        <v>5.4600000000000009</v>
      </c>
      <c r="P96" s="188">
        <f t="shared" si="189"/>
        <v>2.4999546387921852</v>
      </c>
      <c r="Q96" s="188">
        <f t="shared" si="190"/>
        <v>5</v>
      </c>
      <c r="R96" s="188">
        <f t="shared" si="191"/>
        <v>2.4413619519454928</v>
      </c>
      <c r="S96" s="149">
        <f t="shared" si="192"/>
        <v>62.117719044386334</v>
      </c>
      <c r="T96" s="188">
        <f t="shared" si="193"/>
        <v>5</v>
      </c>
      <c r="U96" s="188">
        <f t="shared" si="194"/>
        <v>2.4316748613490899</v>
      </c>
      <c r="V96" s="188">
        <f t="shared" si="195"/>
        <v>0.60869678374004565</v>
      </c>
      <c r="W96" s="188">
        <f t="shared" si="196"/>
        <v>5.3671323023830571</v>
      </c>
      <c r="X96" s="172">
        <f t="shared" si="197"/>
        <v>350</v>
      </c>
      <c r="Y96" s="379">
        <f t="shared" si="198"/>
        <v>161.92157944379795</v>
      </c>
      <c r="AA96" s="188">
        <f t="shared" si="199"/>
        <v>1.162624024360237</v>
      </c>
      <c r="AB96" s="150">
        <f t="shared" si="200"/>
        <v>2.5661148436631431</v>
      </c>
      <c r="AC96" s="150">
        <f t="shared" si="201"/>
        <v>0.52209968413928221</v>
      </c>
      <c r="AD96" s="150"/>
      <c r="AE96" s="150">
        <f t="shared" si="202"/>
        <v>2.207175139938478</v>
      </c>
      <c r="AF96" s="314">
        <f t="shared" si="203"/>
        <v>989.50009017448258</v>
      </c>
      <c r="AG96" s="456">
        <f t="shared" si="204"/>
        <v>0.38625564948923369</v>
      </c>
      <c r="AI96" s="150">
        <f t="shared" si="205"/>
        <v>1.6814110487278939</v>
      </c>
      <c r="AJ96" s="150">
        <f t="shared" si="206"/>
        <v>2.4316748613490899</v>
      </c>
      <c r="AK96" s="150">
        <f t="shared" si="207"/>
        <v>2.2604998972956221</v>
      </c>
      <c r="AM96" s="314">
        <f t="shared" si="208"/>
        <v>1092</v>
      </c>
      <c r="AN96" s="144">
        <f t="shared" si="209"/>
        <v>161.92157944379795</v>
      </c>
      <c r="AP96">
        <f t="shared" si="210"/>
        <v>1092</v>
      </c>
      <c r="AQ96">
        <f t="shared" si="211"/>
        <v>161.92157944379795</v>
      </c>
      <c r="AS96" s="5">
        <f t="shared" si="285"/>
        <v>6.1758290861231027</v>
      </c>
      <c r="AT96" s="5">
        <f t="shared" si="212"/>
        <v>0.60869678374004565</v>
      </c>
      <c r="AU96" s="5">
        <f t="shared" si="286"/>
        <v>5.5671323023830572</v>
      </c>
      <c r="AV96" s="5">
        <f t="shared" si="213"/>
        <v>5.3671323023830571</v>
      </c>
      <c r="AW96" s="150">
        <f t="shared" si="287"/>
        <v>9.8561144625548103E-2</v>
      </c>
      <c r="AX96" s="150">
        <f t="shared" si="214"/>
        <v>5.7446952130882707</v>
      </c>
      <c r="AY96" s="150">
        <f t="shared" si="215"/>
        <v>1.0960031018286764</v>
      </c>
      <c r="AZ96" s="150">
        <f t="shared" si="288"/>
        <v>5.241495396776954</v>
      </c>
      <c r="BA96" s="144">
        <f t="shared" si="216"/>
        <v>13.293937756882599</v>
      </c>
      <c r="BB96" s="5">
        <f t="shared" si="217"/>
        <v>0.26419658478763935</v>
      </c>
      <c r="BC96" s="5"/>
      <c r="BD96" s="150">
        <f t="shared" si="289"/>
        <v>0.44075550666337976</v>
      </c>
      <c r="BE96" s="150">
        <f t="shared" si="218"/>
        <v>1.3329474084842754</v>
      </c>
      <c r="BF96" s="150"/>
      <c r="BG96" s="456">
        <f t="shared" si="219"/>
        <v>3.8853083330818521E-3</v>
      </c>
      <c r="BH96" s="456">
        <f t="shared" si="220"/>
        <v>0.39450459208514099</v>
      </c>
      <c r="BI96" s="456">
        <f t="shared" si="221"/>
        <v>0.19405752326674522</v>
      </c>
      <c r="BJ96" s="456">
        <f t="shared" si="222"/>
        <v>4.6236594580161418E-2</v>
      </c>
      <c r="BK96">
        <f t="shared" si="223"/>
        <v>2.1572389738291967E-2</v>
      </c>
      <c r="BL96" s="144">
        <f t="shared" si="290"/>
        <v>215.6299130050372</v>
      </c>
      <c r="BM96" s="456">
        <f t="shared" si="224"/>
        <v>0.4460873334400503</v>
      </c>
      <c r="BN96" s="144">
        <f t="shared" si="291"/>
        <v>446.08733344005032</v>
      </c>
      <c r="BO96" s="456">
        <f t="shared" si="225"/>
        <v>0.67840499999999992</v>
      </c>
      <c r="BP96" s="456"/>
      <c r="BR96" s="144">
        <f t="shared" si="292"/>
        <v>678.40499999999997</v>
      </c>
      <c r="BS96" s="456">
        <f t="shared" si="226"/>
        <v>5.8279624996227779E-3</v>
      </c>
      <c r="BT96" s="456">
        <f t="shared" si="227"/>
        <v>5.3302463813548369E-2</v>
      </c>
      <c r="BU96" s="456">
        <f t="shared" si="228"/>
        <v>8.1900000000000014E-2</v>
      </c>
      <c r="BV96" s="456">
        <f t="shared" si="229"/>
        <v>0.15595948469373405</v>
      </c>
      <c r="BW96" s="456">
        <f t="shared" si="230"/>
        <v>9.5744920218137849E-4</v>
      </c>
      <c r="BX96" s="144">
        <f t="shared" si="293"/>
        <v>156.91693389591543</v>
      </c>
      <c r="BY96" s="150">
        <f t="shared" si="231"/>
        <v>1.4970391803410028</v>
      </c>
      <c r="BZ96" s="5">
        <f t="shared" si="294"/>
        <v>5.4600000000000009</v>
      </c>
      <c r="CA96" s="150">
        <f t="shared" si="295"/>
        <v>0.78481662363332783</v>
      </c>
      <c r="CB96" s="5">
        <f t="shared" si="296"/>
        <v>78.481662363332788</v>
      </c>
      <c r="CE96" s="59">
        <f t="shared" si="232"/>
        <v>-50</v>
      </c>
      <c r="CF96">
        <f t="shared" si="233"/>
        <v>-50</v>
      </c>
      <c r="CG96" s="150">
        <f t="shared" si="234"/>
        <v>0.88988653058846212</v>
      </c>
      <c r="CI96" s="147">
        <v>91</v>
      </c>
      <c r="CJ96" s="188">
        <f t="shared" si="297"/>
        <v>1.0920000000000001</v>
      </c>
      <c r="CK96" s="188"/>
      <c r="CL96" s="188">
        <f t="shared" si="235"/>
        <v>5.4600000000000009</v>
      </c>
      <c r="CM96" s="465">
        <f t="shared" si="236"/>
        <v>48</v>
      </c>
      <c r="CN96" s="149">
        <f t="shared" si="237"/>
        <v>5.4</v>
      </c>
      <c r="CO96" s="379">
        <f t="shared" si="238"/>
        <v>53.4</v>
      </c>
      <c r="CP96" s="379"/>
      <c r="CQ96" s="188">
        <f t="shared" si="239"/>
        <v>0.10112359550561799</v>
      </c>
      <c r="CR96" s="149">
        <f t="shared" si="240"/>
        <v>12.426067415730339</v>
      </c>
      <c r="CS96" s="149">
        <f t="shared" si="298"/>
        <v>5.4600000000000009</v>
      </c>
      <c r="CT96" s="188">
        <f t="shared" si="241"/>
        <v>2.4852134831460679</v>
      </c>
      <c r="CU96" s="188">
        <f t="shared" si="242"/>
        <v>5</v>
      </c>
      <c r="CV96" s="188">
        <f t="shared" si="243"/>
        <v>2.4269662921348316</v>
      </c>
      <c r="CW96" s="149">
        <f t="shared" si="244"/>
        <v>62.196834664658894</v>
      </c>
      <c r="CX96" s="188">
        <f t="shared" si="245"/>
        <v>5</v>
      </c>
      <c r="CY96" s="188">
        <f t="shared" si="246"/>
        <v>2.2497222222222226</v>
      </c>
      <c r="CZ96" s="188">
        <f t="shared" si="247"/>
        <v>0.56243055555555566</v>
      </c>
      <c r="DA96" s="188">
        <f t="shared" si="248"/>
        <v>4.9993827160493831</v>
      </c>
      <c r="DB96" s="172">
        <f t="shared" si="249"/>
        <v>350</v>
      </c>
      <c r="DC96" s="379">
        <f t="shared" si="299"/>
        <v>179.79747811839718</v>
      </c>
      <c r="DE96" s="188">
        <f t="shared" si="250"/>
        <v>1.1556982343499198</v>
      </c>
      <c r="DF96" s="150">
        <f t="shared" si="251"/>
        <v>2.5682182985553772</v>
      </c>
      <c r="DG96" s="150">
        <f t="shared" si="252"/>
        <v>0.51941493678648076</v>
      </c>
      <c r="DH96" s="150"/>
      <c r="DI96" s="150">
        <f t="shared" si="253"/>
        <v>2.2222222222222219</v>
      </c>
      <c r="DJ96" s="314">
        <f t="shared" si="300"/>
        <v>982.80000000000007</v>
      </c>
      <c r="DK96" s="456">
        <f t="shared" si="254"/>
        <v>0.38888888888888884</v>
      </c>
      <c r="DM96" s="150">
        <f t="shared" si="255"/>
        <v>1.6757088052522731</v>
      </c>
      <c r="DN96" s="150">
        <f t="shared" si="256"/>
        <v>2.2497222222222226</v>
      </c>
      <c r="DO96" s="150">
        <f t="shared" si="257"/>
        <v>2.1257201646090538</v>
      </c>
      <c r="DQ96" s="314">
        <f t="shared" si="258"/>
        <v>1092</v>
      </c>
      <c r="DR96" s="144">
        <f t="shared" si="259"/>
        <v>179.79747811839718</v>
      </c>
      <c r="DT96">
        <f t="shared" si="260"/>
        <v>1092</v>
      </c>
      <c r="DU96">
        <f t="shared" si="261"/>
        <v>179.79747811839718</v>
      </c>
      <c r="DW96" s="5">
        <f t="shared" si="301"/>
        <v>5.5618132716049384</v>
      </c>
      <c r="DX96" s="5">
        <f t="shared" si="262"/>
        <v>0.56243055555555566</v>
      </c>
      <c r="DY96" s="5">
        <f t="shared" si="302"/>
        <v>4.9993827160493831</v>
      </c>
      <c r="DZ96" s="5">
        <f t="shared" si="263"/>
        <v>4.9993827160493831</v>
      </c>
      <c r="EA96" s="150">
        <f t="shared" si="303"/>
        <v>0.10112359550561799</v>
      </c>
      <c r="EB96" s="150">
        <f t="shared" si="264"/>
        <v>5.4600000000000017</v>
      </c>
      <c r="EC96" s="150">
        <f t="shared" si="265"/>
        <v>1.0111111111111113</v>
      </c>
      <c r="ED96" s="150">
        <f t="shared" si="304"/>
        <v>5.4</v>
      </c>
      <c r="EE96" s="144">
        <f t="shared" si="266"/>
        <v>12.283483333333336</v>
      </c>
      <c r="EF96" s="5">
        <f t="shared" si="267"/>
        <v>0.23694990997942392</v>
      </c>
      <c r="EG96" s="5"/>
      <c r="EH96" s="150">
        <f t="shared" si="305"/>
        <v>0.4130422922476405</v>
      </c>
      <c r="EI96" s="150">
        <f t="shared" si="268"/>
        <v>1.2314541907307448</v>
      </c>
      <c r="EJ96" s="150"/>
      <c r="EK96" s="456">
        <f t="shared" si="269"/>
        <v>3.4120787037037054E-3</v>
      </c>
      <c r="EL96" s="456">
        <f t="shared" si="270"/>
        <v>0.43200000000000011</v>
      </c>
      <c r="EM96" s="456">
        <f t="shared" si="271"/>
        <v>2.2474684764799649E-2</v>
      </c>
      <c r="EN96" s="456">
        <f t="shared" si="272"/>
        <v>5.1270329670329663E-2</v>
      </c>
      <c r="EO96">
        <f t="shared" si="273"/>
        <v>2.1600000000000001E-2</v>
      </c>
      <c r="EP96" s="144">
        <f t="shared" si="306"/>
        <v>44.074684764799649</v>
      </c>
      <c r="EQ96" s="456">
        <f t="shared" si="274"/>
        <v>0.5321097410237674</v>
      </c>
      <c r="ER96" s="144">
        <f t="shared" si="307"/>
        <v>532.10974102376736</v>
      </c>
      <c r="ES96" s="456">
        <f t="shared" si="308"/>
        <v>0.67840499999999992</v>
      </c>
      <c r="ET96" s="456"/>
      <c r="EV96" s="144">
        <f t="shared" si="309"/>
        <v>678.40499999999997</v>
      </c>
      <c r="EW96" s="456">
        <f t="shared" si="275"/>
        <v>5.118118055555558E-3</v>
      </c>
      <c r="EX96" s="456">
        <f t="shared" si="276"/>
        <v>4.5494382716049407E-2</v>
      </c>
      <c r="EY96" s="456">
        <f t="shared" si="277"/>
        <v>0.16453232685410402</v>
      </c>
      <c r="EZ96" s="456">
        <f t="shared" si="278"/>
        <v>0.22821587389839618</v>
      </c>
      <c r="FA96" s="456">
        <f t="shared" si="279"/>
        <v>9.1000000000000044E-4</v>
      </c>
      <c r="FB96" s="144">
        <f t="shared" si="310"/>
        <v>229.12587389839618</v>
      </c>
      <c r="FC96" s="150">
        <f t="shared" si="311"/>
        <v>1.4396406149221634</v>
      </c>
      <c r="FD96" s="5">
        <f t="shared" si="312"/>
        <v>5.4600000000000009</v>
      </c>
      <c r="FE96" s="150">
        <f t="shared" si="313"/>
        <v>0.79134556489672991</v>
      </c>
      <c r="FF96" s="5">
        <f t="shared" si="314"/>
        <v>79.134556489672988</v>
      </c>
      <c r="FI96" s="59">
        <f t="shared" si="280"/>
        <v>-50</v>
      </c>
      <c r="FJ96">
        <f t="shared" si="281"/>
        <v>-50</v>
      </c>
      <c r="FL96">
        <f t="shared" si="282"/>
        <v>0.898876404494382</v>
      </c>
    </row>
    <row r="97" spans="5:168">
      <c r="E97" s="147">
        <v>92</v>
      </c>
      <c r="F97" s="188">
        <f t="shared" si="283"/>
        <v>1.1040000000000001</v>
      </c>
      <c r="G97" s="188"/>
      <c r="H97" s="188">
        <f t="shared" si="183"/>
        <v>5.5200000000000005</v>
      </c>
      <c r="I97" s="465">
        <f t="shared" si="184"/>
        <v>47.93797643024547</v>
      </c>
      <c r="J97" s="149">
        <f t="shared" si="185"/>
        <v>5.4372141418527207</v>
      </c>
      <c r="K97" s="149">
        <f t="shared" si="186"/>
        <v>53.437214141852721</v>
      </c>
      <c r="L97" s="379"/>
      <c r="M97" s="188">
        <f t="shared" si="187"/>
        <v>0.10186162224905403</v>
      </c>
      <c r="N97" s="149">
        <f t="shared" si="188"/>
        <v>12.500582519095602</v>
      </c>
      <c r="O97" s="149">
        <f t="shared" si="284"/>
        <v>5.5200000000000005</v>
      </c>
      <c r="P97" s="188">
        <f t="shared" si="189"/>
        <v>2.5001165038191204</v>
      </c>
      <c r="Q97" s="188">
        <f t="shared" si="190"/>
        <v>5</v>
      </c>
      <c r="R97" s="188">
        <f t="shared" si="191"/>
        <v>2.4415200232608596</v>
      </c>
      <c r="S97" s="149">
        <f t="shared" si="192"/>
        <v>60.929880398019364</v>
      </c>
      <c r="T97" s="460">
        <f t="shared" si="193"/>
        <v>5</v>
      </c>
      <c r="U97" s="188">
        <f t="shared" si="194"/>
        <v>2.4584184961888798</v>
      </c>
      <c r="V97" s="188">
        <f t="shared" si="195"/>
        <v>0.615399817662172</v>
      </c>
      <c r="W97" s="188">
        <f t="shared" si="196"/>
        <v>5.4257605429191615</v>
      </c>
      <c r="X97" s="172">
        <f t="shared" si="197"/>
        <v>350</v>
      </c>
      <c r="Y97" s="379">
        <f t="shared" si="198"/>
        <v>160.22661528069676</v>
      </c>
      <c r="AA97" s="188">
        <f t="shared" si="199"/>
        <v>1.162699287389555</v>
      </c>
      <c r="AB97" s="150">
        <f t="shared" si="200"/>
        <v>2.566091951625876</v>
      </c>
      <c r="AC97" s="150">
        <f t="shared" si="201"/>
        <v>0.52212882461800869</v>
      </c>
      <c r="AD97" s="150"/>
      <c r="AE97" s="150">
        <f t="shared" si="202"/>
        <v>2.2070125779359175</v>
      </c>
      <c r="AF97" s="314">
        <f t="shared" si="203"/>
        <v>1000.4474021009006</v>
      </c>
      <c r="AG97" s="456">
        <f t="shared" si="204"/>
        <v>0.38622720113878561</v>
      </c>
      <c r="AI97" s="150">
        <f t="shared" si="205"/>
        <v>1.6906865909622977</v>
      </c>
      <c r="AJ97" s="150">
        <f t="shared" si="206"/>
        <v>2.4584184961888798</v>
      </c>
      <c r="AK97" s="150">
        <f t="shared" si="207"/>
        <v>2.280309997176948</v>
      </c>
      <c r="AM97" s="314">
        <f t="shared" si="208"/>
        <v>1104</v>
      </c>
      <c r="AN97" s="144">
        <f t="shared" si="209"/>
        <v>160.22661528069676</v>
      </c>
      <c r="AP97">
        <f t="shared" si="210"/>
        <v>1104</v>
      </c>
      <c r="AQ97">
        <f t="shared" si="211"/>
        <v>160.22661528069676</v>
      </c>
      <c r="AS97" s="5">
        <f t="shared" si="285"/>
        <v>6.2411603605813335</v>
      </c>
      <c r="AT97" s="5">
        <f t="shared" si="212"/>
        <v>0.615399817662172</v>
      </c>
      <c r="AU97" s="5">
        <f t="shared" si="286"/>
        <v>5.6257605429191617</v>
      </c>
      <c r="AV97" s="5">
        <f t="shared" si="213"/>
        <v>5.4257605429191615</v>
      </c>
      <c r="AW97" s="150">
        <f t="shared" si="287"/>
        <v>9.860342982836777E-2</v>
      </c>
      <c r="AX97" s="150">
        <f t="shared" si="214"/>
        <v>5.8102863761449388</v>
      </c>
      <c r="AY97" s="150">
        <f t="shared" si="215"/>
        <v>1.108005000255579</v>
      </c>
      <c r="AZ97" s="150">
        <f t="shared" si="288"/>
        <v>5.2439171075985254</v>
      </c>
      <c r="BA97" s="144">
        <f t="shared" si="216"/>
        <v>13.588027973980758</v>
      </c>
      <c r="BB97" s="5">
        <f t="shared" si="217"/>
        <v>0.26991646732402164</v>
      </c>
      <c r="BC97" s="5"/>
      <c r="BD97" s="150">
        <f t="shared" si="289"/>
        <v>0.44569852643815677</v>
      </c>
      <c r="BE97" s="150">
        <f t="shared" si="218"/>
        <v>1.3475755975078798</v>
      </c>
      <c r="BF97" s="150"/>
      <c r="BG97" s="456">
        <f t="shared" si="219"/>
        <v>3.972943529382887E-3</v>
      </c>
      <c r="BH97" s="456">
        <f t="shared" si="220"/>
        <v>0.39467130722056581</v>
      </c>
      <c r="BI97" s="456">
        <f t="shared" si="221"/>
        <v>0.19202349267060123</v>
      </c>
      <c r="BJ97" s="456">
        <f t="shared" si="222"/>
        <v>4.5753284489813133E-2</v>
      </c>
      <c r="BK97">
        <f t="shared" si="223"/>
        <v>2.1572089393610459E-2</v>
      </c>
      <c r="BL97" s="144">
        <f t="shared" si="290"/>
        <v>213.5955820642117</v>
      </c>
      <c r="BM97" s="456">
        <f t="shared" si="224"/>
        <v>0.44589113846715484</v>
      </c>
      <c r="BN97" s="144">
        <f t="shared" si="291"/>
        <v>445.89113846715486</v>
      </c>
      <c r="BO97" s="456">
        <f t="shared" si="225"/>
        <v>0.68586000000000003</v>
      </c>
      <c r="BP97" s="456"/>
      <c r="BR97" s="144">
        <f t="shared" si="292"/>
        <v>685.86</v>
      </c>
      <c r="BS97" s="456">
        <f t="shared" si="226"/>
        <v>5.95941529407433E-3</v>
      </c>
      <c r="BT97" s="456">
        <f t="shared" si="227"/>
        <v>5.4478799729961572E-2</v>
      </c>
      <c r="BU97" s="456">
        <f t="shared" si="228"/>
        <v>8.2799999999999999E-2</v>
      </c>
      <c r="BV97" s="456">
        <f t="shared" si="229"/>
        <v>0.15850979053410172</v>
      </c>
      <c r="BW97" s="456">
        <f t="shared" si="230"/>
        <v>9.6838106269082317E-4</v>
      </c>
      <c r="BX97" s="144">
        <f t="shared" si="293"/>
        <v>159.47817159679252</v>
      </c>
      <c r="BY97" s="150">
        <f t="shared" si="231"/>
        <v>1.5048248921281591</v>
      </c>
      <c r="BZ97" s="5">
        <f t="shared" si="294"/>
        <v>5.5200000000000005</v>
      </c>
      <c r="CA97" s="150">
        <f t="shared" si="295"/>
        <v>0.78578471132932759</v>
      </c>
      <c r="CB97" s="5">
        <f t="shared" si="296"/>
        <v>78.578471132932762</v>
      </c>
      <c r="CE97" s="59">
        <f t="shared" si="232"/>
        <v>-50</v>
      </c>
      <c r="CF97">
        <f t="shared" si="233"/>
        <v>-50</v>
      </c>
      <c r="CG97" s="150">
        <f t="shared" si="234"/>
        <v>0.88998424660917863</v>
      </c>
      <c r="CI97" s="147">
        <v>92</v>
      </c>
      <c r="CJ97" s="188">
        <f t="shared" si="297"/>
        <v>1.1040000000000001</v>
      </c>
      <c r="CK97" s="188"/>
      <c r="CL97" s="188">
        <f t="shared" si="235"/>
        <v>5.5200000000000005</v>
      </c>
      <c r="CM97" s="465">
        <f t="shared" si="236"/>
        <v>48</v>
      </c>
      <c r="CN97" s="149">
        <f t="shared" si="237"/>
        <v>5.4</v>
      </c>
      <c r="CO97" s="379">
        <f t="shared" si="238"/>
        <v>53.4</v>
      </c>
      <c r="CP97" s="379"/>
      <c r="CQ97" s="188">
        <f t="shared" si="239"/>
        <v>0.10112359550561799</v>
      </c>
      <c r="CR97" s="149">
        <f t="shared" si="240"/>
        <v>12.426067415730339</v>
      </c>
      <c r="CS97" s="149">
        <f t="shared" si="298"/>
        <v>5.5200000000000005</v>
      </c>
      <c r="CT97" s="188">
        <f t="shared" si="241"/>
        <v>2.4852134831460679</v>
      </c>
      <c r="CU97" s="188">
        <f t="shared" si="242"/>
        <v>5</v>
      </c>
      <c r="CV97" s="188">
        <f t="shared" si="243"/>
        <v>2.4269662921348316</v>
      </c>
      <c r="CW97" s="149">
        <f t="shared" si="244"/>
        <v>61.008313423337668</v>
      </c>
      <c r="CX97" s="460">
        <f t="shared" si="245"/>
        <v>5</v>
      </c>
      <c r="CY97" s="188">
        <f t="shared" si="246"/>
        <v>2.2744444444444443</v>
      </c>
      <c r="CZ97" s="188">
        <f t="shared" si="247"/>
        <v>0.56861111111111107</v>
      </c>
      <c r="DA97" s="188">
        <f t="shared" si="248"/>
        <v>5.0543209876543207</v>
      </c>
      <c r="DB97" s="172">
        <f t="shared" si="249"/>
        <v>350</v>
      </c>
      <c r="DC97" s="379">
        <f t="shared" si="299"/>
        <v>177.84315770406681</v>
      </c>
      <c r="DE97" s="188">
        <f t="shared" si="250"/>
        <v>1.1556982343499198</v>
      </c>
      <c r="DF97" s="150">
        <f t="shared" si="251"/>
        <v>2.5682182985553772</v>
      </c>
      <c r="DG97" s="150">
        <f t="shared" si="252"/>
        <v>0.51941493678648076</v>
      </c>
      <c r="DH97" s="150"/>
      <c r="DI97" s="150">
        <f t="shared" si="253"/>
        <v>2.2222222222222219</v>
      </c>
      <c r="DJ97" s="314">
        <f t="shared" si="300"/>
        <v>993.60000000000014</v>
      </c>
      <c r="DK97" s="456">
        <f t="shared" si="254"/>
        <v>0.38888888888888884</v>
      </c>
      <c r="DM97" s="150">
        <f t="shared" si="255"/>
        <v>1.6848908400419131</v>
      </c>
      <c r="DN97" s="150">
        <f t="shared" si="256"/>
        <v>2.2744444444444443</v>
      </c>
      <c r="DO97" s="150">
        <f t="shared" si="257"/>
        <v>2.1440329218106995</v>
      </c>
      <c r="DQ97" s="314">
        <f t="shared" si="258"/>
        <v>1104</v>
      </c>
      <c r="DR97" s="144">
        <f t="shared" si="259"/>
        <v>177.84315770406681</v>
      </c>
      <c r="DT97">
        <f t="shared" si="260"/>
        <v>1104</v>
      </c>
      <c r="DU97">
        <f t="shared" si="261"/>
        <v>177.84315770406681</v>
      </c>
      <c r="DW97" s="5">
        <f t="shared" si="301"/>
        <v>5.622932098765431</v>
      </c>
      <c r="DX97" s="5">
        <f t="shared" si="262"/>
        <v>0.56861111111111107</v>
      </c>
      <c r="DY97" s="5">
        <f t="shared" si="302"/>
        <v>5.0543209876543198</v>
      </c>
      <c r="DZ97" s="5">
        <f t="shared" si="263"/>
        <v>5.0543209876543207</v>
      </c>
      <c r="EA97" s="150">
        <f t="shared" si="303"/>
        <v>0.10112359550561799</v>
      </c>
      <c r="EB97" s="150">
        <f t="shared" si="264"/>
        <v>5.5199999999999987</v>
      </c>
      <c r="EC97" s="150">
        <f t="shared" si="265"/>
        <v>1.0222222222222221</v>
      </c>
      <c r="ED97" s="150">
        <f t="shared" si="304"/>
        <v>5.3999999999999995</v>
      </c>
      <c r="EE97" s="144">
        <f t="shared" si="266"/>
        <v>12.554933333333334</v>
      </c>
      <c r="EF97" s="5">
        <f t="shared" si="267"/>
        <v>0.24218621399176948</v>
      </c>
      <c r="EG97" s="5"/>
      <c r="EH97" s="150">
        <f t="shared" si="305"/>
        <v>0.41758121853607599</v>
      </c>
      <c r="EI97" s="150">
        <f t="shared" si="268"/>
        <v>1.2449866543651482</v>
      </c>
      <c r="EJ97" s="150"/>
      <c r="EK97" s="456">
        <f t="shared" si="269"/>
        <v>3.4874814814814816E-3</v>
      </c>
      <c r="EL97" s="456">
        <f t="shared" si="270"/>
        <v>0.432</v>
      </c>
      <c r="EM97" s="456">
        <f t="shared" si="271"/>
        <v>2.2230394713008351E-2</v>
      </c>
      <c r="EN97" s="456">
        <f t="shared" si="272"/>
        <v>5.0713043478260875E-2</v>
      </c>
      <c r="EO97">
        <f t="shared" si="273"/>
        <v>2.1600000000000001E-2</v>
      </c>
      <c r="EP97" s="144">
        <f t="shared" si="306"/>
        <v>43.830394713008353</v>
      </c>
      <c r="EQ97" s="456">
        <f t="shared" si="274"/>
        <v>0.53141288199093806</v>
      </c>
      <c r="ER97" s="144">
        <f t="shared" si="307"/>
        <v>531.4128819909381</v>
      </c>
      <c r="ES97" s="456">
        <f t="shared" si="308"/>
        <v>0.68586000000000003</v>
      </c>
      <c r="ET97" s="456"/>
      <c r="EV97" s="144">
        <f t="shared" si="309"/>
        <v>685.86</v>
      </c>
      <c r="EW97" s="456">
        <f t="shared" si="275"/>
        <v>5.2312222222222222E-3</v>
      </c>
      <c r="EX97" s="456">
        <f t="shared" si="276"/>
        <v>4.6499753086419751E-2</v>
      </c>
      <c r="EY97" s="456">
        <f t="shared" si="277"/>
        <v>0.16453232685410416</v>
      </c>
      <c r="EZ97" s="456">
        <f t="shared" si="278"/>
        <v>0.22962905101829012</v>
      </c>
      <c r="FA97" s="456">
        <f t="shared" si="279"/>
        <v>9.2000000000000014E-4</v>
      </c>
      <c r="FB97" s="144">
        <f t="shared" si="310"/>
        <v>230.54905101829013</v>
      </c>
      <c r="FC97" s="150">
        <f t="shared" si="311"/>
        <v>1.4478219330092281</v>
      </c>
      <c r="FD97" s="5">
        <f t="shared" si="312"/>
        <v>5.5200000000000005</v>
      </c>
      <c r="FE97" s="150">
        <f t="shared" si="313"/>
        <v>0.7922131267232384</v>
      </c>
      <c r="FF97" s="5">
        <f t="shared" si="314"/>
        <v>79.221312672323847</v>
      </c>
      <c r="FI97" s="59">
        <f t="shared" si="280"/>
        <v>-50</v>
      </c>
      <c r="FJ97">
        <f t="shared" si="281"/>
        <v>-50</v>
      </c>
      <c r="FL97">
        <f t="shared" si="282"/>
        <v>0.898876404494382</v>
      </c>
    </row>
    <row r="98" spans="5:168">
      <c r="E98" s="147">
        <v>93</v>
      </c>
      <c r="F98" s="188">
        <f t="shared" si="283"/>
        <v>1.1160000000000001</v>
      </c>
      <c r="G98" s="188"/>
      <c r="H98" s="188">
        <f t="shared" si="183"/>
        <v>5.58</v>
      </c>
      <c r="I98" s="465">
        <f t="shared" si="184"/>
        <v>47.937308996156659</v>
      </c>
      <c r="J98" s="149">
        <f t="shared" si="185"/>
        <v>5.4376146023060032</v>
      </c>
      <c r="K98" s="149">
        <f t="shared" si="186"/>
        <v>53.437614602306006</v>
      </c>
      <c r="L98" s="379"/>
      <c r="M98" s="188">
        <f t="shared" si="187"/>
        <v>0.10186963524954358</v>
      </c>
      <c r="N98" s="149">
        <f t="shared" si="188"/>
        <v>12.501391826644847</v>
      </c>
      <c r="O98" s="149">
        <f t="shared" si="284"/>
        <v>5.58</v>
      </c>
      <c r="P98" s="188">
        <f t="shared" si="189"/>
        <v>2.5002783653289695</v>
      </c>
      <c r="Q98" s="188">
        <f t="shared" si="190"/>
        <v>5</v>
      </c>
      <c r="R98" s="188">
        <f t="shared" si="191"/>
        <v>2.4416780911415716</v>
      </c>
      <c r="S98" s="149">
        <f t="shared" si="192"/>
        <v>59.767826535228146</v>
      </c>
      <c r="T98" s="460">
        <f t="shared" si="193"/>
        <v>5</v>
      </c>
      <c r="U98" s="188">
        <f t="shared" si="194"/>
        <v>2.4851626084595821</v>
      </c>
      <c r="V98" s="188">
        <f t="shared" si="195"/>
        <v>0.62210315777020231</v>
      </c>
      <c r="W98" s="188">
        <f t="shared" si="196"/>
        <v>5.4843812006956112</v>
      </c>
      <c r="X98" s="172">
        <f t="shared" si="197"/>
        <v>350</v>
      </c>
      <c r="Y98" s="379">
        <f t="shared" si="198"/>
        <v>158.56695159444925</v>
      </c>
      <c r="AA98" s="188">
        <f t="shared" si="199"/>
        <v>1.1627745489522092</v>
      </c>
      <c r="AB98" s="150">
        <f t="shared" si="200"/>
        <v>2.5660690593094166</v>
      </c>
      <c r="AC98" s="150">
        <f t="shared" si="201"/>
        <v>0.52215796377827728</v>
      </c>
      <c r="AD98" s="150"/>
      <c r="AE98" s="150">
        <f t="shared" si="202"/>
        <v>2.2068500395211896</v>
      </c>
      <c r="AF98" s="314">
        <f t="shared" si="203"/>
        <v>1011.3963160289167</v>
      </c>
      <c r="AG98" s="456">
        <f t="shared" si="204"/>
        <v>0.3861987569162082</v>
      </c>
      <c r="AI98" s="150">
        <f t="shared" si="205"/>
        <v>1.6999128683796176</v>
      </c>
      <c r="AJ98" s="150">
        <f t="shared" si="206"/>
        <v>2.4851626084595821</v>
      </c>
      <c r="AK98" s="150">
        <f t="shared" si="207"/>
        <v>2.3001204507108017</v>
      </c>
      <c r="AM98" s="314">
        <f t="shared" si="208"/>
        <v>1116</v>
      </c>
      <c r="AN98" s="144">
        <f t="shared" si="209"/>
        <v>158.56695159444925</v>
      </c>
      <c r="AP98">
        <f t="shared" si="210"/>
        <v>1116</v>
      </c>
      <c r="AQ98">
        <f t="shared" si="211"/>
        <v>158.56695159444925</v>
      </c>
      <c r="AS98" s="5">
        <f t="shared" si="285"/>
        <v>6.3064843584658137</v>
      </c>
      <c r="AT98" s="5">
        <f t="shared" si="212"/>
        <v>0.62210315777020231</v>
      </c>
      <c r="AU98" s="5">
        <f t="shared" si="286"/>
        <v>5.6843812006956114</v>
      </c>
      <c r="AV98" s="5">
        <f t="shared" si="213"/>
        <v>5.4843812006956112</v>
      </c>
      <c r="AW98" s="150">
        <f t="shared" si="287"/>
        <v>9.8645001304901697E-2</v>
      </c>
      <c r="AX98" s="150">
        <f t="shared" si="214"/>
        <v>5.8758885357686852</v>
      </c>
      <c r="AY98" s="150">
        <f t="shared" si="215"/>
        <v>1.1200068698525969</v>
      </c>
      <c r="AZ98" s="150">
        <f t="shared" si="288"/>
        <v>5.2462968700736683</v>
      </c>
      <c r="BA98" s="144">
        <f t="shared" si="216"/>
        <v>13.885342481430918</v>
      </c>
      <c r="BB98" s="5">
        <f t="shared" si="217"/>
        <v>0.27569729232562667</v>
      </c>
      <c r="BC98" s="5"/>
      <c r="BD98" s="150">
        <f t="shared" si="289"/>
        <v>0.45064206126169642</v>
      </c>
      <c r="BE98" s="150">
        <f t="shared" si="218"/>
        <v>1.3622038991221865</v>
      </c>
      <c r="BF98" s="150"/>
      <c r="BG98" s="456">
        <f t="shared" si="219"/>
        <v>4.0615653475638107E-3</v>
      </c>
      <c r="BH98" s="456">
        <f t="shared" si="220"/>
        <v>0.3948351633406077</v>
      </c>
      <c r="BI98" s="456">
        <f t="shared" si="221"/>
        <v>0.19003182387904324</v>
      </c>
      <c r="BJ98" s="456">
        <f t="shared" si="222"/>
        <v>4.5280040226394348E-2</v>
      </c>
      <c r="BK98">
        <f t="shared" si="223"/>
        <v>2.1571789048270496E-2</v>
      </c>
      <c r="BL98" s="144">
        <f t="shared" si="290"/>
        <v>211.60361292731375</v>
      </c>
      <c r="BM98" s="456">
        <f t="shared" si="224"/>
        <v>0.44570350789049762</v>
      </c>
      <c r="BN98" s="144">
        <f t="shared" si="291"/>
        <v>445.70350789049763</v>
      </c>
      <c r="BO98" s="456">
        <f t="shared" si="225"/>
        <v>0.69331500000000001</v>
      </c>
      <c r="BP98" s="456"/>
      <c r="BR98" s="144">
        <f t="shared" si="292"/>
        <v>693.31500000000005</v>
      </c>
      <c r="BS98" s="456">
        <f t="shared" si="226"/>
        <v>6.092348021345716E-3</v>
      </c>
      <c r="BT98" s="456">
        <f t="shared" si="227"/>
        <v>5.5667983883510644E-2</v>
      </c>
      <c r="BU98" s="456">
        <f t="shared" si="228"/>
        <v>8.3699999999999997E-2</v>
      </c>
      <c r="BV98" s="456">
        <f t="shared" si="229"/>
        <v>0.16107867334832482</v>
      </c>
      <c r="BW98" s="456">
        <f t="shared" si="230"/>
        <v>9.7931475596144775E-4</v>
      </c>
      <c r="BX98" s="144">
        <f t="shared" si="293"/>
        <v>162.05798810428627</v>
      </c>
      <c r="BY98" s="150">
        <f t="shared" si="231"/>
        <v>1.5126801089220978</v>
      </c>
      <c r="BZ98" s="5">
        <f t="shared" si="294"/>
        <v>5.58</v>
      </c>
      <c r="CA98" s="150">
        <f t="shared" si="295"/>
        <v>0.78672658491685654</v>
      </c>
      <c r="CB98" s="5">
        <f t="shared" si="296"/>
        <v>78.672658491685652</v>
      </c>
      <c r="CE98" s="59">
        <f t="shared" si="232"/>
        <v>-50</v>
      </c>
      <c r="CF98">
        <f t="shared" si="233"/>
        <v>-50</v>
      </c>
      <c r="CG98" s="150">
        <f t="shared" si="234"/>
        <v>0.89007986121009486</v>
      </c>
      <c r="CI98" s="147">
        <v>93</v>
      </c>
      <c r="CJ98" s="188">
        <f t="shared" si="297"/>
        <v>1.1160000000000001</v>
      </c>
      <c r="CK98" s="188"/>
      <c r="CL98" s="188">
        <f t="shared" si="235"/>
        <v>5.58</v>
      </c>
      <c r="CM98" s="465">
        <f t="shared" si="236"/>
        <v>48</v>
      </c>
      <c r="CN98" s="149">
        <f t="shared" si="237"/>
        <v>5.4</v>
      </c>
      <c r="CO98" s="379">
        <f t="shared" si="238"/>
        <v>53.4</v>
      </c>
      <c r="CP98" s="379"/>
      <c r="CQ98" s="188">
        <f t="shared" si="239"/>
        <v>0.10112359550561799</v>
      </c>
      <c r="CR98" s="149">
        <f t="shared" si="240"/>
        <v>12.426067415730339</v>
      </c>
      <c r="CS98" s="149">
        <f t="shared" si="298"/>
        <v>5.58</v>
      </c>
      <c r="CT98" s="188">
        <f t="shared" si="241"/>
        <v>2.4852134831460679</v>
      </c>
      <c r="CU98" s="188">
        <f t="shared" si="242"/>
        <v>5</v>
      </c>
      <c r="CV98" s="188">
        <f t="shared" si="243"/>
        <v>2.4269662921348316</v>
      </c>
      <c r="CW98" s="149">
        <f t="shared" si="244"/>
        <v>59.845577313635978</v>
      </c>
      <c r="CX98" s="460">
        <f t="shared" si="245"/>
        <v>5</v>
      </c>
      <c r="CY98" s="188">
        <f t="shared" si="246"/>
        <v>2.2991666666666664</v>
      </c>
      <c r="CZ98" s="188">
        <f t="shared" si="247"/>
        <v>0.57479166666666659</v>
      </c>
      <c r="DA98" s="188">
        <f t="shared" si="248"/>
        <v>5.1092592592592583</v>
      </c>
      <c r="DB98" s="172">
        <f t="shared" si="249"/>
        <v>350</v>
      </c>
      <c r="DC98" s="379">
        <f t="shared" si="299"/>
        <v>175.9308656857435</v>
      </c>
      <c r="DE98" s="188">
        <f t="shared" si="250"/>
        <v>1.1556982343499198</v>
      </c>
      <c r="DF98" s="150">
        <f t="shared" si="251"/>
        <v>2.5682182985553772</v>
      </c>
      <c r="DG98" s="150">
        <f t="shared" si="252"/>
        <v>0.51941493678648076</v>
      </c>
      <c r="DH98" s="150"/>
      <c r="DI98" s="150">
        <f t="shared" si="253"/>
        <v>2.2222222222222219</v>
      </c>
      <c r="DJ98" s="314">
        <f t="shared" si="300"/>
        <v>1004.4000000000001</v>
      </c>
      <c r="DK98" s="456">
        <f t="shared" si="254"/>
        <v>0.38888888888888884</v>
      </c>
      <c r="DM98" s="150">
        <f t="shared" si="255"/>
        <v>1.6940231066057767</v>
      </c>
      <c r="DN98" s="150">
        <f t="shared" si="256"/>
        <v>2.2991666666666664</v>
      </c>
      <c r="DO98" s="150">
        <f t="shared" si="257"/>
        <v>2.1623456790123452</v>
      </c>
      <c r="DQ98" s="314">
        <f t="shared" si="258"/>
        <v>1116</v>
      </c>
      <c r="DR98" s="144">
        <f t="shared" si="259"/>
        <v>175.9308656857435</v>
      </c>
      <c r="DT98">
        <f t="shared" si="260"/>
        <v>1116</v>
      </c>
      <c r="DU98">
        <f t="shared" si="261"/>
        <v>175.9308656857435</v>
      </c>
      <c r="DW98" s="5">
        <f t="shared" si="301"/>
        <v>5.6840509259259253</v>
      </c>
      <c r="DX98" s="5">
        <f t="shared" si="262"/>
        <v>0.57479166666666659</v>
      </c>
      <c r="DY98" s="5">
        <f t="shared" si="302"/>
        <v>5.1092592592592592</v>
      </c>
      <c r="DZ98" s="5">
        <f t="shared" si="263"/>
        <v>5.1092592592592583</v>
      </c>
      <c r="EA98" s="150">
        <f t="shared" si="303"/>
        <v>0.10112359550561797</v>
      </c>
      <c r="EB98" s="150">
        <f t="shared" si="264"/>
        <v>5.5799999999999992</v>
      </c>
      <c r="EC98" s="150">
        <f t="shared" si="265"/>
        <v>1.0333333333333332</v>
      </c>
      <c r="ED98" s="150">
        <f t="shared" si="304"/>
        <v>5.3999999999999995</v>
      </c>
      <c r="EE98" s="144">
        <f t="shared" si="266"/>
        <v>12.82935</v>
      </c>
      <c r="EF98" s="5">
        <f t="shared" si="267"/>
        <v>0.24747974537037032</v>
      </c>
      <c r="EG98" s="5"/>
      <c r="EH98" s="150">
        <f t="shared" si="305"/>
        <v>0.4221201448245116</v>
      </c>
      <c r="EI98" s="150">
        <f t="shared" si="268"/>
        <v>1.2585191179995519</v>
      </c>
      <c r="EJ98" s="150"/>
      <c r="EK98" s="456">
        <f t="shared" si="269"/>
        <v>3.5637083333333332E-3</v>
      </c>
      <c r="EL98" s="456">
        <f t="shared" si="270"/>
        <v>0.43199999999999994</v>
      </c>
      <c r="EM98" s="456">
        <f t="shared" si="271"/>
        <v>2.1991358210717939E-2</v>
      </c>
      <c r="EN98" s="456">
        <f t="shared" si="272"/>
        <v>5.0167741935483873E-2</v>
      </c>
      <c r="EO98">
        <f t="shared" si="273"/>
        <v>2.1600000000000001E-2</v>
      </c>
      <c r="EP98" s="144">
        <f t="shared" si="306"/>
        <v>43.591358210717942</v>
      </c>
      <c r="EQ98" s="456">
        <f t="shared" si="274"/>
        <v>0.53073440223815649</v>
      </c>
      <c r="ER98" s="144">
        <f t="shared" si="307"/>
        <v>530.73440223815646</v>
      </c>
      <c r="ES98" s="456">
        <f t="shared" si="308"/>
        <v>0.69331500000000001</v>
      </c>
      <c r="ET98" s="456"/>
      <c r="EV98" s="144">
        <f t="shared" si="309"/>
        <v>693.31500000000005</v>
      </c>
      <c r="EW98" s="456">
        <f t="shared" si="275"/>
        <v>5.3455624999999996E-3</v>
      </c>
      <c r="EX98" s="456">
        <f t="shared" si="276"/>
        <v>4.7516111111111092E-2</v>
      </c>
      <c r="EY98" s="456">
        <f t="shared" si="277"/>
        <v>0.16453232685410407</v>
      </c>
      <c r="EZ98" s="456">
        <f t="shared" si="278"/>
        <v>0.23105793084593274</v>
      </c>
      <c r="FA98" s="456">
        <f t="shared" si="279"/>
        <v>9.2999999999999973E-4</v>
      </c>
      <c r="FB98" s="144">
        <f t="shared" si="310"/>
        <v>231.98793084593271</v>
      </c>
      <c r="FC98" s="150">
        <f t="shared" si="311"/>
        <v>1.4560373330840892</v>
      </c>
      <c r="FD98" s="5">
        <f t="shared" si="312"/>
        <v>5.58</v>
      </c>
      <c r="FE98" s="150">
        <f t="shared" si="313"/>
        <v>0.79306003306183881</v>
      </c>
      <c r="FF98" s="5">
        <f t="shared" si="314"/>
        <v>79.306003306183882</v>
      </c>
      <c r="FI98" s="59">
        <f t="shared" si="280"/>
        <v>-50</v>
      </c>
      <c r="FJ98">
        <f t="shared" si="281"/>
        <v>-50</v>
      </c>
      <c r="FL98">
        <f t="shared" si="282"/>
        <v>0.898876404494382</v>
      </c>
    </row>
    <row r="99" spans="5:168">
      <c r="E99" s="147">
        <v>94</v>
      </c>
      <c r="F99" s="188">
        <f t="shared" si="283"/>
        <v>1.1279999999999999</v>
      </c>
      <c r="G99" s="188"/>
      <c r="H99" s="188">
        <f t="shared" si="183"/>
        <v>5.64</v>
      </c>
      <c r="I99" s="465">
        <f t="shared" si="184"/>
        <v>47.936641560651779</v>
      </c>
      <c r="J99" s="149">
        <f t="shared" si="185"/>
        <v>5.4380150636089324</v>
      </c>
      <c r="K99" s="149">
        <f t="shared" si="186"/>
        <v>53.43801506360893</v>
      </c>
      <c r="L99" s="379"/>
      <c r="M99" s="188">
        <f t="shared" si="187"/>
        <v>0.10187764833288485</v>
      </c>
      <c r="N99" s="149">
        <f t="shared" si="188"/>
        <v>12.502201116609625</v>
      </c>
      <c r="O99" s="149">
        <f t="shared" si="284"/>
        <v>5.64</v>
      </c>
      <c r="P99" s="188">
        <f t="shared" si="189"/>
        <v>2.5004402233219247</v>
      </c>
      <c r="Q99" s="188">
        <f t="shared" si="190"/>
        <v>5</v>
      </c>
      <c r="R99" s="188">
        <f t="shared" si="191"/>
        <v>2.4418361555878167</v>
      </c>
      <c r="S99" s="149">
        <f t="shared" si="192"/>
        <v>58.630740030334593</v>
      </c>
      <c r="T99" s="460">
        <f t="shared" si="193"/>
        <v>5</v>
      </c>
      <c r="U99" s="188">
        <f t="shared" si="194"/>
        <v>2.5119071981811398</v>
      </c>
      <c r="V99" s="188">
        <f t="shared" si="195"/>
        <v>0.62880680408191358</v>
      </c>
      <c r="W99" s="188">
        <f t="shared" si="196"/>
        <v>5.5429942774320651</v>
      </c>
      <c r="X99" s="172">
        <f t="shared" si="197"/>
        <v>350</v>
      </c>
      <c r="Y99" s="379">
        <f t="shared" si="198"/>
        <v>156.94149694993206</v>
      </c>
      <c r="AA99" s="188">
        <f t="shared" si="199"/>
        <v>1.1628498090428476</v>
      </c>
      <c r="AB99" s="150">
        <f t="shared" si="200"/>
        <v>2.5660461667153762</v>
      </c>
      <c r="AC99" s="150">
        <f t="shared" si="201"/>
        <v>0.52218710161801862</v>
      </c>
      <c r="AD99" s="150"/>
      <c r="AE99" s="150">
        <f t="shared" si="202"/>
        <v>2.2066875247006426</v>
      </c>
      <c r="AF99" s="314">
        <f t="shared" si="203"/>
        <v>1022.346831958479</v>
      </c>
      <c r="AG99" s="456">
        <f t="shared" si="204"/>
        <v>0.38617031682261244</v>
      </c>
      <c r="AI99" s="150">
        <f t="shared" si="205"/>
        <v>1.7090906788268425</v>
      </c>
      <c r="AJ99" s="150">
        <f t="shared" si="206"/>
        <v>2.5119071981811398</v>
      </c>
      <c r="AK99" s="150">
        <f t="shared" si="207"/>
        <v>2.3199312579119553</v>
      </c>
      <c r="AM99" s="314">
        <f t="shared" si="208"/>
        <v>1128</v>
      </c>
      <c r="AN99" s="144">
        <f t="shared" si="209"/>
        <v>156.94149694993206</v>
      </c>
      <c r="AP99">
        <f t="shared" si="210"/>
        <v>1128</v>
      </c>
      <c r="AQ99">
        <f t="shared" si="211"/>
        <v>156.94149694993206</v>
      </c>
      <c r="AS99" s="5">
        <f t="shared" si="285"/>
        <v>6.3718010815139792</v>
      </c>
      <c r="AT99" s="5">
        <f t="shared" si="212"/>
        <v>0.62880680408191358</v>
      </c>
      <c r="AU99" s="5">
        <f t="shared" si="286"/>
        <v>5.7429942774320653</v>
      </c>
      <c r="AV99" s="5">
        <f t="shared" si="213"/>
        <v>5.5429942774320651</v>
      </c>
      <c r="AW99" s="150">
        <f t="shared" si="287"/>
        <v>9.8685881124918176E-2</v>
      </c>
      <c r="AX99" s="150">
        <f t="shared" si="214"/>
        <v>5.9415016491145751</v>
      </c>
      <c r="AY99" s="150">
        <f t="shared" si="215"/>
        <v>1.1320087115123048</v>
      </c>
      <c r="AZ99" s="150">
        <f t="shared" si="288"/>
        <v>5.2486359766410615</v>
      </c>
      <c r="BA99" s="144">
        <f t="shared" si="216"/>
        <v>14.185881500087968</v>
      </c>
      <c r="BB99" s="5">
        <f t="shared" si="217"/>
        <v>0.28153905055884043</v>
      </c>
      <c r="BC99" s="5"/>
      <c r="BD99" s="150">
        <f t="shared" si="289"/>
        <v>0.45558610988893289</v>
      </c>
      <c r="BE99" s="150">
        <f t="shared" si="218"/>
        <v>1.3768323138885423</v>
      </c>
      <c r="BF99" s="150"/>
      <c r="BG99" s="456">
        <f t="shared" si="219"/>
        <v>4.1511740704746163E-3</v>
      </c>
      <c r="BH99" s="456">
        <f t="shared" si="220"/>
        <v>0.39499624883602358</v>
      </c>
      <c r="BI99" s="456">
        <f t="shared" si="221"/>
        <v>0.18808120713202545</v>
      </c>
      <c r="BJ99" s="456">
        <f t="shared" si="222"/>
        <v>4.4816550570344893E-2</v>
      </c>
      <c r="BK99">
        <f t="shared" si="223"/>
        <v>2.15714887022933E-2</v>
      </c>
      <c r="BL99" s="144">
        <f t="shared" si="290"/>
        <v>209.65269583431876</v>
      </c>
      <c r="BM99" s="456">
        <f t="shared" si="224"/>
        <v>0.44552421946028309</v>
      </c>
      <c r="BN99" s="144">
        <f t="shared" si="291"/>
        <v>445.52421946028306</v>
      </c>
      <c r="BO99" s="456">
        <f t="shared" si="225"/>
        <v>0.70076999999999989</v>
      </c>
      <c r="BP99" s="456"/>
      <c r="BR99" s="144">
        <f t="shared" si="292"/>
        <v>700.76999999999987</v>
      </c>
      <c r="BS99" s="456">
        <f t="shared" si="226"/>
        <v>6.2267611057119244E-3</v>
      </c>
      <c r="BT99" s="456">
        <f t="shared" si="227"/>
        <v>5.6870016617030318E-2</v>
      </c>
      <c r="BU99" s="456">
        <f t="shared" si="228"/>
        <v>8.4599999999999995E-2</v>
      </c>
      <c r="BV99" s="456">
        <f t="shared" si="229"/>
        <v>0.16366614890565939</v>
      </c>
      <c r="BW99" s="456">
        <f t="shared" si="230"/>
        <v>9.9025027485242926E-4</v>
      </c>
      <c r="BX99" s="144">
        <f t="shared" si="293"/>
        <v>164.65639918051181</v>
      </c>
      <c r="BY99" s="150">
        <f t="shared" si="231"/>
        <v>1.5206033144751137</v>
      </c>
      <c r="BZ99" s="5">
        <f t="shared" si="294"/>
        <v>5.64</v>
      </c>
      <c r="CA99" s="150">
        <f t="shared" si="295"/>
        <v>0.78764312898031597</v>
      </c>
      <c r="CB99" s="5">
        <f t="shared" si="296"/>
        <v>78.764312898031591</v>
      </c>
      <c r="CE99" s="59">
        <f t="shared" si="232"/>
        <v>-50</v>
      </c>
      <c r="CF99">
        <f t="shared" si="233"/>
        <v>-50</v>
      </c>
      <c r="CG99" s="150">
        <f t="shared" si="234"/>
        <v>0.89017344145779997</v>
      </c>
      <c r="CI99" s="147">
        <v>94</v>
      </c>
      <c r="CJ99" s="188">
        <f t="shared" si="297"/>
        <v>1.1279999999999999</v>
      </c>
      <c r="CK99" s="188"/>
      <c r="CL99" s="188">
        <f t="shared" si="235"/>
        <v>5.64</v>
      </c>
      <c r="CM99" s="465">
        <f t="shared" si="236"/>
        <v>48</v>
      </c>
      <c r="CN99" s="149">
        <f t="shared" si="237"/>
        <v>5.4</v>
      </c>
      <c r="CO99" s="379">
        <f t="shared" si="238"/>
        <v>53.4</v>
      </c>
      <c r="CP99" s="379"/>
      <c r="CQ99" s="188">
        <f t="shared" si="239"/>
        <v>0.10112359550561799</v>
      </c>
      <c r="CR99" s="149">
        <f t="shared" si="240"/>
        <v>12.426067415730339</v>
      </c>
      <c r="CS99" s="149">
        <f t="shared" si="298"/>
        <v>5.64</v>
      </c>
      <c r="CT99" s="188">
        <f t="shared" si="241"/>
        <v>2.4852134831460679</v>
      </c>
      <c r="CU99" s="188">
        <f t="shared" si="242"/>
        <v>5</v>
      </c>
      <c r="CV99" s="188">
        <f t="shared" si="243"/>
        <v>2.4269662921348316</v>
      </c>
      <c r="CW99" s="149">
        <f t="shared" si="244"/>
        <v>58.707808899946585</v>
      </c>
      <c r="CX99" s="460">
        <f t="shared" si="245"/>
        <v>5</v>
      </c>
      <c r="CY99" s="188">
        <f t="shared" si="246"/>
        <v>2.3238888888888884</v>
      </c>
      <c r="CZ99" s="188">
        <f t="shared" si="247"/>
        <v>0.58097222222222211</v>
      </c>
      <c r="DA99" s="188">
        <f t="shared" si="248"/>
        <v>5.1641975308641959</v>
      </c>
      <c r="DB99" s="172">
        <f t="shared" si="249"/>
        <v>350</v>
      </c>
      <c r="DC99" s="379">
        <f t="shared" si="299"/>
        <v>174.05926073163988</v>
      </c>
      <c r="DE99" s="188">
        <f t="shared" si="250"/>
        <v>1.1556982343499198</v>
      </c>
      <c r="DF99" s="150">
        <f t="shared" si="251"/>
        <v>2.5682182985553772</v>
      </c>
      <c r="DG99" s="150">
        <f t="shared" si="252"/>
        <v>0.51941493678648076</v>
      </c>
      <c r="DH99" s="150"/>
      <c r="DI99" s="150">
        <f t="shared" si="253"/>
        <v>2.2222222222222219</v>
      </c>
      <c r="DJ99" s="314">
        <f t="shared" si="300"/>
        <v>1015.2</v>
      </c>
      <c r="DK99" s="456">
        <f t="shared" si="254"/>
        <v>0.38888888888888884</v>
      </c>
      <c r="DM99" s="150">
        <f t="shared" si="255"/>
        <v>1.7031064055341429</v>
      </c>
      <c r="DN99" s="150">
        <f t="shared" si="256"/>
        <v>2.3238888888888884</v>
      </c>
      <c r="DO99" s="150">
        <f t="shared" si="257"/>
        <v>2.1806584362139914</v>
      </c>
      <c r="DQ99" s="314">
        <f t="shared" si="258"/>
        <v>1128</v>
      </c>
      <c r="DR99" s="144">
        <f t="shared" si="259"/>
        <v>174.05926073163988</v>
      </c>
      <c r="DT99">
        <f t="shared" si="260"/>
        <v>1128</v>
      </c>
      <c r="DU99">
        <f t="shared" si="261"/>
        <v>174.05926073163988</v>
      </c>
      <c r="DW99" s="5">
        <f t="shared" si="301"/>
        <v>5.7451697530864188</v>
      </c>
      <c r="DX99" s="5">
        <f t="shared" si="262"/>
        <v>0.58097222222222211</v>
      </c>
      <c r="DY99" s="5">
        <f t="shared" si="302"/>
        <v>5.1641975308641968</v>
      </c>
      <c r="DZ99" s="5">
        <f t="shared" si="263"/>
        <v>5.1641975308641959</v>
      </c>
      <c r="EA99" s="150">
        <f t="shared" si="303"/>
        <v>0.10112359550561797</v>
      </c>
      <c r="EB99" s="150">
        <f t="shared" si="264"/>
        <v>5.6399999999999988</v>
      </c>
      <c r="EC99" s="150">
        <f t="shared" si="265"/>
        <v>1.0444444444444443</v>
      </c>
      <c r="ED99" s="150">
        <f t="shared" si="304"/>
        <v>5.3999999999999995</v>
      </c>
      <c r="EE99" s="144">
        <f t="shared" si="266"/>
        <v>13.106733333333329</v>
      </c>
      <c r="EF99" s="5">
        <f t="shared" si="267"/>
        <v>0.25283050411522623</v>
      </c>
      <c r="EG99" s="5"/>
      <c r="EH99" s="150">
        <f t="shared" si="305"/>
        <v>0.42665907111294715</v>
      </c>
      <c r="EI99" s="150">
        <f t="shared" si="268"/>
        <v>1.2720515816339557</v>
      </c>
      <c r="EJ99" s="150"/>
      <c r="EK99" s="456">
        <f t="shared" si="269"/>
        <v>3.6407592592592581E-3</v>
      </c>
      <c r="EL99" s="456">
        <f t="shared" si="270"/>
        <v>0.432</v>
      </c>
      <c r="EM99" s="456">
        <f t="shared" si="271"/>
        <v>2.1757407591454985E-2</v>
      </c>
      <c r="EN99" s="456">
        <f t="shared" si="272"/>
        <v>4.9634042553191503E-2</v>
      </c>
      <c r="EO99">
        <f t="shared" si="273"/>
        <v>2.1600000000000001E-2</v>
      </c>
      <c r="EP99" s="144">
        <f t="shared" si="306"/>
        <v>43.357407591454979</v>
      </c>
      <c r="EQ99" s="456">
        <f t="shared" si="274"/>
        <v>0.53007375173443061</v>
      </c>
      <c r="ER99" s="144">
        <f t="shared" si="307"/>
        <v>530.07375173443063</v>
      </c>
      <c r="ES99" s="456">
        <f t="shared" si="308"/>
        <v>0.70076999999999989</v>
      </c>
      <c r="ET99" s="456"/>
      <c r="EV99" s="144">
        <f t="shared" si="309"/>
        <v>700.76999999999987</v>
      </c>
      <c r="EW99" s="456">
        <f t="shared" si="275"/>
        <v>5.4611388888888869E-3</v>
      </c>
      <c r="EX99" s="456">
        <f t="shared" si="276"/>
        <v>4.8543456790123445E-2</v>
      </c>
      <c r="EY99" s="456">
        <f t="shared" si="277"/>
        <v>0.16453232685410421</v>
      </c>
      <c r="EZ99" s="456">
        <f t="shared" si="278"/>
        <v>0.23250252187111956</v>
      </c>
      <c r="FA99" s="456">
        <f t="shared" si="279"/>
        <v>9.3999999999999986E-4</v>
      </c>
      <c r="FB99" s="144">
        <f t="shared" si="310"/>
        <v>233.44252187111954</v>
      </c>
      <c r="FC99" s="150">
        <f t="shared" si="311"/>
        <v>1.46428627360555</v>
      </c>
      <c r="FD99" s="5">
        <f t="shared" si="312"/>
        <v>5.64</v>
      </c>
      <c r="FE99" s="150">
        <f t="shared" si="313"/>
        <v>0.79388692724196774</v>
      </c>
      <c r="FF99" s="5">
        <f t="shared" si="314"/>
        <v>79.388692724196773</v>
      </c>
      <c r="FI99" s="59">
        <f t="shared" si="280"/>
        <v>-50</v>
      </c>
      <c r="FJ99">
        <f t="shared" si="281"/>
        <v>-50</v>
      </c>
      <c r="FL99">
        <f t="shared" si="282"/>
        <v>0.898876404494382</v>
      </c>
    </row>
    <row r="100" spans="5:168">
      <c r="E100" s="147">
        <v>95</v>
      </c>
      <c r="F100" s="188">
        <f t="shared" si="283"/>
        <v>1.1399999999999999</v>
      </c>
      <c r="G100" s="188"/>
      <c r="H100" s="188">
        <f t="shared" si="183"/>
        <v>5.6999999999999993</v>
      </c>
      <c r="I100" s="465">
        <f t="shared" si="184"/>
        <v>47.935974123775971</v>
      </c>
      <c r="J100" s="149">
        <f t="shared" si="185"/>
        <v>5.438415525734416</v>
      </c>
      <c r="K100" s="149">
        <f t="shared" si="186"/>
        <v>53.438415525734413</v>
      </c>
      <c r="L100" s="379"/>
      <c r="M100" s="188">
        <f t="shared" si="187"/>
        <v>0.10188566149899354</v>
      </c>
      <c r="N100" s="149">
        <f t="shared" si="188"/>
        <v>12.503010388990853</v>
      </c>
      <c r="O100" s="149">
        <f t="shared" si="284"/>
        <v>5.6999999999999993</v>
      </c>
      <c r="P100" s="188">
        <f t="shared" si="189"/>
        <v>2.5006020777981708</v>
      </c>
      <c r="Q100" s="188">
        <f t="shared" si="190"/>
        <v>5</v>
      </c>
      <c r="R100" s="188">
        <f t="shared" si="191"/>
        <v>2.4419942165997757</v>
      </c>
      <c r="S100" s="149">
        <f t="shared" si="192"/>
        <v>57.51783805009282</v>
      </c>
      <c r="T100" s="460">
        <f t="shared" si="193"/>
        <v>5</v>
      </c>
      <c r="U100" s="188">
        <f t="shared" si="194"/>
        <v>2.5386522653734973</v>
      </c>
      <c r="V100" s="188">
        <f t="shared" si="195"/>
        <v>0.63551075661508427</v>
      </c>
      <c r="W100" s="188">
        <f t="shared" si="196"/>
        <v>5.601599774847668</v>
      </c>
      <c r="X100" s="172">
        <f t="shared" si="197"/>
        <v>350</v>
      </c>
      <c r="Y100" s="379">
        <f t="shared" si="198"/>
        <v>155.34920444697764</v>
      </c>
      <c r="AA100" s="188">
        <f t="shared" si="199"/>
        <v>1.1629250676563445</v>
      </c>
      <c r="AB100" s="150">
        <f t="shared" si="200"/>
        <v>2.5660232738453002</v>
      </c>
      <c r="AC100" s="150">
        <f t="shared" si="201"/>
        <v>0.52221623813525253</v>
      </c>
      <c r="AD100" s="150"/>
      <c r="AE100" s="150">
        <f t="shared" si="202"/>
        <v>2.2065250334801316</v>
      </c>
      <c r="AF100" s="314">
        <f t="shared" si="203"/>
        <v>1033.298949889539</v>
      </c>
      <c r="AG100" s="456">
        <f t="shared" si="204"/>
        <v>0.38614188085902301</v>
      </c>
      <c r="AI100" s="150">
        <f t="shared" si="205"/>
        <v>1.7182207989574887</v>
      </c>
      <c r="AJ100" s="150">
        <f t="shared" si="206"/>
        <v>2.5386522653734973</v>
      </c>
      <c r="AK100" s="150">
        <f t="shared" si="207"/>
        <v>2.3397424187951832</v>
      </c>
      <c r="AM100" s="314">
        <f t="shared" si="208"/>
        <v>1140</v>
      </c>
      <c r="AN100" s="144">
        <f t="shared" si="209"/>
        <v>155.34920444697764</v>
      </c>
      <c r="AP100">
        <f t="shared" si="210"/>
        <v>1140</v>
      </c>
      <c r="AQ100">
        <f t="shared" si="211"/>
        <v>155.34920444697764</v>
      </c>
      <c r="AS100" s="5">
        <f t="shared" si="285"/>
        <v>6.4371105314627526</v>
      </c>
      <c r="AT100" s="5">
        <f t="shared" si="212"/>
        <v>0.63551075661508427</v>
      </c>
      <c r="AU100" s="5">
        <f t="shared" si="286"/>
        <v>5.8015997748476682</v>
      </c>
      <c r="AV100" s="5">
        <f t="shared" si="213"/>
        <v>5.601599774847668</v>
      </c>
      <c r="AW100" s="150">
        <f t="shared" si="287"/>
        <v>9.872609045765017E-2</v>
      </c>
      <c r="AX100" s="150">
        <f t="shared" si="214"/>
        <v>6.0071256750859314</v>
      </c>
      <c r="AY100" s="150">
        <f t="shared" si="215"/>
        <v>1.1440105260908575</v>
      </c>
      <c r="AZ100" s="150">
        <f t="shared" si="288"/>
        <v>5.2509356671853249</v>
      </c>
      <c r="BA100" s="144">
        <f t="shared" si="216"/>
        <v>14.489645250823919</v>
      </c>
      <c r="BB100" s="5">
        <f t="shared" si="217"/>
        <v>0.28744173279309665</v>
      </c>
      <c r="BC100" s="5"/>
      <c r="BD100" s="150">
        <f t="shared" si="289"/>
        <v>0.46053067112575913</v>
      </c>
      <c r="BE100" s="150">
        <f t="shared" si="218"/>
        <v>1.3914608423455981</v>
      </c>
      <c r="BF100" s="150"/>
      <c r="BG100" s="456">
        <f t="shared" si="219"/>
        <v>4.2417699809508425E-3</v>
      </c>
      <c r="BH100" s="456">
        <f t="shared" si="220"/>
        <v>0.39515464849087117</v>
      </c>
      <c r="BI100" s="456">
        <f t="shared" si="221"/>
        <v>0.18617038611298758</v>
      </c>
      <c r="BJ100" s="456">
        <f t="shared" si="222"/>
        <v>4.436251700112006E-2</v>
      </c>
      <c r="BK100">
        <f t="shared" si="223"/>
        <v>2.1571188355699187E-2</v>
      </c>
      <c r="BL100" s="144">
        <f t="shared" si="290"/>
        <v>207.74157446868676</v>
      </c>
      <c r="BM100" s="456">
        <f t="shared" si="224"/>
        <v>0.4453530600210418</v>
      </c>
      <c r="BN100" s="144">
        <f t="shared" si="291"/>
        <v>445.35306002104181</v>
      </c>
      <c r="BO100" s="456">
        <f t="shared" si="225"/>
        <v>0.70822499999999988</v>
      </c>
      <c r="BP100" s="456"/>
      <c r="BR100" s="144">
        <f t="shared" si="292"/>
        <v>708.22499999999991</v>
      </c>
      <c r="BS100" s="456">
        <f t="shared" si="226"/>
        <v>6.3626549714262638E-3</v>
      </c>
      <c r="BT100" s="456">
        <f t="shared" si="227"/>
        <v>5.808489827343364E-2</v>
      </c>
      <c r="BU100" s="456">
        <f t="shared" si="228"/>
        <v>8.5499999999999993E-2</v>
      </c>
      <c r="BV100" s="456">
        <f t="shared" si="229"/>
        <v>0.16627223311135314</v>
      </c>
      <c r="BW100" s="456">
        <f t="shared" si="230"/>
        <v>1.0011876125143218E-3</v>
      </c>
      <c r="BX100" s="144">
        <f t="shared" si="293"/>
        <v>167.27342072386747</v>
      </c>
      <c r="BY100" s="150">
        <f t="shared" si="231"/>
        <v>1.5285930552135958</v>
      </c>
      <c r="BZ100" s="5">
        <f t="shared" si="294"/>
        <v>5.6999999999999993</v>
      </c>
      <c r="CA100" s="150">
        <f t="shared" si="295"/>
        <v>0.7885351902454788</v>
      </c>
      <c r="CB100" s="5">
        <f t="shared" si="296"/>
        <v>78.853519024547879</v>
      </c>
      <c r="CE100" s="59">
        <f t="shared" si="232"/>
        <v>-50</v>
      </c>
      <c r="CF100">
        <f t="shared" si="233"/>
        <v>-50</v>
      </c>
      <c r="CG100" s="150">
        <f t="shared" si="234"/>
        <v>0.89026505159502722</v>
      </c>
      <c r="CI100" s="147">
        <v>95</v>
      </c>
      <c r="CJ100" s="188">
        <f t="shared" si="297"/>
        <v>1.1399999999999999</v>
      </c>
      <c r="CK100" s="188"/>
      <c r="CL100" s="188">
        <f t="shared" si="235"/>
        <v>5.6999999999999993</v>
      </c>
      <c r="CM100" s="465">
        <f t="shared" si="236"/>
        <v>48</v>
      </c>
      <c r="CN100" s="149">
        <f t="shared" si="237"/>
        <v>5.4</v>
      </c>
      <c r="CO100" s="379">
        <f t="shared" si="238"/>
        <v>53.4</v>
      </c>
      <c r="CP100" s="379"/>
      <c r="CQ100" s="188">
        <f t="shared" si="239"/>
        <v>0.10112359550561799</v>
      </c>
      <c r="CR100" s="149">
        <f t="shared" si="240"/>
        <v>12.426067415730339</v>
      </c>
      <c r="CS100" s="149">
        <f t="shared" si="298"/>
        <v>5.6999999999999993</v>
      </c>
      <c r="CT100" s="188">
        <f t="shared" si="241"/>
        <v>2.4852134831460679</v>
      </c>
      <c r="CU100" s="188">
        <f t="shared" si="242"/>
        <v>5</v>
      </c>
      <c r="CV100" s="188">
        <f t="shared" si="243"/>
        <v>2.4269662921348316</v>
      </c>
      <c r="CW100" s="149">
        <f t="shared" si="244"/>
        <v>57.594225339600015</v>
      </c>
      <c r="CX100" s="460">
        <f t="shared" si="245"/>
        <v>5</v>
      </c>
      <c r="CY100" s="188">
        <f t="shared" si="246"/>
        <v>2.3486111111111105</v>
      </c>
      <c r="CZ100" s="188">
        <f t="shared" si="247"/>
        <v>0.58715277777777775</v>
      </c>
      <c r="DA100" s="188">
        <f t="shared" si="248"/>
        <v>5.2191358024691352</v>
      </c>
      <c r="DB100" s="172">
        <f t="shared" si="249"/>
        <v>350</v>
      </c>
      <c r="DC100" s="379">
        <f t="shared" si="299"/>
        <v>172.22705798709629</v>
      </c>
      <c r="DE100" s="188">
        <f t="shared" si="250"/>
        <v>1.1556982343499198</v>
      </c>
      <c r="DF100" s="150">
        <f t="shared" si="251"/>
        <v>2.5682182985553772</v>
      </c>
      <c r="DG100" s="150">
        <f t="shared" si="252"/>
        <v>0.51941493678648076</v>
      </c>
      <c r="DH100" s="150"/>
      <c r="DI100" s="150">
        <f t="shared" si="253"/>
        <v>2.2222222222222219</v>
      </c>
      <c r="DJ100" s="314">
        <f t="shared" si="300"/>
        <v>1026</v>
      </c>
      <c r="DK100" s="456">
        <f t="shared" si="254"/>
        <v>0.38888888888888884</v>
      </c>
      <c r="DM100" s="150">
        <f t="shared" si="255"/>
        <v>1.7121415161804154</v>
      </c>
      <c r="DN100" s="150">
        <f t="shared" si="256"/>
        <v>2.3486111111111105</v>
      </c>
      <c r="DO100" s="150">
        <f t="shared" si="257"/>
        <v>2.1989711934156375</v>
      </c>
      <c r="DQ100" s="314">
        <f t="shared" si="258"/>
        <v>1140</v>
      </c>
      <c r="DR100" s="144">
        <f t="shared" si="259"/>
        <v>172.22705798709629</v>
      </c>
      <c r="DT100">
        <f t="shared" si="260"/>
        <v>1140</v>
      </c>
      <c r="DU100">
        <f t="shared" si="261"/>
        <v>172.22705798709629</v>
      </c>
      <c r="DW100" s="5">
        <f t="shared" si="301"/>
        <v>5.8062885802469131</v>
      </c>
      <c r="DX100" s="5">
        <f t="shared" si="262"/>
        <v>0.58715277777777775</v>
      </c>
      <c r="DY100" s="5">
        <f t="shared" si="302"/>
        <v>5.2191358024691352</v>
      </c>
      <c r="DZ100" s="5">
        <f t="shared" si="263"/>
        <v>5.2191358024691352</v>
      </c>
      <c r="EA100" s="150">
        <f t="shared" si="303"/>
        <v>0.10112359550561797</v>
      </c>
      <c r="EB100" s="150">
        <f t="shared" si="264"/>
        <v>5.6999999999999984</v>
      </c>
      <c r="EC100" s="150">
        <f t="shared" si="265"/>
        <v>1.0555555555555554</v>
      </c>
      <c r="ED100" s="150">
        <f t="shared" si="304"/>
        <v>5.3999999999999995</v>
      </c>
      <c r="EE100" s="144">
        <f t="shared" si="266"/>
        <v>13.387083333333333</v>
      </c>
      <c r="EF100" s="5">
        <f t="shared" si="267"/>
        <v>0.25823849022633732</v>
      </c>
      <c r="EG100" s="5"/>
      <c r="EH100" s="150">
        <f t="shared" si="305"/>
        <v>0.43119799740138276</v>
      </c>
      <c r="EI100" s="150">
        <f t="shared" si="268"/>
        <v>1.2855840452683593</v>
      </c>
      <c r="EJ100" s="150"/>
      <c r="EK100" s="456">
        <f t="shared" si="269"/>
        <v>3.7186342592592583E-3</v>
      </c>
      <c r="EL100" s="456">
        <f t="shared" si="270"/>
        <v>0.43199999999999994</v>
      </c>
      <c r="EM100" s="456">
        <f t="shared" si="271"/>
        <v>2.1528382248387035E-2</v>
      </c>
      <c r="EN100" s="456">
        <f t="shared" si="272"/>
        <v>4.911157894736843E-2</v>
      </c>
      <c r="EO100">
        <f t="shared" si="273"/>
        <v>2.1600000000000001E-2</v>
      </c>
      <c r="EP100" s="144">
        <f t="shared" si="306"/>
        <v>43.128382248387041</v>
      </c>
      <c r="EQ100" s="456">
        <f t="shared" si="274"/>
        <v>0.52943040361455218</v>
      </c>
      <c r="ER100" s="144">
        <f t="shared" si="307"/>
        <v>529.43040361455223</v>
      </c>
      <c r="ES100" s="456">
        <f t="shared" si="308"/>
        <v>0.70822499999999988</v>
      </c>
      <c r="ET100" s="456"/>
      <c r="EV100" s="144">
        <f t="shared" si="309"/>
        <v>708.22499999999991</v>
      </c>
      <c r="EW100" s="456">
        <f t="shared" si="275"/>
        <v>5.5779513888888866E-3</v>
      </c>
      <c r="EX100" s="456">
        <f t="shared" si="276"/>
        <v>4.9581790123456766E-2</v>
      </c>
      <c r="EY100" s="456">
        <f t="shared" si="277"/>
        <v>0.16453232685410407</v>
      </c>
      <c r="EZ100" s="456">
        <f t="shared" si="278"/>
        <v>0.23396283267933976</v>
      </c>
      <c r="FA100" s="456">
        <f t="shared" si="279"/>
        <v>9.4999999999999978E-4</v>
      </c>
      <c r="FB100" s="144">
        <f t="shared" si="310"/>
        <v>234.91283267933977</v>
      </c>
      <c r="FC100" s="150">
        <f t="shared" si="311"/>
        <v>1.4725682362938919</v>
      </c>
      <c r="FD100" s="5">
        <f t="shared" si="312"/>
        <v>5.6999999999999993</v>
      </c>
      <c r="FE100" s="150">
        <f t="shared" si="313"/>
        <v>0.79469442635030596</v>
      </c>
      <c r="FF100" s="5">
        <f t="shared" si="314"/>
        <v>79.469442635030589</v>
      </c>
      <c r="FI100" s="59">
        <f t="shared" si="280"/>
        <v>-50</v>
      </c>
      <c r="FJ100">
        <f t="shared" si="281"/>
        <v>-50</v>
      </c>
      <c r="FL100">
        <f t="shared" si="282"/>
        <v>0.898876404494382</v>
      </c>
    </row>
    <row r="101" spans="5:168">
      <c r="E101" s="147">
        <v>96</v>
      </c>
      <c r="F101" s="188">
        <f t="shared" si="283"/>
        <v>1.1519999999999999</v>
      </c>
      <c r="G101" s="188"/>
      <c r="H101" s="188">
        <f>F101*Vout</f>
        <v>5.76</v>
      </c>
      <c r="I101" s="465">
        <f t="shared" si="184"/>
        <v>47.935306685572492</v>
      </c>
      <c r="J101" s="149">
        <f t="shared" si="185"/>
        <v>5.4388159886565051</v>
      </c>
      <c r="K101" s="149">
        <f t="shared" si="186"/>
        <v>53.438815988656508</v>
      </c>
      <c r="L101" s="379"/>
      <c r="M101" s="188">
        <f t="shared" si="187"/>
        <v>0.10189367474778895</v>
      </c>
      <c r="N101" s="149">
        <f>M101*I101*(Isw_max+VIN_nom/Lmag*ILIM_delay)*0.5*Efficiency</f>
        <v>12.503819643789404</v>
      </c>
      <c r="O101" s="149">
        <f t="shared" si="284"/>
        <v>5.76</v>
      </c>
      <c r="P101" s="188">
        <f>N101/Vout</f>
        <v>2.5007639287578809</v>
      </c>
      <c r="Q101" s="188">
        <f t="shared" si="190"/>
        <v>5</v>
      </c>
      <c r="R101" s="188">
        <f>Isw_max/2*I101*Nps*(Q101+Vfwd1+F101/FL101*Rdcr_sec)/Q101/(I101+Nps*(Q101+Vfwd1+F101/FL101*Rdcr_sec))</f>
        <v>2.4421522741776185</v>
      </c>
      <c r="S101" s="149">
        <f t="shared" si="192"/>
        <v>56.428370558756349</v>
      </c>
      <c r="T101" s="460">
        <f>MIN(Vout, S101)</f>
        <v>5</v>
      </c>
      <c r="U101" s="188">
        <f t="shared" si="194"/>
        <v>2.5653978100565973</v>
      </c>
      <c r="V101" s="188">
        <f t="shared" si="195"/>
        <v>0.64221501538749381</v>
      </c>
      <c r="W101" s="188">
        <f t="shared" si="196"/>
        <v>5.6601976946610426</v>
      </c>
      <c r="X101" s="172">
        <f t="shared" si="197"/>
        <v>350</v>
      </c>
      <c r="Y101" s="379">
        <f t="shared" si="198"/>
        <v>153.78906947180465</v>
      </c>
      <c r="AA101" s="188">
        <f t="shared" si="199"/>
        <v>1.1630003247877887</v>
      </c>
      <c r="AB101" s="150">
        <f>L*AA101/J101*1000000</f>
        <v>2.5660003807006668</v>
      </c>
      <c r="AC101" s="150">
        <f>0.5*AB101*AA101*Nps*X101/1000</f>
        <v>0.5222453733280813</v>
      </c>
      <c r="AD101" s="150"/>
      <c r="AE101" s="150">
        <f t="shared" si="202"/>
        <v>2.2063625658650454</v>
      </c>
      <c r="AF101" s="314">
        <f>MAX(12, F101/(0.5*AE101/1000000*Isw_min*Nps)/1000)</f>
        <v>1044.2526698220488</v>
      </c>
      <c r="AG101" s="456">
        <f t="shared" si="204"/>
        <v>0.38611344902638289</v>
      </c>
      <c r="AI101" s="150">
        <f t="shared" si="205"/>
        <v>1.7273039850108682</v>
      </c>
      <c r="AJ101" s="150">
        <f>MAX(IF(F101&gt;AC101,U101,AI101),Isw_min)</f>
        <v>2.5653978100565973</v>
      </c>
      <c r="AK101" s="150">
        <f>IF(F101&gt;AG101, (AJ101-Isw_min)/1.08*0.8+1.2, AF101*0.2/350+1)</f>
        <v>2.3595539333752571</v>
      </c>
      <c r="AM101" s="314">
        <f t="shared" si="208"/>
        <v>1152</v>
      </c>
      <c r="AN101" s="144">
        <f t="shared" si="209"/>
        <v>153.78906947180465</v>
      </c>
      <c r="AP101">
        <f t="shared" si="210"/>
        <v>1152</v>
      </c>
      <c r="AQ101">
        <f t="shared" si="211"/>
        <v>153.78906947180465</v>
      </c>
      <c r="AS101" s="5">
        <f t="shared" si="285"/>
        <v>6.5024127100485369</v>
      </c>
      <c r="AT101" s="5">
        <f t="shared" si="212"/>
        <v>0.64221501538749381</v>
      </c>
      <c r="AU101" s="5">
        <f t="shared" si="286"/>
        <v>5.8601976946610428</v>
      </c>
      <c r="AV101" s="5">
        <f t="shared" si="213"/>
        <v>5.6601976946610426</v>
      </c>
      <c r="AW101" s="150">
        <f t="shared" si="287"/>
        <v>9.8765649617263376E-2</v>
      </c>
      <c r="AX101" s="150">
        <f t="shared" si="214"/>
        <v>6.0727605742460415</v>
      </c>
      <c r="AY101" s="150">
        <f t="shared" si="215"/>
        <v>1.1560123144098262</v>
      </c>
      <c r="AZ101" s="150">
        <f t="shared" si="288"/>
        <v>5.2531971316813699</v>
      </c>
      <c r="BA101" s="144">
        <f t="shared" si="216"/>
        <v>14.796633954527856</v>
      </c>
      <c r="BB101" s="5">
        <f t="shared" si="217"/>
        <v>0.2934053298008753</v>
      </c>
      <c r="BC101" s="5"/>
      <c r="BD101" s="150">
        <f t="shared" si="289"/>
        <v>0.46547574382643941</v>
      </c>
      <c r="BE101" s="150">
        <f t="shared" si="218"/>
        <v>1.4060894850104497</v>
      </c>
      <c r="BF101" s="150"/>
      <c r="BG101" s="456">
        <f t="shared" si="219"/>
        <v>4.3333533618155409E-3</v>
      </c>
      <c r="BH101" s="456">
        <f t="shared" si="220"/>
        <v>0.39531044366461082</v>
      </c>
      <c r="BI101" s="456">
        <f t="shared" si="221"/>
        <v>0.18429815525049423</v>
      </c>
      <c r="BJ101" s="456">
        <f t="shared" si="222"/>
        <v>4.3917653056017331E-2</v>
      </c>
      <c r="BK101">
        <f t="shared" si="223"/>
        <v>2.1570888008507622E-2</v>
      </c>
      <c r="BL101" s="144">
        <f t="shared" si="290"/>
        <v>205.86904325900184</v>
      </c>
      <c r="BM101" s="456">
        <f t="shared" si="224"/>
        <v>0.44518982505256277</v>
      </c>
      <c r="BN101" s="144">
        <f t="shared" si="291"/>
        <v>445.18982505256275</v>
      </c>
      <c r="BO101" s="456">
        <f t="shared" si="225"/>
        <v>0.71567999999999987</v>
      </c>
      <c r="BP101" s="456"/>
      <c r="BR101" s="144">
        <f t="shared" si="292"/>
        <v>715.67999999999984</v>
      </c>
      <c r="BS101" s="456">
        <f t="shared" si="226"/>
        <v>6.5000300427233114E-3</v>
      </c>
      <c r="BT101" s="456">
        <f t="shared" si="227"/>
        <v>5.9312629195708545E-2</v>
      </c>
      <c r="BU101" s="456">
        <f t="shared" si="228"/>
        <v>8.6399999999999991E-2</v>
      </c>
      <c r="BV101" s="456">
        <f>(BU101+(BS101+BT101)*(1+Ltc*(Ta-25)))/(1-(BS101+BT101)*Ltc*ThetaCa)</f>
        <v>0.1688969420069126</v>
      </c>
      <c r="BW101" s="456">
        <f t="shared" si="230"/>
        <v>1.0121267623743404E-3</v>
      </c>
      <c r="BX101" s="144">
        <f t="shared" si="293"/>
        <v>169.90906876928693</v>
      </c>
      <c r="BY101" s="150">
        <f t="shared" si="231"/>
        <v>1.5366479370808517</v>
      </c>
      <c r="BZ101" s="5">
        <f t="shared" si="294"/>
        <v>5.76</v>
      </c>
      <c r="CA101" s="150">
        <f t="shared" si="295"/>
        <v>0.78940357951604645</v>
      </c>
      <c r="CB101" s="5">
        <f t="shared" si="296"/>
        <v>78.940357951604639</v>
      </c>
      <c r="CE101" s="59">
        <f t="shared" si="232"/>
        <v>-50</v>
      </c>
      <c r="CF101">
        <f t="shared" si="233"/>
        <v>-50</v>
      </c>
      <c r="CG101" s="150">
        <f t="shared" si="234"/>
        <v>0.89035475318772883</v>
      </c>
      <c r="CI101" s="147">
        <v>96</v>
      </c>
      <c r="CJ101" s="188">
        <f t="shared" si="297"/>
        <v>1.1519999999999999</v>
      </c>
      <c r="CK101" s="188"/>
      <c r="CL101" s="188">
        <f t="shared" si="235"/>
        <v>5.76</v>
      </c>
      <c r="CM101" s="465">
        <f t="shared" si="236"/>
        <v>48</v>
      </c>
      <c r="CN101" s="149">
        <f t="shared" si="237"/>
        <v>5.4</v>
      </c>
      <c r="CO101" s="379">
        <f t="shared" si="238"/>
        <v>53.4</v>
      </c>
      <c r="CP101" s="379"/>
      <c r="CQ101" s="188">
        <f t="shared" si="239"/>
        <v>0.10112359550561799</v>
      </c>
      <c r="CR101" s="149">
        <f t="shared" si="240"/>
        <v>12.426067415730339</v>
      </c>
      <c r="CS101" s="149">
        <f t="shared" si="298"/>
        <v>5.76</v>
      </c>
      <c r="CT101" s="188">
        <f t="shared" si="241"/>
        <v>2.4852134831460679</v>
      </c>
      <c r="CU101" s="188">
        <f t="shared" si="242"/>
        <v>5</v>
      </c>
      <c r="CV101" s="188">
        <f t="shared" si="243"/>
        <v>2.4269662921348316</v>
      </c>
      <c r="CW101" s="149">
        <f t="shared" si="244"/>
        <v>56.504076587910859</v>
      </c>
      <c r="CX101" s="460">
        <f t="shared" si="245"/>
        <v>5</v>
      </c>
      <c r="CY101" s="188">
        <f t="shared" si="246"/>
        <v>2.3733333333333331</v>
      </c>
      <c r="CZ101" s="188">
        <f t="shared" si="247"/>
        <v>0.59333333333333327</v>
      </c>
      <c r="DA101" s="188">
        <f t="shared" si="248"/>
        <v>5.2740740740740737</v>
      </c>
      <c r="DB101" s="172">
        <f t="shared" si="249"/>
        <v>350</v>
      </c>
      <c r="DC101" s="379">
        <f t="shared" si="299"/>
        <v>170.43302613306403</v>
      </c>
      <c r="DE101" s="188">
        <f t="shared" si="250"/>
        <v>1.1556982343499198</v>
      </c>
      <c r="DF101" s="150">
        <f t="shared" si="251"/>
        <v>2.5682182985553772</v>
      </c>
      <c r="DG101" s="150">
        <f t="shared" si="252"/>
        <v>0.51941493678648076</v>
      </c>
      <c r="DH101" s="150"/>
      <c r="DI101" s="150">
        <f t="shared" si="253"/>
        <v>2.2222222222222219</v>
      </c>
      <c r="DJ101" s="314">
        <f t="shared" si="300"/>
        <v>1036.8</v>
      </c>
      <c r="DK101" s="456">
        <f t="shared" si="254"/>
        <v>0.38888888888888884</v>
      </c>
      <c r="DM101" s="150">
        <f t="shared" si="255"/>
        <v>1.721129197441527</v>
      </c>
      <c r="DN101" s="150">
        <f t="shared" si="256"/>
        <v>2.3733333333333331</v>
      </c>
      <c r="DO101" s="150">
        <f t="shared" si="257"/>
        <v>2.2172839506172837</v>
      </c>
      <c r="DQ101" s="314">
        <f t="shared" si="258"/>
        <v>1152</v>
      </c>
      <c r="DR101" s="144">
        <f t="shared" si="259"/>
        <v>170.43302613306403</v>
      </c>
      <c r="DT101">
        <f t="shared" si="260"/>
        <v>1152</v>
      </c>
      <c r="DU101">
        <f t="shared" si="261"/>
        <v>170.43302613306403</v>
      </c>
      <c r="DW101" s="5">
        <f t="shared" si="301"/>
        <v>5.8674074074074065</v>
      </c>
      <c r="DX101" s="5">
        <f t="shared" si="262"/>
        <v>0.59333333333333327</v>
      </c>
      <c r="DY101" s="5">
        <f t="shared" si="302"/>
        <v>5.2740740740740737</v>
      </c>
      <c r="DZ101" s="5">
        <f t="shared" si="263"/>
        <v>5.2740740740740737</v>
      </c>
      <c r="EA101" s="150">
        <f t="shared" si="303"/>
        <v>0.10112359550561799</v>
      </c>
      <c r="EB101" s="150">
        <f t="shared" si="264"/>
        <v>5.76</v>
      </c>
      <c r="EC101" s="150">
        <f t="shared" si="265"/>
        <v>1.0666666666666664</v>
      </c>
      <c r="ED101" s="150">
        <f t="shared" si="304"/>
        <v>5.4000000000000012</v>
      </c>
      <c r="EE101" s="144">
        <f t="shared" si="266"/>
        <v>13.670399999999997</v>
      </c>
      <c r="EF101" s="5">
        <f t="shared" si="267"/>
        <v>0.26370370370370366</v>
      </c>
      <c r="EG101" s="5"/>
      <c r="EH101" s="150">
        <f t="shared" si="305"/>
        <v>0.43573692368981842</v>
      </c>
      <c r="EI101" s="150">
        <f t="shared" si="268"/>
        <v>1.2991165089027632</v>
      </c>
      <c r="EJ101" s="150"/>
      <c r="EK101" s="456">
        <f t="shared" si="269"/>
        <v>3.7973333333333331E-3</v>
      </c>
      <c r="EL101" s="456">
        <f t="shared" si="270"/>
        <v>0.432</v>
      </c>
      <c r="EM101" s="456">
        <f t="shared" si="271"/>
        <v>2.1304128266633002E-2</v>
      </c>
      <c r="EN101" s="456">
        <f t="shared" si="272"/>
        <v>4.8600000000000004E-2</v>
      </c>
      <c r="EO101">
        <f t="shared" si="273"/>
        <v>2.1600000000000001E-2</v>
      </c>
      <c r="EP101" s="144">
        <f t="shared" si="306"/>
        <v>42.904128266633009</v>
      </c>
      <c r="EQ101" s="456">
        <f t="shared" si="274"/>
        <v>0.52880385297261701</v>
      </c>
      <c r="ER101" s="144">
        <f t="shared" si="307"/>
        <v>528.80385297261705</v>
      </c>
      <c r="ES101" s="456">
        <f t="shared" si="308"/>
        <v>0.71567999999999987</v>
      </c>
      <c r="ET101" s="456"/>
      <c r="EV101" s="144">
        <f t="shared" si="309"/>
        <v>715.67999999999984</v>
      </c>
      <c r="EW101" s="456">
        <f t="shared" si="275"/>
        <v>5.6959999999999997E-3</v>
      </c>
      <c r="EX101" s="456">
        <f t="shared" si="276"/>
        <v>5.0631111111111099E-2</v>
      </c>
      <c r="EY101" s="456">
        <f t="shared" si="277"/>
        <v>0.16453232685410421</v>
      </c>
      <c r="EZ101" s="456">
        <f t="shared" si="278"/>
        <v>0.23543887195190674</v>
      </c>
      <c r="FA101" s="456">
        <f t="shared" si="279"/>
        <v>9.6000000000000013E-4</v>
      </c>
      <c r="FB101" s="144">
        <f t="shared" si="310"/>
        <v>236.39887195190673</v>
      </c>
      <c r="FC101" s="150">
        <f t="shared" si="311"/>
        <v>1.4808827249245236</v>
      </c>
      <c r="FD101" s="5">
        <f t="shared" si="312"/>
        <v>5.76</v>
      </c>
      <c r="FE101" s="150">
        <f t="shared" si="313"/>
        <v>0.79548312254429454</v>
      </c>
      <c r="FF101" s="5">
        <f t="shared" si="314"/>
        <v>79.548312254429447</v>
      </c>
      <c r="FI101" s="59">
        <f t="shared" si="280"/>
        <v>-50</v>
      </c>
      <c r="FJ101">
        <f t="shared" si="281"/>
        <v>-50</v>
      </c>
      <c r="FL101">
        <f t="shared" si="282"/>
        <v>0.898876404494382</v>
      </c>
    </row>
    <row r="102" spans="5:168">
      <c r="E102" s="147">
        <v>97</v>
      </c>
      <c r="F102" s="188">
        <f>IF(PLOT_TYPE=1, E102/100*Iout_max, min_I*EXP(N102*rr/100))</f>
        <v>1.1639999999999999</v>
      </c>
      <c r="G102" s="188"/>
      <c r="H102" s="188">
        <f>F102*Vout</f>
        <v>5.8199999999999994</v>
      </c>
      <c r="I102" s="465">
        <f t="shared" si="184"/>
        <v>47.934639246082789</v>
      </c>
      <c r="J102" s="149">
        <f t="shared" si="185"/>
        <v>5.4392164523503279</v>
      </c>
      <c r="K102" s="149">
        <f t="shared" si="186"/>
        <v>53.43921645235033</v>
      </c>
      <c r="L102" s="379"/>
      <c r="M102" s="188">
        <f t="shared" si="187"/>
        <v>0.10190168807919379</v>
      </c>
      <c r="N102" s="149">
        <f>M102*I102*(Isw_max+VIN_nom/Lmag*ILIM_delay)*0.5*Efficiency</f>
        <v>12.504628881006104</v>
      </c>
      <c r="O102" s="149">
        <f t="shared" si="284"/>
        <v>5.8199999999999994</v>
      </c>
      <c r="P102" s="188">
        <f>N102/Vout</f>
        <v>2.5009257762012207</v>
      </c>
      <c r="Q102" s="188">
        <f t="shared" si="190"/>
        <v>5</v>
      </c>
      <c r="R102" s="188">
        <f>Isw_max/2*I102*Nps*(Q102+Vfwd1+F102/FL102*Rdcr_sec)/Q102/(I102+Nps*(Q102+Vfwd1+F102/FL102*Rdcr_sec))</f>
        <v>2.4423103283215051</v>
      </c>
      <c r="S102" s="149">
        <f t="shared" si="192"/>
        <v>55.36161863447628</v>
      </c>
      <c r="T102" s="460">
        <f>MIN(Vout, S102)</f>
        <v>5</v>
      </c>
      <c r="U102" s="188">
        <f t="shared" si="194"/>
        <v>2.5921438322503847</v>
      </c>
      <c r="V102" s="188">
        <f t="shared" si="195"/>
        <v>0.6489195804169231</v>
      </c>
      <c r="W102" s="188">
        <f t="shared" si="196"/>
        <v>5.7187880385902989</v>
      </c>
      <c r="X102" s="172">
        <f t="shared" si="197"/>
        <v>350</v>
      </c>
      <c r="Y102" s="379">
        <f t="shared" si="198"/>
        <v>152.26012758332266</v>
      </c>
      <c r="AA102" s="188">
        <f t="shared" si="199"/>
        <v>1.1630755804324719</v>
      </c>
      <c r="AB102" s="150">
        <f>L*AA102/J102*1000000</f>
        <v>2.5659774872828929</v>
      </c>
      <c r="AC102" s="150">
        <f>0.5*AB102*AA102*Nps*X102/1000</f>
        <v>0.52227450719468616</v>
      </c>
      <c r="AD102" s="150"/>
      <c r="AE102" s="150">
        <f t="shared" si="202"/>
        <v>2.2062001218603289</v>
      </c>
      <c r="AF102" s="314">
        <f>MAX(12, F102/(0.5*AE102/1000000*Isw_min*Nps)/1000)</f>
        <v>1055.2079917559636</v>
      </c>
      <c r="AG102" s="456">
        <f t="shared" si="204"/>
        <v>0.38608502132555755</v>
      </c>
      <c r="AI102" s="150">
        <f t="shared" si="205"/>
        <v>1.7363409735549094</v>
      </c>
      <c r="AJ102" s="150">
        <f>MAX(IF(F102&gt;AC102,U102,AI102),Isw_min)</f>
        <v>2.5921438322503847</v>
      </c>
      <c r="AK102" s="150">
        <f>IF(F102&gt;AG102, (AJ102-Isw_min)/1.08*0.8+1.2, AF102*0.2/350+1)</f>
        <v>2.3793658016669514</v>
      </c>
      <c r="AM102" s="314">
        <f t="shared" si="208"/>
        <v>1164</v>
      </c>
      <c r="AN102" s="144">
        <f t="shared" si="209"/>
        <v>152.26012758332266</v>
      </c>
      <c r="AP102">
        <f t="shared" si="210"/>
        <v>1164</v>
      </c>
      <c r="AQ102">
        <f t="shared" si="211"/>
        <v>152.26012758332266</v>
      </c>
      <c r="AS102" s="5">
        <f t="shared" si="285"/>
        <v>6.5677076190072228</v>
      </c>
      <c r="AT102" s="5">
        <f t="shared" si="212"/>
        <v>0.6489195804169231</v>
      </c>
      <c r="AU102" s="5">
        <f t="shared" si="286"/>
        <v>5.9187880385903</v>
      </c>
      <c r="AV102" s="5">
        <f t="shared" si="213"/>
        <v>5.7187880385902989</v>
      </c>
      <c r="AW102" s="150">
        <f t="shared" si="287"/>
        <v>9.8804578105596924E-2</v>
      </c>
      <c r="AX102" s="150">
        <f t="shared" si="214"/>
        <v>6.1384063087352132</v>
      </c>
      <c r="AY102" s="150">
        <f t="shared" si="215"/>
        <v>1.1680140772579302</v>
      </c>
      <c r="AZ102" s="150">
        <f t="shared" si="288"/>
        <v>5.2554215126806909</v>
      </c>
      <c r="BA102" s="144">
        <f t="shared" si="216"/>
        <v>15.106847832105968</v>
      </c>
      <c r="BB102" s="5">
        <f t="shared" si="217"/>
        <v>0.2994298323577016</v>
      </c>
      <c r="BC102" s="5"/>
      <c r="BD102" s="150">
        <f t="shared" si="289"/>
        <v>0.47042132689117977</v>
      </c>
      <c r="BE102" s="150">
        <f t="shared" si="218"/>
        <v>1.4207182423797167</v>
      </c>
      <c r="BF102" s="150"/>
      <c r="BG102" s="456">
        <f t="shared" si="219"/>
        <v>4.4259244958811646E-3</v>
      </c>
      <c r="BH102" s="456">
        <f t="shared" si="220"/>
        <v>0.39546371246328482</v>
      </c>
      <c r="BI102" s="456">
        <f t="shared" si="221"/>
        <v>0.18246335718172776</v>
      </c>
      <c r="BJ102" s="456">
        <f t="shared" si="222"/>
        <v>4.348168372746207E-2</v>
      </c>
      <c r="BK102">
        <f t="shared" si="223"/>
        <v>2.1570587660737255E-2</v>
      </c>
      <c r="BL102" s="144">
        <f t="shared" si="290"/>
        <v>204.03394484246502</v>
      </c>
      <c r="BM102" s="456">
        <f t="shared" si="224"/>
        <v>0.44503431823836226</v>
      </c>
      <c r="BN102" s="144">
        <f t="shared" si="291"/>
        <v>445.03431823836223</v>
      </c>
      <c r="BO102" s="456">
        <f t="shared" si="225"/>
        <v>0.72313499999999986</v>
      </c>
      <c r="BP102" s="456"/>
      <c r="BR102" s="144">
        <f t="shared" si="292"/>
        <v>723.13499999999988</v>
      </c>
      <c r="BS102" s="456">
        <f t="shared" si="226"/>
        <v>6.6388867438217465E-3</v>
      </c>
      <c r="BT102" s="456">
        <f t="shared" si="227"/>
        <v>6.0553209726915337E-2</v>
      </c>
      <c r="BU102" s="456">
        <f t="shared" si="228"/>
        <v>8.7299999999999989E-2</v>
      </c>
      <c r="BV102" s="456">
        <f>(BU102+(BS102+BT102)*(1+Ltc*(Ta-25)))/(1-(BS102+BT102)*Ltc*ThetaCa)</f>
        <v>0.17154029177037425</v>
      </c>
      <c r="BW102" s="456">
        <f t="shared" si="230"/>
        <v>1.0230677181225355E-3</v>
      </c>
      <c r="BX102" s="144">
        <f t="shared" si="293"/>
        <v>172.56335948849676</v>
      </c>
      <c r="BY102" s="150">
        <f t="shared" si="231"/>
        <v>1.544766622569324</v>
      </c>
      <c r="BZ102" s="5">
        <f t="shared" si="294"/>
        <v>5.8199999999999994</v>
      </c>
      <c r="CA102" s="150">
        <f t="shared" si="295"/>
        <v>0.79024907349604434</v>
      </c>
      <c r="CB102" s="5">
        <f t="shared" si="296"/>
        <v>79.024907349604433</v>
      </c>
      <c r="CE102" s="59">
        <f t="shared" si="232"/>
        <v>-50</v>
      </c>
      <c r="CF102">
        <f t="shared" si="233"/>
        <v>-50</v>
      </c>
      <c r="CG102" s="150">
        <f t="shared" si="234"/>
        <v>0.89044260526305508</v>
      </c>
      <c r="CI102" s="147">
        <v>97</v>
      </c>
      <c r="CJ102" s="188">
        <f t="shared" si="297"/>
        <v>1.1639999999999999</v>
      </c>
      <c r="CK102" s="188"/>
      <c r="CL102" s="188">
        <f t="shared" si="235"/>
        <v>5.8199999999999994</v>
      </c>
      <c r="CM102" s="465">
        <f t="shared" si="236"/>
        <v>48</v>
      </c>
      <c r="CN102" s="149">
        <f t="shared" si="237"/>
        <v>5.4</v>
      </c>
      <c r="CO102" s="379">
        <f t="shared" si="238"/>
        <v>53.4</v>
      </c>
      <c r="CP102" s="379"/>
      <c r="CQ102" s="188">
        <f t="shared" si="239"/>
        <v>0.10112359550561799</v>
      </c>
      <c r="CR102" s="149">
        <f t="shared" si="240"/>
        <v>12.426067415730339</v>
      </c>
      <c r="CS102" s="149">
        <f t="shared" si="298"/>
        <v>5.8199999999999994</v>
      </c>
      <c r="CT102" s="188">
        <f t="shared" si="241"/>
        <v>2.4852134831460679</v>
      </c>
      <c r="CU102" s="188">
        <f t="shared" si="242"/>
        <v>5</v>
      </c>
      <c r="CV102" s="188">
        <f t="shared" si="243"/>
        <v>2.4269662921348316</v>
      </c>
      <c r="CW102" s="149">
        <f t="shared" si="244"/>
        <v>55.436643714556773</v>
      </c>
      <c r="CX102" s="460">
        <f t="shared" si="245"/>
        <v>5</v>
      </c>
      <c r="CY102" s="188">
        <f t="shared" si="246"/>
        <v>2.3980555555555552</v>
      </c>
      <c r="CZ102" s="188">
        <f t="shared" si="247"/>
        <v>0.59951388888888879</v>
      </c>
      <c r="DA102" s="188">
        <f t="shared" si="248"/>
        <v>5.3290123456790104</v>
      </c>
      <c r="DB102" s="172">
        <f t="shared" si="249"/>
        <v>350</v>
      </c>
      <c r="DC102" s="379">
        <f t="shared" si="299"/>
        <v>168.67598462653763</v>
      </c>
      <c r="DE102" s="188">
        <f t="shared" si="250"/>
        <v>1.1556982343499198</v>
      </c>
      <c r="DF102" s="150">
        <f t="shared" si="251"/>
        <v>2.5682182985553772</v>
      </c>
      <c r="DG102" s="150">
        <f t="shared" si="252"/>
        <v>0.51941493678648076</v>
      </c>
      <c r="DH102" s="150"/>
      <c r="DI102" s="150">
        <f t="shared" si="253"/>
        <v>2.2222222222222219</v>
      </c>
      <c r="DJ102" s="314">
        <f t="shared" si="300"/>
        <v>1047.5999999999999</v>
      </c>
      <c r="DK102" s="456">
        <f t="shared" si="254"/>
        <v>0.38888888888888884</v>
      </c>
      <c r="DM102" s="150">
        <f t="shared" si="255"/>
        <v>1.7300701885018588</v>
      </c>
      <c r="DN102" s="150">
        <f t="shared" si="256"/>
        <v>2.3980555555555552</v>
      </c>
      <c r="DO102" s="150">
        <f t="shared" si="257"/>
        <v>2.2355967078189298</v>
      </c>
      <c r="DQ102" s="314">
        <f t="shared" si="258"/>
        <v>1164</v>
      </c>
      <c r="DR102" s="144">
        <f t="shared" si="259"/>
        <v>168.67598462653763</v>
      </c>
      <c r="DT102">
        <f t="shared" si="260"/>
        <v>1164</v>
      </c>
      <c r="DU102">
        <f t="shared" si="261"/>
        <v>168.67598462653763</v>
      </c>
      <c r="DW102" s="5">
        <f t="shared" si="301"/>
        <v>5.9285262345679</v>
      </c>
      <c r="DX102" s="5">
        <f t="shared" si="262"/>
        <v>0.59951388888888879</v>
      </c>
      <c r="DY102" s="5">
        <f t="shared" si="302"/>
        <v>5.3290123456790113</v>
      </c>
      <c r="DZ102" s="5">
        <f t="shared" si="263"/>
        <v>5.3290123456790104</v>
      </c>
      <c r="EA102" s="150">
        <f t="shared" si="303"/>
        <v>0.10112359550561799</v>
      </c>
      <c r="EB102" s="150">
        <f t="shared" si="264"/>
        <v>5.82</v>
      </c>
      <c r="EC102" s="150">
        <f t="shared" si="265"/>
        <v>1.0777777777777775</v>
      </c>
      <c r="ED102" s="150">
        <f t="shared" si="304"/>
        <v>5.4000000000000012</v>
      </c>
      <c r="EE102" s="144">
        <f t="shared" si="266"/>
        <v>13.956683333333331</v>
      </c>
      <c r="EF102" s="5">
        <f t="shared" si="267"/>
        <v>0.26922614454732496</v>
      </c>
      <c r="EG102" s="5"/>
      <c r="EH102" s="150">
        <f t="shared" si="305"/>
        <v>0.44027584997825403</v>
      </c>
      <c r="EI102" s="150">
        <f t="shared" si="268"/>
        <v>1.3126489725371671</v>
      </c>
      <c r="EJ102" s="150"/>
      <c r="EK102" s="456">
        <f t="shared" si="269"/>
        <v>3.8768564814814811E-3</v>
      </c>
      <c r="EL102" s="456">
        <f t="shared" si="270"/>
        <v>0.43200000000000011</v>
      </c>
      <c r="EM102" s="456">
        <f t="shared" si="271"/>
        <v>2.1084498078317204E-2</v>
      </c>
      <c r="EN102" s="456">
        <f t="shared" si="272"/>
        <v>4.809896907216496E-2</v>
      </c>
      <c r="EO102">
        <f t="shared" si="273"/>
        <v>2.1600000000000001E-2</v>
      </c>
      <c r="EP102" s="144">
        <f t="shared" si="306"/>
        <v>42.684498078317205</v>
      </c>
      <c r="EQ102" s="456">
        <f t="shared" si="274"/>
        <v>0.52819361573017032</v>
      </c>
      <c r="ER102" s="144">
        <f t="shared" si="307"/>
        <v>528.19361573017034</v>
      </c>
      <c r="ES102" s="456">
        <f t="shared" si="308"/>
        <v>0.72313499999999986</v>
      </c>
      <c r="ET102" s="456"/>
      <c r="EV102" s="144">
        <f t="shared" si="309"/>
        <v>723.13499999999988</v>
      </c>
      <c r="EW102" s="456">
        <f t="shared" si="275"/>
        <v>5.8152847222222217E-3</v>
      </c>
      <c r="EX102" s="456">
        <f t="shared" si="276"/>
        <v>5.1691419753086408E-2</v>
      </c>
      <c r="EY102" s="456">
        <f t="shared" si="277"/>
        <v>0.16453232685410416</v>
      </c>
      <c r="EZ102" s="456">
        <f t="shared" si="278"/>
        <v>0.23693064846608544</v>
      </c>
      <c r="FA102" s="456">
        <f t="shared" si="279"/>
        <v>9.7000000000000005E-4</v>
      </c>
      <c r="FB102" s="144">
        <f t="shared" si="310"/>
        <v>237.90064846608544</v>
      </c>
      <c r="FC102" s="150">
        <f t="shared" si="311"/>
        <v>1.4892292641962555</v>
      </c>
      <c r="FD102" s="5">
        <f t="shared" si="312"/>
        <v>5.8199999999999994</v>
      </c>
      <c r="FE102" s="150">
        <f t="shared" si="313"/>
        <v>0.79625358428813553</v>
      </c>
      <c r="FF102" s="5">
        <f t="shared" si="314"/>
        <v>79.625358428813556</v>
      </c>
      <c r="FI102" s="59">
        <f t="shared" si="280"/>
        <v>-50</v>
      </c>
      <c r="FJ102">
        <f t="shared" si="281"/>
        <v>-50</v>
      </c>
      <c r="FL102">
        <f t="shared" si="282"/>
        <v>0.898876404494382</v>
      </c>
    </row>
    <row r="103" spans="5:168">
      <c r="E103" s="147">
        <v>98</v>
      </c>
      <c r="F103" s="188">
        <f>IF(PLOT_TYPE=1, E103/100*Iout_max, min_I*EXP(N103*rr/100))</f>
        <v>1.1759999999999999</v>
      </c>
      <c r="G103" s="188"/>
      <c r="H103" s="188">
        <f>F103*Vout</f>
        <v>5.88</v>
      </c>
      <c r="I103" s="465">
        <f t="shared" si="184"/>
        <v>47.933971805346602</v>
      </c>
      <c r="J103" s="149">
        <f t="shared" si="185"/>
        <v>5.4396169167920387</v>
      </c>
      <c r="K103" s="149">
        <f t="shared" si="186"/>
        <v>53.439616916792041</v>
      </c>
      <c r="L103" s="379"/>
      <c r="M103" s="188">
        <f t="shared" si="187"/>
        <v>0.10190970149313397</v>
      </c>
      <c r="N103" s="149">
        <f>M103*I103*(Isw_max+VIN_nom/Lmag*ILIM_delay)*0.5*Efficiency</f>
        <v>12.505438100641721</v>
      </c>
      <c r="O103" s="149">
        <f t="shared" si="284"/>
        <v>5.88</v>
      </c>
      <c r="P103" s="188">
        <f>N103/Vout</f>
        <v>2.5010876201283443</v>
      </c>
      <c r="Q103" s="188">
        <f t="shared" si="190"/>
        <v>5</v>
      </c>
      <c r="R103" s="188">
        <f>Isw_max/2*I103*Nps*(Q103+Vfwd1+F103/FL103*Rdcr_sec)/Q103/(I103+Nps*(Q103+Vfwd1+F103/FL103*Rdcr_sec))</f>
        <v>2.4424683790315864</v>
      </c>
      <c r="S103" s="149">
        <f t="shared" si="192"/>
        <v>54.316892889093538</v>
      </c>
      <c r="T103" s="460">
        <f>MIN(Vout, S103)</f>
        <v>5</v>
      </c>
      <c r="U103" s="188">
        <f t="shared" si="194"/>
        <v>2.6188903319748076</v>
      </c>
      <c r="V103" s="188">
        <f t="shared" si="195"/>
        <v>0.65562445172115547</v>
      </c>
      <c r="W103" s="188">
        <f t="shared" si="196"/>
        <v>5.77737080835304</v>
      </c>
      <c r="X103" s="172">
        <f t="shared" si="197"/>
        <v>350</v>
      </c>
      <c r="Y103" s="379">
        <f t="shared" si="198"/>
        <v>150.76145252496596</v>
      </c>
      <c r="AA103" s="188">
        <f t="shared" si="199"/>
        <v>1.1631508345858794</v>
      </c>
      <c r="AB103" s="150">
        <f>L*AA103/J103*1000000</f>
        <v>2.5659545935933363</v>
      </c>
      <c r="AC103" s="150">
        <f>0.5*AB103*AA103*Nps*X103/1000</f>
        <v>0.52230363973332306</v>
      </c>
      <c r="AD103" s="150"/>
      <c r="AE103" s="150">
        <f t="shared" si="202"/>
        <v>2.2060377014705077</v>
      </c>
      <c r="AF103" s="314">
        <f>MAX(12, F103/(0.5*AE103/1000000*Isw_min*Nps)/1000)</f>
        <v>1066.1649156912395</v>
      </c>
      <c r="AG103" s="456">
        <f t="shared" si="204"/>
        <v>0.38605659775733886</v>
      </c>
      <c r="AI103" s="150">
        <f t="shared" si="205"/>
        <v>1.7453324821945937</v>
      </c>
      <c r="AJ103" s="150">
        <f>MAX(IF(F103&gt;AC103,U103,AI103),Isw_min)</f>
        <v>2.6188903319748076</v>
      </c>
      <c r="AK103" s="150">
        <f>IF(F103&gt;AG103, (AJ103-Isw_min)/1.08*0.8+1.2, AF103*0.2/350+1)</f>
        <v>2.3991780236850424</v>
      </c>
      <c r="AM103" s="314">
        <f t="shared" si="208"/>
        <v>1176</v>
      </c>
      <c r="AN103" s="144">
        <f t="shared" si="209"/>
        <v>150.76145252496596</v>
      </c>
      <c r="AP103">
        <f t="shared" si="210"/>
        <v>1176</v>
      </c>
      <c r="AQ103">
        <f t="shared" si="211"/>
        <v>150.76145252496596</v>
      </c>
      <c r="AS103" s="5">
        <f t="shared" si="285"/>
        <v>6.6329952600741953</v>
      </c>
      <c r="AT103" s="5">
        <f t="shared" si="212"/>
        <v>0.65562445172115547</v>
      </c>
      <c r="AU103" s="5">
        <f t="shared" si="286"/>
        <v>5.9773708083530401</v>
      </c>
      <c r="AV103" s="5">
        <f t="shared" si="213"/>
        <v>5.77737080835304</v>
      </c>
      <c r="AW103" s="150">
        <f t="shared" si="287"/>
        <v>9.8842894652365815E-2</v>
      </c>
      <c r="AX103" s="150">
        <f t="shared" si="214"/>
        <v>6.2040628421927142</v>
      </c>
      <c r="AY103" s="150">
        <f t="shared" si="215"/>
        <v>1.1800158153926612</v>
      </c>
      <c r="AZ103" s="150">
        <f t="shared" si="288"/>
        <v>5.2576099076504788</v>
      </c>
      <c r="BA103" s="144">
        <f t="shared" si="216"/>
        <v>15.420287104481575</v>
      </c>
      <c r="BB103" s="5">
        <f t="shared" si="217"/>
        <v>0.30551523124214541</v>
      </c>
      <c r="BC103" s="5"/>
      <c r="BD103" s="150">
        <f t="shared" si="289"/>
        <v>0.47536741926384285</v>
      </c>
      <c r="BE103" s="150">
        <f t="shared" si="218"/>
        <v>1.4353471149305568</v>
      </c>
      <c r="BF103" s="150"/>
      <c r="BG103" s="456">
        <f t="shared" si="219"/>
        <v>4.5194836659513231E-3</v>
      </c>
      <c r="BH103" s="456">
        <f t="shared" si="220"/>
        <v>0.3956145299005307</v>
      </c>
      <c r="BI103" s="456">
        <f t="shared" si="221"/>
        <v>0.18066488036662046</v>
      </c>
      <c r="BJ103" s="456">
        <f t="shared" si="222"/>
        <v>4.3054344896087594E-2</v>
      </c>
      <c r="BK103">
        <f t="shared" si="223"/>
        <v>2.157028731240597E-2</v>
      </c>
      <c r="BL103" s="144">
        <f t="shared" si="290"/>
        <v>202.23516767902643</v>
      </c>
      <c r="BM103" s="456">
        <f t="shared" si="224"/>
        <v>0.44488635105978075</v>
      </c>
      <c r="BN103" s="144">
        <f t="shared" si="291"/>
        <v>444.88635105978074</v>
      </c>
      <c r="BO103" s="456">
        <f t="shared" si="225"/>
        <v>0.73058999999999985</v>
      </c>
      <c r="BP103" s="456"/>
      <c r="BR103" s="144">
        <f t="shared" si="292"/>
        <v>730.5899999999998</v>
      </c>
      <c r="BS103" s="456">
        <f t="shared" si="226"/>
        <v>6.7792254989269846E-3</v>
      </c>
      <c r="BT103" s="456">
        <f t="shared" si="227"/>
        <v>6.1806640210184186E-2</v>
      </c>
      <c r="BU103" s="456">
        <f t="shared" si="228"/>
        <v>8.8200000000000001E-2</v>
      </c>
      <c r="BV103" s="456">
        <f>(BU103+(BS103+BT103)*(1+Ltc*(Ta-25)))/(1-(BS103+BT103)*Ltc*ThetaCa)</f>
        <v>0.17420229871657733</v>
      </c>
      <c r="BW103" s="456">
        <f t="shared" si="230"/>
        <v>1.0340104736987856E-3</v>
      </c>
      <c r="BX103" s="144">
        <f t="shared" si="293"/>
        <v>175.2363091902761</v>
      </c>
      <c r="BY103" s="150">
        <f t="shared" si="231"/>
        <v>1.5529478279290831</v>
      </c>
      <c r="BZ103" s="5">
        <f t="shared" si="294"/>
        <v>5.88</v>
      </c>
      <c r="CA103" s="150">
        <f t="shared" si="295"/>
        <v>0.791072416505612</v>
      </c>
      <c r="CB103" s="5">
        <f t="shared" si="296"/>
        <v>79.107241650561207</v>
      </c>
      <c r="CE103" s="59">
        <f t="shared" si="232"/>
        <v>-50</v>
      </c>
      <c r="CF103">
        <f t="shared" si="233"/>
        <v>-50</v>
      </c>
      <c r="CG103" s="150">
        <f t="shared" si="234"/>
        <v>0.89052866443888501</v>
      </c>
      <c r="CI103" s="147">
        <v>98</v>
      </c>
      <c r="CJ103" s="188">
        <f t="shared" si="297"/>
        <v>1.1759999999999999</v>
      </c>
      <c r="CK103" s="188"/>
      <c r="CL103" s="188">
        <f t="shared" si="235"/>
        <v>5.88</v>
      </c>
      <c r="CM103" s="465">
        <f t="shared" si="236"/>
        <v>48</v>
      </c>
      <c r="CN103" s="149">
        <f t="shared" si="237"/>
        <v>5.4</v>
      </c>
      <c r="CO103" s="379">
        <f t="shared" si="238"/>
        <v>53.4</v>
      </c>
      <c r="CP103" s="379"/>
      <c r="CQ103" s="188">
        <f t="shared" si="239"/>
        <v>0.10112359550561799</v>
      </c>
      <c r="CR103" s="149">
        <f t="shared" si="240"/>
        <v>12.426067415730339</v>
      </c>
      <c r="CS103" s="149">
        <f t="shared" si="298"/>
        <v>5.88</v>
      </c>
      <c r="CT103" s="188">
        <f t="shared" si="241"/>
        <v>2.4852134831460679</v>
      </c>
      <c r="CU103" s="188">
        <f t="shared" si="242"/>
        <v>5</v>
      </c>
      <c r="CV103" s="188">
        <f t="shared" si="243"/>
        <v>2.4269662921348316</v>
      </c>
      <c r="CW103" s="149">
        <f t="shared" si="244"/>
        <v>54.391237323353337</v>
      </c>
      <c r="CX103" s="460">
        <f t="shared" si="245"/>
        <v>5</v>
      </c>
      <c r="CY103" s="188">
        <f t="shared" si="246"/>
        <v>2.4227777777777777</v>
      </c>
      <c r="CZ103" s="188">
        <f t="shared" si="247"/>
        <v>0.60569444444444442</v>
      </c>
      <c r="DA103" s="188">
        <f t="shared" si="248"/>
        <v>5.3839506172839506</v>
      </c>
      <c r="DB103" s="172">
        <f t="shared" si="249"/>
        <v>350</v>
      </c>
      <c r="DC103" s="379">
        <f t="shared" si="299"/>
        <v>166.95480110994023</v>
      </c>
      <c r="DE103" s="188">
        <f t="shared" si="250"/>
        <v>1.1556982343499198</v>
      </c>
      <c r="DF103" s="150">
        <f t="shared" si="251"/>
        <v>2.5682182985553772</v>
      </c>
      <c r="DG103" s="150">
        <f t="shared" si="252"/>
        <v>0.51941493678648076</v>
      </c>
      <c r="DH103" s="150"/>
      <c r="DI103" s="150">
        <f t="shared" si="253"/>
        <v>2.2222222222222219</v>
      </c>
      <c r="DJ103" s="314">
        <f t="shared" si="300"/>
        <v>1058.4000000000001</v>
      </c>
      <c r="DK103" s="456">
        <f t="shared" si="254"/>
        <v>0.38888888888888884</v>
      </c>
      <c r="DM103" s="150">
        <f t="shared" si="255"/>
        <v>1.7389652095427326</v>
      </c>
      <c r="DN103" s="150">
        <f t="shared" si="256"/>
        <v>2.4227777777777777</v>
      </c>
      <c r="DO103" s="150">
        <f t="shared" si="257"/>
        <v>2.253909465020576</v>
      </c>
      <c r="DQ103" s="314">
        <f t="shared" si="258"/>
        <v>1176</v>
      </c>
      <c r="DR103" s="144">
        <f t="shared" si="259"/>
        <v>166.95480110994023</v>
      </c>
      <c r="DT103">
        <f t="shared" si="260"/>
        <v>1176</v>
      </c>
      <c r="DU103">
        <f t="shared" si="261"/>
        <v>166.95480110994023</v>
      </c>
      <c r="DW103" s="5">
        <f t="shared" si="301"/>
        <v>5.9896450617283961</v>
      </c>
      <c r="DX103" s="5">
        <f t="shared" si="262"/>
        <v>0.60569444444444442</v>
      </c>
      <c r="DY103" s="5">
        <f t="shared" si="302"/>
        <v>5.3839506172839515</v>
      </c>
      <c r="DZ103" s="5">
        <f t="shared" si="263"/>
        <v>5.3839506172839506</v>
      </c>
      <c r="EA103" s="150">
        <f t="shared" si="303"/>
        <v>0.10112359550561796</v>
      </c>
      <c r="EB103" s="150">
        <f t="shared" si="264"/>
        <v>5.879999999999999</v>
      </c>
      <c r="EC103" s="150">
        <f t="shared" si="265"/>
        <v>1.0888888888888888</v>
      </c>
      <c r="ED103" s="150">
        <f t="shared" si="304"/>
        <v>5.3999999999999995</v>
      </c>
      <c r="EE103" s="144">
        <f t="shared" si="266"/>
        <v>14.245933333333332</v>
      </c>
      <c r="EF103" s="5">
        <f t="shared" si="267"/>
        <v>0.27480581275720162</v>
      </c>
      <c r="EG103" s="5"/>
      <c r="EH103" s="150">
        <f t="shared" si="305"/>
        <v>0.44481477626668964</v>
      </c>
      <c r="EI103" s="150">
        <f t="shared" si="268"/>
        <v>1.3261814361715709</v>
      </c>
      <c r="EJ103" s="150"/>
      <c r="EK103" s="456">
        <f t="shared" si="269"/>
        <v>3.9572037037037032E-3</v>
      </c>
      <c r="EL103" s="456">
        <f t="shared" si="270"/>
        <v>0.43199999999999994</v>
      </c>
      <c r="EM103" s="456">
        <f t="shared" si="271"/>
        <v>2.086935013874253E-2</v>
      </c>
      <c r="EN103" s="456">
        <f t="shared" si="272"/>
        <v>4.7608163265306119E-2</v>
      </c>
      <c r="EO103">
        <f t="shared" si="273"/>
        <v>2.1600000000000001E-2</v>
      </c>
      <c r="EP103" s="144">
        <f t="shared" si="306"/>
        <v>42.469350138742534</v>
      </c>
      <c r="EQ103" s="456">
        <f t="shared" si="274"/>
        <v>0.52759922757365252</v>
      </c>
      <c r="ER103" s="144">
        <f t="shared" si="307"/>
        <v>527.59922757365257</v>
      </c>
      <c r="ES103" s="456">
        <f t="shared" si="308"/>
        <v>0.73058999999999985</v>
      </c>
      <c r="ET103" s="456"/>
      <c r="EV103" s="144">
        <f t="shared" si="309"/>
        <v>730.5899999999998</v>
      </c>
      <c r="EW103" s="456">
        <f t="shared" si="275"/>
        <v>5.9358055555555544E-3</v>
      </c>
      <c r="EX103" s="456">
        <f t="shared" si="276"/>
        <v>5.2762716049382707E-2</v>
      </c>
      <c r="EY103" s="456">
        <f t="shared" si="277"/>
        <v>0.16453232685410393</v>
      </c>
      <c r="EZ103" s="456">
        <f t="shared" si="278"/>
        <v>0.23843817109522539</v>
      </c>
      <c r="FA103" s="456">
        <f t="shared" si="279"/>
        <v>9.7999999999999997E-4</v>
      </c>
      <c r="FB103" s="144">
        <f t="shared" si="310"/>
        <v>239.4181710952254</v>
      </c>
      <c r="FC103" s="150">
        <f t="shared" si="311"/>
        <v>1.4976073986688778</v>
      </c>
      <c r="FD103" s="5">
        <f t="shared" si="312"/>
        <v>5.88</v>
      </c>
      <c r="FE103" s="150">
        <f t="shared" si="313"/>
        <v>0.79700635751651849</v>
      </c>
      <c r="FF103" s="5">
        <f t="shared" si="314"/>
        <v>79.700635751651845</v>
      </c>
      <c r="FI103" s="59">
        <f t="shared" si="280"/>
        <v>-50</v>
      </c>
      <c r="FJ103">
        <f t="shared" si="281"/>
        <v>-50</v>
      </c>
      <c r="FL103">
        <f t="shared" si="282"/>
        <v>0.898876404494382</v>
      </c>
    </row>
    <row r="104" spans="5:168">
      <c r="E104" s="147">
        <v>99</v>
      </c>
      <c r="F104" s="188">
        <f>IF(PLOT_TYPE=1, E104/100*Iout_max, min_I*EXP(N104*rr/100))</f>
        <v>1.1879999999999999</v>
      </c>
      <c r="G104" s="188"/>
      <c r="H104" s="188">
        <f>F104*Vout</f>
        <v>5.9399999999999995</v>
      </c>
      <c r="I104" s="465">
        <f t="shared" si="184"/>
        <v>47.933304363402058</v>
      </c>
      <c r="J104" s="149">
        <f t="shared" si="185"/>
        <v>5.4400173819587634</v>
      </c>
      <c r="K104" s="149">
        <f t="shared" si="186"/>
        <v>53.440017381958761</v>
      </c>
      <c r="L104" s="379"/>
      <c r="M104" s="188">
        <f t="shared" si="187"/>
        <v>0.10191771498953853</v>
      </c>
      <c r="N104" s="149">
        <f>M104*I104*(Isw_max+VIN_nom/Lmag*ILIM_delay)*0.5*Efficiency</f>
        <v>12.506247302696998</v>
      </c>
      <c r="O104" s="149">
        <f t="shared" si="284"/>
        <v>5.9399999999999995</v>
      </c>
      <c r="P104" s="188">
        <f>N104/Vout</f>
        <v>2.5012494605393996</v>
      </c>
      <c r="Q104" s="188">
        <f t="shared" si="190"/>
        <v>5</v>
      </c>
      <c r="R104" s="188">
        <f>Isw_max/2*I104*Nps*(Q104+Vfwd1+F104/FL104*Rdcr_sec)/Q104/(I104+Nps*(Q104+Vfwd1+F104/FL104*Rdcr_sec))</f>
        <v>2.4426264263080073</v>
      </c>
      <c r="S104" s="149">
        <f t="shared" si="192"/>
        <v>53.293531984030956</v>
      </c>
      <c r="T104" s="460">
        <f>MIN(Vout, S104)</f>
        <v>5</v>
      </c>
      <c r="U104" s="188">
        <f t="shared" si="194"/>
        <v>2.6456373092498122</v>
      </c>
      <c r="V104" s="188">
        <f t="shared" si="195"/>
        <v>0.66232962931797468</v>
      </c>
      <c r="W104" s="188">
        <f t="shared" si="196"/>
        <v>5.8359460056663472</v>
      </c>
      <c r="X104" s="172">
        <f t="shared" si="197"/>
        <v>350</v>
      </c>
      <c r="Y104" s="379">
        <f t="shared" si="198"/>
        <v>149.29215435344511</v>
      </c>
      <c r="AA104" s="188">
        <f t="shared" si="199"/>
        <v>1.1632260872436795</v>
      </c>
      <c r="AB104" s="150">
        <f>L*AA104/J104*1000000</f>
        <v>2.5659316996333019</v>
      </c>
      <c r="AC104" s="150">
        <f>0.5*AB104*AA104*Nps*X104/1000</f>
        <v>0.52233277094231967</v>
      </c>
      <c r="AD104" s="150"/>
      <c r="AE104" s="150">
        <f t="shared" si="202"/>
        <v>2.2058753046997093</v>
      </c>
      <c r="AF104" s="314">
        <f>MAX(12, F104/(0.5*AE104/1000000*Isw_min*Nps)/1000)</f>
        <v>1077.1234416278348</v>
      </c>
      <c r="AG104" s="456">
        <f t="shared" si="204"/>
        <v>0.38602817832244918</v>
      </c>
      <c r="AI104" s="150">
        <f t="shared" si="205"/>
        <v>1.7542792102479297</v>
      </c>
      <c r="AJ104" s="150">
        <f>MAX(IF(F104&gt;AC104,U104,AI104),Isw_min)</f>
        <v>2.6456373092498122</v>
      </c>
      <c r="AK104" s="150">
        <f>IF(F104&gt;AG104, (AJ104-Isw_min)/1.08*0.8+1.2, AF104*0.2/350+1)</f>
        <v>2.4189905994443053</v>
      </c>
      <c r="AM104" s="314">
        <f t="shared" si="208"/>
        <v>1188</v>
      </c>
      <c r="AN104" s="144">
        <f t="shared" si="209"/>
        <v>149.29215435344511</v>
      </c>
      <c r="AP104">
        <f t="shared" si="210"/>
        <v>1188</v>
      </c>
      <c r="AQ104">
        <f t="shared" si="211"/>
        <v>149.29215435344511</v>
      </c>
      <c r="AS104" s="5">
        <f t="shared" si="285"/>
        <v>6.6982756349843218</v>
      </c>
      <c r="AT104" s="5">
        <f t="shared" si="212"/>
        <v>0.66232962931797468</v>
      </c>
      <c r="AU104" s="5">
        <f t="shared" si="286"/>
        <v>6.0359460056663474</v>
      </c>
      <c r="AV104" s="5">
        <f t="shared" si="213"/>
        <v>5.8359460056663472</v>
      </c>
      <c r="AW104" s="150">
        <f t="shared" si="287"/>
        <v>9.8880617252999167E-2</v>
      </c>
      <c r="AX104" s="150">
        <f t="shared" si="214"/>
        <v>6.2697301396833032</v>
      </c>
      <c r="AY104" s="150">
        <f t="shared" si="215"/>
        <v>1.1920175295418136</v>
      </c>
      <c r="AZ104" s="150">
        <f t="shared" si="288"/>
        <v>5.2597633711756364</v>
      </c>
      <c r="BA104" s="144">
        <f t="shared" si="216"/>
        <v>15.736951992595078</v>
      </c>
      <c r="BB104" s="5">
        <f t="shared" si="217"/>
        <v>0.31166151723581936</v>
      </c>
      <c r="BC104" s="5"/>
      <c r="BD104" s="150">
        <f t="shared" si="289"/>
        <v>0.48031401992979644</v>
      </c>
      <c r="BE104" s="150">
        <f t="shared" si="218"/>
        <v>1.4499761031216141</v>
      </c>
      <c r="BF104" s="150"/>
      <c r="BG104" s="456">
        <f t="shared" si="219"/>
        <v>4.6140311548224181E-3</v>
      </c>
      <c r="BH104" s="456">
        <f t="shared" si="220"/>
        <v>0.39576296804912542</v>
      </c>
      <c r="BI104" s="456">
        <f t="shared" si="221"/>
        <v>0.17890165684229212</v>
      </c>
      <c r="BJ104" s="456">
        <f t="shared" si="222"/>
        <v>4.2635382797153863E-2</v>
      </c>
      <c r="BK104">
        <f t="shared" si="223"/>
        <v>2.1569986963530925E-2</v>
      </c>
      <c r="BL104" s="144">
        <f t="shared" si="290"/>
        <v>200.47164380582305</v>
      </c>
      <c r="BM104" s="456">
        <f t="shared" si="224"/>
        <v>0.44474574241394965</v>
      </c>
      <c r="BN104" s="144">
        <f t="shared" si="291"/>
        <v>444.74574241394964</v>
      </c>
      <c r="BO104" s="456">
        <f t="shared" si="225"/>
        <v>0.73804499999999984</v>
      </c>
      <c r="BP104" s="456"/>
      <c r="BR104" s="144">
        <f t="shared" si="292"/>
        <v>738.04499999999985</v>
      </c>
      <c r="BS104" s="456">
        <f t="shared" si="226"/>
        <v>6.9210467322336263E-3</v>
      </c>
      <c r="BT104" s="456">
        <f t="shared" si="227"/>
        <v>6.3072920988712242E-2</v>
      </c>
      <c r="BU104" s="456">
        <f t="shared" si="228"/>
        <v>8.9099999999999985E-2</v>
      </c>
      <c r="BV104" s="456">
        <f>(BU104+(BS104+BT104)*(1+Ltc*(Ta-25)))/(1-(BS104+BT104)*Ltc*ThetaCa)</f>
        <v>0.17688297929743924</v>
      </c>
      <c r="BW104" s="456">
        <f t="shared" si="230"/>
        <v>1.0449550232805506E-3</v>
      </c>
      <c r="BX104" s="144">
        <f t="shared" si="293"/>
        <v>177.9279343207198</v>
      </c>
      <c r="BY104" s="150">
        <f t="shared" si="231"/>
        <v>1.5611903205404922</v>
      </c>
      <c r="BZ104" s="5">
        <f t="shared" si="294"/>
        <v>5.9399999999999995</v>
      </c>
      <c r="CA104" s="150">
        <f t="shared" si="295"/>
        <v>0.79187432209718933</v>
      </c>
      <c r="CB104" s="5">
        <f t="shared" si="296"/>
        <v>79.187432209718935</v>
      </c>
      <c r="CE104" s="59">
        <f t="shared" si="232"/>
        <v>-50</v>
      </c>
      <c r="CF104">
        <f t="shared" si="233"/>
        <v>-50</v>
      </c>
      <c r="CG104" s="150">
        <f t="shared" si="234"/>
        <v>0.89061298504550612</v>
      </c>
      <c r="CI104" s="147">
        <v>99</v>
      </c>
      <c r="CJ104" s="188">
        <f t="shared" si="297"/>
        <v>1.1879999999999999</v>
      </c>
      <c r="CK104" s="188"/>
      <c r="CL104" s="188">
        <f t="shared" si="235"/>
        <v>5.9399999999999995</v>
      </c>
      <c r="CM104" s="465">
        <f t="shared" si="236"/>
        <v>48</v>
      </c>
      <c r="CN104" s="149">
        <f t="shared" si="237"/>
        <v>5.4</v>
      </c>
      <c r="CO104" s="379">
        <f t="shared" si="238"/>
        <v>53.4</v>
      </c>
      <c r="CP104" s="379"/>
      <c r="CQ104" s="188">
        <f t="shared" si="239"/>
        <v>0.10112359550561799</v>
      </c>
      <c r="CR104" s="149">
        <f t="shared" si="240"/>
        <v>12.426067415730339</v>
      </c>
      <c r="CS104" s="149">
        <f t="shared" si="298"/>
        <v>5.9399999999999995</v>
      </c>
      <c r="CT104" s="188">
        <f t="shared" si="241"/>
        <v>2.4852134831460679</v>
      </c>
      <c r="CU104" s="188">
        <f t="shared" si="242"/>
        <v>5</v>
      </c>
      <c r="CV104" s="188">
        <f t="shared" si="243"/>
        <v>2.4269662921348316</v>
      </c>
      <c r="CW104" s="149">
        <f t="shared" si="244"/>
        <v>53.367196068129914</v>
      </c>
      <c r="CX104" s="460">
        <f t="shared" si="245"/>
        <v>5</v>
      </c>
      <c r="CY104" s="188">
        <f t="shared" si="246"/>
        <v>2.4474999999999998</v>
      </c>
      <c r="CZ104" s="188">
        <f t="shared" si="247"/>
        <v>0.61187499999999995</v>
      </c>
      <c r="DA104" s="188">
        <f t="shared" si="248"/>
        <v>5.4388888888888882</v>
      </c>
      <c r="DB104" s="172">
        <f t="shared" si="249"/>
        <v>350</v>
      </c>
      <c r="DC104" s="379">
        <f t="shared" si="299"/>
        <v>165.26838897751665</v>
      </c>
      <c r="DE104" s="188">
        <f t="shared" si="250"/>
        <v>1.1556982343499198</v>
      </c>
      <c r="DF104" s="150">
        <f t="shared" si="251"/>
        <v>2.5682182985553772</v>
      </c>
      <c r="DG104" s="150">
        <f t="shared" si="252"/>
        <v>0.51941493678648076</v>
      </c>
      <c r="DH104" s="150"/>
      <c r="DI104" s="150">
        <f t="shared" si="253"/>
        <v>2.2222222222222219</v>
      </c>
      <c r="DJ104" s="314">
        <f t="shared" si="300"/>
        <v>1069.2</v>
      </c>
      <c r="DK104" s="456">
        <f t="shared" si="254"/>
        <v>0.38888888888888884</v>
      </c>
      <c r="DM104" s="150">
        <f t="shared" si="255"/>
        <v>1.7478149624194042</v>
      </c>
      <c r="DN104" s="150">
        <f t="shared" si="256"/>
        <v>2.4474999999999998</v>
      </c>
      <c r="DO104" s="150">
        <f t="shared" si="257"/>
        <v>2.2722222222222221</v>
      </c>
      <c r="DQ104" s="314">
        <f t="shared" si="258"/>
        <v>1188</v>
      </c>
      <c r="DR104" s="144">
        <f t="shared" si="259"/>
        <v>165.26838897751665</v>
      </c>
      <c r="DT104">
        <f t="shared" si="260"/>
        <v>1188</v>
      </c>
      <c r="DU104">
        <f t="shared" si="261"/>
        <v>165.26838897751665</v>
      </c>
      <c r="DW104" s="5">
        <f t="shared" si="301"/>
        <v>6.0507638888888877</v>
      </c>
      <c r="DX104" s="5">
        <f t="shared" si="262"/>
        <v>0.61187499999999995</v>
      </c>
      <c r="DY104" s="5">
        <f t="shared" si="302"/>
        <v>5.4388888888888882</v>
      </c>
      <c r="DZ104" s="5">
        <f t="shared" si="263"/>
        <v>5.4388888888888882</v>
      </c>
      <c r="EA104" s="150">
        <f t="shared" si="303"/>
        <v>0.10112359550561799</v>
      </c>
      <c r="EB104" s="150">
        <f t="shared" si="264"/>
        <v>5.94</v>
      </c>
      <c r="EC104" s="150">
        <f t="shared" si="265"/>
        <v>1.0999999999999999</v>
      </c>
      <c r="ED104" s="150">
        <f t="shared" si="304"/>
        <v>5.4000000000000012</v>
      </c>
      <c r="EE104" s="144">
        <f t="shared" si="266"/>
        <v>14.538149999999998</v>
      </c>
      <c r="EF104" s="5">
        <f t="shared" si="267"/>
        <v>0.28044270833333318</v>
      </c>
      <c r="EG104" s="5"/>
      <c r="EH104" s="150">
        <f t="shared" si="305"/>
        <v>0.44935370255512525</v>
      </c>
      <c r="EI104" s="150">
        <f t="shared" si="268"/>
        <v>1.3397138998059748</v>
      </c>
      <c r="EJ104" s="150"/>
      <c r="EK104" s="456">
        <f t="shared" si="269"/>
        <v>4.0383749999999994E-3</v>
      </c>
      <c r="EL104" s="456">
        <f t="shared" si="270"/>
        <v>0.43200000000000011</v>
      </c>
      <c r="EM104" s="456">
        <f t="shared" si="271"/>
        <v>2.065854862218958E-2</v>
      </c>
      <c r="EN104" s="456">
        <f t="shared" si="272"/>
        <v>4.7127272727272733E-2</v>
      </c>
      <c r="EO104">
        <f t="shared" si="273"/>
        <v>2.1600000000000001E-2</v>
      </c>
      <c r="EP104" s="144">
        <f t="shared" si="306"/>
        <v>42.258548622189586</v>
      </c>
      <c r="EQ104" s="456">
        <f t="shared" si="274"/>
        <v>0.52702024295624128</v>
      </c>
      <c r="ER104" s="144">
        <f t="shared" si="307"/>
        <v>527.0202429562413</v>
      </c>
      <c r="ES104" s="456">
        <f t="shared" si="308"/>
        <v>0.73804499999999984</v>
      </c>
      <c r="ET104" s="456"/>
      <c r="EV104" s="144">
        <f t="shared" si="309"/>
        <v>738.04499999999985</v>
      </c>
      <c r="EW104" s="456">
        <f t="shared" si="275"/>
        <v>6.0575624999999996E-3</v>
      </c>
      <c r="EX104" s="456">
        <f t="shared" si="276"/>
        <v>5.3845000000000004E-2</v>
      </c>
      <c r="EY104" s="456">
        <f t="shared" si="277"/>
        <v>0.16453232685410416</v>
      </c>
      <c r="EZ104" s="456">
        <f t="shared" si="278"/>
        <v>0.23996144880889336</v>
      </c>
      <c r="FA104" s="456">
        <f t="shared" si="279"/>
        <v>9.8999999999999999E-4</v>
      </c>
      <c r="FB104" s="144">
        <f t="shared" si="310"/>
        <v>240.95144880889336</v>
      </c>
      <c r="FC104" s="150">
        <f t="shared" si="311"/>
        <v>1.5060166917651345</v>
      </c>
      <c r="FD104" s="5">
        <f t="shared" si="312"/>
        <v>5.9399999999999995</v>
      </c>
      <c r="FE104" s="150">
        <f t="shared" si="313"/>
        <v>0.79774196673092301</v>
      </c>
      <c r="FF104" s="5">
        <f t="shared" si="314"/>
        <v>79.774196673092305</v>
      </c>
      <c r="FI104" s="59">
        <f t="shared" si="280"/>
        <v>-50</v>
      </c>
      <c r="FJ104">
        <f t="shared" si="281"/>
        <v>-50</v>
      </c>
      <c r="FL104">
        <f t="shared" si="282"/>
        <v>0.898876404494382</v>
      </c>
    </row>
    <row r="105" spans="5:168">
      <c r="E105" s="147">
        <v>100</v>
      </c>
      <c r="F105" s="188">
        <f>IF(PLOT_TYPE=1, E105/100*Iout_max, min_I*EXP(N105*rr/100))</f>
        <v>1.2</v>
      </c>
      <c r="G105" s="188"/>
      <c r="H105" s="188">
        <f>F105*Vout</f>
        <v>6</v>
      </c>
      <c r="I105" s="465">
        <f t="shared" si="184"/>
        <v>47.932636920285745</v>
      </c>
      <c r="J105" s="149">
        <f t="shared" si="185"/>
        <v>5.4404178478285523</v>
      </c>
      <c r="K105" s="149">
        <f t="shared" si="186"/>
        <v>53.440417847828556</v>
      </c>
      <c r="L105" s="379"/>
      <c r="M105" s="188">
        <f t="shared" si="187"/>
        <v>0.10192572856833934</v>
      </c>
      <c r="N105" s="149">
        <f>M105*I105*(Isw_max+VIN_nom/Lmag*ILIM_delay)*0.5*Efficiency</f>
        <v>12.507056487172623</v>
      </c>
      <c r="O105" s="149">
        <f t="shared" si="284"/>
        <v>6</v>
      </c>
      <c r="P105" s="188">
        <f>N105/Vout</f>
        <v>2.5014112974345246</v>
      </c>
      <c r="Q105" s="188">
        <f t="shared" si="190"/>
        <v>5</v>
      </c>
      <c r="R105" s="188">
        <f>Isw_max/2*I105*Nps*(Q105+Vfwd1+F105/FL105*Rdcr_sec)/Q105/(I105+Nps*(Q105+Vfwd1+F105/FL105*Rdcr_sec))</f>
        <v>2.4427844701509032</v>
      </c>
      <c r="S105" s="149">
        <f t="shared" si="192"/>
        <v>52.290901235574331</v>
      </c>
      <c r="T105" s="460">
        <f>MIN(Vout, S105)</f>
        <v>5</v>
      </c>
      <c r="U105" s="188">
        <f t="shared" si="194"/>
        <v>2.672384764095348</v>
      </c>
      <c r="V105" s="188">
        <f>L*U105/I105*1000000</f>
        <v>0.66903511322516673</v>
      </c>
      <c r="W105" s="188">
        <f t="shared" si="196"/>
        <v>5.8945136322467961</v>
      </c>
      <c r="X105" s="172">
        <f t="shared" si="197"/>
        <v>350</v>
      </c>
      <c r="Y105" s="379">
        <f>MIN(1/(V105+W105+0.2)*1000, 350)</f>
        <v>147.85137767647146</v>
      </c>
      <c r="AA105" s="188">
        <f t="shared" si="199"/>
        <v>1.1633013384017137</v>
      </c>
      <c r="AB105" s="150">
        <f>L*AA105/J105*1000000</f>
        <v>2.5659088054040375</v>
      </c>
      <c r="AC105" s="150">
        <f>0.5*AB105*AA105*Nps*X105/1000</f>
        <v>0.52236190082007028</v>
      </c>
      <c r="AD105" s="150"/>
      <c r="AE105" s="150">
        <f t="shared" si="202"/>
        <v>2.2057129315516804</v>
      </c>
      <c r="AF105" s="314">
        <f>MAX(12, F105/(0.5*AE105/1000000*Isw_min*Nps)/1000)</f>
        <v>1088.0835695657104</v>
      </c>
      <c r="AG105" s="456">
        <f t="shared" si="204"/>
        <v>0.3859997630215441</v>
      </c>
      <c r="AI105" s="150">
        <f t="shared" si="205"/>
        <v>1.7631818393912673</v>
      </c>
      <c r="AJ105" s="150">
        <f>MAX(IF(F105&gt;AC105,U105,AI105),Isw_min)</f>
        <v>2.672384764095348</v>
      </c>
      <c r="AK105" s="150">
        <f>IF(F105&gt;AG105, (AJ105-Isw_min)/1.08*0.8+1.2, AF105*0.2/350+1)</f>
        <v>2.4388035289595171</v>
      </c>
      <c r="AM105" s="314">
        <f t="shared" si="208"/>
        <v>1200</v>
      </c>
      <c r="AN105" s="144">
        <f t="shared" si="209"/>
        <v>147.85137767647146</v>
      </c>
      <c r="AP105">
        <f t="shared" si="210"/>
        <v>1200</v>
      </c>
      <c r="AQ105" s="3">
        <f t="shared" si="211"/>
        <v>147.85137767647146</v>
      </c>
      <c r="AS105" s="5">
        <f t="shared" si="285"/>
        <v>6.7635487454719634</v>
      </c>
      <c r="AT105" s="5">
        <f t="shared" si="212"/>
        <v>0.66903511322516673</v>
      </c>
      <c r="AU105" s="5">
        <f t="shared" si="286"/>
        <v>6.0945136322467963</v>
      </c>
      <c r="AV105" s="5">
        <f t="shared" si="213"/>
        <v>5.8945136322467961</v>
      </c>
      <c r="AW105" s="150">
        <f t="shared" si="287"/>
        <v>9.8917763204274978E-2</v>
      </c>
      <c r="AX105" s="150">
        <f t="shared" si="214"/>
        <v>6.3354081676280734</v>
      </c>
      <c r="AY105" s="150">
        <f t="shared" si="215"/>
        <v>1.204019220404926</v>
      </c>
      <c r="AZ105" s="150">
        <f t="shared" si="288"/>
        <v>5.2618829170330024</v>
      </c>
      <c r="BA105" s="144">
        <f t="shared" si="216"/>
        <v>16.056842717403999</v>
      </c>
      <c r="BB105" s="5">
        <f t="shared" si="217"/>
        <v>0.31786868112337846</v>
      </c>
      <c r="BC105" s="5"/>
      <c r="BD105" s="150">
        <f t="shared" si="289"/>
        <v>0.4852611279138902</v>
      </c>
      <c r="BE105" s="150">
        <f t="shared" si="218"/>
        <v>1.4646052073939204</v>
      </c>
      <c r="BF105" s="150"/>
      <c r="BG105" s="456">
        <f t="shared" si="219"/>
        <v>4.7095672452852188E-3</v>
      </c>
      <c r="BH105" s="456">
        <f t="shared" si="220"/>
        <v>0.39590909618370546</v>
      </c>
      <c r="BI105" s="456">
        <f t="shared" si="221"/>
        <v>0.17717266010825869</v>
      </c>
      <c r="BJ105" s="456">
        <f t="shared" si="222"/>
        <v>4.2224553518039713E-2</v>
      </c>
      <c r="BK105">
        <f t="shared" si="223"/>
        <v>2.1569686614128586E-2</v>
      </c>
      <c r="BL105" s="144">
        <f t="shared" si="290"/>
        <v>198.74234672238728</v>
      </c>
      <c r="BM105" s="456">
        <f t="shared" si="224"/>
        <v>0.4446123182540071</v>
      </c>
      <c r="BN105" s="144">
        <f t="shared" si="291"/>
        <v>444.61231825400711</v>
      </c>
      <c r="BO105" s="456">
        <f t="shared" si="225"/>
        <v>0.74549999999999994</v>
      </c>
      <c r="BP105" s="456"/>
      <c r="BR105" s="144">
        <f t="shared" si="292"/>
        <v>745.49999999999989</v>
      </c>
      <c r="BS105" s="456">
        <f t="shared" si="226"/>
        <v>7.0643508679278273E-3</v>
      </c>
      <c r="BT105" s="456">
        <f t="shared" si="227"/>
        <v>6.4352052405761667E-2</v>
      </c>
      <c r="BU105" s="456">
        <f t="shared" si="228"/>
        <v>0.09</v>
      </c>
      <c r="BV105" s="456">
        <f>(BU105+(BS105+BT105)*(1+Ltc*(Ta-25)))/(1-(BS105+BT105)*Ltc*ThetaCa)</f>
        <v>0.17958235010223403</v>
      </c>
      <c r="BW105" s="456">
        <f t="shared" si="230"/>
        <v>1.0559013612713457E-3</v>
      </c>
      <c r="BX105" s="144">
        <f t="shared" si="293"/>
        <v>180.63825146350538</v>
      </c>
      <c r="BY105" s="150">
        <f>SUM(BM105,BO105:BQ105,BV105, BW105)+BK105+BI105</f>
        <v>1.5694929164398996</v>
      </c>
      <c r="BZ105" s="5">
        <f t="shared" si="294"/>
        <v>6</v>
      </c>
      <c r="CA105" s="150">
        <f>BZ105/(BZ105+BY105)</f>
        <v>0.79265547457859742</v>
      </c>
      <c r="CB105" s="5">
        <f>CA105*100</f>
        <v>79.265547457859739</v>
      </c>
      <c r="CE105" s="59">
        <f t="shared" si="232"/>
        <v>-50</v>
      </c>
      <c r="CF105">
        <f t="shared" si="233"/>
        <v>-50</v>
      </c>
      <c r="CG105" s="150">
        <f t="shared" si="234"/>
        <v>0.89069561923999496</v>
      </c>
      <c r="CI105" s="147">
        <v>100</v>
      </c>
      <c r="CJ105" s="188">
        <f t="shared" si="297"/>
        <v>1.2</v>
      </c>
      <c r="CK105" s="188"/>
      <c r="CL105" s="188">
        <f t="shared" si="235"/>
        <v>6</v>
      </c>
      <c r="CM105" s="465">
        <f t="shared" si="236"/>
        <v>48</v>
      </c>
      <c r="CN105" s="149">
        <f t="shared" si="237"/>
        <v>5.4</v>
      </c>
      <c r="CO105" s="379">
        <f t="shared" si="238"/>
        <v>53.4</v>
      </c>
      <c r="CP105" s="379"/>
      <c r="CQ105" s="188">
        <f t="shared" si="239"/>
        <v>0.10112359550561799</v>
      </c>
      <c r="CR105" s="149">
        <f t="shared" si="240"/>
        <v>12.426067415730339</v>
      </c>
      <c r="CS105" s="149">
        <f t="shared" si="298"/>
        <v>6</v>
      </c>
      <c r="CT105" s="188">
        <f t="shared" si="241"/>
        <v>2.4852134831460679</v>
      </c>
      <c r="CU105" s="188">
        <f t="shared" si="242"/>
        <v>5</v>
      </c>
      <c r="CV105" s="188">
        <f t="shared" si="243"/>
        <v>2.4269662921348316</v>
      </c>
      <c r="CW105" s="149">
        <f t="shared" si="244"/>
        <v>52.363885257996429</v>
      </c>
      <c r="CX105" s="460">
        <f t="shared" si="245"/>
        <v>5</v>
      </c>
      <c r="CY105" s="188">
        <f t="shared" si="246"/>
        <v>2.4722222222222219</v>
      </c>
      <c r="CZ105" s="188">
        <f t="shared" si="247"/>
        <v>0.61805555555555547</v>
      </c>
      <c r="DA105" s="188">
        <f t="shared" si="248"/>
        <v>5.4938271604938258</v>
      </c>
      <c r="DB105" s="172">
        <f t="shared" si="249"/>
        <v>350</v>
      </c>
      <c r="DC105" s="379">
        <f t="shared" si="299"/>
        <v>163.61570508774147</v>
      </c>
      <c r="DE105" s="188">
        <f t="shared" si="250"/>
        <v>1.1556982343499198</v>
      </c>
      <c r="DF105" s="150">
        <f t="shared" si="251"/>
        <v>2.5682182985553772</v>
      </c>
      <c r="DG105" s="150">
        <f t="shared" si="252"/>
        <v>0.51941493678648076</v>
      </c>
      <c r="DH105" s="150"/>
      <c r="DI105" s="150">
        <f t="shared" si="253"/>
        <v>2.2222222222222219</v>
      </c>
      <c r="DJ105" s="314">
        <f t="shared" si="300"/>
        <v>1080</v>
      </c>
      <c r="DK105" s="456">
        <f t="shared" si="254"/>
        <v>0.38888888888888884</v>
      </c>
      <c r="DM105" s="150">
        <f t="shared" si="255"/>
        <v>1.7566201313073597</v>
      </c>
      <c r="DN105" s="150">
        <f t="shared" si="256"/>
        <v>2.4722222222222219</v>
      </c>
      <c r="DO105" s="150">
        <f t="shared" si="257"/>
        <v>2.2905349794238679</v>
      </c>
      <c r="DQ105" s="314">
        <f t="shared" si="258"/>
        <v>1200</v>
      </c>
      <c r="DR105" s="144">
        <f t="shared" si="259"/>
        <v>163.61570508774147</v>
      </c>
      <c r="DT105">
        <f t="shared" si="260"/>
        <v>1200</v>
      </c>
      <c r="DU105" s="3">
        <f t="shared" si="261"/>
        <v>163.61570508774147</v>
      </c>
      <c r="DW105" s="5">
        <f t="shared" si="301"/>
        <v>6.111882716049382</v>
      </c>
      <c r="DX105" s="5">
        <f t="shared" si="262"/>
        <v>0.61805555555555547</v>
      </c>
      <c r="DY105" s="5">
        <f t="shared" si="302"/>
        <v>5.4938271604938267</v>
      </c>
      <c r="DZ105" s="5">
        <f t="shared" si="263"/>
        <v>5.4938271604938258</v>
      </c>
      <c r="EA105" s="150">
        <f t="shared" si="303"/>
        <v>0.10112359550561797</v>
      </c>
      <c r="EB105" s="150">
        <f t="shared" si="264"/>
        <v>6</v>
      </c>
      <c r="EC105" s="150">
        <f t="shared" si="265"/>
        <v>1.1111111111111109</v>
      </c>
      <c r="ED105" s="150">
        <f t="shared" si="304"/>
        <v>5.4000000000000012</v>
      </c>
      <c r="EE105" s="144">
        <f t="shared" si="266"/>
        <v>14.833333333333332</v>
      </c>
      <c r="EF105" s="5">
        <f t="shared" si="267"/>
        <v>0.28613683127572009</v>
      </c>
      <c r="EG105" s="5"/>
      <c r="EH105" s="150">
        <f t="shared" si="305"/>
        <v>0.45389262884356085</v>
      </c>
      <c r="EI105" s="150">
        <f t="shared" si="268"/>
        <v>1.3532463634403784</v>
      </c>
      <c r="EJ105" s="150"/>
      <c r="EK105" s="456">
        <f t="shared" si="269"/>
        <v>4.1203703703703697E-3</v>
      </c>
      <c r="EL105" s="456">
        <f t="shared" si="270"/>
        <v>0.432</v>
      </c>
      <c r="EM105" s="456">
        <f t="shared" si="271"/>
        <v>2.0451963135967682E-2</v>
      </c>
      <c r="EN105" s="456">
        <f t="shared" si="272"/>
        <v>4.665600000000001E-2</v>
      </c>
      <c r="EO105">
        <f t="shared" si="273"/>
        <v>2.1600000000000001E-2</v>
      </c>
      <c r="EP105" s="144">
        <f t="shared" si="306"/>
        <v>42.051963135967682</v>
      </c>
      <c r="EQ105" s="456">
        <f t="shared" si="274"/>
        <v>0.52645623415958021</v>
      </c>
      <c r="ER105" s="144">
        <f t="shared" si="307"/>
        <v>526.45623415958016</v>
      </c>
      <c r="ES105" s="456">
        <f t="shared" si="308"/>
        <v>0.74549999999999994</v>
      </c>
      <c r="ET105" s="456"/>
      <c r="EV105" s="144">
        <f t="shared" si="309"/>
        <v>745.49999999999989</v>
      </c>
      <c r="EW105" s="456">
        <f t="shared" si="275"/>
        <v>6.1805555555555546E-3</v>
      </c>
      <c r="EX105" s="456">
        <f t="shared" si="276"/>
        <v>5.4938271604938263E-2</v>
      </c>
      <c r="EY105" s="456">
        <f t="shared" si="277"/>
        <v>0.16453232685410416</v>
      </c>
      <c r="EZ105" s="456">
        <f t="shared" si="278"/>
        <v>0.24150049067300589</v>
      </c>
      <c r="FA105" s="456">
        <f t="shared" si="279"/>
        <v>1E-3</v>
      </c>
      <c r="FB105" s="144">
        <f t="shared" si="310"/>
        <v>242.50049067300588</v>
      </c>
      <c r="FC105" s="150">
        <f t="shared" si="311"/>
        <v>1.5144567248325858</v>
      </c>
      <c r="FD105" s="5">
        <f t="shared" si="312"/>
        <v>6</v>
      </c>
      <c r="FE105" s="150">
        <f t="shared" si="313"/>
        <v>0.7984609160329782</v>
      </c>
      <c r="FF105" s="5">
        <f t="shared" si="314"/>
        <v>79.846091603297822</v>
      </c>
      <c r="FI105" s="59">
        <f t="shared" si="280"/>
        <v>-50</v>
      </c>
      <c r="FJ105">
        <f t="shared" si="281"/>
        <v>-50</v>
      </c>
      <c r="FL105">
        <f t="shared" si="282"/>
        <v>0.898876404494382</v>
      </c>
    </row>
    <row r="106" spans="5:168">
      <c r="E106" s="147"/>
      <c r="F106" s="188"/>
      <c r="G106" s="188"/>
      <c r="H106" s="188"/>
      <c r="I106" s="465"/>
      <c r="J106" s="379"/>
      <c r="K106" s="379"/>
      <c r="L106" s="379"/>
      <c r="M106" s="188"/>
      <c r="N106" s="149"/>
      <c r="O106" s="149"/>
      <c r="P106" s="188"/>
      <c r="Q106" s="188"/>
      <c r="R106" s="188"/>
      <c r="S106" s="149"/>
      <c r="T106" s="149"/>
      <c r="U106" s="188"/>
      <c r="V106" s="188"/>
      <c r="W106" s="188"/>
      <c r="X106" s="172"/>
      <c r="Y106" s="379"/>
      <c r="AA106" s="188"/>
      <c r="AB106" s="150"/>
      <c r="AC106" s="150"/>
      <c r="AD106" s="150"/>
      <c r="AE106" s="150"/>
      <c r="AF106" s="314"/>
      <c r="AI106" s="150"/>
      <c r="AJ106" s="150"/>
      <c r="AK106" s="150"/>
      <c r="AM106" s="314"/>
      <c r="AN106" s="144"/>
      <c r="AQ106" s="3"/>
      <c r="AS106" s="5"/>
      <c r="AT106" s="5"/>
      <c r="AU106" s="5"/>
      <c r="AV106" s="5"/>
      <c r="AW106" s="150"/>
      <c r="AX106" s="150"/>
      <c r="AY106" s="150"/>
      <c r="AZ106" s="150"/>
      <c r="BA106" s="144"/>
      <c r="BB106" s="5"/>
      <c r="BC106" s="5"/>
      <c r="BD106" s="150"/>
      <c r="BE106" s="150"/>
      <c r="BF106" s="150"/>
      <c r="BG106" s="456"/>
      <c r="BH106" s="456"/>
      <c r="BI106" s="456"/>
      <c r="BJ106" s="456"/>
      <c r="BN106" s="144"/>
      <c r="BO106" s="456"/>
      <c r="BP106" s="456"/>
      <c r="BR106" s="144"/>
      <c r="BS106" s="456"/>
      <c r="BT106" s="456"/>
      <c r="BU106" s="456"/>
      <c r="BV106" s="456"/>
      <c r="BW106" s="456"/>
      <c r="BX106" s="144"/>
      <c r="BY106" s="150"/>
      <c r="BZ106" s="5"/>
      <c r="CA106" s="150"/>
      <c r="CB106" s="5"/>
      <c r="CE106" s="59"/>
      <c r="CI106" s="147"/>
      <c r="CJ106" s="188"/>
      <c r="CK106" s="188"/>
      <c r="CL106" s="188"/>
      <c r="CM106" s="465"/>
      <c r="CN106" s="379"/>
      <c r="CO106" s="379"/>
      <c r="CP106" s="379"/>
      <c r="CQ106" s="188"/>
      <c r="CR106" s="149"/>
      <c r="CS106" s="149"/>
      <c r="CT106" s="188"/>
      <c r="CU106" s="188"/>
      <c r="CV106" s="188"/>
      <c r="CW106" s="149"/>
      <c r="CX106" s="149"/>
      <c r="CY106" s="188"/>
      <c r="CZ106" s="188"/>
      <c r="DA106" s="188"/>
      <c r="DB106" s="172"/>
      <c r="DC106" s="379"/>
      <c r="DE106" s="188"/>
      <c r="DF106" s="150"/>
      <c r="DG106" s="150"/>
      <c r="DH106" s="150"/>
      <c r="DI106" s="150"/>
      <c r="DJ106" s="314"/>
      <c r="DM106" s="150"/>
      <c r="DN106" s="150"/>
      <c r="DO106" s="150"/>
      <c r="DQ106" s="314"/>
      <c r="DR106" s="144"/>
      <c r="DU106" s="3"/>
      <c r="DW106" s="5"/>
      <c r="DX106" s="5"/>
      <c r="DY106" s="5"/>
      <c r="DZ106" s="5"/>
      <c r="EA106" s="150"/>
      <c r="EB106" s="150"/>
      <c r="EC106" s="150"/>
      <c r="ED106" s="150"/>
      <c r="EE106" s="144"/>
      <c r="EF106" s="5"/>
      <c r="EG106" s="5"/>
      <c r="EH106" s="150"/>
      <c r="EI106" s="150"/>
      <c r="EJ106" s="150"/>
      <c r="EK106" s="456"/>
      <c r="EL106" s="456"/>
      <c r="EM106" s="456"/>
      <c r="EN106" s="456"/>
      <c r="ER106" s="144"/>
      <c r="ES106" s="456"/>
      <c r="ET106" s="456"/>
      <c r="EV106" s="144"/>
      <c r="EW106" s="456"/>
      <c r="EX106" s="456"/>
      <c r="EY106" s="456"/>
      <c r="EZ106" s="456"/>
      <c r="FA106" s="456"/>
      <c r="FB106" s="144"/>
      <c r="FC106" s="150"/>
      <c r="FD106" s="5"/>
      <c r="FE106" s="150"/>
      <c r="FF106" s="5"/>
      <c r="FI106" s="59"/>
      <c r="FL106" t="e">
        <f>MIN(SQRT(2*L*DJ106*1000*CJ106*CN106)/CM106, 1-EA106)</f>
        <v>#DIV/0!</v>
      </c>
    </row>
    <row r="107" spans="5:168">
      <c r="H107" s="188"/>
      <c r="I107" s="465"/>
      <c r="J107" s="379"/>
      <c r="K107" s="379"/>
      <c r="L107" s="379"/>
      <c r="M107" s="188"/>
      <c r="N107" s="149"/>
      <c r="O107" s="149"/>
      <c r="P107" s="188"/>
      <c r="Q107" s="625"/>
      <c r="R107" s="188"/>
      <c r="S107" s="149"/>
      <c r="T107" s="149"/>
      <c r="U107" s="188"/>
      <c r="V107" s="188"/>
      <c r="W107" s="188"/>
      <c r="X107" s="172"/>
      <c r="Y107" s="379"/>
      <c r="AA107" s="188"/>
      <c r="AB107" s="150"/>
      <c r="AC107" s="150"/>
      <c r="AD107" s="150"/>
      <c r="AE107" s="150"/>
      <c r="AF107" s="314"/>
      <c r="AI107" s="150"/>
      <c r="AJ107" s="150"/>
      <c r="AK107" s="150"/>
      <c r="AM107" s="314"/>
      <c r="AN107" s="144"/>
      <c r="AS107" s="5"/>
      <c r="AT107" s="5"/>
      <c r="AU107" s="5"/>
      <c r="AV107" s="5"/>
      <c r="AW107" s="150"/>
      <c r="AX107" s="150"/>
      <c r="AY107" s="150"/>
      <c r="AZ107" s="150"/>
      <c r="BA107" s="144"/>
      <c r="BB107" s="5"/>
      <c r="BD107" s="150"/>
      <c r="BE107" s="150"/>
      <c r="BG107" s="456"/>
      <c r="BH107" s="456"/>
      <c r="BI107" s="456"/>
      <c r="BJ107" s="456"/>
      <c r="BN107" s="144"/>
      <c r="BO107" s="456"/>
      <c r="BR107" s="144"/>
      <c r="BS107" s="456"/>
      <c r="BT107" s="456"/>
      <c r="BU107" s="456"/>
      <c r="BV107" s="456"/>
      <c r="BW107" s="456"/>
      <c r="BX107" s="144"/>
      <c r="BY107" s="150"/>
      <c r="BZ107" s="5"/>
      <c r="CA107" s="150"/>
      <c r="CB107" s="5"/>
      <c r="CE107" s="59"/>
      <c r="CL107" s="188"/>
      <c r="CM107" s="465"/>
      <c r="CN107" s="379"/>
      <c r="CO107" s="379"/>
      <c r="CP107" s="379"/>
      <c r="CQ107" s="188"/>
      <c r="CR107" s="149"/>
      <c r="CS107" s="149"/>
      <c r="CT107" s="188"/>
      <c r="CU107" s="625"/>
      <c r="CV107" s="188"/>
      <c r="CW107" s="149"/>
      <c r="CX107" s="149"/>
      <c r="CY107" s="188"/>
      <c r="CZ107" s="188"/>
      <c r="DA107" s="188"/>
      <c r="DB107" s="172"/>
      <c r="DC107" s="379"/>
      <c r="DE107" s="188"/>
      <c r="DF107" s="150"/>
      <c r="DG107" s="150"/>
      <c r="DH107" s="150"/>
      <c r="DI107" s="150"/>
      <c r="DJ107" s="314"/>
      <c r="DM107" s="150"/>
      <c r="DN107" s="150"/>
      <c r="DO107" s="150"/>
      <c r="DQ107" s="314"/>
      <c r="DR107" s="144"/>
      <c r="DW107" s="5"/>
      <c r="DX107" s="5"/>
      <c r="DY107" s="5"/>
      <c r="DZ107" s="5"/>
      <c r="EA107" s="150"/>
      <c r="EB107" s="150"/>
      <c r="EC107" s="150"/>
      <c r="ED107" s="150"/>
      <c r="EE107" s="144"/>
      <c r="EF107" s="5"/>
      <c r="EH107" s="150"/>
      <c r="EI107" s="150"/>
      <c r="EK107" s="456"/>
      <c r="EL107" s="456"/>
      <c r="EM107" s="456"/>
      <c r="EN107" s="456"/>
      <c r="ER107" s="144"/>
      <c r="ES107" s="456"/>
      <c r="EV107" s="144"/>
      <c r="EW107" s="456"/>
      <c r="EX107" s="456"/>
      <c r="EY107" s="456"/>
      <c r="EZ107" s="456"/>
      <c r="FA107" s="456"/>
      <c r="FB107" s="144"/>
      <c r="FC107" s="150"/>
      <c r="FD107" s="5"/>
      <c r="FE107" s="150"/>
      <c r="FF107" s="5"/>
      <c r="FI107" s="59"/>
      <c r="FL107" t="e">
        <f>MIN(SQRT(2*L*DJ107*1000*CJ107*CN107)/CM107, 1-EA107)</f>
        <v>#DIV/0!</v>
      </c>
    </row>
    <row r="108" spans="5:168">
      <c r="E108" s="159" t="s">
        <v>434</v>
      </c>
      <c r="H108" s="188"/>
      <c r="I108" s="465"/>
      <c r="J108" s="379"/>
      <c r="K108" s="379"/>
      <c r="L108" s="379"/>
      <c r="M108" s="188"/>
      <c r="N108" s="149">
        <f>Efficiency</f>
        <v>1</v>
      </c>
      <c r="O108" s="149"/>
      <c r="P108" s="188"/>
      <c r="Q108" s="188"/>
      <c r="R108" s="188"/>
      <c r="S108" s="149"/>
      <c r="T108" s="149"/>
      <c r="U108" s="188"/>
      <c r="V108" s="188"/>
      <c r="W108" s="188"/>
      <c r="X108" s="172"/>
      <c r="Y108" s="379"/>
      <c r="AA108" s="188"/>
      <c r="AB108" s="150"/>
      <c r="AC108" s="150"/>
      <c r="AD108" s="150"/>
      <c r="AE108" s="150"/>
      <c r="AF108" s="314"/>
      <c r="AI108" s="150"/>
      <c r="AJ108" s="150"/>
      <c r="AK108" s="150"/>
      <c r="AM108" s="314"/>
      <c r="AN108" s="144"/>
      <c r="AS108" s="5"/>
      <c r="AT108" s="5"/>
      <c r="AU108" s="5"/>
      <c r="AV108" s="5"/>
      <c r="AW108" s="150"/>
      <c r="AX108" s="150"/>
      <c r="AY108" s="150"/>
      <c r="AZ108" s="150"/>
      <c r="BA108" s="144"/>
      <c r="BB108" s="5"/>
      <c r="BD108" s="150"/>
      <c r="BE108" s="150"/>
      <c r="BG108" s="456"/>
      <c r="BH108" s="456"/>
      <c r="BI108" s="456"/>
      <c r="BJ108" s="456"/>
      <c r="BN108" s="144"/>
      <c r="BO108" s="456"/>
      <c r="BR108" s="144"/>
      <c r="BS108" s="456"/>
      <c r="BT108" s="456"/>
      <c r="BU108" s="456"/>
      <c r="BV108" s="456"/>
      <c r="BW108" s="456"/>
      <c r="BX108" s="144"/>
      <c r="BY108" s="150"/>
      <c r="BZ108" s="5"/>
      <c r="CA108" s="150"/>
      <c r="CB108" s="5"/>
      <c r="CE108" s="59">
        <f>Ioutmax_Vinmin</f>
        <v>1.6950940906287801</v>
      </c>
      <c r="CI108" s="159" t="s">
        <v>434</v>
      </c>
      <c r="CL108" s="188"/>
      <c r="CM108" s="465"/>
      <c r="CN108" s="379"/>
      <c r="CO108" s="379"/>
      <c r="CP108" s="379"/>
      <c r="CQ108" s="188"/>
      <c r="CR108" s="149">
        <f>Efficiency</f>
        <v>1</v>
      </c>
      <c r="CS108" s="149"/>
      <c r="CT108" s="188"/>
      <c r="CU108" s="188"/>
      <c r="CV108" s="188"/>
      <c r="CW108" s="149"/>
      <c r="CX108" s="149"/>
      <c r="CY108" s="188"/>
      <c r="CZ108" s="188"/>
      <c r="DA108" s="188"/>
      <c r="DB108" s="172"/>
      <c r="DC108" s="379"/>
      <c r="DE108" s="188"/>
      <c r="DF108" s="150"/>
      <c r="DG108" s="150"/>
      <c r="DH108" s="150"/>
      <c r="DI108" s="150"/>
      <c r="DJ108" s="314"/>
      <c r="DM108" s="150"/>
      <c r="DN108" s="150"/>
      <c r="DO108" s="150"/>
      <c r="DQ108" s="314"/>
      <c r="DR108" s="144"/>
      <c r="DW108" s="5"/>
      <c r="DX108" s="5"/>
      <c r="DY108" s="5"/>
      <c r="DZ108" s="5"/>
      <c r="EA108" s="150"/>
      <c r="EB108" s="150"/>
      <c r="EC108" s="150"/>
      <c r="ED108" s="150"/>
      <c r="EE108" s="144"/>
      <c r="EF108" s="5"/>
      <c r="EH108" s="150"/>
      <c r="EI108" s="150"/>
      <c r="EK108" s="456"/>
      <c r="EL108" s="456"/>
      <c r="EM108" s="456"/>
      <c r="EN108" s="456"/>
      <c r="ER108" s="144"/>
      <c r="ES108" s="456"/>
      <c r="EV108" s="144"/>
      <c r="EW108" s="456"/>
      <c r="EX108" s="456"/>
      <c r="EY108" s="456"/>
      <c r="EZ108" s="456"/>
      <c r="FA108" s="456"/>
      <c r="FB108" s="144"/>
      <c r="FC108" s="150"/>
      <c r="FD108" s="5"/>
      <c r="FE108" s="150"/>
      <c r="FF108" s="5"/>
      <c r="FI108" s="59">
        <f>Ioutmax_Vinmin</f>
        <v>1.6950940906287801</v>
      </c>
      <c r="FL108" t="e">
        <f>MIN(SQRT(2*L*DJ108*1000*CJ108*CN108)/CM108, 1-EA108)</f>
        <v>#DIV/0!</v>
      </c>
    </row>
    <row r="109" spans="5:168" ht="45" customHeight="1" thickBot="1">
      <c r="E109" s="211" t="s">
        <v>25</v>
      </c>
      <c r="F109" s="380" t="s">
        <v>194</v>
      </c>
      <c r="G109" s="230"/>
      <c r="H109" s="455" t="s">
        <v>223</v>
      </c>
      <c r="I109" s="212" t="s">
        <v>412</v>
      </c>
      <c r="J109" s="213" t="s">
        <v>418</v>
      </c>
      <c r="K109" s="455" t="s">
        <v>413</v>
      </c>
      <c r="L109" s="455"/>
      <c r="M109" s="214" t="s">
        <v>48</v>
      </c>
      <c r="N109" s="455" t="s">
        <v>402</v>
      </c>
      <c r="O109" s="455" t="s">
        <v>656</v>
      </c>
      <c r="P109" s="455" t="s">
        <v>403</v>
      </c>
      <c r="Q109" s="455" t="s">
        <v>433</v>
      </c>
      <c r="R109" s="455" t="s">
        <v>654</v>
      </c>
      <c r="S109" s="455" t="s">
        <v>657</v>
      </c>
      <c r="T109" s="455" t="s">
        <v>655</v>
      </c>
      <c r="U109" s="455" t="s">
        <v>414</v>
      </c>
      <c r="V109" s="455" t="s">
        <v>466</v>
      </c>
      <c r="W109" s="455" t="s">
        <v>465</v>
      </c>
      <c r="X109" s="469" t="s">
        <v>420</v>
      </c>
      <c r="Y109" s="466" t="s">
        <v>425</v>
      </c>
      <c r="AA109" s="215" t="s">
        <v>417</v>
      </c>
      <c r="AB109" s="215" t="s">
        <v>464</v>
      </c>
      <c r="AC109" s="215" t="s">
        <v>423</v>
      </c>
      <c r="AD109" s="468"/>
      <c r="AE109" s="215" t="s">
        <v>463</v>
      </c>
      <c r="AF109" s="215" t="s">
        <v>681</v>
      </c>
      <c r="AG109" s="215" t="s">
        <v>427</v>
      </c>
      <c r="AH109" s="468"/>
      <c r="AI109" s="215" t="s">
        <v>429</v>
      </c>
      <c r="AJ109" s="470" t="s">
        <v>430</v>
      </c>
      <c r="AK109" s="470" t="s">
        <v>431</v>
      </c>
      <c r="AM109" s="467" t="s">
        <v>275</v>
      </c>
      <c r="AN109" s="467" t="s">
        <v>432</v>
      </c>
      <c r="AP109" s="215" t="s">
        <v>275</v>
      </c>
      <c r="AQ109" s="215" t="s">
        <v>432</v>
      </c>
      <c r="AR109" s="471"/>
      <c r="AS109" s="215" t="s">
        <v>467</v>
      </c>
      <c r="AT109" s="215" t="s">
        <v>461</v>
      </c>
      <c r="AU109" s="215" t="s">
        <v>462</v>
      </c>
      <c r="AV109" s="215" t="s">
        <v>653</v>
      </c>
      <c r="AW109" s="215" t="s">
        <v>48</v>
      </c>
      <c r="AX109" s="471" t="s">
        <v>651</v>
      </c>
      <c r="AY109" s="468" t="s">
        <v>650</v>
      </c>
      <c r="AZ109" s="468" t="s">
        <v>652</v>
      </c>
      <c r="BA109" s="215" t="s">
        <v>481</v>
      </c>
      <c r="BB109" s="215" t="s">
        <v>514</v>
      </c>
      <c r="BC109" s="468"/>
      <c r="BD109" s="479" t="s">
        <v>456</v>
      </c>
      <c r="BE109" s="215" t="s">
        <v>457</v>
      </c>
      <c r="BF109" s="468"/>
      <c r="BG109" s="479" t="s">
        <v>474</v>
      </c>
      <c r="BH109" s="215" t="s">
        <v>475</v>
      </c>
      <c r="BI109" s="215" t="s">
        <v>473</v>
      </c>
      <c r="BJ109" s="215" t="s">
        <v>469</v>
      </c>
      <c r="BK109" s="215" t="s">
        <v>478</v>
      </c>
      <c r="BL109" s="215" t="s">
        <v>777</v>
      </c>
      <c r="BM109" s="215" t="s">
        <v>776</v>
      </c>
      <c r="BN109" s="215" t="s">
        <v>491</v>
      </c>
      <c r="BO109" s="479" t="s">
        <v>476</v>
      </c>
      <c r="BP109" s="215" t="s">
        <v>477</v>
      </c>
      <c r="BQ109" s="215" t="s">
        <v>483</v>
      </c>
      <c r="BR109" s="215" t="s">
        <v>487</v>
      </c>
      <c r="BS109" s="479" t="s">
        <v>458</v>
      </c>
      <c r="BT109" s="215" t="s">
        <v>459</v>
      </c>
      <c r="BU109" s="215" t="s">
        <v>468</v>
      </c>
      <c r="BV109" s="215" t="s">
        <v>666</v>
      </c>
      <c r="BW109" s="215" t="s">
        <v>484</v>
      </c>
      <c r="BX109" s="215" t="s">
        <v>667</v>
      </c>
      <c r="BY109" s="479" t="s">
        <v>482</v>
      </c>
      <c r="BZ109" s="215" t="s">
        <v>223</v>
      </c>
      <c r="CA109" s="215" t="s">
        <v>47</v>
      </c>
      <c r="CB109" s="215" t="s">
        <v>485</v>
      </c>
      <c r="CC109" s="215"/>
      <c r="CE109" s="490" t="s">
        <v>664</v>
      </c>
      <c r="CF109" s="490" t="s">
        <v>665</v>
      </c>
      <c r="CG109" s="667" t="s">
        <v>828</v>
      </c>
      <c r="CI109" s="211" t="s">
        <v>25</v>
      </c>
      <c r="CJ109" s="380" t="s">
        <v>194</v>
      </c>
      <c r="CK109" s="230"/>
      <c r="CL109" s="455" t="s">
        <v>223</v>
      </c>
      <c r="CM109" s="212" t="s">
        <v>412</v>
      </c>
      <c r="CN109" s="213" t="s">
        <v>418</v>
      </c>
      <c r="CO109" s="455" t="s">
        <v>413</v>
      </c>
      <c r="CP109" s="455"/>
      <c r="CQ109" s="214" t="s">
        <v>48</v>
      </c>
      <c r="CR109" s="455" t="s">
        <v>402</v>
      </c>
      <c r="CS109" s="455" t="s">
        <v>656</v>
      </c>
      <c r="CT109" s="455" t="s">
        <v>403</v>
      </c>
      <c r="CU109" s="455" t="s">
        <v>433</v>
      </c>
      <c r="CV109" s="455" t="s">
        <v>654</v>
      </c>
      <c r="CW109" s="455" t="s">
        <v>657</v>
      </c>
      <c r="CX109" s="455" t="s">
        <v>655</v>
      </c>
      <c r="CY109" s="455" t="s">
        <v>414</v>
      </c>
      <c r="CZ109" s="455" t="s">
        <v>466</v>
      </c>
      <c r="DA109" s="455" t="s">
        <v>465</v>
      </c>
      <c r="DB109" s="469" t="s">
        <v>420</v>
      </c>
      <c r="DC109" s="466" t="s">
        <v>425</v>
      </c>
      <c r="DE109" s="215" t="s">
        <v>417</v>
      </c>
      <c r="DF109" s="215" t="s">
        <v>464</v>
      </c>
      <c r="DG109" s="215" t="s">
        <v>423</v>
      </c>
      <c r="DH109" s="468"/>
      <c r="DI109" s="215" t="s">
        <v>463</v>
      </c>
      <c r="DJ109" s="215" t="s">
        <v>681</v>
      </c>
      <c r="DK109" s="215" t="s">
        <v>427</v>
      </c>
      <c r="DL109" s="468"/>
      <c r="DM109" s="215" t="s">
        <v>429</v>
      </c>
      <c r="DN109" s="470" t="s">
        <v>430</v>
      </c>
      <c r="DO109" s="470" t="s">
        <v>431</v>
      </c>
      <c r="DQ109" s="467" t="s">
        <v>275</v>
      </c>
      <c r="DR109" s="467" t="s">
        <v>432</v>
      </c>
      <c r="DT109" s="215" t="s">
        <v>275</v>
      </c>
      <c r="DU109" s="215" t="s">
        <v>432</v>
      </c>
      <c r="DV109" s="471"/>
      <c r="DW109" s="215" t="s">
        <v>467</v>
      </c>
      <c r="DX109" s="215" t="s">
        <v>461</v>
      </c>
      <c r="DY109" s="215" t="s">
        <v>462</v>
      </c>
      <c r="DZ109" s="215" t="s">
        <v>653</v>
      </c>
      <c r="EA109" s="215" t="s">
        <v>48</v>
      </c>
      <c r="EB109" s="471" t="s">
        <v>651</v>
      </c>
      <c r="EC109" s="468" t="s">
        <v>650</v>
      </c>
      <c r="ED109" s="468" t="s">
        <v>652</v>
      </c>
      <c r="EE109" s="215" t="s">
        <v>481</v>
      </c>
      <c r="EF109" s="215" t="s">
        <v>514</v>
      </c>
      <c r="EG109" s="468"/>
      <c r="EH109" s="479" t="s">
        <v>456</v>
      </c>
      <c r="EI109" s="215" t="s">
        <v>457</v>
      </c>
      <c r="EJ109" s="468"/>
      <c r="EK109" s="479" t="s">
        <v>474</v>
      </c>
      <c r="EL109" s="215" t="s">
        <v>475</v>
      </c>
      <c r="EM109" s="215" t="s">
        <v>473</v>
      </c>
      <c r="EN109" s="215" t="s">
        <v>469</v>
      </c>
      <c r="EO109" s="215" t="s">
        <v>478</v>
      </c>
      <c r="EP109" s="215" t="s">
        <v>777</v>
      </c>
      <c r="EQ109" s="215" t="s">
        <v>776</v>
      </c>
      <c r="ER109" s="215" t="s">
        <v>491</v>
      </c>
      <c r="ES109" s="479" t="s">
        <v>476</v>
      </c>
      <c r="ET109" s="215" t="s">
        <v>477</v>
      </c>
      <c r="EU109" s="215" t="s">
        <v>483</v>
      </c>
      <c r="EV109" s="215" t="s">
        <v>487</v>
      </c>
      <c r="EW109" s="479" t="s">
        <v>458</v>
      </c>
      <c r="EX109" s="215" t="s">
        <v>459</v>
      </c>
      <c r="EY109" s="215" t="s">
        <v>468</v>
      </c>
      <c r="EZ109" s="215" t="s">
        <v>666</v>
      </c>
      <c r="FA109" s="215" t="s">
        <v>484</v>
      </c>
      <c r="FB109" s="215" t="s">
        <v>667</v>
      </c>
      <c r="FC109" s="479" t="s">
        <v>482</v>
      </c>
      <c r="FD109" s="215" t="s">
        <v>223</v>
      </c>
      <c r="FE109" s="215" t="s">
        <v>47</v>
      </c>
      <c r="FF109" s="215" t="s">
        <v>485</v>
      </c>
      <c r="FG109" s="215"/>
      <c r="FI109" s="490" t="s">
        <v>664</v>
      </c>
      <c r="FJ109" s="490" t="s">
        <v>665</v>
      </c>
      <c r="FL109" t="s">
        <v>825</v>
      </c>
    </row>
    <row r="110" spans="5:168">
      <c r="E110" s="147">
        <v>0.1</v>
      </c>
      <c r="F110" s="188">
        <v>1.0000000000000001E-9</v>
      </c>
      <c r="G110" s="188"/>
      <c r="H110" s="188">
        <f t="shared" ref="H110:H141" si="315">F110*Vout</f>
        <v>5.0000000000000001E-9</v>
      </c>
      <c r="I110" s="465">
        <f t="shared" ref="I110:I141" si="316">VIN_min-F110*(Rdcr_pri+RON/1000)/CG110/Nps</f>
        <v>8.9999934119215421</v>
      </c>
      <c r="J110" s="149">
        <f t="shared" ref="J110:J141" si="317">(T110+Vfwd1+F110/CG110*Rdcr_sec)*Nps</f>
        <v>5.4000039528470758</v>
      </c>
      <c r="K110" s="149">
        <f t="shared" ref="K110:K141" si="318">(Vout+Vfwd1+F110/CG110*Rdcr_sec)*Nps++I110</f>
        <v>14.399997364768618</v>
      </c>
      <c r="L110" s="379"/>
      <c r="M110" s="188">
        <f t="shared" ref="M110:M141" si="319">(Vout+Vfwd1+F110/FL110*Rdcr_sec)*Nps/((Vout+Vfwd1+F110/FL110*Rdcr_sec)*Nps+I110)</f>
        <v>0.37500034985970682</v>
      </c>
      <c r="N110" s="149">
        <f>M110*I110*(Isw_max+VIN_min/Lmag*ILIM_delay)*0.5*Efficiency</f>
        <v>8.4754704531439007</v>
      </c>
      <c r="O110" s="149">
        <f t="shared" si="284"/>
        <v>5.0000000000000001E-9</v>
      </c>
      <c r="P110" s="188">
        <f t="shared" ref="P110:P141" si="320">N110/Vout</f>
        <v>1.6950940906287801</v>
      </c>
      <c r="Q110" s="188">
        <f t="shared" ref="Q110:Q141" si="321">MIN(Vout,N110/F110)</f>
        <v>5</v>
      </c>
      <c r="R110" s="188"/>
      <c r="S110" s="149">
        <f t="shared" ref="S110:S141" si="322">(SQRT(Isw_max^2*Nps^2*I110^2+4*Isw_max*F110/Efficiency*(Nps^2*Vfwd1*I110-Nps*I110^2)+4*(F110/Efficiency)^2*Nps^2*Vfwd1^2+8*(F110/Efficiency)^2*Nps*Vfwd1*I110+4*(F110/Efficiency)^2*I110^2)-2*F110/Efficiency*I110-2*F110/Efficiency*Nps*Vfwd1+Isw_max*Nps*I110)/(4*F110/Efficiency*Nps)</f>
        <v>22499983520.80386</v>
      </c>
      <c r="T110" s="149">
        <f t="shared" ref="T110:T141" si="323">MIN(Vout, S110)</f>
        <v>5</v>
      </c>
      <c r="U110" s="188">
        <f t="shared" ref="U110:U141" si="324">MIN(2*(Vout+Vfwd1+F110/FL110*Rdcr_sec)*F110/(I110*M110), Isw_max)</f>
        <v>3.200001791282702E-9</v>
      </c>
      <c r="V110" s="188">
        <f t="shared" ref="V110:V141" si="325">L*U110/I110*1000000</f>
        <v>4.2666721782848322E-9</v>
      </c>
      <c r="W110" s="188">
        <f t="shared" ref="W110:W141" si="326">L*U110/J110*1000000</f>
        <v>7.1111098863449093E-9</v>
      </c>
      <c r="X110" s="172">
        <f t="shared" ref="X110:X141" si="327">IF(1/((350000*L)*(1/I110+1/J110))&gt;Isw_min, 350, 0.001/((Isw_min*L)*(1/I110+1/J110)))</f>
        <v>281.25005146922172</v>
      </c>
      <c r="Y110" s="379">
        <f t="shared" ref="Y110:Y173" si="328">MIN(1/(V110+W110+0.2)*1000, 350)</f>
        <v>350</v>
      </c>
      <c r="AA110" s="188">
        <f t="shared" ref="AA110:AA141" si="329">1/((X110*1000*L)*(1/I110+1/J110))</f>
        <v>0.99999999999999978</v>
      </c>
      <c r="AB110" s="150">
        <f t="shared" ref="AB110:AB141" si="330">L*AA110/J110*1000000</f>
        <v>2.2222205955373728</v>
      </c>
      <c r="AC110" s="150">
        <f t="shared" ref="AC110:AC141" si="331">0.5*AB110*AA110*Nps*X110/1000</f>
        <v>0.31249982843542529</v>
      </c>
      <c r="AD110" s="150"/>
      <c r="AE110" s="150">
        <f t="shared" ref="AE110:AE141" si="332">L*Isw_min/J110*1000000</f>
        <v>2.2222205955373737</v>
      </c>
      <c r="AF110" s="314">
        <f t="shared" ref="AF110:AF141" si="333">MAX(12000,F110/(0.5*AE110/1000000*Isw_min*Nps))/1000</f>
        <v>12</v>
      </c>
      <c r="AG110" s="456">
        <f t="shared" ref="AG110:AG141" si="334">0.5*AE110/1000000*Isw_min*Nps*X110*1000</f>
        <v>0.31249982843542545</v>
      </c>
      <c r="AI110" s="150">
        <f t="shared" ref="AI110:AI141" si="335">SQRT(F110/(0.5*L/J110*Fsw_DCM*Nps))</f>
        <v>5.0709273843516065E-5</v>
      </c>
      <c r="AJ110" s="150">
        <f t="shared" ref="AJ110:AJ141" si="336">MAX(IF(F110&gt;AC110,U110,AI110),Isw_min)</f>
        <v>1</v>
      </c>
      <c r="AK110" s="150">
        <f t="shared" ref="AK110:AK141" si="337">IF(F110&gt;AG110, (AJ110-Isw_min)/1.08*0.8+1.2, AF110*0.2/350+1)</f>
        <v>1.0068571428571429</v>
      </c>
      <c r="AM110" s="314">
        <f t="shared" ref="AM110:AM141" si="338">F110*1000</f>
        <v>1.0000000000000002E-6</v>
      </c>
      <c r="AN110" s="144">
        <f t="shared" ref="AN110:AN141" si="339">IF(F110&gt;AG110, Y110, AF110)</f>
        <v>12</v>
      </c>
      <c r="AP110" s="144">
        <f t="shared" ref="AP110:AP141" si="340">IF(H110&gt;N110, "",AM110)</f>
        <v>1.0000000000000002E-6</v>
      </c>
      <c r="AQ110" s="144">
        <f t="shared" ref="AQ110:AQ141" si="341">IF(H110&gt;N110, "",AN110)</f>
        <v>12</v>
      </c>
      <c r="AS110" s="5">
        <f t="shared" si="285"/>
        <v>83.333333333333329</v>
      </c>
      <c r="AT110" s="5">
        <f t="shared" ref="AT110:AT141" si="342">L*AJ110/I110*1000000</f>
        <v>1.3333343093456713</v>
      </c>
      <c r="AU110" s="5">
        <f t="shared" ref="AU110:AU169" si="343">AS110-AT110</f>
        <v>81.999999023987655</v>
      </c>
      <c r="AV110" s="5"/>
      <c r="AW110" s="150">
        <f t="shared" ref="AW110:AW169" si="344">AT110/AS110</f>
        <v>1.6000011712148057E-2</v>
      </c>
      <c r="AX110" s="150">
        <f t="shared" si="214"/>
        <v>7.2000000000000008E-2</v>
      </c>
      <c r="AY110" s="150">
        <f t="shared" si="215"/>
        <v>0.49199999414392598</v>
      </c>
      <c r="AZ110" s="150">
        <f t="shared" si="288"/>
        <v>0.14634146515647656</v>
      </c>
      <c r="BA110" s="144">
        <f t="shared" ref="BA110:BA116" si="345">F110*AT110/Vout_ripple*1000</f>
        <v>2.6666686186913426E-8</v>
      </c>
      <c r="BB110" s="5">
        <f t="shared" ref="BB110:BB116" si="346">H110/Efficiency/I110*AU110/Vinripple1</f>
        <v>1.8981495150172617E-8</v>
      </c>
      <c r="BD110" s="150">
        <f t="shared" si="289"/>
        <v>7.3029701063215963E-2</v>
      </c>
      <c r="BE110" s="150">
        <f t="shared" si="218"/>
        <v>0.57271283912267124</v>
      </c>
      <c r="BG110" s="456">
        <f t="shared" ref="BG110:BG169" si="347">Rdson*BD110^2</f>
        <v>1.0666674474765374E-4</v>
      </c>
      <c r="BH110" s="456">
        <f t="shared" ref="BH110:BH141" si="348">0.5*K110*AJ110*AN110*1000*Tfall</f>
        <v>3.2399994070729386E-3</v>
      </c>
      <c r="BI110" s="456">
        <f t="shared" ref="BI110:BI141" si="349">Qg*Vdd*AN110*1000*0+Qg*I110*AN110*1000</f>
        <v>2.6999980235764623E-3</v>
      </c>
      <c r="BJ110" s="456">
        <f t="shared" ref="BJ110:BJ169" si="350">0.5*(Coss+Csw)*K110^2*AN110*1000</f>
        <v>2.4883190892641176E-4</v>
      </c>
      <c r="BK110">
        <f t="shared" ref="BK110:BK169" si="351">I110*IQ</f>
        <v>4.0499970353646934E-3</v>
      </c>
      <c r="BL110" s="144">
        <f>(BK110+BI110)*1000</f>
        <v>6.7499950589411561</v>
      </c>
      <c r="BM110" s="456">
        <f t="shared" ref="BM110:BM141" si="352">(BH110+BI110*0+BJ110+BK110*0+BG110*(1+RdsonTC*(Ta-25)))/(1-BG110*RdsonTC*ThetaJA)</f>
        <v>3.6243899384347101E-3</v>
      </c>
      <c r="BN110" s="144">
        <f t="shared" ref="BN110:BN173" si="353">BM110*1000</f>
        <v>3.6243899384347102</v>
      </c>
      <c r="BO110" s="456">
        <f t="shared" ref="BO110:BO169" si="354">Vfwd2*F110</f>
        <v>6.9999999999999996E-10</v>
      </c>
      <c r="BR110" s="144">
        <f t="shared" ref="BR110:BR169" si="355">SUM(BO110:BQ110)*1000</f>
        <v>6.9999999999999997E-7</v>
      </c>
      <c r="BS110" s="456">
        <f t="shared" ref="BS110:BS169" si="356">Rdcr_pri*BD110^2</f>
        <v>1.600001171214806E-4</v>
      </c>
      <c r="BT110" s="456">
        <f t="shared" ref="BT110:BT169" si="357">Rdcr_sec*BE110^2</f>
        <v>9.8399998828785206E-3</v>
      </c>
      <c r="BU110" s="456">
        <f t="shared" ref="BU110:BU169" si="358">AJ110^2.5*AN110^2.5*k_core</f>
        <v>2.494153162899183E-5</v>
      </c>
      <c r="BV110" s="456"/>
      <c r="BW110" s="456">
        <f t="shared" ref="BW110:BW169" si="359">0.5*Lleak*0.000000001*AJ110^2*AN110*1000</f>
        <v>1.2000000000000002E-5</v>
      </c>
      <c r="BX110" s="144">
        <f t="shared" ref="BX110:BX169" si="360">SUM(BS110:BW110)*1000</f>
        <v>10.036941531628994</v>
      </c>
      <c r="BY110" s="150">
        <f t="shared" ref="BY110:BY169" si="361">SUM(BG110:BK110,BO110:BQ110,BS110:BW110)</f>
        <v>2.0382435351317157E-2</v>
      </c>
      <c r="BZ110" s="5">
        <f t="shared" ref="BZ110:BZ169" si="362">MIN(H110,O110)</f>
        <v>5.0000000000000001E-9</v>
      </c>
      <c r="CA110" s="150">
        <f t="shared" ref="CA110:CA169" si="363">BZ110/(BZ110+BY110)</f>
        <v>2.4530919329671384E-7</v>
      </c>
      <c r="CB110" s="5">
        <f t="shared" ref="CB110:CB169" si="364">CA110*100</f>
        <v>2.4530919329671384E-5</v>
      </c>
      <c r="CE110" s="59">
        <f t="shared" ref="CE110:CE141" si="365">IF(ABS(F110-Ioutmax_Vinmin)&lt;Iout/200, AN110, -50)</f>
        <v>-50</v>
      </c>
      <c r="CF110">
        <f t="shared" ref="CF110:CF141" si="366">IF(ABS(F110-Ioutmax_Vinmin)&lt;Iout/200, N110*CA110, -50)</f>
        <v>-50</v>
      </c>
      <c r="CG110" s="150">
        <f t="shared" ref="CG110:CG141" si="367">MIN(SQRT(2*DU110*1000*Ls1_*CL110)/CU110,1-EA110-0.00000005*DU110*1000)</f>
        <v>7.5894663844041118E-6</v>
      </c>
      <c r="CI110" s="147">
        <v>0.1</v>
      </c>
      <c r="CJ110" s="188">
        <v>1.0000000000000001E-9</v>
      </c>
      <c r="CK110" s="188"/>
      <c r="CL110" s="188">
        <f t="shared" ref="CL110:CL173" si="368">CJ110*Vout</f>
        <v>5.0000000000000001E-9</v>
      </c>
      <c r="CM110" s="465">
        <f t="shared" ref="CM110:CM173" si="369">VIN_min</f>
        <v>9</v>
      </c>
      <c r="CN110" s="379">
        <f t="shared" ref="CN110:CN173" si="370">(CX110+Vfwd1)*Nps</f>
        <v>5.4</v>
      </c>
      <c r="CO110" s="379">
        <f t="shared" ref="CO110:CO173" si="371">(Vout+Vfwd1)*Nps+CM110</f>
        <v>14.4</v>
      </c>
      <c r="CP110" s="379"/>
      <c r="CQ110" s="188">
        <f t="shared" ref="CQ110:CQ173" si="372">(Vout+Vfwd1)*Nps/((Vout+Vfwd1)*Nps+CM110)</f>
        <v>0.375</v>
      </c>
      <c r="CR110" s="149">
        <f>CQ110*CM110*(Isw_max+VIN_min/Lmag*ILIM_delay)*0.5*Efficiency</f>
        <v>8.4754687499999992</v>
      </c>
      <c r="CS110" s="149">
        <f t="shared" ref="CS110:CS173" si="373">CX110*CJ110</f>
        <v>5.0000000000000001E-9</v>
      </c>
      <c r="CT110" s="188">
        <f t="shared" ref="CT110:CT173" si="374">CR110/Vout</f>
        <v>1.6950937499999998</v>
      </c>
      <c r="CU110" s="188">
        <f t="shared" ref="CU110:CU173" si="375">MIN(Vout,CR110/CJ110)</f>
        <v>5</v>
      </c>
      <c r="CV110" s="188"/>
      <c r="CW110" s="149">
        <f t="shared" ref="CW110:CW173" si="376">(SQRT(Isw_max^2*Nps^2*CM110^2+4*Isw_max*CJ110/Efficiency*(Nps^2*Vfwd1*CM110-Nps*CM110^2)+4*(CJ110/Efficiency)^2*Nps^2*Vfwd1^2+8*(CJ110/Efficiency)^2*Nps*Vfwd1*CM110+4*(CJ110/Efficiency)^2*CM110^2)-2*CJ110/Efficiency*CM110-2*CJ110/Efficiency*Nps*Vfwd1+Isw_max*Nps*CM110)/(4*CJ110/Efficiency*Nps)</f>
        <v>22499999990.999996</v>
      </c>
      <c r="CX110" s="149">
        <f t="shared" ref="CX110:CX173" si="377">MIN(Vout, CW110)</f>
        <v>5</v>
      </c>
      <c r="CY110" s="188">
        <f t="shared" ref="CY110:CY173" si="378">MIN(2*Vout*CJ110/(Efficiency*CM110*CQ110), Isw_max)</f>
        <v>2.9629629629629628E-9</v>
      </c>
      <c r="CZ110" s="188">
        <f t="shared" ref="CZ110:CZ173" si="379">L*CY110/CM110*1000000</f>
        <v>3.9506172839506171E-9</v>
      </c>
      <c r="DA110" s="188">
        <f t="shared" ref="DA110:DA173" si="380">L*CY110/CN110*1000000</f>
        <v>6.5843621399176941E-9</v>
      </c>
      <c r="DB110" s="172">
        <f t="shared" ref="DB110:DB173" si="381">IF(1/((350000*L)*(1/CM110+1/CN110))&gt;Isw_min, 350, 0.001/((Isw_min*L)*(1/CM110+1/CN110)))</f>
        <v>281.25</v>
      </c>
      <c r="DC110" s="379">
        <f t="shared" ref="DC110:DC173" si="382">MIN(1/(CZ110+DA110)*1000, 350)</f>
        <v>350</v>
      </c>
      <c r="DE110" s="188">
        <f t="shared" ref="DE110:DE173" si="383">1/((DB110*1000*L)*(1/CM110+1/CN110))</f>
        <v>1</v>
      </c>
      <c r="DF110" s="150">
        <f t="shared" ref="DF110:DF173" si="384">L*DE110/CN110*1000000</f>
        <v>2.2222222222222219</v>
      </c>
      <c r="DG110" s="150">
        <f t="shared" ref="DG110:DG173" si="385">0.5*DF110*DE110*Nps*DB110/1000</f>
        <v>0.31249999999999994</v>
      </c>
      <c r="DH110" s="150"/>
      <c r="DI110" s="150">
        <f t="shared" ref="DI110:DI173" si="386">L*Isw_min/CN110*1000000</f>
        <v>2.2222222222222219</v>
      </c>
      <c r="DJ110" s="314">
        <f t="shared" ref="DJ110:DJ173" si="387">MAX(12000,CJ110/(0.5*DI110/1000000*Isw_min*Nps))/1000</f>
        <v>12</v>
      </c>
      <c r="DK110" s="456">
        <f t="shared" ref="DK110:DK173" si="388">0.5*DI110/1000000*Isw_min*Nps*DB110*1000</f>
        <v>0.31249999999999994</v>
      </c>
      <c r="DM110" s="150">
        <f t="shared" ref="DM110:DM173" si="389">SQRT(CJ110/(0.5*L/CN110*Fsw_DCM*Nps))</f>
        <v>5.0709255283710998E-5</v>
      </c>
      <c r="DN110" s="150">
        <f t="shared" ref="DN110:DN173" si="390">MAX(IF(CJ110&gt;DG110,CY110,DM110),Isw_min)</f>
        <v>1</v>
      </c>
      <c r="DO110" s="150">
        <f t="shared" ref="DO110:DO173" si="391">IF(CJ110&gt;DK110, (DN110-Isw_min)/1.08*0.8+1.2, DJ110*0.2/350+1)</f>
        <v>1.0068571428571429</v>
      </c>
      <c r="DQ110" s="314">
        <f t="shared" ref="DQ110:DQ173" si="392">CJ110*1000</f>
        <v>1.0000000000000002E-6</v>
      </c>
      <c r="DR110" s="144">
        <f t="shared" ref="DR110:DR173" si="393">IF(CJ110&gt;DK110, DC110, DJ110)</f>
        <v>12</v>
      </c>
      <c r="DT110" s="144">
        <f>IF(CL110&gt;CR110, "",DQ110)</f>
        <v>1.0000000000000002E-6</v>
      </c>
      <c r="DU110" s="144">
        <f>IF(CL110&gt;CR110, "",DR110)</f>
        <v>12</v>
      </c>
      <c r="DW110" s="5">
        <f t="shared" ref="DW110:DW173" si="394">1/DR110*1000</f>
        <v>83.333333333333329</v>
      </c>
      <c r="DX110" s="5">
        <f t="shared" ref="DX110:DX173" si="395">L*DN110/CM110*1000000</f>
        <v>1.3333333333333335</v>
      </c>
      <c r="DY110" s="5">
        <f t="shared" ref="DY110:DY173" si="396">DW110-DX110</f>
        <v>82</v>
      </c>
      <c r="DZ110" s="5"/>
      <c r="EA110" s="150">
        <f t="shared" ref="EA110:EA173" si="397">DX110/DW110</f>
        <v>1.6000000000000004E-2</v>
      </c>
      <c r="EB110" s="150">
        <f t="shared" ref="EB110:EB173" si="398">0.5*L*DN110^2*DR110*1000</f>
        <v>7.2000000000000008E-2</v>
      </c>
      <c r="EC110" s="150">
        <f t="shared" ref="EC110:EC173" si="399">DN110*Nps/2*(1-EA110)</f>
        <v>0.49199999999999999</v>
      </c>
      <c r="ED110" s="150">
        <f t="shared" ref="ED110:ED173" si="400">EB110/EC110</f>
        <v>0.14634146341463417</v>
      </c>
      <c r="EE110" s="144">
        <f t="shared" ref="EE110:EE173" si="401">CJ110*DX110/Vout_ripple*1000</f>
        <v>2.6666666666666667E-8</v>
      </c>
      <c r="EF110" s="5">
        <f t="shared" ref="EF110:EF173" si="402">CL110/Efficiency/CM110*DY110/Vinripple1</f>
        <v>1.8981481481481477E-8</v>
      </c>
      <c r="EH110" s="150">
        <f t="shared" ref="EH110:EH173" si="403">DN110*SQRT(EA110/3)</f>
        <v>7.302967433402216E-2</v>
      </c>
      <c r="EI110" s="150">
        <f t="shared" ref="EI110:EI173" si="404">DN110*Nps*SQRT((1-EA110)/3)</f>
        <v>0.57271284253105414</v>
      </c>
      <c r="EK110" s="456">
        <f t="shared" ref="EK110:EK173" si="405">Rdson*EH110^2</f>
        <v>1.0666666666666669E-4</v>
      </c>
      <c r="EL110" s="456">
        <f t="shared" ref="EL110:EL173" si="406">0.5*CO110*DN110*DR110*1000*Trise</f>
        <v>3.4559999999999999E-3</v>
      </c>
      <c r="EM110" s="456">
        <f t="shared" ref="EM110:EM173" si="407">Qg*Vdd*DR110*1000</f>
        <v>1.5E-3</v>
      </c>
      <c r="EN110" s="456">
        <f t="shared" ref="EN110:EN173" si="408">0.5*(Coss+Csw)*CO110^2*DR110*1000</f>
        <v>2.4883199999999999E-4</v>
      </c>
      <c r="EO110">
        <f t="shared" ref="EO110:EO173" si="409">CM110*IQ</f>
        <v>4.0499999999999998E-3</v>
      </c>
      <c r="EP110" s="144">
        <f t="shared" ref="EP110:EP173" si="410">(EO110+EM110)*1000</f>
        <v>5.5499999999999989</v>
      </c>
      <c r="EQ110" s="144"/>
      <c r="ER110" s="144">
        <f>SUM(EK110:EO110)*1000</f>
        <v>9.361498666666666</v>
      </c>
      <c r="ES110" s="456">
        <f t="shared" ref="ES110:ES173" si="411">Vfwd2*CJ110</f>
        <v>6.9999999999999996E-10</v>
      </c>
      <c r="EV110" s="144">
        <f t="shared" ref="EV110:EV169" si="412">SUM(ES110:EU110)*1000</f>
        <v>6.9999999999999997E-7</v>
      </c>
      <c r="EW110" s="456">
        <f t="shared" ref="EW110:EW173" si="413">Rdcr_pri*EH110^2</f>
        <v>1.6000000000000004E-4</v>
      </c>
      <c r="EX110" s="456">
        <f t="shared" ref="EX110:EX173" si="414">Rdcr_sec*EI110^2</f>
        <v>9.8399999999999998E-3</v>
      </c>
      <c r="EY110" s="456">
        <f t="shared" ref="EY110:EY173" si="415">DN110^2.5*DR110^2.5*k_core</f>
        <v>2.494153162899183E-5</v>
      </c>
      <c r="EZ110" s="456"/>
      <c r="FA110" s="456">
        <f t="shared" ref="FA110:FA173" si="416">0.5*Lleak*0.000000001*DN110^2*DR110*1000</f>
        <v>1.2000000000000002E-5</v>
      </c>
      <c r="FB110" s="144">
        <f t="shared" ref="FB110:FB173" si="417">SUM(EW110:FA110)*1000</f>
        <v>10.036941531628992</v>
      </c>
      <c r="FC110" s="150">
        <f t="shared" ref="FC110:FC173" si="418">SUM(EK110:EO110,ES110:EU110,EW110:FA110)</f>
        <v>1.939844089829566E-2</v>
      </c>
      <c r="FD110" s="5">
        <f t="shared" ref="FD110:FD173" si="419">MIN(CL110,CS110)</f>
        <v>5.0000000000000001E-9</v>
      </c>
      <c r="FE110" s="150">
        <f t="shared" ref="FE110:FE173" si="420">FD110/(FD110+FC110)</f>
        <v>2.5775260689513782E-7</v>
      </c>
      <c r="FF110" s="5">
        <f t="shared" ref="FF110:FF173" si="421">FE110*100</f>
        <v>2.5775260689513782E-5</v>
      </c>
      <c r="FI110" s="59">
        <f t="shared" ref="FI110:FI173" si="422">IF(ABS(CJ110-Ioutmax_Vinmin)&lt;Iout/200, DR110, -50)</f>
        <v>-50</v>
      </c>
      <c r="FJ110">
        <f t="shared" ref="FJ110:FJ173" si="423">IF(ABS(CJ110-Ioutmax_Vinmin)&lt;Iout/200, CR110*FE110, -50)</f>
        <v>-50</v>
      </c>
      <c r="FL110">
        <f t="shared" ref="FL110:FL141" si="424">MIN(SQRT(2*L*DR110*1000*CJ110*(CX110+Vfwd1))/(Nps*(CX110+Vfwd1)), 1-EA110)</f>
        <v>7.3029674334022154E-6</v>
      </c>
    </row>
    <row r="111" spans="5:168">
      <c r="E111" s="147">
        <v>1</v>
      </c>
      <c r="F111" s="188">
        <f t="shared" ref="F111:F142" si="425">IF(PLOT_TYPE=1, E111/100*Iout_max, min_I*EXP(N111*rr/100))</f>
        <v>1.2E-2</v>
      </c>
      <c r="G111" s="188"/>
      <c r="H111" s="188">
        <f t="shared" si="315"/>
        <v>0.06</v>
      </c>
      <c r="I111" s="465">
        <f t="shared" si="316"/>
        <v>8.9771782267706186</v>
      </c>
      <c r="J111" s="149">
        <f t="shared" si="317"/>
        <v>5.4136930639376297</v>
      </c>
      <c r="K111" s="149">
        <f t="shared" si="318"/>
        <v>14.390871290708247</v>
      </c>
      <c r="L111" s="379"/>
      <c r="M111" s="188">
        <f t="shared" si="319"/>
        <v>0.37621267288806742</v>
      </c>
      <c r="N111" s="149">
        <f t="shared" ref="N111:N141" si="426">M111*I111*(Isw_max+VIN_min/Lmag*ILIM_delay)*0.5*Efficiency</f>
        <v>8.4813154816413068</v>
      </c>
      <c r="O111" s="149">
        <f t="shared" si="284"/>
        <v>0.06</v>
      </c>
      <c r="P111" s="188">
        <f t="shared" si="320"/>
        <v>1.6962630963282614</v>
      </c>
      <c r="Q111" s="188">
        <f t="shared" si="321"/>
        <v>5</v>
      </c>
      <c r="R111" s="188"/>
      <c r="S111" s="149">
        <f t="shared" si="322"/>
        <v>1861.270214527704</v>
      </c>
      <c r="T111" s="149">
        <f t="shared" si="323"/>
        <v>5</v>
      </c>
      <c r="U111" s="188">
        <f t="shared" si="324"/>
        <v>3.8474651466738494E-2</v>
      </c>
      <c r="V111" s="188">
        <f t="shared" si="325"/>
        <v>5.1429948914687953E-2</v>
      </c>
      <c r="W111" s="188">
        <f t="shared" si="326"/>
        <v>8.5282968972948972E-2</v>
      </c>
      <c r="X111" s="172">
        <f t="shared" si="327"/>
        <v>281.42659860687377</v>
      </c>
      <c r="Y111" s="379">
        <f t="shared" si="328"/>
        <v>350</v>
      </c>
      <c r="AA111" s="188">
        <f t="shared" si="329"/>
        <v>1</v>
      </c>
      <c r="AB111" s="150">
        <f t="shared" si="330"/>
        <v>2.216601469325238</v>
      </c>
      <c r="AC111" s="150">
        <f t="shared" si="331"/>
        <v>0.3119053059896002</v>
      </c>
      <c r="AD111" s="150"/>
      <c r="AE111" s="150">
        <f t="shared" si="332"/>
        <v>2.216601469325238</v>
      </c>
      <c r="AF111" s="314">
        <f t="shared" si="333"/>
        <v>12</v>
      </c>
      <c r="AG111" s="456">
        <f t="shared" si="334"/>
        <v>0.3119053059896002</v>
      </c>
      <c r="AI111" s="150">
        <f t="shared" si="335"/>
        <v>0.17588458982181032</v>
      </c>
      <c r="AJ111" s="150">
        <f t="shared" si="336"/>
        <v>1</v>
      </c>
      <c r="AK111" s="150">
        <f t="shared" si="337"/>
        <v>1.0068571428571429</v>
      </c>
      <c r="AM111" s="314">
        <f t="shared" si="338"/>
        <v>12</v>
      </c>
      <c r="AN111" s="144">
        <f t="shared" si="339"/>
        <v>12</v>
      </c>
      <c r="AP111" s="144">
        <f t="shared" si="340"/>
        <v>12</v>
      </c>
      <c r="AQ111" s="144">
        <f t="shared" si="341"/>
        <v>12</v>
      </c>
      <c r="AS111" s="5">
        <f t="shared" si="285"/>
        <v>83.333333333333329</v>
      </c>
      <c r="AT111" s="5">
        <f t="shared" si="342"/>
        <v>1.336722931958185</v>
      </c>
      <c r="AU111" s="5">
        <f t="shared" si="343"/>
        <v>81.99661040137515</v>
      </c>
      <c r="AV111" s="5"/>
      <c r="AW111" s="150">
        <f t="shared" si="344"/>
        <v>1.6040675183498221E-2</v>
      </c>
      <c r="AX111" s="150">
        <f t="shared" si="214"/>
        <v>7.2000000000000008E-2</v>
      </c>
      <c r="AY111" s="150">
        <f t="shared" si="215"/>
        <v>0.49197966240825086</v>
      </c>
      <c r="AZ111" s="150">
        <f t="shared" si="288"/>
        <v>0.14634751291864076</v>
      </c>
      <c r="BA111" s="144">
        <f t="shared" si="345"/>
        <v>0.32081350366996442</v>
      </c>
      <c r="BB111" s="5">
        <f t="shared" si="346"/>
        <v>0.22834739472158158</v>
      </c>
      <c r="BD111" s="150">
        <f t="shared" si="289"/>
        <v>7.3122443393480369E-2</v>
      </c>
      <c r="BE111" s="150">
        <f t="shared" si="218"/>
        <v>0.57270100541687596</v>
      </c>
      <c r="BG111" s="456">
        <f t="shared" si="347"/>
        <v>1.0693783455665482E-4</v>
      </c>
      <c r="BH111" s="456">
        <f t="shared" si="348"/>
        <v>3.2379460404093553E-3</v>
      </c>
      <c r="BI111" s="456">
        <f t="shared" si="349"/>
        <v>2.6931534680311856E-3</v>
      </c>
      <c r="BJ111" s="456">
        <f t="shared" si="350"/>
        <v>2.4851661180687703E-4</v>
      </c>
      <c r="BK111">
        <f t="shared" si="351"/>
        <v>4.0397302020467787E-3</v>
      </c>
      <c r="BL111" s="144">
        <f t="shared" ref="BL111:BL174" si="427">(BK111+BI111)*1000</f>
        <v>6.732883670077964</v>
      </c>
      <c r="BM111" s="456">
        <f t="shared" si="352"/>
        <v>3.6223657407276968E-3</v>
      </c>
      <c r="BN111" s="144">
        <f t="shared" si="353"/>
        <v>3.6223657407276968</v>
      </c>
      <c r="BO111" s="456">
        <f t="shared" si="354"/>
        <v>8.3999999999999995E-3</v>
      </c>
      <c r="BR111" s="144">
        <f t="shared" si="355"/>
        <v>8.4</v>
      </c>
      <c r="BS111" s="456">
        <f t="shared" si="356"/>
        <v>1.6040675183498222E-4</v>
      </c>
      <c r="BT111" s="456">
        <f t="shared" si="357"/>
        <v>9.8395932481650187E-3</v>
      </c>
      <c r="BU111" s="456">
        <f t="shared" si="358"/>
        <v>2.494153162899183E-5</v>
      </c>
      <c r="BV111" s="456"/>
      <c r="BW111" s="456">
        <f t="shared" si="359"/>
        <v>1.2000000000000002E-5</v>
      </c>
      <c r="BX111" s="144">
        <f t="shared" si="360"/>
        <v>10.036941531628992</v>
      </c>
      <c r="BY111" s="150">
        <f t="shared" si="361"/>
        <v>2.8763225688479842E-2</v>
      </c>
      <c r="BZ111" s="5">
        <f t="shared" si="362"/>
        <v>0.06</v>
      </c>
      <c r="CA111" s="150">
        <f t="shared" si="363"/>
        <v>0.67595560587865289</v>
      </c>
      <c r="CB111" s="5">
        <f t="shared" si="364"/>
        <v>67.595560587865293</v>
      </c>
      <c r="CE111" s="59">
        <f t="shared" si="365"/>
        <v>-50</v>
      </c>
      <c r="CF111">
        <f t="shared" si="366"/>
        <v>-50</v>
      </c>
      <c r="CG111" s="150">
        <f t="shared" si="367"/>
        <v>2.6290682760247975E-2</v>
      </c>
      <c r="CI111" s="147">
        <v>1</v>
      </c>
      <c r="CJ111" s="188">
        <f t="shared" ref="CJ111:CJ174" si="428">IF(PLOT_TYPE=1, CI111/100*Iout_max, min_I*EXP(CR111*rr/100))</f>
        <v>1.2E-2</v>
      </c>
      <c r="CK111" s="188"/>
      <c r="CL111" s="188">
        <f t="shared" si="368"/>
        <v>0.06</v>
      </c>
      <c r="CM111" s="465">
        <f t="shared" si="369"/>
        <v>9</v>
      </c>
      <c r="CN111" s="379">
        <f t="shared" si="370"/>
        <v>5.4</v>
      </c>
      <c r="CO111" s="379">
        <f t="shared" si="371"/>
        <v>14.4</v>
      </c>
      <c r="CP111" s="379"/>
      <c r="CQ111" s="188">
        <f t="shared" si="372"/>
        <v>0.375</v>
      </c>
      <c r="CR111" s="149">
        <f t="shared" ref="CR111:CR174" si="429">CQ111*CM111*(Isw_max+VIN_min/Lmag*ILIM_delay)*0.5*Efficiency</f>
        <v>8.4754687499999992</v>
      </c>
      <c r="CS111" s="149">
        <f t="shared" si="373"/>
        <v>0.06</v>
      </c>
      <c r="CT111" s="188">
        <f t="shared" si="374"/>
        <v>1.6950937499999998</v>
      </c>
      <c r="CU111" s="188">
        <f t="shared" si="375"/>
        <v>5</v>
      </c>
      <c r="CV111" s="188"/>
      <c r="CW111" s="149">
        <f t="shared" si="376"/>
        <v>1866.0019288449846</v>
      </c>
      <c r="CX111" s="149">
        <f t="shared" si="377"/>
        <v>5</v>
      </c>
      <c r="CY111" s="188">
        <f t="shared" si="378"/>
        <v>3.5555555555555556E-2</v>
      </c>
      <c r="CZ111" s="188">
        <f t="shared" si="379"/>
        <v>4.7407407407407405E-2</v>
      </c>
      <c r="DA111" s="188">
        <f t="shared" si="380"/>
        <v>7.9012345679012344E-2</v>
      </c>
      <c r="DB111" s="172">
        <f t="shared" si="381"/>
        <v>281.25</v>
      </c>
      <c r="DC111" s="379">
        <f t="shared" si="382"/>
        <v>350</v>
      </c>
      <c r="DE111" s="188">
        <f t="shared" si="383"/>
        <v>1</v>
      </c>
      <c r="DF111" s="150">
        <f t="shared" si="384"/>
        <v>2.2222222222222219</v>
      </c>
      <c r="DG111" s="150">
        <f t="shared" si="385"/>
        <v>0.31249999999999994</v>
      </c>
      <c r="DH111" s="150"/>
      <c r="DI111" s="150">
        <f t="shared" si="386"/>
        <v>2.2222222222222219</v>
      </c>
      <c r="DJ111" s="314">
        <f t="shared" si="387"/>
        <v>12</v>
      </c>
      <c r="DK111" s="456">
        <f t="shared" si="388"/>
        <v>0.31249999999999994</v>
      </c>
      <c r="DM111" s="150">
        <f t="shared" si="389"/>
        <v>0.17566201313073598</v>
      </c>
      <c r="DN111" s="150">
        <f t="shared" si="390"/>
        <v>1</v>
      </c>
      <c r="DO111" s="150">
        <f t="shared" si="391"/>
        <v>1.0068571428571429</v>
      </c>
      <c r="DQ111" s="314">
        <f t="shared" si="392"/>
        <v>12</v>
      </c>
      <c r="DR111" s="144">
        <f t="shared" si="393"/>
        <v>12</v>
      </c>
      <c r="DT111">
        <f t="shared" ref="DT111:DT174" si="430">IF(CL111&gt;CR111, " ",DQ111)</f>
        <v>12</v>
      </c>
      <c r="DU111">
        <f t="shared" ref="DU111:DU174" si="431">IF(CL111&gt;CR111, " ",DR111)</f>
        <v>12</v>
      </c>
      <c r="DW111" s="5">
        <f t="shared" si="394"/>
        <v>83.333333333333329</v>
      </c>
      <c r="DX111" s="5">
        <f t="shared" si="395"/>
        <v>1.3333333333333335</v>
      </c>
      <c r="DY111" s="5">
        <f t="shared" si="396"/>
        <v>82</v>
      </c>
      <c r="DZ111" s="5"/>
      <c r="EA111" s="150">
        <f t="shared" si="397"/>
        <v>1.6000000000000004E-2</v>
      </c>
      <c r="EB111" s="150">
        <f t="shared" si="398"/>
        <v>7.2000000000000008E-2</v>
      </c>
      <c r="EC111" s="150">
        <f t="shared" si="399"/>
        <v>0.49199999999999999</v>
      </c>
      <c r="ED111" s="150">
        <f t="shared" si="400"/>
        <v>0.14634146341463417</v>
      </c>
      <c r="EE111" s="144">
        <f t="shared" si="401"/>
        <v>0.32000000000000006</v>
      </c>
      <c r="EF111" s="5">
        <f t="shared" si="402"/>
        <v>0.22777777777777772</v>
      </c>
      <c r="EH111" s="150">
        <f t="shared" si="403"/>
        <v>7.302967433402216E-2</v>
      </c>
      <c r="EI111" s="150">
        <f t="shared" si="404"/>
        <v>0.57271284253105414</v>
      </c>
      <c r="EK111" s="456">
        <f t="shared" si="405"/>
        <v>1.0666666666666669E-4</v>
      </c>
      <c r="EL111" s="456">
        <f t="shared" si="406"/>
        <v>3.4559999999999999E-3</v>
      </c>
      <c r="EM111" s="456">
        <f t="shared" si="407"/>
        <v>1.5E-3</v>
      </c>
      <c r="EN111" s="456">
        <f t="shared" si="408"/>
        <v>2.4883199999999999E-4</v>
      </c>
      <c r="EO111">
        <f t="shared" si="409"/>
        <v>4.0499999999999998E-3</v>
      </c>
      <c r="EP111" s="144">
        <f t="shared" si="410"/>
        <v>5.5499999999999989</v>
      </c>
      <c r="EQ111" s="144"/>
      <c r="ER111" s="144">
        <f t="shared" ref="ER111:ER174" si="432">SUM(EK111:EO111)*1000</f>
        <v>9.361498666666666</v>
      </c>
      <c r="ES111" s="456">
        <f t="shared" si="411"/>
        <v>8.3999999999999995E-3</v>
      </c>
      <c r="EV111" s="144">
        <f t="shared" si="412"/>
        <v>8.4</v>
      </c>
      <c r="EW111" s="456">
        <f t="shared" si="413"/>
        <v>1.6000000000000004E-4</v>
      </c>
      <c r="EX111" s="456">
        <f t="shared" si="414"/>
        <v>9.8399999999999998E-3</v>
      </c>
      <c r="EY111" s="456">
        <f t="shared" si="415"/>
        <v>2.494153162899183E-5</v>
      </c>
      <c r="EZ111" s="456"/>
      <c r="FA111" s="456">
        <f t="shared" si="416"/>
        <v>1.2000000000000002E-5</v>
      </c>
      <c r="FB111" s="144">
        <f t="shared" si="417"/>
        <v>10.036941531628992</v>
      </c>
      <c r="FC111" s="150">
        <f t="shared" si="418"/>
        <v>2.7798440198295662E-2</v>
      </c>
      <c r="FD111" s="5">
        <f t="shared" si="419"/>
        <v>0.06</v>
      </c>
      <c r="FE111" s="150">
        <f t="shared" si="420"/>
        <v>0.68338343898237852</v>
      </c>
      <c r="FF111" s="5">
        <f t="shared" si="421"/>
        <v>68.338343898237852</v>
      </c>
      <c r="FI111" s="59">
        <f t="shared" si="422"/>
        <v>-50</v>
      </c>
      <c r="FJ111">
        <f t="shared" si="423"/>
        <v>-50</v>
      </c>
      <c r="FL111">
        <f t="shared" si="424"/>
        <v>2.5298221281347032E-2</v>
      </c>
    </row>
    <row r="112" spans="5:168">
      <c r="E112" s="147">
        <v>2</v>
      </c>
      <c r="F112" s="188">
        <f t="shared" si="425"/>
        <v>2.4E-2</v>
      </c>
      <c r="G112" s="188"/>
      <c r="H112" s="188">
        <f t="shared" si="315"/>
        <v>0.12</v>
      </c>
      <c r="I112" s="465">
        <f t="shared" si="316"/>
        <v>8.9759437387837657</v>
      </c>
      <c r="J112" s="149">
        <f t="shared" si="317"/>
        <v>5.4144337567297409</v>
      </c>
      <c r="K112" s="149">
        <f t="shared" si="318"/>
        <v>14.390377495513507</v>
      </c>
      <c r="L112" s="379"/>
      <c r="M112" s="188">
        <f t="shared" si="319"/>
        <v>0.37627831074111634</v>
      </c>
      <c r="N112" s="149">
        <f t="shared" si="426"/>
        <v>8.4816287139996778</v>
      </c>
      <c r="O112" s="149">
        <f t="shared" si="284"/>
        <v>0.12</v>
      </c>
      <c r="P112" s="188">
        <f t="shared" si="320"/>
        <v>1.6963257427999356</v>
      </c>
      <c r="Q112" s="188">
        <f t="shared" si="321"/>
        <v>5</v>
      </c>
      <c r="R112" s="188"/>
      <c r="S112" s="149">
        <f t="shared" si="322"/>
        <v>926.02207124890094</v>
      </c>
      <c r="T112" s="149">
        <f t="shared" si="323"/>
        <v>5</v>
      </c>
      <c r="U112" s="188">
        <f t="shared" si="324"/>
        <v>7.6957400755189989E-2</v>
      </c>
      <c r="V112" s="188">
        <f t="shared" si="325"/>
        <v>0.10288487048687896</v>
      </c>
      <c r="W112" s="188">
        <f t="shared" si="326"/>
        <v>0.17056055176858551</v>
      </c>
      <c r="X112" s="172">
        <f t="shared" si="327"/>
        <v>281.43605447997982</v>
      </c>
      <c r="Y112" s="379">
        <f t="shared" si="328"/>
        <v>350</v>
      </c>
      <c r="AA112" s="188">
        <f t="shared" si="329"/>
        <v>1</v>
      </c>
      <c r="AB112" s="150">
        <f t="shared" si="330"/>
        <v>2.216298238958947</v>
      </c>
      <c r="AC112" s="150">
        <f t="shared" si="331"/>
        <v>0.31187311596176676</v>
      </c>
      <c r="AD112" s="150"/>
      <c r="AE112" s="150">
        <f t="shared" si="332"/>
        <v>2.216298238958947</v>
      </c>
      <c r="AF112" s="314">
        <f t="shared" si="333"/>
        <v>21.657735026918967</v>
      </c>
      <c r="AG112" s="456">
        <f t="shared" si="334"/>
        <v>0.3118731159617667</v>
      </c>
      <c r="AI112" s="150">
        <f t="shared" si="335"/>
        <v>0.24875538774879669</v>
      </c>
      <c r="AJ112" s="150">
        <f t="shared" si="336"/>
        <v>1</v>
      </c>
      <c r="AK112" s="150">
        <f t="shared" si="337"/>
        <v>1.0123758485868108</v>
      </c>
      <c r="AM112" s="314">
        <f t="shared" si="338"/>
        <v>24</v>
      </c>
      <c r="AN112" s="144">
        <f t="shared" si="339"/>
        <v>21.657735026918967</v>
      </c>
      <c r="AP112" s="144">
        <f t="shared" si="340"/>
        <v>24</v>
      </c>
      <c r="AQ112" s="144">
        <f t="shared" si="341"/>
        <v>21.657735026918967</v>
      </c>
      <c r="AS112" s="5">
        <f t="shared" si="285"/>
        <v>46.172879978311386</v>
      </c>
      <c r="AT112" s="5">
        <f t="shared" si="342"/>
        <v>1.3369067754012005</v>
      </c>
      <c r="AU112" s="5">
        <f t="shared" si="343"/>
        <v>44.835973202910182</v>
      </c>
      <c r="AV112" s="5"/>
      <c r="AW112" s="150">
        <f t="shared" si="344"/>
        <v>2.8954372697331868E-2</v>
      </c>
      <c r="AX112" s="150">
        <f t="shared" si="214"/>
        <v>0.12994641016151381</v>
      </c>
      <c r="AY112" s="150">
        <f t="shared" si="215"/>
        <v>0.48552281365133404</v>
      </c>
      <c r="AZ112" s="150">
        <f t="shared" si="288"/>
        <v>0.26764223329540915</v>
      </c>
      <c r="BA112" s="144">
        <f t="shared" si="345"/>
        <v>0.64171525219257619</v>
      </c>
      <c r="BB112" s="5">
        <f t="shared" si="346"/>
        <v>0.24975631815282198</v>
      </c>
      <c r="BD112" s="150">
        <f t="shared" si="289"/>
        <v>9.8241832056295095E-2</v>
      </c>
      <c r="BE112" s="150">
        <f t="shared" si="218"/>
        <v>0.56893046654890611</v>
      </c>
      <c r="BG112" s="456">
        <f t="shared" si="347"/>
        <v>1.9302915131554581E-4</v>
      </c>
      <c r="BH112" s="456">
        <f t="shared" si="348"/>
        <v>5.8436809262844237E-3</v>
      </c>
      <c r="BI112" s="456">
        <f t="shared" si="349"/>
        <v>4.859965277777779E-3</v>
      </c>
      <c r="BJ112" s="456">
        <f t="shared" si="350"/>
        <v>4.484947972936795E-4</v>
      </c>
      <c r="BK112">
        <f t="shared" si="351"/>
        <v>4.0391746824526946E-3</v>
      </c>
      <c r="BL112" s="144">
        <f t="shared" si="427"/>
        <v>8.8991399602304728</v>
      </c>
      <c r="BM112" s="456">
        <f t="shared" si="352"/>
        <v>6.5376225854821036E-3</v>
      </c>
      <c r="BN112" s="144">
        <f t="shared" si="353"/>
        <v>6.5376225854821035</v>
      </c>
      <c r="BO112" s="456">
        <f t="shared" si="354"/>
        <v>1.6799999999999999E-2</v>
      </c>
      <c r="BR112" s="144">
        <f t="shared" si="355"/>
        <v>16.8</v>
      </c>
      <c r="BS112" s="456">
        <f t="shared" si="356"/>
        <v>2.8954372697331869E-4</v>
      </c>
      <c r="BT112" s="456">
        <f t="shared" si="357"/>
        <v>9.7104562730266786E-3</v>
      </c>
      <c r="BU112" s="456">
        <f t="shared" si="358"/>
        <v>1.0914468564065116E-4</v>
      </c>
      <c r="BV112" s="456"/>
      <c r="BW112" s="456">
        <f t="shared" si="359"/>
        <v>2.1657735026918968E-5</v>
      </c>
      <c r="BX112" s="144">
        <f t="shared" si="360"/>
        <v>10.130802420667566</v>
      </c>
      <c r="BY112" s="150">
        <f>SUM(BG112:BK112,BO112:BQ112,BS112:BW112)</f>
        <v>4.2315147255791691E-2</v>
      </c>
      <c r="BZ112" s="5">
        <f t="shared" si="362"/>
        <v>0.12</v>
      </c>
      <c r="CA112" s="150">
        <f t="shared" si="363"/>
        <v>0.73930253601589357</v>
      </c>
      <c r="CB112" s="5">
        <f t="shared" si="364"/>
        <v>73.930253601589357</v>
      </c>
      <c r="CE112" s="59">
        <f t="shared" si="365"/>
        <v>-50</v>
      </c>
      <c r="CF112">
        <f t="shared" si="366"/>
        <v>-50</v>
      </c>
      <c r="CG112" s="150">
        <f t="shared" si="367"/>
        <v>4.9883063257983667E-2</v>
      </c>
      <c r="CI112" s="147">
        <v>2</v>
      </c>
      <c r="CJ112" s="188">
        <f t="shared" si="428"/>
        <v>2.4E-2</v>
      </c>
      <c r="CK112" s="188"/>
      <c r="CL112" s="188">
        <f t="shared" si="368"/>
        <v>0.12</v>
      </c>
      <c r="CM112" s="465">
        <f t="shared" si="369"/>
        <v>9</v>
      </c>
      <c r="CN112" s="379">
        <f t="shared" si="370"/>
        <v>5.4</v>
      </c>
      <c r="CO112" s="379">
        <f t="shared" si="371"/>
        <v>14.4</v>
      </c>
      <c r="CP112" s="379"/>
      <c r="CQ112" s="188">
        <f t="shared" si="372"/>
        <v>0.375</v>
      </c>
      <c r="CR112" s="149">
        <f t="shared" si="429"/>
        <v>8.4754687499999992</v>
      </c>
      <c r="CS112" s="149">
        <f t="shared" si="373"/>
        <v>0.12</v>
      </c>
      <c r="CT112" s="188">
        <f t="shared" si="374"/>
        <v>1.6950937499999998</v>
      </c>
      <c r="CU112" s="188">
        <f t="shared" si="375"/>
        <v>5</v>
      </c>
      <c r="CV112" s="188"/>
      <c r="CW112" s="149">
        <f t="shared" si="376"/>
        <v>928.50387553555845</v>
      </c>
      <c r="CX112" s="149">
        <f t="shared" si="377"/>
        <v>5</v>
      </c>
      <c r="CY112" s="188">
        <f t="shared" si="378"/>
        <v>7.1111111111111111E-2</v>
      </c>
      <c r="CZ112" s="188">
        <f t="shared" si="379"/>
        <v>9.481481481481481E-2</v>
      </c>
      <c r="DA112" s="188">
        <f t="shared" si="380"/>
        <v>0.15802469135802469</v>
      </c>
      <c r="DB112" s="172">
        <f t="shared" si="381"/>
        <v>281.25</v>
      </c>
      <c r="DC112" s="379">
        <f t="shared" si="382"/>
        <v>350</v>
      </c>
      <c r="DE112" s="188">
        <f t="shared" si="383"/>
        <v>1</v>
      </c>
      <c r="DF112" s="150">
        <f t="shared" si="384"/>
        <v>2.2222222222222219</v>
      </c>
      <c r="DG112" s="150">
        <f t="shared" si="385"/>
        <v>0.31249999999999994</v>
      </c>
      <c r="DH112" s="150"/>
      <c r="DI112" s="150">
        <f t="shared" si="386"/>
        <v>2.2222222222222219</v>
      </c>
      <c r="DJ112" s="314">
        <f t="shared" si="387"/>
        <v>21.600000000000005</v>
      </c>
      <c r="DK112" s="456">
        <f t="shared" si="388"/>
        <v>0.31249999999999994</v>
      </c>
      <c r="DM112" s="150">
        <f t="shared" si="389"/>
        <v>0.24842360136324754</v>
      </c>
      <c r="DN112" s="150">
        <f t="shared" si="390"/>
        <v>1</v>
      </c>
      <c r="DO112" s="150">
        <f t="shared" si="391"/>
        <v>1.0123428571428572</v>
      </c>
      <c r="DQ112" s="314">
        <f t="shared" si="392"/>
        <v>24</v>
      </c>
      <c r="DR112" s="144">
        <f t="shared" si="393"/>
        <v>21.600000000000005</v>
      </c>
      <c r="DT112">
        <f t="shared" si="430"/>
        <v>24</v>
      </c>
      <c r="DU112">
        <f t="shared" si="431"/>
        <v>21.600000000000005</v>
      </c>
      <c r="DW112" s="5">
        <f t="shared" si="394"/>
        <v>46.296296296296283</v>
      </c>
      <c r="DX112" s="5">
        <f t="shared" si="395"/>
        <v>1.3333333333333335</v>
      </c>
      <c r="DY112" s="5">
        <f t="shared" si="396"/>
        <v>44.962962962962948</v>
      </c>
      <c r="DZ112" s="5"/>
      <c r="EA112" s="150">
        <f t="shared" si="397"/>
        <v>2.880000000000001E-2</v>
      </c>
      <c r="EB112" s="150">
        <f t="shared" si="398"/>
        <v>0.12960000000000002</v>
      </c>
      <c r="EC112" s="150">
        <f t="shared" si="399"/>
        <v>0.48559999999999998</v>
      </c>
      <c r="ED112" s="150">
        <f t="shared" si="400"/>
        <v>0.26688632619439873</v>
      </c>
      <c r="EE112" s="144">
        <f t="shared" si="401"/>
        <v>0.64000000000000012</v>
      </c>
      <c r="EF112" s="5">
        <f t="shared" si="402"/>
        <v>0.24979423868312742</v>
      </c>
      <c r="EH112" s="150">
        <f t="shared" si="403"/>
        <v>9.7979589711327142E-2</v>
      </c>
      <c r="EI112" s="150">
        <f t="shared" si="404"/>
        <v>0.56897568782271646</v>
      </c>
      <c r="EK112" s="456">
        <f t="shared" si="405"/>
        <v>1.9200000000000009E-4</v>
      </c>
      <c r="EL112" s="456">
        <f t="shared" si="406"/>
        <v>6.2208000000000012E-3</v>
      </c>
      <c r="EM112" s="456">
        <f t="shared" si="407"/>
        <v>2.7000000000000006E-3</v>
      </c>
      <c r="EN112" s="456">
        <f t="shared" si="408"/>
        <v>4.4789760000000009E-4</v>
      </c>
      <c r="EO112">
        <f t="shared" si="409"/>
        <v>4.0499999999999998E-3</v>
      </c>
      <c r="EP112" s="144">
        <f t="shared" si="410"/>
        <v>6.7500000000000009</v>
      </c>
      <c r="EQ112" s="144"/>
      <c r="ER112" s="144">
        <f t="shared" si="432"/>
        <v>13.610697600000002</v>
      </c>
      <c r="ES112" s="456">
        <f t="shared" si="411"/>
        <v>1.6799999999999999E-2</v>
      </c>
      <c r="EV112" s="144">
        <f t="shared" si="412"/>
        <v>16.8</v>
      </c>
      <c r="EW112" s="456">
        <f t="shared" si="413"/>
        <v>2.8800000000000012E-4</v>
      </c>
      <c r="EX112" s="456">
        <f t="shared" si="414"/>
        <v>9.7119999999999984E-3</v>
      </c>
      <c r="EY112" s="456">
        <f t="shared" si="415"/>
        <v>1.0841874660039202E-4</v>
      </c>
      <c r="EZ112" s="456"/>
      <c r="FA112" s="456">
        <f t="shared" si="416"/>
        <v>2.1600000000000003E-5</v>
      </c>
      <c r="FB112" s="144">
        <f t="shared" si="417"/>
        <v>10.13001874660039</v>
      </c>
      <c r="FC112" s="150">
        <f t="shared" si="418"/>
        <v>4.0540716346600392E-2</v>
      </c>
      <c r="FD112" s="5">
        <f t="shared" si="419"/>
        <v>0.12</v>
      </c>
      <c r="FE112" s="150">
        <f t="shared" si="420"/>
        <v>0.74747392892482956</v>
      </c>
      <c r="FF112" s="5">
        <f t="shared" si="421"/>
        <v>74.747392892482949</v>
      </c>
      <c r="FI112" s="59">
        <f t="shared" si="422"/>
        <v>-50</v>
      </c>
      <c r="FJ112">
        <f t="shared" si="423"/>
        <v>-50</v>
      </c>
      <c r="FL112">
        <f t="shared" si="424"/>
        <v>4.8000000000000008E-2</v>
      </c>
    </row>
    <row r="113" spans="5:168">
      <c r="E113" s="147">
        <v>3</v>
      </c>
      <c r="F113" s="188">
        <f t="shared" si="425"/>
        <v>3.5999999999999997E-2</v>
      </c>
      <c r="G113" s="188"/>
      <c r="H113" s="188">
        <f t="shared" si="315"/>
        <v>0.18</v>
      </c>
      <c r="I113" s="465">
        <f t="shared" si="316"/>
        <v>8.9759437387837657</v>
      </c>
      <c r="J113" s="149">
        <f t="shared" si="317"/>
        <v>5.4144337567297409</v>
      </c>
      <c r="K113" s="149">
        <f t="shared" si="318"/>
        <v>14.390377495513507</v>
      </c>
      <c r="L113" s="379"/>
      <c r="M113" s="188">
        <f t="shared" si="319"/>
        <v>0.37627831074111634</v>
      </c>
      <c r="N113" s="149">
        <f t="shared" si="426"/>
        <v>8.4816287139996778</v>
      </c>
      <c r="O113" s="149">
        <f t="shared" si="284"/>
        <v>0.18</v>
      </c>
      <c r="P113" s="188">
        <f t="shared" si="320"/>
        <v>1.6963257427999356</v>
      </c>
      <c r="Q113" s="188">
        <f t="shared" si="321"/>
        <v>5</v>
      </c>
      <c r="R113" s="188"/>
      <c r="S113" s="149">
        <f t="shared" si="322"/>
        <v>614.35932286340335</v>
      </c>
      <c r="T113" s="149">
        <f t="shared" si="323"/>
        <v>5</v>
      </c>
      <c r="U113" s="188">
        <f t="shared" si="324"/>
        <v>0.11543610113278498</v>
      </c>
      <c r="V113" s="188">
        <f t="shared" si="325"/>
        <v>0.15432730573031844</v>
      </c>
      <c r="W113" s="188">
        <f t="shared" si="326"/>
        <v>0.25584082765287824</v>
      </c>
      <c r="X113" s="172">
        <f t="shared" si="327"/>
        <v>281.43605447997982</v>
      </c>
      <c r="Y113" s="379">
        <f t="shared" si="328"/>
        <v>350</v>
      </c>
      <c r="AA113" s="188">
        <f t="shared" si="329"/>
        <v>1</v>
      </c>
      <c r="AB113" s="150">
        <f t="shared" si="330"/>
        <v>2.216298238958947</v>
      </c>
      <c r="AC113" s="150">
        <f t="shared" si="331"/>
        <v>0.31187311596176676</v>
      </c>
      <c r="AD113" s="150"/>
      <c r="AE113" s="150">
        <f t="shared" si="332"/>
        <v>2.216298238958947</v>
      </c>
      <c r="AF113" s="314">
        <f t="shared" si="333"/>
        <v>32.486602540378442</v>
      </c>
      <c r="AG113" s="456">
        <f t="shared" si="334"/>
        <v>0.3118731159617667</v>
      </c>
      <c r="AI113" s="150">
        <f t="shared" si="335"/>
        <v>0.30466188537636485</v>
      </c>
      <c r="AJ113" s="150">
        <f t="shared" si="336"/>
        <v>1</v>
      </c>
      <c r="AK113" s="150">
        <f t="shared" si="337"/>
        <v>1.0185637728802162</v>
      </c>
      <c r="AM113" s="314">
        <f t="shared" si="338"/>
        <v>36</v>
      </c>
      <c r="AN113" s="144">
        <f t="shared" si="339"/>
        <v>32.486602540378442</v>
      </c>
      <c r="AP113" s="144">
        <f t="shared" si="340"/>
        <v>36</v>
      </c>
      <c r="AQ113" s="144">
        <f t="shared" si="341"/>
        <v>32.486602540378442</v>
      </c>
      <c r="AS113" s="5">
        <f t="shared" si="285"/>
        <v>30.781919985540931</v>
      </c>
      <c r="AT113" s="5">
        <f t="shared" si="342"/>
        <v>1.3369067754012005</v>
      </c>
      <c r="AU113" s="5">
        <f t="shared" si="343"/>
        <v>29.445013210139731</v>
      </c>
      <c r="AV113" s="5"/>
      <c r="AW113" s="150">
        <f t="shared" si="344"/>
        <v>4.3431559045997797E-2</v>
      </c>
      <c r="AX113" s="150">
        <f t="shared" si="214"/>
        <v>0.19491961524227064</v>
      </c>
      <c r="AY113" s="150">
        <f t="shared" si="215"/>
        <v>0.47828422047700109</v>
      </c>
      <c r="AZ113" s="150">
        <f t="shared" si="288"/>
        <v>0.40753929754963264</v>
      </c>
      <c r="BA113" s="144">
        <f t="shared" si="345"/>
        <v>0.96257287828886429</v>
      </c>
      <c r="BB113" s="5">
        <f t="shared" si="346"/>
        <v>0.24603273539008533</v>
      </c>
      <c r="BD113" s="150">
        <f t="shared" si="289"/>
        <v>0.12032117996706121</v>
      </c>
      <c r="BE113" s="150">
        <f t="shared" si="218"/>
        <v>0.56467348705660636</v>
      </c>
      <c r="BG113" s="456">
        <f t="shared" si="347"/>
        <v>2.8954372697331864E-4</v>
      </c>
      <c r="BH113" s="456">
        <f t="shared" si="348"/>
        <v>8.7655213894266351E-3</v>
      </c>
      <c r="BI113" s="456">
        <f t="shared" si="349"/>
        <v>7.2899479166666668E-3</v>
      </c>
      <c r="BJ113" s="456">
        <f t="shared" si="350"/>
        <v>6.7274219594051917E-4</v>
      </c>
      <c r="BK113">
        <f t="shared" si="351"/>
        <v>4.0391746824526946E-3</v>
      </c>
      <c r="BL113" s="144">
        <f t="shared" si="427"/>
        <v>11.329122599119362</v>
      </c>
      <c r="BM113" s="456">
        <f t="shared" si="352"/>
        <v>9.8066587734949012E-3</v>
      </c>
      <c r="BN113" s="144">
        <f t="shared" si="353"/>
        <v>9.8066587734949007</v>
      </c>
      <c r="BO113" s="456">
        <f t="shared" si="354"/>
        <v>2.5199999999999997E-2</v>
      </c>
      <c r="BR113" s="144">
        <f t="shared" si="355"/>
        <v>25.199999999999996</v>
      </c>
      <c r="BS113" s="456">
        <f t="shared" si="356"/>
        <v>4.3431559045997795E-4</v>
      </c>
      <c r="BT113" s="456">
        <f t="shared" si="357"/>
        <v>9.5656844095400213E-3</v>
      </c>
      <c r="BU113" s="456">
        <f t="shared" si="358"/>
        <v>3.0076738645057793E-4</v>
      </c>
      <c r="BV113" s="456"/>
      <c r="BW113" s="456">
        <f t="shared" si="359"/>
        <v>3.2486602540378445E-5</v>
      </c>
      <c r="BX113" s="144">
        <f t="shared" si="360"/>
        <v>10.333253988990956</v>
      </c>
      <c r="BY113" s="150">
        <f t="shared" si="361"/>
        <v>5.6590183900450779E-2</v>
      </c>
      <c r="BZ113" s="5">
        <f t="shared" si="362"/>
        <v>0.18</v>
      </c>
      <c r="CA113" s="150">
        <f t="shared" si="363"/>
        <v>0.76080924843330766</v>
      </c>
      <c r="CB113" s="5">
        <f t="shared" si="364"/>
        <v>76.080924843330763</v>
      </c>
      <c r="CE113" s="59">
        <f t="shared" si="365"/>
        <v>-50</v>
      </c>
      <c r="CF113">
        <f t="shared" si="366"/>
        <v>-50</v>
      </c>
      <c r="CG113" s="150">
        <f t="shared" si="367"/>
        <v>7.4824594886975501E-2</v>
      </c>
      <c r="CI113" s="147">
        <v>3</v>
      </c>
      <c r="CJ113" s="188">
        <f t="shared" si="428"/>
        <v>3.5999999999999997E-2</v>
      </c>
      <c r="CK113" s="188"/>
      <c r="CL113" s="188">
        <f t="shared" si="368"/>
        <v>0.18</v>
      </c>
      <c r="CM113" s="465">
        <f t="shared" si="369"/>
        <v>9</v>
      </c>
      <c r="CN113" s="379">
        <f t="shared" si="370"/>
        <v>5.4</v>
      </c>
      <c r="CO113" s="379">
        <f t="shared" si="371"/>
        <v>14.4</v>
      </c>
      <c r="CP113" s="379"/>
      <c r="CQ113" s="188">
        <f t="shared" si="372"/>
        <v>0.375</v>
      </c>
      <c r="CR113" s="149">
        <f t="shared" si="429"/>
        <v>8.4754687499999992</v>
      </c>
      <c r="CS113" s="149">
        <f t="shared" si="373"/>
        <v>0.18</v>
      </c>
      <c r="CT113" s="188">
        <f t="shared" si="374"/>
        <v>1.6950937499999998</v>
      </c>
      <c r="CU113" s="188">
        <f t="shared" si="375"/>
        <v>5</v>
      </c>
      <c r="CV113" s="188"/>
      <c r="CW113" s="149">
        <f t="shared" si="376"/>
        <v>616.00584030806419</v>
      </c>
      <c r="CX113" s="149">
        <f t="shared" si="377"/>
        <v>5</v>
      </c>
      <c r="CY113" s="188">
        <f t="shared" si="378"/>
        <v>0.10666666666666666</v>
      </c>
      <c r="CZ113" s="188">
        <f t="shared" si="379"/>
        <v>0.14222222222222222</v>
      </c>
      <c r="DA113" s="188">
        <f t="shared" si="380"/>
        <v>0.23703703703703702</v>
      </c>
      <c r="DB113" s="172">
        <f t="shared" si="381"/>
        <v>281.25</v>
      </c>
      <c r="DC113" s="379">
        <f t="shared" si="382"/>
        <v>350</v>
      </c>
      <c r="DE113" s="188">
        <f t="shared" si="383"/>
        <v>1</v>
      </c>
      <c r="DF113" s="150">
        <f t="shared" si="384"/>
        <v>2.2222222222222219</v>
      </c>
      <c r="DG113" s="150">
        <f t="shared" si="385"/>
        <v>0.31249999999999994</v>
      </c>
      <c r="DH113" s="150"/>
      <c r="DI113" s="150">
        <f t="shared" si="386"/>
        <v>2.2222222222222219</v>
      </c>
      <c r="DJ113" s="314">
        <f t="shared" si="387"/>
        <v>32.4</v>
      </c>
      <c r="DK113" s="456">
        <f t="shared" si="388"/>
        <v>0.31249999999999994</v>
      </c>
      <c r="DM113" s="150">
        <f t="shared" si="389"/>
        <v>0.30425553170226599</v>
      </c>
      <c r="DN113" s="150">
        <f t="shared" si="390"/>
        <v>1</v>
      </c>
      <c r="DO113" s="150">
        <f t="shared" si="391"/>
        <v>1.0185142857142857</v>
      </c>
      <c r="DQ113" s="314">
        <f t="shared" si="392"/>
        <v>36</v>
      </c>
      <c r="DR113" s="144">
        <f t="shared" si="393"/>
        <v>32.4</v>
      </c>
      <c r="DT113">
        <f t="shared" si="430"/>
        <v>36</v>
      </c>
      <c r="DU113">
        <f t="shared" si="431"/>
        <v>32.4</v>
      </c>
      <c r="DW113" s="5">
        <f t="shared" si="394"/>
        <v>30.8641975308642</v>
      </c>
      <c r="DX113" s="5">
        <f t="shared" si="395"/>
        <v>1.3333333333333335</v>
      </c>
      <c r="DY113" s="5">
        <f t="shared" si="396"/>
        <v>29.530864197530867</v>
      </c>
      <c r="DZ113" s="5"/>
      <c r="EA113" s="150">
        <f t="shared" si="397"/>
        <v>4.3200000000000002E-2</v>
      </c>
      <c r="EB113" s="150">
        <f t="shared" si="398"/>
        <v>0.19440000000000002</v>
      </c>
      <c r="EC113" s="150">
        <f t="shared" si="399"/>
        <v>0.47839999999999999</v>
      </c>
      <c r="ED113" s="150">
        <f t="shared" si="400"/>
        <v>0.40635451505016729</v>
      </c>
      <c r="EE113" s="144">
        <f t="shared" si="401"/>
        <v>0.96000000000000008</v>
      </c>
      <c r="EF113" s="5">
        <f t="shared" si="402"/>
        <v>0.24609053497942388</v>
      </c>
      <c r="EH113" s="150">
        <f t="shared" si="403"/>
        <v>0.12000000000000001</v>
      </c>
      <c r="EI113" s="150">
        <f t="shared" si="404"/>
        <v>0.56474182892126323</v>
      </c>
      <c r="EK113" s="456">
        <f t="shared" si="405"/>
        <v>2.8800000000000006E-4</v>
      </c>
      <c r="EL113" s="456">
        <f t="shared" si="406"/>
        <v>9.3311999999999996E-3</v>
      </c>
      <c r="EM113" s="456">
        <f t="shared" si="407"/>
        <v>4.0499999999999989E-3</v>
      </c>
      <c r="EN113" s="456">
        <f t="shared" si="408"/>
        <v>6.7184640000000006E-4</v>
      </c>
      <c r="EO113">
        <f t="shared" si="409"/>
        <v>4.0499999999999998E-3</v>
      </c>
      <c r="EP113" s="144">
        <f t="shared" si="410"/>
        <v>8.1</v>
      </c>
      <c r="EQ113" s="144"/>
      <c r="ER113" s="144">
        <f t="shared" si="432"/>
        <v>18.3910464</v>
      </c>
      <c r="ES113" s="456">
        <f t="shared" si="411"/>
        <v>2.5199999999999997E-2</v>
      </c>
      <c r="EV113" s="144">
        <f t="shared" si="412"/>
        <v>25.199999999999996</v>
      </c>
      <c r="EW113" s="456">
        <f t="shared" si="413"/>
        <v>4.3200000000000009E-4</v>
      </c>
      <c r="EX113" s="456">
        <f t="shared" si="414"/>
        <v>9.5680000000000001E-3</v>
      </c>
      <c r="EY113" s="456">
        <f t="shared" si="415"/>
        <v>2.9876693368845186E-4</v>
      </c>
      <c r="EZ113" s="456"/>
      <c r="FA113" s="456">
        <f t="shared" si="416"/>
        <v>3.2400000000000001E-5</v>
      </c>
      <c r="FB113" s="144">
        <f t="shared" si="417"/>
        <v>10.331166933688452</v>
      </c>
      <c r="FC113" s="150">
        <f t="shared" si="418"/>
        <v>5.3922213333688455E-2</v>
      </c>
      <c r="FD113" s="5">
        <f t="shared" si="419"/>
        <v>0.18</v>
      </c>
      <c r="FE113" s="150">
        <f t="shared" si="420"/>
        <v>0.76948656322446474</v>
      </c>
      <c r="FF113" s="5">
        <f t="shared" si="421"/>
        <v>76.948656322446467</v>
      </c>
      <c r="FI113" s="59">
        <f t="shared" si="422"/>
        <v>-50</v>
      </c>
      <c r="FJ113">
        <f t="shared" si="423"/>
        <v>-50</v>
      </c>
      <c r="FL113">
        <f t="shared" si="424"/>
        <v>7.2000000000000008E-2</v>
      </c>
    </row>
    <row r="114" spans="5:168">
      <c r="E114" s="147">
        <v>4</v>
      </c>
      <c r="F114" s="188">
        <f t="shared" si="425"/>
        <v>4.8000000000000001E-2</v>
      </c>
      <c r="G114" s="188"/>
      <c r="H114" s="188">
        <f t="shared" si="315"/>
        <v>0.24</v>
      </c>
      <c r="I114" s="465">
        <f t="shared" si="316"/>
        <v>8.9759437387837657</v>
      </c>
      <c r="J114" s="149">
        <f t="shared" si="317"/>
        <v>5.4144337567297409</v>
      </c>
      <c r="K114" s="149">
        <f t="shared" si="318"/>
        <v>14.390377495513507</v>
      </c>
      <c r="L114" s="379"/>
      <c r="M114" s="188">
        <f t="shared" si="319"/>
        <v>0.37627831074111634</v>
      </c>
      <c r="N114" s="149">
        <f t="shared" si="426"/>
        <v>8.4816287139996778</v>
      </c>
      <c r="O114" s="149">
        <f t="shared" si="284"/>
        <v>0.24</v>
      </c>
      <c r="P114" s="188">
        <f t="shared" si="320"/>
        <v>1.6963257427999356</v>
      </c>
      <c r="Q114" s="188">
        <f t="shared" si="321"/>
        <v>5</v>
      </c>
      <c r="R114" s="188"/>
      <c r="S114" s="149">
        <f t="shared" si="322"/>
        <v>458.52894937374623</v>
      </c>
      <c r="T114" s="149">
        <f t="shared" si="323"/>
        <v>5</v>
      </c>
      <c r="U114" s="188">
        <f t="shared" si="324"/>
        <v>0.15391480151037998</v>
      </c>
      <c r="V114" s="188">
        <f t="shared" si="325"/>
        <v>0.20576974097375791</v>
      </c>
      <c r="W114" s="188">
        <f t="shared" si="326"/>
        <v>0.34112110353717101</v>
      </c>
      <c r="X114" s="172">
        <f t="shared" si="327"/>
        <v>281.43605447997982</v>
      </c>
      <c r="Y114" s="379">
        <f t="shared" si="328"/>
        <v>350</v>
      </c>
      <c r="AA114" s="188">
        <f t="shared" si="329"/>
        <v>1</v>
      </c>
      <c r="AB114" s="150">
        <f t="shared" si="330"/>
        <v>2.216298238958947</v>
      </c>
      <c r="AC114" s="150">
        <f t="shared" si="331"/>
        <v>0.31187311596176676</v>
      </c>
      <c r="AD114" s="150"/>
      <c r="AE114" s="150">
        <f t="shared" si="332"/>
        <v>2.216298238958947</v>
      </c>
      <c r="AF114" s="314">
        <f t="shared" si="333"/>
        <v>43.315470053837934</v>
      </c>
      <c r="AG114" s="456">
        <f t="shared" si="334"/>
        <v>0.3118731159617667</v>
      </c>
      <c r="AI114" s="150">
        <f t="shared" si="335"/>
        <v>0.3517932430677263</v>
      </c>
      <c r="AJ114" s="150">
        <f t="shared" si="336"/>
        <v>1</v>
      </c>
      <c r="AK114" s="150">
        <f t="shared" si="337"/>
        <v>1.0247516971736217</v>
      </c>
      <c r="AM114" s="314">
        <f t="shared" si="338"/>
        <v>48</v>
      </c>
      <c r="AN114" s="144">
        <f t="shared" si="339"/>
        <v>43.315470053837934</v>
      </c>
      <c r="AP114" s="144">
        <f t="shared" si="340"/>
        <v>48</v>
      </c>
      <c r="AQ114" s="144">
        <f t="shared" si="341"/>
        <v>43.315470053837934</v>
      </c>
      <c r="AS114" s="5">
        <f t="shared" si="285"/>
        <v>23.086439989155693</v>
      </c>
      <c r="AT114" s="5">
        <f t="shared" si="342"/>
        <v>1.3369067754012005</v>
      </c>
      <c r="AU114" s="5">
        <f t="shared" si="343"/>
        <v>21.749533213754493</v>
      </c>
      <c r="AV114" s="5"/>
      <c r="AW114" s="150">
        <f t="shared" si="344"/>
        <v>5.7908745394663737E-2</v>
      </c>
      <c r="AX114" s="150">
        <f t="shared" si="214"/>
        <v>0.25989282032302763</v>
      </c>
      <c r="AY114" s="150">
        <f t="shared" si="215"/>
        <v>0.47104562730266814</v>
      </c>
      <c r="AZ114" s="150">
        <f t="shared" si="288"/>
        <v>0.55173597897775351</v>
      </c>
      <c r="BA114" s="144">
        <f t="shared" si="345"/>
        <v>1.2834305043851524</v>
      </c>
      <c r="BB114" s="5">
        <f t="shared" si="346"/>
        <v>0.24230915262734851</v>
      </c>
      <c r="BD114" s="150">
        <f t="shared" si="289"/>
        <v>0.13893493128639242</v>
      </c>
      <c r="BE114" s="150">
        <f t="shared" si="218"/>
        <v>0.56038417019200204</v>
      </c>
      <c r="BG114" s="456">
        <f t="shared" si="347"/>
        <v>3.8605830263109168E-4</v>
      </c>
      <c r="BH114" s="456">
        <f t="shared" si="348"/>
        <v>1.1687361852568847E-2</v>
      </c>
      <c r="BI114" s="456">
        <f t="shared" si="349"/>
        <v>9.719930555555558E-3</v>
      </c>
      <c r="BJ114" s="456">
        <f t="shared" si="350"/>
        <v>8.96989594587359E-4</v>
      </c>
      <c r="BK114">
        <f t="shared" si="351"/>
        <v>4.0391746824526946E-3</v>
      </c>
      <c r="BL114" s="144">
        <f t="shared" si="427"/>
        <v>13.759105238008253</v>
      </c>
      <c r="BM114" s="456">
        <f t="shared" si="352"/>
        <v>1.3075844905442837E-2</v>
      </c>
      <c r="BN114" s="144">
        <f t="shared" si="353"/>
        <v>13.075844905442837</v>
      </c>
      <c r="BO114" s="456">
        <f t="shared" si="354"/>
        <v>3.3599999999999998E-2</v>
      </c>
      <c r="BR114" s="144">
        <f t="shared" si="355"/>
        <v>33.6</v>
      </c>
      <c r="BS114" s="456">
        <f t="shared" si="356"/>
        <v>5.7908745394663749E-4</v>
      </c>
      <c r="BT114" s="456">
        <f t="shared" si="357"/>
        <v>9.4209125460533606E-3</v>
      </c>
      <c r="BU114" s="456">
        <f t="shared" si="358"/>
        <v>6.1741557877582757E-4</v>
      </c>
      <c r="BV114" s="456"/>
      <c r="BW114" s="456">
        <f t="shared" si="359"/>
        <v>4.3315470053837936E-5</v>
      </c>
      <c r="BX114" s="144">
        <f t="shared" si="360"/>
        <v>10.660731048829664</v>
      </c>
      <c r="BY114" s="150">
        <f t="shared" si="361"/>
        <v>7.099024603662521E-2</v>
      </c>
      <c r="BZ114" s="5">
        <f t="shared" si="362"/>
        <v>0.24</v>
      </c>
      <c r="CA114" s="150">
        <f t="shared" si="363"/>
        <v>0.77172838395624566</v>
      </c>
      <c r="CB114" s="5">
        <f t="shared" si="364"/>
        <v>77.172838395624566</v>
      </c>
      <c r="CE114" s="59">
        <f t="shared" si="365"/>
        <v>-50</v>
      </c>
      <c r="CF114">
        <f t="shared" si="366"/>
        <v>-50</v>
      </c>
      <c r="CG114" s="150">
        <f t="shared" si="367"/>
        <v>9.9766126515967335E-2</v>
      </c>
      <c r="CI114" s="147">
        <v>4</v>
      </c>
      <c r="CJ114" s="188">
        <f t="shared" si="428"/>
        <v>4.8000000000000001E-2</v>
      </c>
      <c r="CK114" s="188"/>
      <c r="CL114" s="188">
        <f t="shared" si="368"/>
        <v>0.24</v>
      </c>
      <c r="CM114" s="465">
        <f t="shared" si="369"/>
        <v>9</v>
      </c>
      <c r="CN114" s="379">
        <f t="shared" si="370"/>
        <v>5.4</v>
      </c>
      <c r="CO114" s="379">
        <f t="shared" si="371"/>
        <v>14.4</v>
      </c>
      <c r="CP114" s="379"/>
      <c r="CQ114" s="188">
        <f t="shared" si="372"/>
        <v>0.375</v>
      </c>
      <c r="CR114" s="149">
        <f t="shared" si="429"/>
        <v>8.4754687499999992</v>
      </c>
      <c r="CS114" s="149">
        <f t="shared" si="373"/>
        <v>0.24</v>
      </c>
      <c r="CT114" s="188">
        <f t="shared" si="374"/>
        <v>1.6950937499999998</v>
      </c>
      <c r="CU114" s="188">
        <f t="shared" si="375"/>
        <v>5</v>
      </c>
      <c r="CV114" s="188"/>
      <c r="CW114" s="149">
        <f t="shared" si="376"/>
        <v>459.75782340279119</v>
      </c>
      <c r="CX114" s="149">
        <f t="shared" si="377"/>
        <v>5</v>
      </c>
      <c r="CY114" s="188">
        <f t="shared" si="378"/>
        <v>0.14222222222222222</v>
      </c>
      <c r="CZ114" s="188">
        <f t="shared" si="379"/>
        <v>0.18962962962962962</v>
      </c>
      <c r="DA114" s="188">
        <f t="shared" si="380"/>
        <v>0.31604938271604938</v>
      </c>
      <c r="DB114" s="172">
        <f t="shared" si="381"/>
        <v>281.25</v>
      </c>
      <c r="DC114" s="379">
        <f t="shared" si="382"/>
        <v>350</v>
      </c>
      <c r="DE114" s="188">
        <f t="shared" si="383"/>
        <v>1</v>
      </c>
      <c r="DF114" s="150">
        <f t="shared" si="384"/>
        <v>2.2222222222222219</v>
      </c>
      <c r="DG114" s="150">
        <f t="shared" si="385"/>
        <v>0.31249999999999994</v>
      </c>
      <c r="DH114" s="150"/>
      <c r="DI114" s="150">
        <f t="shared" si="386"/>
        <v>2.2222222222222219</v>
      </c>
      <c r="DJ114" s="314">
        <f t="shared" si="387"/>
        <v>43.20000000000001</v>
      </c>
      <c r="DK114" s="456">
        <f t="shared" si="388"/>
        <v>0.31249999999999994</v>
      </c>
      <c r="DM114" s="150">
        <f t="shared" si="389"/>
        <v>0.35132402626147197</v>
      </c>
      <c r="DN114" s="150">
        <f t="shared" si="390"/>
        <v>1</v>
      </c>
      <c r="DO114" s="150">
        <f t="shared" si="391"/>
        <v>1.0246857142857142</v>
      </c>
      <c r="DQ114" s="314">
        <f t="shared" si="392"/>
        <v>48</v>
      </c>
      <c r="DR114" s="144">
        <f t="shared" si="393"/>
        <v>43.20000000000001</v>
      </c>
      <c r="DT114">
        <f t="shared" si="430"/>
        <v>48</v>
      </c>
      <c r="DU114">
        <f t="shared" si="431"/>
        <v>43.20000000000001</v>
      </c>
      <c r="DW114" s="5">
        <f t="shared" si="394"/>
        <v>23.148148148148142</v>
      </c>
      <c r="DX114" s="5">
        <f t="shared" si="395"/>
        <v>1.3333333333333335</v>
      </c>
      <c r="DY114" s="5">
        <f t="shared" si="396"/>
        <v>21.81481481481481</v>
      </c>
      <c r="DZ114" s="5"/>
      <c r="EA114" s="150">
        <f t="shared" si="397"/>
        <v>5.7600000000000019E-2</v>
      </c>
      <c r="EB114" s="150">
        <f t="shared" si="398"/>
        <v>0.25920000000000004</v>
      </c>
      <c r="EC114" s="150">
        <f t="shared" si="399"/>
        <v>0.47120000000000001</v>
      </c>
      <c r="ED114" s="150">
        <f t="shared" si="400"/>
        <v>0.55008488964346358</v>
      </c>
      <c r="EE114" s="144">
        <f t="shared" si="401"/>
        <v>1.2800000000000002</v>
      </c>
      <c r="EF114" s="5">
        <f t="shared" si="402"/>
        <v>0.24238683127572005</v>
      </c>
      <c r="EH114" s="150">
        <f t="shared" si="403"/>
        <v>0.13856406460551021</v>
      </c>
      <c r="EI114" s="150">
        <f t="shared" si="404"/>
        <v>0.56047598818623201</v>
      </c>
      <c r="EK114" s="456">
        <f t="shared" si="405"/>
        <v>3.8400000000000017E-4</v>
      </c>
      <c r="EL114" s="456">
        <f t="shared" si="406"/>
        <v>1.2441600000000002E-2</v>
      </c>
      <c r="EM114" s="456">
        <f t="shared" si="407"/>
        <v>5.4000000000000012E-3</v>
      </c>
      <c r="EN114" s="456">
        <f t="shared" si="408"/>
        <v>8.9579520000000019E-4</v>
      </c>
      <c r="EO114">
        <f t="shared" si="409"/>
        <v>4.0499999999999998E-3</v>
      </c>
      <c r="EP114" s="144">
        <f t="shared" si="410"/>
        <v>9.4499999999999993</v>
      </c>
      <c r="EQ114" s="144"/>
      <c r="ER114" s="144">
        <f t="shared" si="432"/>
        <v>23.171395200000006</v>
      </c>
      <c r="ES114" s="456">
        <f t="shared" si="411"/>
        <v>3.3599999999999998E-2</v>
      </c>
      <c r="EV114" s="144">
        <f t="shared" si="412"/>
        <v>33.6</v>
      </c>
      <c r="EW114" s="456">
        <f t="shared" si="413"/>
        <v>5.7600000000000023E-4</v>
      </c>
      <c r="EX114" s="456">
        <f t="shared" si="414"/>
        <v>9.4239999999999984E-3</v>
      </c>
      <c r="EY114" s="456">
        <f t="shared" si="415"/>
        <v>6.1330904743106475E-4</v>
      </c>
      <c r="EZ114" s="456"/>
      <c r="FA114" s="456">
        <f t="shared" si="416"/>
        <v>4.3200000000000007E-5</v>
      </c>
      <c r="FB114" s="144">
        <f t="shared" si="417"/>
        <v>10.656509047431063</v>
      </c>
      <c r="FC114" s="150">
        <f t="shared" si="418"/>
        <v>6.7427904247431059E-2</v>
      </c>
      <c r="FD114" s="5">
        <f t="shared" si="419"/>
        <v>0.24</v>
      </c>
      <c r="FE114" s="150">
        <f t="shared" si="420"/>
        <v>0.78067083919239089</v>
      </c>
      <c r="FF114" s="5">
        <f t="shared" si="421"/>
        <v>78.067083919239082</v>
      </c>
      <c r="FI114" s="59">
        <f t="shared" si="422"/>
        <v>-50</v>
      </c>
      <c r="FJ114">
        <f t="shared" si="423"/>
        <v>-50</v>
      </c>
      <c r="FL114">
        <f t="shared" si="424"/>
        <v>9.6000000000000016E-2</v>
      </c>
    </row>
    <row r="115" spans="5:168">
      <c r="E115" s="147">
        <v>5</v>
      </c>
      <c r="F115" s="188">
        <f t="shared" si="425"/>
        <v>0.06</v>
      </c>
      <c r="G115" s="188"/>
      <c r="H115" s="188">
        <f t="shared" si="315"/>
        <v>0.3</v>
      </c>
      <c r="I115" s="465">
        <f t="shared" si="316"/>
        <v>8.9759437387837657</v>
      </c>
      <c r="J115" s="149">
        <f t="shared" si="317"/>
        <v>5.4144337567297409</v>
      </c>
      <c r="K115" s="149">
        <f t="shared" si="318"/>
        <v>14.390377495513507</v>
      </c>
      <c r="L115" s="379"/>
      <c r="M115" s="188">
        <f t="shared" si="319"/>
        <v>0.37627831074111634</v>
      </c>
      <c r="N115" s="149">
        <f t="shared" si="426"/>
        <v>8.4816287139996778</v>
      </c>
      <c r="O115" s="149">
        <f t="shared" si="284"/>
        <v>0.3</v>
      </c>
      <c r="P115" s="188">
        <f t="shared" si="320"/>
        <v>1.6963257427999356</v>
      </c>
      <c r="Q115" s="188">
        <f t="shared" si="321"/>
        <v>5</v>
      </c>
      <c r="R115" s="188"/>
      <c r="S115" s="149">
        <f t="shared" si="322"/>
        <v>365.03153707847258</v>
      </c>
      <c r="T115" s="149">
        <f t="shared" si="323"/>
        <v>5</v>
      </c>
      <c r="U115" s="188">
        <f t="shared" si="324"/>
        <v>0.19239350188797497</v>
      </c>
      <c r="V115" s="188">
        <f t="shared" si="325"/>
        <v>0.25721217621719744</v>
      </c>
      <c r="W115" s="188">
        <f t="shared" si="326"/>
        <v>0.42640137942146378</v>
      </c>
      <c r="X115" s="172">
        <f t="shared" si="327"/>
        <v>281.43605447997982</v>
      </c>
      <c r="Y115" s="379">
        <f t="shared" si="328"/>
        <v>350</v>
      </c>
      <c r="AA115" s="188">
        <f t="shared" si="329"/>
        <v>1</v>
      </c>
      <c r="AB115" s="150">
        <f t="shared" si="330"/>
        <v>2.216298238958947</v>
      </c>
      <c r="AC115" s="150">
        <f t="shared" si="331"/>
        <v>0.31187311596176676</v>
      </c>
      <c r="AD115" s="150"/>
      <c r="AE115" s="150">
        <f t="shared" si="332"/>
        <v>2.216298238958947</v>
      </c>
      <c r="AF115" s="314">
        <f t="shared" si="333"/>
        <v>54.144337567297406</v>
      </c>
      <c r="AG115" s="456">
        <f t="shared" si="334"/>
        <v>0.3118731159617667</v>
      </c>
      <c r="AI115" s="150">
        <f t="shared" si="335"/>
        <v>0.39331680276227138</v>
      </c>
      <c r="AJ115" s="150">
        <f t="shared" si="336"/>
        <v>1</v>
      </c>
      <c r="AK115" s="150">
        <f t="shared" si="337"/>
        <v>1.030939621467027</v>
      </c>
      <c r="AM115" s="314">
        <f t="shared" si="338"/>
        <v>60</v>
      </c>
      <c r="AN115" s="144">
        <f t="shared" si="339"/>
        <v>54.144337567297406</v>
      </c>
      <c r="AP115" s="144">
        <f t="shared" si="340"/>
        <v>60</v>
      </c>
      <c r="AQ115" s="144">
        <f t="shared" si="341"/>
        <v>54.144337567297406</v>
      </c>
      <c r="AS115" s="5">
        <f t="shared" si="285"/>
        <v>18.469151991324559</v>
      </c>
      <c r="AT115" s="5">
        <f t="shared" si="342"/>
        <v>1.3369067754012005</v>
      </c>
      <c r="AU115" s="5">
        <f t="shared" si="343"/>
        <v>17.132245215923358</v>
      </c>
      <c r="AV115" s="5"/>
      <c r="AW115" s="150">
        <f t="shared" si="344"/>
        <v>7.2385931743329662E-2</v>
      </c>
      <c r="AX115" s="150">
        <f t="shared" si="214"/>
        <v>0.32486602540378445</v>
      </c>
      <c r="AY115" s="150">
        <f t="shared" si="215"/>
        <v>0.46380703412833518</v>
      </c>
      <c r="AZ115" s="150">
        <f t="shared" si="288"/>
        <v>0.70043358875383976</v>
      </c>
      <c r="BA115" s="144">
        <f t="shared" si="345"/>
        <v>1.6042881304814405</v>
      </c>
      <c r="BB115" s="5">
        <f t="shared" si="346"/>
        <v>0.23858556986461185</v>
      </c>
      <c r="BD115" s="150">
        <f t="shared" si="289"/>
        <v>0.15533397540281785</v>
      </c>
      <c r="BE115" s="150">
        <f t="shared" si="218"/>
        <v>0.5560617676291818</v>
      </c>
      <c r="BG115" s="456">
        <f t="shared" si="347"/>
        <v>4.8257287828886445E-4</v>
      </c>
      <c r="BH115" s="456">
        <f t="shared" si="348"/>
        <v>1.4609202315711056E-2</v>
      </c>
      <c r="BI115" s="456">
        <f t="shared" si="349"/>
        <v>1.2149913194444443E-2</v>
      </c>
      <c r="BJ115" s="456">
        <f t="shared" si="350"/>
        <v>1.1212369932341985E-3</v>
      </c>
      <c r="BK115">
        <f t="shared" si="351"/>
        <v>4.0391746824526946E-3</v>
      </c>
      <c r="BL115" s="144">
        <f t="shared" si="427"/>
        <v>16.189087876897137</v>
      </c>
      <c r="BM115" s="456">
        <f t="shared" si="352"/>
        <v>1.6345180991642571E-2</v>
      </c>
      <c r="BN115" s="144">
        <f t="shared" si="353"/>
        <v>16.345180991642572</v>
      </c>
      <c r="BO115" s="456">
        <f t="shared" si="354"/>
        <v>4.1999999999999996E-2</v>
      </c>
      <c r="BR115" s="144">
        <f t="shared" si="355"/>
        <v>41.999999999999993</v>
      </c>
      <c r="BS115" s="456">
        <f t="shared" si="356"/>
        <v>7.2385931743329664E-4</v>
      </c>
      <c r="BT115" s="456">
        <f t="shared" si="357"/>
        <v>9.276140682566705E-3</v>
      </c>
      <c r="BU115" s="456">
        <f t="shared" si="358"/>
        <v>1.0785806285235362E-3</v>
      </c>
      <c r="BV115" s="456"/>
      <c r="BW115" s="456">
        <f t="shared" si="359"/>
        <v>5.4144337567297407E-5</v>
      </c>
      <c r="BX115" s="144">
        <f t="shared" si="360"/>
        <v>11.132724966090835</v>
      </c>
      <c r="BY115" s="150">
        <f t="shared" si="361"/>
        <v>8.5534825030222084E-2</v>
      </c>
      <c r="BZ115" s="5">
        <f t="shared" si="362"/>
        <v>0.3</v>
      </c>
      <c r="CA115" s="150">
        <f t="shared" si="363"/>
        <v>0.77813982167884055</v>
      </c>
      <c r="CB115" s="5">
        <f t="shared" si="364"/>
        <v>77.813982167884049</v>
      </c>
      <c r="CE115" s="59">
        <f t="shared" si="365"/>
        <v>-50</v>
      </c>
      <c r="CF115">
        <f t="shared" si="366"/>
        <v>-50</v>
      </c>
      <c r="CG115" s="150">
        <f t="shared" si="367"/>
        <v>0.12470765814495917</v>
      </c>
      <c r="CI115" s="147">
        <v>5</v>
      </c>
      <c r="CJ115" s="188">
        <f t="shared" si="428"/>
        <v>0.06</v>
      </c>
      <c r="CK115" s="188"/>
      <c r="CL115" s="188">
        <f t="shared" si="368"/>
        <v>0.3</v>
      </c>
      <c r="CM115" s="465">
        <f t="shared" si="369"/>
        <v>9</v>
      </c>
      <c r="CN115" s="379">
        <f t="shared" si="370"/>
        <v>5.4</v>
      </c>
      <c r="CO115" s="379">
        <f t="shared" si="371"/>
        <v>14.4</v>
      </c>
      <c r="CP115" s="379"/>
      <c r="CQ115" s="188">
        <f t="shared" si="372"/>
        <v>0.375</v>
      </c>
      <c r="CR115" s="149">
        <f t="shared" si="429"/>
        <v>8.4754687499999992</v>
      </c>
      <c r="CS115" s="149">
        <f t="shared" si="373"/>
        <v>0.3</v>
      </c>
      <c r="CT115" s="188">
        <f t="shared" si="374"/>
        <v>1.6950937499999998</v>
      </c>
      <c r="CU115" s="188">
        <f t="shared" si="375"/>
        <v>5</v>
      </c>
      <c r="CV115" s="188"/>
      <c r="CW115" s="149">
        <f t="shared" si="376"/>
        <v>366.00982506405052</v>
      </c>
      <c r="CX115" s="149">
        <f t="shared" si="377"/>
        <v>5</v>
      </c>
      <c r="CY115" s="188">
        <f t="shared" si="378"/>
        <v>0.17777777777777778</v>
      </c>
      <c r="CZ115" s="188">
        <f t="shared" si="379"/>
        <v>0.23703703703703705</v>
      </c>
      <c r="DA115" s="188">
        <f t="shared" si="380"/>
        <v>0.39506172839506171</v>
      </c>
      <c r="DB115" s="172">
        <f t="shared" si="381"/>
        <v>281.25</v>
      </c>
      <c r="DC115" s="379">
        <f t="shared" si="382"/>
        <v>350</v>
      </c>
      <c r="DE115" s="188">
        <f t="shared" si="383"/>
        <v>1</v>
      </c>
      <c r="DF115" s="150">
        <f t="shared" si="384"/>
        <v>2.2222222222222219</v>
      </c>
      <c r="DG115" s="150">
        <f t="shared" si="385"/>
        <v>0.31249999999999994</v>
      </c>
      <c r="DH115" s="150"/>
      <c r="DI115" s="150">
        <f t="shared" si="386"/>
        <v>2.2222222222222219</v>
      </c>
      <c r="DJ115" s="314">
        <f t="shared" si="387"/>
        <v>54</v>
      </c>
      <c r="DK115" s="456">
        <f t="shared" si="388"/>
        <v>0.31249999999999994</v>
      </c>
      <c r="DM115" s="150">
        <f t="shared" si="389"/>
        <v>0.3927922024247863</v>
      </c>
      <c r="DN115" s="150">
        <f t="shared" si="390"/>
        <v>1</v>
      </c>
      <c r="DO115" s="150">
        <f t="shared" si="391"/>
        <v>1.0308571428571429</v>
      </c>
      <c r="DQ115" s="314">
        <f t="shared" si="392"/>
        <v>60</v>
      </c>
      <c r="DR115" s="144">
        <f t="shared" si="393"/>
        <v>54</v>
      </c>
      <c r="DT115">
        <f t="shared" si="430"/>
        <v>60</v>
      </c>
      <c r="DU115">
        <f t="shared" si="431"/>
        <v>54</v>
      </c>
      <c r="DW115" s="5">
        <f t="shared" si="394"/>
        <v>18.518518518518519</v>
      </c>
      <c r="DX115" s="5">
        <f t="shared" si="395"/>
        <v>1.3333333333333335</v>
      </c>
      <c r="DY115" s="5">
        <f t="shared" si="396"/>
        <v>17.185185185185187</v>
      </c>
      <c r="DZ115" s="5"/>
      <c r="EA115" s="150">
        <f t="shared" si="397"/>
        <v>7.2000000000000008E-2</v>
      </c>
      <c r="EB115" s="150">
        <f t="shared" si="398"/>
        <v>0.32400000000000001</v>
      </c>
      <c r="EC115" s="150">
        <f t="shared" si="399"/>
        <v>0.46399999999999997</v>
      </c>
      <c r="ED115" s="150">
        <f t="shared" si="400"/>
        <v>0.69827586206896564</v>
      </c>
      <c r="EE115" s="144">
        <f t="shared" si="401"/>
        <v>1.6</v>
      </c>
      <c r="EF115" s="5">
        <f t="shared" si="402"/>
        <v>0.23868312757201643</v>
      </c>
      <c r="EH115" s="150">
        <f t="shared" si="403"/>
        <v>0.15491933384829668</v>
      </c>
      <c r="EI115" s="150">
        <f t="shared" si="404"/>
        <v>0.55617742972304562</v>
      </c>
      <c r="EK115" s="456">
        <f t="shared" si="405"/>
        <v>4.8000000000000001E-4</v>
      </c>
      <c r="EL115" s="456">
        <f t="shared" si="406"/>
        <v>1.5552E-2</v>
      </c>
      <c r="EM115" s="456">
        <f t="shared" si="407"/>
        <v>6.7499999999999999E-3</v>
      </c>
      <c r="EN115" s="456">
        <f t="shared" si="408"/>
        <v>1.119744E-3</v>
      </c>
      <c r="EO115">
        <f t="shared" si="409"/>
        <v>4.0499999999999998E-3</v>
      </c>
      <c r="EP115" s="144">
        <f t="shared" si="410"/>
        <v>10.8</v>
      </c>
      <c r="EQ115" s="144"/>
      <c r="ER115" s="144">
        <f t="shared" si="432"/>
        <v>27.951744000000001</v>
      </c>
      <c r="ES115" s="456">
        <f t="shared" si="411"/>
        <v>4.1999999999999996E-2</v>
      </c>
      <c r="EV115" s="144">
        <f t="shared" si="412"/>
        <v>41.999999999999993</v>
      </c>
      <c r="EW115" s="456">
        <f t="shared" si="413"/>
        <v>7.1999999999999994E-4</v>
      </c>
      <c r="EX115" s="456">
        <f t="shared" si="414"/>
        <v>9.2800000000000001E-3</v>
      </c>
      <c r="EY115" s="456">
        <f t="shared" si="415"/>
        <v>1.0714068134933634E-3</v>
      </c>
      <c r="EZ115" s="456"/>
      <c r="FA115" s="456">
        <f t="shared" si="416"/>
        <v>5.3999999999999998E-5</v>
      </c>
      <c r="FB115" s="144">
        <f t="shared" si="417"/>
        <v>11.125406813493363</v>
      </c>
      <c r="FC115" s="150">
        <f t="shared" si="418"/>
        <v>8.1077150813493357E-2</v>
      </c>
      <c r="FD115" s="5">
        <f t="shared" si="419"/>
        <v>0.3</v>
      </c>
      <c r="FE115" s="150">
        <f t="shared" si="420"/>
        <v>0.78724216175014361</v>
      </c>
      <c r="FF115" s="5">
        <f t="shared" si="421"/>
        <v>78.724216175014362</v>
      </c>
      <c r="FI115" s="59">
        <f t="shared" si="422"/>
        <v>-50</v>
      </c>
      <c r="FJ115">
        <f t="shared" si="423"/>
        <v>-50</v>
      </c>
      <c r="FL115">
        <f t="shared" si="424"/>
        <v>0.12</v>
      </c>
    </row>
    <row r="116" spans="5:168">
      <c r="E116" s="147">
        <v>6</v>
      </c>
      <c r="F116" s="188">
        <f t="shared" si="425"/>
        <v>7.1999999999999995E-2</v>
      </c>
      <c r="G116" s="188"/>
      <c r="H116" s="188">
        <f t="shared" si="315"/>
        <v>0.36</v>
      </c>
      <c r="I116" s="465">
        <f t="shared" si="316"/>
        <v>8.9759437387837657</v>
      </c>
      <c r="J116" s="149">
        <f t="shared" si="317"/>
        <v>5.4144337567297409</v>
      </c>
      <c r="K116" s="149">
        <f t="shared" si="318"/>
        <v>14.390377495513507</v>
      </c>
      <c r="L116" s="379"/>
      <c r="M116" s="188">
        <f t="shared" si="319"/>
        <v>0.37627831074111634</v>
      </c>
      <c r="N116" s="149">
        <f t="shared" si="426"/>
        <v>8.4816287139996778</v>
      </c>
      <c r="O116" s="149">
        <f t="shared" si="284"/>
        <v>0.36</v>
      </c>
      <c r="P116" s="188">
        <f t="shared" si="320"/>
        <v>1.6963257427999356</v>
      </c>
      <c r="Q116" s="188">
        <f t="shared" si="321"/>
        <v>5</v>
      </c>
      <c r="R116" s="188"/>
      <c r="S116" s="149">
        <f t="shared" si="322"/>
        <v>302.70061491066423</v>
      </c>
      <c r="T116" s="149">
        <f t="shared" si="323"/>
        <v>5</v>
      </c>
      <c r="U116" s="188">
        <f t="shared" si="324"/>
        <v>0.23087220226556995</v>
      </c>
      <c r="V116" s="188">
        <f t="shared" si="325"/>
        <v>0.30865461146063689</v>
      </c>
      <c r="W116" s="188">
        <f t="shared" si="326"/>
        <v>0.51168165530575649</v>
      </c>
      <c r="X116" s="172">
        <f t="shared" si="327"/>
        <v>281.43605447997982</v>
      </c>
      <c r="Y116" s="379">
        <f t="shared" si="328"/>
        <v>350</v>
      </c>
      <c r="AA116" s="188">
        <f t="shared" si="329"/>
        <v>1</v>
      </c>
      <c r="AB116" s="150">
        <f t="shared" si="330"/>
        <v>2.216298238958947</v>
      </c>
      <c r="AC116" s="150">
        <f t="shared" si="331"/>
        <v>0.31187311596176676</v>
      </c>
      <c r="AD116" s="150"/>
      <c r="AE116" s="150">
        <f t="shared" si="332"/>
        <v>2.216298238958947</v>
      </c>
      <c r="AF116" s="314">
        <f t="shared" si="333"/>
        <v>64.973205080756884</v>
      </c>
      <c r="AG116" s="456">
        <f t="shared" si="334"/>
        <v>0.3118731159617667</v>
      </c>
      <c r="AI116" s="150">
        <f t="shared" si="335"/>
        <v>0.43085697023741248</v>
      </c>
      <c r="AJ116" s="150">
        <f t="shared" si="336"/>
        <v>1</v>
      </c>
      <c r="AK116" s="150">
        <f t="shared" si="337"/>
        <v>1.0371275457604325</v>
      </c>
      <c r="AM116" s="314">
        <f t="shared" si="338"/>
        <v>72</v>
      </c>
      <c r="AN116" s="144">
        <f t="shared" si="339"/>
        <v>64.973205080756884</v>
      </c>
      <c r="AP116" s="144">
        <f t="shared" si="340"/>
        <v>72</v>
      </c>
      <c r="AQ116" s="144">
        <f t="shared" si="341"/>
        <v>64.973205080756884</v>
      </c>
      <c r="AS116" s="5">
        <f t="shared" si="285"/>
        <v>15.390959992770465</v>
      </c>
      <c r="AT116" s="5">
        <f t="shared" si="342"/>
        <v>1.3369067754012005</v>
      </c>
      <c r="AU116" s="5">
        <f t="shared" si="343"/>
        <v>14.054053217369265</v>
      </c>
      <c r="AV116" s="5"/>
      <c r="AW116" s="150">
        <f t="shared" si="344"/>
        <v>8.6863118091995595E-2</v>
      </c>
      <c r="AX116" s="150">
        <f t="shared" si="214"/>
        <v>0.38983923048454128</v>
      </c>
      <c r="AY116" s="150">
        <f t="shared" si="215"/>
        <v>0.45656844095400217</v>
      </c>
      <c r="AZ116" s="150">
        <f t="shared" si="288"/>
        <v>0.85384620467847083</v>
      </c>
      <c r="BA116" s="144">
        <f t="shared" si="345"/>
        <v>1.9251457565777286</v>
      </c>
      <c r="BB116" s="5">
        <f t="shared" si="346"/>
        <v>0.23486198710187511</v>
      </c>
      <c r="BD116" s="150">
        <f t="shared" si="289"/>
        <v>0.17015984455015193</v>
      </c>
      <c r="BE116" s="150">
        <f t="shared" si="218"/>
        <v>0.55170550172714561</v>
      </c>
      <c r="BG116" s="456">
        <f t="shared" si="347"/>
        <v>5.7908745394663738E-4</v>
      </c>
      <c r="BH116" s="456">
        <f t="shared" si="348"/>
        <v>1.753104277885327E-2</v>
      </c>
      <c r="BI116" s="456">
        <f t="shared" si="349"/>
        <v>1.4579895833333334E-2</v>
      </c>
      <c r="BJ116" s="456">
        <f t="shared" si="350"/>
        <v>1.3454843918810383E-3</v>
      </c>
      <c r="BK116">
        <f t="shared" si="351"/>
        <v>4.0391746824526946E-3</v>
      </c>
      <c r="BL116" s="144">
        <f t="shared" si="427"/>
        <v>18.619070515786028</v>
      </c>
      <c r="BM116" s="456">
        <f t="shared" si="352"/>
        <v>1.9614667042411729E-2</v>
      </c>
      <c r="BN116" s="144">
        <f t="shared" si="353"/>
        <v>19.614667042411728</v>
      </c>
      <c r="BO116" s="456">
        <f t="shared" si="354"/>
        <v>5.0399999999999993E-2</v>
      </c>
      <c r="BR116" s="144">
        <f t="shared" si="355"/>
        <v>50.399999999999991</v>
      </c>
      <c r="BS116" s="456">
        <f t="shared" si="356"/>
        <v>8.6863118091995602E-4</v>
      </c>
      <c r="BT116" s="456">
        <f t="shared" si="357"/>
        <v>9.1313688190800425E-3</v>
      </c>
      <c r="BU116" s="456">
        <f t="shared" si="358"/>
        <v>1.7013972681516674E-3</v>
      </c>
      <c r="BV116" s="456"/>
      <c r="BW116" s="456">
        <f t="shared" si="359"/>
        <v>6.4973205080756891E-5</v>
      </c>
      <c r="BX116" s="144">
        <f t="shared" si="360"/>
        <v>11.766370473232424</v>
      </c>
      <c r="BY116" s="150">
        <f t="shared" si="361"/>
        <v>0.10024105561369938</v>
      </c>
      <c r="BZ116" s="5">
        <f t="shared" si="362"/>
        <v>0.36</v>
      </c>
      <c r="CA116" s="150">
        <f t="shared" si="363"/>
        <v>0.78219879693254457</v>
      </c>
      <c r="CB116" s="5">
        <f t="shared" si="364"/>
        <v>78.219879693254455</v>
      </c>
      <c r="CE116" s="59">
        <f t="shared" si="365"/>
        <v>-50</v>
      </c>
      <c r="CF116">
        <f t="shared" si="366"/>
        <v>-50</v>
      </c>
      <c r="CG116" s="150">
        <f t="shared" si="367"/>
        <v>0.149649189773951</v>
      </c>
      <c r="CI116" s="147">
        <v>6</v>
      </c>
      <c r="CJ116" s="188">
        <f t="shared" si="428"/>
        <v>7.1999999999999995E-2</v>
      </c>
      <c r="CK116" s="188"/>
      <c r="CL116" s="188">
        <f t="shared" si="368"/>
        <v>0.36</v>
      </c>
      <c r="CM116" s="465">
        <f t="shared" si="369"/>
        <v>9</v>
      </c>
      <c r="CN116" s="379">
        <f t="shared" si="370"/>
        <v>5.4</v>
      </c>
      <c r="CO116" s="379">
        <f t="shared" si="371"/>
        <v>14.4</v>
      </c>
      <c r="CP116" s="379"/>
      <c r="CQ116" s="188">
        <f t="shared" si="372"/>
        <v>0.375</v>
      </c>
      <c r="CR116" s="149">
        <f t="shared" si="429"/>
        <v>8.4754687499999992</v>
      </c>
      <c r="CS116" s="149">
        <f t="shared" si="373"/>
        <v>0.36</v>
      </c>
      <c r="CT116" s="188">
        <f t="shared" si="374"/>
        <v>1.6950937499999998</v>
      </c>
      <c r="CU116" s="188">
        <f t="shared" si="375"/>
        <v>5</v>
      </c>
      <c r="CV116" s="188"/>
      <c r="CW116" s="149">
        <f t="shared" si="376"/>
        <v>303.51184554025394</v>
      </c>
      <c r="CX116" s="149">
        <f t="shared" si="377"/>
        <v>5</v>
      </c>
      <c r="CY116" s="188">
        <f t="shared" si="378"/>
        <v>0.21333333333333332</v>
      </c>
      <c r="CZ116" s="188">
        <f t="shared" si="379"/>
        <v>0.28444444444444444</v>
      </c>
      <c r="DA116" s="188">
        <f t="shared" si="380"/>
        <v>0.47407407407407404</v>
      </c>
      <c r="DB116" s="172">
        <f t="shared" si="381"/>
        <v>281.25</v>
      </c>
      <c r="DC116" s="379">
        <f t="shared" si="382"/>
        <v>350</v>
      </c>
      <c r="DE116" s="188">
        <f t="shared" si="383"/>
        <v>1</v>
      </c>
      <c r="DF116" s="150">
        <f t="shared" si="384"/>
        <v>2.2222222222222219</v>
      </c>
      <c r="DG116" s="150">
        <f t="shared" si="385"/>
        <v>0.31249999999999994</v>
      </c>
      <c r="DH116" s="150"/>
      <c r="DI116" s="150">
        <f t="shared" si="386"/>
        <v>2.2222222222222219</v>
      </c>
      <c r="DJ116" s="314">
        <f t="shared" si="387"/>
        <v>64.8</v>
      </c>
      <c r="DK116" s="456">
        <f t="shared" si="388"/>
        <v>0.31249999999999994</v>
      </c>
      <c r="DM116" s="150">
        <f t="shared" si="389"/>
        <v>0.43028229936038176</v>
      </c>
      <c r="DN116" s="150">
        <f t="shared" si="390"/>
        <v>1</v>
      </c>
      <c r="DO116" s="150">
        <f t="shared" si="391"/>
        <v>1.0370285714285714</v>
      </c>
      <c r="DQ116" s="314">
        <f t="shared" si="392"/>
        <v>72</v>
      </c>
      <c r="DR116" s="144">
        <f t="shared" si="393"/>
        <v>64.8</v>
      </c>
      <c r="DT116">
        <f t="shared" si="430"/>
        <v>72</v>
      </c>
      <c r="DU116">
        <f t="shared" si="431"/>
        <v>64.8</v>
      </c>
      <c r="DW116" s="5">
        <f t="shared" si="394"/>
        <v>15.4320987654321</v>
      </c>
      <c r="DX116" s="5">
        <f t="shared" si="395"/>
        <v>1.3333333333333335</v>
      </c>
      <c r="DY116" s="5">
        <f t="shared" si="396"/>
        <v>14.098765432098766</v>
      </c>
      <c r="DZ116" s="5"/>
      <c r="EA116" s="150">
        <f t="shared" si="397"/>
        <v>8.6400000000000005E-2</v>
      </c>
      <c r="EB116" s="150">
        <f t="shared" si="398"/>
        <v>0.38880000000000003</v>
      </c>
      <c r="EC116" s="150">
        <f t="shared" si="399"/>
        <v>0.45679999999999998</v>
      </c>
      <c r="ED116" s="150">
        <f t="shared" si="400"/>
        <v>0.8511383537653241</v>
      </c>
      <c r="EE116" s="144">
        <f t="shared" si="401"/>
        <v>1.9200000000000002</v>
      </c>
      <c r="EF116" s="5">
        <f t="shared" si="402"/>
        <v>0.23497942386831275</v>
      </c>
      <c r="EH116" s="150">
        <f t="shared" si="403"/>
        <v>0.16970562748477142</v>
      </c>
      <c r="EI116" s="150">
        <f t="shared" si="404"/>
        <v>0.55184538897533009</v>
      </c>
      <c r="EK116" s="456">
        <f t="shared" si="405"/>
        <v>5.7600000000000001E-4</v>
      </c>
      <c r="EL116" s="456">
        <f t="shared" si="406"/>
        <v>1.8662399999999999E-2</v>
      </c>
      <c r="EM116" s="456">
        <f t="shared" si="407"/>
        <v>8.0999999999999978E-3</v>
      </c>
      <c r="EN116" s="456">
        <f t="shared" si="408"/>
        <v>1.3436928000000001E-3</v>
      </c>
      <c r="EO116">
        <f t="shared" si="409"/>
        <v>4.0499999999999998E-3</v>
      </c>
      <c r="EP116" s="144">
        <f t="shared" si="410"/>
        <v>12.149999999999997</v>
      </c>
      <c r="EQ116" s="144"/>
      <c r="ER116" s="144">
        <f t="shared" si="432"/>
        <v>32.732092800000004</v>
      </c>
      <c r="ES116" s="456">
        <f t="shared" si="411"/>
        <v>5.0399999999999993E-2</v>
      </c>
      <c r="EV116" s="144">
        <f t="shared" si="412"/>
        <v>50.399999999999991</v>
      </c>
      <c r="EW116" s="456">
        <f t="shared" si="413"/>
        <v>8.6400000000000008E-4</v>
      </c>
      <c r="EX116" s="456">
        <f t="shared" si="414"/>
        <v>9.1360000000000018E-3</v>
      </c>
      <c r="EY116" s="456">
        <f t="shared" si="415"/>
        <v>1.6900809984433261E-3</v>
      </c>
      <c r="EZ116" s="456"/>
      <c r="FA116" s="456">
        <f t="shared" si="416"/>
        <v>6.4800000000000003E-5</v>
      </c>
      <c r="FB116" s="144">
        <f t="shared" si="417"/>
        <v>11.754880998443328</v>
      </c>
      <c r="FC116" s="150">
        <f t="shared" si="418"/>
        <v>9.4886973798443339E-2</v>
      </c>
      <c r="FD116" s="5">
        <f t="shared" si="419"/>
        <v>0.36</v>
      </c>
      <c r="FE116" s="150">
        <f t="shared" si="420"/>
        <v>0.79140538361406898</v>
      </c>
      <c r="FF116" s="5">
        <f t="shared" si="421"/>
        <v>79.140538361406897</v>
      </c>
      <c r="FI116" s="59">
        <f t="shared" si="422"/>
        <v>-50</v>
      </c>
      <c r="FJ116">
        <f t="shared" si="423"/>
        <v>-50</v>
      </c>
      <c r="FL116">
        <f t="shared" si="424"/>
        <v>0.14400000000000002</v>
      </c>
    </row>
    <row r="117" spans="5:168">
      <c r="E117" s="147">
        <v>7</v>
      </c>
      <c r="F117" s="188">
        <f t="shared" si="425"/>
        <v>8.4000000000000005E-2</v>
      </c>
      <c r="G117" s="188"/>
      <c r="H117" s="188">
        <f t="shared" si="315"/>
        <v>0.42000000000000004</v>
      </c>
      <c r="I117" s="465">
        <f t="shared" si="316"/>
        <v>8.9759437387837657</v>
      </c>
      <c r="J117" s="149">
        <f t="shared" si="317"/>
        <v>5.4144337567297409</v>
      </c>
      <c r="K117" s="149">
        <f t="shared" si="318"/>
        <v>14.390377495513507</v>
      </c>
      <c r="L117" s="379"/>
      <c r="M117" s="188">
        <f t="shared" si="319"/>
        <v>0.37627831074111634</v>
      </c>
      <c r="N117" s="149">
        <f t="shared" si="426"/>
        <v>8.4816287139996778</v>
      </c>
      <c r="O117" s="149">
        <f t="shared" si="284"/>
        <v>0.42000000000000004</v>
      </c>
      <c r="P117" s="188">
        <f t="shared" si="320"/>
        <v>1.6963257427999356</v>
      </c>
      <c r="Q117" s="188">
        <f t="shared" si="321"/>
        <v>5</v>
      </c>
      <c r="R117" s="188"/>
      <c r="S117" s="149">
        <f t="shared" si="322"/>
        <v>258.17912398770585</v>
      </c>
      <c r="T117" s="149">
        <f t="shared" si="323"/>
        <v>5</v>
      </c>
      <c r="U117" s="188">
        <f t="shared" si="324"/>
        <v>0.26935090264316502</v>
      </c>
      <c r="V117" s="188">
        <f t="shared" si="325"/>
        <v>0.3600970467040765</v>
      </c>
      <c r="W117" s="188">
        <f t="shared" si="326"/>
        <v>0.59696193119004948</v>
      </c>
      <c r="X117" s="172">
        <f t="shared" si="327"/>
        <v>281.43605447997982</v>
      </c>
      <c r="Y117" s="379">
        <f t="shared" si="328"/>
        <v>350</v>
      </c>
      <c r="AA117" s="188">
        <f t="shared" si="329"/>
        <v>1</v>
      </c>
      <c r="AB117" s="150">
        <f t="shared" si="330"/>
        <v>2.216298238958947</v>
      </c>
      <c r="AC117" s="150">
        <f t="shared" si="331"/>
        <v>0.31187311596176676</v>
      </c>
      <c r="AD117" s="150"/>
      <c r="AE117" s="150">
        <f t="shared" si="332"/>
        <v>2.216298238958947</v>
      </c>
      <c r="AF117" s="314">
        <f t="shared" si="333"/>
        <v>75.802072594216384</v>
      </c>
      <c r="AG117" s="456">
        <f t="shared" si="334"/>
        <v>0.3118731159617667</v>
      </c>
      <c r="AI117" s="150">
        <f t="shared" si="335"/>
        <v>0.46537871703505057</v>
      </c>
      <c r="AJ117" s="150">
        <f t="shared" si="336"/>
        <v>1</v>
      </c>
      <c r="AK117" s="150">
        <f t="shared" si="337"/>
        <v>1.0433154700538378</v>
      </c>
      <c r="AM117" s="314">
        <f t="shared" si="338"/>
        <v>84</v>
      </c>
      <c r="AN117" s="144">
        <f t="shared" si="339"/>
        <v>75.802072594216384</v>
      </c>
      <c r="AP117" s="144">
        <f t="shared" si="340"/>
        <v>84</v>
      </c>
      <c r="AQ117" s="144">
        <f t="shared" si="341"/>
        <v>75.802072594216384</v>
      </c>
      <c r="AS117" s="5">
        <f t="shared" si="285"/>
        <v>13.192251422374682</v>
      </c>
      <c r="AT117" s="5">
        <f t="shared" si="342"/>
        <v>1.3369067754012005</v>
      </c>
      <c r="AU117" s="5">
        <f t="shared" si="343"/>
        <v>11.855344646973482</v>
      </c>
      <c r="AV117" s="5"/>
      <c r="AW117" s="150">
        <f t="shared" si="344"/>
        <v>0.10134030444066154</v>
      </c>
      <c r="AX117" s="150">
        <f t="shared" si="214"/>
        <v>0.45481243556529832</v>
      </c>
      <c r="AY117" s="150">
        <f t="shared" si="215"/>
        <v>0.44932984777966922</v>
      </c>
      <c r="AZ117" s="150">
        <f t="shared" si="288"/>
        <v>1.0122016995147793</v>
      </c>
      <c r="BA117" s="144">
        <f t="shared" ref="BA117:BA180" si="433">F117*AT117/Vout_ripple*1000</f>
        <v>2.2460033826740169</v>
      </c>
      <c r="BB117" s="5">
        <f t="shared" ref="BB117:BB180" si="434">H117/Efficiency/I117*AU117/Vinripple1</f>
        <v>0.23113840433913832</v>
      </c>
      <c r="BD117" s="150">
        <f t="shared" si="289"/>
        <v>0.18379363830182077</v>
      </c>
      <c r="BE117" s="150">
        <f t="shared" si="218"/>
        <v>0.54731456389640576</v>
      </c>
      <c r="BG117" s="456">
        <f t="shared" si="347"/>
        <v>6.7560202960441048E-4</v>
      </c>
      <c r="BH117" s="456">
        <f t="shared" si="348"/>
        <v>2.0452883241995481E-2</v>
      </c>
      <c r="BI117" s="456">
        <f t="shared" si="349"/>
        <v>1.7009878472222226E-2</v>
      </c>
      <c r="BJ117" s="456">
        <f t="shared" si="350"/>
        <v>1.5697317905278782E-3</v>
      </c>
      <c r="BK117">
        <f t="shared" si="351"/>
        <v>4.0391746824526946E-3</v>
      </c>
      <c r="BL117" s="144">
        <f t="shared" si="427"/>
        <v>21.049053154674919</v>
      </c>
      <c r="BM117" s="456">
        <f t="shared" si="352"/>
        <v>2.2884303068068851E-2</v>
      </c>
      <c r="BN117" s="144">
        <f t="shared" si="353"/>
        <v>22.884303068068849</v>
      </c>
      <c r="BO117" s="456">
        <f t="shared" si="354"/>
        <v>5.8799999999999998E-2</v>
      </c>
      <c r="BR117" s="144">
        <f t="shared" si="355"/>
        <v>58.8</v>
      </c>
      <c r="BS117" s="456">
        <f t="shared" si="356"/>
        <v>1.0134030444066157E-3</v>
      </c>
      <c r="BT117" s="456">
        <f t="shared" si="357"/>
        <v>8.9865969555933851E-3</v>
      </c>
      <c r="BU117" s="456">
        <f t="shared" si="358"/>
        <v>2.5013398679335792E-3</v>
      </c>
      <c r="BV117" s="456"/>
      <c r="BW117" s="456">
        <f t="shared" si="359"/>
        <v>7.5802072594216395E-5</v>
      </c>
      <c r="BX117" s="144">
        <f t="shared" si="360"/>
        <v>12.577141940527797</v>
      </c>
      <c r="BY117" s="150">
        <f t="shared" si="361"/>
        <v>0.11512441215733048</v>
      </c>
      <c r="BZ117" s="5">
        <f t="shared" si="362"/>
        <v>0.42000000000000004</v>
      </c>
      <c r="CA117" s="150">
        <f t="shared" si="363"/>
        <v>0.78486421186951372</v>
      </c>
      <c r="CB117" s="5">
        <f t="shared" si="364"/>
        <v>78.486421186951375</v>
      </c>
      <c r="CE117" s="59">
        <f t="shared" si="365"/>
        <v>-50</v>
      </c>
      <c r="CF117">
        <f t="shared" si="366"/>
        <v>-50</v>
      </c>
      <c r="CG117" s="150">
        <f t="shared" si="367"/>
        <v>0.17459072140294288</v>
      </c>
      <c r="CI117" s="147">
        <v>7</v>
      </c>
      <c r="CJ117" s="188">
        <f t="shared" si="428"/>
        <v>8.4000000000000005E-2</v>
      </c>
      <c r="CK117" s="188"/>
      <c r="CL117" s="188">
        <f t="shared" si="368"/>
        <v>0.42000000000000004</v>
      </c>
      <c r="CM117" s="465">
        <f t="shared" si="369"/>
        <v>9</v>
      </c>
      <c r="CN117" s="379">
        <f t="shared" si="370"/>
        <v>5.4</v>
      </c>
      <c r="CO117" s="379">
        <f t="shared" si="371"/>
        <v>14.4</v>
      </c>
      <c r="CP117" s="379"/>
      <c r="CQ117" s="188">
        <f t="shared" si="372"/>
        <v>0.375</v>
      </c>
      <c r="CR117" s="149">
        <f t="shared" si="429"/>
        <v>8.4754687499999992</v>
      </c>
      <c r="CS117" s="149">
        <f t="shared" si="373"/>
        <v>0.42000000000000004</v>
      </c>
      <c r="CT117" s="188">
        <f t="shared" si="374"/>
        <v>1.6950937499999998</v>
      </c>
      <c r="CU117" s="188">
        <f t="shared" si="375"/>
        <v>5</v>
      </c>
      <c r="CV117" s="188"/>
      <c r="CW117" s="149">
        <f t="shared" si="376"/>
        <v>258.87102794113616</v>
      </c>
      <c r="CX117" s="149">
        <f t="shared" si="377"/>
        <v>5</v>
      </c>
      <c r="CY117" s="188">
        <f t="shared" si="378"/>
        <v>0.24888888888888891</v>
      </c>
      <c r="CZ117" s="188">
        <f t="shared" si="379"/>
        <v>0.3318518518518519</v>
      </c>
      <c r="DA117" s="188">
        <f t="shared" si="380"/>
        <v>0.55308641975308648</v>
      </c>
      <c r="DB117" s="172">
        <f t="shared" si="381"/>
        <v>281.25</v>
      </c>
      <c r="DC117" s="379">
        <f t="shared" si="382"/>
        <v>350</v>
      </c>
      <c r="DE117" s="188">
        <f t="shared" si="383"/>
        <v>1</v>
      </c>
      <c r="DF117" s="150">
        <f t="shared" si="384"/>
        <v>2.2222222222222219</v>
      </c>
      <c r="DG117" s="150">
        <f t="shared" si="385"/>
        <v>0.31249999999999994</v>
      </c>
      <c r="DH117" s="150"/>
      <c r="DI117" s="150">
        <f t="shared" si="386"/>
        <v>2.2222222222222219</v>
      </c>
      <c r="DJ117" s="314">
        <f t="shared" si="387"/>
        <v>75.600000000000009</v>
      </c>
      <c r="DK117" s="456">
        <f t="shared" si="388"/>
        <v>0.31249999999999994</v>
      </c>
      <c r="DM117" s="150">
        <f t="shared" si="389"/>
        <v>0.46475800154489011</v>
      </c>
      <c r="DN117" s="150">
        <f t="shared" si="390"/>
        <v>1</v>
      </c>
      <c r="DO117" s="150">
        <f t="shared" si="391"/>
        <v>1.0431999999999999</v>
      </c>
      <c r="DQ117" s="314">
        <f t="shared" si="392"/>
        <v>84</v>
      </c>
      <c r="DR117" s="144">
        <f t="shared" si="393"/>
        <v>75.600000000000009</v>
      </c>
      <c r="DT117">
        <f t="shared" si="430"/>
        <v>84</v>
      </c>
      <c r="DU117">
        <f t="shared" si="431"/>
        <v>75.600000000000009</v>
      </c>
      <c r="DW117" s="5">
        <f t="shared" si="394"/>
        <v>13.227513227513226</v>
      </c>
      <c r="DX117" s="5">
        <f t="shared" si="395"/>
        <v>1.3333333333333335</v>
      </c>
      <c r="DY117" s="5">
        <f t="shared" si="396"/>
        <v>11.894179894179892</v>
      </c>
      <c r="DZ117" s="5"/>
      <c r="EA117" s="150">
        <f t="shared" si="397"/>
        <v>0.10080000000000003</v>
      </c>
      <c r="EB117" s="150">
        <f t="shared" si="398"/>
        <v>0.45360000000000006</v>
      </c>
      <c r="EC117" s="150">
        <f t="shared" si="399"/>
        <v>0.4496</v>
      </c>
      <c r="ED117" s="150">
        <f t="shared" si="400"/>
        <v>1.0088967971530249</v>
      </c>
      <c r="EE117" s="144">
        <f t="shared" si="401"/>
        <v>2.2400000000000002</v>
      </c>
      <c r="EF117" s="5">
        <f t="shared" si="402"/>
        <v>0.23127572016460898</v>
      </c>
      <c r="EH117" s="150">
        <f t="shared" si="403"/>
        <v>0.18330302779823363</v>
      </c>
      <c r="EI117" s="150">
        <f t="shared" si="404"/>
        <v>0.5474790711372749</v>
      </c>
      <c r="EK117" s="456">
        <f t="shared" si="405"/>
        <v>6.7200000000000029E-4</v>
      </c>
      <c r="EL117" s="456">
        <f t="shared" si="406"/>
        <v>2.1772800000000002E-2</v>
      </c>
      <c r="EM117" s="456">
        <f t="shared" si="407"/>
        <v>9.4500000000000018E-3</v>
      </c>
      <c r="EN117" s="456">
        <f t="shared" si="408"/>
        <v>1.5676416000000002E-3</v>
      </c>
      <c r="EO117">
        <f t="shared" si="409"/>
        <v>4.0499999999999998E-3</v>
      </c>
      <c r="EP117" s="144">
        <f t="shared" si="410"/>
        <v>13.500000000000002</v>
      </c>
      <c r="EQ117" s="144"/>
      <c r="ER117" s="144">
        <f t="shared" si="432"/>
        <v>37.512441600000002</v>
      </c>
      <c r="ES117" s="456">
        <f t="shared" si="411"/>
        <v>5.8799999999999998E-2</v>
      </c>
      <c r="EV117" s="144">
        <f t="shared" si="412"/>
        <v>58.8</v>
      </c>
      <c r="EW117" s="456">
        <f t="shared" si="413"/>
        <v>1.0080000000000002E-3</v>
      </c>
      <c r="EX117" s="456">
        <f t="shared" si="414"/>
        <v>8.9919999999999983E-3</v>
      </c>
      <c r="EY117" s="456">
        <f t="shared" si="415"/>
        <v>2.4847030500030403E-3</v>
      </c>
      <c r="EZ117" s="456"/>
      <c r="FA117" s="456">
        <f t="shared" si="416"/>
        <v>7.5600000000000022E-5</v>
      </c>
      <c r="FB117" s="144">
        <f t="shared" si="417"/>
        <v>12.560303050003039</v>
      </c>
      <c r="FC117" s="150">
        <f t="shared" si="418"/>
        <v>0.10887274465000302</v>
      </c>
      <c r="FD117" s="5">
        <f t="shared" si="419"/>
        <v>0.42000000000000004</v>
      </c>
      <c r="FE117" s="150">
        <f t="shared" si="420"/>
        <v>0.79414188809814223</v>
      </c>
      <c r="FF117" s="5">
        <f t="shared" si="421"/>
        <v>79.41418880981422</v>
      </c>
      <c r="FI117" s="59">
        <f t="shared" si="422"/>
        <v>-50</v>
      </c>
      <c r="FJ117">
        <f t="shared" si="423"/>
        <v>-50</v>
      </c>
      <c r="FL117">
        <f t="shared" si="424"/>
        <v>0.16800000000000001</v>
      </c>
    </row>
    <row r="118" spans="5:168">
      <c r="E118" s="147">
        <v>8</v>
      </c>
      <c r="F118" s="188">
        <f t="shared" si="425"/>
        <v>9.6000000000000002E-2</v>
      </c>
      <c r="G118" s="188"/>
      <c r="H118" s="188">
        <f t="shared" si="315"/>
        <v>0.48</v>
      </c>
      <c r="I118" s="465">
        <f t="shared" si="316"/>
        <v>8.9759437387837657</v>
      </c>
      <c r="J118" s="149">
        <f t="shared" si="317"/>
        <v>5.4144337567297409</v>
      </c>
      <c r="K118" s="149">
        <f t="shared" si="318"/>
        <v>14.390377495513507</v>
      </c>
      <c r="L118" s="379"/>
      <c r="M118" s="188">
        <f t="shared" si="319"/>
        <v>0.37627831074111634</v>
      </c>
      <c r="N118" s="149">
        <f t="shared" si="426"/>
        <v>8.4816287139996778</v>
      </c>
      <c r="O118" s="149">
        <f t="shared" si="284"/>
        <v>0.48</v>
      </c>
      <c r="P118" s="188">
        <f t="shared" si="320"/>
        <v>1.6963257427999356</v>
      </c>
      <c r="Q118" s="188">
        <f t="shared" si="321"/>
        <v>5</v>
      </c>
      <c r="R118" s="188"/>
      <c r="S118" s="149">
        <f t="shared" si="322"/>
        <v>224.7885349987873</v>
      </c>
      <c r="T118" s="149">
        <f t="shared" si="323"/>
        <v>5</v>
      </c>
      <c r="U118" s="188">
        <f t="shared" si="324"/>
        <v>0.30782960302075996</v>
      </c>
      <c r="V118" s="188">
        <f t="shared" si="325"/>
        <v>0.41153948194751583</v>
      </c>
      <c r="W118" s="188">
        <f t="shared" si="326"/>
        <v>0.68224220707434202</v>
      </c>
      <c r="X118" s="172">
        <f t="shared" si="327"/>
        <v>281.43605447997982</v>
      </c>
      <c r="Y118" s="379">
        <f t="shared" si="328"/>
        <v>350</v>
      </c>
      <c r="AA118" s="188">
        <f t="shared" si="329"/>
        <v>1</v>
      </c>
      <c r="AB118" s="150">
        <f t="shared" si="330"/>
        <v>2.216298238958947</v>
      </c>
      <c r="AC118" s="150">
        <f t="shared" si="331"/>
        <v>0.31187311596176676</v>
      </c>
      <c r="AD118" s="150"/>
      <c r="AE118" s="150">
        <f t="shared" si="332"/>
        <v>2.216298238958947</v>
      </c>
      <c r="AF118" s="314">
        <f t="shared" si="333"/>
        <v>86.630940107675869</v>
      </c>
      <c r="AG118" s="456">
        <f t="shared" si="334"/>
        <v>0.3118731159617667</v>
      </c>
      <c r="AI118" s="150">
        <f t="shared" si="335"/>
        <v>0.49751077549759337</v>
      </c>
      <c r="AJ118" s="150">
        <f t="shared" si="336"/>
        <v>1</v>
      </c>
      <c r="AK118" s="150">
        <f t="shared" si="337"/>
        <v>1.0495033943472434</v>
      </c>
      <c r="AM118" s="314">
        <f t="shared" si="338"/>
        <v>96</v>
      </c>
      <c r="AN118" s="144">
        <f t="shared" si="339"/>
        <v>86.630940107675869</v>
      </c>
      <c r="AP118" s="144">
        <f t="shared" si="340"/>
        <v>96</v>
      </c>
      <c r="AQ118" s="144">
        <f t="shared" si="341"/>
        <v>86.630940107675869</v>
      </c>
      <c r="AS118" s="5">
        <f t="shared" si="285"/>
        <v>11.543219994577846</v>
      </c>
      <c r="AT118" s="5">
        <f t="shared" si="342"/>
        <v>1.3369067754012005</v>
      </c>
      <c r="AU118" s="5">
        <f t="shared" si="343"/>
        <v>10.206313219176646</v>
      </c>
      <c r="AV118" s="5"/>
      <c r="AW118" s="150">
        <f t="shared" si="344"/>
        <v>0.11581749078932747</v>
      </c>
      <c r="AX118" s="150">
        <f t="shared" si="214"/>
        <v>0.51978564064605526</v>
      </c>
      <c r="AY118" s="150">
        <f t="shared" si="215"/>
        <v>0.44209125460533627</v>
      </c>
      <c r="AZ118" s="150">
        <f t="shared" si="288"/>
        <v>1.1757428703494222</v>
      </c>
      <c r="BA118" s="144">
        <f t="shared" si="433"/>
        <v>2.5668610087703048</v>
      </c>
      <c r="BB118" s="5">
        <f t="shared" si="434"/>
        <v>0.22741482157640155</v>
      </c>
      <c r="BD118" s="150">
        <f t="shared" si="289"/>
        <v>0.19648366411259019</v>
      </c>
      <c r="BE118" s="150">
        <f t="shared" si="218"/>
        <v>0.54288811284667504</v>
      </c>
      <c r="BG118" s="456">
        <f t="shared" si="347"/>
        <v>7.7211660526218325E-4</v>
      </c>
      <c r="BH118" s="456">
        <f t="shared" si="348"/>
        <v>2.3374723705137695E-2</v>
      </c>
      <c r="BI118" s="456">
        <f t="shared" si="349"/>
        <v>1.9439861111111116E-2</v>
      </c>
      <c r="BJ118" s="456">
        <f t="shared" si="350"/>
        <v>1.793979189174718E-3</v>
      </c>
      <c r="BK118">
        <f t="shared" si="351"/>
        <v>4.0391746824526946E-3</v>
      </c>
      <c r="BL118" s="144">
        <f t="shared" si="427"/>
        <v>23.47903579356381</v>
      </c>
      <c r="BM118" s="456">
        <f t="shared" si="352"/>
        <v>2.6154089078933452E-2</v>
      </c>
      <c r="BN118" s="144">
        <f t="shared" si="353"/>
        <v>26.154089078933453</v>
      </c>
      <c r="BO118" s="456">
        <f t="shared" si="354"/>
        <v>6.7199999999999996E-2</v>
      </c>
      <c r="BR118" s="144">
        <f t="shared" si="355"/>
        <v>67.2</v>
      </c>
      <c r="BS118" s="456">
        <f t="shared" si="356"/>
        <v>1.1581749078932748E-3</v>
      </c>
      <c r="BT118" s="456">
        <f t="shared" si="357"/>
        <v>8.8418250921067244E-3</v>
      </c>
      <c r="BU118" s="456">
        <f t="shared" si="358"/>
        <v>3.4926299405008423E-3</v>
      </c>
      <c r="BV118" s="456"/>
      <c r="BW118" s="456">
        <f t="shared" si="359"/>
        <v>8.6630940107675872E-5</v>
      </c>
      <c r="BX118" s="144">
        <f t="shared" si="360"/>
        <v>13.579260880608517</v>
      </c>
      <c r="BY118" s="150">
        <f t="shared" si="361"/>
        <v>0.13019911617374691</v>
      </c>
      <c r="BZ118" s="5">
        <f t="shared" si="362"/>
        <v>0.48</v>
      </c>
      <c r="CA118" s="150">
        <f t="shared" si="363"/>
        <v>0.78662847466879271</v>
      </c>
      <c r="CB118" s="5">
        <f t="shared" si="364"/>
        <v>78.662847466879271</v>
      </c>
      <c r="CE118" s="59">
        <f t="shared" si="365"/>
        <v>-50</v>
      </c>
      <c r="CF118">
        <f t="shared" si="366"/>
        <v>-50</v>
      </c>
      <c r="CG118" s="150">
        <f t="shared" si="367"/>
        <v>0.19953225303193467</v>
      </c>
      <c r="CI118" s="147">
        <v>8</v>
      </c>
      <c r="CJ118" s="188">
        <f t="shared" si="428"/>
        <v>9.6000000000000002E-2</v>
      </c>
      <c r="CK118" s="188"/>
      <c r="CL118" s="188">
        <f t="shared" si="368"/>
        <v>0.48</v>
      </c>
      <c r="CM118" s="465">
        <f t="shared" si="369"/>
        <v>9</v>
      </c>
      <c r="CN118" s="379">
        <f t="shared" si="370"/>
        <v>5.4</v>
      </c>
      <c r="CO118" s="379">
        <f t="shared" si="371"/>
        <v>14.4</v>
      </c>
      <c r="CP118" s="379"/>
      <c r="CQ118" s="188">
        <f t="shared" si="372"/>
        <v>0.375</v>
      </c>
      <c r="CR118" s="149">
        <f t="shared" si="429"/>
        <v>8.4754687499999992</v>
      </c>
      <c r="CS118" s="149">
        <f t="shared" si="373"/>
        <v>0.48</v>
      </c>
      <c r="CT118" s="188">
        <f t="shared" si="374"/>
        <v>1.6950937499999998</v>
      </c>
      <c r="CU118" s="188">
        <f t="shared" si="375"/>
        <v>5</v>
      </c>
      <c r="CV118" s="188"/>
      <c r="CW118" s="149">
        <f t="shared" si="376"/>
        <v>225.39094395212223</v>
      </c>
      <c r="CX118" s="149">
        <f t="shared" si="377"/>
        <v>5</v>
      </c>
      <c r="CY118" s="188">
        <f t="shared" si="378"/>
        <v>0.28444444444444444</v>
      </c>
      <c r="CZ118" s="188">
        <f t="shared" si="379"/>
        <v>0.37925925925925924</v>
      </c>
      <c r="DA118" s="188">
        <f t="shared" si="380"/>
        <v>0.63209876543209875</v>
      </c>
      <c r="DB118" s="172">
        <f t="shared" si="381"/>
        <v>281.25</v>
      </c>
      <c r="DC118" s="379">
        <f t="shared" si="382"/>
        <v>350</v>
      </c>
      <c r="DE118" s="188">
        <f t="shared" si="383"/>
        <v>1</v>
      </c>
      <c r="DF118" s="150">
        <f t="shared" si="384"/>
        <v>2.2222222222222219</v>
      </c>
      <c r="DG118" s="150">
        <f t="shared" si="385"/>
        <v>0.31249999999999994</v>
      </c>
      <c r="DH118" s="150"/>
      <c r="DI118" s="150">
        <f t="shared" si="386"/>
        <v>2.2222222222222219</v>
      </c>
      <c r="DJ118" s="314">
        <f t="shared" si="387"/>
        <v>86.40000000000002</v>
      </c>
      <c r="DK118" s="456">
        <f t="shared" si="388"/>
        <v>0.31249999999999994</v>
      </c>
      <c r="DM118" s="150">
        <f t="shared" si="389"/>
        <v>0.49684720272649507</v>
      </c>
      <c r="DN118" s="150">
        <f t="shared" si="390"/>
        <v>1</v>
      </c>
      <c r="DO118" s="150">
        <f t="shared" si="391"/>
        <v>1.0493714285714286</v>
      </c>
      <c r="DQ118" s="314">
        <f t="shared" si="392"/>
        <v>96</v>
      </c>
      <c r="DR118" s="144">
        <f t="shared" si="393"/>
        <v>86.40000000000002</v>
      </c>
      <c r="DT118">
        <f t="shared" si="430"/>
        <v>96</v>
      </c>
      <c r="DU118">
        <f t="shared" si="431"/>
        <v>86.40000000000002</v>
      </c>
      <c r="DW118" s="5">
        <f t="shared" si="394"/>
        <v>11.574074074074071</v>
      </c>
      <c r="DX118" s="5">
        <f t="shared" si="395"/>
        <v>1.3333333333333335</v>
      </c>
      <c r="DY118" s="5">
        <f t="shared" si="396"/>
        <v>10.240740740740737</v>
      </c>
      <c r="DZ118" s="5"/>
      <c r="EA118" s="150">
        <f t="shared" si="397"/>
        <v>0.11520000000000004</v>
      </c>
      <c r="EB118" s="150">
        <f t="shared" si="398"/>
        <v>0.51840000000000008</v>
      </c>
      <c r="EC118" s="150">
        <f t="shared" si="399"/>
        <v>0.44239999999999996</v>
      </c>
      <c r="ED118" s="150">
        <f t="shared" si="400"/>
        <v>1.1717902350813747</v>
      </c>
      <c r="EE118" s="144">
        <f t="shared" si="401"/>
        <v>2.5600000000000005</v>
      </c>
      <c r="EF118" s="5">
        <f t="shared" si="402"/>
        <v>0.22757201646090519</v>
      </c>
      <c r="EH118" s="150">
        <f t="shared" si="403"/>
        <v>0.19595917942265428</v>
      </c>
      <c r="EI118" s="150">
        <f t="shared" si="404"/>
        <v>0.54307764945110137</v>
      </c>
      <c r="EK118" s="456">
        <f t="shared" si="405"/>
        <v>7.6800000000000034E-4</v>
      </c>
      <c r="EL118" s="456">
        <f t="shared" si="406"/>
        <v>2.4883200000000005E-2</v>
      </c>
      <c r="EM118" s="456">
        <f t="shared" si="407"/>
        <v>1.0800000000000002E-2</v>
      </c>
      <c r="EN118" s="456">
        <f t="shared" si="408"/>
        <v>1.7915904000000004E-3</v>
      </c>
      <c r="EO118">
        <f t="shared" si="409"/>
        <v>4.0499999999999998E-3</v>
      </c>
      <c r="EP118" s="144">
        <f t="shared" si="410"/>
        <v>14.850000000000001</v>
      </c>
      <c r="EQ118" s="144"/>
      <c r="ER118" s="144">
        <f t="shared" si="432"/>
        <v>42.292790400000008</v>
      </c>
      <c r="ES118" s="456">
        <f t="shared" si="411"/>
        <v>6.7199999999999996E-2</v>
      </c>
      <c r="EV118" s="144">
        <f t="shared" si="412"/>
        <v>67.2</v>
      </c>
      <c r="EW118" s="456">
        <f t="shared" si="413"/>
        <v>1.1520000000000005E-3</v>
      </c>
      <c r="EX118" s="456">
        <f t="shared" si="414"/>
        <v>8.848E-3</v>
      </c>
      <c r="EY118" s="456">
        <f t="shared" si="415"/>
        <v>3.4693998912125462E-3</v>
      </c>
      <c r="EZ118" s="456"/>
      <c r="FA118" s="456">
        <f t="shared" si="416"/>
        <v>8.6400000000000013E-5</v>
      </c>
      <c r="FB118" s="144">
        <f t="shared" si="417"/>
        <v>13.555799891212546</v>
      </c>
      <c r="FC118" s="150">
        <f t="shared" si="418"/>
        <v>0.12304859029121255</v>
      </c>
      <c r="FD118" s="5">
        <f t="shared" si="419"/>
        <v>0.48</v>
      </c>
      <c r="FE118" s="150">
        <f t="shared" si="420"/>
        <v>0.79595576165464166</v>
      </c>
      <c r="FF118" s="5">
        <f t="shared" si="421"/>
        <v>79.595576165464166</v>
      </c>
      <c r="FI118" s="59">
        <f t="shared" si="422"/>
        <v>-50</v>
      </c>
      <c r="FJ118">
        <f t="shared" si="423"/>
        <v>-50</v>
      </c>
      <c r="FL118">
        <f t="shared" si="424"/>
        <v>0.19200000000000003</v>
      </c>
    </row>
    <row r="119" spans="5:168">
      <c r="E119" s="147">
        <v>9</v>
      </c>
      <c r="F119" s="188">
        <f t="shared" si="425"/>
        <v>0.108</v>
      </c>
      <c r="G119" s="188"/>
      <c r="H119" s="188">
        <f t="shared" si="315"/>
        <v>0.54</v>
      </c>
      <c r="I119" s="465">
        <f t="shared" si="316"/>
        <v>8.9759437387837657</v>
      </c>
      <c r="J119" s="149">
        <f t="shared" si="317"/>
        <v>5.4144337567297409</v>
      </c>
      <c r="K119" s="149">
        <f t="shared" si="318"/>
        <v>14.390377495513507</v>
      </c>
      <c r="L119" s="379"/>
      <c r="M119" s="188">
        <f t="shared" si="319"/>
        <v>0.37627831074111634</v>
      </c>
      <c r="N119" s="149">
        <f t="shared" si="426"/>
        <v>8.4816287139996778</v>
      </c>
      <c r="O119" s="149">
        <f t="shared" si="284"/>
        <v>0.54</v>
      </c>
      <c r="P119" s="188">
        <f t="shared" si="320"/>
        <v>1.6963257427999356</v>
      </c>
      <c r="Q119" s="188">
        <f t="shared" si="321"/>
        <v>5</v>
      </c>
      <c r="R119" s="188"/>
      <c r="S119" s="149">
        <f t="shared" si="322"/>
        <v>198.81855400079303</v>
      </c>
      <c r="T119" s="149">
        <f t="shared" si="323"/>
        <v>5</v>
      </c>
      <c r="U119" s="188">
        <f t="shared" si="324"/>
        <v>0.346308303398355</v>
      </c>
      <c r="V119" s="188">
        <f t="shared" si="325"/>
        <v>0.46298191719095538</v>
      </c>
      <c r="W119" s="188">
        <f t="shared" si="326"/>
        <v>0.76752248295863479</v>
      </c>
      <c r="X119" s="172">
        <f t="shared" si="327"/>
        <v>281.43605447997982</v>
      </c>
      <c r="Y119" s="379">
        <f t="shared" si="328"/>
        <v>350</v>
      </c>
      <c r="AA119" s="188">
        <f t="shared" si="329"/>
        <v>1</v>
      </c>
      <c r="AB119" s="150">
        <f t="shared" si="330"/>
        <v>2.216298238958947</v>
      </c>
      <c r="AC119" s="150">
        <f t="shared" si="331"/>
        <v>0.31187311596176676</v>
      </c>
      <c r="AD119" s="150"/>
      <c r="AE119" s="150">
        <f t="shared" si="332"/>
        <v>2.216298238958947</v>
      </c>
      <c r="AF119" s="314">
        <f t="shared" si="333"/>
        <v>97.459807621135354</v>
      </c>
      <c r="AG119" s="456">
        <f t="shared" si="334"/>
        <v>0.3118731159617667</v>
      </c>
      <c r="AI119" s="150">
        <f t="shared" si="335"/>
        <v>0.52768986460158951</v>
      </c>
      <c r="AJ119" s="150">
        <f t="shared" si="336"/>
        <v>1</v>
      </c>
      <c r="AK119" s="150">
        <f t="shared" si="337"/>
        <v>1.0556913186406487</v>
      </c>
      <c r="AM119" s="314">
        <f t="shared" si="338"/>
        <v>108</v>
      </c>
      <c r="AN119" s="144">
        <f t="shared" si="339"/>
        <v>97.459807621135354</v>
      </c>
      <c r="AP119" s="144">
        <f t="shared" si="340"/>
        <v>108</v>
      </c>
      <c r="AQ119" s="144">
        <f t="shared" si="341"/>
        <v>97.459807621135354</v>
      </c>
      <c r="AS119" s="5">
        <f t="shared" si="285"/>
        <v>10.260639995180307</v>
      </c>
      <c r="AT119" s="5">
        <f t="shared" si="342"/>
        <v>1.3369067754012005</v>
      </c>
      <c r="AU119" s="5">
        <f t="shared" si="343"/>
        <v>8.9237332197791073</v>
      </c>
      <c r="AV119" s="5"/>
      <c r="AW119" s="150">
        <f t="shared" si="344"/>
        <v>0.13029467713799342</v>
      </c>
      <c r="AX119" s="150">
        <f t="shared" si="214"/>
        <v>0.58475884572681214</v>
      </c>
      <c r="AY119" s="150">
        <f t="shared" si="215"/>
        <v>0.43485266143100332</v>
      </c>
      <c r="AZ119" s="150">
        <f t="shared" si="288"/>
        <v>1.344728680750167</v>
      </c>
      <c r="BA119" s="144">
        <f t="shared" si="433"/>
        <v>2.8877186348665931</v>
      </c>
      <c r="BB119" s="5">
        <f t="shared" si="434"/>
        <v>0.22369123881366482</v>
      </c>
      <c r="BD119" s="150">
        <f t="shared" si="289"/>
        <v>0.20840239692958862</v>
      </c>
      <c r="BE119" s="150">
        <f t="shared" si="218"/>
        <v>0.53842527270489038</v>
      </c>
      <c r="BG119" s="456">
        <f t="shared" si="347"/>
        <v>8.6863118091995613E-4</v>
      </c>
      <c r="BH119" s="456">
        <f t="shared" si="348"/>
        <v>2.6296564168279912E-2</v>
      </c>
      <c r="BI119" s="456">
        <f t="shared" si="349"/>
        <v>2.1869843750000006E-2</v>
      </c>
      <c r="BJ119" s="456">
        <f t="shared" si="350"/>
        <v>2.0182265878215581E-3</v>
      </c>
      <c r="BK119">
        <f t="shared" si="351"/>
        <v>4.0391746824526946E-3</v>
      </c>
      <c r="BL119" s="144">
        <f t="shared" si="427"/>
        <v>25.909018432452701</v>
      </c>
      <c r="BM119" s="456">
        <f t="shared" si="352"/>
        <v>2.9424025085325982E-2</v>
      </c>
      <c r="BN119" s="144">
        <f t="shared" si="353"/>
        <v>29.424025085325983</v>
      </c>
      <c r="BO119" s="456">
        <f t="shared" si="354"/>
        <v>7.5600000000000001E-2</v>
      </c>
      <c r="BR119" s="144">
        <f t="shared" si="355"/>
        <v>75.599999999999994</v>
      </c>
      <c r="BS119" s="456">
        <f t="shared" si="356"/>
        <v>1.302946771379934E-3</v>
      </c>
      <c r="BT119" s="456">
        <f t="shared" si="357"/>
        <v>8.6970532286200653E-3</v>
      </c>
      <c r="BU119" s="456">
        <f t="shared" si="358"/>
        <v>4.6884995513289344E-3</v>
      </c>
      <c r="BV119" s="456"/>
      <c r="BW119" s="456">
        <f t="shared" si="359"/>
        <v>9.7459807621135363E-5</v>
      </c>
      <c r="BX119" s="144">
        <f t="shared" si="360"/>
        <v>14.78595935895007</v>
      </c>
      <c r="BY119" s="150">
        <f t="shared" si="361"/>
        <v>0.14547839972842422</v>
      </c>
      <c r="BZ119" s="5">
        <f t="shared" si="362"/>
        <v>0.54</v>
      </c>
      <c r="CA119" s="150">
        <f t="shared" si="363"/>
        <v>0.78777099353377078</v>
      </c>
      <c r="CB119" s="5">
        <f t="shared" si="364"/>
        <v>78.777099353377082</v>
      </c>
      <c r="CE119" s="59">
        <f t="shared" si="365"/>
        <v>-50</v>
      </c>
      <c r="CF119">
        <f t="shared" si="366"/>
        <v>-50</v>
      </c>
      <c r="CG119" s="150">
        <f t="shared" si="367"/>
        <v>0.22447378466092652</v>
      </c>
      <c r="CI119" s="147">
        <v>9</v>
      </c>
      <c r="CJ119" s="188">
        <f t="shared" si="428"/>
        <v>0.108</v>
      </c>
      <c r="CK119" s="188"/>
      <c r="CL119" s="188">
        <f t="shared" si="368"/>
        <v>0.54</v>
      </c>
      <c r="CM119" s="465">
        <f t="shared" si="369"/>
        <v>9</v>
      </c>
      <c r="CN119" s="379">
        <f t="shared" si="370"/>
        <v>5.4</v>
      </c>
      <c r="CO119" s="379">
        <f t="shared" si="371"/>
        <v>14.4</v>
      </c>
      <c r="CP119" s="379"/>
      <c r="CQ119" s="188">
        <f t="shared" si="372"/>
        <v>0.375</v>
      </c>
      <c r="CR119" s="149">
        <f t="shared" si="429"/>
        <v>8.4754687499999992</v>
      </c>
      <c r="CS119" s="149">
        <f t="shared" si="373"/>
        <v>0.54</v>
      </c>
      <c r="CT119" s="188">
        <f t="shared" si="374"/>
        <v>1.6950937499999998</v>
      </c>
      <c r="CU119" s="188">
        <f t="shared" si="375"/>
        <v>5</v>
      </c>
      <c r="CV119" s="188"/>
      <c r="CW119" s="149">
        <f t="shared" si="376"/>
        <v>199.35135573917225</v>
      </c>
      <c r="CX119" s="149">
        <f t="shared" si="377"/>
        <v>5</v>
      </c>
      <c r="CY119" s="188">
        <f t="shared" si="378"/>
        <v>0.32</v>
      </c>
      <c r="CZ119" s="188">
        <f t="shared" si="379"/>
        <v>0.42666666666666675</v>
      </c>
      <c r="DA119" s="188">
        <f t="shared" si="380"/>
        <v>0.71111111111111114</v>
      </c>
      <c r="DB119" s="172">
        <f t="shared" si="381"/>
        <v>281.25</v>
      </c>
      <c r="DC119" s="379">
        <f t="shared" si="382"/>
        <v>350</v>
      </c>
      <c r="DE119" s="188">
        <f t="shared" si="383"/>
        <v>1</v>
      </c>
      <c r="DF119" s="150">
        <f t="shared" si="384"/>
        <v>2.2222222222222219</v>
      </c>
      <c r="DG119" s="150">
        <f t="shared" si="385"/>
        <v>0.31249999999999994</v>
      </c>
      <c r="DH119" s="150"/>
      <c r="DI119" s="150">
        <f t="shared" si="386"/>
        <v>2.2222222222222219</v>
      </c>
      <c r="DJ119" s="314">
        <f t="shared" si="387"/>
        <v>97.2</v>
      </c>
      <c r="DK119" s="456">
        <f t="shared" si="388"/>
        <v>0.31249999999999994</v>
      </c>
      <c r="DM119" s="150">
        <f t="shared" si="389"/>
        <v>0.52698603939220789</v>
      </c>
      <c r="DN119" s="150">
        <f t="shared" si="390"/>
        <v>1</v>
      </c>
      <c r="DO119" s="150">
        <f t="shared" si="391"/>
        <v>1.0555428571428571</v>
      </c>
      <c r="DQ119" s="314">
        <f t="shared" si="392"/>
        <v>108</v>
      </c>
      <c r="DR119" s="144">
        <f t="shared" si="393"/>
        <v>97.2</v>
      </c>
      <c r="DT119">
        <f t="shared" si="430"/>
        <v>108</v>
      </c>
      <c r="DU119">
        <f t="shared" si="431"/>
        <v>97.2</v>
      </c>
      <c r="DW119" s="5">
        <f t="shared" si="394"/>
        <v>10.2880658436214</v>
      </c>
      <c r="DX119" s="5">
        <f t="shared" si="395"/>
        <v>1.3333333333333335</v>
      </c>
      <c r="DY119" s="5">
        <f t="shared" si="396"/>
        <v>8.9547325102880659</v>
      </c>
      <c r="DZ119" s="5"/>
      <c r="EA119" s="150">
        <f t="shared" si="397"/>
        <v>0.12959999999999999</v>
      </c>
      <c r="EB119" s="150">
        <f t="shared" si="398"/>
        <v>0.58320000000000005</v>
      </c>
      <c r="EC119" s="150">
        <f t="shared" si="399"/>
        <v>0.43520000000000003</v>
      </c>
      <c r="ED119" s="150">
        <f t="shared" si="400"/>
        <v>1.3400735294117647</v>
      </c>
      <c r="EE119" s="144">
        <f t="shared" si="401"/>
        <v>2.8800000000000003</v>
      </c>
      <c r="EF119" s="5">
        <f t="shared" si="402"/>
        <v>0.22386831275720162</v>
      </c>
      <c r="EH119" s="150">
        <f t="shared" si="403"/>
        <v>0.20784609690826528</v>
      </c>
      <c r="EI119" s="150">
        <f t="shared" si="404"/>
        <v>0.53864026337931081</v>
      </c>
      <c r="EK119" s="456">
        <f t="shared" si="405"/>
        <v>8.6400000000000008E-4</v>
      </c>
      <c r="EL119" s="456">
        <f t="shared" si="406"/>
        <v>2.79936E-2</v>
      </c>
      <c r="EM119" s="456">
        <f t="shared" si="407"/>
        <v>1.2150000000000001E-2</v>
      </c>
      <c r="EN119" s="456">
        <f t="shared" si="408"/>
        <v>2.0155392000000003E-3</v>
      </c>
      <c r="EO119">
        <f t="shared" si="409"/>
        <v>4.0499999999999998E-3</v>
      </c>
      <c r="EP119" s="144">
        <f t="shared" si="410"/>
        <v>16.2</v>
      </c>
      <c r="EQ119" s="144"/>
      <c r="ER119" s="144">
        <f t="shared" si="432"/>
        <v>47.0731392</v>
      </c>
      <c r="ES119" s="456">
        <f t="shared" si="411"/>
        <v>7.5600000000000001E-2</v>
      </c>
      <c r="EV119" s="144">
        <f t="shared" si="412"/>
        <v>75.599999999999994</v>
      </c>
      <c r="EW119" s="456">
        <f t="shared" si="413"/>
        <v>1.2960000000000001E-3</v>
      </c>
      <c r="EX119" s="456">
        <f t="shared" si="414"/>
        <v>8.7039999999999982E-3</v>
      </c>
      <c r="EY119" s="456">
        <f t="shared" si="415"/>
        <v>4.6573155789296486E-3</v>
      </c>
      <c r="EZ119" s="456"/>
      <c r="FA119" s="456">
        <f t="shared" si="416"/>
        <v>9.7200000000000004E-5</v>
      </c>
      <c r="FB119" s="144">
        <f t="shared" si="417"/>
        <v>14.754515578929649</v>
      </c>
      <c r="FC119" s="150">
        <f t="shared" si="418"/>
        <v>0.13742765477892965</v>
      </c>
      <c r="FD119" s="5">
        <f t="shared" si="419"/>
        <v>0.54</v>
      </c>
      <c r="FE119" s="150">
        <f t="shared" si="420"/>
        <v>0.79713309043490765</v>
      </c>
      <c r="FF119" s="5">
        <f t="shared" si="421"/>
        <v>79.713309043490767</v>
      </c>
      <c r="FI119" s="59">
        <f t="shared" si="422"/>
        <v>-50</v>
      </c>
      <c r="FJ119">
        <f t="shared" si="423"/>
        <v>-50</v>
      </c>
      <c r="FL119">
        <f t="shared" si="424"/>
        <v>0.216</v>
      </c>
    </row>
    <row r="120" spans="5:168">
      <c r="E120" s="147">
        <v>10</v>
      </c>
      <c r="F120" s="188">
        <f t="shared" si="425"/>
        <v>0.12</v>
      </c>
      <c r="G120" s="188"/>
      <c r="H120" s="188">
        <f t="shared" si="315"/>
        <v>0.6</v>
      </c>
      <c r="I120" s="465">
        <f t="shared" si="316"/>
        <v>8.9759437387837657</v>
      </c>
      <c r="J120" s="149">
        <f t="shared" si="317"/>
        <v>5.4144337567297409</v>
      </c>
      <c r="K120" s="149">
        <f t="shared" si="318"/>
        <v>14.390377495513507</v>
      </c>
      <c r="L120" s="379"/>
      <c r="M120" s="188">
        <f t="shared" si="319"/>
        <v>0.37627831074111634</v>
      </c>
      <c r="N120" s="149">
        <f t="shared" si="426"/>
        <v>8.4816287139996778</v>
      </c>
      <c r="O120" s="149">
        <f t="shared" si="284"/>
        <v>0.6</v>
      </c>
      <c r="P120" s="188">
        <f t="shared" si="320"/>
        <v>1.6963257427999356</v>
      </c>
      <c r="Q120" s="188">
        <f t="shared" si="321"/>
        <v>5</v>
      </c>
      <c r="R120" s="188"/>
      <c r="S120" s="149">
        <f t="shared" si="322"/>
        <v>178.04300473671003</v>
      </c>
      <c r="T120" s="149">
        <f t="shared" si="323"/>
        <v>5</v>
      </c>
      <c r="U120" s="188">
        <f t="shared" si="324"/>
        <v>0.38478700377594993</v>
      </c>
      <c r="V120" s="188">
        <f t="shared" si="325"/>
        <v>0.51442435243439488</v>
      </c>
      <c r="W120" s="188">
        <f t="shared" si="326"/>
        <v>0.85280275884292756</v>
      </c>
      <c r="X120" s="172">
        <f t="shared" si="327"/>
        <v>281.43605447997982</v>
      </c>
      <c r="Y120" s="379">
        <f t="shared" si="328"/>
        <v>350</v>
      </c>
      <c r="AA120" s="188">
        <f t="shared" si="329"/>
        <v>1</v>
      </c>
      <c r="AB120" s="150">
        <f t="shared" si="330"/>
        <v>2.216298238958947</v>
      </c>
      <c r="AC120" s="150">
        <f t="shared" si="331"/>
        <v>0.31187311596176676</v>
      </c>
      <c r="AD120" s="150"/>
      <c r="AE120" s="150">
        <f t="shared" si="332"/>
        <v>2.216298238958947</v>
      </c>
      <c r="AF120" s="314">
        <f t="shared" si="333"/>
        <v>108.28867513459481</v>
      </c>
      <c r="AG120" s="456">
        <f t="shared" si="334"/>
        <v>0.3118731159617667</v>
      </c>
      <c r="AI120" s="150">
        <f t="shared" si="335"/>
        <v>0.55623395677562781</v>
      </c>
      <c r="AJ120" s="150">
        <f t="shared" si="336"/>
        <v>1</v>
      </c>
      <c r="AK120" s="150">
        <f t="shared" si="337"/>
        <v>1.0618792429340542</v>
      </c>
      <c r="AM120" s="314">
        <f t="shared" si="338"/>
        <v>120</v>
      </c>
      <c r="AN120" s="144">
        <f t="shared" si="339"/>
        <v>108.28867513459481</v>
      </c>
      <c r="AP120" s="144">
        <f t="shared" si="340"/>
        <v>120</v>
      </c>
      <c r="AQ120" s="144">
        <f t="shared" si="341"/>
        <v>108.28867513459481</v>
      </c>
      <c r="AS120" s="5">
        <f t="shared" si="285"/>
        <v>9.2345759956622793</v>
      </c>
      <c r="AT120" s="5">
        <f t="shared" si="342"/>
        <v>1.3369067754012005</v>
      </c>
      <c r="AU120" s="5">
        <f t="shared" si="343"/>
        <v>7.8976692202610792</v>
      </c>
      <c r="AV120" s="5"/>
      <c r="AW120" s="150">
        <f t="shared" si="344"/>
        <v>0.14477186348665932</v>
      </c>
      <c r="AX120" s="150">
        <f t="shared" si="214"/>
        <v>0.64973205080756891</v>
      </c>
      <c r="AY120" s="150">
        <f t="shared" si="215"/>
        <v>0.42761406825667037</v>
      </c>
      <c r="AZ120" s="150">
        <f t="shared" si="288"/>
        <v>1.5194356290859328</v>
      </c>
      <c r="BA120" s="144">
        <f t="shared" si="433"/>
        <v>3.208576260962881</v>
      </c>
      <c r="BB120" s="5">
        <f t="shared" si="434"/>
        <v>0.21996765605092811</v>
      </c>
      <c r="BD120" s="150">
        <f t="shared" si="289"/>
        <v>0.21967541471199376</v>
      </c>
      <c r="BE120" s="150">
        <f t="shared" si="218"/>
        <v>0.53392513099164651</v>
      </c>
      <c r="BG120" s="456">
        <f t="shared" si="347"/>
        <v>9.651457565777289E-4</v>
      </c>
      <c r="BH120" s="456">
        <f t="shared" si="348"/>
        <v>2.9218404631422112E-2</v>
      </c>
      <c r="BI120" s="456">
        <f t="shared" si="349"/>
        <v>2.4299826388888886E-2</v>
      </c>
      <c r="BJ120" s="456">
        <f t="shared" si="350"/>
        <v>2.242473986468397E-3</v>
      </c>
      <c r="BK120">
        <f t="shared" si="351"/>
        <v>4.0391746824526946E-3</v>
      </c>
      <c r="BL120" s="144">
        <f t="shared" si="427"/>
        <v>28.339001071341581</v>
      </c>
      <c r="BM120" s="456">
        <f t="shared" si="352"/>
        <v>3.269411109756782E-2</v>
      </c>
      <c r="BN120" s="144">
        <f t="shared" si="353"/>
        <v>32.69411109756782</v>
      </c>
      <c r="BO120" s="456">
        <f t="shared" si="354"/>
        <v>8.3999999999999991E-2</v>
      </c>
      <c r="BR120" s="144">
        <f t="shared" si="355"/>
        <v>83.999999999999986</v>
      </c>
      <c r="BS120" s="456">
        <f t="shared" si="356"/>
        <v>1.4477186348665933E-3</v>
      </c>
      <c r="BT120" s="456">
        <f t="shared" si="357"/>
        <v>8.5522813651334063E-3</v>
      </c>
      <c r="BU120" s="456">
        <f t="shared" si="358"/>
        <v>6.1013734118835344E-3</v>
      </c>
      <c r="BV120" s="456"/>
      <c r="BW120" s="456">
        <f t="shared" si="359"/>
        <v>1.0828867513459481E-4</v>
      </c>
      <c r="BX120" s="144">
        <f t="shared" si="360"/>
        <v>16.209662087018131</v>
      </c>
      <c r="BY120" s="150">
        <f t="shared" si="361"/>
        <v>0.16097468753282798</v>
      </c>
      <c r="BZ120" s="5">
        <f t="shared" si="362"/>
        <v>0.6</v>
      </c>
      <c r="CA120" s="150">
        <f t="shared" si="363"/>
        <v>0.78846249399605206</v>
      </c>
      <c r="CB120" s="5">
        <f t="shared" si="364"/>
        <v>78.846249399605199</v>
      </c>
      <c r="CE120" s="59">
        <f t="shared" si="365"/>
        <v>-50</v>
      </c>
      <c r="CF120">
        <f t="shared" si="366"/>
        <v>-50</v>
      </c>
      <c r="CG120" s="150">
        <f t="shared" si="367"/>
        <v>0.24941531628991834</v>
      </c>
      <c r="CI120" s="147">
        <v>10</v>
      </c>
      <c r="CJ120" s="188">
        <f t="shared" si="428"/>
        <v>0.12</v>
      </c>
      <c r="CK120" s="188"/>
      <c r="CL120" s="188">
        <f t="shared" si="368"/>
        <v>0.6</v>
      </c>
      <c r="CM120" s="465">
        <f t="shared" si="369"/>
        <v>9</v>
      </c>
      <c r="CN120" s="379">
        <f t="shared" si="370"/>
        <v>5.4</v>
      </c>
      <c r="CO120" s="379">
        <f t="shared" si="371"/>
        <v>14.4</v>
      </c>
      <c r="CP120" s="379"/>
      <c r="CQ120" s="188">
        <f t="shared" si="372"/>
        <v>0.375</v>
      </c>
      <c r="CR120" s="149">
        <f t="shared" si="429"/>
        <v>8.4754687499999992</v>
      </c>
      <c r="CS120" s="149">
        <f t="shared" si="373"/>
        <v>0.6</v>
      </c>
      <c r="CT120" s="188">
        <f t="shared" si="374"/>
        <v>1.6950937499999998</v>
      </c>
      <c r="CU120" s="188">
        <f t="shared" si="375"/>
        <v>5</v>
      </c>
      <c r="CV120" s="188"/>
      <c r="CW120" s="149">
        <f t="shared" si="376"/>
        <v>178.52012071077138</v>
      </c>
      <c r="CX120" s="149">
        <f t="shared" si="377"/>
        <v>5</v>
      </c>
      <c r="CY120" s="188">
        <f t="shared" si="378"/>
        <v>0.35555555555555557</v>
      </c>
      <c r="CZ120" s="188">
        <f t="shared" si="379"/>
        <v>0.47407407407407409</v>
      </c>
      <c r="DA120" s="188">
        <f t="shared" si="380"/>
        <v>0.79012345679012341</v>
      </c>
      <c r="DB120" s="172">
        <f t="shared" si="381"/>
        <v>281.25</v>
      </c>
      <c r="DC120" s="379">
        <f t="shared" si="382"/>
        <v>350</v>
      </c>
      <c r="DE120" s="188">
        <f t="shared" si="383"/>
        <v>1</v>
      </c>
      <c r="DF120" s="150">
        <f t="shared" si="384"/>
        <v>2.2222222222222219</v>
      </c>
      <c r="DG120" s="150">
        <f t="shared" si="385"/>
        <v>0.31249999999999994</v>
      </c>
      <c r="DH120" s="150"/>
      <c r="DI120" s="150">
        <f t="shared" si="386"/>
        <v>2.2222222222222219</v>
      </c>
      <c r="DJ120" s="314">
        <f t="shared" si="387"/>
        <v>108</v>
      </c>
      <c r="DK120" s="456">
        <f t="shared" si="388"/>
        <v>0.31249999999999994</v>
      </c>
      <c r="DM120" s="150">
        <f t="shared" si="389"/>
        <v>0.5554920598635309</v>
      </c>
      <c r="DN120" s="150">
        <f t="shared" si="390"/>
        <v>1</v>
      </c>
      <c r="DO120" s="150">
        <f t="shared" si="391"/>
        <v>1.0617142857142858</v>
      </c>
      <c r="DQ120" s="314">
        <f t="shared" si="392"/>
        <v>120</v>
      </c>
      <c r="DR120" s="144">
        <f t="shared" si="393"/>
        <v>108</v>
      </c>
      <c r="DT120">
        <f t="shared" si="430"/>
        <v>120</v>
      </c>
      <c r="DU120">
        <f t="shared" si="431"/>
        <v>108</v>
      </c>
      <c r="DW120" s="5">
        <f t="shared" si="394"/>
        <v>9.2592592592592595</v>
      </c>
      <c r="DX120" s="5">
        <f t="shared" si="395"/>
        <v>1.3333333333333335</v>
      </c>
      <c r="DY120" s="5">
        <f t="shared" si="396"/>
        <v>7.9259259259259256</v>
      </c>
      <c r="DZ120" s="5"/>
      <c r="EA120" s="150">
        <f t="shared" si="397"/>
        <v>0.14400000000000002</v>
      </c>
      <c r="EB120" s="150">
        <f t="shared" si="398"/>
        <v>0.64800000000000002</v>
      </c>
      <c r="EC120" s="150">
        <f t="shared" si="399"/>
        <v>0.42799999999999999</v>
      </c>
      <c r="ED120" s="150">
        <f t="shared" si="400"/>
        <v>1.5140186915887852</v>
      </c>
      <c r="EE120" s="144">
        <f t="shared" si="401"/>
        <v>3.2</v>
      </c>
      <c r="EF120" s="5">
        <f t="shared" si="402"/>
        <v>0.22016460905349788</v>
      </c>
      <c r="EH120" s="150">
        <f t="shared" si="403"/>
        <v>0.21908902300206645</v>
      </c>
      <c r="EI120" s="150">
        <f t="shared" si="404"/>
        <v>0.53416601664027008</v>
      </c>
      <c r="EK120" s="456">
        <f t="shared" si="405"/>
        <v>9.6000000000000002E-4</v>
      </c>
      <c r="EL120" s="456">
        <f t="shared" si="406"/>
        <v>3.1104E-2</v>
      </c>
      <c r="EM120" s="456">
        <f t="shared" si="407"/>
        <v>1.35E-2</v>
      </c>
      <c r="EN120" s="456">
        <f t="shared" si="408"/>
        <v>2.239488E-3</v>
      </c>
      <c r="EO120">
        <f t="shared" si="409"/>
        <v>4.0499999999999998E-3</v>
      </c>
      <c r="EP120" s="144">
        <f t="shared" si="410"/>
        <v>17.55</v>
      </c>
      <c r="EQ120" s="144"/>
      <c r="ER120" s="144">
        <f t="shared" si="432"/>
        <v>51.853487999999999</v>
      </c>
      <c r="ES120" s="456">
        <f t="shared" si="411"/>
        <v>8.3999999999999991E-2</v>
      </c>
      <c r="EV120" s="144">
        <f t="shared" si="412"/>
        <v>83.999999999999986</v>
      </c>
      <c r="EW120" s="456">
        <f t="shared" si="413"/>
        <v>1.4399999999999999E-3</v>
      </c>
      <c r="EX120" s="456">
        <f t="shared" si="414"/>
        <v>8.5599999999999982E-3</v>
      </c>
      <c r="EY120" s="456">
        <f t="shared" si="415"/>
        <v>6.0607921858450188E-3</v>
      </c>
      <c r="EZ120" s="456"/>
      <c r="FA120" s="456">
        <f t="shared" si="416"/>
        <v>1.08E-4</v>
      </c>
      <c r="FB120" s="144">
        <f t="shared" si="417"/>
        <v>16.168792185845017</v>
      </c>
      <c r="FC120" s="150">
        <f t="shared" si="418"/>
        <v>0.15202228018584499</v>
      </c>
      <c r="FD120" s="5">
        <f t="shared" si="419"/>
        <v>0.6</v>
      </c>
      <c r="FE120" s="150">
        <f t="shared" si="420"/>
        <v>0.79784870183862611</v>
      </c>
      <c r="FF120" s="5">
        <f t="shared" si="421"/>
        <v>79.784870183862608</v>
      </c>
      <c r="FI120" s="59">
        <f t="shared" si="422"/>
        <v>-50</v>
      </c>
      <c r="FJ120">
        <f t="shared" si="423"/>
        <v>-50</v>
      </c>
      <c r="FL120">
        <f t="shared" si="424"/>
        <v>0.24</v>
      </c>
    </row>
    <row r="121" spans="5:168">
      <c r="E121" s="147">
        <v>11</v>
      </c>
      <c r="F121" s="188">
        <f t="shared" si="425"/>
        <v>0.13200000000000001</v>
      </c>
      <c r="G121" s="188"/>
      <c r="H121" s="188">
        <f t="shared" si="315"/>
        <v>0.66</v>
      </c>
      <c r="I121" s="465">
        <f t="shared" si="316"/>
        <v>8.9759437387837657</v>
      </c>
      <c r="J121" s="149">
        <f t="shared" si="317"/>
        <v>5.4144337567297409</v>
      </c>
      <c r="K121" s="149">
        <f t="shared" si="318"/>
        <v>14.390377495513507</v>
      </c>
      <c r="L121" s="379"/>
      <c r="M121" s="188">
        <f t="shared" si="319"/>
        <v>0.37627831074111634</v>
      </c>
      <c r="N121" s="149">
        <f t="shared" si="426"/>
        <v>8.4816287139996778</v>
      </c>
      <c r="O121" s="149">
        <f t="shared" si="284"/>
        <v>0.66</v>
      </c>
      <c r="P121" s="188">
        <f t="shared" si="320"/>
        <v>1.6963257427999356</v>
      </c>
      <c r="Q121" s="188">
        <f t="shared" si="321"/>
        <v>5</v>
      </c>
      <c r="R121" s="188"/>
      <c r="S121" s="149">
        <f t="shared" si="322"/>
        <v>161.04522968949729</v>
      </c>
      <c r="T121" s="149">
        <f t="shared" si="323"/>
        <v>5</v>
      </c>
      <c r="U121" s="188">
        <f t="shared" si="324"/>
        <v>0.42326570415354503</v>
      </c>
      <c r="V121" s="188">
        <f t="shared" si="325"/>
        <v>0.56586678767783449</v>
      </c>
      <c r="W121" s="188">
        <f t="shared" si="326"/>
        <v>0.93808303472722054</v>
      </c>
      <c r="X121" s="172">
        <f t="shared" si="327"/>
        <v>281.43605447997982</v>
      </c>
      <c r="Y121" s="379">
        <f t="shared" si="328"/>
        <v>350</v>
      </c>
      <c r="AA121" s="188">
        <f t="shared" si="329"/>
        <v>1</v>
      </c>
      <c r="AB121" s="150">
        <f t="shared" si="330"/>
        <v>2.216298238958947</v>
      </c>
      <c r="AC121" s="150">
        <f t="shared" si="331"/>
        <v>0.31187311596176676</v>
      </c>
      <c r="AD121" s="150"/>
      <c r="AE121" s="150">
        <f t="shared" si="332"/>
        <v>2.216298238958947</v>
      </c>
      <c r="AF121" s="314">
        <f t="shared" si="333"/>
        <v>119.11754264805431</v>
      </c>
      <c r="AG121" s="456">
        <f t="shared" si="334"/>
        <v>0.3118731159617667</v>
      </c>
      <c r="AI121" s="150">
        <f t="shared" si="335"/>
        <v>0.58338309551897205</v>
      </c>
      <c r="AJ121" s="150">
        <f t="shared" si="336"/>
        <v>1</v>
      </c>
      <c r="AK121" s="150">
        <f t="shared" si="337"/>
        <v>1.0680671672274595</v>
      </c>
      <c r="AM121" s="314">
        <f t="shared" si="338"/>
        <v>132</v>
      </c>
      <c r="AN121" s="144">
        <f t="shared" si="339"/>
        <v>119.11754264805431</v>
      </c>
      <c r="AP121" s="144">
        <f t="shared" si="340"/>
        <v>132</v>
      </c>
      <c r="AQ121" s="144">
        <f t="shared" si="341"/>
        <v>119.11754264805431</v>
      </c>
      <c r="AS121" s="5">
        <f t="shared" si="285"/>
        <v>8.395069086965707</v>
      </c>
      <c r="AT121" s="5">
        <f t="shared" si="342"/>
        <v>1.3369067754012005</v>
      </c>
      <c r="AU121" s="5">
        <f t="shared" si="343"/>
        <v>7.0581623115645069</v>
      </c>
      <c r="AV121" s="5"/>
      <c r="AW121" s="150">
        <f t="shared" si="344"/>
        <v>0.15924904983532528</v>
      </c>
      <c r="AX121" s="150">
        <f t="shared" si="214"/>
        <v>0.7147052558883259</v>
      </c>
      <c r="AY121" s="150">
        <f t="shared" si="215"/>
        <v>0.42037547508233736</v>
      </c>
      <c r="AZ121" s="150">
        <f t="shared" si="288"/>
        <v>1.7001592582163345</v>
      </c>
      <c r="BA121" s="144">
        <f t="shared" si="433"/>
        <v>3.5294338870591693</v>
      </c>
      <c r="BB121" s="5">
        <f t="shared" si="434"/>
        <v>0.2162440732881914</v>
      </c>
      <c r="BD121" s="150">
        <f t="shared" si="289"/>
        <v>0.23039751867538655</v>
      </c>
      <c r="BE121" s="150">
        <f t="shared" si="218"/>
        <v>0.52938673644279965</v>
      </c>
      <c r="BG121" s="456">
        <f t="shared" si="347"/>
        <v>1.0616603322355018E-3</v>
      </c>
      <c r="BH121" s="456">
        <f t="shared" si="348"/>
        <v>3.2140245094564333E-2</v>
      </c>
      <c r="BI121" s="456">
        <f t="shared" si="349"/>
        <v>2.6729809027777784E-2</v>
      </c>
      <c r="BJ121" s="456">
        <f t="shared" si="350"/>
        <v>2.4667213851152373E-3</v>
      </c>
      <c r="BK121">
        <f t="shared" si="351"/>
        <v>4.0391746824526946E-3</v>
      </c>
      <c r="BL121" s="144">
        <f t="shared" si="427"/>
        <v>30.768983710230479</v>
      </c>
      <c r="BM121" s="456">
        <f t="shared" si="352"/>
        <v>3.5964347125981351E-2</v>
      </c>
      <c r="BN121" s="144">
        <f t="shared" si="353"/>
        <v>35.964347125981348</v>
      </c>
      <c r="BO121" s="456">
        <f t="shared" si="354"/>
        <v>9.2399999999999996E-2</v>
      </c>
      <c r="BR121" s="144">
        <f t="shared" si="355"/>
        <v>92.399999999999991</v>
      </c>
      <c r="BS121" s="456">
        <f t="shared" si="356"/>
        <v>1.5924904983532528E-3</v>
      </c>
      <c r="BT121" s="456">
        <f t="shared" si="357"/>
        <v>8.4075095016467455E-3</v>
      </c>
      <c r="BU121" s="456">
        <f t="shared" si="358"/>
        <v>7.7430010486519924E-3</v>
      </c>
      <c r="BV121" s="456"/>
      <c r="BW121" s="456">
        <f t="shared" si="359"/>
        <v>1.1911754264805432E-4</v>
      </c>
      <c r="BX121" s="144">
        <f t="shared" si="360"/>
        <v>17.862118591300042</v>
      </c>
      <c r="BY121" s="150">
        <f t="shared" si="361"/>
        <v>0.17669972911344564</v>
      </c>
      <c r="BZ121" s="5">
        <f t="shared" si="362"/>
        <v>0.66</v>
      </c>
      <c r="CA121" s="150">
        <f t="shared" si="363"/>
        <v>0.78881345007644021</v>
      </c>
      <c r="CB121" s="5">
        <f t="shared" si="364"/>
        <v>78.881345007644015</v>
      </c>
      <c r="CE121" s="59">
        <f t="shared" si="365"/>
        <v>-50</v>
      </c>
      <c r="CF121">
        <f t="shared" si="366"/>
        <v>-50</v>
      </c>
      <c r="CG121" s="150">
        <f t="shared" si="367"/>
        <v>0.27435684791891018</v>
      </c>
      <c r="CI121" s="147">
        <v>11</v>
      </c>
      <c r="CJ121" s="188">
        <f t="shared" si="428"/>
        <v>0.13200000000000001</v>
      </c>
      <c r="CK121" s="188"/>
      <c r="CL121" s="188">
        <f t="shared" si="368"/>
        <v>0.66</v>
      </c>
      <c r="CM121" s="465">
        <f t="shared" si="369"/>
        <v>9</v>
      </c>
      <c r="CN121" s="379">
        <f t="shared" si="370"/>
        <v>5.4</v>
      </c>
      <c r="CO121" s="379">
        <f t="shared" si="371"/>
        <v>14.4</v>
      </c>
      <c r="CP121" s="379"/>
      <c r="CQ121" s="188">
        <f t="shared" si="372"/>
        <v>0.375</v>
      </c>
      <c r="CR121" s="149">
        <f t="shared" si="429"/>
        <v>8.4754687499999992</v>
      </c>
      <c r="CS121" s="149">
        <f t="shared" si="373"/>
        <v>0.66</v>
      </c>
      <c r="CT121" s="188">
        <f t="shared" si="374"/>
        <v>1.6950937499999998</v>
      </c>
      <c r="CU121" s="188">
        <f t="shared" si="375"/>
        <v>5</v>
      </c>
      <c r="CV121" s="188"/>
      <c r="CW121" s="149">
        <f t="shared" si="376"/>
        <v>161.47678459160937</v>
      </c>
      <c r="CX121" s="149">
        <f t="shared" si="377"/>
        <v>5</v>
      </c>
      <c r="CY121" s="188">
        <f t="shared" si="378"/>
        <v>0.39111111111111113</v>
      </c>
      <c r="CZ121" s="188">
        <f t="shared" si="379"/>
        <v>0.52148148148148155</v>
      </c>
      <c r="DA121" s="188">
        <f t="shared" si="380"/>
        <v>0.8691358024691358</v>
      </c>
      <c r="DB121" s="172">
        <f t="shared" si="381"/>
        <v>281.25</v>
      </c>
      <c r="DC121" s="379">
        <f t="shared" si="382"/>
        <v>350</v>
      </c>
      <c r="DE121" s="188">
        <f t="shared" si="383"/>
        <v>1</v>
      </c>
      <c r="DF121" s="150">
        <f t="shared" si="384"/>
        <v>2.2222222222222219</v>
      </c>
      <c r="DG121" s="150">
        <f t="shared" si="385"/>
        <v>0.31249999999999994</v>
      </c>
      <c r="DH121" s="150"/>
      <c r="DI121" s="150">
        <f t="shared" si="386"/>
        <v>2.2222222222222219</v>
      </c>
      <c r="DJ121" s="314">
        <f t="shared" si="387"/>
        <v>118.80000000000001</v>
      </c>
      <c r="DK121" s="456">
        <f t="shared" si="388"/>
        <v>0.31249999999999994</v>
      </c>
      <c r="DM121" s="150">
        <f t="shared" si="389"/>
        <v>0.58260498747313472</v>
      </c>
      <c r="DN121" s="150">
        <f t="shared" si="390"/>
        <v>1</v>
      </c>
      <c r="DO121" s="150">
        <f t="shared" si="391"/>
        <v>1.0678857142857143</v>
      </c>
      <c r="DQ121" s="314">
        <f t="shared" si="392"/>
        <v>132</v>
      </c>
      <c r="DR121" s="144">
        <f t="shared" si="393"/>
        <v>118.80000000000001</v>
      </c>
      <c r="DT121">
        <f t="shared" si="430"/>
        <v>132</v>
      </c>
      <c r="DU121">
        <f t="shared" si="431"/>
        <v>118.80000000000001</v>
      </c>
      <c r="DW121" s="5">
        <f t="shared" si="394"/>
        <v>8.4175084175084169</v>
      </c>
      <c r="DX121" s="5">
        <f t="shared" si="395"/>
        <v>1.3333333333333335</v>
      </c>
      <c r="DY121" s="5">
        <f t="shared" si="396"/>
        <v>7.084175084175083</v>
      </c>
      <c r="DZ121" s="5"/>
      <c r="EA121" s="150">
        <f t="shared" si="397"/>
        <v>0.15840000000000004</v>
      </c>
      <c r="EB121" s="150">
        <f t="shared" si="398"/>
        <v>0.7128000000000001</v>
      </c>
      <c r="EC121" s="150">
        <f t="shared" si="399"/>
        <v>0.42079999999999995</v>
      </c>
      <c r="ED121" s="150">
        <f t="shared" si="400"/>
        <v>1.6939163498098864</v>
      </c>
      <c r="EE121" s="144">
        <f t="shared" si="401"/>
        <v>3.5200000000000005</v>
      </c>
      <c r="EF121" s="5">
        <f t="shared" si="402"/>
        <v>0.21646090534979417</v>
      </c>
      <c r="EH121" s="150">
        <f t="shared" si="403"/>
        <v>0.22978250586152119</v>
      </c>
      <c r="EI121" s="150">
        <f t="shared" si="404"/>
        <v>0.52965397509443213</v>
      </c>
      <c r="EK121" s="456">
        <f t="shared" si="405"/>
        <v>1.0560000000000005E-3</v>
      </c>
      <c r="EL121" s="456">
        <f t="shared" si="406"/>
        <v>3.4214400000000006E-2</v>
      </c>
      <c r="EM121" s="456">
        <f t="shared" si="407"/>
        <v>1.485E-2</v>
      </c>
      <c r="EN121" s="456">
        <f t="shared" si="408"/>
        <v>2.4634368000000005E-3</v>
      </c>
      <c r="EO121">
        <f t="shared" si="409"/>
        <v>4.0499999999999998E-3</v>
      </c>
      <c r="EP121" s="144">
        <f t="shared" si="410"/>
        <v>18.899999999999999</v>
      </c>
      <c r="EQ121" s="144"/>
      <c r="ER121" s="144">
        <f t="shared" si="432"/>
        <v>56.633836800000012</v>
      </c>
      <c r="ES121" s="456">
        <f t="shared" si="411"/>
        <v>9.2399999999999996E-2</v>
      </c>
      <c r="EV121" s="144">
        <f t="shared" si="412"/>
        <v>92.399999999999991</v>
      </c>
      <c r="EW121" s="456">
        <f t="shared" si="413"/>
        <v>1.5840000000000006E-3</v>
      </c>
      <c r="EX121" s="456">
        <f t="shared" si="414"/>
        <v>8.4159999999999981E-3</v>
      </c>
      <c r="EY121" s="456">
        <f t="shared" si="415"/>
        <v>7.6915010904360717E-3</v>
      </c>
      <c r="EZ121" s="456"/>
      <c r="FA121" s="456">
        <f t="shared" si="416"/>
        <v>1.1880000000000001E-4</v>
      </c>
      <c r="FB121" s="144">
        <f t="shared" si="417"/>
        <v>17.81030109043607</v>
      </c>
      <c r="FC121" s="150">
        <f t="shared" si="418"/>
        <v>0.16684413789043609</v>
      </c>
      <c r="FD121" s="5">
        <f t="shared" si="419"/>
        <v>0.66</v>
      </c>
      <c r="FE121" s="150">
        <f t="shared" si="420"/>
        <v>0.79821573348017816</v>
      </c>
      <c r="FF121" s="5">
        <f t="shared" si="421"/>
        <v>79.821573348017822</v>
      </c>
      <c r="FI121" s="59">
        <f t="shared" si="422"/>
        <v>-50</v>
      </c>
      <c r="FJ121">
        <f t="shared" si="423"/>
        <v>-50</v>
      </c>
      <c r="FL121">
        <f t="shared" si="424"/>
        <v>0.26400000000000001</v>
      </c>
    </row>
    <row r="122" spans="5:168">
      <c r="E122" s="147">
        <v>12</v>
      </c>
      <c r="F122" s="188">
        <f t="shared" si="425"/>
        <v>0.14399999999999999</v>
      </c>
      <c r="G122" s="188"/>
      <c r="H122" s="188">
        <f t="shared" si="315"/>
        <v>0.72</v>
      </c>
      <c r="I122" s="465">
        <f t="shared" si="316"/>
        <v>8.9759437387837657</v>
      </c>
      <c r="J122" s="149">
        <f t="shared" si="317"/>
        <v>5.4144337567297409</v>
      </c>
      <c r="K122" s="149">
        <f t="shared" si="318"/>
        <v>14.390377495513507</v>
      </c>
      <c r="L122" s="379"/>
      <c r="M122" s="188">
        <f t="shared" si="319"/>
        <v>0.37627831074111634</v>
      </c>
      <c r="N122" s="149">
        <f t="shared" si="426"/>
        <v>8.4816287139996778</v>
      </c>
      <c r="O122" s="149">
        <f t="shared" si="284"/>
        <v>0.72</v>
      </c>
      <c r="P122" s="188">
        <f t="shared" si="320"/>
        <v>1.6963257427999356</v>
      </c>
      <c r="Q122" s="188">
        <f t="shared" si="321"/>
        <v>5</v>
      </c>
      <c r="R122" s="188"/>
      <c r="S122" s="149">
        <f t="shared" si="322"/>
        <v>146.88079060906574</v>
      </c>
      <c r="T122" s="149">
        <f t="shared" si="323"/>
        <v>5</v>
      </c>
      <c r="U122" s="188">
        <f t="shared" si="324"/>
        <v>0.46174440453113991</v>
      </c>
      <c r="V122" s="188">
        <f t="shared" si="325"/>
        <v>0.61730922292127377</v>
      </c>
      <c r="W122" s="188">
        <f t="shared" si="326"/>
        <v>1.023363310611513</v>
      </c>
      <c r="X122" s="172">
        <f t="shared" si="327"/>
        <v>281.43605447997982</v>
      </c>
      <c r="Y122" s="379">
        <f t="shared" si="328"/>
        <v>350</v>
      </c>
      <c r="AA122" s="188">
        <f t="shared" si="329"/>
        <v>1</v>
      </c>
      <c r="AB122" s="150">
        <f t="shared" si="330"/>
        <v>2.216298238958947</v>
      </c>
      <c r="AC122" s="150">
        <f t="shared" si="331"/>
        <v>0.31187311596176676</v>
      </c>
      <c r="AD122" s="150"/>
      <c r="AE122" s="150">
        <f t="shared" si="332"/>
        <v>2.216298238958947</v>
      </c>
      <c r="AF122" s="314">
        <f t="shared" si="333"/>
        <v>129.94641016151377</v>
      </c>
      <c r="AG122" s="456">
        <f t="shared" si="334"/>
        <v>0.3118731159617667</v>
      </c>
      <c r="AI122" s="150">
        <f t="shared" si="335"/>
        <v>0.6093237707527297</v>
      </c>
      <c r="AJ122" s="150">
        <f t="shared" si="336"/>
        <v>1</v>
      </c>
      <c r="AK122" s="150">
        <f t="shared" si="337"/>
        <v>1.0742550915208651</v>
      </c>
      <c r="AM122" s="314">
        <f t="shared" si="338"/>
        <v>144</v>
      </c>
      <c r="AN122" s="144">
        <f t="shared" si="339"/>
        <v>129.94641016151377</v>
      </c>
      <c r="AP122" s="144">
        <f t="shared" si="340"/>
        <v>144</v>
      </c>
      <c r="AQ122" s="144">
        <f t="shared" si="341"/>
        <v>129.94641016151377</v>
      </c>
      <c r="AS122" s="5">
        <f t="shared" si="285"/>
        <v>7.6954799963852327</v>
      </c>
      <c r="AT122" s="5">
        <f t="shared" si="342"/>
        <v>1.3369067754012005</v>
      </c>
      <c r="AU122" s="5">
        <f t="shared" si="343"/>
        <v>6.3585732209840327</v>
      </c>
      <c r="AV122" s="5"/>
      <c r="AW122" s="150">
        <f t="shared" si="344"/>
        <v>0.17372623618399119</v>
      </c>
      <c r="AX122" s="150">
        <f t="shared" si="214"/>
        <v>0.77967846096908255</v>
      </c>
      <c r="AY122" s="150">
        <f t="shared" si="215"/>
        <v>0.41313688190800441</v>
      </c>
      <c r="AZ122" s="150">
        <f t="shared" si="288"/>
        <v>1.887215823889328</v>
      </c>
      <c r="BA122" s="144">
        <f t="shared" si="433"/>
        <v>3.8502915131554571</v>
      </c>
      <c r="BB122" s="5">
        <f t="shared" si="434"/>
        <v>0.21252049052545466</v>
      </c>
      <c r="BD122" s="150">
        <f t="shared" si="289"/>
        <v>0.24064235993412242</v>
      </c>
      <c r="BE122" s="150">
        <f t="shared" si="218"/>
        <v>0.52480909666150943</v>
      </c>
      <c r="BG122" s="456">
        <f t="shared" si="347"/>
        <v>1.1581749078932745E-3</v>
      </c>
      <c r="BH122" s="456">
        <f t="shared" si="348"/>
        <v>3.506208555770654E-2</v>
      </c>
      <c r="BI122" s="456">
        <f t="shared" si="349"/>
        <v>2.9159791666666667E-2</v>
      </c>
      <c r="BJ122" s="456">
        <f t="shared" si="350"/>
        <v>2.6909687837620767E-3</v>
      </c>
      <c r="BK122">
        <f t="shared" si="351"/>
        <v>4.0391746824526946E-3</v>
      </c>
      <c r="BL122" s="144">
        <f t="shared" si="427"/>
        <v>33.19896634911936</v>
      </c>
      <c r="BM122" s="456">
        <f t="shared" si="352"/>
        <v>3.9234733180889825E-2</v>
      </c>
      <c r="BN122" s="144">
        <f t="shared" si="353"/>
        <v>39.234733180889826</v>
      </c>
      <c r="BO122" s="456">
        <f t="shared" si="354"/>
        <v>0.10079999999999999</v>
      </c>
      <c r="BR122" s="144">
        <f t="shared" si="355"/>
        <v>100.79999999999998</v>
      </c>
      <c r="BS122" s="456">
        <f t="shared" si="356"/>
        <v>1.7372623618399118E-3</v>
      </c>
      <c r="BT122" s="456">
        <f t="shared" si="357"/>
        <v>8.2627376381600864E-3</v>
      </c>
      <c r="BU122" s="456">
        <f t="shared" si="358"/>
        <v>9.62455636641848E-3</v>
      </c>
      <c r="BV122" s="456"/>
      <c r="BW122" s="456">
        <f t="shared" si="359"/>
        <v>1.2994641016151378E-4</v>
      </c>
      <c r="BX122" s="144">
        <f t="shared" si="360"/>
        <v>19.754502776579994</v>
      </c>
      <c r="BY122" s="150">
        <f t="shared" si="361"/>
        <v>0.19266469837506126</v>
      </c>
      <c r="BZ122" s="5">
        <f t="shared" si="362"/>
        <v>0.72</v>
      </c>
      <c r="CA122" s="150">
        <f t="shared" si="363"/>
        <v>0.78889870648214189</v>
      </c>
      <c r="CB122" s="5">
        <f t="shared" si="364"/>
        <v>78.889870648214185</v>
      </c>
      <c r="CE122" s="59">
        <f t="shared" si="365"/>
        <v>-50</v>
      </c>
      <c r="CF122">
        <f t="shared" si="366"/>
        <v>-50</v>
      </c>
      <c r="CG122" s="150">
        <f t="shared" si="367"/>
        <v>0.299298379547902</v>
      </c>
      <c r="CI122" s="147">
        <v>12</v>
      </c>
      <c r="CJ122" s="188">
        <f t="shared" si="428"/>
        <v>0.14399999999999999</v>
      </c>
      <c r="CK122" s="188"/>
      <c r="CL122" s="188">
        <f t="shared" si="368"/>
        <v>0.72</v>
      </c>
      <c r="CM122" s="465">
        <f t="shared" si="369"/>
        <v>9</v>
      </c>
      <c r="CN122" s="379">
        <f t="shared" si="370"/>
        <v>5.4</v>
      </c>
      <c r="CO122" s="379">
        <f t="shared" si="371"/>
        <v>14.4</v>
      </c>
      <c r="CP122" s="379"/>
      <c r="CQ122" s="188">
        <f t="shared" si="372"/>
        <v>0.375</v>
      </c>
      <c r="CR122" s="149">
        <f t="shared" si="429"/>
        <v>8.4754687499999992</v>
      </c>
      <c r="CS122" s="149">
        <f t="shared" si="373"/>
        <v>0.72</v>
      </c>
      <c r="CT122" s="188">
        <f t="shared" si="374"/>
        <v>1.6950937499999998</v>
      </c>
      <c r="CU122" s="188">
        <f t="shared" si="375"/>
        <v>5</v>
      </c>
      <c r="CV122" s="188"/>
      <c r="CW122" s="149">
        <f t="shared" si="376"/>
        <v>147.2743779594656</v>
      </c>
      <c r="CX122" s="149">
        <f t="shared" si="377"/>
        <v>5</v>
      </c>
      <c r="CY122" s="188">
        <f t="shared" si="378"/>
        <v>0.42666666666666664</v>
      </c>
      <c r="CZ122" s="188">
        <f t="shared" si="379"/>
        <v>0.56888888888888889</v>
      </c>
      <c r="DA122" s="188">
        <f t="shared" si="380"/>
        <v>0.94814814814814807</v>
      </c>
      <c r="DB122" s="172">
        <f t="shared" si="381"/>
        <v>281.25</v>
      </c>
      <c r="DC122" s="379">
        <f t="shared" si="382"/>
        <v>350</v>
      </c>
      <c r="DE122" s="188">
        <f t="shared" si="383"/>
        <v>1</v>
      </c>
      <c r="DF122" s="150">
        <f t="shared" si="384"/>
        <v>2.2222222222222219</v>
      </c>
      <c r="DG122" s="150">
        <f t="shared" si="385"/>
        <v>0.31249999999999994</v>
      </c>
      <c r="DH122" s="150"/>
      <c r="DI122" s="150">
        <f t="shared" si="386"/>
        <v>2.2222222222222219</v>
      </c>
      <c r="DJ122" s="314">
        <f t="shared" si="387"/>
        <v>129.6</v>
      </c>
      <c r="DK122" s="456">
        <f t="shared" si="388"/>
        <v>0.31249999999999994</v>
      </c>
      <c r="DM122" s="150">
        <f t="shared" si="389"/>
        <v>0.60851106340453198</v>
      </c>
      <c r="DN122" s="150">
        <f t="shared" si="390"/>
        <v>1</v>
      </c>
      <c r="DO122" s="150">
        <f t="shared" si="391"/>
        <v>1.0740571428571428</v>
      </c>
      <c r="DQ122" s="314">
        <f t="shared" si="392"/>
        <v>144</v>
      </c>
      <c r="DR122" s="144">
        <f t="shared" si="393"/>
        <v>129.6</v>
      </c>
      <c r="DT122">
        <f t="shared" si="430"/>
        <v>144</v>
      </c>
      <c r="DU122">
        <f t="shared" si="431"/>
        <v>129.6</v>
      </c>
      <c r="DW122" s="5">
        <f t="shared" si="394"/>
        <v>7.7160493827160499</v>
      </c>
      <c r="DX122" s="5">
        <f t="shared" si="395"/>
        <v>1.3333333333333335</v>
      </c>
      <c r="DY122" s="5">
        <f t="shared" si="396"/>
        <v>6.3827160493827169</v>
      </c>
      <c r="DZ122" s="5"/>
      <c r="EA122" s="150">
        <f t="shared" si="397"/>
        <v>0.17280000000000001</v>
      </c>
      <c r="EB122" s="150">
        <f t="shared" si="398"/>
        <v>0.77760000000000007</v>
      </c>
      <c r="EC122" s="150">
        <f t="shared" si="399"/>
        <v>0.41359999999999997</v>
      </c>
      <c r="ED122" s="150">
        <f t="shared" si="400"/>
        <v>1.8800773694390718</v>
      </c>
      <c r="EE122" s="144">
        <f t="shared" si="401"/>
        <v>3.8400000000000003</v>
      </c>
      <c r="EF122" s="5">
        <f t="shared" si="402"/>
        <v>0.21275720164609052</v>
      </c>
      <c r="EH122" s="150">
        <f t="shared" si="403"/>
        <v>0.24000000000000002</v>
      </c>
      <c r="EI122" s="150">
        <f t="shared" si="404"/>
        <v>0.52510316446707239</v>
      </c>
      <c r="EK122" s="456">
        <f t="shared" si="405"/>
        <v>1.1520000000000002E-3</v>
      </c>
      <c r="EL122" s="456">
        <f t="shared" si="406"/>
        <v>3.7324799999999998E-2</v>
      </c>
      <c r="EM122" s="456">
        <f t="shared" si="407"/>
        <v>1.6199999999999996E-2</v>
      </c>
      <c r="EN122" s="456">
        <f t="shared" si="408"/>
        <v>2.6873856000000002E-3</v>
      </c>
      <c r="EO122">
        <f t="shared" si="409"/>
        <v>4.0499999999999998E-3</v>
      </c>
      <c r="EP122" s="144">
        <f t="shared" si="410"/>
        <v>20.249999999999996</v>
      </c>
      <c r="EQ122" s="144"/>
      <c r="ER122" s="144">
        <f t="shared" si="432"/>
        <v>61.414185599999996</v>
      </c>
      <c r="ES122" s="456">
        <f t="shared" si="411"/>
        <v>0.10079999999999999</v>
      </c>
      <c r="EV122" s="144">
        <f t="shared" si="412"/>
        <v>100.79999999999998</v>
      </c>
      <c r="EW122" s="456">
        <f t="shared" si="413"/>
        <v>1.7280000000000004E-3</v>
      </c>
      <c r="EX122" s="456">
        <f t="shared" si="414"/>
        <v>8.2719999999999981E-3</v>
      </c>
      <c r="EY122" s="456">
        <f t="shared" si="415"/>
        <v>9.5605418780304648E-3</v>
      </c>
      <c r="EZ122" s="456"/>
      <c r="FA122" s="456">
        <f t="shared" si="416"/>
        <v>1.2960000000000001E-4</v>
      </c>
      <c r="FB122" s="144">
        <f t="shared" si="417"/>
        <v>19.690141878030463</v>
      </c>
      <c r="FC122" s="150">
        <f t="shared" si="418"/>
        <v>0.18190432747803045</v>
      </c>
      <c r="FD122" s="5">
        <f t="shared" si="419"/>
        <v>0.72</v>
      </c>
      <c r="FE122" s="150">
        <f t="shared" si="420"/>
        <v>0.7983108385933968</v>
      </c>
      <c r="FF122" s="5">
        <f t="shared" si="421"/>
        <v>79.831083859339685</v>
      </c>
      <c r="FI122" s="59">
        <f t="shared" si="422"/>
        <v>-50</v>
      </c>
      <c r="FJ122">
        <f t="shared" si="423"/>
        <v>-50</v>
      </c>
      <c r="FL122">
        <f t="shared" si="424"/>
        <v>0.28800000000000003</v>
      </c>
    </row>
    <row r="123" spans="5:168">
      <c r="E123" s="147">
        <v>13</v>
      </c>
      <c r="F123" s="188">
        <f t="shared" si="425"/>
        <v>0.156</v>
      </c>
      <c r="G123" s="188"/>
      <c r="H123" s="188">
        <f t="shared" si="315"/>
        <v>0.78</v>
      </c>
      <c r="I123" s="465">
        <f t="shared" si="316"/>
        <v>8.9759437387837657</v>
      </c>
      <c r="J123" s="149">
        <f t="shared" si="317"/>
        <v>5.4144337567297409</v>
      </c>
      <c r="K123" s="149">
        <f t="shared" si="318"/>
        <v>14.390377495513507</v>
      </c>
      <c r="L123" s="379"/>
      <c r="M123" s="188">
        <f t="shared" si="319"/>
        <v>0.37627831074111634</v>
      </c>
      <c r="N123" s="149">
        <f t="shared" si="426"/>
        <v>8.4816287139996778</v>
      </c>
      <c r="O123" s="149">
        <f t="shared" si="284"/>
        <v>0.78</v>
      </c>
      <c r="P123" s="188">
        <f t="shared" si="320"/>
        <v>1.6963257427999356</v>
      </c>
      <c r="Q123" s="188">
        <f t="shared" si="321"/>
        <v>5</v>
      </c>
      <c r="R123" s="188"/>
      <c r="S123" s="149">
        <f t="shared" si="322"/>
        <v>134.89584571915569</v>
      </c>
      <c r="T123" s="149">
        <f t="shared" si="323"/>
        <v>5</v>
      </c>
      <c r="U123" s="188">
        <f t="shared" si="324"/>
        <v>0.50022310490873501</v>
      </c>
      <c r="V123" s="188">
        <f t="shared" si="325"/>
        <v>0.66875165816471338</v>
      </c>
      <c r="W123" s="188">
        <f t="shared" si="326"/>
        <v>1.108643586495806</v>
      </c>
      <c r="X123" s="172">
        <f t="shared" si="327"/>
        <v>281.43605447997982</v>
      </c>
      <c r="Y123" s="379">
        <f t="shared" si="328"/>
        <v>350</v>
      </c>
      <c r="AA123" s="188">
        <f t="shared" si="329"/>
        <v>1</v>
      </c>
      <c r="AB123" s="150">
        <f t="shared" si="330"/>
        <v>2.216298238958947</v>
      </c>
      <c r="AC123" s="150">
        <f t="shared" si="331"/>
        <v>0.31187311596176676</v>
      </c>
      <c r="AD123" s="150"/>
      <c r="AE123" s="150">
        <f t="shared" si="332"/>
        <v>2.216298238958947</v>
      </c>
      <c r="AF123" s="314">
        <f t="shared" si="333"/>
        <v>140.77527767497327</v>
      </c>
      <c r="AG123" s="456">
        <f t="shared" si="334"/>
        <v>0.3118731159617667</v>
      </c>
      <c r="AI123" s="150">
        <f t="shared" si="335"/>
        <v>0.63420428812122698</v>
      </c>
      <c r="AJ123" s="150">
        <f t="shared" si="336"/>
        <v>1</v>
      </c>
      <c r="AK123" s="150">
        <f t="shared" si="337"/>
        <v>1.0804430158142704</v>
      </c>
      <c r="AM123" s="314">
        <f t="shared" si="338"/>
        <v>156</v>
      </c>
      <c r="AN123" s="144">
        <f t="shared" si="339"/>
        <v>140.77527767497327</v>
      </c>
      <c r="AP123" s="144">
        <f t="shared" si="340"/>
        <v>156</v>
      </c>
      <c r="AQ123" s="144">
        <f t="shared" si="341"/>
        <v>140.77527767497327</v>
      </c>
      <c r="AS123" s="5">
        <f t="shared" si="285"/>
        <v>7.1035199966632909</v>
      </c>
      <c r="AT123" s="5">
        <f t="shared" si="342"/>
        <v>1.3369067754012005</v>
      </c>
      <c r="AU123" s="5">
        <f t="shared" si="343"/>
        <v>5.7666132212620909</v>
      </c>
      <c r="AV123" s="5"/>
      <c r="AW123" s="150">
        <f t="shared" si="344"/>
        <v>0.18820342253265712</v>
      </c>
      <c r="AX123" s="150">
        <f t="shared" si="214"/>
        <v>0.84465166604983966</v>
      </c>
      <c r="AY123" s="150">
        <f t="shared" si="215"/>
        <v>0.40589828873367145</v>
      </c>
      <c r="AZ123" s="150">
        <f t="shared" si="288"/>
        <v>2.0809441416592285</v>
      </c>
      <c r="BA123" s="144">
        <f t="shared" si="433"/>
        <v>4.171149139251745</v>
      </c>
      <c r="BB123" s="5">
        <f t="shared" si="434"/>
        <v>0.20879690776271792</v>
      </c>
      <c r="BD123" s="150">
        <f t="shared" si="289"/>
        <v>0.25046850935307691</v>
      </c>
      <c r="BE123" s="150">
        <f t="shared" si="218"/>
        <v>0.52019117558430472</v>
      </c>
      <c r="BG123" s="456">
        <f t="shared" si="347"/>
        <v>1.2546894835510475E-3</v>
      </c>
      <c r="BH123" s="456">
        <f t="shared" si="348"/>
        <v>3.7983926020848754E-2</v>
      </c>
      <c r="BI123" s="456">
        <f t="shared" si="349"/>
        <v>3.1589774305555561E-2</v>
      </c>
      <c r="BJ123" s="456">
        <f t="shared" si="350"/>
        <v>2.9152161824089165E-3</v>
      </c>
      <c r="BK123">
        <f t="shared" si="351"/>
        <v>4.0391746824526946E-3</v>
      </c>
      <c r="BL123" s="144">
        <f t="shared" si="427"/>
        <v>35.628948988008254</v>
      </c>
      <c r="BM123" s="456">
        <f t="shared" si="352"/>
        <v>4.2505269272617503E-2</v>
      </c>
      <c r="BN123" s="144">
        <f t="shared" si="353"/>
        <v>42.505269272617504</v>
      </c>
      <c r="BO123" s="456">
        <f t="shared" si="354"/>
        <v>0.10919999999999999</v>
      </c>
      <c r="BR123" s="144">
        <f t="shared" si="355"/>
        <v>109.19999999999999</v>
      </c>
      <c r="BS123" s="456">
        <f t="shared" si="356"/>
        <v>1.8820342253265711E-3</v>
      </c>
      <c r="BT123" s="456">
        <f t="shared" si="357"/>
        <v>8.1179657746734291E-3</v>
      </c>
      <c r="BU123" s="456">
        <f t="shared" si="358"/>
        <v>1.1756714879855055E-2</v>
      </c>
      <c r="BV123" s="456"/>
      <c r="BW123" s="456">
        <f t="shared" si="359"/>
        <v>1.4077527767497329E-4</v>
      </c>
      <c r="BX123" s="144">
        <f t="shared" si="360"/>
        <v>21.897490157530026</v>
      </c>
      <c r="BY123" s="150">
        <f t="shared" si="361"/>
        <v>0.20888027083234703</v>
      </c>
      <c r="BZ123" s="5">
        <f t="shared" si="362"/>
        <v>0.78</v>
      </c>
      <c r="CA123" s="150">
        <f t="shared" si="363"/>
        <v>0.78877091899453999</v>
      </c>
      <c r="CB123" s="5">
        <f t="shared" si="364"/>
        <v>78.877091899454001</v>
      </c>
      <c r="CE123" s="59">
        <f t="shared" si="365"/>
        <v>-50</v>
      </c>
      <c r="CF123">
        <f t="shared" si="366"/>
        <v>-50</v>
      </c>
      <c r="CG123" s="150">
        <f t="shared" si="367"/>
        <v>0.32423991117689382</v>
      </c>
      <c r="CI123" s="147">
        <v>13</v>
      </c>
      <c r="CJ123" s="188">
        <f t="shared" si="428"/>
        <v>0.156</v>
      </c>
      <c r="CK123" s="188"/>
      <c r="CL123" s="188">
        <f t="shared" si="368"/>
        <v>0.78</v>
      </c>
      <c r="CM123" s="465">
        <f t="shared" si="369"/>
        <v>9</v>
      </c>
      <c r="CN123" s="379">
        <f t="shared" si="370"/>
        <v>5.4</v>
      </c>
      <c r="CO123" s="379">
        <f t="shared" si="371"/>
        <v>14.4</v>
      </c>
      <c r="CP123" s="379"/>
      <c r="CQ123" s="188">
        <f t="shared" si="372"/>
        <v>0.375</v>
      </c>
      <c r="CR123" s="149">
        <f t="shared" si="429"/>
        <v>8.4754687499999992</v>
      </c>
      <c r="CS123" s="149">
        <f t="shared" si="373"/>
        <v>0.78</v>
      </c>
      <c r="CT123" s="188">
        <f t="shared" si="374"/>
        <v>1.6950937499999998</v>
      </c>
      <c r="CU123" s="188">
        <f t="shared" si="375"/>
        <v>5</v>
      </c>
      <c r="CV123" s="188"/>
      <c r="CW123" s="149">
        <f t="shared" si="376"/>
        <v>135.2573066881896</v>
      </c>
      <c r="CX123" s="149">
        <f t="shared" si="377"/>
        <v>5</v>
      </c>
      <c r="CY123" s="188">
        <f t="shared" si="378"/>
        <v>0.46222222222222226</v>
      </c>
      <c r="CZ123" s="188">
        <f t="shared" si="379"/>
        <v>0.61629629629629645</v>
      </c>
      <c r="DA123" s="188">
        <f t="shared" si="380"/>
        <v>1.0271604938271606</v>
      </c>
      <c r="DB123" s="172">
        <f t="shared" si="381"/>
        <v>281.25</v>
      </c>
      <c r="DC123" s="379">
        <f t="shared" si="382"/>
        <v>350</v>
      </c>
      <c r="DE123" s="188">
        <f t="shared" si="383"/>
        <v>1</v>
      </c>
      <c r="DF123" s="150">
        <f t="shared" si="384"/>
        <v>2.2222222222222219</v>
      </c>
      <c r="DG123" s="150">
        <f t="shared" si="385"/>
        <v>0.31249999999999994</v>
      </c>
      <c r="DH123" s="150"/>
      <c r="DI123" s="150">
        <f t="shared" si="386"/>
        <v>2.2222222222222219</v>
      </c>
      <c r="DJ123" s="314">
        <f t="shared" si="387"/>
        <v>140.4</v>
      </c>
      <c r="DK123" s="456">
        <f t="shared" si="388"/>
        <v>0.31249999999999994</v>
      </c>
      <c r="DM123" s="150">
        <f t="shared" si="389"/>
        <v>0.63335839549409712</v>
      </c>
      <c r="DN123" s="150">
        <f t="shared" si="390"/>
        <v>1</v>
      </c>
      <c r="DO123" s="150">
        <f t="shared" si="391"/>
        <v>1.0802285714285715</v>
      </c>
      <c r="DQ123" s="314">
        <f t="shared" si="392"/>
        <v>156</v>
      </c>
      <c r="DR123" s="144">
        <f t="shared" si="393"/>
        <v>140.4</v>
      </c>
      <c r="DT123">
        <f t="shared" si="430"/>
        <v>156</v>
      </c>
      <c r="DU123">
        <f t="shared" si="431"/>
        <v>140.4</v>
      </c>
      <c r="DW123" s="5">
        <f t="shared" si="394"/>
        <v>7.1225071225071224</v>
      </c>
      <c r="DX123" s="5">
        <f t="shared" si="395"/>
        <v>1.3333333333333335</v>
      </c>
      <c r="DY123" s="5">
        <f t="shared" si="396"/>
        <v>5.7891737891737893</v>
      </c>
      <c r="DZ123" s="5"/>
      <c r="EA123" s="150">
        <f t="shared" si="397"/>
        <v>0.18720000000000003</v>
      </c>
      <c r="EB123" s="150">
        <f t="shared" si="398"/>
        <v>0.84240000000000004</v>
      </c>
      <c r="EC123" s="150">
        <f t="shared" si="399"/>
        <v>0.40639999999999998</v>
      </c>
      <c r="ED123" s="150">
        <f t="shared" si="400"/>
        <v>2.0728346456692917</v>
      </c>
      <c r="EE123" s="144">
        <f t="shared" si="401"/>
        <v>4.16</v>
      </c>
      <c r="EF123" s="5">
        <f t="shared" si="402"/>
        <v>0.20905349794238681</v>
      </c>
      <c r="EH123" s="150">
        <f t="shared" si="403"/>
        <v>0.24979991993593595</v>
      </c>
      <c r="EI123" s="150">
        <f t="shared" si="404"/>
        <v>0.52051256789181688</v>
      </c>
      <c r="EK123" s="456">
        <f t="shared" si="405"/>
        <v>1.2480000000000002E-3</v>
      </c>
      <c r="EL123" s="456">
        <f t="shared" si="406"/>
        <v>4.0435200000000004E-2</v>
      </c>
      <c r="EM123" s="456">
        <f t="shared" si="407"/>
        <v>1.755E-2</v>
      </c>
      <c r="EN123" s="456">
        <f t="shared" si="408"/>
        <v>2.9113344000000004E-3</v>
      </c>
      <c r="EO123">
        <f t="shared" si="409"/>
        <v>4.0499999999999998E-3</v>
      </c>
      <c r="EP123" s="144">
        <f t="shared" si="410"/>
        <v>21.6</v>
      </c>
      <c r="EQ123" s="144"/>
      <c r="ER123" s="144">
        <f t="shared" si="432"/>
        <v>66.194534400000009</v>
      </c>
      <c r="ES123" s="456">
        <f t="shared" si="411"/>
        <v>0.10919999999999999</v>
      </c>
      <c r="EV123" s="144">
        <f t="shared" si="412"/>
        <v>109.19999999999999</v>
      </c>
      <c r="EW123" s="456">
        <f t="shared" si="413"/>
        <v>1.8720000000000002E-3</v>
      </c>
      <c r="EX123" s="456">
        <f t="shared" si="414"/>
        <v>8.1279999999999981E-3</v>
      </c>
      <c r="EY123" s="456">
        <f t="shared" si="415"/>
        <v>1.1678519058717404E-2</v>
      </c>
      <c r="EZ123" s="456"/>
      <c r="FA123" s="456">
        <f t="shared" si="416"/>
        <v>1.4040000000000002E-4</v>
      </c>
      <c r="FB123" s="144">
        <f t="shared" si="417"/>
        <v>21.818919058717402</v>
      </c>
      <c r="FC123" s="150">
        <f t="shared" si="418"/>
        <v>0.19721345345871741</v>
      </c>
      <c r="FD123" s="5">
        <f t="shared" si="419"/>
        <v>0.78</v>
      </c>
      <c r="FE123" s="150">
        <f t="shared" si="420"/>
        <v>0.79818794679841276</v>
      </c>
      <c r="FF123" s="5">
        <f t="shared" si="421"/>
        <v>79.818794679841275</v>
      </c>
      <c r="FI123" s="59">
        <f t="shared" si="422"/>
        <v>-50</v>
      </c>
      <c r="FJ123">
        <f t="shared" si="423"/>
        <v>-50</v>
      </c>
      <c r="FL123">
        <f t="shared" si="424"/>
        <v>0.312</v>
      </c>
    </row>
    <row r="124" spans="5:168">
      <c r="E124" s="147">
        <v>14</v>
      </c>
      <c r="F124" s="188">
        <f t="shared" si="425"/>
        <v>0.16800000000000001</v>
      </c>
      <c r="G124" s="188"/>
      <c r="H124" s="188">
        <f t="shared" si="315"/>
        <v>0.84000000000000008</v>
      </c>
      <c r="I124" s="465">
        <f t="shared" si="316"/>
        <v>8.9759437387837657</v>
      </c>
      <c r="J124" s="149">
        <f t="shared" si="317"/>
        <v>5.4144337567297409</v>
      </c>
      <c r="K124" s="149">
        <f t="shared" si="318"/>
        <v>14.390377495513507</v>
      </c>
      <c r="L124" s="379"/>
      <c r="M124" s="188">
        <f t="shared" si="319"/>
        <v>0.37627831074111634</v>
      </c>
      <c r="N124" s="149">
        <f t="shared" si="426"/>
        <v>8.4816287139996778</v>
      </c>
      <c r="O124" s="149">
        <f t="shared" si="284"/>
        <v>0.84000000000000008</v>
      </c>
      <c r="P124" s="188">
        <f t="shared" si="320"/>
        <v>1.6963257427999356</v>
      </c>
      <c r="Q124" s="188">
        <f t="shared" si="321"/>
        <v>5</v>
      </c>
      <c r="R124" s="188"/>
      <c r="S124" s="149">
        <f t="shared" si="322"/>
        <v>124.62336526416503</v>
      </c>
      <c r="T124" s="149">
        <f t="shared" si="323"/>
        <v>5</v>
      </c>
      <c r="U124" s="188">
        <f t="shared" si="324"/>
        <v>0.53870180528633005</v>
      </c>
      <c r="V124" s="188">
        <f t="shared" si="325"/>
        <v>0.72019409340815299</v>
      </c>
      <c r="W124" s="188">
        <f t="shared" si="326"/>
        <v>1.193923862380099</v>
      </c>
      <c r="X124" s="172">
        <f t="shared" si="327"/>
        <v>281.43605447997982</v>
      </c>
      <c r="Y124" s="379">
        <f t="shared" si="328"/>
        <v>350</v>
      </c>
      <c r="AA124" s="188">
        <f t="shared" si="329"/>
        <v>1</v>
      </c>
      <c r="AB124" s="150">
        <f t="shared" si="330"/>
        <v>2.216298238958947</v>
      </c>
      <c r="AC124" s="150">
        <f t="shared" si="331"/>
        <v>0.31187311596176676</v>
      </c>
      <c r="AD124" s="150"/>
      <c r="AE124" s="150">
        <f t="shared" si="332"/>
        <v>2.216298238958947</v>
      </c>
      <c r="AF124" s="314">
        <f t="shared" si="333"/>
        <v>151.60414518843277</v>
      </c>
      <c r="AG124" s="456">
        <f t="shared" si="334"/>
        <v>0.3118731159617667</v>
      </c>
      <c r="AI124" s="150">
        <f t="shared" si="335"/>
        <v>0.65814489327075942</v>
      </c>
      <c r="AJ124" s="150">
        <f t="shared" si="336"/>
        <v>1</v>
      </c>
      <c r="AK124" s="150">
        <f t="shared" si="337"/>
        <v>1.0866309401076759</v>
      </c>
      <c r="AM124" s="314">
        <f t="shared" si="338"/>
        <v>168</v>
      </c>
      <c r="AN124" s="144">
        <f t="shared" si="339"/>
        <v>151.60414518843277</v>
      </c>
      <c r="AP124" s="144">
        <f t="shared" si="340"/>
        <v>168</v>
      </c>
      <c r="AQ124" s="144">
        <f t="shared" si="341"/>
        <v>151.60414518843277</v>
      </c>
      <c r="AS124" s="5">
        <f t="shared" si="285"/>
        <v>6.5961257111873408</v>
      </c>
      <c r="AT124" s="5">
        <f t="shared" si="342"/>
        <v>1.3369067754012005</v>
      </c>
      <c r="AU124" s="5">
        <f t="shared" si="343"/>
        <v>5.2592189357861407</v>
      </c>
      <c r="AV124" s="5"/>
      <c r="AW124" s="150">
        <f t="shared" si="344"/>
        <v>0.20268060888132308</v>
      </c>
      <c r="AX124" s="150">
        <f t="shared" si="214"/>
        <v>0.90962487113059665</v>
      </c>
      <c r="AY124" s="150">
        <f t="shared" si="215"/>
        <v>0.39865969555933845</v>
      </c>
      <c r="AZ124" s="150">
        <f t="shared" si="288"/>
        <v>2.2817076350152474</v>
      </c>
      <c r="BA124" s="144">
        <f t="shared" si="433"/>
        <v>4.4920067653480338</v>
      </c>
      <c r="BB124" s="5">
        <f t="shared" si="434"/>
        <v>0.20507332499998115</v>
      </c>
      <c r="BD124" s="150">
        <f t="shared" si="289"/>
        <v>0.25992345596433009</v>
      </c>
      <c r="BE124" s="150">
        <f t="shared" si="218"/>
        <v>0.51553189074284467</v>
      </c>
      <c r="BG124" s="456">
        <f t="shared" si="347"/>
        <v>1.351204059208821E-3</v>
      </c>
      <c r="BH124" s="456">
        <f t="shared" si="348"/>
        <v>4.0905766483990962E-2</v>
      </c>
      <c r="BI124" s="456">
        <f t="shared" si="349"/>
        <v>3.4019756944444451E-2</v>
      </c>
      <c r="BJ124" s="456">
        <f t="shared" si="350"/>
        <v>3.1394635810557564E-3</v>
      </c>
      <c r="BK124">
        <f t="shared" si="351"/>
        <v>4.0391746824526946E-3</v>
      </c>
      <c r="BL124" s="144">
        <f t="shared" si="427"/>
        <v>38.058931626897149</v>
      </c>
      <c r="BM124" s="456">
        <f t="shared" si="352"/>
        <v>4.5775955411489565E-2</v>
      </c>
      <c r="BN124" s="144">
        <f t="shared" si="353"/>
        <v>45.775955411489562</v>
      </c>
      <c r="BO124" s="456">
        <f t="shared" si="354"/>
        <v>0.1176</v>
      </c>
      <c r="BR124" s="144">
        <f t="shared" si="355"/>
        <v>117.6</v>
      </c>
      <c r="BS124" s="456">
        <f t="shared" si="356"/>
        <v>2.0268060888132314E-3</v>
      </c>
      <c r="BT124" s="456">
        <f t="shared" si="357"/>
        <v>7.9731939111867701E-3</v>
      </c>
      <c r="BU124" s="456">
        <f t="shared" si="358"/>
        <v>1.4149715061344791E-2</v>
      </c>
      <c r="BV124" s="456"/>
      <c r="BW124" s="456">
        <f t="shared" si="359"/>
        <v>1.5160414518843279E-4</v>
      </c>
      <c r="BX124" s="144">
        <f t="shared" si="360"/>
        <v>24.301319206533226</v>
      </c>
      <c r="BY124" s="150">
        <f t="shared" si="361"/>
        <v>0.22535668495768593</v>
      </c>
      <c r="BZ124" s="5">
        <f t="shared" si="362"/>
        <v>0.84000000000000008</v>
      </c>
      <c r="CA124" s="150">
        <f t="shared" si="363"/>
        <v>0.78846832414006329</v>
      </c>
      <c r="CB124" s="5">
        <f t="shared" si="364"/>
        <v>78.846832414006329</v>
      </c>
      <c r="CE124" s="59">
        <f t="shared" si="365"/>
        <v>-50</v>
      </c>
      <c r="CF124">
        <f t="shared" si="366"/>
        <v>-50</v>
      </c>
      <c r="CG124" s="150">
        <f t="shared" si="367"/>
        <v>0.34918144280588576</v>
      </c>
      <c r="CI124" s="147">
        <v>14</v>
      </c>
      <c r="CJ124" s="188">
        <f t="shared" si="428"/>
        <v>0.16800000000000001</v>
      </c>
      <c r="CK124" s="188"/>
      <c r="CL124" s="188">
        <f t="shared" si="368"/>
        <v>0.84000000000000008</v>
      </c>
      <c r="CM124" s="465">
        <f t="shared" si="369"/>
        <v>9</v>
      </c>
      <c r="CN124" s="379">
        <f t="shared" si="370"/>
        <v>5.4</v>
      </c>
      <c r="CO124" s="379">
        <f t="shared" si="371"/>
        <v>14.4</v>
      </c>
      <c r="CP124" s="379"/>
      <c r="CQ124" s="188">
        <f t="shared" si="372"/>
        <v>0.375</v>
      </c>
      <c r="CR124" s="149">
        <f t="shared" si="429"/>
        <v>8.4754687499999992</v>
      </c>
      <c r="CS124" s="149">
        <f t="shared" si="373"/>
        <v>0.84000000000000008</v>
      </c>
      <c r="CT124" s="188">
        <f t="shared" si="374"/>
        <v>1.6950937499999998</v>
      </c>
      <c r="CU124" s="188">
        <f t="shared" si="375"/>
        <v>5</v>
      </c>
      <c r="CV124" s="188"/>
      <c r="CW124" s="149">
        <f t="shared" si="376"/>
        <v>124.95728934373093</v>
      </c>
      <c r="CX124" s="149">
        <f t="shared" si="377"/>
        <v>5</v>
      </c>
      <c r="CY124" s="188">
        <f t="shared" si="378"/>
        <v>0.49777777777777782</v>
      </c>
      <c r="CZ124" s="188">
        <f t="shared" si="379"/>
        <v>0.6637037037037038</v>
      </c>
      <c r="DA124" s="188">
        <f t="shared" si="380"/>
        <v>1.106172839506173</v>
      </c>
      <c r="DB124" s="172">
        <f t="shared" si="381"/>
        <v>281.25</v>
      </c>
      <c r="DC124" s="379">
        <f t="shared" si="382"/>
        <v>350</v>
      </c>
      <c r="DE124" s="188">
        <f t="shared" si="383"/>
        <v>1</v>
      </c>
      <c r="DF124" s="150">
        <f t="shared" si="384"/>
        <v>2.2222222222222219</v>
      </c>
      <c r="DG124" s="150">
        <f t="shared" si="385"/>
        <v>0.31249999999999994</v>
      </c>
      <c r="DH124" s="150"/>
      <c r="DI124" s="150">
        <f t="shared" si="386"/>
        <v>2.2222222222222219</v>
      </c>
      <c r="DJ124" s="314">
        <f t="shared" si="387"/>
        <v>151.20000000000002</v>
      </c>
      <c r="DK124" s="456">
        <f t="shared" si="388"/>
        <v>0.31249999999999994</v>
      </c>
      <c r="DM124" s="150">
        <f t="shared" si="389"/>
        <v>0.65726706900619947</v>
      </c>
      <c r="DN124" s="150">
        <f t="shared" si="390"/>
        <v>1</v>
      </c>
      <c r="DO124" s="150">
        <f t="shared" si="391"/>
        <v>1.0864</v>
      </c>
      <c r="DQ124" s="314">
        <f t="shared" si="392"/>
        <v>168</v>
      </c>
      <c r="DR124" s="144">
        <f t="shared" si="393"/>
        <v>151.20000000000002</v>
      </c>
      <c r="DT124">
        <f t="shared" si="430"/>
        <v>168</v>
      </c>
      <c r="DU124">
        <f t="shared" si="431"/>
        <v>151.20000000000002</v>
      </c>
      <c r="DW124" s="5">
        <f t="shared" si="394"/>
        <v>6.6137566137566131</v>
      </c>
      <c r="DX124" s="5">
        <f t="shared" si="395"/>
        <v>1.3333333333333335</v>
      </c>
      <c r="DY124" s="5">
        <f t="shared" si="396"/>
        <v>5.28042328042328</v>
      </c>
      <c r="DZ124" s="5"/>
      <c r="EA124" s="150">
        <f t="shared" si="397"/>
        <v>0.20160000000000006</v>
      </c>
      <c r="EB124" s="150">
        <f t="shared" si="398"/>
        <v>0.90720000000000012</v>
      </c>
      <c r="EC124" s="150">
        <f t="shared" si="399"/>
        <v>0.3992</v>
      </c>
      <c r="ED124" s="150">
        <f t="shared" si="400"/>
        <v>2.272545090180361</v>
      </c>
      <c r="EE124" s="144">
        <f t="shared" si="401"/>
        <v>4.4800000000000004</v>
      </c>
      <c r="EF124" s="5">
        <f t="shared" si="402"/>
        <v>0.2053497942386831</v>
      </c>
      <c r="EH124" s="150">
        <f t="shared" si="403"/>
        <v>0.25922962793631443</v>
      </c>
      <c r="EI124" s="150">
        <f t="shared" si="404"/>
        <v>0.51588112325741609</v>
      </c>
      <c r="EK124" s="456">
        <f t="shared" si="405"/>
        <v>1.3440000000000001E-3</v>
      </c>
      <c r="EL124" s="456">
        <f t="shared" si="406"/>
        <v>4.3545600000000004E-2</v>
      </c>
      <c r="EM124" s="456">
        <f t="shared" si="407"/>
        <v>1.8900000000000004E-2</v>
      </c>
      <c r="EN124" s="456">
        <f t="shared" si="408"/>
        <v>3.1352832000000005E-3</v>
      </c>
      <c r="EO124">
        <f t="shared" si="409"/>
        <v>4.0499999999999998E-3</v>
      </c>
      <c r="EP124" s="144">
        <f t="shared" si="410"/>
        <v>22.950000000000006</v>
      </c>
      <c r="EQ124" s="144"/>
      <c r="ER124" s="144">
        <f t="shared" si="432"/>
        <v>70.974883200000008</v>
      </c>
      <c r="ES124" s="456">
        <f t="shared" si="411"/>
        <v>0.1176</v>
      </c>
      <c r="EV124" s="144">
        <f t="shared" si="412"/>
        <v>117.6</v>
      </c>
      <c r="EW124" s="456">
        <f t="shared" si="413"/>
        <v>2.0160000000000004E-3</v>
      </c>
      <c r="EX124" s="456">
        <f t="shared" si="414"/>
        <v>7.9839999999999998E-3</v>
      </c>
      <c r="EY124" s="456">
        <f t="shared" si="415"/>
        <v>1.4055603007136366E-2</v>
      </c>
      <c r="EZ124" s="456"/>
      <c r="FA124" s="456">
        <f t="shared" si="416"/>
        <v>1.5120000000000004E-4</v>
      </c>
      <c r="FB124" s="144">
        <f t="shared" si="417"/>
        <v>24.206803007136365</v>
      </c>
      <c r="FC124" s="150">
        <f t="shared" si="418"/>
        <v>0.21278168620713633</v>
      </c>
      <c r="FD124" s="5">
        <f t="shared" si="419"/>
        <v>0.84000000000000008</v>
      </c>
      <c r="FE124" s="150">
        <f t="shared" si="420"/>
        <v>0.79788621991162634</v>
      </c>
      <c r="FF124" s="5">
        <f t="shared" si="421"/>
        <v>79.788621991162628</v>
      </c>
      <c r="FI124" s="59">
        <f t="shared" si="422"/>
        <v>-50</v>
      </c>
      <c r="FJ124">
        <f t="shared" si="423"/>
        <v>-50</v>
      </c>
      <c r="FL124">
        <f t="shared" si="424"/>
        <v>0.33600000000000002</v>
      </c>
    </row>
    <row r="125" spans="5:168">
      <c r="E125" s="147">
        <v>15</v>
      </c>
      <c r="F125" s="188">
        <f t="shared" si="425"/>
        <v>0.18</v>
      </c>
      <c r="G125" s="188"/>
      <c r="H125" s="188">
        <f t="shared" si="315"/>
        <v>0.89999999999999991</v>
      </c>
      <c r="I125" s="465">
        <f t="shared" si="316"/>
        <v>8.9759437387837657</v>
      </c>
      <c r="J125" s="149">
        <f t="shared" si="317"/>
        <v>5.4144337567297409</v>
      </c>
      <c r="K125" s="149">
        <f t="shared" si="318"/>
        <v>14.390377495513507</v>
      </c>
      <c r="L125" s="379"/>
      <c r="M125" s="188">
        <f t="shared" si="319"/>
        <v>0.37627831074111634</v>
      </c>
      <c r="N125" s="149">
        <f t="shared" si="426"/>
        <v>8.4816287139996778</v>
      </c>
      <c r="O125" s="149">
        <f t="shared" si="284"/>
        <v>0.89999999999999991</v>
      </c>
      <c r="P125" s="188">
        <f t="shared" si="320"/>
        <v>1.6963257427999356</v>
      </c>
      <c r="Q125" s="188">
        <f t="shared" si="321"/>
        <v>5</v>
      </c>
      <c r="R125" s="188"/>
      <c r="S125" s="149">
        <f t="shared" si="322"/>
        <v>115.72086083728458</v>
      </c>
      <c r="T125" s="149">
        <f t="shared" si="323"/>
        <v>5</v>
      </c>
      <c r="U125" s="188">
        <f t="shared" si="324"/>
        <v>0.57718050566392498</v>
      </c>
      <c r="V125" s="188">
        <f t="shared" si="325"/>
        <v>0.77163652865159227</v>
      </c>
      <c r="W125" s="188">
        <f t="shared" si="326"/>
        <v>1.2792041382643913</v>
      </c>
      <c r="X125" s="172">
        <f t="shared" si="327"/>
        <v>281.43605447997982</v>
      </c>
      <c r="Y125" s="379">
        <f t="shared" si="328"/>
        <v>350</v>
      </c>
      <c r="AA125" s="188">
        <f t="shared" si="329"/>
        <v>1</v>
      </c>
      <c r="AB125" s="150">
        <f t="shared" si="330"/>
        <v>2.216298238958947</v>
      </c>
      <c r="AC125" s="150">
        <f t="shared" si="331"/>
        <v>0.31187311596176676</v>
      </c>
      <c r="AD125" s="150"/>
      <c r="AE125" s="150">
        <f t="shared" si="332"/>
        <v>2.216298238958947</v>
      </c>
      <c r="AF125" s="314">
        <f t="shared" si="333"/>
        <v>162.43301270189224</v>
      </c>
      <c r="AG125" s="456">
        <f t="shared" si="334"/>
        <v>0.3118731159617667</v>
      </c>
      <c r="AI125" s="150">
        <f t="shared" si="335"/>
        <v>0.68124468585480091</v>
      </c>
      <c r="AJ125" s="150">
        <f t="shared" si="336"/>
        <v>1</v>
      </c>
      <c r="AK125" s="150">
        <f t="shared" si="337"/>
        <v>1.0928188644010812</v>
      </c>
      <c r="AM125" s="314">
        <f t="shared" si="338"/>
        <v>180</v>
      </c>
      <c r="AN125" s="144">
        <f t="shared" si="339"/>
        <v>162.43301270189224</v>
      </c>
      <c r="AP125" s="144">
        <f t="shared" si="340"/>
        <v>180</v>
      </c>
      <c r="AQ125" s="144">
        <f t="shared" si="341"/>
        <v>162.43301270189224</v>
      </c>
      <c r="AS125" s="5">
        <f t="shared" si="285"/>
        <v>6.1563839971081853</v>
      </c>
      <c r="AT125" s="5">
        <f t="shared" si="342"/>
        <v>1.3369067754012005</v>
      </c>
      <c r="AU125" s="5">
        <f t="shared" si="343"/>
        <v>4.8194772217069843</v>
      </c>
      <c r="AV125" s="5"/>
      <c r="AW125" s="150">
        <f t="shared" si="344"/>
        <v>0.21715779522998901</v>
      </c>
      <c r="AX125" s="150">
        <f t="shared" si="214"/>
        <v>0.97459807621135341</v>
      </c>
      <c r="AY125" s="150">
        <f t="shared" si="215"/>
        <v>0.39142110238500549</v>
      </c>
      <c r="AZ125" s="150">
        <f t="shared" si="288"/>
        <v>2.4898966107676266</v>
      </c>
      <c r="BA125" s="144">
        <f t="shared" si="433"/>
        <v>4.8128643914443217</v>
      </c>
      <c r="BB125" s="5">
        <f t="shared" si="434"/>
        <v>0.20134974223724436</v>
      </c>
      <c r="BD125" s="150">
        <f t="shared" si="289"/>
        <v>0.26904633753933482</v>
      </c>
      <c r="BE125" s="150">
        <f t="shared" si="218"/>
        <v>0.51083011030087455</v>
      </c>
      <c r="BG125" s="456">
        <f t="shared" si="347"/>
        <v>1.4477186348665937E-3</v>
      </c>
      <c r="BH125" s="456">
        <f t="shared" si="348"/>
        <v>4.3827606947133176E-2</v>
      </c>
      <c r="BI125" s="456">
        <f t="shared" si="349"/>
        <v>3.6449739583333342E-2</v>
      </c>
      <c r="BJ125" s="456">
        <f t="shared" si="350"/>
        <v>3.3637109797025962E-3</v>
      </c>
      <c r="BK125">
        <f t="shared" si="351"/>
        <v>4.0391746824526946E-3</v>
      </c>
      <c r="BL125" s="144">
        <f t="shared" si="427"/>
        <v>40.488914265786036</v>
      </c>
      <c r="BM125" s="456">
        <f t="shared" si="352"/>
        <v>4.9046791607832145E-2</v>
      </c>
      <c r="BN125" s="144">
        <f t="shared" si="353"/>
        <v>49.046791607832148</v>
      </c>
      <c r="BO125" s="456">
        <f t="shared" si="354"/>
        <v>0.126</v>
      </c>
      <c r="BR125" s="144">
        <f t="shared" si="355"/>
        <v>126</v>
      </c>
      <c r="BS125" s="456">
        <f t="shared" si="356"/>
        <v>2.1715779522998905E-3</v>
      </c>
      <c r="BT125" s="456">
        <f t="shared" si="357"/>
        <v>7.8284220477001093E-3</v>
      </c>
      <c r="BU125" s="456">
        <f t="shared" si="358"/>
        <v>1.6813408037961032E-2</v>
      </c>
      <c r="BV125" s="456"/>
      <c r="BW125" s="456">
        <f t="shared" si="359"/>
        <v>1.6243301270189224E-4</v>
      </c>
      <c r="BX125" s="144">
        <f t="shared" si="360"/>
        <v>26.975841050662925</v>
      </c>
      <c r="BY125" s="150">
        <f t="shared" si="361"/>
        <v>0.24210379187815134</v>
      </c>
      <c r="BZ125" s="5">
        <f t="shared" si="362"/>
        <v>0.89999999999999991</v>
      </c>
      <c r="CA125" s="150">
        <f t="shared" si="363"/>
        <v>0.78801944831999926</v>
      </c>
      <c r="CB125" s="5">
        <f t="shared" si="364"/>
        <v>78.801944831999933</v>
      </c>
      <c r="CE125" s="59">
        <f t="shared" si="365"/>
        <v>-50</v>
      </c>
      <c r="CF125">
        <f t="shared" si="366"/>
        <v>-50</v>
      </c>
      <c r="CG125" s="150">
        <f t="shared" si="367"/>
        <v>0.37412297443487746</v>
      </c>
      <c r="CI125" s="147">
        <v>15</v>
      </c>
      <c r="CJ125" s="188">
        <f t="shared" si="428"/>
        <v>0.18</v>
      </c>
      <c r="CK125" s="188"/>
      <c r="CL125" s="188">
        <f t="shared" si="368"/>
        <v>0.89999999999999991</v>
      </c>
      <c r="CM125" s="465">
        <f t="shared" si="369"/>
        <v>9</v>
      </c>
      <c r="CN125" s="379">
        <f t="shared" si="370"/>
        <v>5.4</v>
      </c>
      <c r="CO125" s="379">
        <f t="shared" si="371"/>
        <v>14.4</v>
      </c>
      <c r="CP125" s="379"/>
      <c r="CQ125" s="188">
        <f t="shared" si="372"/>
        <v>0.375</v>
      </c>
      <c r="CR125" s="149">
        <f t="shared" si="429"/>
        <v>8.4754687499999992</v>
      </c>
      <c r="CS125" s="149">
        <f t="shared" si="373"/>
        <v>0.89999999999999991</v>
      </c>
      <c r="CT125" s="188">
        <f t="shared" si="374"/>
        <v>1.6950937499999998</v>
      </c>
      <c r="CU125" s="188">
        <f t="shared" si="375"/>
        <v>5</v>
      </c>
      <c r="CV125" s="188"/>
      <c r="CW125" s="149">
        <f t="shared" si="376"/>
        <v>116.03091962179543</v>
      </c>
      <c r="CX125" s="149">
        <f t="shared" si="377"/>
        <v>5</v>
      </c>
      <c r="CY125" s="188">
        <f t="shared" si="378"/>
        <v>0.53333333333333333</v>
      </c>
      <c r="CZ125" s="188">
        <f t="shared" si="379"/>
        <v>0.71111111111111103</v>
      </c>
      <c r="DA125" s="188">
        <f t="shared" si="380"/>
        <v>1.1851851851851849</v>
      </c>
      <c r="DB125" s="172">
        <f t="shared" si="381"/>
        <v>281.25</v>
      </c>
      <c r="DC125" s="379">
        <f t="shared" si="382"/>
        <v>350</v>
      </c>
      <c r="DE125" s="188">
        <f t="shared" si="383"/>
        <v>1</v>
      </c>
      <c r="DF125" s="150">
        <f t="shared" si="384"/>
        <v>2.2222222222222219</v>
      </c>
      <c r="DG125" s="150">
        <f t="shared" si="385"/>
        <v>0.31249999999999994</v>
      </c>
      <c r="DH125" s="150"/>
      <c r="DI125" s="150">
        <f t="shared" si="386"/>
        <v>2.2222222222222219</v>
      </c>
      <c r="DJ125" s="314">
        <f t="shared" si="387"/>
        <v>162</v>
      </c>
      <c r="DK125" s="456">
        <f t="shared" si="388"/>
        <v>0.31249999999999994</v>
      </c>
      <c r="DM125" s="150">
        <f t="shared" si="389"/>
        <v>0.68033605141660902</v>
      </c>
      <c r="DN125" s="150">
        <f t="shared" si="390"/>
        <v>1</v>
      </c>
      <c r="DO125" s="150">
        <f t="shared" si="391"/>
        <v>1.0925714285714285</v>
      </c>
      <c r="DQ125" s="314">
        <f t="shared" si="392"/>
        <v>180</v>
      </c>
      <c r="DR125" s="144">
        <f t="shared" si="393"/>
        <v>162</v>
      </c>
      <c r="DT125">
        <f t="shared" si="430"/>
        <v>180</v>
      </c>
      <c r="DU125">
        <f t="shared" si="431"/>
        <v>162</v>
      </c>
      <c r="DW125" s="5">
        <f t="shared" si="394"/>
        <v>6.1728395061728394</v>
      </c>
      <c r="DX125" s="5">
        <f t="shared" si="395"/>
        <v>1.3333333333333335</v>
      </c>
      <c r="DY125" s="5">
        <f t="shared" si="396"/>
        <v>4.8395061728395063</v>
      </c>
      <c r="DZ125" s="5"/>
      <c r="EA125" s="150">
        <f t="shared" si="397"/>
        <v>0.21600000000000003</v>
      </c>
      <c r="EB125" s="150">
        <f t="shared" si="398"/>
        <v>0.97199999999999998</v>
      </c>
      <c r="EC125" s="150">
        <f t="shared" si="399"/>
        <v>0.39200000000000002</v>
      </c>
      <c r="ED125" s="150">
        <f t="shared" si="400"/>
        <v>2.4795918367346936</v>
      </c>
      <c r="EE125" s="144">
        <f t="shared" si="401"/>
        <v>4.8000000000000007</v>
      </c>
      <c r="EF125" s="5">
        <f t="shared" si="402"/>
        <v>0.20164609053497939</v>
      </c>
      <c r="EH125" s="150">
        <f t="shared" si="403"/>
        <v>0.26832815729997478</v>
      </c>
      <c r="EI125" s="150">
        <f t="shared" si="404"/>
        <v>0.51120772033815509</v>
      </c>
      <c r="EK125" s="456">
        <f t="shared" si="405"/>
        <v>1.4400000000000001E-3</v>
      </c>
      <c r="EL125" s="456">
        <f t="shared" si="406"/>
        <v>4.6656000000000003E-2</v>
      </c>
      <c r="EM125" s="456">
        <f t="shared" si="407"/>
        <v>2.0249999999999997E-2</v>
      </c>
      <c r="EN125" s="456">
        <f t="shared" si="408"/>
        <v>3.3592320000000002E-3</v>
      </c>
      <c r="EO125">
        <f t="shared" si="409"/>
        <v>4.0499999999999998E-3</v>
      </c>
      <c r="EP125" s="144">
        <f t="shared" si="410"/>
        <v>24.299999999999994</v>
      </c>
      <c r="EQ125" s="144"/>
      <c r="ER125" s="144">
        <f t="shared" si="432"/>
        <v>75.755231999999992</v>
      </c>
      <c r="ES125" s="456">
        <f t="shared" si="411"/>
        <v>0.126</v>
      </c>
      <c r="EV125" s="144">
        <f t="shared" si="412"/>
        <v>126</v>
      </c>
      <c r="EW125" s="456">
        <f t="shared" si="413"/>
        <v>2.16E-3</v>
      </c>
      <c r="EX125" s="456">
        <f t="shared" si="414"/>
        <v>7.8399999999999997E-3</v>
      </c>
      <c r="EY125" s="456">
        <f t="shared" si="415"/>
        <v>1.6701579328913758E-2</v>
      </c>
      <c r="EZ125" s="456"/>
      <c r="FA125" s="456">
        <f t="shared" si="416"/>
        <v>1.6200000000000003E-4</v>
      </c>
      <c r="FB125" s="144">
        <f t="shared" si="417"/>
        <v>26.863579328913758</v>
      </c>
      <c r="FC125" s="150">
        <f t="shared" si="418"/>
        <v>0.22861881132891376</v>
      </c>
      <c r="FD125" s="5">
        <f t="shared" si="419"/>
        <v>0.89999999999999991</v>
      </c>
      <c r="FE125" s="150">
        <f t="shared" si="420"/>
        <v>0.79743487434900873</v>
      </c>
      <c r="FF125" s="5">
        <f t="shared" si="421"/>
        <v>79.743487434900871</v>
      </c>
      <c r="FI125" s="59">
        <f t="shared" si="422"/>
        <v>-50</v>
      </c>
      <c r="FJ125">
        <f t="shared" si="423"/>
        <v>-50</v>
      </c>
      <c r="FL125">
        <f t="shared" si="424"/>
        <v>0.36</v>
      </c>
    </row>
    <row r="126" spans="5:168">
      <c r="E126" s="147">
        <v>16</v>
      </c>
      <c r="F126" s="188">
        <f t="shared" si="425"/>
        <v>0.192</v>
      </c>
      <c r="G126" s="188"/>
      <c r="H126" s="188">
        <f t="shared" si="315"/>
        <v>0.96</v>
      </c>
      <c r="I126" s="465">
        <f t="shared" si="316"/>
        <v>8.9759437387837657</v>
      </c>
      <c r="J126" s="149">
        <f t="shared" si="317"/>
        <v>5.4144337567297409</v>
      </c>
      <c r="K126" s="149">
        <f t="shared" si="318"/>
        <v>14.390377495513507</v>
      </c>
      <c r="L126" s="379"/>
      <c r="M126" s="188">
        <f t="shared" si="319"/>
        <v>0.37627831074111634</v>
      </c>
      <c r="N126" s="149">
        <f t="shared" si="426"/>
        <v>8.4816287139996778</v>
      </c>
      <c r="O126" s="149">
        <f t="shared" si="284"/>
        <v>0.96</v>
      </c>
      <c r="P126" s="188">
        <f t="shared" si="320"/>
        <v>1.6963257427999356</v>
      </c>
      <c r="Q126" s="188">
        <f t="shared" si="321"/>
        <v>5</v>
      </c>
      <c r="R126" s="188"/>
      <c r="S126" s="149">
        <f t="shared" si="322"/>
        <v>107.93146621061955</v>
      </c>
      <c r="T126" s="149">
        <f t="shared" si="323"/>
        <v>5</v>
      </c>
      <c r="U126" s="188">
        <f t="shared" si="324"/>
        <v>0.61565920604151991</v>
      </c>
      <c r="V126" s="188">
        <f t="shared" si="325"/>
        <v>0.82307896389503166</v>
      </c>
      <c r="W126" s="188">
        <f t="shared" si="326"/>
        <v>1.364484414148684</v>
      </c>
      <c r="X126" s="172">
        <f t="shared" si="327"/>
        <v>281.43605447997982</v>
      </c>
      <c r="Y126" s="379">
        <f t="shared" si="328"/>
        <v>350</v>
      </c>
      <c r="AA126" s="188">
        <f t="shared" si="329"/>
        <v>1</v>
      </c>
      <c r="AB126" s="150">
        <f t="shared" si="330"/>
        <v>2.216298238958947</v>
      </c>
      <c r="AC126" s="150">
        <f t="shared" si="331"/>
        <v>0.31187311596176676</v>
      </c>
      <c r="AD126" s="150"/>
      <c r="AE126" s="150">
        <f t="shared" si="332"/>
        <v>2.216298238958947</v>
      </c>
      <c r="AF126" s="314">
        <f t="shared" si="333"/>
        <v>173.26188021535174</v>
      </c>
      <c r="AG126" s="456">
        <f t="shared" si="334"/>
        <v>0.3118731159617667</v>
      </c>
      <c r="AI126" s="150">
        <f t="shared" si="335"/>
        <v>0.7035864861354526</v>
      </c>
      <c r="AJ126" s="150">
        <f t="shared" si="336"/>
        <v>1</v>
      </c>
      <c r="AK126" s="150">
        <f t="shared" si="337"/>
        <v>1.0990067886944868</v>
      </c>
      <c r="AM126" s="314">
        <f t="shared" si="338"/>
        <v>192</v>
      </c>
      <c r="AN126" s="144">
        <f t="shared" si="339"/>
        <v>173.26188021535174</v>
      </c>
      <c r="AP126" s="144">
        <f t="shared" si="340"/>
        <v>192</v>
      </c>
      <c r="AQ126" s="144">
        <f t="shared" si="341"/>
        <v>173.26188021535174</v>
      </c>
      <c r="AS126" s="5">
        <f t="shared" si="285"/>
        <v>5.7716099972889232</v>
      </c>
      <c r="AT126" s="5">
        <f t="shared" si="342"/>
        <v>1.3369067754012005</v>
      </c>
      <c r="AU126" s="5">
        <f t="shared" si="343"/>
        <v>4.4347032218877231</v>
      </c>
      <c r="AV126" s="5"/>
      <c r="AW126" s="150">
        <f t="shared" si="344"/>
        <v>0.23163498157865495</v>
      </c>
      <c r="AX126" s="150">
        <f t="shared" si="214"/>
        <v>1.0395712812921105</v>
      </c>
      <c r="AY126" s="150">
        <f t="shared" si="215"/>
        <v>0.38418250921067254</v>
      </c>
      <c r="AZ126" s="150">
        <f t="shared" si="288"/>
        <v>2.7059307916645556</v>
      </c>
      <c r="BA126" s="144">
        <f t="shared" si="433"/>
        <v>5.1337220175406095</v>
      </c>
      <c r="BB126" s="5">
        <f t="shared" si="434"/>
        <v>0.19762615947450765</v>
      </c>
      <c r="BD126" s="150">
        <f t="shared" si="289"/>
        <v>0.27786986257278484</v>
      </c>
      <c r="BE126" s="150">
        <f t="shared" si="218"/>
        <v>0.50608464984339829</v>
      </c>
      <c r="BG126" s="456">
        <f t="shared" si="347"/>
        <v>1.5442332105243667E-3</v>
      </c>
      <c r="BH126" s="456">
        <f t="shared" si="348"/>
        <v>4.674944741027539E-2</v>
      </c>
      <c r="BI126" s="456">
        <f t="shared" si="349"/>
        <v>3.8879722222222232E-2</v>
      </c>
      <c r="BJ126" s="456">
        <f t="shared" si="350"/>
        <v>3.587958378349436E-3</v>
      </c>
      <c r="BK126">
        <f t="shared" si="351"/>
        <v>4.0391746824526946E-3</v>
      </c>
      <c r="BL126" s="144">
        <f t="shared" si="427"/>
        <v>42.918896904674931</v>
      </c>
      <c r="BM126" s="456">
        <f t="shared" si="352"/>
        <v>5.231777787197233E-2</v>
      </c>
      <c r="BN126" s="144">
        <f t="shared" si="353"/>
        <v>52.317777871972332</v>
      </c>
      <c r="BO126" s="456">
        <f t="shared" si="354"/>
        <v>0.13439999999999999</v>
      </c>
      <c r="BR126" s="144">
        <f t="shared" si="355"/>
        <v>134.4</v>
      </c>
      <c r="BS126" s="456">
        <f t="shared" si="356"/>
        <v>2.31634981578655E-3</v>
      </c>
      <c r="BT126" s="456">
        <f t="shared" si="357"/>
        <v>7.683650184213452E-3</v>
      </c>
      <c r="BU126" s="456">
        <f t="shared" si="358"/>
        <v>1.9757298520826493E-2</v>
      </c>
      <c r="BV126" s="456"/>
      <c r="BW126" s="456">
        <f t="shared" si="359"/>
        <v>1.7326188021535174E-4</v>
      </c>
      <c r="BX126" s="144">
        <f t="shared" si="360"/>
        <v>29.930560401041848</v>
      </c>
      <c r="BY126" s="150">
        <f t="shared" si="361"/>
        <v>0.25913109630486592</v>
      </c>
      <c r="BZ126" s="5">
        <f t="shared" si="362"/>
        <v>0.96</v>
      </c>
      <c r="CA126" s="150">
        <f t="shared" si="363"/>
        <v>0.78744607771036179</v>
      </c>
      <c r="CB126" s="5">
        <f t="shared" si="364"/>
        <v>78.744607771036186</v>
      </c>
      <c r="CE126" s="59">
        <f t="shared" si="365"/>
        <v>-50</v>
      </c>
      <c r="CF126">
        <f t="shared" si="366"/>
        <v>-50</v>
      </c>
      <c r="CG126" s="150">
        <f t="shared" si="367"/>
        <v>0.39906450606386934</v>
      </c>
      <c r="CI126" s="147">
        <v>16</v>
      </c>
      <c r="CJ126" s="188">
        <f t="shared" si="428"/>
        <v>0.192</v>
      </c>
      <c r="CK126" s="188"/>
      <c r="CL126" s="188">
        <f t="shared" si="368"/>
        <v>0.96</v>
      </c>
      <c r="CM126" s="465">
        <f t="shared" si="369"/>
        <v>9</v>
      </c>
      <c r="CN126" s="379">
        <f t="shared" si="370"/>
        <v>5.4</v>
      </c>
      <c r="CO126" s="379">
        <f t="shared" si="371"/>
        <v>14.4</v>
      </c>
      <c r="CP126" s="379"/>
      <c r="CQ126" s="188">
        <f t="shared" si="372"/>
        <v>0.375</v>
      </c>
      <c r="CR126" s="149">
        <f t="shared" si="429"/>
        <v>8.4754687499999992</v>
      </c>
      <c r="CS126" s="149">
        <f t="shared" si="373"/>
        <v>0.96</v>
      </c>
      <c r="CT126" s="188">
        <f t="shared" si="374"/>
        <v>1.6950937499999998</v>
      </c>
      <c r="CU126" s="188">
        <f t="shared" si="375"/>
        <v>5</v>
      </c>
      <c r="CV126" s="188"/>
      <c r="CW126" s="149">
        <f t="shared" si="376"/>
        <v>108.22064287141775</v>
      </c>
      <c r="CX126" s="149">
        <f t="shared" si="377"/>
        <v>5</v>
      </c>
      <c r="CY126" s="188">
        <f t="shared" si="378"/>
        <v>0.56888888888888889</v>
      </c>
      <c r="CZ126" s="188">
        <f t="shared" si="379"/>
        <v>0.75851851851851848</v>
      </c>
      <c r="DA126" s="188">
        <f t="shared" si="380"/>
        <v>1.2641975308641975</v>
      </c>
      <c r="DB126" s="172">
        <f t="shared" si="381"/>
        <v>281.25</v>
      </c>
      <c r="DC126" s="379">
        <f t="shared" si="382"/>
        <v>350</v>
      </c>
      <c r="DE126" s="188">
        <f t="shared" si="383"/>
        <v>1</v>
      </c>
      <c r="DF126" s="150">
        <f t="shared" si="384"/>
        <v>2.2222222222222219</v>
      </c>
      <c r="DG126" s="150">
        <f t="shared" si="385"/>
        <v>0.31249999999999994</v>
      </c>
      <c r="DH126" s="150"/>
      <c r="DI126" s="150">
        <f t="shared" si="386"/>
        <v>2.2222222222222219</v>
      </c>
      <c r="DJ126" s="314">
        <f t="shared" si="387"/>
        <v>172.80000000000004</v>
      </c>
      <c r="DK126" s="456">
        <f t="shared" si="388"/>
        <v>0.31249999999999994</v>
      </c>
      <c r="DM126" s="150">
        <f t="shared" si="389"/>
        <v>0.70264805252294393</v>
      </c>
      <c r="DN126" s="150">
        <f t="shared" si="390"/>
        <v>1</v>
      </c>
      <c r="DO126" s="150">
        <f t="shared" si="391"/>
        <v>1.0987428571428572</v>
      </c>
      <c r="DQ126" s="314">
        <f t="shared" si="392"/>
        <v>192</v>
      </c>
      <c r="DR126" s="144">
        <f t="shared" si="393"/>
        <v>172.80000000000004</v>
      </c>
      <c r="DT126">
        <f t="shared" si="430"/>
        <v>192</v>
      </c>
      <c r="DU126">
        <f t="shared" si="431"/>
        <v>172.80000000000004</v>
      </c>
      <c r="DW126" s="5">
        <f t="shared" si="394"/>
        <v>5.7870370370370354</v>
      </c>
      <c r="DX126" s="5">
        <f t="shared" si="395"/>
        <v>1.3333333333333335</v>
      </c>
      <c r="DY126" s="5">
        <f t="shared" si="396"/>
        <v>4.4537037037037024</v>
      </c>
      <c r="DZ126" s="5"/>
      <c r="EA126" s="150">
        <f t="shared" si="397"/>
        <v>0.23040000000000008</v>
      </c>
      <c r="EB126" s="150">
        <f t="shared" si="398"/>
        <v>1.0368000000000002</v>
      </c>
      <c r="EC126" s="150">
        <f t="shared" si="399"/>
        <v>0.38479999999999998</v>
      </c>
      <c r="ED126" s="150">
        <f t="shared" si="400"/>
        <v>2.694386694386695</v>
      </c>
      <c r="EE126" s="144">
        <f t="shared" si="401"/>
        <v>5.120000000000001</v>
      </c>
      <c r="EF126" s="5">
        <f t="shared" si="402"/>
        <v>0.19794238683127563</v>
      </c>
      <c r="EH126" s="150">
        <f t="shared" si="403"/>
        <v>0.27712812921102042</v>
      </c>
      <c r="EI126" s="150">
        <f t="shared" si="404"/>
        <v>0.50649119768593542</v>
      </c>
      <c r="EK126" s="456">
        <f t="shared" si="405"/>
        <v>1.5360000000000007E-3</v>
      </c>
      <c r="EL126" s="456">
        <f t="shared" si="406"/>
        <v>4.9766400000000009E-2</v>
      </c>
      <c r="EM126" s="456">
        <f t="shared" si="407"/>
        <v>2.1600000000000005E-2</v>
      </c>
      <c r="EN126" s="456">
        <f t="shared" si="408"/>
        <v>3.5831808000000008E-3</v>
      </c>
      <c r="EO126">
        <f t="shared" si="409"/>
        <v>4.0499999999999998E-3</v>
      </c>
      <c r="EP126" s="144">
        <f t="shared" si="410"/>
        <v>25.650000000000006</v>
      </c>
      <c r="EQ126" s="144"/>
      <c r="ER126" s="144">
        <f t="shared" si="432"/>
        <v>80.53558080000002</v>
      </c>
      <c r="ES126" s="456">
        <f t="shared" si="411"/>
        <v>0.13439999999999999</v>
      </c>
      <c r="EV126" s="144">
        <f t="shared" si="412"/>
        <v>134.4</v>
      </c>
      <c r="EW126" s="456">
        <f t="shared" si="413"/>
        <v>2.3040000000000009E-3</v>
      </c>
      <c r="EX126" s="456">
        <f t="shared" si="414"/>
        <v>7.6959999999999997E-3</v>
      </c>
      <c r="EY126" s="456">
        <f t="shared" si="415"/>
        <v>1.9625889517794079E-2</v>
      </c>
      <c r="EZ126" s="456"/>
      <c r="FA126" s="456">
        <f t="shared" si="416"/>
        <v>1.7280000000000003E-4</v>
      </c>
      <c r="FB126" s="144">
        <f t="shared" si="417"/>
        <v>29.798689517794081</v>
      </c>
      <c r="FC126" s="150">
        <f t="shared" si="418"/>
        <v>0.24473427031779413</v>
      </c>
      <c r="FD126" s="5">
        <f t="shared" si="419"/>
        <v>0.96</v>
      </c>
      <c r="FE126" s="150">
        <f t="shared" si="420"/>
        <v>0.79685622269777689</v>
      </c>
      <c r="FF126" s="5">
        <f t="shared" si="421"/>
        <v>79.685622269777696</v>
      </c>
      <c r="FI126" s="59">
        <f t="shared" si="422"/>
        <v>-50</v>
      </c>
      <c r="FJ126">
        <f t="shared" si="423"/>
        <v>-50</v>
      </c>
      <c r="FL126">
        <f t="shared" si="424"/>
        <v>0.38400000000000006</v>
      </c>
    </row>
    <row r="127" spans="5:168">
      <c r="E127" s="147">
        <v>17</v>
      </c>
      <c r="F127" s="188">
        <f t="shared" si="425"/>
        <v>0.20400000000000001</v>
      </c>
      <c r="G127" s="188"/>
      <c r="H127" s="188">
        <f t="shared" si="315"/>
        <v>1.02</v>
      </c>
      <c r="I127" s="465">
        <f t="shared" si="316"/>
        <v>8.9759437387837657</v>
      </c>
      <c r="J127" s="149">
        <f t="shared" si="317"/>
        <v>5.4144337567297409</v>
      </c>
      <c r="K127" s="149">
        <f t="shared" si="318"/>
        <v>14.390377495513507</v>
      </c>
      <c r="L127" s="379"/>
      <c r="M127" s="188">
        <f t="shared" si="319"/>
        <v>0.37627831074111634</v>
      </c>
      <c r="N127" s="149">
        <f t="shared" si="426"/>
        <v>8.4816287139996778</v>
      </c>
      <c r="O127" s="149">
        <f t="shared" si="284"/>
        <v>1.02</v>
      </c>
      <c r="P127" s="188">
        <f t="shared" si="320"/>
        <v>1.6963257427999356</v>
      </c>
      <c r="Q127" s="188">
        <f t="shared" si="321"/>
        <v>5</v>
      </c>
      <c r="R127" s="188"/>
      <c r="S127" s="149">
        <f t="shared" si="322"/>
        <v>101.05875434295143</v>
      </c>
      <c r="T127" s="149">
        <f t="shared" si="323"/>
        <v>5</v>
      </c>
      <c r="U127" s="188">
        <f t="shared" si="324"/>
        <v>0.65413790641911507</v>
      </c>
      <c r="V127" s="188">
        <f t="shared" si="325"/>
        <v>0.87452139913847138</v>
      </c>
      <c r="W127" s="188">
        <f t="shared" si="326"/>
        <v>1.449764690032977</v>
      </c>
      <c r="X127" s="172">
        <f t="shared" si="327"/>
        <v>281.43605447997982</v>
      </c>
      <c r="Y127" s="379">
        <f t="shared" si="328"/>
        <v>350</v>
      </c>
      <c r="AA127" s="188">
        <f t="shared" si="329"/>
        <v>1</v>
      </c>
      <c r="AB127" s="150">
        <f t="shared" si="330"/>
        <v>2.216298238958947</v>
      </c>
      <c r="AC127" s="150">
        <f t="shared" si="331"/>
        <v>0.31187311596176676</v>
      </c>
      <c r="AD127" s="150"/>
      <c r="AE127" s="150">
        <f t="shared" si="332"/>
        <v>2.216298238958947</v>
      </c>
      <c r="AF127" s="314">
        <f t="shared" si="333"/>
        <v>184.09074772881124</v>
      </c>
      <c r="AG127" s="456">
        <f t="shared" si="334"/>
        <v>0.3118731159617667</v>
      </c>
      <c r="AI127" s="150">
        <f t="shared" si="335"/>
        <v>0.72524034977341179</v>
      </c>
      <c r="AJ127" s="150">
        <f t="shared" si="336"/>
        <v>1</v>
      </c>
      <c r="AK127" s="150">
        <f t="shared" si="337"/>
        <v>1.1051947129878921</v>
      </c>
      <c r="AM127" s="314">
        <f t="shared" si="338"/>
        <v>204.00000000000003</v>
      </c>
      <c r="AN127" s="144">
        <f t="shared" si="339"/>
        <v>184.09074772881124</v>
      </c>
      <c r="AP127" s="144">
        <f t="shared" si="340"/>
        <v>204.00000000000003</v>
      </c>
      <c r="AQ127" s="144">
        <f t="shared" si="341"/>
        <v>184.09074772881124</v>
      </c>
      <c r="AS127" s="5">
        <f t="shared" si="285"/>
        <v>5.4321035268601632</v>
      </c>
      <c r="AT127" s="5">
        <f t="shared" si="342"/>
        <v>1.3369067754012005</v>
      </c>
      <c r="AU127" s="5">
        <f t="shared" si="343"/>
        <v>4.0951967514589622</v>
      </c>
      <c r="AV127" s="5"/>
      <c r="AW127" s="150">
        <f t="shared" si="344"/>
        <v>0.24611216792732088</v>
      </c>
      <c r="AX127" s="150">
        <f t="shared" si="214"/>
        <v>1.1045444863728673</v>
      </c>
      <c r="AY127" s="150">
        <f t="shared" si="215"/>
        <v>0.37694391603633959</v>
      </c>
      <c r="AZ127" s="150">
        <f t="shared" si="288"/>
        <v>2.9302621408177409</v>
      </c>
      <c r="BA127" s="144">
        <f t="shared" si="433"/>
        <v>5.4545796436368983</v>
      </c>
      <c r="BB127" s="5">
        <f t="shared" si="434"/>
        <v>0.19390257671177089</v>
      </c>
      <c r="BD127" s="150">
        <f t="shared" si="289"/>
        <v>0.28642169839086384</v>
      </c>
      <c r="BE127" s="150">
        <f t="shared" si="218"/>
        <v>0.50129426889226092</v>
      </c>
      <c r="BG127" s="456">
        <f t="shared" si="347"/>
        <v>1.6407477861821397E-3</v>
      </c>
      <c r="BH127" s="456">
        <f t="shared" si="348"/>
        <v>4.9671287873417611E-2</v>
      </c>
      <c r="BI127" s="456">
        <f t="shared" si="349"/>
        <v>4.1309704861111123E-2</v>
      </c>
      <c r="BJ127" s="456">
        <f t="shared" si="350"/>
        <v>3.8122057769962763E-3</v>
      </c>
      <c r="BK127">
        <f t="shared" si="351"/>
        <v>4.0391746824526946E-3</v>
      </c>
      <c r="BL127" s="144">
        <f t="shared" si="427"/>
        <v>45.348879543563811</v>
      </c>
      <c r="BM127" s="456">
        <f t="shared" si="352"/>
        <v>5.5588914214238158E-2</v>
      </c>
      <c r="BN127" s="144">
        <f t="shared" si="353"/>
        <v>55.588914214238159</v>
      </c>
      <c r="BO127" s="456">
        <f t="shared" si="354"/>
        <v>0.14280000000000001</v>
      </c>
      <c r="BR127" s="144">
        <f t="shared" si="355"/>
        <v>142.80000000000001</v>
      </c>
      <c r="BS127" s="456">
        <f t="shared" si="356"/>
        <v>2.4611216792732094E-3</v>
      </c>
      <c r="BT127" s="456">
        <f t="shared" si="357"/>
        <v>7.5388783207267912E-3</v>
      </c>
      <c r="BU127" s="456">
        <f t="shared" si="358"/>
        <v>2.2990578992194956E-2</v>
      </c>
      <c r="BV127" s="456"/>
      <c r="BW127" s="456">
        <f t="shared" si="359"/>
        <v>1.8409074772881125E-4</v>
      </c>
      <c r="BX127" s="144">
        <f t="shared" si="360"/>
        <v>33.174669739923772</v>
      </c>
      <c r="BY127" s="150">
        <f t="shared" si="361"/>
        <v>0.27644779072008363</v>
      </c>
      <c r="BZ127" s="5">
        <f t="shared" si="362"/>
        <v>1.02</v>
      </c>
      <c r="CA127" s="150">
        <f t="shared" si="363"/>
        <v>0.78676519586913962</v>
      </c>
      <c r="CB127" s="5">
        <f t="shared" si="364"/>
        <v>78.676519586913969</v>
      </c>
      <c r="CE127" s="59">
        <f t="shared" si="365"/>
        <v>-50</v>
      </c>
      <c r="CF127">
        <f t="shared" si="366"/>
        <v>-50</v>
      </c>
      <c r="CG127" s="150">
        <f t="shared" si="367"/>
        <v>0.42400603769286116</v>
      </c>
      <c r="CI127" s="147">
        <v>17</v>
      </c>
      <c r="CJ127" s="188">
        <f t="shared" si="428"/>
        <v>0.20400000000000001</v>
      </c>
      <c r="CK127" s="188"/>
      <c r="CL127" s="188">
        <f t="shared" si="368"/>
        <v>1.02</v>
      </c>
      <c r="CM127" s="465">
        <f t="shared" si="369"/>
        <v>9</v>
      </c>
      <c r="CN127" s="379">
        <f t="shared" si="370"/>
        <v>5.4</v>
      </c>
      <c r="CO127" s="379">
        <f t="shared" si="371"/>
        <v>14.4</v>
      </c>
      <c r="CP127" s="379"/>
      <c r="CQ127" s="188">
        <f t="shared" si="372"/>
        <v>0.375</v>
      </c>
      <c r="CR127" s="149">
        <f t="shared" si="429"/>
        <v>8.4754687499999992</v>
      </c>
      <c r="CS127" s="149">
        <f t="shared" si="373"/>
        <v>1.02</v>
      </c>
      <c r="CT127" s="188">
        <f t="shared" si="374"/>
        <v>1.6950937499999998</v>
      </c>
      <c r="CU127" s="188">
        <f t="shared" si="375"/>
        <v>5</v>
      </c>
      <c r="CV127" s="188"/>
      <c r="CW127" s="149">
        <f t="shared" si="376"/>
        <v>101.32950561025008</v>
      </c>
      <c r="CX127" s="149">
        <f t="shared" si="377"/>
        <v>5</v>
      </c>
      <c r="CY127" s="188">
        <f t="shared" si="378"/>
        <v>0.60444444444444445</v>
      </c>
      <c r="CZ127" s="188">
        <f t="shared" si="379"/>
        <v>0.80592592592592605</v>
      </c>
      <c r="DA127" s="188">
        <f t="shared" si="380"/>
        <v>1.3432098765432099</v>
      </c>
      <c r="DB127" s="172">
        <f t="shared" si="381"/>
        <v>281.25</v>
      </c>
      <c r="DC127" s="379">
        <f t="shared" si="382"/>
        <v>350</v>
      </c>
      <c r="DE127" s="188">
        <f t="shared" si="383"/>
        <v>1</v>
      </c>
      <c r="DF127" s="150">
        <f t="shared" si="384"/>
        <v>2.2222222222222219</v>
      </c>
      <c r="DG127" s="150">
        <f t="shared" si="385"/>
        <v>0.31249999999999994</v>
      </c>
      <c r="DH127" s="150"/>
      <c r="DI127" s="150">
        <f t="shared" si="386"/>
        <v>2.2222222222222219</v>
      </c>
      <c r="DJ127" s="314">
        <f t="shared" si="387"/>
        <v>183.60000000000002</v>
      </c>
      <c r="DK127" s="456">
        <f t="shared" si="388"/>
        <v>0.31249999999999994</v>
      </c>
      <c r="DM127" s="150">
        <f t="shared" si="389"/>
        <v>0.72427303454666092</v>
      </c>
      <c r="DN127" s="150">
        <f t="shared" si="390"/>
        <v>1</v>
      </c>
      <c r="DO127" s="150">
        <f t="shared" si="391"/>
        <v>1.1049142857142857</v>
      </c>
      <c r="DQ127" s="314">
        <f t="shared" si="392"/>
        <v>204.00000000000003</v>
      </c>
      <c r="DR127" s="144">
        <f t="shared" si="393"/>
        <v>183.60000000000002</v>
      </c>
      <c r="DT127">
        <f t="shared" si="430"/>
        <v>204.00000000000003</v>
      </c>
      <c r="DU127">
        <f t="shared" si="431"/>
        <v>183.60000000000002</v>
      </c>
      <c r="DW127" s="5">
        <f t="shared" si="394"/>
        <v>5.4466230936819162</v>
      </c>
      <c r="DX127" s="5">
        <f t="shared" si="395"/>
        <v>1.3333333333333335</v>
      </c>
      <c r="DY127" s="5">
        <f t="shared" si="396"/>
        <v>4.1132897603485823</v>
      </c>
      <c r="DZ127" s="5"/>
      <c r="EA127" s="150">
        <f t="shared" si="397"/>
        <v>0.24480000000000007</v>
      </c>
      <c r="EB127" s="150">
        <f t="shared" si="398"/>
        <v>1.1016000000000001</v>
      </c>
      <c r="EC127" s="150">
        <f t="shared" si="399"/>
        <v>0.37759999999999994</v>
      </c>
      <c r="ED127" s="150">
        <f t="shared" si="400"/>
        <v>2.917372881355933</v>
      </c>
      <c r="EE127" s="144">
        <f t="shared" si="401"/>
        <v>5.4400000000000013</v>
      </c>
      <c r="EF127" s="5">
        <f t="shared" si="402"/>
        <v>0.19423868312757195</v>
      </c>
      <c r="EH127" s="150">
        <f t="shared" si="403"/>
        <v>0.28565713714171403</v>
      </c>
      <c r="EI127" s="150">
        <f t="shared" si="404"/>
        <v>0.50173033925938071</v>
      </c>
      <c r="EK127" s="456">
        <f t="shared" si="405"/>
        <v>1.6320000000000004E-3</v>
      </c>
      <c r="EL127" s="456">
        <f t="shared" si="406"/>
        <v>5.2876800000000009E-2</v>
      </c>
      <c r="EM127" s="456">
        <f t="shared" si="407"/>
        <v>2.2950000000000002E-2</v>
      </c>
      <c r="EN127" s="456">
        <f t="shared" si="408"/>
        <v>3.8071296000000004E-3</v>
      </c>
      <c r="EO127">
        <f t="shared" si="409"/>
        <v>4.0499999999999998E-3</v>
      </c>
      <c r="EP127" s="144">
        <f t="shared" si="410"/>
        <v>27.000000000000004</v>
      </c>
      <c r="EQ127" s="144"/>
      <c r="ER127" s="144">
        <f t="shared" si="432"/>
        <v>85.315929600000004</v>
      </c>
      <c r="ES127" s="456">
        <f t="shared" si="411"/>
        <v>0.14280000000000001</v>
      </c>
      <c r="EV127" s="144">
        <f t="shared" si="412"/>
        <v>142.80000000000001</v>
      </c>
      <c r="EW127" s="456">
        <f t="shared" si="413"/>
        <v>2.4480000000000005E-3</v>
      </c>
      <c r="EX127" s="456">
        <f t="shared" si="414"/>
        <v>7.5519999999999971E-3</v>
      </c>
      <c r="EY127" s="456">
        <f t="shared" si="415"/>
        <v>2.28376649153379E-2</v>
      </c>
      <c r="EZ127" s="456"/>
      <c r="FA127" s="456">
        <f t="shared" si="416"/>
        <v>1.8360000000000002E-4</v>
      </c>
      <c r="FB127" s="144">
        <f t="shared" si="417"/>
        <v>33.021264915337895</v>
      </c>
      <c r="FC127" s="150">
        <f t="shared" si="418"/>
        <v>0.26113719451533796</v>
      </c>
      <c r="FD127" s="5">
        <f t="shared" si="419"/>
        <v>1.02</v>
      </c>
      <c r="FE127" s="150">
        <f t="shared" si="420"/>
        <v>0.79616765820765367</v>
      </c>
      <c r="FF127" s="5">
        <f t="shared" si="421"/>
        <v>79.616765820765366</v>
      </c>
      <c r="FI127" s="59">
        <f t="shared" si="422"/>
        <v>-50</v>
      </c>
      <c r="FJ127">
        <f t="shared" si="423"/>
        <v>-50</v>
      </c>
      <c r="FL127">
        <f t="shared" si="424"/>
        <v>0.40800000000000003</v>
      </c>
    </row>
    <row r="128" spans="5:168">
      <c r="E128" s="147">
        <v>18</v>
      </c>
      <c r="F128" s="188">
        <f t="shared" si="425"/>
        <v>0.216</v>
      </c>
      <c r="G128" s="188"/>
      <c r="H128" s="188">
        <f t="shared" si="315"/>
        <v>1.08</v>
      </c>
      <c r="I128" s="465">
        <f t="shared" si="316"/>
        <v>8.9759437387837657</v>
      </c>
      <c r="J128" s="149">
        <f t="shared" si="317"/>
        <v>5.4144337567297409</v>
      </c>
      <c r="K128" s="149">
        <f t="shared" si="318"/>
        <v>14.390377495513507</v>
      </c>
      <c r="L128" s="379"/>
      <c r="M128" s="188">
        <f t="shared" si="319"/>
        <v>0.37627831074111634</v>
      </c>
      <c r="N128" s="149">
        <f t="shared" si="426"/>
        <v>8.4816287139996778</v>
      </c>
      <c r="O128" s="149">
        <f t="shared" si="284"/>
        <v>1.08</v>
      </c>
      <c r="P128" s="188">
        <f t="shared" si="320"/>
        <v>1.6963257427999356</v>
      </c>
      <c r="Q128" s="188">
        <f t="shared" si="321"/>
        <v>5</v>
      </c>
      <c r="R128" s="188"/>
      <c r="S128" s="149">
        <f t="shared" si="322"/>
        <v>94.949948718280226</v>
      </c>
      <c r="T128" s="149">
        <f t="shared" si="323"/>
        <v>5</v>
      </c>
      <c r="U128" s="188">
        <f t="shared" si="324"/>
        <v>0.69261660679671</v>
      </c>
      <c r="V128" s="188">
        <f t="shared" si="325"/>
        <v>0.92596383438191077</v>
      </c>
      <c r="W128" s="188">
        <f t="shared" si="326"/>
        <v>1.5350449659172696</v>
      </c>
      <c r="X128" s="172">
        <f t="shared" si="327"/>
        <v>281.43605447997982</v>
      </c>
      <c r="Y128" s="379">
        <f t="shared" si="328"/>
        <v>350</v>
      </c>
      <c r="AA128" s="188">
        <f t="shared" si="329"/>
        <v>1</v>
      </c>
      <c r="AB128" s="150">
        <f t="shared" si="330"/>
        <v>2.216298238958947</v>
      </c>
      <c r="AC128" s="150">
        <f t="shared" si="331"/>
        <v>0.31187311596176676</v>
      </c>
      <c r="AD128" s="150"/>
      <c r="AE128" s="150">
        <f t="shared" si="332"/>
        <v>2.216298238958947</v>
      </c>
      <c r="AF128" s="314">
        <f t="shared" si="333"/>
        <v>194.91961524227071</v>
      </c>
      <c r="AG128" s="456">
        <f t="shared" si="334"/>
        <v>0.3118731159617667</v>
      </c>
      <c r="AI128" s="150">
        <f t="shared" si="335"/>
        <v>0.74626616324639006</v>
      </c>
      <c r="AJ128" s="150">
        <f t="shared" si="336"/>
        <v>1</v>
      </c>
      <c r="AK128" s="150">
        <f t="shared" si="337"/>
        <v>1.1113826372812976</v>
      </c>
      <c r="AM128" s="314">
        <f t="shared" si="338"/>
        <v>216</v>
      </c>
      <c r="AN128" s="144">
        <f t="shared" si="339"/>
        <v>194.91961524227071</v>
      </c>
      <c r="AP128" s="144">
        <f t="shared" si="340"/>
        <v>216</v>
      </c>
      <c r="AQ128" s="144">
        <f t="shared" si="341"/>
        <v>194.91961524227071</v>
      </c>
      <c r="AS128" s="5">
        <f t="shared" si="285"/>
        <v>5.1303199975901537</v>
      </c>
      <c r="AT128" s="5">
        <f t="shared" si="342"/>
        <v>1.3369067754012005</v>
      </c>
      <c r="AU128" s="5">
        <f t="shared" si="343"/>
        <v>3.7934132221889532</v>
      </c>
      <c r="AV128" s="5"/>
      <c r="AW128" s="150">
        <f t="shared" si="344"/>
        <v>0.26058935427598684</v>
      </c>
      <c r="AX128" s="150">
        <f t="shared" si="214"/>
        <v>1.1695176914536243</v>
      </c>
      <c r="AY128" s="150">
        <f t="shared" si="215"/>
        <v>0.36970532286200658</v>
      </c>
      <c r="AZ128" s="150">
        <f t="shared" si="288"/>
        <v>3.163378017930647</v>
      </c>
      <c r="BA128" s="144">
        <f t="shared" si="433"/>
        <v>5.7754372697331862</v>
      </c>
      <c r="BB128" s="5">
        <f t="shared" si="434"/>
        <v>0.19017899394903415</v>
      </c>
      <c r="BD128" s="150">
        <f t="shared" si="289"/>
        <v>0.29472549616888527</v>
      </c>
      <c r="BE128" s="150">
        <f t="shared" si="218"/>
        <v>0.49645766711909861</v>
      </c>
      <c r="BG128" s="456">
        <f t="shared" si="347"/>
        <v>1.7372623618399123E-3</v>
      </c>
      <c r="BH128" s="456">
        <f t="shared" si="348"/>
        <v>5.2593128336559825E-2</v>
      </c>
      <c r="BI128" s="456">
        <f t="shared" si="349"/>
        <v>4.3739687500000013E-2</v>
      </c>
      <c r="BJ128" s="456">
        <f t="shared" si="350"/>
        <v>4.0364531756431161E-3</v>
      </c>
      <c r="BK128">
        <f t="shared" si="351"/>
        <v>4.0391746824526946E-3</v>
      </c>
      <c r="BL128" s="144">
        <f t="shared" si="427"/>
        <v>47.778862182452713</v>
      </c>
      <c r="BM128" s="456">
        <f t="shared" si="352"/>
        <v>5.8860200644958567E-2</v>
      </c>
      <c r="BN128" s="144">
        <f t="shared" si="353"/>
        <v>58.860200644958567</v>
      </c>
      <c r="BO128" s="456">
        <f t="shared" si="354"/>
        <v>0.1512</v>
      </c>
      <c r="BR128" s="144">
        <f t="shared" si="355"/>
        <v>151.19999999999999</v>
      </c>
      <c r="BS128" s="456">
        <f t="shared" si="356"/>
        <v>2.6058935427598681E-3</v>
      </c>
      <c r="BT128" s="456">
        <f t="shared" si="357"/>
        <v>7.3941064572401313E-3</v>
      </c>
      <c r="BU128" s="456">
        <f t="shared" si="358"/>
        <v>2.6522158610678231E-2</v>
      </c>
      <c r="BV128" s="456"/>
      <c r="BW128" s="456">
        <f t="shared" si="359"/>
        <v>1.9491961524227073E-4</v>
      </c>
      <c r="BX128" s="144">
        <f t="shared" si="360"/>
        <v>36.717078225920496</v>
      </c>
      <c r="BY128" s="150">
        <f t="shared" si="361"/>
        <v>0.29406278428241606</v>
      </c>
      <c r="BZ128" s="5">
        <f t="shared" si="362"/>
        <v>1.08</v>
      </c>
      <c r="CA128" s="150">
        <f t="shared" si="363"/>
        <v>0.78599028541771765</v>
      </c>
      <c r="CB128" s="5">
        <f t="shared" si="364"/>
        <v>78.599028541771759</v>
      </c>
      <c r="CE128" s="59">
        <f t="shared" si="365"/>
        <v>-50</v>
      </c>
      <c r="CF128">
        <f t="shared" si="366"/>
        <v>-50</v>
      </c>
      <c r="CG128" s="150">
        <f t="shared" si="367"/>
        <v>0.44894756932185303</v>
      </c>
      <c r="CI128" s="147">
        <v>18</v>
      </c>
      <c r="CJ128" s="188">
        <f t="shared" si="428"/>
        <v>0.216</v>
      </c>
      <c r="CK128" s="188"/>
      <c r="CL128" s="188">
        <f t="shared" si="368"/>
        <v>1.08</v>
      </c>
      <c r="CM128" s="465">
        <f t="shared" si="369"/>
        <v>9</v>
      </c>
      <c r="CN128" s="379">
        <f t="shared" si="370"/>
        <v>5.4</v>
      </c>
      <c r="CO128" s="379">
        <f t="shared" si="371"/>
        <v>14.4</v>
      </c>
      <c r="CP128" s="379"/>
      <c r="CQ128" s="188">
        <f t="shared" si="372"/>
        <v>0.375</v>
      </c>
      <c r="CR128" s="149">
        <f t="shared" si="429"/>
        <v>8.4754687499999992</v>
      </c>
      <c r="CS128" s="149">
        <f t="shared" si="373"/>
        <v>1.08</v>
      </c>
      <c r="CT128" s="188">
        <f t="shared" si="374"/>
        <v>1.6950937499999998</v>
      </c>
      <c r="CU128" s="188">
        <f t="shared" si="375"/>
        <v>5</v>
      </c>
      <c r="CV128" s="188"/>
      <c r="CW128" s="149">
        <f t="shared" si="376"/>
        <v>95.204321868122591</v>
      </c>
      <c r="CX128" s="149">
        <f t="shared" si="377"/>
        <v>5</v>
      </c>
      <c r="CY128" s="188">
        <f t="shared" si="378"/>
        <v>0.64</v>
      </c>
      <c r="CZ128" s="188">
        <f t="shared" si="379"/>
        <v>0.8533333333333335</v>
      </c>
      <c r="DA128" s="188">
        <f t="shared" si="380"/>
        <v>1.4222222222222223</v>
      </c>
      <c r="DB128" s="172">
        <f t="shared" si="381"/>
        <v>281.25</v>
      </c>
      <c r="DC128" s="379">
        <f t="shared" si="382"/>
        <v>350</v>
      </c>
      <c r="DE128" s="188">
        <f t="shared" si="383"/>
        <v>1</v>
      </c>
      <c r="DF128" s="150">
        <f t="shared" si="384"/>
        <v>2.2222222222222219</v>
      </c>
      <c r="DG128" s="150">
        <f t="shared" si="385"/>
        <v>0.31249999999999994</v>
      </c>
      <c r="DH128" s="150"/>
      <c r="DI128" s="150">
        <f t="shared" si="386"/>
        <v>2.2222222222222219</v>
      </c>
      <c r="DJ128" s="314">
        <f t="shared" si="387"/>
        <v>194.4</v>
      </c>
      <c r="DK128" s="456">
        <f t="shared" si="388"/>
        <v>0.31249999999999994</v>
      </c>
      <c r="DM128" s="150">
        <f t="shared" si="389"/>
        <v>0.74527080408974256</v>
      </c>
      <c r="DN128" s="150">
        <f t="shared" si="390"/>
        <v>1</v>
      </c>
      <c r="DO128" s="150">
        <f t="shared" si="391"/>
        <v>1.1110857142857142</v>
      </c>
      <c r="DQ128" s="314">
        <f t="shared" si="392"/>
        <v>216</v>
      </c>
      <c r="DR128" s="144">
        <f t="shared" si="393"/>
        <v>194.4</v>
      </c>
      <c r="DT128">
        <f t="shared" si="430"/>
        <v>216</v>
      </c>
      <c r="DU128">
        <f t="shared" si="431"/>
        <v>194.4</v>
      </c>
      <c r="DW128" s="5">
        <f t="shared" si="394"/>
        <v>5.1440329218106999</v>
      </c>
      <c r="DX128" s="5">
        <f t="shared" si="395"/>
        <v>1.3333333333333335</v>
      </c>
      <c r="DY128" s="5">
        <f t="shared" si="396"/>
        <v>3.8106995884773665</v>
      </c>
      <c r="DZ128" s="5"/>
      <c r="EA128" s="150">
        <f t="shared" si="397"/>
        <v>0.25919999999999999</v>
      </c>
      <c r="EB128" s="150">
        <f t="shared" si="398"/>
        <v>1.1664000000000001</v>
      </c>
      <c r="EC128" s="150">
        <f t="shared" si="399"/>
        <v>0.37040000000000001</v>
      </c>
      <c r="ED128" s="150">
        <f t="shared" si="400"/>
        <v>3.1490280777537798</v>
      </c>
      <c r="EE128" s="144">
        <f t="shared" si="401"/>
        <v>5.7600000000000007</v>
      </c>
      <c r="EF128" s="5">
        <f t="shared" si="402"/>
        <v>0.19053497942386829</v>
      </c>
      <c r="EH128" s="150">
        <f t="shared" si="403"/>
        <v>0.29393876913398137</v>
      </c>
      <c r="EI128" s="150">
        <f t="shared" si="404"/>
        <v>0.49692387076224598</v>
      </c>
      <c r="EK128" s="456">
        <f t="shared" si="405"/>
        <v>1.7280000000000002E-3</v>
      </c>
      <c r="EL128" s="456">
        <f t="shared" si="406"/>
        <v>5.5987200000000001E-2</v>
      </c>
      <c r="EM128" s="456">
        <f t="shared" si="407"/>
        <v>2.4300000000000002E-2</v>
      </c>
      <c r="EN128" s="456">
        <f t="shared" si="408"/>
        <v>4.0310784000000006E-3</v>
      </c>
      <c r="EO128">
        <f t="shared" si="409"/>
        <v>4.0499999999999998E-3</v>
      </c>
      <c r="EP128" s="144">
        <f t="shared" si="410"/>
        <v>28.35</v>
      </c>
      <c r="EQ128" s="144"/>
      <c r="ER128" s="144">
        <f t="shared" si="432"/>
        <v>90.096278400000003</v>
      </c>
      <c r="ES128" s="456">
        <f t="shared" si="411"/>
        <v>0.1512</v>
      </c>
      <c r="EV128" s="144">
        <f t="shared" si="412"/>
        <v>151.19999999999999</v>
      </c>
      <c r="EW128" s="456">
        <f t="shared" si="413"/>
        <v>2.5920000000000001E-3</v>
      </c>
      <c r="EX128" s="456">
        <f t="shared" si="414"/>
        <v>7.4079999999999997E-3</v>
      </c>
      <c r="EY128" s="456">
        <f t="shared" si="415"/>
        <v>2.6345755423895226E-2</v>
      </c>
      <c r="EZ128" s="456"/>
      <c r="FA128" s="456">
        <f t="shared" si="416"/>
        <v>1.9440000000000001E-4</v>
      </c>
      <c r="FB128" s="144">
        <f t="shared" si="417"/>
        <v>36.540155423895222</v>
      </c>
      <c r="FC128" s="150">
        <f t="shared" si="418"/>
        <v>0.27783643382389522</v>
      </c>
      <c r="FD128" s="5">
        <f t="shared" si="419"/>
        <v>1.08</v>
      </c>
      <c r="FE128" s="150">
        <f t="shared" si="420"/>
        <v>0.79538298803673935</v>
      </c>
      <c r="FF128" s="5">
        <f t="shared" si="421"/>
        <v>79.538298803673939</v>
      </c>
      <c r="FI128" s="59">
        <f t="shared" si="422"/>
        <v>-50</v>
      </c>
      <c r="FJ128">
        <f t="shared" si="423"/>
        <v>-50</v>
      </c>
      <c r="FL128">
        <f t="shared" si="424"/>
        <v>0.432</v>
      </c>
    </row>
    <row r="129" spans="5:168">
      <c r="E129" s="147">
        <v>19</v>
      </c>
      <c r="F129" s="188">
        <f t="shared" si="425"/>
        <v>0.22799999999999998</v>
      </c>
      <c r="G129" s="188"/>
      <c r="H129" s="188">
        <f t="shared" si="315"/>
        <v>1.1399999999999999</v>
      </c>
      <c r="I129" s="465">
        <f t="shared" si="316"/>
        <v>8.9759437387837657</v>
      </c>
      <c r="J129" s="149">
        <f t="shared" si="317"/>
        <v>5.4144337567297409</v>
      </c>
      <c r="K129" s="149">
        <f t="shared" si="318"/>
        <v>14.390377495513507</v>
      </c>
      <c r="L129" s="379"/>
      <c r="M129" s="188">
        <f t="shared" si="319"/>
        <v>0.37627831074111634</v>
      </c>
      <c r="N129" s="149">
        <f t="shared" si="426"/>
        <v>8.4816287139996778</v>
      </c>
      <c r="O129" s="149">
        <f t="shared" si="284"/>
        <v>1.1399999999999999</v>
      </c>
      <c r="P129" s="188">
        <f t="shared" si="320"/>
        <v>1.6963257427999356</v>
      </c>
      <c r="Q129" s="188">
        <f t="shared" si="321"/>
        <v>5</v>
      </c>
      <c r="R129" s="188"/>
      <c r="S129" s="149">
        <f t="shared" si="322"/>
        <v>89.484436366965838</v>
      </c>
      <c r="T129" s="149">
        <f t="shared" si="323"/>
        <v>5</v>
      </c>
      <c r="U129" s="188">
        <f t="shared" si="324"/>
        <v>0.73109530717430482</v>
      </c>
      <c r="V129" s="188">
        <f t="shared" si="325"/>
        <v>0.97740626962534993</v>
      </c>
      <c r="W129" s="188">
        <f t="shared" si="326"/>
        <v>1.6203252418015621</v>
      </c>
      <c r="X129" s="172">
        <f t="shared" si="327"/>
        <v>281.43605447997982</v>
      </c>
      <c r="Y129" s="379">
        <f t="shared" si="328"/>
        <v>350</v>
      </c>
      <c r="AA129" s="188">
        <f t="shared" si="329"/>
        <v>1</v>
      </c>
      <c r="AB129" s="150">
        <f t="shared" si="330"/>
        <v>2.216298238958947</v>
      </c>
      <c r="AC129" s="150">
        <f t="shared" si="331"/>
        <v>0.31187311596176676</v>
      </c>
      <c r="AD129" s="150"/>
      <c r="AE129" s="150">
        <f t="shared" si="332"/>
        <v>2.216298238958947</v>
      </c>
      <c r="AF129" s="314">
        <f t="shared" si="333"/>
        <v>205.74848275573015</v>
      </c>
      <c r="AG129" s="456">
        <f t="shared" si="334"/>
        <v>0.3118731159617667</v>
      </c>
      <c r="AI129" s="150">
        <f t="shared" si="335"/>
        <v>0.7667155977763298</v>
      </c>
      <c r="AJ129" s="150">
        <f t="shared" si="336"/>
        <v>1</v>
      </c>
      <c r="AK129" s="150">
        <f t="shared" si="337"/>
        <v>1.1175705615747029</v>
      </c>
      <c r="AM129" s="314">
        <f t="shared" si="338"/>
        <v>227.99999999999997</v>
      </c>
      <c r="AN129" s="144">
        <f t="shared" si="339"/>
        <v>205.74848275573015</v>
      </c>
      <c r="AP129" s="144">
        <f t="shared" si="340"/>
        <v>227.99999999999997</v>
      </c>
      <c r="AQ129" s="144">
        <f t="shared" si="341"/>
        <v>205.74848275573015</v>
      </c>
      <c r="AS129" s="5">
        <f t="shared" si="285"/>
        <v>4.8603031556117253</v>
      </c>
      <c r="AT129" s="5">
        <f t="shared" si="342"/>
        <v>1.3369067754012005</v>
      </c>
      <c r="AU129" s="5">
        <f t="shared" si="343"/>
        <v>3.5233963802105248</v>
      </c>
      <c r="AV129" s="5"/>
      <c r="AW129" s="150">
        <f t="shared" si="344"/>
        <v>0.27506654062465274</v>
      </c>
      <c r="AX129" s="150">
        <f t="shared" si="214"/>
        <v>1.234490896534381</v>
      </c>
      <c r="AY129" s="150">
        <f t="shared" si="215"/>
        <v>0.36246672968767363</v>
      </c>
      <c r="AZ129" s="150">
        <f t="shared" si="288"/>
        <v>3.4058047137129073</v>
      </c>
      <c r="BA129" s="144">
        <f t="shared" si="433"/>
        <v>6.0962948958294731</v>
      </c>
      <c r="BB129" s="5">
        <f t="shared" si="434"/>
        <v>0.18645541118629744</v>
      </c>
      <c r="BD129" s="150">
        <f t="shared" si="289"/>
        <v>0.30280166260257596</v>
      </c>
      <c r="BE129" s="150">
        <f t="shared" si="218"/>
        <v>0.49157348022289515</v>
      </c>
      <c r="BG129" s="456">
        <f t="shared" si="347"/>
        <v>1.833776937497685E-3</v>
      </c>
      <c r="BH129" s="456">
        <f t="shared" si="348"/>
        <v>5.5514968799702018E-2</v>
      </c>
      <c r="BI129" s="456">
        <f t="shared" si="349"/>
        <v>4.6169670138888889E-2</v>
      </c>
      <c r="BJ129" s="456">
        <f t="shared" si="350"/>
        <v>4.2607005742899551E-3</v>
      </c>
      <c r="BK129">
        <f t="shared" si="351"/>
        <v>4.0391746824526946E-3</v>
      </c>
      <c r="BL129" s="144">
        <f t="shared" si="427"/>
        <v>50.208844821341579</v>
      </c>
      <c r="BM129" s="456">
        <f t="shared" si="352"/>
        <v>6.2131637174463496E-2</v>
      </c>
      <c r="BN129" s="144">
        <f t="shared" si="353"/>
        <v>62.131637174463499</v>
      </c>
      <c r="BO129" s="456">
        <f t="shared" si="354"/>
        <v>0.15959999999999996</v>
      </c>
      <c r="BR129" s="144">
        <f t="shared" si="355"/>
        <v>159.59999999999997</v>
      </c>
      <c r="BS129" s="456">
        <f t="shared" si="356"/>
        <v>2.7506654062465275E-3</v>
      </c>
      <c r="BT129" s="456">
        <f t="shared" si="357"/>
        <v>7.2493345937534731E-3</v>
      </c>
      <c r="BU129" s="456">
        <f t="shared" si="358"/>
        <v>3.0360687911643529E-2</v>
      </c>
      <c r="BV129" s="456"/>
      <c r="BW129" s="456">
        <f t="shared" si="359"/>
        <v>2.0574848275573015E-4</v>
      </c>
      <c r="BX129" s="144">
        <f t="shared" si="360"/>
        <v>40.566436394399261</v>
      </c>
      <c r="BY129" s="150">
        <f t="shared" si="361"/>
        <v>0.3119847275272305</v>
      </c>
      <c r="BZ129" s="5">
        <f t="shared" si="362"/>
        <v>1.1399999999999999</v>
      </c>
      <c r="CA129" s="150">
        <f t="shared" si="363"/>
        <v>0.78513222514499237</v>
      </c>
      <c r="CB129" s="5">
        <f t="shared" si="364"/>
        <v>78.513222514499233</v>
      </c>
      <c r="CE129" s="59">
        <f t="shared" si="365"/>
        <v>-50</v>
      </c>
      <c r="CF129">
        <f t="shared" si="366"/>
        <v>-50</v>
      </c>
      <c r="CG129" s="150">
        <f t="shared" si="367"/>
        <v>0.4738891009508448</v>
      </c>
      <c r="CI129" s="147">
        <v>19</v>
      </c>
      <c r="CJ129" s="188">
        <f t="shared" si="428"/>
        <v>0.22799999999999998</v>
      </c>
      <c r="CK129" s="188"/>
      <c r="CL129" s="188">
        <f t="shared" si="368"/>
        <v>1.1399999999999999</v>
      </c>
      <c r="CM129" s="465">
        <f t="shared" si="369"/>
        <v>9</v>
      </c>
      <c r="CN129" s="379">
        <f t="shared" si="370"/>
        <v>5.4</v>
      </c>
      <c r="CO129" s="379">
        <f t="shared" si="371"/>
        <v>14.4</v>
      </c>
      <c r="CP129" s="379"/>
      <c r="CQ129" s="188">
        <f t="shared" si="372"/>
        <v>0.375</v>
      </c>
      <c r="CR129" s="149">
        <f t="shared" si="429"/>
        <v>8.4754687499999992</v>
      </c>
      <c r="CS129" s="149">
        <f t="shared" si="373"/>
        <v>1.1399999999999999</v>
      </c>
      <c r="CT129" s="188">
        <f t="shared" si="374"/>
        <v>1.6950937499999998</v>
      </c>
      <c r="CU129" s="188">
        <f t="shared" si="375"/>
        <v>5</v>
      </c>
      <c r="CV129" s="188"/>
      <c r="CW129" s="149">
        <f t="shared" si="376"/>
        <v>89.724155422144634</v>
      </c>
      <c r="CX129" s="149">
        <f t="shared" si="377"/>
        <v>5</v>
      </c>
      <c r="CY129" s="188">
        <f t="shared" si="378"/>
        <v>0.67555555555555546</v>
      </c>
      <c r="CZ129" s="188">
        <f t="shared" si="379"/>
        <v>0.90074074074074073</v>
      </c>
      <c r="DA129" s="188">
        <f t="shared" si="380"/>
        <v>1.5012345679012344</v>
      </c>
      <c r="DB129" s="172">
        <f t="shared" si="381"/>
        <v>281.25</v>
      </c>
      <c r="DC129" s="379">
        <f t="shared" si="382"/>
        <v>350</v>
      </c>
      <c r="DE129" s="188">
        <f t="shared" si="383"/>
        <v>1</v>
      </c>
      <c r="DF129" s="150">
        <f t="shared" si="384"/>
        <v>2.2222222222222219</v>
      </c>
      <c r="DG129" s="150">
        <f t="shared" si="385"/>
        <v>0.31249999999999994</v>
      </c>
      <c r="DH129" s="150"/>
      <c r="DI129" s="150">
        <f t="shared" si="386"/>
        <v>2.2222222222222219</v>
      </c>
      <c r="DJ129" s="314">
        <f t="shared" si="387"/>
        <v>205.2</v>
      </c>
      <c r="DK129" s="456">
        <f t="shared" si="388"/>
        <v>0.31249999999999994</v>
      </c>
      <c r="DM129" s="150">
        <f t="shared" si="389"/>
        <v>0.76569296345579296</v>
      </c>
      <c r="DN129" s="150">
        <f t="shared" si="390"/>
        <v>1</v>
      </c>
      <c r="DO129" s="150">
        <f t="shared" si="391"/>
        <v>1.1172571428571429</v>
      </c>
      <c r="DQ129" s="314">
        <f t="shared" si="392"/>
        <v>227.99999999999997</v>
      </c>
      <c r="DR129" s="144">
        <f t="shared" si="393"/>
        <v>205.2</v>
      </c>
      <c r="DT129">
        <f t="shared" si="430"/>
        <v>227.99999999999997</v>
      </c>
      <c r="DU129">
        <f t="shared" si="431"/>
        <v>205.2</v>
      </c>
      <c r="DW129" s="5">
        <f t="shared" si="394"/>
        <v>4.8732943469785583</v>
      </c>
      <c r="DX129" s="5">
        <f t="shared" si="395"/>
        <v>1.3333333333333335</v>
      </c>
      <c r="DY129" s="5">
        <f t="shared" si="396"/>
        <v>3.5399610136452249</v>
      </c>
      <c r="DZ129" s="5"/>
      <c r="EA129" s="150">
        <f t="shared" si="397"/>
        <v>0.27360000000000001</v>
      </c>
      <c r="EB129" s="150">
        <f t="shared" si="398"/>
        <v>1.2312000000000001</v>
      </c>
      <c r="EC129" s="150">
        <f t="shared" si="399"/>
        <v>0.36319999999999997</v>
      </c>
      <c r="ED129" s="150">
        <f t="shared" si="400"/>
        <v>3.3898678414096923</v>
      </c>
      <c r="EE129" s="144">
        <f t="shared" si="401"/>
        <v>6.0799999999999992</v>
      </c>
      <c r="EF129" s="5">
        <f t="shared" si="402"/>
        <v>0.18683127572016461</v>
      </c>
      <c r="EH129" s="150">
        <f t="shared" si="403"/>
        <v>0.30199337741082999</v>
      </c>
      <c r="EI129" s="150">
        <f t="shared" si="404"/>
        <v>0.49207045565989155</v>
      </c>
      <c r="EK129" s="456">
        <f t="shared" si="405"/>
        <v>1.8240000000000001E-3</v>
      </c>
      <c r="EL129" s="456">
        <f t="shared" si="406"/>
        <v>5.90976E-2</v>
      </c>
      <c r="EM129" s="456">
        <f t="shared" si="407"/>
        <v>2.5649999999999996E-2</v>
      </c>
      <c r="EN129" s="456">
        <f t="shared" si="408"/>
        <v>4.2550272000000007E-3</v>
      </c>
      <c r="EO129">
        <f t="shared" si="409"/>
        <v>4.0499999999999998E-3</v>
      </c>
      <c r="EP129" s="144">
        <f t="shared" si="410"/>
        <v>29.699999999999996</v>
      </c>
      <c r="EQ129" s="144"/>
      <c r="ER129" s="144">
        <f t="shared" si="432"/>
        <v>94.876627199999987</v>
      </c>
      <c r="ES129" s="456">
        <f t="shared" si="411"/>
        <v>0.15959999999999996</v>
      </c>
      <c r="EV129" s="144">
        <f t="shared" si="412"/>
        <v>159.59999999999997</v>
      </c>
      <c r="EW129" s="456">
        <f t="shared" si="413"/>
        <v>2.7360000000000002E-3</v>
      </c>
      <c r="EX129" s="456">
        <f t="shared" si="414"/>
        <v>7.2639999999999979E-3</v>
      </c>
      <c r="EY129" s="456">
        <f t="shared" si="415"/>
        <v>3.0158754042717027E-2</v>
      </c>
      <c r="EZ129" s="456"/>
      <c r="FA129" s="456">
        <f t="shared" si="416"/>
        <v>2.052E-4</v>
      </c>
      <c r="FB129" s="144">
        <f t="shared" si="417"/>
        <v>40.363954042717033</v>
      </c>
      <c r="FC129" s="150">
        <f t="shared" si="418"/>
        <v>0.294840581242717</v>
      </c>
      <c r="FD129" s="5">
        <f t="shared" si="419"/>
        <v>1.1399999999999999</v>
      </c>
      <c r="FE129" s="150">
        <f t="shared" si="420"/>
        <v>0.79451335214720831</v>
      </c>
      <c r="FF129" s="5">
        <f t="shared" si="421"/>
        <v>79.451335214720828</v>
      </c>
      <c r="FI129" s="59">
        <f t="shared" si="422"/>
        <v>-50</v>
      </c>
      <c r="FJ129">
        <f t="shared" si="423"/>
        <v>-50</v>
      </c>
      <c r="FL129">
        <f t="shared" si="424"/>
        <v>0.45600000000000002</v>
      </c>
    </row>
    <row r="130" spans="5:168">
      <c r="E130" s="147">
        <v>20</v>
      </c>
      <c r="F130" s="188">
        <f t="shared" si="425"/>
        <v>0.24</v>
      </c>
      <c r="G130" s="188"/>
      <c r="H130" s="188">
        <f t="shared" si="315"/>
        <v>1.2</v>
      </c>
      <c r="I130" s="465">
        <f t="shared" si="316"/>
        <v>8.9759437387837657</v>
      </c>
      <c r="J130" s="149">
        <f t="shared" si="317"/>
        <v>5.4144337567297409</v>
      </c>
      <c r="K130" s="149">
        <f t="shared" si="318"/>
        <v>14.390377495513507</v>
      </c>
      <c r="L130" s="379"/>
      <c r="M130" s="188">
        <f t="shared" si="319"/>
        <v>0.37627831074111634</v>
      </c>
      <c r="N130" s="149">
        <f t="shared" si="426"/>
        <v>8.4816287139996778</v>
      </c>
      <c r="O130" s="149">
        <f t="shared" si="284"/>
        <v>1.2</v>
      </c>
      <c r="P130" s="188">
        <f t="shared" si="320"/>
        <v>1.6963257427999356</v>
      </c>
      <c r="Q130" s="188">
        <f t="shared" si="321"/>
        <v>5</v>
      </c>
      <c r="R130" s="188"/>
      <c r="S130" s="149">
        <f t="shared" si="322"/>
        <v>84.565726980559759</v>
      </c>
      <c r="T130" s="149">
        <f t="shared" si="323"/>
        <v>5</v>
      </c>
      <c r="U130" s="188">
        <f t="shared" si="324"/>
        <v>0.76957400755189986</v>
      </c>
      <c r="V130" s="188">
        <f t="shared" si="325"/>
        <v>1.0288487048687898</v>
      </c>
      <c r="W130" s="188">
        <f t="shared" si="326"/>
        <v>1.7056055176858551</v>
      </c>
      <c r="X130" s="172">
        <f t="shared" si="327"/>
        <v>281.43605447997982</v>
      </c>
      <c r="Y130" s="379">
        <f t="shared" si="328"/>
        <v>340.77887203482453</v>
      </c>
      <c r="AA130" s="188">
        <f t="shared" si="329"/>
        <v>1</v>
      </c>
      <c r="AB130" s="150">
        <f t="shared" si="330"/>
        <v>2.216298238958947</v>
      </c>
      <c r="AC130" s="150">
        <f t="shared" si="331"/>
        <v>0.31187311596176676</v>
      </c>
      <c r="AD130" s="150"/>
      <c r="AE130" s="150">
        <f t="shared" si="332"/>
        <v>2.216298238958947</v>
      </c>
      <c r="AF130" s="314">
        <f t="shared" si="333"/>
        <v>216.57735026918962</v>
      </c>
      <c r="AG130" s="456">
        <f t="shared" si="334"/>
        <v>0.3118731159617667</v>
      </c>
      <c r="AI130" s="150">
        <f t="shared" si="335"/>
        <v>0.78663360552454276</v>
      </c>
      <c r="AJ130" s="150">
        <f t="shared" si="336"/>
        <v>1</v>
      </c>
      <c r="AK130" s="150">
        <f t="shared" si="337"/>
        <v>1.1237584858681084</v>
      </c>
      <c r="AM130" s="314">
        <f t="shared" si="338"/>
        <v>240</v>
      </c>
      <c r="AN130" s="144">
        <f t="shared" si="339"/>
        <v>216.57735026918962</v>
      </c>
      <c r="AP130" s="144">
        <f t="shared" si="340"/>
        <v>240</v>
      </c>
      <c r="AQ130" s="144">
        <f t="shared" si="341"/>
        <v>216.57735026918962</v>
      </c>
      <c r="AS130" s="5">
        <f t="shared" si="285"/>
        <v>4.6172879978311396</v>
      </c>
      <c r="AT130" s="5">
        <f t="shared" si="342"/>
        <v>1.3369067754012005</v>
      </c>
      <c r="AU130" s="5">
        <f t="shared" si="343"/>
        <v>3.2803812224299391</v>
      </c>
      <c r="AV130" s="5"/>
      <c r="AW130" s="150">
        <f t="shared" si="344"/>
        <v>0.28954372697331865</v>
      </c>
      <c r="AX130" s="150">
        <f t="shared" si="214"/>
        <v>1.2994641016151378</v>
      </c>
      <c r="AY130" s="150">
        <f t="shared" si="215"/>
        <v>0.35522813651334068</v>
      </c>
      <c r="AZ130" s="150">
        <f t="shared" si="288"/>
        <v>3.6581114164258666</v>
      </c>
      <c r="BA130" s="144">
        <f t="shared" si="433"/>
        <v>6.4171525219257619</v>
      </c>
      <c r="BB130" s="5">
        <f t="shared" si="434"/>
        <v>0.18273182842356073</v>
      </c>
      <c r="BD130" s="150">
        <f t="shared" si="289"/>
        <v>0.3106679508056357</v>
      </c>
      <c r="BE130" s="150">
        <f t="shared" si="218"/>
        <v>0.48664027543511074</v>
      </c>
      <c r="BG130" s="456">
        <f t="shared" si="347"/>
        <v>1.9302915131554578E-3</v>
      </c>
      <c r="BH130" s="456">
        <f t="shared" si="348"/>
        <v>5.8436809262844225E-2</v>
      </c>
      <c r="BI130" s="456">
        <f t="shared" si="349"/>
        <v>4.8599652777777773E-2</v>
      </c>
      <c r="BJ130" s="456">
        <f t="shared" si="350"/>
        <v>4.484947972936794E-3</v>
      </c>
      <c r="BK130">
        <f t="shared" si="351"/>
        <v>4.0391746824526946E-3</v>
      </c>
      <c r="BL130" s="144">
        <f t="shared" si="427"/>
        <v>52.638827460230466</v>
      </c>
      <c r="BM130" s="456">
        <f t="shared" si="352"/>
        <v>6.5403223813083833E-2</v>
      </c>
      <c r="BN130" s="144">
        <f t="shared" si="353"/>
        <v>65.403223813083827</v>
      </c>
      <c r="BO130" s="456">
        <f t="shared" si="354"/>
        <v>0.16799999999999998</v>
      </c>
      <c r="BR130" s="144">
        <f t="shared" si="355"/>
        <v>167.99999999999997</v>
      </c>
      <c r="BS130" s="456">
        <f t="shared" si="356"/>
        <v>2.8954372697331866E-3</v>
      </c>
      <c r="BT130" s="456">
        <f t="shared" si="357"/>
        <v>7.1045627302668123E-3</v>
      </c>
      <c r="BU130" s="456">
        <f t="shared" si="358"/>
        <v>3.4514580112753108E-2</v>
      </c>
      <c r="BV130" s="456"/>
      <c r="BW130" s="456">
        <f t="shared" si="359"/>
        <v>2.1657735026918963E-4</v>
      </c>
      <c r="BX130" s="144">
        <f t="shared" si="360"/>
        <v>44.731157463022299</v>
      </c>
      <c r="BY130" s="150">
        <f t="shared" si="361"/>
        <v>0.33022203367218922</v>
      </c>
      <c r="BZ130" s="5">
        <f t="shared" si="362"/>
        <v>1.2</v>
      </c>
      <c r="CA130" s="150">
        <f t="shared" si="363"/>
        <v>0.78419992236046254</v>
      </c>
      <c r="CB130" s="5">
        <f t="shared" si="364"/>
        <v>78.419992236046255</v>
      </c>
      <c r="CE130" s="59">
        <f t="shared" si="365"/>
        <v>-50</v>
      </c>
      <c r="CF130">
        <f t="shared" si="366"/>
        <v>-50</v>
      </c>
      <c r="CG130" s="150">
        <f t="shared" si="367"/>
        <v>0.49883063257983667</v>
      </c>
      <c r="CI130" s="147">
        <v>20</v>
      </c>
      <c r="CJ130" s="188">
        <f t="shared" si="428"/>
        <v>0.24</v>
      </c>
      <c r="CK130" s="188"/>
      <c r="CL130" s="188">
        <f t="shared" si="368"/>
        <v>1.2</v>
      </c>
      <c r="CM130" s="465">
        <f t="shared" si="369"/>
        <v>9</v>
      </c>
      <c r="CN130" s="379">
        <f t="shared" si="370"/>
        <v>5.4</v>
      </c>
      <c r="CO130" s="379">
        <f t="shared" si="371"/>
        <v>14.4</v>
      </c>
      <c r="CP130" s="379"/>
      <c r="CQ130" s="188">
        <f t="shared" si="372"/>
        <v>0.375</v>
      </c>
      <c r="CR130" s="149">
        <f t="shared" si="429"/>
        <v>8.4754687499999992</v>
      </c>
      <c r="CS130" s="149">
        <f t="shared" si="373"/>
        <v>1.2</v>
      </c>
      <c r="CT130" s="188">
        <f t="shared" si="374"/>
        <v>1.6950937499999998</v>
      </c>
      <c r="CU130" s="188">
        <f t="shared" si="375"/>
        <v>5</v>
      </c>
      <c r="CV130" s="188"/>
      <c r="CW130" s="149">
        <f t="shared" si="376"/>
        <v>84.792257361308472</v>
      </c>
      <c r="CX130" s="149">
        <f t="shared" si="377"/>
        <v>5</v>
      </c>
      <c r="CY130" s="188">
        <f t="shared" si="378"/>
        <v>0.71111111111111114</v>
      </c>
      <c r="CZ130" s="188">
        <f t="shared" si="379"/>
        <v>0.94814814814814818</v>
      </c>
      <c r="DA130" s="188">
        <f t="shared" si="380"/>
        <v>1.5802469135802468</v>
      </c>
      <c r="DB130" s="172">
        <f t="shared" si="381"/>
        <v>281.25</v>
      </c>
      <c r="DC130" s="379">
        <f t="shared" si="382"/>
        <v>350</v>
      </c>
      <c r="DE130" s="188">
        <f t="shared" si="383"/>
        <v>1</v>
      </c>
      <c r="DF130" s="150">
        <f t="shared" si="384"/>
        <v>2.2222222222222219</v>
      </c>
      <c r="DG130" s="150">
        <f t="shared" si="385"/>
        <v>0.31249999999999994</v>
      </c>
      <c r="DH130" s="150"/>
      <c r="DI130" s="150">
        <f t="shared" si="386"/>
        <v>2.2222222222222219</v>
      </c>
      <c r="DJ130" s="314">
        <f t="shared" si="387"/>
        <v>216</v>
      </c>
      <c r="DK130" s="456">
        <f t="shared" si="388"/>
        <v>0.31249999999999994</v>
      </c>
      <c r="DM130" s="150">
        <f t="shared" si="389"/>
        <v>0.78558440484957259</v>
      </c>
      <c r="DN130" s="150">
        <f t="shared" si="390"/>
        <v>1</v>
      </c>
      <c r="DO130" s="150">
        <f t="shared" si="391"/>
        <v>1.1234285714285714</v>
      </c>
      <c r="DQ130" s="314">
        <f t="shared" si="392"/>
        <v>240</v>
      </c>
      <c r="DR130" s="144">
        <f t="shared" si="393"/>
        <v>216</v>
      </c>
      <c r="DT130">
        <f t="shared" si="430"/>
        <v>240</v>
      </c>
      <c r="DU130">
        <f t="shared" si="431"/>
        <v>216</v>
      </c>
      <c r="DW130" s="5">
        <f t="shared" si="394"/>
        <v>4.6296296296296298</v>
      </c>
      <c r="DX130" s="5">
        <f t="shared" si="395"/>
        <v>1.3333333333333335</v>
      </c>
      <c r="DY130" s="5">
        <f t="shared" si="396"/>
        <v>3.2962962962962963</v>
      </c>
      <c r="DZ130" s="5"/>
      <c r="EA130" s="150">
        <f t="shared" si="397"/>
        <v>0.28800000000000003</v>
      </c>
      <c r="EB130" s="150">
        <f t="shared" si="398"/>
        <v>1.296</v>
      </c>
      <c r="EC130" s="150">
        <f t="shared" si="399"/>
        <v>0.35599999999999998</v>
      </c>
      <c r="ED130" s="150">
        <f t="shared" si="400"/>
        <v>3.6404494382022476</v>
      </c>
      <c r="EE130" s="144">
        <f t="shared" si="401"/>
        <v>6.4</v>
      </c>
      <c r="EF130" s="5">
        <f t="shared" si="402"/>
        <v>0.18312757201646088</v>
      </c>
      <c r="EH130" s="150">
        <f t="shared" si="403"/>
        <v>0.30983866769659335</v>
      </c>
      <c r="EI130" s="150">
        <f t="shared" si="404"/>
        <v>0.48716869083853626</v>
      </c>
      <c r="EK130" s="456">
        <f t="shared" si="405"/>
        <v>1.92E-3</v>
      </c>
      <c r="EL130" s="456">
        <f t="shared" si="406"/>
        <v>6.2207999999999999E-2</v>
      </c>
      <c r="EM130" s="456">
        <f t="shared" si="407"/>
        <v>2.7E-2</v>
      </c>
      <c r="EN130" s="456">
        <f t="shared" si="408"/>
        <v>4.478976E-3</v>
      </c>
      <c r="EO130">
        <f t="shared" si="409"/>
        <v>4.0499999999999998E-3</v>
      </c>
      <c r="EP130" s="144">
        <f t="shared" si="410"/>
        <v>31.05</v>
      </c>
      <c r="EQ130" s="144"/>
      <c r="ER130" s="144">
        <f t="shared" si="432"/>
        <v>99.656976</v>
      </c>
      <c r="ES130" s="456">
        <f t="shared" si="411"/>
        <v>0.16799999999999998</v>
      </c>
      <c r="EV130" s="144">
        <f t="shared" si="412"/>
        <v>167.99999999999997</v>
      </c>
      <c r="EW130" s="456">
        <f t="shared" si="413"/>
        <v>2.8799999999999997E-3</v>
      </c>
      <c r="EX130" s="456">
        <f t="shared" si="414"/>
        <v>7.1199999999999987E-3</v>
      </c>
      <c r="EY130" s="456">
        <f t="shared" si="415"/>
        <v>3.428501803178758E-2</v>
      </c>
      <c r="EZ130" s="456"/>
      <c r="FA130" s="456">
        <f t="shared" si="416"/>
        <v>2.1599999999999999E-4</v>
      </c>
      <c r="FB130" s="144">
        <f t="shared" si="417"/>
        <v>44.501018031787581</v>
      </c>
      <c r="FC130" s="150">
        <f t="shared" si="418"/>
        <v>0.31215799403178757</v>
      </c>
      <c r="FD130" s="5">
        <f t="shared" si="419"/>
        <v>1.2</v>
      </c>
      <c r="FE130" s="150">
        <f t="shared" si="420"/>
        <v>0.79356787104005111</v>
      </c>
      <c r="FF130" s="5">
        <f t="shared" si="421"/>
        <v>79.356787104005107</v>
      </c>
      <c r="FI130" s="59">
        <f t="shared" si="422"/>
        <v>-50</v>
      </c>
      <c r="FJ130">
        <f t="shared" si="423"/>
        <v>-50</v>
      </c>
      <c r="FL130">
        <f t="shared" si="424"/>
        <v>0.48</v>
      </c>
    </row>
    <row r="131" spans="5:168">
      <c r="E131" s="147">
        <v>21</v>
      </c>
      <c r="F131" s="188">
        <f t="shared" si="425"/>
        <v>0.252</v>
      </c>
      <c r="G131" s="188"/>
      <c r="H131" s="188">
        <f t="shared" si="315"/>
        <v>1.26</v>
      </c>
      <c r="I131" s="465">
        <f t="shared" si="316"/>
        <v>8.9759437387837657</v>
      </c>
      <c r="J131" s="149">
        <f t="shared" si="317"/>
        <v>5.4144337567297409</v>
      </c>
      <c r="K131" s="149">
        <f t="shared" si="318"/>
        <v>14.390377495513507</v>
      </c>
      <c r="L131" s="379"/>
      <c r="M131" s="188">
        <f t="shared" si="319"/>
        <v>0.37627831074111634</v>
      </c>
      <c r="N131" s="149">
        <f t="shared" si="426"/>
        <v>8.4816287139996778</v>
      </c>
      <c r="O131" s="149">
        <f t="shared" si="284"/>
        <v>1.26</v>
      </c>
      <c r="P131" s="188">
        <f t="shared" si="320"/>
        <v>1.6963257427999356</v>
      </c>
      <c r="Q131" s="188">
        <f t="shared" si="321"/>
        <v>5</v>
      </c>
      <c r="R131" s="188"/>
      <c r="S131" s="149">
        <f t="shared" si="322"/>
        <v>80.115709422430882</v>
      </c>
      <c r="T131" s="149">
        <f t="shared" si="323"/>
        <v>5</v>
      </c>
      <c r="U131" s="188">
        <f t="shared" si="324"/>
        <v>0.80805270792949502</v>
      </c>
      <c r="V131" s="188">
        <f t="shared" si="325"/>
        <v>1.0802911401122293</v>
      </c>
      <c r="W131" s="188">
        <f t="shared" si="326"/>
        <v>1.7908857935701481</v>
      </c>
      <c r="X131" s="172">
        <f t="shared" si="327"/>
        <v>281.43605447997982</v>
      </c>
      <c r="Y131" s="379">
        <f t="shared" si="328"/>
        <v>325.60807195207349</v>
      </c>
      <c r="AA131" s="188">
        <f t="shared" si="329"/>
        <v>1</v>
      </c>
      <c r="AB131" s="150">
        <f t="shared" si="330"/>
        <v>2.216298238958947</v>
      </c>
      <c r="AC131" s="150">
        <f t="shared" si="331"/>
        <v>0.31187311596176676</v>
      </c>
      <c r="AD131" s="150"/>
      <c r="AE131" s="150">
        <f t="shared" si="332"/>
        <v>2.216298238958947</v>
      </c>
      <c r="AF131" s="314">
        <f t="shared" si="333"/>
        <v>227.40621778264912</v>
      </c>
      <c r="AG131" s="456">
        <f t="shared" si="334"/>
        <v>0.3118731159617667</v>
      </c>
      <c r="AI131" s="150">
        <f t="shared" si="335"/>
        <v>0.80605958266592737</v>
      </c>
      <c r="AJ131" s="150">
        <f t="shared" si="336"/>
        <v>1</v>
      </c>
      <c r="AK131" s="150">
        <f t="shared" si="337"/>
        <v>1.1299464101615138</v>
      </c>
      <c r="AM131" s="314">
        <f t="shared" si="338"/>
        <v>252</v>
      </c>
      <c r="AN131" s="144">
        <f t="shared" si="339"/>
        <v>227.40621778264912</v>
      </c>
      <c r="AP131" s="144">
        <f t="shared" si="340"/>
        <v>252</v>
      </c>
      <c r="AQ131" s="144">
        <f t="shared" si="341"/>
        <v>227.40621778264912</v>
      </c>
      <c r="AS131" s="5">
        <f t="shared" si="285"/>
        <v>4.3974171407915614</v>
      </c>
      <c r="AT131" s="5">
        <f t="shared" si="342"/>
        <v>1.3369067754012005</v>
      </c>
      <c r="AU131" s="5">
        <f t="shared" si="343"/>
        <v>3.0605103653903609</v>
      </c>
      <c r="AV131" s="5"/>
      <c r="AW131" s="150">
        <f t="shared" si="344"/>
        <v>0.30402091332198455</v>
      </c>
      <c r="AX131" s="150">
        <f t="shared" si="214"/>
        <v>1.3644373066958948</v>
      </c>
      <c r="AY131" s="150">
        <f t="shared" si="215"/>
        <v>0.34798954333900772</v>
      </c>
      <c r="AZ131" s="150">
        <f t="shared" si="288"/>
        <v>3.9209146734810778</v>
      </c>
      <c r="BA131" s="144">
        <f t="shared" si="433"/>
        <v>6.7380101480220516</v>
      </c>
      <c r="BB131" s="5">
        <f t="shared" si="434"/>
        <v>0.17900824566082399</v>
      </c>
      <c r="BD131" s="150">
        <f t="shared" si="289"/>
        <v>0.31833991964669073</v>
      </c>
      <c r="BE131" s="150">
        <f t="shared" si="218"/>
        <v>0.48165654661041596</v>
      </c>
      <c r="BG131" s="456">
        <f t="shared" si="347"/>
        <v>2.0268060888132301E-3</v>
      </c>
      <c r="BH131" s="456">
        <f t="shared" si="348"/>
        <v>6.1358649725986446E-2</v>
      </c>
      <c r="BI131" s="456">
        <f t="shared" si="349"/>
        <v>5.102963541666667E-2</v>
      </c>
      <c r="BJ131" s="456">
        <f t="shared" si="350"/>
        <v>4.7091953715836347E-3</v>
      </c>
      <c r="BK131">
        <f t="shared" si="351"/>
        <v>4.0391746824526946E-3</v>
      </c>
      <c r="BL131" s="144">
        <f t="shared" si="427"/>
        <v>55.068810099119361</v>
      </c>
      <c r="BM131" s="456">
        <f t="shared" si="352"/>
        <v>6.8674960571151425E-2</v>
      </c>
      <c r="BN131" s="144">
        <f t="shared" si="353"/>
        <v>68.674960571151431</v>
      </c>
      <c r="BO131" s="456">
        <f t="shared" si="354"/>
        <v>0.1764</v>
      </c>
      <c r="BR131" s="144">
        <f t="shared" si="355"/>
        <v>176.4</v>
      </c>
      <c r="BS131" s="456">
        <f t="shared" si="356"/>
        <v>3.0402091332198452E-3</v>
      </c>
      <c r="BT131" s="456">
        <f t="shared" si="357"/>
        <v>6.9597908667801533E-3</v>
      </c>
      <c r="BU131" s="456">
        <f t="shared" si="358"/>
        <v>3.8992029644327235E-2</v>
      </c>
      <c r="BV131" s="456"/>
      <c r="BW131" s="456">
        <f t="shared" si="359"/>
        <v>2.2740621778264913E-4</v>
      </c>
      <c r="BX131" s="144">
        <f t="shared" si="360"/>
        <v>49.21943586210989</v>
      </c>
      <c r="BY131" s="150">
        <f t="shared" si="361"/>
        <v>0.34878289714761262</v>
      </c>
      <c r="BZ131" s="5">
        <f t="shared" si="362"/>
        <v>1.26</v>
      </c>
      <c r="CA131" s="150">
        <f t="shared" si="363"/>
        <v>0.78320076763247048</v>
      </c>
      <c r="CB131" s="5">
        <f t="shared" si="364"/>
        <v>78.320076763247044</v>
      </c>
      <c r="CE131" s="59">
        <f t="shared" si="365"/>
        <v>-50</v>
      </c>
      <c r="CF131">
        <f t="shared" si="366"/>
        <v>-50</v>
      </c>
      <c r="CG131" s="150">
        <f t="shared" si="367"/>
        <v>0.52377216420882855</v>
      </c>
      <c r="CI131" s="147">
        <v>21</v>
      </c>
      <c r="CJ131" s="188">
        <f t="shared" si="428"/>
        <v>0.252</v>
      </c>
      <c r="CK131" s="188"/>
      <c r="CL131" s="188">
        <f t="shared" si="368"/>
        <v>1.26</v>
      </c>
      <c r="CM131" s="465">
        <f t="shared" si="369"/>
        <v>9</v>
      </c>
      <c r="CN131" s="379">
        <f t="shared" si="370"/>
        <v>5.4</v>
      </c>
      <c r="CO131" s="379">
        <f t="shared" si="371"/>
        <v>14.4</v>
      </c>
      <c r="CP131" s="379"/>
      <c r="CQ131" s="188">
        <f t="shared" si="372"/>
        <v>0.375</v>
      </c>
      <c r="CR131" s="149">
        <f t="shared" si="429"/>
        <v>8.4754687499999992</v>
      </c>
      <c r="CS131" s="149">
        <f t="shared" si="373"/>
        <v>1.26</v>
      </c>
      <c r="CT131" s="188">
        <f t="shared" si="374"/>
        <v>1.6950937499999998</v>
      </c>
      <c r="CU131" s="188">
        <f t="shared" si="375"/>
        <v>5</v>
      </c>
      <c r="CV131" s="188"/>
      <c r="CW131" s="149">
        <f t="shared" si="376"/>
        <v>80.330307204094979</v>
      </c>
      <c r="CX131" s="149">
        <f t="shared" si="377"/>
        <v>5</v>
      </c>
      <c r="CY131" s="188">
        <f t="shared" si="378"/>
        <v>0.7466666666666667</v>
      </c>
      <c r="CZ131" s="188">
        <f t="shared" si="379"/>
        <v>0.99555555555555564</v>
      </c>
      <c r="DA131" s="188">
        <f t="shared" si="380"/>
        <v>1.6592592592592592</v>
      </c>
      <c r="DB131" s="172">
        <f t="shared" si="381"/>
        <v>281.25</v>
      </c>
      <c r="DC131" s="379">
        <f t="shared" si="382"/>
        <v>350</v>
      </c>
      <c r="DE131" s="188">
        <f t="shared" si="383"/>
        <v>1</v>
      </c>
      <c r="DF131" s="150">
        <f t="shared" si="384"/>
        <v>2.2222222222222219</v>
      </c>
      <c r="DG131" s="150">
        <f t="shared" si="385"/>
        <v>0.31249999999999994</v>
      </c>
      <c r="DH131" s="150"/>
      <c r="DI131" s="150">
        <f t="shared" si="386"/>
        <v>2.2222222222222219</v>
      </c>
      <c r="DJ131" s="314">
        <f t="shared" si="387"/>
        <v>226.80000000000004</v>
      </c>
      <c r="DK131" s="456">
        <f t="shared" si="388"/>
        <v>0.31249999999999994</v>
      </c>
      <c r="DM131" s="150">
        <f t="shared" si="389"/>
        <v>0.80498447189992439</v>
      </c>
      <c r="DN131" s="150">
        <f t="shared" si="390"/>
        <v>1</v>
      </c>
      <c r="DO131" s="150">
        <f t="shared" si="391"/>
        <v>1.1295999999999999</v>
      </c>
      <c r="DQ131" s="314">
        <f t="shared" si="392"/>
        <v>252</v>
      </c>
      <c r="DR131" s="144">
        <f t="shared" si="393"/>
        <v>226.80000000000004</v>
      </c>
      <c r="DT131">
        <f t="shared" si="430"/>
        <v>252</v>
      </c>
      <c r="DU131">
        <f t="shared" si="431"/>
        <v>226.80000000000004</v>
      </c>
      <c r="DW131" s="5">
        <f t="shared" si="394"/>
        <v>4.4091710758377411</v>
      </c>
      <c r="DX131" s="5">
        <f t="shared" si="395"/>
        <v>1.3333333333333335</v>
      </c>
      <c r="DY131" s="5">
        <f t="shared" si="396"/>
        <v>3.0758377425044077</v>
      </c>
      <c r="DZ131" s="5"/>
      <c r="EA131" s="150">
        <f t="shared" si="397"/>
        <v>0.30240000000000011</v>
      </c>
      <c r="EB131" s="150">
        <f t="shared" si="398"/>
        <v>1.3608000000000002</v>
      </c>
      <c r="EC131" s="150">
        <f t="shared" si="399"/>
        <v>0.34879999999999994</v>
      </c>
      <c r="ED131" s="150">
        <f t="shared" si="400"/>
        <v>3.901376146788992</v>
      </c>
      <c r="EE131" s="144">
        <f t="shared" si="401"/>
        <v>6.7200000000000006</v>
      </c>
      <c r="EF131" s="5">
        <f t="shared" si="402"/>
        <v>0.17942386831275711</v>
      </c>
      <c r="EH131" s="150">
        <f t="shared" si="403"/>
        <v>0.31749015732775093</v>
      </c>
      <c r="EI131" s="150">
        <f t="shared" si="404"/>
        <v>0.48221710186733663</v>
      </c>
      <c r="EK131" s="456">
        <f t="shared" si="405"/>
        <v>2.0160000000000009E-3</v>
      </c>
      <c r="EL131" s="456">
        <f t="shared" si="406"/>
        <v>6.5318400000000013E-2</v>
      </c>
      <c r="EM131" s="456">
        <f t="shared" si="407"/>
        <v>2.8350000000000004E-2</v>
      </c>
      <c r="EN131" s="456">
        <f t="shared" si="408"/>
        <v>4.702924800000001E-3</v>
      </c>
      <c r="EO131">
        <f t="shared" si="409"/>
        <v>4.0499999999999998E-3</v>
      </c>
      <c r="EP131" s="144">
        <f t="shared" si="410"/>
        <v>32.400000000000006</v>
      </c>
      <c r="EQ131" s="144"/>
      <c r="ER131" s="144">
        <f t="shared" si="432"/>
        <v>104.43732480000001</v>
      </c>
      <c r="ES131" s="456">
        <f t="shared" si="411"/>
        <v>0.1764</v>
      </c>
      <c r="EV131" s="144">
        <f t="shared" si="412"/>
        <v>176.4</v>
      </c>
      <c r="EW131" s="456">
        <f t="shared" si="413"/>
        <v>3.0240000000000011E-3</v>
      </c>
      <c r="EX131" s="456">
        <f t="shared" si="414"/>
        <v>6.9759999999999996E-3</v>
      </c>
      <c r="EY131" s="456">
        <f t="shared" si="415"/>
        <v>3.8732687318939536E-2</v>
      </c>
      <c r="EZ131" s="456"/>
      <c r="FA131" s="456">
        <f t="shared" si="416"/>
        <v>2.2680000000000004E-4</v>
      </c>
      <c r="FB131" s="144">
        <f t="shared" si="417"/>
        <v>48.959487318939537</v>
      </c>
      <c r="FC131" s="150">
        <f t="shared" si="418"/>
        <v>0.32979681211893958</v>
      </c>
      <c r="FD131" s="5">
        <f t="shared" si="419"/>
        <v>1.26</v>
      </c>
      <c r="FE131" s="150">
        <f t="shared" si="420"/>
        <v>0.79255411156638667</v>
      </c>
      <c r="FF131" s="5">
        <f t="shared" si="421"/>
        <v>79.255411156638672</v>
      </c>
      <c r="FI131" s="59">
        <f t="shared" si="422"/>
        <v>-50</v>
      </c>
      <c r="FJ131">
        <f t="shared" si="423"/>
        <v>-50</v>
      </c>
      <c r="FL131">
        <f t="shared" si="424"/>
        <v>0.504</v>
      </c>
    </row>
    <row r="132" spans="5:168">
      <c r="E132" s="147">
        <v>22</v>
      </c>
      <c r="F132" s="188">
        <f t="shared" si="425"/>
        <v>0.26400000000000001</v>
      </c>
      <c r="G132" s="188"/>
      <c r="H132" s="188">
        <f t="shared" si="315"/>
        <v>1.32</v>
      </c>
      <c r="I132" s="465">
        <f t="shared" si="316"/>
        <v>8.9759437387837657</v>
      </c>
      <c r="J132" s="149">
        <f t="shared" si="317"/>
        <v>5.4144337567297409</v>
      </c>
      <c r="K132" s="149">
        <f t="shared" si="318"/>
        <v>14.390377495513507</v>
      </c>
      <c r="L132" s="379"/>
      <c r="M132" s="188">
        <f t="shared" si="319"/>
        <v>0.37627831074111634</v>
      </c>
      <c r="N132" s="149">
        <f t="shared" si="426"/>
        <v>8.4816287139996778</v>
      </c>
      <c r="O132" s="149">
        <f t="shared" si="284"/>
        <v>1.32</v>
      </c>
      <c r="P132" s="188">
        <f t="shared" si="320"/>
        <v>1.6963257427999356</v>
      </c>
      <c r="Q132" s="188">
        <f t="shared" si="321"/>
        <v>5</v>
      </c>
      <c r="R132" s="188"/>
      <c r="S132" s="149">
        <f t="shared" si="322"/>
        <v>76.070474644615331</v>
      </c>
      <c r="T132" s="149">
        <f t="shared" si="323"/>
        <v>5</v>
      </c>
      <c r="U132" s="188">
        <f t="shared" si="324"/>
        <v>0.84653140830709006</v>
      </c>
      <c r="V132" s="188">
        <f t="shared" si="325"/>
        <v>1.131733575355669</v>
      </c>
      <c r="W132" s="188">
        <f t="shared" si="326"/>
        <v>1.8761660694544411</v>
      </c>
      <c r="X132" s="172">
        <f t="shared" si="327"/>
        <v>281.43605447997982</v>
      </c>
      <c r="Y132" s="379">
        <f t="shared" si="328"/>
        <v>311.73045005252789</v>
      </c>
      <c r="AA132" s="188">
        <f t="shared" si="329"/>
        <v>1</v>
      </c>
      <c r="AB132" s="150">
        <f t="shared" si="330"/>
        <v>2.216298238958947</v>
      </c>
      <c r="AC132" s="150">
        <f t="shared" si="331"/>
        <v>0.31187311596176676</v>
      </c>
      <c r="AD132" s="150"/>
      <c r="AE132" s="150">
        <f t="shared" si="332"/>
        <v>2.216298238958947</v>
      </c>
      <c r="AF132" s="314">
        <f t="shared" si="333"/>
        <v>238.23508529610862</v>
      </c>
      <c r="AG132" s="456">
        <f t="shared" si="334"/>
        <v>0.3118731159617667</v>
      </c>
      <c r="AI132" s="150">
        <f t="shared" si="335"/>
        <v>0.82502828574212905</v>
      </c>
      <c r="AJ132" s="150">
        <f t="shared" si="336"/>
        <v>1</v>
      </c>
      <c r="AK132" s="150">
        <f t="shared" si="337"/>
        <v>1.1361343344549193</v>
      </c>
      <c r="AM132" s="314">
        <f t="shared" si="338"/>
        <v>264</v>
      </c>
      <c r="AN132" s="144">
        <f t="shared" si="339"/>
        <v>238.23508529610862</v>
      </c>
      <c r="AP132" s="144">
        <f t="shared" si="340"/>
        <v>264</v>
      </c>
      <c r="AQ132" s="144">
        <f t="shared" si="341"/>
        <v>238.23508529610862</v>
      </c>
      <c r="AS132" s="5">
        <f t="shared" si="285"/>
        <v>4.1975345434828535</v>
      </c>
      <c r="AT132" s="5">
        <f t="shared" si="342"/>
        <v>1.3369067754012005</v>
      </c>
      <c r="AU132" s="5">
        <f t="shared" si="343"/>
        <v>2.860627768081653</v>
      </c>
      <c r="AV132" s="5"/>
      <c r="AW132" s="150">
        <f t="shared" si="344"/>
        <v>0.31849809967065057</v>
      </c>
      <c r="AX132" s="150">
        <f t="shared" si="214"/>
        <v>1.4294105117766518</v>
      </c>
      <c r="AY132" s="150">
        <f t="shared" si="215"/>
        <v>0.34075095016467472</v>
      </c>
      <c r="AZ132" s="150">
        <f t="shared" si="288"/>
        <v>4.1948834217068525</v>
      </c>
      <c r="BA132" s="144">
        <f t="shared" si="433"/>
        <v>7.0588677741183385</v>
      </c>
      <c r="BB132" s="5">
        <f t="shared" si="434"/>
        <v>0.17528466289808722</v>
      </c>
      <c r="BD132" s="150">
        <f t="shared" si="289"/>
        <v>0.32583129564784008</v>
      </c>
      <c r="BE132" s="150">
        <f t="shared" si="218"/>
        <v>0.47662070885535718</v>
      </c>
      <c r="BG132" s="456">
        <f t="shared" si="347"/>
        <v>2.1233206644710035E-3</v>
      </c>
      <c r="BH132" s="456">
        <f t="shared" si="348"/>
        <v>6.4280490189128667E-2</v>
      </c>
      <c r="BI132" s="456">
        <f t="shared" si="349"/>
        <v>5.3459618055555568E-2</v>
      </c>
      <c r="BJ132" s="456">
        <f t="shared" si="350"/>
        <v>4.9334427702304746E-3</v>
      </c>
      <c r="BK132">
        <f t="shared" si="351"/>
        <v>4.0391746824526946E-3</v>
      </c>
      <c r="BL132" s="144">
        <f t="shared" si="427"/>
        <v>57.498792738008255</v>
      </c>
      <c r="BM132" s="456">
        <f t="shared" si="352"/>
        <v>7.1946847458999014E-2</v>
      </c>
      <c r="BN132" s="144">
        <f t="shared" si="353"/>
        <v>71.946847458999017</v>
      </c>
      <c r="BO132" s="456">
        <f t="shared" si="354"/>
        <v>0.18479999999999999</v>
      </c>
      <c r="BR132" s="144">
        <f t="shared" si="355"/>
        <v>184.79999999999998</v>
      </c>
      <c r="BS132" s="456">
        <f t="shared" si="356"/>
        <v>3.1849809967065051E-3</v>
      </c>
      <c r="BT132" s="456">
        <f t="shared" si="357"/>
        <v>6.8150190032934942E-3</v>
      </c>
      <c r="BU132" s="456">
        <f t="shared" si="358"/>
        <v>4.3801028385891033E-2</v>
      </c>
      <c r="BV132" s="456"/>
      <c r="BW132" s="456">
        <f t="shared" si="359"/>
        <v>2.3823508529610863E-4</v>
      </c>
      <c r="BX132" s="144">
        <f t="shared" si="360"/>
        <v>54.039263471187134</v>
      </c>
      <c r="BY132" s="150">
        <f t="shared" si="361"/>
        <v>0.3676753098330256</v>
      </c>
      <c r="BZ132" s="5">
        <f t="shared" si="362"/>
        <v>1.32</v>
      </c>
      <c r="CA132" s="150">
        <f t="shared" si="363"/>
        <v>0.78214096770225161</v>
      </c>
      <c r="CB132" s="5">
        <f t="shared" si="364"/>
        <v>78.214096770225154</v>
      </c>
      <c r="CE132" s="59">
        <f t="shared" si="365"/>
        <v>-50</v>
      </c>
      <c r="CF132">
        <f t="shared" si="366"/>
        <v>-50</v>
      </c>
      <c r="CG132" s="150">
        <f t="shared" si="367"/>
        <v>0.54871369583782037</v>
      </c>
      <c r="CI132" s="147">
        <v>22</v>
      </c>
      <c r="CJ132" s="188">
        <f t="shared" si="428"/>
        <v>0.26400000000000001</v>
      </c>
      <c r="CK132" s="188"/>
      <c r="CL132" s="188">
        <f t="shared" si="368"/>
        <v>1.32</v>
      </c>
      <c r="CM132" s="465">
        <f t="shared" si="369"/>
        <v>9</v>
      </c>
      <c r="CN132" s="379">
        <f t="shared" si="370"/>
        <v>5.4</v>
      </c>
      <c r="CO132" s="379">
        <f t="shared" si="371"/>
        <v>14.4</v>
      </c>
      <c r="CP132" s="379"/>
      <c r="CQ132" s="188">
        <f t="shared" si="372"/>
        <v>0.375</v>
      </c>
      <c r="CR132" s="149">
        <f t="shared" si="429"/>
        <v>8.4754687499999992</v>
      </c>
      <c r="CS132" s="149">
        <f t="shared" si="373"/>
        <v>1.32</v>
      </c>
      <c r="CT132" s="188">
        <f t="shared" si="374"/>
        <v>1.6950937499999998</v>
      </c>
      <c r="CU132" s="188">
        <f t="shared" si="375"/>
        <v>5</v>
      </c>
      <c r="CV132" s="188"/>
      <c r="CW132" s="149">
        <f t="shared" si="376"/>
        <v>76.274224620400076</v>
      </c>
      <c r="CX132" s="149">
        <f t="shared" si="377"/>
        <v>5</v>
      </c>
      <c r="CY132" s="188">
        <f t="shared" si="378"/>
        <v>0.78222222222222226</v>
      </c>
      <c r="CZ132" s="188">
        <f t="shared" si="379"/>
        <v>1.0429629629629631</v>
      </c>
      <c r="DA132" s="188">
        <f t="shared" si="380"/>
        <v>1.7382716049382716</v>
      </c>
      <c r="DB132" s="172">
        <f t="shared" si="381"/>
        <v>281.25</v>
      </c>
      <c r="DC132" s="379">
        <f t="shared" si="382"/>
        <v>350</v>
      </c>
      <c r="DE132" s="188">
        <f t="shared" si="383"/>
        <v>1</v>
      </c>
      <c r="DF132" s="150">
        <f t="shared" si="384"/>
        <v>2.2222222222222219</v>
      </c>
      <c r="DG132" s="150">
        <f t="shared" si="385"/>
        <v>0.31249999999999994</v>
      </c>
      <c r="DH132" s="150"/>
      <c r="DI132" s="150">
        <f t="shared" si="386"/>
        <v>2.2222222222222219</v>
      </c>
      <c r="DJ132" s="314">
        <f t="shared" si="387"/>
        <v>237.60000000000002</v>
      </c>
      <c r="DK132" s="456">
        <f t="shared" si="388"/>
        <v>0.31249999999999994</v>
      </c>
      <c r="DM132" s="150">
        <f t="shared" si="389"/>
        <v>0.82392787479071428</v>
      </c>
      <c r="DN132" s="150">
        <f t="shared" si="390"/>
        <v>1</v>
      </c>
      <c r="DO132" s="150">
        <f t="shared" si="391"/>
        <v>1.1357714285714287</v>
      </c>
      <c r="DQ132" s="314">
        <f t="shared" si="392"/>
        <v>264</v>
      </c>
      <c r="DR132" s="144">
        <f t="shared" si="393"/>
        <v>237.60000000000002</v>
      </c>
      <c r="DT132">
        <f t="shared" si="430"/>
        <v>264</v>
      </c>
      <c r="DU132">
        <f t="shared" si="431"/>
        <v>237.60000000000002</v>
      </c>
      <c r="DW132" s="5">
        <f t="shared" si="394"/>
        <v>4.2087542087542085</v>
      </c>
      <c r="DX132" s="5">
        <f t="shared" si="395"/>
        <v>1.3333333333333335</v>
      </c>
      <c r="DY132" s="5">
        <f t="shared" si="396"/>
        <v>2.875420875420875</v>
      </c>
      <c r="DZ132" s="5"/>
      <c r="EA132" s="150">
        <f t="shared" si="397"/>
        <v>0.31680000000000008</v>
      </c>
      <c r="EB132" s="150">
        <f t="shared" si="398"/>
        <v>1.4256000000000002</v>
      </c>
      <c r="EC132" s="150">
        <f t="shared" si="399"/>
        <v>0.34159999999999996</v>
      </c>
      <c r="ED132" s="150">
        <f t="shared" si="400"/>
        <v>4.1733021077283388</v>
      </c>
      <c r="EE132" s="144">
        <f t="shared" si="401"/>
        <v>7.0400000000000009</v>
      </c>
      <c r="EF132" s="5">
        <f t="shared" si="402"/>
        <v>0.17572016460905343</v>
      </c>
      <c r="EH132" s="150">
        <f t="shared" si="403"/>
        <v>0.32496153618543844</v>
      </c>
      <c r="EI132" s="150">
        <f t="shared" si="404"/>
        <v>0.47721413781795413</v>
      </c>
      <c r="EK132" s="456">
        <f t="shared" si="405"/>
        <v>2.1120000000000002E-3</v>
      </c>
      <c r="EL132" s="456">
        <f t="shared" si="406"/>
        <v>6.8428800000000012E-2</v>
      </c>
      <c r="EM132" s="456">
        <f t="shared" si="407"/>
        <v>2.9700000000000001E-2</v>
      </c>
      <c r="EN132" s="456">
        <f t="shared" si="408"/>
        <v>4.9268736000000011E-3</v>
      </c>
      <c r="EO132">
        <f t="shared" si="409"/>
        <v>4.0499999999999998E-3</v>
      </c>
      <c r="EP132" s="144">
        <f t="shared" si="410"/>
        <v>33.75</v>
      </c>
      <c r="EQ132" s="144"/>
      <c r="ER132" s="144">
        <f t="shared" si="432"/>
        <v>109.21767360000003</v>
      </c>
      <c r="ES132" s="456">
        <f t="shared" si="411"/>
        <v>0.18479999999999999</v>
      </c>
      <c r="EV132" s="144">
        <f t="shared" si="412"/>
        <v>184.79999999999998</v>
      </c>
      <c r="EW132" s="456">
        <f t="shared" si="413"/>
        <v>3.1680000000000002E-3</v>
      </c>
      <c r="EX132" s="456">
        <f t="shared" si="414"/>
        <v>6.8319999999999995E-3</v>
      </c>
      <c r="EY132" s="456">
        <f t="shared" si="415"/>
        <v>4.3509700628408546E-2</v>
      </c>
      <c r="EZ132" s="456"/>
      <c r="FA132" s="456">
        <f t="shared" si="416"/>
        <v>2.3760000000000003E-4</v>
      </c>
      <c r="FB132" s="144">
        <f t="shared" si="417"/>
        <v>53.747300628408546</v>
      </c>
      <c r="FC132" s="150">
        <f t="shared" si="418"/>
        <v>0.34776497422840857</v>
      </c>
      <c r="FD132" s="5">
        <f t="shared" si="419"/>
        <v>1.32</v>
      </c>
      <c r="FE132" s="150">
        <f t="shared" si="420"/>
        <v>0.79147842795457313</v>
      </c>
      <c r="FF132" s="5">
        <f t="shared" si="421"/>
        <v>79.147842795457308</v>
      </c>
      <c r="FI132" s="59">
        <f t="shared" si="422"/>
        <v>-50</v>
      </c>
      <c r="FJ132">
        <f t="shared" si="423"/>
        <v>-50</v>
      </c>
      <c r="FL132">
        <f t="shared" si="424"/>
        <v>0.52800000000000002</v>
      </c>
    </row>
    <row r="133" spans="5:168">
      <c r="E133" s="147">
        <v>23</v>
      </c>
      <c r="F133" s="188">
        <f t="shared" si="425"/>
        <v>0.27600000000000002</v>
      </c>
      <c r="G133" s="188"/>
      <c r="H133" s="188">
        <f t="shared" si="315"/>
        <v>1.3800000000000001</v>
      </c>
      <c r="I133" s="465">
        <f t="shared" si="316"/>
        <v>8.9759437387837657</v>
      </c>
      <c r="J133" s="149">
        <f t="shared" si="317"/>
        <v>5.4144337567297409</v>
      </c>
      <c r="K133" s="149">
        <f t="shared" si="318"/>
        <v>14.390377495513507</v>
      </c>
      <c r="L133" s="379"/>
      <c r="M133" s="188">
        <f t="shared" si="319"/>
        <v>0.37627831074111634</v>
      </c>
      <c r="N133" s="149">
        <f t="shared" si="426"/>
        <v>8.4816287139996778</v>
      </c>
      <c r="O133" s="149">
        <f t="shared" si="284"/>
        <v>1.3800000000000001</v>
      </c>
      <c r="P133" s="188">
        <f t="shared" si="320"/>
        <v>1.6963257427999356</v>
      </c>
      <c r="Q133" s="188">
        <f t="shared" si="321"/>
        <v>5</v>
      </c>
      <c r="R133" s="188"/>
      <c r="S133" s="149">
        <f t="shared" si="322"/>
        <v>72.377228278561887</v>
      </c>
      <c r="T133" s="149">
        <f t="shared" si="323"/>
        <v>5</v>
      </c>
      <c r="U133" s="188">
        <f t="shared" si="324"/>
        <v>0.8850101086846851</v>
      </c>
      <c r="V133" s="188">
        <f t="shared" si="325"/>
        <v>1.1831760105991083</v>
      </c>
      <c r="W133" s="188">
        <f t="shared" si="326"/>
        <v>1.9614463453387339</v>
      </c>
      <c r="X133" s="172">
        <f t="shared" si="327"/>
        <v>281.43605447997982</v>
      </c>
      <c r="Y133" s="379">
        <f t="shared" si="328"/>
        <v>298.98741728633729</v>
      </c>
      <c r="AA133" s="188">
        <f t="shared" si="329"/>
        <v>1</v>
      </c>
      <c r="AB133" s="150">
        <f t="shared" si="330"/>
        <v>2.216298238958947</v>
      </c>
      <c r="AC133" s="150">
        <f t="shared" si="331"/>
        <v>0.31187311596176676</v>
      </c>
      <c r="AD133" s="150"/>
      <c r="AE133" s="150">
        <f t="shared" si="332"/>
        <v>2.216298238958947</v>
      </c>
      <c r="AF133" s="314">
        <f t="shared" si="333"/>
        <v>249.06395280956812</v>
      </c>
      <c r="AG133" s="456">
        <f t="shared" si="334"/>
        <v>0.3118731159617667</v>
      </c>
      <c r="AI133" s="150">
        <f t="shared" si="335"/>
        <v>0.8435705623963079</v>
      </c>
      <c r="AJ133" s="150">
        <f t="shared" si="336"/>
        <v>1</v>
      </c>
      <c r="AK133" s="150">
        <f t="shared" si="337"/>
        <v>1.1423222587483246</v>
      </c>
      <c r="AM133" s="314">
        <f t="shared" si="338"/>
        <v>276</v>
      </c>
      <c r="AN133" s="144">
        <f t="shared" si="339"/>
        <v>249.06395280956812</v>
      </c>
      <c r="AP133" s="144">
        <f t="shared" si="340"/>
        <v>276</v>
      </c>
      <c r="AQ133" s="144">
        <f t="shared" si="341"/>
        <v>249.06395280956812</v>
      </c>
      <c r="AS133" s="5">
        <f t="shared" si="285"/>
        <v>4.0150330415922939</v>
      </c>
      <c r="AT133" s="5">
        <f t="shared" si="342"/>
        <v>1.3369067754012005</v>
      </c>
      <c r="AU133" s="5">
        <f t="shared" si="343"/>
        <v>2.6781262661910934</v>
      </c>
      <c r="AV133" s="5"/>
      <c r="AW133" s="150">
        <f t="shared" si="344"/>
        <v>0.33297528601931653</v>
      </c>
      <c r="AX133" s="150">
        <f t="shared" ref="AX133:AX196" si="435">0.5*L*AJ133^2*AN133*1000</f>
        <v>1.4943837168574086</v>
      </c>
      <c r="AY133" s="150">
        <f t="shared" ref="AY133:AY196" si="436">AJ133*Nps/2*(1-AW133)</f>
        <v>0.33351235699034176</v>
      </c>
      <c r="AZ133" s="150">
        <f t="shared" si="288"/>
        <v>4.4807446726799531</v>
      </c>
      <c r="BA133" s="144">
        <f t="shared" si="433"/>
        <v>7.3797254002146273</v>
      </c>
      <c r="BB133" s="5">
        <f t="shared" si="434"/>
        <v>0.17156108013535043</v>
      </c>
      <c r="BD133" s="150">
        <f t="shared" si="289"/>
        <v>0.33315426157628369</v>
      </c>
      <c r="BE133" s="150">
        <f t="shared" ref="BE133:BE196" si="437">AJ133*Nps*SQRT((1-AW133)/3)</f>
        <v>0.47153109264065979</v>
      </c>
      <c r="BG133" s="456">
        <f t="shared" si="347"/>
        <v>2.2198352401287774E-3</v>
      </c>
      <c r="BH133" s="456">
        <f t="shared" si="348"/>
        <v>6.7202330652270881E-2</v>
      </c>
      <c r="BI133" s="456">
        <f t="shared" si="349"/>
        <v>5.5889600694444458E-2</v>
      </c>
      <c r="BJ133" s="456">
        <f t="shared" si="350"/>
        <v>5.1576901688773153E-3</v>
      </c>
      <c r="BK133">
        <f t="shared" si="351"/>
        <v>4.0391746824526946E-3</v>
      </c>
      <c r="BL133" s="144">
        <f t="shared" si="427"/>
        <v>59.928775376897157</v>
      </c>
      <c r="BM133" s="456">
        <f t="shared" si="352"/>
        <v>7.5218884486960291E-2</v>
      </c>
      <c r="BN133" s="144">
        <f t="shared" si="353"/>
        <v>75.218884486960292</v>
      </c>
      <c r="BO133" s="456">
        <f t="shared" si="354"/>
        <v>0.19320000000000001</v>
      </c>
      <c r="BR133" s="144">
        <f t="shared" si="355"/>
        <v>193.20000000000002</v>
      </c>
      <c r="BS133" s="456">
        <f t="shared" si="356"/>
        <v>3.3297528601931655E-3</v>
      </c>
      <c r="BT133" s="456">
        <f t="shared" si="357"/>
        <v>6.6702471398068343E-3</v>
      </c>
      <c r="BU133" s="456">
        <f t="shared" si="358"/>
        <v>4.8949379987918352E-2</v>
      </c>
      <c r="BV133" s="456"/>
      <c r="BW133" s="456">
        <f t="shared" si="359"/>
        <v>2.4906395280956811E-4</v>
      </c>
      <c r="BX133" s="144">
        <f t="shared" si="360"/>
        <v>59.19844394072792</v>
      </c>
      <c r="BY133" s="150">
        <f t="shared" si="361"/>
        <v>0.38690707537890207</v>
      </c>
      <c r="BZ133" s="5">
        <f t="shared" si="362"/>
        <v>1.3800000000000001</v>
      </c>
      <c r="CA133" s="150">
        <f t="shared" si="363"/>
        <v>0.7810257931668918</v>
      </c>
      <c r="CB133" s="5">
        <f t="shared" si="364"/>
        <v>78.102579316689173</v>
      </c>
      <c r="CE133" s="59">
        <f t="shared" si="365"/>
        <v>-50</v>
      </c>
      <c r="CF133">
        <f t="shared" si="366"/>
        <v>-50</v>
      </c>
      <c r="CG133" s="150">
        <f t="shared" si="367"/>
        <v>0.57365522746681219</v>
      </c>
      <c r="CI133" s="147">
        <v>23</v>
      </c>
      <c r="CJ133" s="188">
        <f t="shared" si="428"/>
        <v>0.27600000000000002</v>
      </c>
      <c r="CK133" s="188"/>
      <c r="CL133" s="188">
        <f t="shared" si="368"/>
        <v>1.3800000000000001</v>
      </c>
      <c r="CM133" s="465">
        <f t="shared" si="369"/>
        <v>9</v>
      </c>
      <c r="CN133" s="379">
        <f t="shared" si="370"/>
        <v>5.4</v>
      </c>
      <c r="CO133" s="379">
        <f t="shared" si="371"/>
        <v>14.4</v>
      </c>
      <c r="CP133" s="379"/>
      <c r="CQ133" s="188">
        <f t="shared" si="372"/>
        <v>0.375</v>
      </c>
      <c r="CR133" s="149">
        <f t="shared" si="429"/>
        <v>8.4754687499999992</v>
      </c>
      <c r="CS133" s="149">
        <f t="shared" si="373"/>
        <v>1.3800000000000001</v>
      </c>
      <c r="CT133" s="188">
        <f t="shared" si="374"/>
        <v>1.6950937499999998</v>
      </c>
      <c r="CU133" s="188">
        <f t="shared" si="375"/>
        <v>5</v>
      </c>
      <c r="CV133" s="188"/>
      <c r="CW133" s="149">
        <f t="shared" si="376"/>
        <v>72.571073747771564</v>
      </c>
      <c r="CX133" s="149">
        <f t="shared" si="377"/>
        <v>5</v>
      </c>
      <c r="CY133" s="188">
        <f t="shared" si="378"/>
        <v>0.81777777777777783</v>
      </c>
      <c r="CZ133" s="188">
        <f t="shared" si="379"/>
        <v>1.0903703703703704</v>
      </c>
      <c r="DA133" s="188">
        <f t="shared" si="380"/>
        <v>1.8172839506172842</v>
      </c>
      <c r="DB133" s="172">
        <f t="shared" si="381"/>
        <v>281.25</v>
      </c>
      <c r="DC133" s="379">
        <f t="shared" si="382"/>
        <v>343.91983695652169</v>
      </c>
      <c r="DE133" s="188">
        <f t="shared" si="383"/>
        <v>1</v>
      </c>
      <c r="DF133" s="150">
        <f t="shared" si="384"/>
        <v>2.2222222222222219</v>
      </c>
      <c r="DG133" s="150">
        <f t="shared" si="385"/>
        <v>0.31249999999999994</v>
      </c>
      <c r="DH133" s="150"/>
      <c r="DI133" s="150">
        <f t="shared" si="386"/>
        <v>2.2222222222222219</v>
      </c>
      <c r="DJ133" s="314">
        <f t="shared" si="387"/>
        <v>248.40000000000003</v>
      </c>
      <c r="DK133" s="456">
        <f t="shared" si="388"/>
        <v>0.31249999999999994</v>
      </c>
      <c r="DM133" s="150">
        <f t="shared" si="389"/>
        <v>0.84244542002095657</v>
      </c>
      <c r="DN133" s="150">
        <f t="shared" si="390"/>
        <v>1</v>
      </c>
      <c r="DO133" s="150">
        <f t="shared" si="391"/>
        <v>1.1419428571428571</v>
      </c>
      <c r="DQ133" s="314">
        <f t="shared" si="392"/>
        <v>276</v>
      </c>
      <c r="DR133" s="144">
        <f t="shared" si="393"/>
        <v>248.40000000000003</v>
      </c>
      <c r="DT133">
        <f t="shared" si="430"/>
        <v>276</v>
      </c>
      <c r="DU133">
        <f t="shared" si="431"/>
        <v>248.40000000000003</v>
      </c>
      <c r="DW133" s="5">
        <f t="shared" si="394"/>
        <v>4.0257648953301119</v>
      </c>
      <c r="DX133" s="5">
        <f t="shared" si="395"/>
        <v>1.3333333333333335</v>
      </c>
      <c r="DY133" s="5">
        <f t="shared" si="396"/>
        <v>2.6924315619967785</v>
      </c>
      <c r="DZ133" s="5"/>
      <c r="EA133" s="150">
        <f t="shared" si="397"/>
        <v>0.33120000000000011</v>
      </c>
      <c r="EB133" s="150">
        <f t="shared" si="398"/>
        <v>1.4904000000000002</v>
      </c>
      <c r="EC133" s="150">
        <f t="shared" si="399"/>
        <v>0.33439999999999992</v>
      </c>
      <c r="ED133" s="150">
        <f t="shared" si="400"/>
        <v>4.4569377990430636</v>
      </c>
      <c r="EE133" s="144">
        <f t="shared" si="401"/>
        <v>7.3600000000000012</v>
      </c>
      <c r="EF133" s="5">
        <f t="shared" si="402"/>
        <v>0.17201646090534975</v>
      </c>
      <c r="EH133" s="150">
        <f t="shared" si="403"/>
        <v>0.33226495451672305</v>
      </c>
      <c r="EI133" s="150">
        <f t="shared" si="404"/>
        <v>0.47215816559002055</v>
      </c>
      <c r="EK133" s="456">
        <f t="shared" si="405"/>
        <v>2.2080000000000008E-3</v>
      </c>
      <c r="EL133" s="456">
        <f t="shared" si="406"/>
        <v>7.1539200000000011E-2</v>
      </c>
      <c r="EM133" s="456">
        <f t="shared" si="407"/>
        <v>3.1050000000000001E-2</v>
      </c>
      <c r="EN133" s="456">
        <f t="shared" si="408"/>
        <v>5.1508224000000003E-3</v>
      </c>
      <c r="EO133">
        <f t="shared" si="409"/>
        <v>4.0499999999999998E-3</v>
      </c>
      <c r="EP133" s="144">
        <f t="shared" si="410"/>
        <v>35.1</v>
      </c>
      <c r="EQ133" s="144"/>
      <c r="ER133" s="144">
        <f t="shared" si="432"/>
        <v>113.99802240000001</v>
      </c>
      <c r="ES133" s="456">
        <f t="shared" si="411"/>
        <v>0.19320000000000001</v>
      </c>
      <c r="EV133" s="144">
        <f t="shared" si="412"/>
        <v>193.20000000000002</v>
      </c>
      <c r="EW133" s="456">
        <f t="shared" si="413"/>
        <v>3.3120000000000011E-3</v>
      </c>
      <c r="EX133" s="456">
        <f t="shared" si="414"/>
        <v>6.6879999999999978E-3</v>
      </c>
      <c r="EY133" s="456">
        <f t="shared" si="415"/>
        <v>4.8623809707321199E-2</v>
      </c>
      <c r="EZ133" s="456"/>
      <c r="FA133" s="456">
        <f t="shared" si="416"/>
        <v>2.4840000000000002E-4</v>
      </c>
      <c r="FB133" s="144">
        <f t="shared" si="417"/>
        <v>58.872209707321204</v>
      </c>
      <c r="FC133" s="150">
        <f t="shared" si="418"/>
        <v>0.3660702321073212</v>
      </c>
      <c r="FD133" s="5">
        <f t="shared" si="419"/>
        <v>1.3800000000000001</v>
      </c>
      <c r="FE133" s="150">
        <f t="shared" si="420"/>
        <v>0.79034621553251416</v>
      </c>
      <c r="FF133" s="5">
        <f t="shared" si="421"/>
        <v>79.034621553251412</v>
      </c>
      <c r="FI133" s="59">
        <f t="shared" si="422"/>
        <v>-50</v>
      </c>
      <c r="FJ133">
        <f t="shared" si="423"/>
        <v>-50</v>
      </c>
      <c r="FL133">
        <f t="shared" si="424"/>
        <v>0.55200000000000005</v>
      </c>
    </row>
    <row r="134" spans="5:168">
      <c r="E134" s="147">
        <v>24</v>
      </c>
      <c r="F134" s="188">
        <f t="shared" si="425"/>
        <v>0.28799999999999998</v>
      </c>
      <c r="G134" s="188"/>
      <c r="H134" s="188">
        <f t="shared" si="315"/>
        <v>1.44</v>
      </c>
      <c r="I134" s="465">
        <f t="shared" si="316"/>
        <v>8.9759437387837657</v>
      </c>
      <c r="J134" s="149">
        <f t="shared" si="317"/>
        <v>5.4144337567297409</v>
      </c>
      <c r="K134" s="149">
        <f t="shared" si="318"/>
        <v>14.390377495513507</v>
      </c>
      <c r="L134" s="379"/>
      <c r="M134" s="188">
        <f t="shared" si="319"/>
        <v>0.37627831074111634</v>
      </c>
      <c r="N134" s="149">
        <f t="shared" si="426"/>
        <v>8.4816287139996778</v>
      </c>
      <c r="O134" s="149">
        <f t="shared" ref="O134:O197" si="438">T134*F134</f>
        <v>1.44</v>
      </c>
      <c r="P134" s="188">
        <f t="shared" si="320"/>
        <v>1.6963257427999356</v>
      </c>
      <c r="Q134" s="188">
        <f t="shared" si="321"/>
        <v>5</v>
      </c>
      <c r="R134" s="188"/>
      <c r="S134" s="149">
        <f t="shared" si="322"/>
        <v>68.991975078220932</v>
      </c>
      <c r="T134" s="149">
        <f t="shared" si="323"/>
        <v>5</v>
      </c>
      <c r="U134" s="188">
        <f t="shared" si="324"/>
        <v>0.92348880906227981</v>
      </c>
      <c r="V134" s="188">
        <f t="shared" si="325"/>
        <v>1.2346184458425475</v>
      </c>
      <c r="W134" s="188">
        <f t="shared" si="326"/>
        <v>2.046726621223026</v>
      </c>
      <c r="X134" s="172">
        <f t="shared" si="327"/>
        <v>281.43605447997982</v>
      </c>
      <c r="Y134" s="379">
        <f t="shared" si="328"/>
        <v>287.24529764666511</v>
      </c>
      <c r="AA134" s="188">
        <f t="shared" si="329"/>
        <v>1</v>
      </c>
      <c r="AB134" s="150">
        <f t="shared" si="330"/>
        <v>2.216298238958947</v>
      </c>
      <c r="AC134" s="150">
        <f t="shared" si="331"/>
        <v>0.31187311596176676</v>
      </c>
      <c r="AD134" s="150"/>
      <c r="AE134" s="150">
        <f t="shared" si="332"/>
        <v>2.216298238958947</v>
      </c>
      <c r="AF134" s="314">
        <f t="shared" si="333"/>
        <v>259.89282032302754</v>
      </c>
      <c r="AG134" s="456">
        <f t="shared" si="334"/>
        <v>0.3118731159617667</v>
      </c>
      <c r="AI134" s="150">
        <f t="shared" si="335"/>
        <v>0.86171394047482497</v>
      </c>
      <c r="AJ134" s="150">
        <f t="shared" si="336"/>
        <v>1</v>
      </c>
      <c r="AK134" s="150">
        <f t="shared" si="337"/>
        <v>1.1485101830417301</v>
      </c>
      <c r="AM134" s="314">
        <f t="shared" si="338"/>
        <v>288</v>
      </c>
      <c r="AN134" s="144">
        <f t="shared" si="339"/>
        <v>259.89282032302754</v>
      </c>
      <c r="AP134" s="144">
        <f t="shared" si="340"/>
        <v>288</v>
      </c>
      <c r="AQ134" s="144">
        <f t="shared" si="341"/>
        <v>259.89282032302754</v>
      </c>
      <c r="AS134" s="5">
        <f t="shared" ref="AS134:AS197" si="439">1/AN134*1000</f>
        <v>3.8477399981926164</v>
      </c>
      <c r="AT134" s="5">
        <f t="shared" si="342"/>
        <v>1.3369067754012005</v>
      </c>
      <c r="AU134" s="5">
        <f t="shared" si="343"/>
        <v>2.5108332227914159</v>
      </c>
      <c r="AV134" s="5"/>
      <c r="AW134" s="150">
        <f t="shared" si="344"/>
        <v>0.34745247236798238</v>
      </c>
      <c r="AX134" s="150">
        <f t="shared" si="435"/>
        <v>1.5593569219381651</v>
      </c>
      <c r="AY134" s="150">
        <f t="shared" si="436"/>
        <v>0.32627376381600881</v>
      </c>
      <c r="AZ134" s="150">
        <f t="shared" ref="AZ134:AZ197" si="440">AX134/AY134</f>
        <v>4.7792899548537173</v>
      </c>
      <c r="BA134" s="144">
        <f t="shared" si="433"/>
        <v>7.7005830263109143</v>
      </c>
      <c r="BB134" s="5">
        <f t="shared" si="434"/>
        <v>0.16783749737261375</v>
      </c>
      <c r="BD134" s="150">
        <f t="shared" ref="BD134:BD197" si="441">AJ134*SQRT(AW134/3)</f>
        <v>0.34031968910030386</v>
      </c>
      <c r="BE134" s="150">
        <f t="shared" si="437"/>
        <v>0.46638593733517081</v>
      </c>
      <c r="BG134" s="456">
        <f t="shared" si="347"/>
        <v>2.3163498157865495E-3</v>
      </c>
      <c r="BH134" s="456">
        <f t="shared" si="348"/>
        <v>7.0124171115413081E-2</v>
      </c>
      <c r="BI134" s="456">
        <f t="shared" si="349"/>
        <v>5.8319583333333334E-2</v>
      </c>
      <c r="BJ134" s="456">
        <f t="shared" si="350"/>
        <v>5.3819375675241534E-3</v>
      </c>
      <c r="BK134">
        <f t="shared" si="351"/>
        <v>4.0391746824526946E-3</v>
      </c>
      <c r="BL134" s="144">
        <f t="shared" si="427"/>
        <v>62.358758015786023</v>
      </c>
      <c r="BM134" s="456">
        <f t="shared" si="352"/>
        <v>7.8491071665369935E-2</v>
      </c>
      <c r="BN134" s="144">
        <f t="shared" si="353"/>
        <v>78.49107166536993</v>
      </c>
      <c r="BO134" s="456">
        <f t="shared" si="354"/>
        <v>0.20159999999999997</v>
      </c>
      <c r="BR134" s="144">
        <f t="shared" si="355"/>
        <v>201.59999999999997</v>
      </c>
      <c r="BS134" s="456">
        <f t="shared" si="356"/>
        <v>3.4745247236798241E-3</v>
      </c>
      <c r="BT134" s="456">
        <f t="shared" si="357"/>
        <v>6.5254752763201761E-3</v>
      </c>
      <c r="BU134" s="456">
        <f t="shared" si="358"/>
        <v>5.4444712580853385E-2</v>
      </c>
      <c r="BV134" s="456"/>
      <c r="BW134" s="456">
        <f t="shared" si="359"/>
        <v>2.5989282032302756E-4</v>
      </c>
      <c r="BX134" s="144">
        <f t="shared" si="360"/>
        <v>64.704605401176408</v>
      </c>
      <c r="BY134" s="150">
        <f t="shared" si="361"/>
        <v>0.40648582191568616</v>
      </c>
      <c r="BZ134" s="5">
        <f t="shared" si="362"/>
        <v>1.44</v>
      </c>
      <c r="CA134" s="150">
        <f t="shared" si="363"/>
        <v>0.7798597654576267</v>
      </c>
      <c r="CB134" s="5">
        <f t="shared" si="364"/>
        <v>77.985976545762668</v>
      </c>
      <c r="CE134" s="59">
        <f t="shared" si="365"/>
        <v>-50</v>
      </c>
      <c r="CF134">
        <f t="shared" si="366"/>
        <v>-50</v>
      </c>
      <c r="CG134" s="150">
        <f t="shared" si="367"/>
        <v>0.59859675909580401</v>
      </c>
      <c r="CI134" s="147">
        <v>24</v>
      </c>
      <c r="CJ134" s="188">
        <f t="shared" si="428"/>
        <v>0.28799999999999998</v>
      </c>
      <c r="CK134" s="188"/>
      <c r="CL134" s="188">
        <f t="shared" si="368"/>
        <v>1.44</v>
      </c>
      <c r="CM134" s="465">
        <f t="shared" si="369"/>
        <v>9</v>
      </c>
      <c r="CN134" s="379">
        <f t="shared" si="370"/>
        <v>5.4</v>
      </c>
      <c r="CO134" s="379">
        <f t="shared" si="371"/>
        <v>14.4</v>
      </c>
      <c r="CP134" s="379"/>
      <c r="CQ134" s="188">
        <f t="shared" si="372"/>
        <v>0.375</v>
      </c>
      <c r="CR134" s="149">
        <f t="shared" si="429"/>
        <v>8.4754687499999992</v>
      </c>
      <c r="CS134" s="149">
        <f t="shared" si="373"/>
        <v>1.44</v>
      </c>
      <c r="CT134" s="188">
        <f t="shared" si="374"/>
        <v>1.6950937499999998</v>
      </c>
      <c r="CU134" s="188">
        <f t="shared" si="375"/>
        <v>5</v>
      </c>
      <c r="CV134" s="188"/>
      <c r="CW134" s="149">
        <f t="shared" si="376"/>
        <v>69.176741428616538</v>
      </c>
      <c r="CX134" s="149">
        <f t="shared" si="377"/>
        <v>5</v>
      </c>
      <c r="CY134" s="188">
        <f t="shared" si="378"/>
        <v>0.85333333333333328</v>
      </c>
      <c r="CZ134" s="188">
        <f t="shared" si="379"/>
        <v>1.1377777777777778</v>
      </c>
      <c r="DA134" s="188">
        <f t="shared" si="380"/>
        <v>1.8962962962962961</v>
      </c>
      <c r="DB134" s="172">
        <f t="shared" si="381"/>
        <v>281.25</v>
      </c>
      <c r="DC134" s="379">
        <f t="shared" si="382"/>
        <v>329.58984375</v>
      </c>
      <c r="DE134" s="188">
        <f t="shared" si="383"/>
        <v>1</v>
      </c>
      <c r="DF134" s="150">
        <f t="shared" si="384"/>
        <v>2.2222222222222219</v>
      </c>
      <c r="DG134" s="150">
        <f t="shared" si="385"/>
        <v>0.31249999999999994</v>
      </c>
      <c r="DH134" s="150"/>
      <c r="DI134" s="150">
        <f t="shared" si="386"/>
        <v>2.2222222222222219</v>
      </c>
      <c r="DJ134" s="314">
        <f t="shared" si="387"/>
        <v>259.2</v>
      </c>
      <c r="DK134" s="456">
        <f t="shared" si="388"/>
        <v>0.31249999999999994</v>
      </c>
      <c r="DM134" s="150">
        <f t="shared" si="389"/>
        <v>0.86056459872076352</v>
      </c>
      <c r="DN134" s="150">
        <f t="shared" si="390"/>
        <v>1</v>
      </c>
      <c r="DO134" s="150">
        <f t="shared" si="391"/>
        <v>1.1481142857142856</v>
      </c>
      <c r="DQ134" s="314">
        <f t="shared" si="392"/>
        <v>288</v>
      </c>
      <c r="DR134" s="144">
        <f t="shared" si="393"/>
        <v>259.2</v>
      </c>
      <c r="DT134">
        <f t="shared" si="430"/>
        <v>288</v>
      </c>
      <c r="DU134">
        <f t="shared" si="431"/>
        <v>259.2</v>
      </c>
      <c r="DW134" s="5">
        <f t="shared" si="394"/>
        <v>3.8580246913580249</v>
      </c>
      <c r="DX134" s="5">
        <f t="shared" si="395"/>
        <v>1.3333333333333335</v>
      </c>
      <c r="DY134" s="5">
        <f t="shared" si="396"/>
        <v>2.5246913580246915</v>
      </c>
      <c r="DZ134" s="5"/>
      <c r="EA134" s="150">
        <f t="shared" si="397"/>
        <v>0.34560000000000002</v>
      </c>
      <c r="EB134" s="150">
        <f t="shared" si="398"/>
        <v>1.5552000000000001</v>
      </c>
      <c r="EC134" s="150">
        <f t="shared" si="399"/>
        <v>0.32719999999999999</v>
      </c>
      <c r="ED134" s="150">
        <f t="shared" si="400"/>
        <v>4.7530562347188265</v>
      </c>
      <c r="EE134" s="144">
        <f t="shared" si="401"/>
        <v>7.6800000000000006</v>
      </c>
      <c r="EF134" s="5">
        <f t="shared" si="402"/>
        <v>0.16831275720164607</v>
      </c>
      <c r="EH134" s="150">
        <f t="shared" si="403"/>
        <v>0.33941125496954283</v>
      </c>
      <c r="EI134" s="150">
        <f t="shared" si="404"/>
        <v>0.46704746368365319</v>
      </c>
      <c r="EK134" s="456">
        <f t="shared" si="405"/>
        <v>2.3040000000000001E-3</v>
      </c>
      <c r="EL134" s="456">
        <f t="shared" si="406"/>
        <v>7.4649599999999997E-2</v>
      </c>
      <c r="EM134" s="456">
        <f t="shared" si="407"/>
        <v>3.2399999999999991E-2</v>
      </c>
      <c r="EN134" s="456">
        <f t="shared" si="408"/>
        <v>5.3747712000000005E-3</v>
      </c>
      <c r="EO134">
        <f t="shared" si="409"/>
        <v>4.0499999999999998E-3</v>
      </c>
      <c r="EP134" s="144">
        <f t="shared" si="410"/>
        <v>36.449999999999989</v>
      </c>
      <c r="EQ134" s="144"/>
      <c r="ER134" s="144">
        <f t="shared" si="432"/>
        <v>118.7783712</v>
      </c>
      <c r="ES134" s="456">
        <f t="shared" si="411"/>
        <v>0.20159999999999997</v>
      </c>
      <c r="EV134" s="144">
        <f t="shared" si="412"/>
        <v>201.59999999999997</v>
      </c>
      <c r="EW134" s="456">
        <f t="shared" si="413"/>
        <v>3.4560000000000003E-3</v>
      </c>
      <c r="EX134" s="456">
        <f t="shared" si="414"/>
        <v>6.5440000000000003E-3</v>
      </c>
      <c r="EY134" s="456">
        <f t="shared" si="415"/>
        <v>5.408259195018647E-2</v>
      </c>
      <c r="EZ134" s="456"/>
      <c r="FA134" s="456">
        <f t="shared" si="416"/>
        <v>2.5920000000000001E-4</v>
      </c>
      <c r="FB134" s="144">
        <f t="shared" si="417"/>
        <v>64.341791950186462</v>
      </c>
      <c r="FC134" s="150">
        <f t="shared" si="418"/>
        <v>0.38472016315018642</v>
      </c>
      <c r="FD134" s="5">
        <f t="shared" si="419"/>
        <v>1.44</v>
      </c>
      <c r="FE134" s="150">
        <f t="shared" si="420"/>
        <v>0.78916210226667971</v>
      </c>
      <c r="FF134" s="5">
        <f t="shared" si="421"/>
        <v>78.916210226667971</v>
      </c>
      <c r="FI134" s="59">
        <f t="shared" si="422"/>
        <v>-50</v>
      </c>
      <c r="FJ134">
        <f t="shared" si="423"/>
        <v>-50</v>
      </c>
      <c r="FL134">
        <f t="shared" si="424"/>
        <v>0.57600000000000007</v>
      </c>
    </row>
    <row r="135" spans="5:168">
      <c r="E135" s="147">
        <v>25</v>
      </c>
      <c r="F135" s="188">
        <f t="shared" si="425"/>
        <v>0.3</v>
      </c>
      <c r="G135" s="188"/>
      <c r="H135" s="188">
        <f t="shared" si="315"/>
        <v>1.5</v>
      </c>
      <c r="I135" s="465">
        <f t="shared" si="316"/>
        <v>8.9759437387837657</v>
      </c>
      <c r="J135" s="149">
        <f t="shared" si="317"/>
        <v>5.4144337567297409</v>
      </c>
      <c r="K135" s="149">
        <f t="shared" si="318"/>
        <v>14.390377495513507</v>
      </c>
      <c r="L135" s="379"/>
      <c r="M135" s="188">
        <f t="shared" si="319"/>
        <v>0.37627831074111634</v>
      </c>
      <c r="N135" s="149">
        <f t="shared" si="426"/>
        <v>8.4816287139996778</v>
      </c>
      <c r="O135" s="149">
        <f t="shared" si="438"/>
        <v>1.5</v>
      </c>
      <c r="P135" s="188">
        <f t="shared" si="320"/>
        <v>1.6963257427999356</v>
      </c>
      <c r="Q135" s="188">
        <f t="shared" si="321"/>
        <v>5</v>
      </c>
      <c r="R135" s="188"/>
      <c r="S135" s="149">
        <f t="shared" si="322"/>
        <v>65.877759096821279</v>
      </c>
      <c r="T135" s="149">
        <f t="shared" si="323"/>
        <v>5</v>
      </c>
      <c r="U135" s="188">
        <f t="shared" si="324"/>
        <v>0.96196750943987497</v>
      </c>
      <c r="V135" s="188">
        <f t="shared" si="325"/>
        <v>1.286060881085987</v>
      </c>
      <c r="W135" s="188">
        <f t="shared" si="326"/>
        <v>2.1320068971073192</v>
      </c>
      <c r="X135" s="172">
        <f t="shared" si="327"/>
        <v>281.43605447997982</v>
      </c>
      <c r="Y135" s="379">
        <f t="shared" si="328"/>
        <v>276.39062099034345</v>
      </c>
      <c r="AA135" s="188">
        <f t="shared" si="329"/>
        <v>1</v>
      </c>
      <c r="AB135" s="150">
        <f t="shared" si="330"/>
        <v>2.216298238958947</v>
      </c>
      <c r="AC135" s="150">
        <f t="shared" si="331"/>
        <v>0.31187311596176676</v>
      </c>
      <c r="AD135" s="150"/>
      <c r="AE135" s="150">
        <f t="shared" si="332"/>
        <v>2.216298238958947</v>
      </c>
      <c r="AF135" s="314">
        <f t="shared" si="333"/>
        <v>270.72168783648709</v>
      </c>
      <c r="AG135" s="456">
        <f t="shared" si="334"/>
        <v>0.3118731159617667</v>
      </c>
      <c r="AI135" s="150">
        <f t="shared" si="335"/>
        <v>0.87948310766931581</v>
      </c>
      <c r="AJ135" s="150">
        <f t="shared" si="336"/>
        <v>1</v>
      </c>
      <c r="AK135" s="150">
        <f t="shared" si="337"/>
        <v>1.1546981073351354</v>
      </c>
      <c r="AM135" s="314">
        <f t="shared" si="338"/>
        <v>300</v>
      </c>
      <c r="AN135" s="144">
        <f t="shared" si="339"/>
        <v>270.72168783648709</v>
      </c>
      <c r="AP135" s="144">
        <f t="shared" si="340"/>
        <v>300</v>
      </c>
      <c r="AQ135" s="144">
        <f t="shared" si="341"/>
        <v>270.72168783648709</v>
      </c>
      <c r="AS135" s="5">
        <f t="shared" si="439"/>
        <v>3.693830398264911</v>
      </c>
      <c r="AT135" s="5">
        <f t="shared" si="342"/>
        <v>1.3369067754012005</v>
      </c>
      <c r="AU135" s="5">
        <f t="shared" si="343"/>
        <v>2.3569236228637105</v>
      </c>
      <c r="AV135" s="5"/>
      <c r="AW135" s="150">
        <f t="shared" si="344"/>
        <v>0.36192965871664834</v>
      </c>
      <c r="AX135" s="150">
        <f t="shared" si="435"/>
        <v>1.6243301270189225</v>
      </c>
      <c r="AY135" s="150">
        <f t="shared" si="436"/>
        <v>0.31903517064167586</v>
      </c>
      <c r="AZ135" s="150">
        <f t="shared" si="440"/>
        <v>5.0913826326793536</v>
      </c>
      <c r="BA135" s="144">
        <f t="shared" si="433"/>
        <v>8.0214406524072022</v>
      </c>
      <c r="BB135" s="5">
        <f t="shared" si="434"/>
        <v>0.16411391460987695</v>
      </c>
      <c r="BD135" s="150">
        <f t="shared" si="441"/>
        <v>0.34733732821598101</v>
      </c>
      <c r="BE135" s="150">
        <f t="shared" si="437"/>
        <v>0.46118338409044751</v>
      </c>
      <c r="BG135" s="456">
        <f t="shared" si="347"/>
        <v>2.4128643914443225E-3</v>
      </c>
      <c r="BH135" s="456">
        <f t="shared" si="348"/>
        <v>7.3046011578555309E-2</v>
      </c>
      <c r="BI135" s="456">
        <f t="shared" si="349"/>
        <v>6.0749565972222239E-2</v>
      </c>
      <c r="BJ135" s="456">
        <f t="shared" si="350"/>
        <v>5.6061849661709941E-3</v>
      </c>
      <c r="BK135">
        <f t="shared" si="351"/>
        <v>4.0391746824526946E-3</v>
      </c>
      <c r="BL135" s="144">
        <f t="shared" si="427"/>
        <v>64.788740654674939</v>
      </c>
      <c r="BM135" s="456">
        <f t="shared" si="352"/>
        <v>8.1763409004563581E-2</v>
      </c>
      <c r="BN135" s="144">
        <f t="shared" si="353"/>
        <v>81.763409004563584</v>
      </c>
      <c r="BO135" s="456">
        <f t="shared" si="354"/>
        <v>0.21</v>
      </c>
      <c r="BR135" s="144">
        <f t="shared" si="355"/>
        <v>210</v>
      </c>
      <c r="BS135" s="456">
        <f t="shared" si="356"/>
        <v>3.6192965871664835E-3</v>
      </c>
      <c r="BT135" s="456">
        <f t="shared" si="357"/>
        <v>6.3807034128335171E-3</v>
      </c>
      <c r="BU135" s="456">
        <f t="shared" si="358"/>
        <v>6.0294490114826987E-2</v>
      </c>
      <c r="BV135" s="456"/>
      <c r="BW135" s="456">
        <f t="shared" si="359"/>
        <v>2.7072168783648712E-4</v>
      </c>
      <c r="BX135" s="144">
        <f t="shared" si="360"/>
        <v>70.56521180266347</v>
      </c>
      <c r="BY135" s="150">
        <f t="shared" si="361"/>
        <v>0.42641901339350907</v>
      </c>
      <c r="BZ135" s="5">
        <f t="shared" si="362"/>
        <v>1.5</v>
      </c>
      <c r="CA135" s="150">
        <f t="shared" si="363"/>
        <v>0.77864679987644791</v>
      </c>
      <c r="CB135" s="5">
        <f t="shared" si="364"/>
        <v>77.864679987644791</v>
      </c>
      <c r="CE135" s="59">
        <f t="shared" si="365"/>
        <v>-50</v>
      </c>
      <c r="CF135">
        <f t="shared" si="366"/>
        <v>-50</v>
      </c>
      <c r="CG135" s="150">
        <f t="shared" si="367"/>
        <v>0.62353829072479583</v>
      </c>
      <c r="CI135" s="147">
        <v>25</v>
      </c>
      <c r="CJ135" s="188">
        <f t="shared" si="428"/>
        <v>0.3</v>
      </c>
      <c r="CK135" s="188"/>
      <c r="CL135" s="188">
        <f t="shared" si="368"/>
        <v>1.5</v>
      </c>
      <c r="CM135" s="465">
        <f t="shared" si="369"/>
        <v>9</v>
      </c>
      <c r="CN135" s="379">
        <f t="shared" si="370"/>
        <v>5.4</v>
      </c>
      <c r="CO135" s="379">
        <f t="shared" si="371"/>
        <v>14.4</v>
      </c>
      <c r="CP135" s="379"/>
      <c r="CQ135" s="188">
        <f t="shared" si="372"/>
        <v>0.375</v>
      </c>
      <c r="CR135" s="149">
        <f t="shared" si="429"/>
        <v>8.4754687499999992</v>
      </c>
      <c r="CS135" s="149">
        <f t="shared" si="373"/>
        <v>1.5</v>
      </c>
      <c r="CT135" s="188">
        <f t="shared" si="374"/>
        <v>1.6950937499999998</v>
      </c>
      <c r="CU135" s="188">
        <f t="shared" si="375"/>
        <v>5</v>
      </c>
      <c r="CV135" s="188"/>
      <c r="CW135" s="149">
        <f t="shared" si="376"/>
        <v>66.054172670508592</v>
      </c>
      <c r="CX135" s="149">
        <f t="shared" si="377"/>
        <v>5</v>
      </c>
      <c r="CY135" s="188">
        <f t="shared" si="378"/>
        <v>0.88888888888888884</v>
      </c>
      <c r="CZ135" s="188">
        <f t="shared" si="379"/>
        <v>1.1851851851851851</v>
      </c>
      <c r="DA135" s="188">
        <f t="shared" si="380"/>
        <v>1.9753086419753083</v>
      </c>
      <c r="DB135" s="172">
        <f t="shared" si="381"/>
        <v>281.25</v>
      </c>
      <c r="DC135" s="379">
        <f t="shared" si="382"/>
        <v>316.40625</v>
      </c>
      <c r="DE135" s="188">
        <f t="shared" si="383"/>
        <v>1</v>
      </c>
      <c r="DF135" s="150">
        <f t="shared" si="384"/>
        <v>2.2222222222222219</v>
      </c>
      <c r="DG135" s="150">
        <f t="shared" si="385"/>
        <v>0.31249999999999994</v>
      </c>
      <c r="DH135" s="150"/>
      <c r="DI135" s="150">
        <f t="shared" si="386"/>
        <v>2.2222222222222219</v>
      </c>
      <c r="DJ135" s="314">
        <f t="shared" si="387"/>
        <v>270</v>
      </c>
      <c r="DK135" s="456">
        <f t="shared" si="388"/>
        <v>0.31249999999999994</v>
      </c>
      <c r="DM135" s="150">
        <f t="shared" si="389"/>
        <v>0.87831006565367986</v>
      </c>
      <c r="DN135" s="150">
        <f t="shared" si="390"/>
        <v>1</v>
      </c>
      <c r="DO135" s="150">
        <f t="shared" si="391"/>
        <v>1.1542857142857144</v>
      </c>
      <c r="DQ135" s="314">
        <f t="shared" si="392"/>
        <v>300</v>
      </c>
      <c r="DR135" s="144">
        <f t="shared" si="393"/>
        <v>270</v>
      </c>
      <c r="DT135">
        <f t="shared" si="430"/>
        <v>300</v>
      </c>
      <c r="DU135">
        <f t="shared" si="431"/>
        <v>270</v>
      </c>
      <c r="DW135" s="5">
        <f t="shared" si="394"/>
        <v>3.7037037037037037</v>
      </c>
      <c r="DX135" s="5">
        <f t="shared" si="395"/>
        <v>1.3333333333333335</v>
      </c>
      <c r="DY135" s="5">
        <f t="shared" si="396"/>
        <v>2.3703703703703702</v>
      </c>
      <c r="DZ135" s="5"/>
      <c r="EA135" s="150">
        <f t="shared" si="397"/>
        <v>0.36000000000000004</v>
      </c>
      <c r="EB135" s="150">
        <f t="shared" si="398"/>
        <v>1.62</v>
      </c>
      <c r="EC135" s="150">
        <f t="shared" si="399"/>
        <v>0.31999999999999995</v>
      </c>
      <c r="ED135" s="150">
        <f t="shared" si="400"/>
        <v>5.0625000000000009</v>
      </c>
      <c r="EE135" s="144">
        <f t="shared" si="401"/>
        <v>8</v>
      </c>
      <c r="EF135" s="5">
        <f t="shared" si="402"/>
        <v>0.16460905349794236</v>
      </c>
      <c r="EH135" s="150">
        <f t="shared" si="403"/>
        <v>0.34641016151377546</v>
      </c>
      <c r="EI135" s="150">
        <f t="shared" si="404"/>
        <v>0.46188021535170054</v>
      </c>
      <c r="EK135" s="456">
        <f t="shared" si="405"/>
        <v>2.3999999999999998E-3</v>
      </c>
      <c r="EL135" s="456">
        <f t="shared" si="406"/>
        <v>7.7759999999999996E-2</v>
      </c>
      <c r="EM135" s="456">
        <f t="shared" si="407"/>
        <v>3.3750000000000002E-2</v>
      </c>
      <c r="EN135" s="456">
        <f t="shared" si="408"/>
        <v>5.5987199999999997E-3</v>
      </c>
      <c r="EO135">
        <f t="shared" si="409"/>
        <v>4.0499999999999998E-3</v>
      </c>
      <c r="EP135" s="144">
        <f t="shared" si="410"/>
        <v>37.799999999999997</v>
      </c>
      <c r="EQ135" s="144"/>
      <c r="ER135" s="144">
        <f t="shared" si="432"/>
        <v>123.55871999999999</v>
      </c>
      <c r="ES135" s="456">
        <f t="shared" si="411"/>
        <v>0.21</v>
      </c>
      <c r="EV135" s="144">
        <f t="shared" si="412"/>
        <v>210</v>
      </c>
      <c r="EW135" s="456">
        <f t="shared" si="413"/>
        <v>3.5999999999999999E-3</v>
      </c>
      <c r="EX135" s="456">
        <f t="shared" si="414"/>
        <v>6.3999999999999977E-3</v>
      </c>
      <c r="EY135" s="456">
        <f t="shared" si="415"/>
        <v>5.9893461663189984E-2</v>
      </c>
      <c r="EZ135" s="456"/>
      <c r="FA135" s="456">
        <f t="shared" si="416"/>
        <v>2.7E-4</v>
      </c>
      <c r="FB135" s="144">
        <f t="shared" si="417"/>
        <v>70.163461663189992</v>
      </c>
      <c r="FC135" s="150">
        <f t="shared" si="418"/>
        <v>0.40372218166318996</v>
      </c>
      <c r="FD135" s="5">
        <f t="shared" si="419"/>
        <v>1.5</v>
      </c>
      <c r="FE135" s="150">
        <f t="shared" si="420"/>
        <v>0.78793009528812785</v>
      </c>
      <c r="FF135" s="5">
        <f t="shared" si="421"/>
        <v>78.793009528812789</v>
      </c>
      <c r="FI135" s="59">
        <f t="shared" si="422"/>
        <v>-50</v>
      </c>
      <c r="FJ135">
        <f t="shared" si="423"/>
        <v>-50</v>
      </c>
      <c r="FL135">
        <f t="shared" si="424"/>
        <v>0.6</v>
      </c>
    </row>
    <row r="136" spans="5:168">
      <c r="E136" s="147">
        <v>26</v>
      </c>
      <c r="F136" s="188">
        <f t="shared" si="425"/>
        <v>0.312</v>
      </c>
      <c r="G136" s="188"/>
      <c r="H136" s="188">
        <f t="shared" si="315"/>
        <v>1.56</v>
      </c>
      <c r="I136" s="465">
        <f t="shared" si="316"/>
        <v>8.9744914644515656</v>
      </c>
      <c r="J136" s="149">
        <f t="shared" si="317"/>
        <v>5.4153051213290606</v>
      </c>
      <c r="K136" s="149">
        <f t="shared" si="318"/>
        <v>14.389796585780626</v>
      </c>
      <c r="L136" s="379"/>
      <c r="M136" s="188">
        <f t="shared" si="319"/>
        <v>0.37631628701941655</v>
      </c>
      <c r="N136" s="149">
        <f t="shared" si="426"/>
        <v>8.4811122966647847</v>
      </c>
      <c r="O136" s="149">
        <f t="shared" si="438"/>
        <v>1.56</v>
      </c>
      <c r="P136" s="188">
        <f t="shared" si="320"/>
        <v>1.6962224593329569</v>
      </c>
      <c r="Q136" s="188">
        <f t="shared" si="321"/>
        <v>5</v>
      </c>
      <c r="R136" s="188"/>
      <c r="S136" s="149">
        <f t="shared" si="322"/>
        <v>62.99312537156316</v>
      </c>
      <c r="T136" s="149">
        <f t="shared" si="323"/>
        <v>5</v>
      </c>
      <c r="U136" s="188">
        <f t="shared" si="324"/>
        <v>1.0005071272711372</v>
      </c>
      <c r="V136" s="188">
        <f t="shared" si="325"/>
        <v>1.337801208548739</v>
      </c>
      <c r="W136" s="188">
        <f t="shared" si="326"/>
        <v>2.2170653838074097</v>
      </c>
      <c r="X136" s="172">
        <f t="shared" si="327"/>
        <v>281.44716581558288</v>
      </c>
      <c r="Y136" s="379">
        <f t="shared" si="328"/>
        <v>266.32104640833802</v>
      </c>
      <c r="AA136" s="188">
        <f t="shared" si="329"/>
        <v>1</v>
      </c>
      <c r="AB136" s="150">
        <f t="shared" si="330"/>
        <v>2.215941619380974</v>
      </c>
      <c r="AC136" s="150">
        <f t="shared" si="331"/>
        <v>0.31183524419378411</v>
      </c>
      <c r="AD136" s="150"/>
      <c r="AE136" s="150">
        <f t="shared" si="332"/>
        <v>2.215941619380974</v>
      </c>
      <c r="AF136" s="314">
        <f t="shared" si="333"/>
        <v>281.5958663091111</v>
      </c>
      <c r="AG136" s="456">
        <f t="shared" si="334"/>
        <v>0.31183524419378411</v>
      </c>
      <c r="AI136" s="150">
        <f t="shared" si="335"/>
        <v>0.89697247339371122</v>
      </c>
      <c r="AJ136" s="150">
        <f t="shared" si="336"/>
        <v>1.0005071272711372</v>
      </c>
      <c r="AK136" s="150">
        <f t="shared" si="337"/>
        <v>1.2003756498304721</v>
      </c>
      <c r="AM136" s="314">
        <f t="shared" si="338"/>
        <v>312</v>
      </c>
      <c r="AN136" s="144">
        <f t="shared" si="339"/>
        <v>266.32104640833802</v>
      </c>
      <c r="AP136" s="144">
        <f t="shared" si="340"/>
        <v>312</v>
      </c>
      <c r="AQ136" s="144">
        <f t="shared" si="341"/>
        <v>266.32104640833802</v>
      </c>
      <c r="AS136" s="5">
        <f t="shared" si="439"/>
        <v>3.7548665923561488</v>
      </c>
      <c r="AT136" s="5">
        <f t="shared" si="342"/>
        <v>1.337801208548739</v>
      </c>
      <c r="AU136" s="5">
        <f t="shared" si="343"/>
        <v>2.4170653838074099</v>
      </c>
      <c r="AV136" s="5"/>
      <c r="AW136" s="150">
        <f t="shared" si="344"/>
        <v>0.3562846177470394</v>
      </c>
      <c r="AX136" s="150">
        <f t="shared" si="435"/>
        <v>1.5995473933877606</v>
      </c>
      <c r="AY136" s="150">
        <f t="shared" si="436"/>
        <v>0.32202091393907584</v>
      </c>
      <c r="AZ136" s="150">
        <f t="shared" si="440"/>
        <v>4.9672158675084814</v>
      </c>
      <c r="BA136" s="144">
        <f t="shared" si="433"/>
        <v>8.3478795413441311</v>
      </c>
      <c r="BB136" s="5">
        <f t="shared" si="434"/>
        <v>0.17506200832637667</v>
      </c>
      <c r="BD136" s="150">
        <f t="shared" si="441"/>
        <v>0.34479272646404141</v>
      </c>
      <c r="BE136" s="150">
        <f t="shared" si="437"/>
        <v>0.46345385928296456</v>
      </c>
      <c r="BG136" s="456">
        <f t="shared" si="347"/>
        <v>2.3776404844501457E-3</v>
      </c>
      <c r="BH136" s="456">
        <f t="shared" si="348"/>
        <v>7.1892171582226549E-2</v>
      </c>
      <c r="BI136" s="456">
        <f t="shared" si="349"/>
        <v>5.9752398944885966E-2</v>
      </c>
      <c r="BJ136" s="456">
        <f t="shared" si="350"/>
        <v>5.5146099252014E-3</v>
      </c>
      <c r="BK136">
        <f t="shared" si="351"/>
        <v>4.0385211590032045E-3</v>
      </c>
      <c r="BL136" s="144">
        <f t="shared" si="427"/>
        <v>63.790920103889178</v>
      </c>
      <c r="BM136" s="456">
        <f t="shared" si="352"/>
        <v>8.0471845671546652E-2</v>
      </c>
      <c r="BN136" s="144">
        <f t="shared" si="353"/>
        <v>80.471845671546646</v>
      </c>
      <c r="BO136" s="456">
        <f t="shared" si="354"/>
        <v>0.21839999999999998</v>
      </c>
      <c r="BR136" s="144">
        <f t="shared" si="355"/>
        <v>218.39999999999998</v>
      </c>
      <c r="BS136" s="456">
        <f t="shared" si="356"/>
        <v>3.5664607266752183E-3</v>
      </c>
      <c r="BT136" s="456">
        <f t="shared" si="357"/>
        <v>6.4436843905282173E-3</v>
      </c>
      <c r="BU136" s="456">
        <f t="shared" si="358"/>
        <v>5.7947431741163513E-2</v>
      </c>
      <c r="BV136" s="456"/>
      <c r="BW136" s="456">
        <f t="shared" si="359"/>
        <v>2.6659123223129344E-4</v>
      </c>
      <c r="BX136" s="144">
        <f t="shared" si="360"/>
        <v>68.224168090598255</v>
      </c>
      <c r="BY136" s="150">
        <f t="shared" si="361"/>
        <v>0.43019951018636549</v>
      </c>
      <c r="BZ136" s="5">
        <f t="shared" si="362"/>
        <v>1.56</v>
      </c>
      <c r="CA136" s="150">
        <f t="shared" si="363"/>
        <v>0.78384101293137143</v>
      </c>
      <c r="CB136" s="5">
        <f t="shared" si="364"/>
        <v>78.384101293137149</v>
      </c>
      <c r="CE136" s="59">
        <f t="shared" si="365"/>
        <v>-50</v>
      </c>
      <c r="CF136">
        <f t="shared" si="366"/>
        <v>-50</v>
      </c>
      <c r="CG136" s="150">
        <f t="shared" si="367"/>
        <v>0.61155999999999988</v>
      </c>
      <c r="CI136" s="147">
        <v>26</v>
      </c>
      <c r="CJ136" s="188">
        <f t="shared" si="428"/>
        <v>0.312</v>
      </c>
      <c r="CK136" s="188"/>
      <c r="CL136" s="188">
        <f t="shared" si="368"/>
        <v>1.56</v>
      </c>
      <c r="CM136" s="465">
        <f t="shared" si="369"/>
        <v>9</v>
      </c>
      <c r="CN136" s="379">
        <f t="shared" si="370"/>
        <v>5.4</v>
      </c>
      <c r="CO136" s="379">
        <f t="shared" si="371"/>
        <v>14.4</v>
      </c>
      <c r="CP136" s="379"/>
      <c r="CQ136" s="188">
        <f t="shared" si="372"/>
        <v>0.375</v>
      </c>
      <c r="CR136" s="149">
        <f t="shared" si="429"/>
        <v>8.4754687499999992</v>
      </c>
      <c r="CS136" s="149">
        <f t="shared" si="373"/>
        <v>1.56</v>
      </c>
      <c r="CT136" s="188">
        <f t="shared" si="374"/>
        <v>1.6950937499999998</v>
      </c>
      <c r="CU136" s="188">
        <f t="shared" si="375"/>
        <v>5</v>
      </c>
      <c r="CV136" s="188"/>
      <c r="CW136" s="149">
        <f t="shared" si="376"/>
        <v>63.1720133079912</v>
      </c>
      <c r="CX136" s="149">
        <f t="shared" si="377"/>
        <v>5</v>
      </c>
      <c r="CY136" s="188">
        <f t="shared" si="378"/>
        <v>0.92444444444444451</v>
      </c>
      <c r="CZ136" s="188">
        <f t="shared" si="379"/>
        <v>1.2325925925925929</v>
      </c>
      <c r="DA136" s="188">
        <f t="shared" si="380"/>
        <v>2.0543209876543211</v>
      </c>
      <c r="DB136" s="172">
        <f t="shared" si="381"/>
        <v>281.25</v>
      </c>
      <c r="DC136" s="379">
        <f t="shared" si="382"/>
        <v>304.23677884615381</v>
      </c>
      <c r="DE136" s="188">
        <f t="shared" si="383"/>
        <v>1</v>
      </c>
      <c r="DF136" s="150">
        <f t="shared" si="384"/>
        <v>2.2222222222222219</v>
      </c>
      <c r="DG136" s="150">
        <f t="shared" si="385"/>
        <v>0.31249999999999994</v>
      </c>
      <c r="DH136" s="150"/>
      <c r="DI136" s="150">
        <f t="shared" si="386"/>
        <v>2.2222222222222219</v>
      </c>
      <c r="DJ136" s="314">
        <f t="shared" si="387"/>
        <v>280.8</v>
      </c>
      <c r="DK136" s="456">
        <f t="shared" si="388"/>
        <v>0.31249999999999994</v>
      </c>
      <c r="DM136" s="150">
        <f t="shared" si="389"/>
        <v>0.89570403275061472</v>
      </c>
      <c r="DN136" s="150">
        <f t="shared" si="390"/>
        <v>1</v>
      </c>
      <c r="DO136" s="150">
        <f t="shared" si="391"/>
        <v>1.1604571428571429</v>
      </c>
      <c r="DQ136" s="314">
        <f t="shared" si="392"/>
        <v>312</v>
      </c>
      <c r="DR136" s="144">
        <f t="shared" si="393"/>
        <v>280.8</v>
      </c>
      <c r="DT136">
        <f t="shared" si="430"/>
        <v>312</v>
      </c>
      <c r="DU136">
        <f t="shared" si="431"/>
        <v>280.8</v>
      </c>
      <c r="DW136" s="5">
        <f t="shared" si="394"/>
        <v>3.5612535612535612</v>
      </c>
      <c r="DX136" s="5">
        <f t="shared" si="395"/>
        <v>1.3333333333333335</v>
      </c>
      <c r="DY136" s="5">
        <f t="shared" si="396"/>
        <v>2.2279202279202277</v>
      </c>
      <c r="DZ136" s="5"/>
      <c r="EA136" s="150">
        <f t="shared" si="397"/>
        <v>0.37440000000000007</v>
      </c>
      <c r="EB136" s="150">
        <f t="shared" si="398"/>
        <v>1.6848000000000001</v>
      </c>
      <c r="EC136" s="150">
        <f t="shared" si="399"/>
        <v>0.31279999999999997</v>
      </c>
      <c r="ED136" s="150">
        <f t="shared" si="400"/>
        <v>5.3861892583120214</v>
      </c>
      <c r="EE136" s="144">
        <f t="shared" si="401"/>
        <v>8.32</v>
      </c>
      <c r="EF136" s="5">
        <f t="shared" si="402"/>
        <v>0.16090534979423865</v>
      </c>
      <c r="EH136" s="150">
        <f t="shared" si="403"/>
        <v>0.35327043465311392</v>
      </c>
      <c r="EI136" s="150">
        <f t="shared" si="404"/>
        <v>0.4566545010544989</v>
      </c>
      <c r="EK136" s="456">
        <f t="shared" si="405"/>
        <v>2.4960000000000008E-3</v>
      </c>
      <c r="EL136" s="456">
        <f t="shared" si="406"/>
        <v>8.0870400000000009E-2</v>
      </c>
      <c r="EM136" s="456">
        <f t="shared" si="407"/>
        <v>3.5099999999999999E-2</v>
      </c>
      <c r="EN136" s="456">
        <f t="shared" si="408"/>
        <v>5.8226688000000007E-3</v>
      </c>
      <c r="EO136">
        <f t="shared" si="409"/>
        <v>4.0499999999999998E-3</v>
      </c>
      <c r="EP136" s="144">
        <f t="shared" si="410"/>
        <v>39.15</v>
      </c>
      <c r="EQ136" s="144"/>
      <c r="ER136" s="144">
        <f t="shared" si="432"/>
        <v>128.33906880000001</v>
      </c>
      <c r="ES136" s="456">
        <f t="shared" si="411"/>
        <v>0.21839999999999998</v>
      </c>
      <c r="EV136" s="144">
        <f t="shared" si="412"/>
        <v>218.39999999999998</v>
      </c>
      <c r="EW136" s="456">
        <f t="shared" si="413"/>
        <v>3.7440000000000008E-3</v>
      </c>
      <c r="EX136" s="456">
        <f t="shared" si="414"/>
        <v>6.2559999999999994E-3</v>
      </c>
      <c r="EY136" s="456">
        <f t="shared" si="415"/>
        <v>6.6063680165083266E-2</v>
      </c>
      <c r="EZ136" s="456"/>
      <c r="FA136" s="456">
        <f t="shared" si="416"/>
        <v>2.8080000000000005E-4</v>
      </c>
      <c r="FB136" s="144">
        <f t="shared" si="417"/>
        <v>76.344480165083255</v>
      </c>
      <c r="FC136" s="150">
        <f t="shared" si="418"/>
        <v>0.42308354896508332</v>
      </c>
      <c r="FD136" s="5">
        <f t="shared" si="419"/>
        <v>1.56</v>
      </c>
      <c r="FE136" s="150">
        <f t="shared" si="420"/>
        <v>0.78665369435096222</v>
      </c>
      <c r="FF136" s="5">
        <f t="shared" si="421"/>
        <v>78.665369435096224</v>
      </c>
      <c r="FI136" s="59">
        <f t="shared" si="422"/>
        <v>-50</v>
      </c>
      <c r="FJ136">
        <f t="shared" si="423"/>
        <v>-50</v>
      </c>
      <c r="FL136">
        <f t="shared" si="424"/>
        <v>0.624</v>
      </c>
    </row>
    <row r="137" spans="5:168">
      <c r="E137" s="147">
        <v>27</v>
      </c>
      <c r="F137" s="188">
        <f t="shared" si="425"/>
        <v>0.32400000000000001</v>
      </c>
      <c r="G137" s="188"/>
      <c r="H137" s="188">
        <f t="shared" si="315"/>
        <v>1.62</v>
      </c>
      <c r="I137" s="465">
        <f t="shared" si="316"/>
        <v>8.9727605911330048</v>
      </c>
      <c r="J137" s="149">
        <f t="shared" si="317"/>
        <v>5.4163436453201976</v>
      </c>
      <c r="K137" s="149">
        <f t="shared" si="318"/>
        <v>14.389104236453203</v>
      </c>
      <c r="L137" s="379"/>
      <c r="M137" s="188">
        <f t="shared" si="319"/>
        <v>0.37640276697397335</v>
      </c>
      <c r="N137" s="149">
        <f t="shared" si="426"/>
        <v>8.4814252187750654</v>
      </c>
      <c r="O137" s="149">
        <f t="shared" si="438"/>
        <v>1.62</v>
      </c>
      <c r="P137" s="188">
        <f t="shared" si="320"/>
        <v>1.696285043755013</v>
      </c>
      <c r="Q137" s="188">
        <f t="shared" si="321"/>
        <v>5</v>
      </c>
      <c r="R137" s="188"/>
      <c r="S137" s="149">
        <f t="shared" si="322"/>
        <v>60.320611728647506</v>
      </c>
      <c r="T137" s="149">
        <f t="shared" si="323"/>
        <v>5</v>
      </c>
      <c r="U137" s="188">
        <f t="shared" si="324"/>
        <v>1.0391322566579686</v>
      </c>
      <c r="V137" s="188">
        <f t="shared" si="325"/>
        <v>1.3897157907253455</v>
      </c>
      <c r="W137" s="188">
        <f t="shared" si="326"/>
        <v>2.302214906668548</v>
      </c>
      <c r="X137" s="172">
        <f t="shared" si="327"/>
        <v>281.46039073579698</v>
      </c>
      <c r="Y137" s="379">
        <f t="shared" si="328"/>
        <v>256.94188251338028</v>
      </c>
      <c r="AA137" s="188">
        <f t="shared" si="329"/>
        <v>0.99999999999999978</v>
      </c>
      <c r="AB137" s="150">
        <f t="shared" si="330"/>
        <v>2.2155167370829907</v>
      </c>
      <c r="AC137" s="150">
        <f t="shared" si="331"/>
        <v>0.31179010325053819</v>
      </c>
      <c r="AD137" s="150"/>
      <c r="AE137" s="150">
        <f t="shared" si="332"/>
        <v>2.2155167370829916</v>
      </c>
      <c r="AF137" s="314">
        <f t="shared" si="333"/>
        <v>292.48255684729065</v>
      </c>
      <c r="AG137" s="456">
        <f t="shared" si="334"/>
        <v>0.31179010325053841</v>
      </c>
      <c r="AI137" s="150">
        <f t="shared" si="335"/>
        <v>0.91414684166993443</v>
      </c>
      <c r="AJ137" s="150">
        <f t="shared" si="336"/>
        <v>1.0391322566579686</v>
      </c>
      <c r="AK137" s="150">
        <f t="shared" si="337"/>
        <v>1.2289868567836804</v>
      </c>
      <c r="AM137" s="314">
        <f t="shared" si="338"/>
        <v>324</v>
      </c>
      <c r="AN137" s="144">
        <f t="shared" si="339"/>
        <v>256.94188251338028</v>
      </c>
      <c r="AP137" s="144">
        <f t="shared" si="340"/>
        <v>324</v>
      </c>
      <c r="AQ137" s="144">
        <f t="shared" si="341"/>
        <v>256.94188251338028</v>
      </c>
      <c r="AS137" s="5">
        <f t="shared" si="439"/>
        <v>3.8919306973938936</v>
      </c>
      <c r="AT137" s="5">
        <f t="shared" si="342"/>
        <v>1.3897157907253455</v>
      </c>
      <c r="AU137" s="5">
        <f t="shared" si="343"/>
        <v>2.5022149066685482</v>
      </c>
      <c r="AV137" s="5"/>
      <c r="AW137" s="150">
        <f t="shared" si="344"/>
        <v>0.3570761914275411</v>
      </c>
      <c r="AX137" s="150">
        <f t="shared" si="435"/>
        <v>1.6646686656832808</v>
      </c>
      <c r="AY137" s="150">
        <f t="shared" si="436"/>
        <v>0.3340414340305175</v>
      </c>
      <c r="AZ137" s="150">
        <f t="shared" si="440"/>
        <v>4.9834197081407545</v>
      </c>
      <c r="BA137" s="144">
        <f t="shared" si="433"/>
        <v>9.0053583239002375</v>
      </c>
      <c r="BB137" s="5">
        <f t="shared" si="434"/>
        <v>0.18823583275701752</v>
      </c>
      <c r="BD137" s="150">
        <f t="shared" si="441"/>
        <v>0.35850122663866907</v>
      </c>
      <c r="BE137" s="150">
        <f t="shared" si="437"/>
        <v>0.4810497057902961</v>
      </c>
      <c r="BG137" s="456">
        <f t="shared" si="347"/>
        <v>2.5704625900286071E-3</v>
      </c>
      <c r="BH137" s="456">
        <f t="shared" si="348"/>
        <v>7.2034535294355634E-2</v>
      </c>
      <c r="BI137" s="456">
        <f t="shared" si="349"/>
        <v>5.7636949940689623E-2</v>
      </c>
      <c r="BJ137" s="456">
        <f t="shared" si="350"/>
        <v>5.319887141519695E-3</v>
      </c>
      <c r="BK137">
        <f t="shared" si="351"/>
        <v>4.0377422660098517E-3</v>
      </c>
      <c r="BL137" s="144">
        <f t="shared" si="427"/>
        <v>61.674692206699476</v>
      </c>
      <c r="BM137" s="456">
        <f t="shared" si="352"/>
        <v>8.0668177362042168E-2</v>
      </c>
      <c r="BN137" s="144">
        <f t="shared" si="353"/>
        <v>80.668177362042172</v>
      </c>
      <c r="BO137" s="456">
        <f t="shared" si="354"/>
        <v>0.2268</v>
      </c>
      <c r="BR137" s="144">
        <f t="shared" si="355"/>
        <v>226.8</v>
      </c>
      <c r="BS137" s="456">
        <f t="shared" si="356"/>
        <v>3.8556938850429104E-3</v>
      </c>
      <c r="BT137" s="456">
        <f t="shared" si="357"/>
        <v>6.9422645832279131E-3</v>
      </c>
      <c r="BU137" s="456">
        <f t="shared" si="358"/>
        <v>5.8241737754360388E-2</v>
      </c>
      <c r="BV137" s="456"/>
      <c r="BW137" s="456">
        <f t="shared" si="359"/>
        <v>2.774447776138802E-4</v>
      </c>
      <c r="BX137" s="144">
        <f t="shared" si="360"/>
        <v>69.317141000245101</v>
      </c>
      <c r="BY137" s="150">
        <f t="shared" si="361"/>
        <v>0.43771671823284847</v>
      </c>
      <c r="BZ137" s="5">
        <f t="shared" si="362"/>
        <v>1.62</v>
      </c>
      <c r="CA137" s="150">
        <f t="shared" si="363"/>
        <v>0.78728038006671974</v>
      </c>
      <c r="CB137" s="5">
        <f t="shared" si="364"/>
        <v>78.72803800667198</v>
      </c>
      <c r="CE137" s="59">
        <f t="shared" si="365"/>
        <v>-50</v>
      </c>
      <c r="CF137">
        <f t="shared" si="366"/>
        <v>-50</v>
      </c>
      <c r="CG137" s="150">
        <f t="shared" si="367"/>
        <v>0.5947265625</v>
      </c>
      <c r="CI137" s="147">
        <v>27</v>
      </c>
      <c r="CJ137" s="188">
        <f t="shared" si="428"/>
        <v>0.32400000000000001</v>
      </c>
      <c r="CK137" s="188"/>
      <c r="CL137" s="188">
        <f t="shared" si="368"/>
        <v>1.62</v>
      </c>
      <c r="CM137" s="465">
        <f t="shared" si="369"/>
        <v>9</v>
      </c>
      <c r="CN137" s="379">
        <f t="shared" si="370"/>
        <v>5.4</v>
      </c>
      <c r="CO137" s="379">
        <f t="shared" si="371"/>
        <v>14.4</v>
      </c>
      <c r="CP137" s="379"/>
      <c r="CQ137" s="188">
        <f t="shared" si="372"/>
        <v>0.375</v>
      </c>
      <c r="CR137" s="149">
        <f t="shared" si="429"/>
        <v>8.4754687499999992</v>
      </c>
      <c r="CS137" s="149">
        <f t="shared" si="373"/>
        <v>1.62</v>
      </c>
      <c r="CT137" s="188">
        <f t="shared" si="374"/>
        <v>1.6950937499999998</v>
      </c>
      <c r="CU137" s="188">
        <f t="shared" si="375"/>
        <v>5</v>
      </c>
      <c r="CV137" s="188"/>
      <c r="CW137" s="149">
        <f t="shared" si="376"/>
        <v>60.503554295120068</v>
      </c>
      <c r="CX137" s="149">
        <f t="shared" si="377"/>
        <v>5</v>
      </c>
      <c r="CY137" s="188">
        <f t="shared" si="378"/>
        <v>0.96000000000000008</v>
      </c>
      <c r="CZ137" s="188">
        <f t="shared" si="379"/>
        <v>1.2800000000000002</v>
      </c>
      <c r="DA137" s="188">
        <f t="shared" si="380"/>
        <v>2.1333333333333333</v>
      </c>
      <c r="DB137" s="172">
        <f t="shared" si="381"/>
        <v>281.25</v>
      </c>
      <c r="DC137" s="379">
        <f t="shared" si="382"/>
        <v>292.96875</v>
      </c>
      <c r="DE137" s="188">
        <f t="shared" si="383"/>
        <v>1</v>
      </c>
      <c r="DF137" s="150">
        <f t="shared" si="384"/>
        <v>2.2222222222222219</v>
      </c>
      <c r="DG137" s="150">
        <f t="shared" si="385"/>
        <v>0.31249999999999994</v>
      </c>
      <c r="DH137" s="150"/>
      <c r="DI137" s="150">
        <f t="shared" si="386"/>
        <v>2.2222222222222219</v>
      </c>
      <c r="DJ137" s="314">
        <f t="shared" si="387"/>
        <v>291.60000000000002</v>
      </c>
      <c r="DK137" s="456">
        <f t="shared" si="388"/>
        <v>0.31249999999999994</v>
      </c>
      <c r="DM137" s="150">
        <f t="shared" si="389"/>
        <v>0.91276659510679803</v>
      </c>
      <c r="DN137" s="150">
        <f t="shared" si="390"/>
        <v>1</v>
      </c>
      <c r="DO137" s="150">
        <f t="shared" si="391"/>
        <v>1.2</v>
      </c>
      <c r="DQ137" s="314">
        <f t="shared" si="392"/>
        <v>324</v>
      </c>
      <c r="DR137" s="144">
        <f t="shared" si="393"/>
        <v>292.96875</v>
      </c>
      <c r="DT137">
        <f t="shared" si="430"/>
        <v>324</v>
      </c>
      <c r="DU137">
        <f t="shared" si="431"/>
        <v>292.96875</v>
      </c>
      <c r="DW137" s="5">
        <f t="shared" si="394"/>
        <v>3.4133333333333331</v>
      </c>
      <c r="DX137" s="5">
        <f t="shared" si="395"/>
        <v>1.3333333333333335</v>
      </c>
      <c r="DY137" s="5">
        <f t="shared" si="396"/>
        <v>2.0799999999999996</v>
      </c>
      <c r="DZ137" s="5"/>
      <c r="EA137" s="150">
        <f t="shared" si="397"/>
        <v>0.39062500000000006</v>
      </c>
      <c r="EB137" s="150">
        <f t="shared" si="398"/>
        <v>1.7578125</v>
      </c>
      <c r="EC137" s="150">
        <f t="shared" si="399"/>
        <v>0.3046875</v>
      </c>
      <c r="ED137" s="150">
        <f t="shared" si="400"/>
        <v>5.7692307692307692</v>
      </c>
      <c r="EE137" s="144">
        <f t="shared" si="401"/>
        <v>8.6400000000000023</v>
      </c>
      <c r="EF137" s="5">
        <f t="shared" si="402"/>
        <v>0.15599999999999997</v>
      </c>
      <c r="EH137" s="150">
        <f t="shared" si="403"/>
        <v>0.36084391824351614</v>
      </c>
      <c r="EI137" s="150">
        <f t="shared" si="404"/>
        <v>0.45069390943299864</v>
      </c>
      <c r="EK137" s="456">
        <f t="shared" si="405"/>
        <v>2.6041666666666674E-3</v>
      </c>
      <c r="EL137" s="456">
        <f t="shared" si="406"/>
        <v>8.4375000000000006E-2</v>
      </c>
      <c r="EM137" s="456">
        <f t="shared" si="407"/>
        <v>3.662109375E-2</v>
      </c>
      <c r="EN137" s="456">
        <f t="shared" si="408"/>
        <v>6.0750000000000005E-3</v>
      </c>
      <c r="EO137">
        <f t="shared" si="409"/>
        <v>4.0499999999999998E-3</v>
      </c>
      <c r="EP137" s="144">
        <f t="shared" si="410"/>
        <v>40.671093749999997</v>
      </c>
      <c r="EQ137" s="144"/>
      <c r="ER137" s="144">
        <f t="shared" si="432"/>
        <v>133.72526041666669</v>
      </c>
      <c r="ES137" s="456">
        <f t="shared" si="411"/>
        <v>0.2268</v>
      </c>
      <c r="EV137" s="144">
        <f t="shared" si="412"/>
        <v>226.8</v>
      </c>
      <c r="EW137" s="456">
        <f t="shared" si="413"/>
        <v>3.9062500000000009E-3</v>
      </c>
      <c r="EX137" s="456">
        <f t="shared" si="414"/>
        <v>6.0937499999999993E-3</v>
      </c>
      <c r="EY137" s="456">
        <f t="shared" si="415"/>
        <v>7.3455319070018649E-2</v>
      </c>
      <c r="EZ137" s="456"/>
      <c r="FA137" s="456">
        <f t="shared" si="416"/>
        <v>2.9296875000000004E-4</v>
      </c>
      <c r="FB137" s="144">
        <f t="shared" si="417"/>
        <v>83.748287820018646</v>
      </c>
      <c r="FC137" s="150">
        <f t="shared" si="418"/>
        <v>0.44427354823668536</v>
      </c>
      <c r="FD137" s="5">
        <f t="shared" si="419"/>
        <v>1.62</v>
      </c>
      <c r="FE137" s="150">
        <f t="shared" si="420"/>
        <v>0.78477971167329719</v>
      </c>
      <c r="FF137" s="5">
        <f t="shared" si="421"/>
        <v>78.477971167329713</v>
      </c>
      <c r="FI137" s="59">
        <f t="shared" si="422"/>
        <v>-50</v>
      </c>
      <c r="FJ137">
        <f t="shared" si="423"/>
        <v>-50</v>
      </c>
      <c r="FL137">
        <f t="shared" si="424"/>
        <v>0.609375</v>
      </c>
    </row>
    <row r="138" spans="5:168">
      <c r="E138" s="147">
        <v>28</v>
      </c>
      <c r="F138" s="188">
        <f t="shared" si="425"/>
        <v>0.33600000000000002</v>
      </c>
      <c r="G138" s="188"/>
      <c r="H138" s="188">
        <f t="shared" si="315"/>
        <v>1.6800000000000002</v>
      </c>
      <c r="I138" s="465">
        <f t="shared" si="316"/>
        <v>8.9724228774260038</v>
      </c>
      <c r="J138" s="149">
        <f t="shared" si="317"/>
        <v>5.4165462735443981</v>
      </c>
      <c r="K138" s="149">
        <f t="shared" si="318"/>
        <v>14.388969150970402</v>
      </c>
      <c r="L138" s="379"/>
      <c r="M138" s="188">
        <f t="shared" si="319"/>
        <v>0.37642115992750863</v>
      </c>
      <c r="N138" s="149">
        <f t="shared" si="426"/>
        <v>8.481520427754436</v>
      </c>
      <c r="O138" s="149">
        <f t="shared" si="438"/>
        <v>1.6800000000000002</v>
      </c>
      <c r="P138" s="188">
        <f t="shared" si="320"/>
        <v>1.6963040855508873</v>
      </c>
      <c r="Q138" s="188">
        <f t="shared" si="321"/>
        <v>5</v>
      </c>
      <c r="R138" s="188"/>
      <c r="S138" s="149">
        <f t="shared" si="322"/>
        <v>57.848290925060098</v>
      </c>
      <c r="T138" s="149">
        <f t="shared" si="323"/>
        <v>5</v>
      </c>
      <c r="U138" s="188">
        <f t="shared" si="324"/>
        <v>1.0776504217524117</v>
      </c>
      <c r="V138" s="188">
        <f t="shared" si="325"/>
        <v>1.4412835014235084</v>
      </c>
      <c r="W138" s="188">
        <f t="shared" si="326"/>
        <v>2.3874632298796588</v>
      </c>
      <c r="X138" s="172">
        <f t="shared" si="327"/>
        <v>281.46296879386909</v>
      </c>
      <c r="Y138" s="379">
        <f t="shared" si="328"/>
        <v>248.21614926300737</v>
      </c>
      <c r="AA138" s="188">
        <f t="shared" si="329"/>
        <v>1</v>
      </c>
      <c r="AB138" s="150">
        <f t="shared" si="330"/>
        <v>2.2154338565536933</v>
      </c>
      <c r="AC138" s="150">
        <f t="shared" si="331"/>
        <v>0.3117812952160266</v>
      </c>
      <c r="AD138" s="150"/>
      <c r="AE138" s="150">
        <f t="shared" si="332"/>
        <v>2.2154338565536933</v>
      </c>
      <c r="AF138" s="314">
        <f t="shared" si="333"/>
        <v>303.32659131848624</v>
      </c>
      <c r="AG138" s="456">
        <f t="shared" si="334"/>
        <v>0.3117812952160266</v>
      </c>
      <c r="AI138" s="150">
        <f t="shared" si="335"/>
        <v>0.9309389903571037</v>
      </c>
      <c r="AJ138" s="150">
        <f t="shared" si="336"/>
        <v>1.0776504217524117</v>
      </c>
      <c r="AK138" s="150">
        <f t="shared" si="337"/>
        <v>1.2575188309277123</v>
      </c>
      <c r="AM138" s="314">
        <f t="shared" si="338"/>
        <v>336</v>
      </c>
      <c r="AN138" s="144">
        <f t="shared" si="339"/>
        <v>248.21614926300737</v>
      </c>
      <c r="AP138" s="144">
        <f t="shared" si="340"/>
        <v>336</v>
      </c>
      <c r="AQ138" s="144">
        <f t="shared" si="341"/>
        <v>248.21614926300737</v>
      </c>
      <c r="AS138" s="5">
        <f t="shared" si="439"/>
        <v>4.0287467313031673</v>
      </c>
      <c r="AT138" s="5">
        <f t="shared" si="342"/>
        <v>1.4412835014235084</v>
      </c>
      <c r="AU138" s="5">
        <f t="shared" si="343"/>
        <v>2.5874632298796589</v>
      </c>
      <c r="AV138" s="5"/>
      <c r="AW138" s="150">
        <f t="shared" si="344"/>
        <v>0.35774984071964744</v>
      </c>
      <c r="AX138" s="150">
        <f t="shared" si="435"/>
        <v>1.7295658063779529</v>
      </c>
      <c r="AY138" s="150">
        <f t="shared" si="436"/>
        <v>0.34606057750951275</v>
      </c>
      <c r="AZ138" s="150">
        <f t="shared" si="440"/>
        <v>4.9978700805075364</v>
      </c>
      <c r="BA138" s="144">
        <f t="shared" si="433"/>
        <v>9.6854251295659761</v>
      </c>
      <c r="BB138" s="5">
        <f t="shared" si="434"/>
        <v>0.20186568172936614</v>
      </c>
      <c r="BD138" s="150">
        <f t="shared" si="441"/>
        <v>0.37214055449213074</v>
      </c>
      <c r="BE138" s="150">
        <f t="shared" si="437"/>
        <v>0.49861964615994925</v>
      </c>
      <c r="BG138" s="456">
        <f t="shared" si="347"/>
        <v>2.7697718459542102E-3</v>
      </c>
      <c r="BH138" s="456">
        <f t="shared" si="348"/>
        <v>7.2167039660448212E-2</v>
      </c>
      <c r="BI138" s="456">
        <f t="shared" si="349"/>
        <v>5.5677506404849864E-2</v>
      </c>
      <c r="BJ138" s="456">
        <f t="shared" si="350"/>
        <v>5.1391275509792703E-3</v>
      </c>
      <c r="BK138">
        <f t="shared" si="351"/>
        <v>4.0375902948417012E-3</v>
      </c>
      <c r="BL138" s="144">
        <f t="shared" si="427"/>
        <v>59.715096699691564</v>
      </c>
      <c r="BM138" s="456">
        <f t="shared" si="352"/>
        <v>8.0877002432400327E-2</v>
      </c>
      <c r="BN138" s="144">
        <f t="shared" si="353"/>
        <v>80.877002432400332</v>
      </c>
      <c r="BO138" s="456">
        <f t="shared" si="354"/>
        <v>0.23519999999999999</v>
      </c>
      <c r="BR138" s="144">
        <f t="shared" si="355"/>
        <v>235.2</v>
      </c>
      <c r="BS138" s="456">
        <f t="shared" si="356"/>
        <v>4.1546577689313153E-3</v>
      </c>
      <c r="BT138" s="456">
        <f t="shared" si="357"/>
        <v>7.4586465461001887E-3</v>
      </c>
      <c r="BU138" s="456">
        <f t="shared" si="358"/>
        <v>5.8511313425252072E-2</v>
      </c>
      <c r="BV138" s="456"/>
      <c r="BW138" s="456">
        <f t="shared" si="359"/>
        <v>2.8826096772965881E-4</v>
      </c>
      <c r="BX138" s="144">
        <f t="shared" si="360"/>
        <v>70.412878708013224</v>
      </c>
      <c r="BY138" s="150">
        <f t="shared" si="361"/>
        <v>0.44540391446508648</v>
      </c>
      <c r="BZ138" s="5">
        <f t="shared" si="362"/>
        <v>1.6800000000000002</v>
      </c>
      <c r="CA138" s="150">
        <f t="shared" si="363"/>
        <v>0.79043799089963374</v>
      </c>
      <c r="CB138" s="5">
        <f t="shared" si="364"/>
        <v>79.043799089963372</v>
      </c>
      <c r="CE138" s="59">
        <f t="shared" si="365"/>
        <v>-50</v>
      </c>
      <c r="CF138">
        <f t="shared" si="366"/>
        <v>-50</v>
      </c>
      <c r="CG138" s="150">
        <f t="shared" si="367"/>
        <v>0.6092006138392857</v>
      </c>
      <c r="CI138" s="147">
        <v>28</v>
      </c>
      <c r="CJ138" s="188">
        <f t="shared" si="428"/>
        <v>0.33600000000000002</v>
      </c>
      <c r="CK138" s="188"/>
      <c r="CL138" s="188">
        <f t="shared" si="368"/>
        <v>1.6800000000000002</v>
      </c>
      <c r="CM138" s="465">
        <f t="shared" si="369"/>
        <v>9</v>
      </c>
      <c r="CN138" s="379">
        <f t="shared" si="370"/>
        <v>5.4</v>
      </c>
      <c r="CO138" s="379">
        <f t="shared" si="371"/>
        <v>14.4</v>
      </c>
      <c r="CP138" s="379"/>
      <c r="CQ138" s="188">
        <f t="shared" si="372"/>
        <v>0.375</v>
      </c>
      <c r="CR138" s="149">
        <f t="shared" si="429"/>
        <v>8.4754687499999992</v>
      </c>
      <c r="CS138" s="149">
        <f t="shared" si="373"/>
        <v>1.6800000000000002</v>
      </c>
      <c r="CT138" s="188">
        <f t="shared" si="374"/>
        <v>1.6950937499999998</v>
      </c>
      <c r="CU138" s="188">
        <f t="shared" si="375"/>
        <v>5</v>
      </c>
      <c r="CV138" s="188"/>
      <c r="CW138" s="149">
        <f t="shared" si="376"/>
        <v>58.025902221060043</v>
      </c>
      <c r="CX138" s="149">
        <f t="shared" si="377"/>
        <v>5</v>
      </c>
      <c r="CY138" s="188">
        <f t="shared" si="378"/>
        <v>0.99555555555555564</v>
      </c>
      <c r="CZ138" s="188">
        <f t="shared" si="379"/>
        <v>1.3274074074074076</v>
      </c>
      <c r="DA138" s="188">
        <f t="shared" si="380"/>
        <v>2.2123456790123459</v>
      </c>
      <c r="DB138" s="172">
        <f t="shared" si="381"/>
        <v>281.25</v>
      </c>
      <c r="DC138" s="379">
        <f t="shared" si="382"/>
        <v>282.50558035714283</v>
      </c>
      <c r="DE138" s="188">
        <f t="shared" si="383"/>
        <v>1</v>
      </c>
      <c r="DF138" s="150">
        <f t="shared" si="384"/>
        <v>2.2222222222222219</v>
      </c>
      <c r="DG138" s="150">
        <f t="shared" si="385"/>
        <v>0.31249999999999994</v>
      </c>
      <c r="DH138" s="150"/>
      <c r="DI138" s="150">
        <f t="shared" si="386"/>
        <v>2.2222222222222219</v>
      </c>
      <c r="DJ138" s="314">
        <f t="shared" si="387"/>
        <v>302.40000000000003</v>
      </c>
      <c r="DK138" s="456">
        <f t="shared" si="388"/>
        <v>0.31249999999999994</v>
      </c>
      <c r="DM138" s="150">
        <f t="shared" si="389"/>
        <v>0.92951600308978022</v>
      </c>
      <c r="DN138" s="150">
        <f t="shared" si="390"/>
        <v>1</v>
      </c>
      <c r="DO138" s="150">
        <f t="shared" si="391"/>
        <v>1.2</v>
      </c>
      <c r="DQ138" s="314">
        <f t="shared" si="392"/>
        <v>336</v>
      </c>
      <c r="DR138" s="144">
        <f t="shared" si="393"/>
        <v>282.50558035714283</v>
      </c>
      <c r="DT138">
        <f t="shared" si="430"/>
        <v>336</v>
      </c>
      <c r="DU138">
        <f t="shared" si="431"/>
        <v>282.50558035714283</v>
      </c>
      <c r="DW138" s="5">
        <f t="shared" si="394"/>
        <v>3.5397530864197533</v>
      </c>
      <c r="DX138" s="5">
        <f t="shared" si="395"/>
        <v>1.3333333333333335</v>
      </c>
      <c r="DY138" s="5">
        <f t="shared" si="396"/>
        <v>2.2064197530864198</v>
      </c>
      <c r="DZ138" s="5"/>
      <c r="EA138" s="150">
        <f t="shared" si="397"/>
        <v>0.37667410714285715</v>
      </c>
      <c r="EB138" s="150">
        <f t="shared" si="398"/>
        <v>1.695033482142857</v>
      </c>
      <c r="EC138" s="150">
        <f t="shared" si="399"/>
        <v>0.3116629464285714</v>
      </c>
      <c r="ED138" s="150">
        <f t="shared" si="400"/>
        <v>5.4386750223813785</v>
      </c>
      <c r="EE138" s="144">
        <f t="shared" si="401"/>
        <v>8.9600000000000009</v>
      </c>
      <c r="EF138" s="5">
        <f t="shared" si="402"/>
        <v>0.17161042524005485</v>
      </c>
      <c r="EH138" s="150">
        <f t="shared" si="403"/>
        <v>0.35434169344615052</v>
      </c>
      <c r="EI138" s="150">
        <f t="shared" si="404"/>
        <v>0.45582375719026275</v>
      </c>
      <c r="EK138" s="456">
        <f t="shared" si="405"/>
        <v>2.511160714285714E-3</v>
      </c>
      <c r="EL138" s="456">
        <f t="shared" si="406"/>
        <v>8.1361607142857131E-2</v>
      </c>
      <c r="EM138" s="456">
        <f t="shared" si="407"/>
        <v>3.5313197544642856E-2</v>
      </c>
      <c r="EN138" s="456">
        <f t="shared" si="408"/>
        <v>5.8580357142857141E-3</v>
      </c>
      <c r="EO138">
        <f t="shared" si="409"/>
        <v>4.0499999999999998E-3</v>
      </c>
      <c r="EP138" s="144">
        <f t="shared" si="410"/>
        <v>39.363197544642851</v>
      </c>
      <c r="EQ138" s="144"/>
      <c r="ER138" s="144">
        <f t="shared" si="432"/>
        <v>129.09400111607141</v>
      </c>
      <c r="ES138" s="456">
        <f t="shared" si="411"/>
        <v>0.23519999999999999</v>
      </c>
      <c r="EV138" s="144">
        <f t="shared" si="412"/>
        <v>235.2</v>
      </c>
      <c r="EW138" s="456">
        <f t="shared" si="413"/>
        <v>3.7667410714285706E-3</v>
      </c>
      <c r="EX138" s="456">
        <f t="shared" si="414"/>
        <v>6.2332589285714283E-3</v>
      </c>
      <c r="EY138" s="456">
        <f t="shared" si="415"/>
        <v>6.7071432430778621E-2</v>
      </c>
      <c r="EZ138" s="456"/>
      <c r="FA138" s="456">
        <f t="shared" si="416"/>
        <v>2.8250558035714283E-4</v>
      </c>
      <c r="FB138" s="144">
        <f t="shared" si="417"/>
        <v>77.353938011135753</v>
      </c>
      <c r="FC138" s="150">
        <f t="shared" si="418"/>
        <v>0.44164793912720712</v>
      </c>
      <c r="FD138" s="5">
        <f t="shared" si="419"/>
        <v>1.6800000000000002</v>
      </c>
      <c r="FE138" s="150">
        <f t="shared" si="420"/>
        <v>0.79183731146794789</v>
      </c>
      <c r="FF138" s="5">
        <f t="shared" si="421"/>
        <v>79.183731146794784</v>
      </c>
      <c r="FI138" s="59">
        <f t="shared" si="422"/>
        <v>-50</v>
      </c>
      <c r="FJ138">
        <f t="shared" si="423"/>
        <v>-50</v>
      </c>
      <c r="FL138">
        <f t="shared" si="424"/>
        <v>0.62332589285714279</v>
      </c>
    </row>
    <row r="139" spans="5:168">
      <c r="E139" s="147">
        <v>29</v>
      </c>
      <c r="F139" s="188">
        <f t="shared" si="425"/>
        <v>0.34799999999999998</v>
      </c>
      <c r="G139" s="188"/>
      <c r="H139" s="188">
        <f t="shared" si="315"/>
        <v>1.7399999999999998</v>
      </c>
      <c r="I139" s="465">
        <f t="shared" si="316"/>
        <v>8.9715389479482237</v>
      </c>
      <c r="J139" s="149">
        <f t="shared" si="317"/>
        <v>5.4170766312310663</v>
      </c>
      <c r="K139" s="149">
        <f t="shared" si="318"/>
        <v>14.388615579179291</v>
      </c>
      <c r="L139" s="379"/>
      <c r="M139" s="188">
        <f t="shared" si="319"/>
        <v>0.37646737128333146</v>
      </c>
      <c r="N139" s="149">
        <f t="shared" si="426"/>
        <v>8.4817259916963579</v>
      </c>
      <c r="O139" s="149">
        <f t="shared" si="438"/>
        <v>1.7399999999999998</v>
      </c>
      <c r="P139" s="188">
        <f t="shared" si="320"/>
        <v>1.6963451983392717</v>
      </c>
      <c r="Q139" s="188">
        <f t="shared" si="321"/>
        <v>5</v>
      </c>
      <c r="R139" s="188"/>
      <c r="S139" s="149">
        <f t="shared" si="322"/>
        <v>55.543319233228566</v>
      </c>
      <c r="T139" s="149">
        <f t="shared" si="323"/>
        <v>5</v>
      </c>
      <c r="U139" s="188">
        <f t="shared" si="324"/>
        <v>1.1162206562188752</v>
      </c>
      <c r="V139" s="188">
        <f t="shared" si="325"/>
        <v>1.4930156300207376</v>
      </c>
      <c r="W139" s="188">
        <f t="shared" si="326"/>
        <v>2.4726709231695847</v>
      </c>
      <c r="X139" s="172">
        <f t="shared" si="327"/>
        <v>281.46971306163778</v>
      </c>
      <c r="Y139" s="379">
        <f t="shared" si="328"/>
        <v>240.05646781900637</v>
      </c>
      <c r="AA139" s="188">
        <f t="shared" si="329"/>
        <v>1</v>
      </c>
      <c r="AB139" s="150">
        <f t="shared" si="330"/>
        <v>2.2152169549931071</v>
      </c>
      <c r="AC139" s="150">
        <f t="shared" si="331"/>
        <v>0.31175824034559241</v>
      </c>
      <c r="AD139" s="150"/>
      <c r="AE139" s="150">
        <f t="shared" si="332"/>
        <v>2.2152169549931071</v>
      </c>
      <c r="AF139" s="314">
        <f t="shared" si="333"/>
        <v>314.1904446114018</v>
      </c>
      <c r="AG139" s="456">
        <f t="shared" si="334"/>
        <v>0.31175824034559241</v>
      </c>
      <c r="AI139" s="150">
        <f t="shared" si="335"/>
        <v>0.9474634476347914</v>
      </c>
      <c r="AJ139" s="150">
        <f t="shared" si="336"/>
        <v>1.1162206562188752</v>
      </c>
      <c r="AK139" s="150">
        <f t="shared" si="337"/>
        <v>1.2860893749769446</v>
      </c>
      <c r="AM139" s="314">
        <f t="shared" si="338"/>
        <v>348</v>
      </c>
      <c r="AN139" s="144">
        <f t="shared" si="339"/>
        <v>240.05646781900637</v>
      </c>
      <c r="AP139" s="144">
        <f t="shared" si="340"/>
        <v>348</v>
      </c>
      <c r="AQ139" s="144">
        <f t="shared" si="341"/>
        <v>240.05646781900637</v>
      </c>
      <c r="AS139" s="5">
        <f t="shared" si="439"/>
        <v>4.165686553190322</v>
      </c>
      <c r="AT139" s="5">
        <f t="shared" si="342"/>
        <v>1.4930156300207376</v>
      </c>
      <c r="AU139" s="5">
        <f t="shared" si="343"/>
        <v>2.6726709231695844</v>
      </c>
      <c r="AV139" s="5"/>
      <c r="AW139" s="150">
        <f t="shared" si="344"/>
        <v>0.35840805854134666</v>
      </c>
      <c r="AX139" s="150">
        <f t="shared" si="435"/>
        <v>1.7945880528367804</v>
      </c>
      <c r="AY139" s="150">
        <f t="shared" si="436"/>
        <v>0.35807908895986007</v>
      </c>
      <c r="AZ139" s="150">
        <f t="shared" si="440"/>
        <v>5.0117086089826097</v>
      </c>
      <c r="BA139" s="144">
        <f t="shared" si="433"/>
        <v>10.391388784944333</v>
      </c>
      <c r="BB139" s="5">
        <f t="shared" si="434"/>
        <v>0.21598149777202874</v>
      </c>
      <c r="BD139" s="150">
        <f t="shared" si="441"/>
        <v>0.3858142912748016</v>
      </c>
      <c r="BE139" s="150">
        <f t="shared" si="437"/>
        <v>0.51620104330065819</v>
      </c>
      <c r="BG139" s="456">
        <f t="shared" si="347"/>
        <v>2.9770533470375488E-3</v>
      </c>
      <c r="BH139" s="456">
        <f t="shared" si="348"/>
        <v>7.2290919450475874E-2</v>
      </c>
      <c r="BI139" s="456">
        <f t="shared" si="349"/>
        <v>5.3841898768627376E-2</v>
      </c>
      <c r="BJ139" s="456">
        <f t="shared" si="350"/>
        <v>4.9699432648585588E-3</v>
      </c>
      <c r="BK139">
        <f t="shared" si="351"/>
        <v>4.0371925265767009E-3</v>
      </c>
      <c r="BL139" s="144">
        <f t="shared" si="427"/>
        <v>57.879091295204077</v>
      </c>
      <c r="BM139" s="456">
        <f t="shared" si="352"/>
        <v>8.1099085732049908E-2</v>
      </c>
      <c r="BN139" s="144">
        <f t="shared" si="353"/>
        <v>81.099085732049915</v>
      </c>
      <c r="BO139" s="456">
        <f t="shared" si="354"/>
        <v>0.24359999999999996</v>
      </c>
      <c r="BR139" s="144">
        <f t="shared" si="355"/>
        <v>243.59999999999997</v>
      </c>
      <c r="BS139" s="456">
        <f t="shared" si="356"/>
        <v>4.4655800205563234E-3</v>
      </c>
      <c r="BT139" s="456">
        <f t="shared" si="357"/>
        <v>7.9939055131406402E-3</v>
      </c>
      <c r="BU139" s="456">
        <f t="shared" si="358"/>
        <v>5.8766343741642219E-2</v>
      </c>
      <c r="BV139" s="456"/>
      <c r="BW139" s="456">
        <f t="shared" si="359"/>
        <v>2.9909800880613006E-4</v>
      </c>
      <c r="BX139" s="144">
        <f t="shared" si="360"/>
        <v>71.524927284145321</v>
      </c>
      <c r="BY139" s="150">
        <f t="shared" si="361"/>
        <v>0.45324193464172124</v>
      </c>
      <c r="BZ139" s="5">
        <f t="shared" si="362"/>
        <v>1.7399999999999998</v>
      </c>
      <c r="CA139" s="150">
        <f t="shared" si="363"/>
        <v>0.79334612954326855</v>
      </c>
      <c r="CB139" s="5">
        <f t="shared" si="364"/>
        <v>79.334612954326857</v>
      </c>
      <c r="CE139" s="59">
        <f t="shared" si="365"/>
        <v>-50</v>
      </c>
      <c r="CF139">
        <f t="shared" si="366"/>
        <v>-50</v>
      </c>
      <c r="CG139" s="150">
        <f t="shared" si="367"/>
        <v>0.61136179956896552</v>
      </c>
      <c r="CI139" s="147">
        <v>29</v>
      </c>
      <c r="CJ139" s="188">
        <f t="shared" si="428"/>
        <v>0.34799999999999998</v>
      </c>
      <c r="CK139" s="188"/>
      <c r="CL139" s="188">
        <f t="shared" si="368"/>
        <v>1.7399999999999998</v>
      </c>
      <c r="CM139" s="465">
        <f t="shared" si="369"/>
        <v>9</v>
      </c>
      <c r="CN139" s="379">
        <f t="shared" si="370"/>
        <v>5.4</v>
      </c>
      <c r="CO139" s="379">
        <f t="shared" si="371"/>
        <v>14.4</v>
      </c>
      <c r="CP139" s="379"/>
      <c r="CQ139" s="188">
        <f t="shared" si="372"/>
        <v>0.375</v>
      </c>
      <c r="CR139" s="149">
        <f t="shared" si="429"/>
        <v>8.4754687499999992</v>
      </c>
      <c r="CS139" s="149">
        <f t="shared" si="373"/>
        <v>1.7399999999999998</v>
      </c>
      <c r="CT139" s="188">
        <f t="shared" si="374"/>
        <v>1.6950937499999998</v>
      </c>
      <c r="CU139" s="188">
        <f t="shared" si="375"/>
        <v>5</v>
      </c>
      <c r="CV139" s="188"/>
      <c r="CW139" s="149">
        <f t="shared" si="376"/>
        <v>55.71932144317234</v>
      </c>
      <c r="CX139" s="149">
        <f t="shared" si="377"/>
        <v>5</v>
      </c>
      <c r="CY139" s="188">
        <f t="shared" si="378"/>
        <v>1.0311111111111109</v>
      </c>
      <c r="CZ139" s="188">
        <f t="shared" si="379"/>
        <v>1.3748148148148145</v>
      </c>
      <c r="DA139" s="188">
        <f t="shared" si="380"/>
        <v>2.2913580246913572</v>
      </c>
      <c r="DB139" s="172">
        <f t="shared" si="381"/>
        <v>281.25</v>
      </c>
      <c r="DC139" s="379">
        <f t="shared" si="382"/>
        <v>272.76400862068971</v>
      </c>
      <c r="DE139" s="188">
        <f t="shared" si="383"/>
        <v>1</v>
      </c>
      <c r="DF139" s="150">
        <f t="shared" si="384"/>
        <v>2.2222222222222219</v>
      </c>
      <c r="DG139" s="150">
        <f t="shared" si="385"/>
        <v>0.31249999999999994</v>
      </c>
      <c r="DH139" s="150"/>
      <c r="DI139" s="150">
        <f t="shared" si="386"/>
        <v>2.2222222222222219</v>
      </c>
      <c r="DJ139" s="314">
        <f t="shared" si="387"/>
        <v>313.2</v>
      </c>
      <c r="DK139" s="456">
        <f t="shared" si="388"/>
        <v>0.31249999999999994</v>
      </c>
      <c r="DM139" s="150">
        <f t="shared" si="389"/>
        <v>0.94596889106203852</v>
      </c>
      <c r="DN139" s="150">
        <f t="shared" si="390"/>
        <v>1.0311111111111109</v>
      </c>
      <c r="DO139" s="150">
        <f t="shared" si="391"/>
        <v>1.2230452674897117</v>
      </c>
      <c r="DQ139" s="314">
        <f t="shared" si="392"/>
        <v>348</v>
      </c>
      <c r="DR139" s="144">
        <f t="shared" si="393"/>
        <v>272.76400862068971</v>
      </c>
      <c r="DT139">
        <f t="shared" si="430"/>
        <v>348</v>
      </c>
      <c r="DU139">
        <f t="shared" si="431"/>
        <v>272.76400862068971</v>
      </c>
      <c r="DW139" s="5">
        <f t="shared" si="394"/>
        <v>3.6661728395061721</v>
      </c>
      <c r="DX139" s="5">
        <f t="shared" si="395"/>
        <v>1.3748148148148145</v>
      </c>
      <c r="DY139" s="5">
        <f t="shared" si="396"/>
        <v>2.2913580246913576</v>
      </c>
      <c r="DZ139" s="5"/>
      <c r="EA139" s="150">
        <f t="shared" si="397"/>
        <v>0.375</v>
      </c>
      <c r="EB139" s="150">
        <f t="shared" si="398"/>
        <v>1.7399999999999993</v>
      </c>
      <c r="EC139" s="150">
        <f t="shared" si="399"/>
        <v>0.32222222222222213</v>
      </c>
      <c r="ED139" s="150">
        <f t="shared" si="400"/>
        <v>5.3999999999999995</v>
      </c>
      <c r="EE139" s="144">
        <f t="shared" si="401"/>
        <v>9.5687111111111065</v>
      </c>
      <c r="EF139" s="5">
        <f t="shared" si="402"/>
        <v>0.18458161865569264</v>
      </c>
      <c r="EH139" s="150">
        <f t="shared" si="403"/>
        <v>0.36455282941173112</v>
      </c>
      <c r="EI139" s="150">
        <f t="shared" si="404"/>
        <v>0.47063567904147596</v>
      </c>
      <c r="EK139" s="456">
        <f t="shared" si="405"/>
        <v>2.6579753086419743E-3</v>
      </c>
      <c r="EL139" s="456">
        <f t="shared" si="406"/>
        <v>8.1000000000000003E-2</v>
      </c>
      <c r="EM139" s="456">
        <f t="shared" si="407"/>
        <v>3.4095501077586216E-2</v>
      </c>
      <c r="EN139" s="456">
        <f t="shared" si="408"/>
        <v>5.656034482758622E-3</v>
      </c>
      <c r="EO139">
        <f t="shared" si="409"/>
        <v>4.0499999999999998E-3</v>
      </c>
      <c r="EP139" s="144">
        <f t="shared" si="410"/>
        <v>38.145501077586211</v>
      </c>
      <c r="EQ139" s="144"/>
      <c r="ER139" s="144">
        <f t="shared" si="432"/>
        <v>127.45951086898683</v>
      </c>
      <c r="ES139" s="456">
        <f t="shared" si="411"/>
        <v>0.24359999999999996</v>
      </c>
      <c r="EV139" s="144">
        <f t="shared" si="412"/>
        <v>243.59999999999997</v>
      </c>
      <c r="EW139" s="456">
        <f t="shared" si="413"/>
        <v>3.9869629629629613E-3</v>
      </c>
      <c r="EX139" s="456">
        <f t="shared" si="414"/>
        <v>6.6449382716049351E-3</v>
      </c>
      <c r="EY139" s="456">
        <f t="shared" si="415"/>
        <v>6.6328676578668103E-2</v>
      </c>
      <c r="EZ139" s="456"/>
      <c r="FA139" s="456">
        <f t="shared" si="416"/>
        <v>2.8999999999999995E-4</v>
      </c>
      <c r="FB139" s="144">
        <f t="shared" si="417"/>
        <v>77.250577813235992</v>
      </c>
      <c r="FC139" s="150">
        <f t="shared" si="418"/>
        <v>0.44831008868222283</v>
      </c>
      <c r="FD139" s="5">
        <f t="shared" si="419"/>
        <v>1.7399999999999998</v>
      </c>
      <c r="FE139" s="150">
        <f t="shared" si="420"/>
        <v>0.7951341123907214</v>
      </c>
      <c r="FF139" s="5">
        <f t="shared" si="421"/>
        <v>79.513411239072141</v>
      </c>
      <c r="FI139" s="59">
        <f t="shared" si="422"/>
        <v>-50</v>
      </c>
      <c r="FJ139">
        <f t="shared" si="423"/>
        <v>-50</v>
      </c>
      <c r="FL139">
        <f t="shared" si="424"/>
        <v>0.625</v>
      </c>
    </row>
    <row r="140" spans="5:168">
      <c r="E140" s="147">
        <v>30</v>
      </c>
      <c r="F140" s="188">
        <f t="shared" si="425"/>
        <v>0.36</v>
      </c>
      <c r="G140" s="188"/>
      <c r="H140" s="188">
        <f t="shared" si="315"/>
        <v>1.7999999999999998</v>
      </c>
      <c r="I140" s="465">
        <f t="shared" si="316"/>
        <v>8.9705794094173985</v>
      </c>
      <c r="J140" s="149">
        <f t="shared" si="317"/>
        <v>5.4176523543495616</v>
      </c>
      <c r="K140" s="149">
        <f t="shared" si="318"/>
        <v>14.38823176376696</v>
      </c>
      <c r="L140" s="379"/>
      <c r="M140" s="188">
        <f t="shared" si="319"/>
        <v>0.37651744056201897</v>
      </c>
      <c r="N140" s="149">
        <f t="shared" si="426"/>
        <v>8.4819467694758774</v>
      </c>
      <c r="O140" s="149">
        <f t="shared" si="438"/>
        <v>1.7999999999999998</v>
      </c>
      <c r="P140" s="188">
        <f t="shared" si="320"/>
        <v>1.6963893538951755</v>
      </c>
      <c r="Q140" s="188">
        <f t="shared" si="321"/>
        <v>5</v>
      </c>
      <c r="R140" s="188"/>
      <c r="S140" s="149">
        <f t="shared" si="322"/>
        <v>53.391816837643901</v>
      </c>
      <c r="T140" s="149">
        <f t="shared" si="323"/>
        <v>5</v>
      </c>
      <c r="U140" s="188">
        <f t="shared" si="324"/>
        <v>1.1548037536912366</v>
      </c>
      <c r="V140" s="188">
        <f t="shared" si="325"/>
        <v>1.5447881805434944</v>
      </c>
      <c r="W140" s="188">
        <f t="shared" si="326"/>
        <v>2.557869006336154</v>
      </c>
      <c r="X140" s="172">
        <f t="shared" si="327"/>
        <v>281.47702844495859</v>
      </c>
      <c r="Y140" s="379">
        <f t="shared" si="328"/>
        <v>232.4145188813462</v>
      </c>
      <c r="AA140" s="188">
        <f t="shared" si="329"/>
        <v>1</v>
      </c>
      <c r="AB140" s="150">
        <f t="shared" si="330"/>
        <v>2.2149815483021533</v>
      </c>
      <c r="AC140" s="150">
        <f t="shared" si="331"/>
        <v>0.31173321213825184</v>
      </c>
      <c r="AD140" s="150"/>
      <c r="AE140" s="150">
        <f t="shared" si="332"/>
        <v>2.2149815483021533</v>
      </c>
      <c r="AF140" s="314">
        <f t="shared" si="333"/>
        <v>325.05914126097377</v>
      </c>
      <c r="AG140" s="456">
        <f t="shared" si="334"/>
        <v>0.31173321213825178</v>
      </c>
      <c r="AI140" s="150">
        <f t="shared" si="335"/>
        <v>0.96371178450965411</v>
      </c>
      <c r="AJ140" s="150">
        <f t="shared" si="336"/>
        <v>1.1548037536912366</v>
      </c>
      <c r="AK140" s="150">
        <f t="shared" si="337"/>
        <v>1.3146694471786937</v>
      </c>
      <c r="AM140" s="314">
        <f t="shared" si="338"/>
        <v>360</v>
      </c>
      <c r="AN140" s="144">
        <f t="shared" si="339"/>
        <v>232.4145188813462</v>
      </c>
      <c r="AP140" s="144">
        <f t="shared" si="340"/>
        <v>360</v>
      </c>
      <c r="AQ140" s="144">
        <f t="shared" si="341"/>
        <v>232.4145188813462</v>
      </c>
      <c r="AS140" s="5">
        <f t="shared" si="439"/>
        <v>4.3026571868796486</v>
      </c>
      <c r="AT140" s="5">
        <f t="shared" si="342"/>
        <v>1.5447881805434944</v>
      </c>
      <c r="AU140" s="5">
        <f t="shared" si="343"/>
        <v>2.7578690063361542</v>
      </c>
      <c r="AV140" s="5"/>
      <c r="AW140" s="150">
        <f t="shared" si="344"/>
        <v>0.3590312017546064</v>
      </c>
      <c r="AX140" s="150">
        <f t="shared" si="435"/>
        <v>1.8596485635982025</v>
      </c>
      <c r="AY140" s="150">
        <f t="shared" si="436"/>
        <v>0.37009658710637067</v>
      </c>
      <c r="AZ140" s="150">
        <f t="shared" si="440"/>
        <v>5.0247655028056633</v>
      </c>
      <c r="BA140" s="144">
        <f t="shared" si="433"/>
        <v>11.12247489991316</v>
      </c>
      <c r="BB140" s="5">
        <f t="shared" si="434"/>
        <v>0.23057616017318655</v>
      </c>
      <c r="BD140" s="150">
        <f t="shared" si="441"/>
        <v>0.39949712285232836</v>
      </c>
      <c r="BE140" s="150">
        <f t="shared" si="437"/>
        <v>0.53378455580177819</v>
      </c>
      <c r="BG140" s="456">
        <f t="shared" si="347"/>
        <v>3.191959023345767E-3</v>
      </c>
      <c r="BH140" s="456">
        <f t="shared" si="348"/>
        <v>7.2406930741155423E-2</v>
      </c>
      <c r="BI140" s="456">
        <f t="shared" si="349"/>
        <v>5.2122322438166377E-2</v>
      </c>
      <c r="BJ140" s="456">
        <f t="shared" si="350"/>
        <v>4.8114735684533436E-3</v>
      </c>
      <c r="BK140">
        <f t="shared" si="351"/>
        <v>4.0367607342378289E-3</v>
      </c>
      <c r="BL140" s="144">
        <f t="shared" si="427"/>
        <v>56.159083172404209</v>
      </c>
      <c r="BM140" s="456">
        <f t="shared" si="352"/>
        <v>8.1333876651049561E-2</v>
      </c>
      <c r="BN140" s="144">
        <f t="shared" si="353"/>
        <v>81.333876651049565</v>
      </c>
      <c r="BO140" s="456">
        <f t="shared" si="354"/>
        <v>0.252</v>
      </c>
      <c r="BR140" s="144">
        <f t="shared" si="355"/>
        <v>252</v>
      </c>
      <c r="BS140" s="456">
        <f t="shared" si="356"/>
        <v>4.7879385350186503E-3</v>
      </c>
      <c r="BT140" s="456">
        <f t="shared" si="357"/>
        <v>8.5477785603750491E-3</v>
      </c>
      <c r="BU140" s="456">
        <f t="shared" si="358"/>
        <v>5.9006330661253346E-2</v>
      </c>
      <c r="BV140" s="456"/>
      <c r="BW140" s="456">
        <f t="shared" si="359"/>
        <v>3.0994142726636714E-4</v>
      </c>
      <c r="BX140" s="144">
        <f t="shared" si="360"/>
        <v>72.651989183913415</v>
      </c>
      <c r="BY140" s="150">
        <f t="shared" si="361"/>
        <v>0.4612214356892721</v>
      </c>
      <c r="BZ140" s="5">
        <f t="shared" si="362"/>
        <v>1.7999999999999998</v>
      </c>
      <c r="CA140" s="150">
        <f t="shared" si="363"/>
        <v>0.79602995601857918</v>
      </c>
      <c r="CB140" s="5">
        <f t="shared" si="364"/>
        <v>79.602995601857913</v>
      </c>
      <c r="CE140" s="59">
        <f t="shared" si="365"/>
        <v>-50</v>
      </c>
      <c r="CF140">
        <f t="shared" si="366"/>
        <v>-50</v>
      </c>
      <c r="CG140" s="150">
        <f t="shared" si="367"/>
        <v>0.61181640625</v>
      </c>
      <c r="CI140" s="147">
        <v>30</v>
      </c>
      <c r="CJ140" s="188">
        <f t="shared" si="428"/>
        <v>0.36</v>
      </c>
      <c r="CK140" s="188"/>
      <c r="CL140" s="188">
        <f t="shared" si="368"/>
        <v>1.7999999999999998</v>
      </c>
      <c r="CM140" s="465">
        <f t="shared" si="369"/>
        <v>9</v>
      </c>
      <c r="CN140" s="379">
        <f t="shared" si="370"/>
        <v>5.4</v>
      </c>
      <c r="CO140" s="379">
        <f t="shared" si="371"/>
        <v>14.4</v>
      </c>
      <c r="CP140" s="379"/>
      <c r="CQ140" s="188">
        <f t="shared" si="372"/>
        <v>0.375</v>
      </c>
      <c r="CR140" s="149">
        <f t="shared" si="429"/>
        <v>8.4754687499999992</v>
      </c>
      <c r="CS140" s="149">
        <f t="shared" si="373"/>
        <v>1.7999999999999998</v>
      </c>
      <c r="CT140" s="188">
        <f t="shared" si="374"/>
        <v>1.6950937499999998</v>
      </c>
      <c r="CU140" s="188">
        <f t="shared" si="375"/>
        <v>5</v>
      </c>
      <c r="CV140" s="188"/>
      <c r="CW140" s="149">
        <f t="shared" si="376"/>
        <v>53.566707793511789</v>
      </c>
      <c r="CX140" s="149">
        <f t="shared" si="377"/>
        <v>5</v>
      </c>
      <c r="CY140" s="188">
        <f t="shared" si="378"/>
        <v>1.0666666666666667</v>
      </c>
      <c r="CZ140" s="188">
        <f t="shared" si="379"/>
        <v>1.4222222222222221</v>
      </c>
      <c r="DA140" s="188">
        <f t="shared" si="380"/>
        <v>2.3703703703703698</v>
      </c>
      <c r="DB140" s="172">
        <f t="shared" si="381"/>
        <v>281.25</v>
      </c>
      <c r="DC140" s="379">
        <f t="shared" si="382"/>
        <v>263.67187500000006</v>
      </c>
      <c r="DE140" s="188">
        <f t="shared" si="383"/>
        <v>1</v>
      </c>
      <c r="DF140" s="150">
        <f t="shared" si="384"/>
        <v>2.2222222222222219</v>
      </c>
      <c r="DG140" s="150">
        <f t="shared" si="385"/>
        <v>0.31249999999999994</v>
      </c>
      <c r="DH140" s="150"/>
      <c r="DI140" s="150">
        <f t="shared" si="386"/>
        <v>2.2222222222222219</v>
      </c>
      <c r="DJ140" s="314">
        <f t="shared" si="387"/>
        <v>324</v>
      </c>
      <c r="DK140" s="456">
        <f t="shared" si="388"/>
        <v>0.31249999999999994</v>
      </c>
      <c r="DM140" s="150">
        <f t="shared" si="389"/>
        <v>0.96214047088472787</v>
      </c>
      <c r="DN140" s="150">
        <f t="shared" si="390"/>
        <v>1.0666666666666667</v>
      </c>
      <c r="DO140" s="150">
        <f t="shared" si="391"/>
        <v>1.2493827160493827</v>
      </c>
      <c r="DQ140" s="314">
        <f t="shared" si="392"/>
        <v>360</v>
      </c>
      <c r="DR140" s="144">
        <f t="shared" si="393"/>
        <v>263.67187500000006</v>
      </c>
      <c r="DT140">
        <f t="shared" si="430"/>
        <v>360</v>
      </c>
      <c r="DU140">
        <f t="shared" si="431"/>
        <v>263.67187500000006</v>
      </c>
      <c r="DW140" s="5">
        <f t="shared" si="394"/>
        <v>3.7925925925925918</v>
      </c>
      <c r="DX140" s="5">
        <f t="shared" si="395"/>
        <v>1.4222222222222221</v>
      </c>
      <c r="DY140" s="5">
        <f t="shared" si="396"/>
        <v>2.3703703703703698</v>
      </c>
      <c r="DZ140" s="5"/>
      <c r="EA140" s="150">
        <f t="shared" si="397"/>
        <v>0.37500000000000006</v>
      </c>
      <c r="EB140" s="150">
        <f t="shared" si="398"/>
        <v>1.8000000000000005</v>
      </c>
      <c r="EC140" s="150">
        <f t="shared" si="399"/>
        <v>0.33333333333333331</v>
      </c>
      <c r="ED140" s="150">
        <f t="shared" si="400"/>
        <v>5.4000000000000021</v>
      </c>
      <c r="EE140" s="144">
        <f t="shared" si="401"/>
        <v>10.239999999999997</v>
      </c>
      <c r="EF140" s="5">
        <f t="shared" si="402"/>
        <v>0.19753086419753077</v>
      </c>
      <c r="EH140" s="150">
        <f t="shared" si="403"/>
        <v>0.37712361663282534</v>
      </c>
      <c r="EI140" s="150">
        <f t="shared" si="404"/>
        <v>0.48686449556014766</v>
      </c>
      <c r="EK140" s="456">
        <f t="shared" si="405"/>
        <v>2.8444444444444446E-3</v>
      </c>
      <c r="EL140" s="456">
        <f t="shared" si="406"/>
        <v>8.1000000000000016E-2</v>
      </c>
      <c r="EM140" s="456">
        <f t="shared" si="407"/>
        <v>3.2958984375000007E-2</v>
      </c>
      <c r="EN140" s="456">
        <f t="shared" si="408"/>
        <v>5.4675000000000019E-3</v>
      </c>
      <c r="EO140">
        <f t="shared" si="409"/>
        <v>4.0499999999999998E-3</v>
      </c>
      <c r="EP140" s="144">
        <f t="shared" si="410"/>
        <v>37.008984375000004</v>
      </c>
      <c r="EQ140" s="144"/>
      <c r="ER140" s="144">
        <f t="shared" si="432"/>
        <v>126.32092881944449</v>
      </c>
      <c r="ES140" s="456">
        <f t="shared" si="411"/>
        <v>0.252</v>
      </c>
      <c r="EV140" s="144">
        <f t="shared" si="412"/>
        <v>252</v>
      </c>
      <c r="EW140" s="456">
        <f t="shared" si="413"/>
        <v>4.2666666666666669E-3</v>
      </c>
      <c r="EX140" s="456">
        <f t="shared" si="414"/>
        <v>7.1111111111111115E-3</v>
      </c>
      <c r="EY140" s="456">
        <f t="shared" si="415"/>
        <v>6.6328676578668089E-2</v>
      </c>
      <c r="EZ140" s="456"/>
      <c r="FA140" s="456">
        <f t="shared" si="416"/>
        <v>3.0000000000000008E-4</v>
      </c>
      <c r="FB140" s="144">
        <f t="shared" si="417"/>
        <v>78.006454356445857</v>
      </c>
      <c r="FC140" s="150">
        <f t="shared" si="418"/>
        <v>0.45632738317589033</v>
      </c>
      <c r="FD140" s="5">
        <f t="shared" si="419"/>
        <v>1.7999999999999998</v>
      </c>
      <c r="FE140" s="150">
        <f t="shared" si="420"/>
        <v>0.79775657265942168</v>
      </c>
      <c r="FF140" s="5">
        <f t="shared" si="421"/>
        <v>79.775657265942172</v>
      </c>
      <c r="FI140" s="59">
        <f t="shared" si="422"/>
        <v>-50</v>
      </c>
      <c r="FJ140">
        <f t="shared" si="423"/>
        <v>-50</v>
      </c>
      <c r="FL140">
        <f t="shared" si="424"/>
        <v>0.625</v>
      </c>
    </row>
    <row r="141" spans="5:168">
      <c r="E141" s="147">
        <v>31</v>
      </c>
      <c r="F141" s="188">
        <f t="shared" si="425"/>
        <v>0.372</v>
      </c>
      <c r="G141" s="188"/>
      <c r="H141" s="188">
        <f t="shared" si="315"/>
        <v>1.8599999999999999</v>
      </c>
      <c r="I141" s="465">
        <f t="shared" si="316"/>
        <v>8.9696198404939533</v>
      </c>
      <c r="J141" s="149">
        <f t="shared" si="317"/>
        <v>5.4182280957036282</v>
      </c>
      <c r="K141" s="149">
        <f t="shared" si="318"/>
        <v>14.387847936197581</v>
      </c>
      <c r="L141" s="379"/>
      <c r="M141" s="188">
        <f t="shared" si="319"/>
        <v>0.37656751330565524</v>
      </c>
      <c r="N141" s="149">
        <f t="shared" si="426"/>
        <v>8.4821673552642984</v>
      </c>
      <c r="O141" s="149">
        <f t="shared" si="438"/>
        <v>1.8599999999999999</v>
      </c>
      <c r="P141" s="188">
        <f t="shared" si="320"/>
        <v>1.6964334710528597</v>
      </c>
      <c r="Q141" s="188">
        <f t="shared" si="321"/>
        <v>5</v>
      </c>
      <c r="R141" s="188"/>
      <c r="S141" s="149">
        <f t="shared" si="322"/>
        <v>51.379374452383672</v>
      </c>
      <c r="T141" s="149">
        <f t="shared" si="323"/>
        <v>5</v>
      </c>
      <c r="U141" s="188">
        <f t="shared" si="324"/>
        <v>1.1933930551886156</v>
      </c>
      <c r="V141" s="188">
        <f t="shared" si="325"/>
        <v>1.5965801134192497</v>
      </c>
      <c r="W141" s="188">
        <f t="shared" si="326"/>
        <v>2.6430627152110793</v>
      </c>
      <c r="X141" s="172">
        <f t="shared" si="327"/>
        <v>281.48433805074961</v>
      </c>
      <c r="Y141" s="379">
        <f t="shared" si="328"/>
        <v>225.24334470133701</v>
      </c>
      <c r="AA141" s="188">
        <f t="shared" si="329"/>
        <v>1</v>
      </c>
      <c r="AB141" s="150">
        <f t="shared" si="330"/>
        <v>2.2147461841843414</v>
      </c>
      <c r="AC141" s="150">
        <f t="shared" si="331"/>
        <v>0.31170818180277649</v>
      </c>
      <c r="AD141" s="150"/>
      <c r="AE141" s="150">
        <f t="shared" si="332"/>
        <v>2.2147461841843414</v>
      </c>
      <c r="AF141" s="314">
        <f t="shared" si="333"/>
        <v>335.9301419336249</v>
      </c>
      <c r="AG141" s="456">
        <f t="shared" si="334"/>
        <v>0.31170818180277643</v>
      </c>
      <c r="AI141" s="150">
        <f t="shared" si="335"/>
        <v>0.97969403668933419</v>
      </c>
      <c r="AJ141" s="150">
        <f t="shared" si="336"/>
        <v>1.1933930551886156</v>
      </c>
      <c r="AK141" s="150">
        <f t="shared" si="337"/>
        <v>1.3432541149545301</v>
      </c>
      <c r="AM141" s="314">
        <f t="shared" si="338"/>
        <v>372</v>
      </c>
      <c r="AN141" s="144">
        <f t="shared" si="339"/>
        <v>225.24334470133701</v>
      </c>
      <c r="AP141" s="144">
        <f t="shared" si="340"/>
        <v>372</v>
      </c>
      <c r="AQ141" s="144">
        <f t="shared" si="341"/>
        <v>225.24334470133701</v>
      </c>
      <c r="AS141" s="5">
        <f t="shared" si="439"/>
        <v>4.4396428286303289</v>
      </c>
      <c r="AT141" s="5">
        <f t="shared" si="342"/>
        <v>1.5965801134192497</v>
      </c>
      <c r="AU141" s="5">
        <f t="shared" si="343"/>
        <v>2.8430627152110794</v>
      </c>
      <c r="AV141" s="5"/>
      <c r="AW141" s="150">
        <f t="shared" si="344"/>
        <v>0.35961904483019175</v>
      </c>
      <c r="AX141" s="150">
        <f t="shared" si="435"/>
        <v>1.9247318387706336</v>
      </c>
      <c r="AY141" s="150">
        <f t="shared" si="436"/>
        <v>0.38211309228735069</v>
      </c>
      <c r="AZ141" s="150">
        <f t="shared" si="440"/>
        <v>5.0370737816102542</v>
      </c>
      <c r="BA141" s="144">
        <f t="shared" si="433"/>
        <v>11.878556043839216</v>
      </c>
      <c r="BB141" s="5">
        <f t="shared" si="434"/>
        <v>0.24564849385715404</v>
      </c>
      <c r="BD141" s="150">
        <f t="shared" si="441"/>
        <v>0.41318468949840353</v>
      </c>
      <c r="BE141" s="150">
        <f t="shared" si="437"/>
        <v>0.55136866712595056</v>
      </c>
      <c r="BG141" s="456">
        <f t="shared" si="347"/>
        <v>3.4144317527178432E-3</v>
      </c>
      <c r="BH141" s="456">
        <f t="shared" si="348"/>
        <v>7.2515790412125053E-2</v>
      </c>
      <c r="BI141" s="456">
        <f t="shared" si="349"/>
        <v>5.050867933930827E-2</v>
      </c>
      <c r="BJ141" s="456">
        <f t="shared" si="350"/>
        <v>4.662766268047052E-3</v>
      </c>
      <c r="BK141">
        <f t="shared" si="351"/>
        <v>4.036328928222279E-3</v>
      </c>
      <c r="BL141" s="144">
        <f t="shared" si="427"/>
        <v>54.545008267530548</v>
      </c>
      <c r="BM141" s="456">
        <f t="shared" si="352"/>
        <v>8.1581069197281433E-2</v>
      </c>
      <c r="BN141" s="144">
        <f t="shared" si="353"/>
        <v>81.581069197281437</v>
      </c>
      <c r="BO141" s="456">
        <f t="shared" si="354"/>
        <v>0.26039999999999996</v>
      </c>
      <c r="BR141" s="144">
        <f t="shared" si="355"/>
        <v>260.39999999999998</v>
      </c>
      <c r="BS141" s="456">
        <f t="shared" si="356"/>
        <v>5.1216476290767646E-3</v>
      </c>
      <c r="BT141" s="456">
        <f t="shared" si="357"/>
        <v>9.1202222126474178E-3</v>
      </c>
      <c r="BU141" s="456">
        <f t="shared" si="358"/>
        <v>5.923231258952464E-2</v>
      </c>
      <c r="BV141" s="456"/>
      <c r="BW141" s="456">
        <f t="shared" si="359"/>
        <v>3.2078863979510564E-4</v>
      </c>
      <c r="BX141" s="144">
        <f t="shared" si="360"/>
        <v>73.794971071043932</v>
      </c>
      <c r="BY141" s="150">
        <f t="shared" si="361"/>
        <v>0.46933296777146438</v>
      </c>
      <c r="BZ141" s="5">
        <f t="shared" si="362"/>
        <v>1.8599999999999999</v>
      </c>
      <c r="CA141" s="150">
        <f t="shared" si="363"/>
        <v>0.79851185971901306</v>
      </c>
      <c r="CB141" s="5">
        <f t="shared" si="364"/>
        <v>79.851185971901302</v>
      </c>
      <c r="CE141" s="59">
        <f t="shared" si="365"/>
        <v>-50</v>
      </c>
      <c r="CF141">
        <f t="shared" si="366"/>
        <v>-50</v>
      </c>
      <c r="CG141" s="150">
        <f t="shared" si="367"/>
        <v>0.61224168346774188</v>
      </c>
      <c r="CI141" s="147">
        <v>31</v>
      </c>
      <c r="CJ141" s="188">
        <f t="shared" si="428"/>
        <v>0.372</v>
      </c>
      <c r="CK141" s="188"/>
      <c r="CL141" s="188">
        <f t="shared" si="368"/>
        <v>1.8599999999999999</v>
      </c>
      <c r="CM141" s="465">
        <f t="shared" si="369"/>
        <v>9</v>
      </c>
      <c r="CN141" s="379">
        <f t="shared" si="370"/>
        <v>5.4</v>
      </c>
      <c r="CO141" s="379">
        <f t="shared" si="371"/>
        <v>14.4</v>
      </c>
      <c r="CP141" s="379"/>
      <c r="CQ141" s="188">
        <f t="shared" si="372"/>
        <v>0.375</v>
      </c>
      <c r="CR141" s="149">
        <f t="shared" si="429"/>
        <v>8.4754687499999992</v>
      </c>
      <c r="CS141" s="149">
        <f t="shared" si="373"/>
        <v>1.8599999999999999</v>
      </c>
      <c r="CT141" s="188">
        <f t="shared" si="374"/>
        <v>1.6950937499999998</v>
      </c>
      <c r="CU141" s="188">
        <f t="shared" si="375"/>
        <v>5</v>
      </c>
      <c r="CV141" s="188"/>
      <c r="CW141" s="149">
        <f t="shared" si="376"/>
        <v>51.55316414860966</v>
      </c>
      <c r="CX141" s="149">
        <f t="shared" si="377"/>
        <v>5</v>
      </c>
      <c r="CY141" s="188">
        <f t="shared" si="378"/>
        <v>1.1022222222222222</v>
      </c>
      <c r="CZ141" s="188">
        <f t="shared" si="379"/>
        <v>1.4696296296296296</v>
      </c>
      <c r="DA141" s="188">
        <f t="shared" si="380"/>
        <v>2.4493827160493828</v>
      </c>
      <c r="DB141" s="172">
        <f t="shared" si="381"/>
        <v>281.25</v>
      </c>
      <c r="DC141" s="379">
        <f t="shared" si="382"/>
        <v>255.16633064516131</v>
      </c>
      <c r="DE141" s="188">
        <f t="shared" si="383"/>
        <v>1</v>
      </c>
      <c r="DF141" s="150">
        <f t="shared" si="384"/>
        <v>2.2222222222222219</v>
      </c>
      <c r="DG141" s="150">
        <f t="shared" si="385"/>
        <v>0.31249999999999994</v>
      </c>
      <c r="DH141" s="150"/>
      <c r="DI141" s="150">
        <f t="shared" si="386"/>
        <v>2.2222222222222219</v>
      </c>
      <c r="DJ141" s="314">
        <f t="shared" si="387"/>
        <v>334.8</v>
      </c>
      <c r="DK141" s="456">
        <f t="shared" si="388"/>
        <v>0.31249999999999994</v>
      </c>
      <c r="DM141" s="150">
        <f t="shared" si="389"/>
        <v>0.97804469661229121</v>
      </c>
      <c r="DN141" s="150">
        <f t="shared" si="390"/>
        <v>1.1022222222222222</v>
      </c>
      <c r="DO141" s="150">
        <f t="shared" si="391"/>
        <v>1.2757201646090535</v>
      </c>
      <c r="DQ141" s="314">
        <f t="shared" si="392"/>
        <v>372</v>
      </c>
      <c r="DR141" s="144">
        <f t="shared" si="393"/>
        <v>255.16633064516131</v>
      </c>
      <c r="DT141">
        <f t="shared" si="430"/>
        <v>372</v>
      </c>
      <c r="DU141">
        <f t="shared" si="431"/>
        <v>255.16633064516131</v>
      </c>
      <c r="DW141" s="5">
        <f t="shared" si="394"/>
        <v>3.919012345679012</v>
      </c>
      <c r="DX141" s="5">
        <f t="shared" si="395"/>
        <v>1.4696296296296296</v>
      </c>
      <c r="DY141" s="5">
        <f t="shared" si="396"/>
        <v>2.4493827160493824</v>
      </c>
      <c r="DZ141" s="5"/>
      <c r="EA141" s="150">
        <f t="shared" si="397"/>
        <v>0.37500000000000006</v>
      </c>
      <c r="EB141" s="150">
        <f t="shared" si="398"/>
        <v>1.86</v>
      </c>
      <c r="EC141" s="150">
        <f t="shared" si="399"/>
        <v>0.34444444444444444</v>
      </c>
      <c r="ED141" s="150">
        <f t="shared" si="400"/>
        <v>5.4</v>
      </c>
      <c r="EE141" s="144">
        <f t="shared" si="401"/>
        <v>10.934044444444444</v>
      </c>
      <c r="EF141" s="5">
        <f t="shared" si="402"/>
        <v>0.21091906721536344</v>
      </c>
      <c r="EH141" s="150">
        <f t="shared" si="403"/>
        <v>0.38969440385391957</v>
      </c>
      <c r="EI141" s="150">
        <f t="shared" si="404"/>
        <v>0.50309331207881924</v>
      </c>
      <c r="EK141" s="456">
        <f t="shared" si="405"/>
        <v>3.0372345679012354E-3</v>
      </c>
      <c r="EL141" s="456">
        <f t="shared" si="406"/>
        <v>8.1000000000000016E-2</v>
      </c>
      <c r="EM141" s="456">
        <f t="shared" si="407"/>
        <v>3.1895791330645164E-2</v>
      </c>
      <c r="EN141" s="456">
        <f t="shared" si="408"/>
        <v>5.2911290322580646E-3</v>
      </c>
      <c r="EO141">
        <f t="shared" si="409"/>
        <v>4.0499999999999998E-3</v>
      </c>
      <c r="EP141" s="144">
        <f t="shared" si="410"/>
        <v>35.945791330645164</v>
      </c>
      <c r="EQ141" s="144"/>
      <c r="ER141" s="144">
        <f t="shared" si="432"/>
        <v>125.27415493080449</v>
      </c>
      <c r="ES141" s="456">
        <f t="shared" si="411"/>
        <v>0.26039999999999996</v>
      </c>
      <c r="EV141" s="144">
        <f t="shared" si="412"/>
        <v>260.39999999999998</v>
      </c>
      <c r="EW141" s="456">
        <f t="shared" si="413"/>
        <v>4.5558518518518526E-3</v>
      </c>
      <c r="EX141" s="456">
        <f t="shared" si="414"/>
        <v>7.5930864197530862E-3</v>
      </c>
      <c r="EY141" s="456">
        <f t="shared" si="415"/>
        <v>6.6328676578668019E-2</v>
      </c>
      <c r="EZ141" s="456"/>
      <c r="FA141" s="456">
        <f t="shared" si="416"/>
        <v>3.1000000000000005E-4</v>
      </c>
      <c r="FB141" s="144">
        <f t="shared" si="417"/>
        <v>78.787614850272973</v>
      </c>
      <c r="FC141" s="150">
        <f t="shared" si="418"/>
        <v>0.46446176978107745</v>
      </c>
      <c r="FD141" s="5">
        <f t="shared" si="419"/>
        <v>1.8599999999999999</v>
      </c>
      <c r="FE141" s="150">
        <f t="shared" si="420"/>
        <v>0.80018524037725025</v>
      </c>
      <c r="FF141" s="5">
        <f t="shared" si="421"/>
        <v>80.01852403772503</v>
      </c>
      <c r="FI141" s="59">
        <f t="shared" si="422"/>
        <v>-50</v>
      </c>
      <c r="FJ141">
        <f t="shared" si="423"/>
        <v>-50</v>
      </c>
      <c r="FL141">
        <f t="shared" si="424"/>
        <v>0.625</v>
      </c>
    </row>
    <row r="142" spans="5:168">
      <c r="E142" s="147">
        <v>32</v>
      </c>
      <c r="F142" s="188">
        <f t="shared" si="425"/>
        <v>0.38400000000000001</v>
      </c>
      <c r="G142" s="188"/>
      <c r="H142" s="188">
        <f t="shared" ref="H142:H173" si="442">F142*Vout</f>
        <v>1.92</v>
      </c>
      <c r="I142" s="465">
        <f t="shared" ref="I142:I173" si="443">VIN_min-F142*(Rdcr_pri+RON/1000)/CG142/Nps</f>
        <v>8.968660244084683</v>
      </c>
      <c r="J142" s="149">
        <f t="shared" ref="J142:J173" si="444">(T142+Vfwd1+F142/CG142*Rdcr_sec)*Nps</f>
        <v>5.4188038535491909</v>
      </c>
      <c r="K142" s="149">
        <f t="shared" ref="K142:K173" si="445">(Vout+Vfwd1+F142/CG142*Rdcr_sec)*Nps++I142</f>
        <v>14.387464097633874</v>
      </c>
      <c r="L142" s="379"/>
      <c r="M142" s="188">
        <f t="shared" ref="M142:M173" si="446">(Vout+Vfwd1+F142/FL142*Rdcr_sec)*Nps/((Vout+Vfwd1+F142/FL142*Rdcr_sec)*Nps+I142)</f>
        <v>0.37661758943874235</v>
      </c>
      <c r="N142" s="149">
        <f t="shared" ref="N142:N173" si="447">M142*I142*(Isw_max+VIN_min/Lmag*ILIM_delay)*0.5*Efficiency</f>
        <v>8.4823877500738902</v>
      </c>
      <c r="O142" s="149">
        <f t="shared" si="438"/>
        <v>1.92</v>
      </c>
      <c r="P142" s="188">
        <f t="shared" ref="P142:P172" si="448">N142/Vout</f>
        <v>1.696477550014778</v>
      </c>
      <c r="Q142" s="188">
        <f t="shared" ref="Q142:Q173" si="449">MIN(Vout,N142/F142)</f>
        <v>5</v>
      </c>
      <c r="R142" s="188"/>
      <c r="S142" s="149">
        <f t="shared" ref="S142:S173" si="450">(SQRT(Isw_max^2*Nps^2*I142^2+4*Isw_max*F142/Efficiency*(Nps^2*Vfwd1*I142-Nps*I142^2)+4*(F142/Efficiency)^2*Nps^2*Vfwd1^2+8*(F142/Efficiency)^2*Nps*Vfwd1*I142+4*(F142/Efficiency)^2*I142^2)-2*F142/Efficiency*I142-2*F142/Efficiency*Nps*Vfwd1+Isw_max*Nps*I142)/(4*F142/Efficiency*Nps)</f>
        <v>49.492958101760294</v>
      </c>
      <c r="T142" s="149">
        <f t="shared" ref="T142:T173" si="451">MIN(Vout, S142)</f>
        <v>5</v>
      </c>
      <c r="U142" s="188">
        <f t="shared" ref="U142:U173" si="452">MIN(2*(Vout+Vfwd1+F142/FL142*Rdcr_sec)*F142/(I142*M142), Isw_max)</f>
        <v>1.2319885627002809</v>
      </c>
      <c r="V142" s="188">
        <f t="shared" ref="V142:V173" si="453">L*U142/I142*1000000</f>
        <v>1.6483914375231385</v>
      </c>
      <c r="W142" s="188">
        <f t="shared" ref="W142:W173" si="454">L*U142/J142*1000000</f>
        <v>2.7282520556119194</v>
      </c>
      <c r="X142" s="172">
        <f t="shared" ref="X142:X173" si="455">IF(1/((350000*L)*(1/I142+1/J142))&gt;Isw_min, 350, 0.001/((Isw_min*L)*(1/I142+1/J142)))</f>
        <v>281.4916418558434</v>
      </c>
      <c r="Y142" s="379">
        <f t="shared" si="328"/>
        <v>218.50074219239383</v>
      </c>
      <c r="AA142" s="188">
        <f t="shared" ref="AA142:AA173" si="456">1/((X142*1000*L)*(1/I142+1/J142))</f>
        <v>0.99999999999999978</v>
      </c>
      <c r="AB142" s="150">
        <f t="shared" ref="AB142:AB173" si="457">L*AA142/J142*1000000</f>
        <v>2.2145108633412289</v>
      </c>
      <c r="AC142" s="150">
        <f t="shared" ref="AC142:AC173" si="458">0.5*AB142*AA142*Nps*X142/1000</f>
        <v>0.31168314941476183</v>
      </c>
      <c r="AD142" s="150"/>
      <c r="AE142" s="150">
        <f t="shared" ref="AE142:AE173" si="459">L*Isw_min/J142*1000000</f>
        <v>2.2145108633412298</v>
      </c>
      <c r="AF142" s="314">
        <f t="shared" ref="AF142:AF173" si="460">MAX(12000,F142/(0.5*AE142/1000000*Isw_min*Nps))/1000</f>
        <v>346.80344662714822</v>
      </c>
      <c r="AG142" s="456">
        <f t="shared" ref="AG142:AG173" si="461">0.5*AE142/1000000*Isw_min*Nps*X142*1000</f>
        <v>0.31168314941476194</v>
      </c>
      <c r="AI142" s="150">
        <f t="shared" ref="AI142:AI173" si="462">SQRT(F142/(0.5*L/J142*Fsw_DCM*Nps))</f>
        <v>0.99542302081239842</v>
      </c>
      <c r="AJ142" s="150">
        <f t="shared" ref="AJ142:AJ173" si="463">MAX(IF(F142&gt;AC142,U142,AI142),Isw_min)</f>
        <v>1.2319885627002809</v>
      </c>
      <c r="AK142" s="150">
        <f t="shared" ref="AK142:AK173" si="464">IF(F142&gt;AG142, (AJ142-Isw_min)/1.08*0.8+1.2, AF142*0.2/350+1)</f>
        <v>1.3718433797779859</v>
      </c>
      <c r="AM142" s="314">
        <f t="shared" ref="AM142:AM173" si="465">F142*1000</f>
        <v>384</v>
      </c>
      <c r="AN142" s="144">
        <f t="shared" ref="AN142:AN173" si="466">IF(F142&gt;AG142, Y142, AF142)</f>
        <v>218.50074219239383</v>
      </c>
      <c r="AP142" s="144">
        <f t="shared" ref="AP142:AP173" si="467">IF(H142&gt;N142, "",AM142)</f>
        <v>384</v>
      </c>
      <c r="AQ142" s="144">
        <f t="shared" ref="AQ142:AQ173" si="468">IF(H142&gt;N142, "",AN142)</f>
        <v>218.50074219239383</v>
      </c>
      <c r="AS142" s="5">
        <f t="shared" si="439"/>
        <v>4.5766434931350579</v>
      </c>
      <c r="AT142" s="5">
        <f t="shared" ref="AT142:AT173" si="469">L*AJ142/I142*1000000</f>
        <v>1.6483914375231385</v>
      </c>
      <c r="AU142" s="5">
        <f t="shared" si="343"/>
        <v>2.9282520556119191</v>
      </c>
      <c r="AV142" s="5"/>
      <c r="AW142" s="150">
        <f t="shared" si="344"/>
        <v>0.36017475252239273</v>
      </c>
      <c r="AX142" s="150">
        <f t="shared" si="435"/>
        <v>1.9898370771955343</v>
      </c>
      <c r="AY142" s="150">
        <f t="shared" si="436"/>
        <v>0.39412869350964447</v>
      </c>
      <c r="AZ142" s="150">
        <f t="shared" si="440"/>
        <v>5.0486988386366809</v>
      </c>
      <c r="BA142" s="144">
        <f t="shared" si="433"/>
        <v>12.659646240177704</v>
      </c>
      <c r="BB142" s="5">
        <f t="shared" si="434"/>
        <v>0.26119861615168305</v>
      </c>
      <c r="BD142" s="150">
        <f t="shared" si="441"/>
        <v>0.42687692736608568</v>
      </c>
      <c r="BE142" s="150">
        <f t="shared" si="437"/>
        <v>0.5689534501379917</v>
      </c>
      <c r="BG142" s="456">
        <f t="shared" si="347"/>
        <v>3.6444782223502077E-3</v>
      </c>
      <c r="BH142" s="456">
        <f t="shared" ref="BH142:BH173" si="470">0.5*K142*AJ142*AN142*1000*Tfall</f>
        <v>7.2618139422756883E-2</v>
      </c>
      <c r="BI142" s="456">
        <f t="shared" ref="BI142:BI173" si="471">Qg*Vdd*AN142*1000*0+Qg*I142*AN142*1000</f>
        <v>4.8991472995097977E-2</v>
      </c>
      <c r="BJ142" s="456">
        <f t="shared" si="350"/>
        <v>4.5229462043788506E-3</v>
      </c>
      <c r="BK142">
        <f t="shared" si="351"/>
        <v>4.0358971098381075E-3</v>
      </c>
      <c r="BL142" s="144">
        <f t="shared" si="427"/>
        <v>53.027370104936082</v>
      </c>
      <c r="BM142" s="456">
        <f t="shared" ref="BM142:BM173" si="472">(BH142+BI142*0+BJ142+BK142*0+BG142*(1+RdsonTC*(Ta-25)))/(1-BG142*RdsonTC*ThetaJA)</f>
        <v>8.1840440900926556E-2</v>
      </c>
      <c r="BN142" s="144">
        <f t="shared" si="353"/>
        <v>81.840440900926552</v>
      </c>
      <c r="BO142" s="456">
        <f t="shared" si="354"/>
        <v>0.26879999999999998</v>
      </c>
      <c r="BR142" s="144">
        <f t="shared" si="355"/>
        <v>268.8</v>
      </c>
      <c r="BS142" s="456">
        <f t="shared" si="356"/>
        <v>5.4667173335253109E-3</v>
      </c>
      <c r="BT142" s="456">
        <f t="shared" si="357"/>
        <v>9.7112408527177257E-3</v>
      </c>
      <c r="BU142" s="456">
        <f t="shared" si="358"/>
        <v>5.9445500186970569E-2</v>
      </c>
      <c r="BV142" s="456"/>
      <c r="BW142" s="456">
        <f t="shared" si="359"/>
        <v>3.3163951286592242E-4</v>
      </c>
      <c r="BX142" s="144">
        <f t="shared" si="360"/>
        <v>74.955097886079528</v>
      </c>
      <c r="BY142" s="150">
        <f t="shared" si="361"/>
        <v>0.47756803184050156</v>
      </c>
      <c r="BZ142" s="5">
        <f t="shared" si="362"/>
        <v>1.92</v>
      </c>
      <c r="CA142" s="150">
        <f t="shared" si="363"/>
        <v>0.80081147834045197</v>
      </c>
      <c r="CB142" s="5">
        <f t="shared" si="364"/>
        <v>80.081147834045197</v>
      </c>
      <c r="CE142" s="59">
        <f t="shared" ref="CE142:CE173" si="473">IF(ABS(F142-Ioutmax_Vinmin)&lt;Iout/200, AN142, -50)</f>
        <v>-50</v>
      </c>
      <c r="CF142">
        <f t="shared" ref="CF142:CF173" si="474">IF(ABS(F142-Ioutmax_Vinmin)&lt;Iout/200, N142*CA142, -50)</f>
        <v>-50</v>
      </c>
      <c r="CG142" s="150">
        <f t="shared" ref="CG142:CG173" si="475">MIN(SQRT(2*DU142*1000*Ls1_*CL142)/CU142,1-EA142-0.00000005*DU142*1000)</f>
        <v>0.612640380859375</v>
      </c>
      <c r="CI142" s="147">
        <v>32</v>
      </c>
      <c r="CJ142" s="188">
        <f t="shared" si="428"/>
        <v>0.38400000000000001</v>
      </c>
      <c r="CK142" s="188"/>
      <c r="CL142" s="188">
        <f t="shared" si="368"/>
        <v>1.92</v>
      </c>
      <c r="CM142" s="465">
        <f t="shared" si="369"/>
        <v>9</v>
      </c>
      <c r="CN142" s="379">
        <f t="shared" si="370"/>
        <v>5.4</v>
      </c>
      <c r="CO142" s="379">
        <f t="shared" si="371"/>
        <v>14.4</v>
      </c>
      <c r="CP142" s="379"/>
      <c r="CQ142" s="188">
        <f t="shared" si="372"/>
        <v>0.375</v>
      </c>
      <c r="CR142" s="149">
        <f t="shared" si="429"/>
        <v>8.4754687499999992</v>
      </c>
      <c r="CS142" s="149">
        <f t="shared" si="373"/>
        <v>1.92</v>
      </c>
      <c r="CT142" s="188">
        <f t="shared" si="374"/>
        <v>1.6950937499999998</v>
      </c>
      <c r="CU142" s="188">
        <f t="shared" si="375"/>
        <v>5</v>
      </c>
      <c r="CV142" s="188"/>
      <c r="CW142" s="149">
        <f t="shared" si="376"/>
        <v>49.665655579948933</v>
      </c>
      <c r="CX142" s="149">
        <f t="shared" si="377"/>
        <v>5</v>
      </c>
      <c r="CY142" s="188">
        <f t="shared" si="378"/>
        <v>1.1377777777777778</v>
      </c>
      <c r="CZ142" s="188">
        <f t="shared" si="379"/>
        <v>1.517037037037037</v>
      </c>
      <c r="DA142" s="188">
        <f t="shared" si="380"/>
        <v>2.528395061728395</v>
      </c>
      <c r="DB142" s="172">
        <f t="shared" si="381"/>
        <v>281.25</v>
      </c>
      <c r="DC142" s="379">
        <f t="shared" si="382"/>
        <v>247.1923828125</v>
      </c>
      <c r="DE142" s="188">
        <f t="shared" si="383"/>
        <v>1</v>
      </c>
      <c r="DF142" s="150">
        <f t="shared" si="384"/>
        <v>2.2222222222222219</v>
      </c>
      <c r="DG142" s="150">
        <f t="shared" si="385"/>
        <v>0.31249999999999994</v>
      </c>
      <c r="DH142" s="150"/>
      <c r="DI142" s="150">
        <f t="shared" si="386"/>
        <v>2.2222222222222219</v>
      </c>
      <c r="DJ142" s="314">
        <f t="shared" si="387"/>
        <v>345.60000000000008</v>
      </c>
      <c r="DK142" s="456">
        <f t="shared" si="388"/>
        <v>0.31249999999999994</v>
      </c>
      <c r="DM142" s="150">
        <f t="shared" si="389"/>
        <v>0.99369440545299015</v>
      </c>
      <c r="DN142" s="150">
        <f t="shared" si="390"/>
        <v>1.1377777777777778</v>
      </c>
      <c r="DO142" s="150">
        <f t="shared" si="391"/>
        <v>1.3020576131687243</v>
      </c>
      <c r="DQ142" s="314">
        <f t="shared" si="392"/>
        <v>384</v>
      </c>
      <c r="DR142" s="144">
        <f t="shared" si="393"/>
        <v>247.1923828125</v>
      </c>
      <c r="DT142">
        <f t="shared" si="430"/>
        <v>384</v>
      </c>
      <c r="DU142">
        <f t="shared" si="431"/>
        <v>247.1923828125</v>
      </c>
      <c r="DW142" s="5">
        <f t="shared" si="394"/>
        <v>4.0454320987654322</v>
      </c>
      <c r="DX142" s="5">
        <f t="shared" si="395"/>
        <v>1.517037037037037</v>
      </c>
      <c r="DY142" s="5">
        <f t="shared" si="396"/>
        <v>2.5283950617283955</v>
      </c>
      <c r="DZ142" s="5"/>
      <c r="EA142" s="150">
        <f t="shared" si="397"/>
        <v>0.375</v>
      </c>
      <c r="EB142" s="150">
        <f t="shared" si="398"/>
        <v>1.9200000000000004</v>
      </c>
      <c r="EC142" s="150">
        <f t="shared" si="399"/>
        <v>0.35555555555555557</v>
      </c>
      <c r="ED142" s="150">
        <f t="shared" si="400"/>
        <v>5.4000000000000012</v>
      </c>
      <c r="EE142" s="144">
        <f t="shared" si="401"/>
        <v>11.650844444444443</v>
      </c>
      <c r="EF142" s="5">
        <f t="shared" si="402"/>
        <v>0.22474622770919064</v>
      </c>
      <c r="EH142" s="150">
        <f t="shared" si="403"/>
        <v>0.40226519107501374</v>
      </c>
      <c r="EI142" s="150">
        <f t="shared" si="404"/>
        <v>0.51932212859749083</v>
      </c>
      <c r="EK142" s="456">
        <f t="shared" si="405"/>
        <v>3.2363456790123462E-3</v>
      </c>
      <c r="EL142" s="456">
        <f t="shared" si="406"/>
        <v>8.1000000000000003E-2</v>
      </c>
      <c r="EM142" s="456">
        <f t="shared" si="407"/>
        <v>3.08990478515625E-2</v>
      </c>
      <c r="EN142" s="456">
        <f t="shared" si="408"/>
        <v>5.1257812500000001E-3</v>
      </c>
      <c r="EO142">
        <f t="shared" si="409"/>
        <v>4.0499999999999998E-3</v>
      </c>
      <c r="EP142" s="144">
        <f t="shared" si="410"/>
        <v>34.949047851562497</v>
      </c>
      <c r="EQ142" s="144"/>
      <c r="ER142" s="144">
        <f t="shared" si="432"/>
        <v>124.31117478057485</v>
      </c>
      <c r="ES142" s="456">
        <f t="shared" si="411"/>
        <v>0.26879999999999998</v>
      </c>
      <c r="EV142" s="144">
        <f t="shared" si="412"/>
        <v>268.8</v>
      </c>
      <c r="EW142" s="456">
        <f t="shared" si="413"/>
        <v>4.8545185185185193E-3</v>
      </c>
      <c r="EX142" s="456">
        <f t="shared" si="414"/>
        <v>8.0908641975308646E-3</v>
      </c>
      <c r="EY142" s="456">
        <f t="shared" si="415"/>
        <v>6.6328676578668089E-2</v>
      </c>
      <c r="EZ142" s="456"/>
      <c r="FA142" s="456">
        <f t="shared" si="416"/>
        <v>3.2000000000000003E-4</v>
      </c>
      <c r="FB142" s="144">
        <f t="shared" si="417"/>
        <v>79.594059294717482</v>
      </c>
      <c r="FC142" s="150">
        <f t="shared" si="418"/>
        <v>0.4727052340752923</v>
      </c>
      <c r="FD142" s="5">
        <f t="shared" si="419"/>
        <v>1.92</v>
      </c>
      <c r="FE142" s="150">
        <f t="shared" si="420"/>
        <v>0.80243900195337747</v>
      </c>
      <c r="FF142" s="5">
        <f t="shared" si="421"/>
        <v>80.243900195337744</v>
      </c>
      <c r="FI142" s="59">
        <f t="shared" si="422"/>
        <v>-50</v>
      </c>
      <c r="FJ142">
        <f t="shared" si="423"/>
        <v>-50</v>
      </c>
      <c r="FL142">
        <f t="shared" ref="FL142:FL173" si="476">MIN(SQRT(2*L*DR142*1000*CJ142*(CX142+Vfwd1))/(Nps*(CX142+Vfwd1)), 1-EA142)</f>
        <v>0.625</v>
      </c>
    </row>
    <row r="143" spans="5:168">
      <c r="E143" s="147">
        <v>33</v>
      </c>
      <c r="F143" s="188">
        <f t="shared" ref="F143:F174" si="477">IF(PLOT_TYPE=1, E143/100*Iout_max, min_I*EXP(N143*rr/100))</f>
        <v>0.39600000000000002</v>
      </c>
      <c r="G143" s="188"/>
      <c r="H143" s="188">
        <f t="shared" si="442"/>
        <v>1.98</v>
      </c>
      <c r="I143" s="465">
        <f t="shared" si="443"/>
        <v>8.9677006227371479</v>
      </c>
      <c r="J143" s="149">
        <f t="shared" si="444"/>
        <v>5.4193796263577125</v>
      </c>
      <c r="K143" s="149">
        <f t="shared" si="445"/>
        <v>14.387080249094861</v>
      </c>
      <c r="L143" s="379"/>
      <c r="M143" s="188">
        <f t="shared" si="446"/>
        <v>0.3766676688951392</v>
      </c>
      <c r="N143" s="149">
        <f t="shared" si="447"/>
        <v>8.4826079547900282</v>
      </c>
      <c r="O143" s="149">
        <f t="shared" si="438"/>
        <v>1.98</v>
      </c>
      <c r="P143" s="188">
        <f t="shared" si="448"/>
        <v>1.6965215909580056</v>
      </c>
      <c r="Q143" s="188">
        <f t="shared" si="449"/>
        <v>5</v>
      </c>
      <c r="R143" s="188"/>
      <c r="S143" s="149">
        <f t="shared" si="450"/>
        <v>47.721113737489269</v>
      </c>
      <c r="T143" s="149">
        <f t="shared" si="451"/>
        <v>5</v>
      </c>
      <c r="U143" s="188">
        <f t="shared" si="452"/>
        <v>1.2705902782167176</v>
      </c>
      <c r="V143" s="188">
        <f t="shared" si="453"/>
        <v>1.7002221617370241</v>
      </c>
      <c r="W143" s="188">
        <f t="shared" si="454"/>
        <v>2.8134370333543064</v>
      </c>
      <c r="X143" s="172">
        <f t="shared" si="455"/>
        <v>281.49893983987602</v>
      </c>
      <c r="Y143" s="379">
        <f t="shared" si="328"/>
        <v>212.14940635533671</v>
      </c>
      <c r="AA143" s="188">
        <f t="shared" si="456"/>
        <v>1</v>
      </c>
      <c r="AB143" s="150">
        <f t="shared" si="457"/>
        <v>2.2142755863857113</v>
      </c>
      <c r="AC143" s="150">
        <f t="shared" si="458"/>
        <v>0.31165811504044877</v>
      </c>
      <c r="AD143" s="150"/>
      <c r="AE143" s="150">
        <f t="shared" si="459"/>
        <v>2.2142755863857113</v>
      </c>
      <c r="AF143" s="314">
        <f t="shared" si="460"/>
        <v>357.67905533960902</v>
      </c>
      <c r="AG143" s="456">
        <f t="shared" si="461"/>
        <v>0.31165811504044877</v>
      </c>
      <c r="AI143" s="150">
        <f t="shared" si="462"/>
        <v>1.0109105589087339</v>
      </c>
      <c r="AJ143" s="150">
        <f t="shared" si="463"/>
        <v>1.2705902782167176</v>
      </c>
      <c r="AK143" s="150">
        <f t="shared" si="464"/>
        <v>1.4004372431234944</v>
      </c>
      <c r="AM143" s="314">
        <f t="shared" si="465"/>
        <v>396</v>
      </c>
      <c r="AN143" s="144">
        <f t="shared" si="466"/>
        <v>212.14940635533671</v>
      </c>
      <c r="AP143" s="144">
        <f t="shared" si="467"/>
        <v>396</v>
      </c>
      <c r="AQ143" s="144">
        <f t="shared" si="468"/>
        <v>212.14940635533671</v>
      </c>
      <c r="AS143" s="5">
        <f t="shared" si="439"/>
        <v>4.7136591950913305</v>
      </c>
      <c r="AT143" s="5">
        <f t="shared" si="469"/>
        <v>1.7002221617370241</v>
      </c>
      <c r="AU143" s="5">
        <f t="shared" si="343"/>
        <v>3.0134370333543066</v>
      </c>
      <c r="AV143" s="5"/>
      <c r="AW143" s="150">
        <f t="shared" si="344"/>
        <v>0.36070112228469692</v>
      </c>
      <c r="AX143" s="150">
        <f t="shared" si="435"/>
        <v>2.0549635706968701</v>
      </c>
      <c r="AY143" s="150">
        <f t="shared" si="436"/>
        <v>0.4061434694499611</v>
      </c>
      <c r="AZ143" s="150">
        <f t="shared" si="440"/>
        <v>5.0596986662863275</v>
      </c>
      <c r="BA143" s="144">
        <f t="shared" si="433"/>
        <v>13.465759520957233</v>
      </c>
      <c r="BB143" s="5">
        <f t="shared" si="434"/>
        <v>0.27722664449947843</v>
      </c>
      <c r="BD143" s="150">
        <f t="shared" si="441"/>
        <v>0.44057378020417032</v>
      </c>
      <c r="BE143" s="150">
        <f t="shared" si="437"/>
        <v>0.58653896934720884</v>
      </c>
      <c r="BG143" s="456">
        <f t="shared" si="347"/>
        <v>3.8821051160678518E-3</v>
      </c>
      <c r="BH143" s="456">
        <f t="shared" si="470"/>
        <v>7.2714544342721177E-2</v>
      </c>
      <c r="BI143" s="456">
        <f t="shared" si="471"/>
        <v>4.7562309087151727E-2</v>
      </c>
      <c r="BJ143" s="456">
        <f t="shared" si="350"/>
        <v>4.3912397890252001E-3</v>
      </c>
      <c r="BK143">
        <f t="shared" si="351"/>
        <v>4.0354652802317165E-3</v>
      </c>
      <c r="BL143" s="144">
        <f t="shared" si="427"/>
        <v>51.597774367383444</v>
      </c>
      <c r="BM143" s="456">
        <f t="shared" si="472"/>
        <v>8.2111796579392826E-2</v>
      </c>
      <c r="BN143" s="144">
        <f t="shared" si="353"/>
        <v>82.111796579392831</v>
      </c>
      <c r="BO143" s="456">
        <f t="shared" si="354"/>
        <v>0.2772</v>
      </c>
      <c r="BR143" s="144">
        <f t="shared" si="355"/>
        <v>277.2</v>
      </c>
      <c r="BS143" s="456">
        <f t="shared" si="356"/>
        <v>5.8231576741017768E-3</v>
      </c>
      <c r="BT143" s="456">
        <f t="shared" si="357"/>
        <v>1.032083887688658E-2</v>
      </c>
      <c r="BU143" s="456">
        <f t="shared" si="358"/>
        <v>5.9646968584989045E-2</v>
      </c>
      <c r="BV143" s="456"/>
      <c r="BW143" s="456">
        <f t="shared" si="359"/>
        <v>3.4249392844947835E-4</v>
      </c>
      <c r="BX143" s="144">
        <f t="shared" si="360"/>
        <v>76.133459064426887</v>
      </c>
      <c r="BY143" s="150">
        <f t="shared" si="361"/>
        <v>0.4859191226796245</v>
      </c>
      <c r="BZ143" s="5">
        <f t="shared" si="362"/>
        <v>1.98</v>
      </c>
      <c r="CA143" s="150">
        <f t="shared" si="363"/>
        <v>0.80294604222396637</v>
      </c>
      <c r="CB143" s="5">
        <f t="shared" si="364"/>
        <v>80.294604222396643</v>
      </c>
      <c r="CE143" s="59">
        <f t="shared" si="473"/>
        <v>-50</v>
      </c>
      <c r="CF143">
        <f t="shared" si="474"/>
        <v>-50</v>
      </c>
      <c r="CG143" s="150">
        <f t="shared" si="475"/>
        <v>0.61301491477272729</v>
      </c>
      <c r="CI143" s="147">
        <v>33</v>
      </c>
      <c r="CJ143" s="188">
        <f t="shared" si="428"/>
        <v>0.39600000000000002</v>
      </c>
      <c r="CK143" s="188"/>
      <c r="CL143" s="188">
        <f t="shared" si="368"/>
        <v>1.98</v>
      </c>
      <c r="CM143" s="465">
        <f t="shared" si="369"/>
        <v>9</v>
      </c>
      <c r="CN143" s="379">
        <f t="shared" si="370"/>
        <v>5.4</v>
      </c>
      <c r="CO143" s="379">
        <f t="shared" si="371"/>
        <v>14.4</v>
      </c>
      <c r="CP143" s="379"/>
      <c r="CQ143" s="188">
        <f t="shared" si="372"/>
        <v>0.375</v>
      </c>
      <c r="CR143" s="149">
        <f t="shared" si="429"/>
        <v>8.4754687499999992</v>
      </c>
      <c r="CS143" s="149">
        <f t="shared" si="373"/>
        <v>1.98</v>
      </c>
      <c r="CT143" s="188">
        <f t="shared" si="374"/>
        <v>1.6950937499999998</v>
      </c>
      <c r="CU143" s="188">
        <f t="shared" si="375"/>
        <v>5</v>
      </c>
      <c r="CV143" s="188"/>
      <c r="CW143" s="149">
        <f t="shared" si="376"/>
        <v>47.89272720437971</v>
      </c>
      <c r="CX143" s="149">
        <f t="shared" si="377"/>
        <v>5</v>
      </c>
      <c r="CY143" s="188">
        <f t="shared" si="378"/>
        <v>1.1733333333333333</v>
      </c>
      <c r="CZ143" s="188">
        <f t="shared" si="379"/>
        <v>1.5644444444444445</v>
      </c>
      <c r="DA143" s="188">
        <f t="shared" si="380"/>
        <v>2.6074074074074072</v>
      </c>
      <c r="DB143" s="172">
        <f t="shared" si="381"/>
        <v>281.25</v>
      </c>
      <c r="DC143" s="379">
        <f t="shared" si="382"/>
        <v>239.70170454545456</v>
      </c>
      <c r="DE143" s="188">
        <f t="shared" si="383"/>
        <v>1</v>
      </c>
      <c r="DF143" s="150">
        <f t="shared" si="384"/>
        <v>2.2222222222222219</v>
      </c>
      <c r="DG143" s="150">
        <f t="shared" si="385"/>
        <v>0.31249999999999994</v>
      </c>
      <c r="DH143" s="150"/>
      <c r="DI143" s="150">
        <f t="shared" si="386"/>
        <v>2.2222222222222219</v>
      </c>
      <c r="DJ143" s="314">
        <f t="shared" si="387"/>
        <v>356.40000000000003</v>
      </c>
      <c r="DK143" s="456">
        <f t="shared" si="388"/>
        <v>0.31249999999999994</v>
      </c>
      <c r="DM143" s="150">
        <f t="shared" si="389"/>
        <v>1.0091014390464987</v>
      </c>
      <c r="DN143" s="150">
        <f t="shared" si="390"/>
        <v>1.1733333333333333</v>
      </c>
      <c r="DO143" s="150">
        <f t="shared" si="391"/>
        <v>1.3283950617283951</v>
      </c>
      <c r="DQ143" s="314">
        <f t="shared" si="392"/>
        <v>396</v>
      </c>
      <c r="DR143" s="144">
        <f t="shared" si="393"/>
        <v>239.70170454545456</v>
      </c>
      <c r="DT143">
        <f t="shared" si="430"/>
        <v>396</v>
      </c>
      <c r="DU143">
        <f t="shared" si="431"/>
        <v>239.70170454545456</v>
      </c>
      <c r="DW143" s="5">
        <f t="shared" si="394"/>
        <v>4.1718518518518524</v>
      </c>
      <c r="DX143" s="5">
        <f t="shared" si="395"/>
        <v>1.5644444444444445</v>
      </c>
      <c r="DY143" s="5">
        <f t="shared" si="396"/>
        <v>2.6074074074074076</v>
      </c>
      <c r="DZ143" s="5"/>
      <c r="EA143" s="150">
        <f t="shared" si="397"/>
        <v>0.375</v>
      </c>
      <c r="EB143" s="150">
        <f t="shared" si="398"/>
        <v>1.9800000000000004</v>
      </c>
      <c r="EC143" s="150">
        <f t="shared" si="399"/>
        <v>0.3666666666666667</v>
      </c>
      <c r="ED143" s="150">
        <f t="shared" si="400"/>
        <v>5.4</v>
      </c>
      <c r="EE143" s="144">
        <f t="shared" si="401"/>
        <v>12.390400000000001</v>
      </c>
      <c r="EF143" s="5">
        <f t="shared" si="402"/>
        <v>0.23901234567901233</v>
      </c>
      <c r="EH143" s="150">
        <f t="shared" si="403"/>
        <v>0.41483597829610791</v>
      </c>
      <c r="EI143" s="150">
        <f t="shared" si="404"/>
        <v>0.53555094511616241</v>
      </c>
      <c r="EK143" s="456">
        <f t="shared" si="405"/>
        <v>3.441777777777778E-3</v>
      </c>
      <c r="EL143" s="456">
        <f t="shared" si="406"/>
        <v>8.1000000000000016E-2</v>
      </c>
      <c r="EM143" s="456">
        <f t="shared" si="407"/>
        <v>2.9962713068181816E-2</v>
      </c>
      <c r="EN143" s="456">
        <f t="shared" si="408"/>
        <v>4.9704545454545453E-3</v>
      </c>
      <c r="EO143">
        <f t="shared" si="409"/>
        <v>4.0499999999999998E-3</v>
      </c>
      <c r="EP143" s="144">
        <f t="shared" si="410"/>
        <v>34.012713068181817</v>
      </c>
      <c r="EQ143" s="144"/>
      <c r="ER143" s="144">
        <f t="shared" si="432"/>
        <v>123.42494539141414</v>
      </c>
      <c r="ES143" s="456">
        <f t="shared" si="411"/>
        <v>0.2772</v>
      </c>
      <c r="EV143" s="144">
        <f t="shared" si="412"/>
        <v>277.2</v>
      </c>
      <c r="EW143" s="456">
        <f t="shared" si="413"/>
        <v>5.162666666666667E-3</v>
      </c>
      <c r="EX143" s="456">
        <f t="shared" si="414"/>
        <v>8.6044444444444441E-3</v>
      </c>
      <c r="EY143" s="456">
        <f t="shared" si="415"/>
        <v>6.6328676578668075E-2</v>
      </c>
      <c r="EZ143" s="456"/>
      <c r="FA143" s="456">
        <f t="shared" si="416"/>
        <v>3.3000000000000005E-4</v>
      </c>
      <c r="FB143" s="144">
        <f t="shared" si="417"/>
        <v>80.42578768977917</v>
      </c>
      <c r="FC143" s="150">
        <f t="shared" si="418"/>
        <v>0.48105073308119334</v>
      </c>
      <c r="FD143" s="5">
        <f t="shared" si="419"/>
        <v>1.98</v>
      </c>
      <c r="FE143" s="150">
        <f t="shared" si="420"/>
        <v>0.80453441019522343</v>
      </c>
      <c r="FF143" s="5">
        <f t="shared" si="421"/>
        <v>80.453441019522344</v>
      </c>
      <c r="FI143" s="59">
        <f t="shared" si="422"/>
        <v>-50</v>
      </c>
      <c r="FJ143">
        <f t="shared" si="423"/>
        <v>-50</v>
      </c>
      <c r="FL143">
        <f t="shared" si="476"/>
        <v>0.625</v>
      </c>
    </row>
    <row r="144" spans="5:168">
      <c r="E144" s="147">
        <v>34</v>
      </c>
      <c r="F144" s="188">
        <f t="shared" si="477"/>
        <v>0.40800000000000003</v>
      </c>
      <c r="G144" s="188"/>
      <c r="H144" s="188">
        <f t="shared" si="442"/>
        <v>2.04</v>
      </c>
      <c r="I144" s="465">
        <f t="shared" si="443"/>
        <v>8.9667409786935153</v>
      </c>
      <c r="J144" s="149">
        <f t="shared" si="444"/>
        <v>5.4199554127838914</v>
      </c>
      <c r="K144" s="149">
        <f t="shared" si="445"/>
        <v>14.386696391477408</v>
      </c>
      <c r="L144" s="379"/>
      <c r="M144" s="188">
        <f t="shared" si="446"/>
        <v>0.37671775161665899</v>
      </c>
      <c r="N144" s="149">
        <f t="shared" si="447"/>
        <v>8.4828279701902058</v>
      </c>
      <c r="O144" s="149">
        <f t="shared" si="438"/>
        <v>2.04</v>
      </c>
      <c r="P144" s="188">
        <f t="shared" si="448"/>
        <v>1.6965655940380411</v>
      </c>
      <c r="Q144" s="188">
        <f t="shared" si="449"/>
        <v>5</v>
      </c>
      <c r="R144" s="188"/>
      <c r="S144" s="149">
        <f t="shared" si="450"/>
        <v>46.053734897899133</v>
      </c>
      <c r="T144" s="149">
        <f t="shared" si="451"/>
        <v>5</v>
      </c>
      <c r="U144" s="188">
        <f t="shared" si="452"/>
        <v>1.3091982037295737</v>
      </c>
      <c r="V144" s="188">
        <f t="shared" si="453"/>
        <v>1.7520722949492336</v>
      </c>
      <c r="W144" s="188">
        <f t="shared" si="454"/>
        <v>2.8986176542521496</v>
      </c>
      <c r="X144" s="172">
        <f t="shared" si="455"/>
        <v>281.50623198486699</v>
      </c>
      <c r="Y144" s="379">
        <f t="shared" si="328"/>
        <v>206.15623972516318</v>
      </c>
      <c r="AA144" s="188">
        <f t="shared" si="456"/>
        <v>1</v>
      </c>
      <c r="AB144" s="150">
        <f t="shared" si="457"/>
        <v>2.2140403538553008</v>
      </c>
      <c r="AC144" s="150">
        <f t="shared" si="458"/>
        <v>0.31163307873812363</v>
      </c>
      <c r="AD144" s="150"/>
      <c r="AE144" s="150">
        <f t="shared" si="459"/>
        <v>2.2140403538553008</v>
      </c>
      <c r="AF144" s="314">
        <f t="shared" si="460"/>
        <v>368.55696806930467</v>
      </c>
      <c r="AG144" s="456">
        <f t="shared" si="461"/>
        <v>0.31163307873812368</v>
      </c>
      <c r="AI144" s="150">
        <f t="shared" si="462"/>
        <v>1.0261675831799804</v>
      </c>
      <c r="AJ144" s="150">
        <f t="shared" si="463"/>
        <v>1.3091982037295737</v>
      </c>
      <c r="AK144" s="150">
        <f t="shared" si="464"/>
        <v>1.4290357064663508</v>
      </c>
      <c r="AM144" s="314">
        <f t="shared" si="465"/>
        <v>408.00000000000006</v>
      </c>
      <c r="AN144" s="144">
        <f t="shared" si="466"/>
        <v>206.15623972516318</v>
      </c>
      <c r="AP144" s="144">
        <f t="shared" si="467"/>
        <v>408.00000000000006</v>
      </c>
      <c r="AQ144" s="144">
        <f t="shared" si="468"/>
        <v>206.15623972516318</v>
      </c>
      <c r="AS144" s="5">
        <f t="shared" si="439"/>
        <v>4.8506899492013833</v>
      </c>
      <c r="AT144" s="5">
        <f t="shared" si="469"/>
        <v>1.7520722949492336</v>
      </c>
      <c r="AU144" s="5">
        <f t="shared" si="343"/>
        <v>3.0986176542521497</v>
      </c>
      <c r="AV144" s="5"/>
      <c r="AW144" s="150">
        <f t="shared" si="344"/>
        <v>0.36120063605337099</v>
      </c>
      <c r="AX144" s="150">
        <f t="shared" si="435"/>
        <v>2.120110690972036</v>
      </c>
      <c r="AY144" s="150">
        <f t="shared" si="436"/>
        <v>0.41815748991126045</v>
      </c>
      <c r="AZ144" s="150">
        <f t="shared" si="440"/>
        <v>5.0701248742954634</v>
      </c>
      <c r="BA144" s="144">
        <f t="shared" si="433"/>
        <v>14.296909926785746</v>
      </c>
      <c r="BB144" s="5">
        <f t="shared" si="434"/>
        <v>0.29373269645824923</v>
      </c>
      <c r="BD144" s="150">
        <f t="shared" si="441"/>
        <v>0.45427519827851903</v>
      </c>
      <c r="BE144" s="150">
        <f t="shared" si="437"/>
        <v>0.60412528207753369</v>
      </c>
      <c r="BG144" s="456">
        <f t="shared" si="347"/>
        <v>4.1273191154197562E-3</v>
      </c>
      <c r="BH144" s="456">
        <f t="shared" si="470"/>
        <v>7.2805507839763431E-2</v>
      </c>
      <c r="BI144" s="456">
        <f t="shared" si="471"/>
        <v>4.6213740068924612E-2</v>
      </c>
      <c r="BJ144" s="456">
        <f t="shared" si="350"/>
        <v>4.2669606845233583E-3</v>
      </c>
      <c r="BK144">
        <f t="shared" si="351"/>
        <v>4.0350334404120822E-3</v>
      </c>
      <c r="BL144" s="144">
        <f t="shared" si="427"/>
        <v>50.248773509336694</v>
      </c>
      <c r="BM144" s="456">
        <f t="shared" si="472"/>
        <v>8.2394964507006813E-2</v>
      </c>
      <c r="BN144" s="144">
        <f t="shared" si="353"/>
        <v>82.394964507006819</v>
      </c>
      <c r="BO144" s="456">
        <f t="shared" si="354"/>
        <v>0.28560000000000002</v>
      </c>
      <c r="BR144" s="144">
        <f t="shared" si="355"/>
        <v>285.60000000000002</v>
      </c>
      <c r="BS144" s="456">
        <f t="shared" si="356"/>
        <v>6.1909786731296334E-3</v>
      </c>
      <c r="BT144" s="456">
        <f t="shared" si="357"/>
        <v>1.0949020693357788E-2</v>
      </c>
      <c r="BU144" s="456">
        <f t="shared" si="358"/>
        <v>5.9837675816066235E-2</v>
      </c>
      <c r="BV144" s="456"/>
      <c r="BW144" s="456">
        <f t="shared" si="359"/>
        <v>3.5335178182867262E-4</v>
      </c>
      <c r="BX144" s="144">
        <f t="shared" si="360"/>
        <v>77.331026964382332</v>
      </c>
      <c r="BY144" s="150">
        <f t="shared" si="361"/>
        <v>0.49437958811342564</v>
      </c>
      <c r="BZ144" s="5">
        <f t="shared" si="362"/>
        <v>2.04</v>
      </c>
      <c r="CA144" s="150">
        <f t="shared" si="363"/>
        <v>0.80493072528198573</v>
      </c>
      <c r="CB144" s="5">
        <f t="shared" si="364"/>
        <v>80.493072528198567</v>
      </c>
      <c r="CE144" s="59">
        <f t="shared" si="473"/>
        <v>-50</v>
      </c>
      <c r="CF144">
        <f t="shared" si="474"/>
        <v>-50</v>
      </c>
      <c r="CG144" s="150">
        <f t="shared" si="475"/>
        <v>0.6133674172794118</v>
      </c>
      <c r="CI144" s="147">
        <v>34</v>
      </c>
      <c r="CJ144" s="188">
        <f t="shared" si="428"/>
        <v>0.40800000000000003</v>
      </c>
      <c r="CK144" s="188"/>
      <c r="CL144" s="188">
        <f t="shared" si="368"/>
        <v>2.04</v>
      </c>
      <c r="CM144" s="465">
        <f t="shared" si="369"/>
        <v>9</v>
      </c>
      <c r="CN144" s="379">
        <f t="shared" si="370"/>
        <v>5.4</v>
      </c>
      <c r="CO144" s="379">
        <f t="shared" si="371"/>
        <v>14.4</v>
      </c>
      <c r="CP144" s="379"/>
      <c r="CQ144" s="188">
        <f t="shared" si="372"/>
        <v>0.375</v>
      </c>
      <c r="CR144" s="149">
        <f t="shared" si="429"/>
        <v>8.4754687499999992</v>
      </c>
      <c r="CS144" s="149">
        <f t="shared" si="373"/>
        <v>2.04</v>
      </c>
      <c r="CT144" s="188">
        <f t="shared" si="374"/>
        <v>1.6950937499999998</v>
      </c>
      <c r="CU144" s="188">
        <f t="shared" si="375"/>
        <v>5</v>
      </c>
      <c r="CV144" s="188"/>
      <c r="CW144" s="149">
        <f t="shared" si="376"/>
        <v>46.224271825664019</v>
      </c>
      <c r="CX144" s="149">
        <f t="shared" si="377"/>
        <v>5</v>
      </c>
      <c r="CY144" s="188">
        <f t="shared" si="378"/>
        <v>1.2088888888888889</v>
      </c>
      <c r="CZ144" s="188">
        <f t="shared" si="379"/>
        <v>1.6118518518518521</v>
      </c>
      <c r="DA144" s="188">
        <f t="shared" si="380"/>
        <v>2.6864197530864198</v>
      </c>
      <c r="DB144" s="172">
        <f t="shared" si="381"/>
        <v>281.25</v>
      </c>
      <c r="DC144" s="379">
        <f t="shared" si="382"/>
        <v>232.6516544117647</v>
      </c>
      <c r="DE144" s="188">
        <f t="shared" si="383"/>
        <v>1</v>
      </c>
      <c r="DF144" s="150">
        <f t="shared" si="384"/>
        <v>2.2222222222222219</v>
      </c>
      <c r="DG144" s="150">
        <f t="shared" si="385"/>
        <v>0.31249999999999994</v>
      </c>
      <c r="DH144" s="150"/>
      <c r="DI144" s="150">
        <f t="shared" si="386"/>
        <v>2.2222222222222219</v>
      </c>
      <c r="DJ144" s="314">
        <f t="shared" si="387"/>
        <v>367.20000000000005</v>
      </c>
      <c r="DK144" s="456">
        <f t="shared" si="388"/>
        <v>0.31249999999999994</v>
      </c>
      <c r="DM144" s="150">
        <f t="shared" si="389"/>
        <v>1.024276748317005</v>
      </c>
      <c r="DN144" s="150">
        <f t="shared" si="390"/>
        <v>1.2088888888888889</v>
      </c>
      <c r="DO144" s="150">
        <f t="shared" si="391"/>
        <v>1.3547325102880658</v>
      </c>
      <c r="DQ144" s="314">
        <f t="shared" si="392"/>
        <v>408.00000000000006</v>
      </c>
      <c r="DR144" s="144">
        <f t="shared" si="393"/>
        <v>232.6516544117647</v>
      </c>
      <c r="DT144">
        <f t="shared" si="430"/>
        <v>408.00000000000006</v>
      </c>
      <c r="DU144">
        <f t="shared" si="431"/>
        <v>232.6516544117647</v>
      </c>
      <c r="DW144" s="5">
        <f t="shared" si="394"/>
        <v>4.2982716049382717</v>
      </c>
      <c r="DX144" s="5">
        <f t="shared" si="395"/>
        <v>1.6118518518518521</v>
      </c>
      <c r="DY144" s="5">
        <f t="shared" si="396"/>
        <v>2.6864197530864198</v>
      </c>
      <c r="DZ144" s="5"/>
      <c r="EA144" s="150">
        <f t="shared" si="397"/>
        <v>0.37500000000000006</v>
      </c>
      <c r="EB144" s="150">
        <f t="shared" si="398"/>
        <v>2.04</v>
      </c>
      <c r="EC144" s="150">
        <f t="shared" si="399"/>
        <v>0.37777777777777777</v>
      </c>
      <c r="ED144" s="150">
        <f t="shared" si="400"/>
        <v>5.4</v>
      </c>
      <c r="EE144" s="144">
        <f t="shared" si="401"/>
        <v>13.152711111111115</v>
      </c>
      <c r="EF144" s="5">
        <f t="shared" si="402"/>
        <v>0.25371742112482848</v>
      </c>
      <c r="EH144" s="150">
        <f t="shared" si="403"/>
        <v>0.42740676551720208</v>
      </c>
      <c r="EI144" s="150">
        <f t="shared" si="404"/>
        <v>0.551779761634834</v>
      </c>
      <c r="EK144" s="456">
        <f t="shared" si="405"/>
        <v>3.6535308641975311E-3</v>
      </c>
      <c r="EL144" s="456">
        <f t="shared" si="406"/>
        <v>8.1000000000000003E-2</v>
      </c>
      <c r="EM144" s="456">
        <f t="shared" si="407"/>
        <v>2.9081456801470586E-2</v>
      </c>
      <c r="EN144" s="456">
        <f t="shared" si="408"/>
        <v>4.8242647058823534E-3</v>
      </c>
      <c r="EO144">
        <f t="shared" si="409"/>
        <v>4.0499999999999998E-3</v>
      </c>
      <c r="EP144" s="144">
        <f t="shared" si="410"/>
        <v>33.131456801470591</v>
      </c>
      <c r="EQ144" s="144"/>
      <c r="ER144" s="144">
        <f t="shared" si="432"/>
        <v>122.60925237155047</v>
      </c>
      <c r="ES144" s="456">
        <f t="shared" si="411"/>
        <v>0.28560000000000002</v>
      </c>
      <c r="EV144" s="144">
        <f t="shared" si="412"/>
        <v>285.60000000000002</v>
      </c>
      <c r="EW144" s="456">
        <f t="shared" si="413"/>
        <v>5.4802962962962965E-3</v>
      </c>
      <c r="EX144" s="456">
        <f t="shared" si="414"/>
        <v>9.1338271604938254E-3</v>
      </c>
      <c r="EY144" s="456">
        <f t="shared" si="415"/>
        <v>6.6328676578668172E-2</v>
      </c>
      <c r="EZ144" s="456"/>
      <c r="FA144" s="456">
        <f t="shared" si="416"/>
        <v>3.4000000000000002E-4</v>
      </c>
      <c r="FB144" s="144">
        <f t="shared" si="417"/>
        <v>81.282800035458294</v>
      </c>
      <c r="FC144" s="150">
        <f t="shared" si="418"/>
        <v>0.48949205240700877</v>
      </c>
      <c r="FD144" s="5">
        <f t="shared" si="419"/>
        <v>2.04</v>
      </c>
      <c r="FE144" s="150">
        <f t="shared" si="420"/>
        <v>0.80648602871030217</v>
      </c>
      <c r="FF144" s="5">
        <f t="shared" si="421"/>
        <v>80.648602871030221</v>
      </c>
      <c r="FI144" s="59">
        <f t="shared" si="422"/>
        <v>-50</v>
      </c>
      <c r="FJ144">
        <f t="shared" si="423"/>
        <v>-50</v>
      </c>
      <c r="FL144">
        <f t="shared" si="476"/>
        <v>0.625</v>
      </c>
    </row>
    <row r="145" spans="5:168">
      <c r="E145" s="147">
        <v>35</v>
      </c>
      <c r="F145" s="188">
        <f t="shared" si="477"/>
        <v>0.42</v>
      </c>
      <c r="G145" s="188"/>
      <c r="H145" s="188">
        <f t="shared" si="442"/>
        <v>2.1</v>
      </c>
      <c r="I145" s="465">
        <f t="shared" si="443"/>
        <v>8.9657813139349845</v>
      </c>
      <c r="J145" s="149">
        <f t="shared" si="444"/>
        <v>5.420531211639009</v>
      </c>
      <c r="K145" s="149">
        <f t="shared" si="445"/>
        <v>14.386312525573993</v>
      </c>
      <c r="L145" s="379"/>
      <c r="M145" s="188">
        <f t="shared" si="446"/>
        <v>0.37676783755191229</v>
      </c>
      <c r="N145" s="149">
        <f t="shared" si="447"/>
        <v>8.4830477969597311</v>
      </c>
      <c r="O145" s="149">
        <f t="shared" si="438"/>
        <v>2.1</v>
      </c>
      <c r="P145" s="188">
        <f t="shared" si="448"/>
        <v>1.6966095593919461</v>
      </c>
      <c r="Q145" s="188">
        <f t="shared" si="449"/>
        <v>5</v>
      </c>
      <c r="R145" s="188"/>
      <c r="S145" s="149">
        <f t="shared" si="450"/>
        <v>44.481870196960863</v>
      </c>
      <c r="T145" s="149">
        <f t="shared" si="451"/>
        <v>5</v>
      </c>
      <c r="U145" s="188">
        <f t="shared" si="452"/>
        <v>1.3478123412316161</v>
      </c>
      <c r="V145" s="188">
        <f t="shared" si="453"/>
        <v>1.8039418460543413</v>
      </c>
      <c r="W145" s="188">
        <f t="shared" si="454"/>
        <v>2.983793924117804</v>
      </c>
      <c r="X145" s="172">
        <f t="shared" si="455"/>
        <v>281.5135182748723</v>
      </c>
      <c r="Y145" s="379">
        <f t="shared" si="328"/>
        <v>200.49177544252433</v>
      </c>
      <c r="AA145" s="188">
        <f t="shared" si="456"/>
        <v>1</v>
      </c>
      <c r="AB145" s="150">
        <f t="shared" si="457"/>
        <v>2.2138051662231004</v>
      </c>
      <c r="AC145" s="150">
        <f t="shared" si="458"/>
        <v>0.31160804055927671</v>
      </c>
      <c r="AD145" s="150"/>
      <c r="AE145" s="150">
        <f t="shared" si="459"/>
        <v>2.2138051662231004</v>
      </c>
      <c r="AF145" s="314">
        <f t="shared" si="460"/>
        <v>379.43718481473059</v>
      </c>
      <c r="AG145" s="456">
        <f t="shared" si="461"/>
        <v>0.31160804055927677</v>
      </c>
      <c r="AI145" s="150">
        <f t="shared" si="462"/>
        <v>1.0412042270024655</v>
      </c>
      <c r="AJ145" s="150">
        <f t="shared" si="463"/>
        <v>1.3478123412316161</v>
      </c>
      <c r="AK145" s="150">
        <f t="shared" si="464"/>
        <v>1.4576387712826786</v>
      </c>
      <c r="AM145" s="314">
        <f t="shared" si="465"/>
        <v>420</v>
      </c>
      <c r="AN145" s="144">
        <f t="shared" si="466"/>
        <v>200.49177544252433</v>
      </c>
      <c r="AP145" s="144">
        <f t="shared" si="467"/>
        <v>420</v>
      </c>
      <c r="AQ145" s="144">
        <f t="shared" si="468"/>
        <v>200.49177544252433</v>
      </c>
      <c r="AS145" s="5">
        <f t="shared" si="439"/>
        <v>4.9877357701721454</v>
      </c>
      <c r="AT145" s="5">
        <f t="shared" si="469"/>
        <v>1.8039418460543413</v>
      </c>
      <c r="AU145" s="5">
        <f t="shared" si="343"/>
        <v>3.1837939241178042</v>
      </c>
      <c r="AV145" s="5"/>
      <c r="AW145" s="150">
        <f t="shared" si="344"/>
        <v>0.36167550351049982</v>
      </c>
      <c r="AX145" s="150">
        <f t="shared" si="435"/>
        <v>2.1852778786397731</v>
      </c>
      <c r="AY145" s="150">
        <f t="shared" si="436"/>
        <v>0.43017081703950288</v>
      </c>
      <c r="AZ145" s="150">
        <f t="shared" si="440"/>
        <v>5.0800235443193662</v>
      </c>
      <c r="BA145" s="144">
        <f t="shared" si="433"/>
        <v>15.153111506856467</v>
      </c>
      <c r="BB145" s="5">
        <f t="shared" si="434"/>
        <v>0.31071688970076078</v>
      </c>
      <c r="BD145" s="150">
        <f t="shared" si="441"/>
        <v>0.46798113747215325</v>
      </c>
      <c r="BE145" s="150">
        <f t="shared" si="437"/>
        <v>0.62171243944636745</v>
      </c>
      <c r="BG145" s="456">
        <f t="shared" si="347"/>
        <v>4.3801269005946082E-3</v>
      </c>
      <c r="BH145" s="456">
        <f t="shared" si="470"/>
        <v>7.2891477441806143E-2</v>
      </c>
      <c r="BI145" s="456">
        <f t="shared" si="471"/>
        <v>4.4939135346505836E-2</v>
      </c>
      <c r="BJ145" s="456">
        <f t="shared" si="350"/>
        <v>4.1494978407074674E-3</v>
      </c>
      <c r="BK145">
        <f t="shared" si="351"/>
        <v>4.0346015912707429E-3</v>
      </c>
      <c r="BL145" s="144">
        <f t="shared" si="427"/>
        <v>48.973736937776586</v>
      </c>
      <c r="BM145" s="456">
        <f t="shared" si="472"/>
        <v>8.2689793215018126E-2</v>
      </c>
      <c r="BN145" s="144">
        <f t="shared" si="353"/>
        <v>82.689793215018128</v>
      </c>
      <c r="BO145" s="456">
        <f t="shared" si="354"/>
        <v>0.29399999999999998</v>
      </c>
      <c r="BR145" s="144">
        <f t="shared" si="355"/>
        <v>294</v>
      </c>
      <c r="BS145" s="456">
        <f t="shared" si="356"/>
        <v>6.5701903508919119E-3</v>
      </c>
      <c r="BT145" s="456">
        <f t="shared" si="357"/>
        <v>1.1595790720870594E-2</v>
      </c>
      <c r="BU145" s="456">
        <f t="shared" si="358"/>
        <v>6.0018478319037158E-2</v>
      </c>
      <c r="BV145" s="456"/>
      <c r="BW145" s="456">
        <f t="shared" si="359"/>
        <v>3.6421297977329558E-4</v>
      </c>
      <c r="BX145" s="144">
        <f t="shared" si="360"/>
        <v>78.548672370572959</v>
      </c>
      <c r="BY145" s="150">
        <f t="shared" si="361"/>
        <v>0.50294351149145777</v>
      </c>
      <c r="BZ145" s="5">
        <f t="shared" si="362"/>
        <v>2.1</v>
      </c>
      <c r="CA145" s="150">
        <f t="shared" si="363"/>
        <v>0.80677893727963512</v>
      </c>
      <c r="CB145" s="5">
        <f t="shared" si="364"/>
        <v>80.677893727963507</v>
      </c>
      <c r="CE145" s="59">
        <f t="shared" si="473"/>
        <v>-50</v>
      </c>
      <c r="CF145">
        <f t="shared" si="474"/>
        <v>-50</v>
      </c>
      <c r="CG145" s="150">
        <f t="shared" si="475"/>
        <v>0.6136997767857143</v>
      </c>
      <c r="CI145" s="147">
        <v>35</v>
      </c>
      <c r="CJ145" s="188">
        <f t="shared" si="428"/>
        <v>0.42</v>
      </c>
      <c r="CK145" s="188"/>
      <c r="CL145" s="188">
        <f t="shared" si="368"/>
        <v>2.1</v>
      </c>
      <c r="CM145" s="465">
        <f t="shared" si="369"/>
        <v>9</v>
      </c>
      <c r="CN145" s="379">
        <f t="shared" si="370"/>
        <v>5.4</v>
      </c>
      <c r="CO145" s="379">
        <f t="shared" si="371"/>
        <v>14.4</v>
      </c>
      <c r="CP145" s="379"/>
      <c r="CQ145" s="188">
        <f t="shared" si="372"/>
        <v>0.375</v>
      </c>
      <c r="CR145" s="149">
        <f t="shared" si="429"/>
        <v>8.4754687499999992</v>
      </c>
      <c r="CS145" s="149">
        <f t="shared" si="373"/>
        <v>2.1</v>
      </c>
      <c r="CT145" s="188">
        <f t="shared" si="374"/>
        <v>1.6950937499999998</v>
      </c>
      <c r="CU145" s="188">
        <f t="shared" si="375"/>
        <v>5</v>
      </c>
      <c r="CV145" s="188"/>
      <c r="CW145" s="149">
        <f t="shared" si="376"/>
        <v>44.65133740892486</v>
      </c>
      <c r="CX145" s="149">
        <f t="shared" si="377"/>
        <v>5</v>
      </c>
      <c r="CY145" s="188">
        <f t="shared" si="378"/>
        <v>1.2444444444444445</v>
      </c>
      <c r="CZ145" s="188">
        <f t="shared" si="379"/>
        <v>1.6592592592592592</v>
      </c>
      <c r="DA145" s="188">
        <f t="shared" si="380"/>
        <v>2.7654320987654319</v>
      </c>
      <c r="DB145" s="172">
        <f t="shared" si="381"/>
        <v>281.25</v>
      </c>
      <c r="DC145" s="379">
        <f t="shared" si="382"/>
        <v>226.00446428571431</v>
      </c>
      <c r="DE145" s="188">
        <f t="shared" si="383"/>
        <v>1</v>
      </c>
      <c r="DF145" s="150">
        <f t="shared" si="384"/>
        <v>2.2222222222222219</v>
      </c>
      <c r="DG145" s="150">
        <f t="shared" si="385"/>
        <v>0.31249999999999994</v>
      </c>
      <c r="DH145" s="150"/>
      <c r="DI145" s="150">
        <f t="shared" si="386"/>
        <v>2.2222222222222219</v>
      </c>
      <c r="DJ145" s="314">
        <f t="shared" si="387"/>
        <v>378</v>
      </c>
      <c r="DK145" s="456">
        <f t="shared" si="388"/>
        <v>0.31249999999999994</v>
      </c>
      <c r="DM145" s="150">
        <f t="shared" si="389"/>
        <v>1.0392304845413265</v>
      </c>
      <c r="DN145" s="150">
        <f t="shared" si="390"/>
        <v>1.2444444444444445</v>
      </c>
      <c r="DO145" s="150">
        <f t="shared" si="391"/>
        <v>1.3810699588477366</v>
      </c>
      <c r="DQ145" s="314">
        <f t="shared" si="392"/>
        <v>420</v>
      </c>
      <c r="DR145" s="144">
        <f t="shared" si="393"/>
        <v>226.00446428571431</v>
      </c>
      <c r="DT145">
        <f t="shared" si="430"/>
        <v>420</v>
      </c>
      <c r="DU145">
        <f t="shared" si="431"/>
        <v>226.00446428571431</v>
      </c>
      <c r="DW145" s="5">
        <f t="shared" si="394"/>
        <v>4.4246913580246909</v>
      </c>
      <c r="DX145" s="5">
        <f t="shared" si="395"/>
        <v>1.6592592592592592</v>
      </c>
      <c r="DY145" s="5">
        <f t="shared" si="396"/>
        <v>2.7654320987654319</v>
      </c>
      <c r="DZ145" s="5"/>
      <c r="EA145" s="150">
        <f t="shared" si="397"/>
        <v>0.375</v>
      </c>
      <c r="EB145" s="150">
        <f t="shared" si="398"/>
        <v>2.1</v>
      </c>
      <c r="EC145" s="150">
        <f t="shared" si="399"/>
        <v>0.3888888888888889</v>
      </c>
      <c r="ED145" s="150">
        <f t="shared" si="400"/>
        <v>5.4</v>
      </c>
      <c r="EE145" s="144">
        <f t="shared" si="401"/>
        <v>13.937777777777779</v>
      </c>
      <c r="EF145" s="5">
        <f t="shared" si="402"/>
        <v>0.26886145404663919</v>
      </c>
      <c r="EH145" s="150">
        <f t="shared" si="403"/>
        <v>0.43997755273829625</v>
      </c>
      <c r="EI145" s="150">
        <f t="shared" si="404"/>
        <v>0.56800857815350558</v>
      </c>
      <c r="EK145" s="456">
        <f t="shared" si="405"/>
        <v>3.8716049382716052E-3</v>
      </c>
      <c r="EL145" s="456">
        <f t="shared" si="406"/>
        <v>8.1000000000000016E-2</v>
      </c>
      <c r="EM145" s="456">
        <f t="shared" si="407"/>
        <v>2.8250558035714284E-2</v>
      </c>
      <c r="EN145" s="456">
        <f t="shared" si="408"/>
        <v>4.6864285714285723E-3</v>
      </c>
      <c r="EO145">
        <f t="shared" si="409"/>
        <v>4.0499999999999998E-3</v>
      </c>
      <c r="EP145" s="144">
        <f t="shared" si="410"/>
        <v>32.300558035714289</v>
      </c>
      <c r="EQ145" s="144"/>
      <c r="ER145" s="144">
        <f t="shared" si="432"/>
        <v>121.85859154541448</v>
      </c>
      <c r="ES145" s="456">
        <f t="shared" si="411"/>
        <v>0.29399999999999998</v>
      </c>
      <c r="EV145" s="144">
        <f t="shared" si="412"/>
        <v>294</v>
      </c>
      <c r="EW145" s="456">
        <f t="shared" si="413"/>
        <v>5.807407407407407E-3</v>
      </c>
      <c r="EX145" s="456">
        <f t="shared" si="414"/>
        <v>9.6790123456790122E-3</v>
      </c>
      <c r="EY145" s="456">
        <f t="shared" si="415"/>
        <v>6.6328676578668158E-2</v>
      </c>
      <c r="EZ145" s="456"/>
      <c r="FA145" s="456">
        <f t="shared" si="416"/>
        <v>3.500000000000001E-4</v>
      </c>
      <c r="FB145" s="144">
        <f t="shared" si="417"/>
        <v>82.165096331754569</v>
      </c>
      <c r="FC145" s="150">
        <f t="shared" si="418"/>
        <v>0.49802368787716911</v>
      </c>
      <c r="FD145" s="5">
        <f t="shared" si="419"/>
        <v>2.1</v>
      </c>
      <c r="FE145" s="150">
        <f t="shared" si="420"/>
        <v>0.80830671783285346</v>
      </c>
      <c r="FF145" s="5">
        <f t="shared" si="421"/>
        <v>80.830671783285339</v>
      </c>
      <c r="FI145" s="59">
        <f t="shared" si="422"/>
        <v>-50</v>
      </c>
      <c r="FJ145">
        <f t="shared" si="423"/>
        <v>-50</v>
      </c>
      <c r="FL145">
        <f t="shared" si="476"/>
        <v>0.625</v>
      </c>
    </row>
    <row r="146" spans="5:168">
      <c r="E146" s="147">
        <v>36</v>
      </c>
      <c r="F146" s="188">
        <f t="shared" si="477"/>
        <v>0.432</v>
      </c>
      <c r="G146" s="188"/>
      <c r="H146" s="188">
        <f t="shared" si="442"/>
        <v>2.16</v>
      </c>
      <c r="I146" s="465">
        <f t="shared" si="443"/>
        <v>8.9648216302186885</v>
      </c>
      <c r="J146" s="149">
        <f t="shared" si="444"/>
        <v>5.4211070218687878</v>
      </c>
      <c r="K146" s="149">
        <f t="shared" si="445"/>
        <v>14.385928652087475</v>
      </c>
      <c r="L146" s="379"/>
      <c r="M146" s="188">
        <f t="shared" si="446"/>
        <v>0.37681792665534614</v>
      </c>
      <c r="N146" s="149">
        <f t="shared" si="447"/>
        <v>8.4832674357047733</v>
      </c>
      <c r="O146" s="149">
        <f t="shared" si="438"/>
        <v>2.16</v>
      </c>
      <c r="P146" s="188">
        <f t="shared" si="448"/>
        <v>1.6966534871409547</v>
      </c>
      <c r="Q146" s="188">
        <f t="shared" si="449"/>
        <v>5</v>
      </c>
      <c r="R146" s="188"/>
      <c r="S146" s="149">
        <f t="shared" si="450"/>
        <v>42.997562898460778</v>
      </c>
      <c r="T146" s="149">
        <f t="shared" si="451"/>
        <v>5</v>
      </c>
      <c r="U146" s="188">
        <f t="shared" si="452"/>
        <v>1.3864326927166928</v>
      </c>
      <c r="V146" s="188">
        <f t="shared" si="453"/>
        <v>1.8558308239529875</v>
      </c>
      <c r="W146" s="188">
        <f t="shared" si="454"/>
        <v>3.0689658487622085</v>
      </c>
      <c r="X146" s="172">
        <f t="shared" si="455"/>
        <v>281.5207986956969</v>
      </c>
      <c r="Y146" s="379">
        <f t="shared" si="328"/>
        <v>195.12969272011813</v>
      </c>
      <c r="AA146" s="188">
        <f t="shared" si="456"/>
        <v>0.99999999999999978</v>
      </c>
      <c r="AB146" s="150">
        <f t="shared" si="457"/>
        <v>2.2135700239069078</v>
      </c>
      <c r="AC146" s="150">
        <f t="shared" si="458"/>
        <v>0.31158300054956273</v>
      </c>
      <c r="AD146" s="150"/>
      <c r="AE146" s="150">
        <f t="shared" si="459"/>
        <v>2.2135700239069083</v>
      </c>
      <c r="AF146" s="314">
        <f t="shared" si="460"/>
        <v>390.3197055745527</v>
      </c>
      <c r="AG146" s="456">
        <f t="shared" si="461"/>
        <v>0.31158300054956284</v>
      </c>
      <c r="AI146" s="150">
        <f t="shared" si="462"/>
        <v>1.0560299043040573</v>
      </c>
      <c r="AJ146" s="150">
        <f t="shared" si="463"/>
        <v>1.3864326927166928</v>
      </c>
      <c r="AK146" s="150">
        <f t="shared" si="464"/>
        <v>1.4862464390494021</v>
      </c>
      <c r="AM146" s="314">
        <f t="shared" si="465"/>
        <v>432</v>
      </c>
      <c r="AN146" s="144">
        <f t="shared" si="466"/>
        <v>195.12969272011813</v>
      </c>
      <c r="AP146" s="144">
        <f t="shared" si="467"/>
        <v>432</v>
      </c>
      <c r="AQ146" s="144">
        <f t="shared" si="468"/>
        <v>195.12969272011813</v>
      </c>
      <c r="AS146" s="5">
        <f t="shared" si="439"/>
        <v>5.1247966727151963</v>
      </c>
      <c r="AT146" s="5">
        <f t="shared" si="469"/>
        <v>1.8558308239529875</v>
      </c>
      <c r="AU146" s="5">
        <f t="shared" si="343"/>
        <v>3.2689658487622086</v>
      </c>
      <c r="AV146" s="5"/>
      <c r="AW146" s="150">
        <f t="shared" si="344"/>
        <v>0.36212769841847009</v>
      </c>
      <c r="AX146" s="150">
        <f t="shared" si="435"/>
        <v>2.250464634042058</v>
      </c>
      <c r="AY146" s="150">
        <f t="shared" si="436"/>
        <v>0.44218350634553744</v>
      </c>
      <c r="AZ146" s="150">
        <f t="shared" si="440"/>
        <v>5.0894359507915867</v>
      </c>
      <c r="BA146" s="144">
        <f t="shared" si="433"/>
        <v>16.034378318953813</v>
      </c>
      <c r="BB146" s="5">
        <f t="shared" si="434"/>
        <v>0.32817934201488608</v>
      </c>
      <c r="BD146" s="150">
        <f t="shared" si="441"/>
        <v>0.48169155853047529</v>
      </c>
      <c r="BE146" s="150">
        <f t="shared" si="437"/>
        <v>0.6393004871876512</v>
      </c>
      <c r="BG146" s="456">
        <f t="shared" si="347"/>
        <v>4.6405351511903661E-3</v>
      </c>
      <c r="BH146" s="456">
        <f t="shared" si="470"/>
        <v>7.2972852895803145E-2</v>
      </c>
      <c r="BI146" s="456">
        <f t="shared" si="471"/>
        <v>4.373257224988103E-2</v>
      </c>
      <c r="BJ146" s="456">
        <f t="shared" si="350"/>
        <v>4.038305447019881E-3</v>
      </c>
      <c r="BK146">
        <f t="shared" si="351"/>
        <v>4.0341697335984101E-3</v>
      </c>
      <c r="BL146" s="144">
        <f t="shared" si="427"/>
        <v>47.766741983479442</v>
      </c>
      <c r="BM146" s="456">
        <f t="shared" si="472"/>
        <v>8.2996148804149919E-2</v>
      </c>
      <c r="BN146" s="144">
        <f t="shared" si="353"/>
        <v>82.996148804149925</v>
      </c>
      <c r="BO146" s="456">
        <f t="shared" si="354"/>
        <v>0.3024</v>
      </c>
      <c r="BR146" s="144">
        <f t="shared" si="355"/>
        <v>302.39999999999998</v>
      </c>
      <c r="BS146" s="456">
        <f t="shared" si="356"/>
        <v>6.9608027267855487E-3</v>
      </c>
      <c r="BT146" s="456">
        <f t="shared" si="357"/>
        <v>1.2261153387551045E-2</v>
      </c>
      <c r="BU146" s="456">
        <f t="shared" si="358"/>
        <v>6.0190144046479155E-2</v>
      </c>
      <c r="BV146" s="456"/>
      <c r="BW146" s="456">
        <f t="shared" si="359"/>
        <v>3.7507743900700965E-4</v>
      </c>
      <c r="BX146" s="144">
        <f t="shared" si="360"/>
        <v>79.787177599822755</v>
      </c>
      <c r="BY146" s="150">
        <f t="shared" si="361"/>
        <v>0.51160561307731567</v>
      </c>
      <c r="BZ146" s="5">
        <f t="shared" si="362"/>
        <v>2.16</v>
      </c>
      <c r="CA146" s="150">
        <f t="shared" si="363"/>
        <v>0.80850256842812307</v>
      </c>
      <c r="CB146" s="5">
        <f t="shared" si="364"/>
        <v>80.850256842812314</v>
      </c>
      <c r="CE146" s="59">
        <f t="shared" si="473"/>
        <v>-50</v>
      </c>
      <c r="CF146">
        <f t="shared" si="474"/>
        <v>-50</v>
      </c>
      <c r="CG146" s="150">
        <f t="shared" si="475"/>
        <v>0.614013671875</v>
      </c>
      <c r="CI146" s="147">
        <v>36</v>
      </c>
      <c r="CJ146" s="188">
        <f t="shared" si="428"/>
        <v>0.432</v>
      </c>
      <c r="CK146" s="188"/>
      <c r="CL146" s="188">
        <f t="shared" si="368"/>
        <v>2.16</v>
      </c>
      <c r="CM146" s="465">
        <f t="shared" si="369"/>
        <v>9</v>
      </c>
      <c r="CN146" s="379">
        <f t="shared" si="370"/>
        <v>5.4</v>
      </c>
      <c r="CO146" s="379">
        <f t="shared" si="371"/>
        <v>14.4</v>
      </c>
      <c r="CP146" s="379"/>
      <c r="CQ146" s="188">
        <f t="shared" si="372"/>
        <v>0.375</v>
      </c>
      <c r="CR146" s="149">
        <f t="shared" si="429"/>
        <v>8.4754687499999992</v>
      </c>
      <c r="CS146" s="149">
        <f t="shared" si="373"/>
        <v>2.16</v>
      </c>
      <c r="CT146" s="188">
        <f t="shared" si="374"/>
        <v>1.6950937499999998</v>
      </c>
      <c r="CU146" s="188">
        <f t="shared" si="375"/>
        <v>5</v>
      </c>
      <c r="CV146" s="188"/>
      <c r="CW146" s="149">
        <f t="shared" si="376"/>
        <v>43.165966642712725</v>
      </c>
      <c r="CX146" s="149">
        <f t="shared" si="377"/>
        <v>5</v>
      </c>
      <c r="CY146" s="188">
        <f t="shared" si="378"/>
        <v>1.28</v>
      </c>
      <c r="CZ146" s="188">
        <f t="shared" si="379"/>
        <v>1.706666666666667</v>
      </c>
      <c r="DA146" s="188">
        <f t="shared" si="380"/>
        <v>2.8444444444444446</v>
      </c>
      <c r="DB146" s="172">
        <f t="shared" si="381"/>
        <v>281.25</v>
      </c>
      <c r="DC146" s="379">
        <f t="shared" si="382"/>
        <v>219.72656249999994</v>
      </c>
      <c r="DE146" s="188">
        <f t="shared" si="383"/>
        <v>1</v>
      </c>
      <c r="DF146" s="150">
        <f t="shared" si="384"/>
        <v>2.2222222222222219</v>
      </c>
      <c r="DG146" s="150">
        <f t="shared" si="385"/>
        <v>0.31249999999999994</v>
      </c>
      <c r="DH146" s="150"/>
      <c r="DI146" s="150">
        <f t="shared" si="386"/>
        <v>2.2222222222222219</v>
      </c>
      <c r="DJ146" s="314">
        <f t="shared" si="387"/>
        <v>388.8</v>
      </c>
      <c r="DK146" s="456">
        <f t="shared" si="388"/>
        <v>0.31249999999999994</v>
      </c>
      <c r="DM146" s="150">
        <f t="shared" si="389"/>
        <v>1.0539720787844158</v>
      </c>
      <c r="DN146" s="150">
        <f t="shared" si="390"/>
        <v>1.28</v>
      </c>
      <c r="DO146" s="150">
        <f t="shared" si="391"/>
        <v>1.4074074074074074</v>
      </c>
      <c r="DQ146" s="314">
        <f t="shared" si="392"/>
        <v>432</v>
      </c>
      <c r="DR146" s="144">
        <f t="shared" si="393"/>
        <v>219.72656249999994</v>
      </c>
      <c r="DT146">
        <f t="shared" si="430"/>
        <v>432</v>
      </c>
      <c r="DU146">
        <f t="shared" si="431"/>
        <v>219.72656249999994</v>
      </c>
      <c r="DW146" s="5">
        <f t="shared" si="394"/>
        <v>4.5511111111111129</v>
      </c>
      <c r="DX146" s="5">
        <f t="shared" si="395"/>
        <v>1.706666666666667</v>
      </c>
      <c r="DY146" s="5">
        <f t="shared" si="396"/>
        <v>2.8444444444444459</v>
      </c>
      <c r="DZ146" s="5"/>
      <c r="EA146" s="150">
        <f t="shared" si="397"/>
        <v>0.37499999999999994</v>
      </c>
      <c r="EB146" s="150">
        <f t="shared" si="398"/>
        <v>2.1599999999999997</v>
      </c>
      <c r="EC146" s="150">
        <f t="shared" si="399"/>
        <v>0.4</v>
      </c>
      <c r="ED146" s="150">
        <f t="shared" si="400"/>
        <v>5.3999999999999986</v>
      </c>
      <c r="EE146" s="144">
        <f t="shared" si="401"/>
        <v>14.745600000000003</v>
      </c>
      <c r="EF146" s="5">
        <f t="shared" si="402"/>
        <v>0.28444444444444456</v>
      </c>
      <c r="EH146" s="150">
        <f t="shared" si="403"/>
        <v>0.45254833995939037</v>
      </c>
      <c r="EI146" s="150">
        <f t="shared" si="404"/>
        <v>0.58423739467217728</v>
      </c>
      <c r="EK146" s="456">
        <f t="shared" si="405"/>
        <v>4.0959999999999989E-3</v>
      </c>
      <c r="EL146" s="456">
        <f t="shared" si="406"/>
        <v>8.0999999999999989E-2</v>
      </c>
      <c r="EM146" s="456">
        <f t="shared" si="407"/>
        <v>2.746582031249999E-2</v>
      </c>
      <c r="EN146" s="456">
        <f t="shared" si="408"/>
        <v>4.5562499999999987E-3</v>
      </c>
      <c r="EO146">
        <f t="shared" si="409"/>
        <v>4.0499999999999998E-3</v>
      </c>
      <c r="EP146" s="144">
        <f t="shared" si="410"/>
        <v>31.51582031249999</v>
      </c>
      <c r="EQ146" s="144"/>
      <c r="ER146" s="144">
        <f t="shared" si="432"/>
        <v>121.16807031249998</v>
      </c>
      <c r="ES146" s="456">
        <f t="shared" si="411"/>
        <v>0.3024</v>
      </c>
      <c r="EV146" s="144">
        <f t="shared" si="412"/>
        <v>302.39999999999998</v>
      </c>
      <c r="EW146" s="456">
        <f t="shared" si="413"/>
        <v>6.1439999999999984E-3</v>
      </c>
      <c r="EX146" s="456">
        <f t="shared" si="414"/>
        <v>1.0240000000000003E-2</v>
      </c>
      <c r="EY146" s="456">
        <f t="shared" si="415"/>
        <v>6.6328676578668033E-2</v>
      </c>
      <c r="EZ146" s="456"/>
      <c r="FA146" s="456">
        <f t="shared" si="416"/>
        <v>3.5999999999999997E-4</v>
      </c>
      <c r="FB146" s="144">
        <f t="shared" si="417"/>
        <v>83.072676578668037</v>
      </c>
      <c r="FC146" s="150">
        <f t="shared" si="418"/>
        <v>0.50664074689116811</v>
      </c>
      <c r="FD146" s="5">
        <f t="shared" si="419"/>
        <v>2.16</v>
      </c>
      <c r="FE146" s="150">
        <f t="shared" si="420"/>
        <v>0.81000787320833467</v>
      </c>
      <c r="FF146" s="5">
        <f t="shared" si="421"/>
        <v>81.000787320833467</v>
      </c>
      <c r="FI146" s="59">
        <f t="shared" si="422"/>
        <v>-50</v>
      </c>
      <c r="FJ146">
        <f t="shared" si="423"/>
        <v>-50</v>
      </c>
      <c r="FL146">
        <f t="shared" si="476"/>
        <v>0.625</v>
      </c>
    </row>
    <row r="147" spans="5:168">
      <c r="E147" s="147">
        <v>37</v>
      </c>
      <c r="F147" s="188">
        <f t="shared" si="477"/>
        <v>0.44400000000000001</v>
      </c>
      <c r="G147" s="188"/>
      <c r="H147" s="188">
        <f t="shared" si="442"/>
        <v>2.2200000000000002</v>
      </c>
      <c r="I147" s="465">
        <f t="shared" si="443"/>
        <v>8.9638619291084858</v>
      </c>
      <c r="J147" s="149">
        <f t="shared" si="444"/>
        <v>5.4216828425349091</v>
      </c>
      <c r="K147" s="149">
        <f t="shared" si="445"/>
        <v>14.385544771643396</v>
      </c>
      <c r="L147" s="379"/>
      <c r="M147" s="188">
        <f t="shared" si="446"/>
        <v>0.37686801888644134</v>
      </c>
      <c r="N147" s="149">
        <f t="shared" si="447"/>
        <v>8.4834868869632132</v>
      </c>
      <c r="O147" s="149">
        <f t="shared" si="438"/>
        <v>2.2200000000000002</v>
      </c>
      <c r="P147" s="188">
        <f t="shared" si="448"/>
        <v>1.6966973773926426</v>
      </c>
      <c r="Q147" s="188">
        <f t="shared" si="449"/>
        <v>5</v>
      </c>
      <c r="R147" s="188"/>
      <c r="S147" s="149">
        <f t="shared" si="450"/>
        <v>41.593716505163435</v>
      </c>
      <c r="T147" s="149">
        <f t="shared" si="451"/>
        <v>5</v>
      </c>
      <c r="U147" s="188">
        <f t="shared" si="452"/>
        <v>1.4250592601797021</v>
      </c>
      <c r="V147" s="188">
        <f t="shared" si="453"/>
        <v>1.9077392375517326</v>
      </c>
      <c r="W147" s="188">
        <f t="shared" si="454"/>
        <v>3.1541334339950038</v>
      </c>
      <c r="X147" s="172">
        <f t="shared" si="455"/>
        <v>281.52807323465379</v>
      </c>
      <c r="Y147" s="379">
        <f t="shared" si="328"/>
        <v>190.04640788961703</v>
      </c>
      <c r="AA147" s="188">
        <f t="shared" si="456"/>
        <v>0.99999999999999978</v>
      </c>
      <c r="AB147" s="150">
        <f t="shared" si="457"/>
        <v>2.2133349272768221</v>
      </c>
      <c r="AC147" s="150">
        <f t="shared" si="458"/>
        <v>0.31155795874960307</v>
      </c>
      <c r="AD147" s="150"/>
      <c r="AE147" s="150">
        <f t="shared" si="459"/>
        <v>2.213334927276823</v>
      </c>
      <c r="AF147" s="314">
        <f t="shared" si="460"/>
        <v>401.20453034758322</v>
      </c>
      <c r="AG147" s="456">
        <f t="shared" si="461"/>
        <v>0.31155795874960329</v>
      </c>
      <c r="AI147" s="150">
        <f t="shared" si="462"/>
        <v>1.0706533790802475</v>
      </c>
      <c r="AJ147" s="150">
        <f t="shared" si="463"/>
        <v>1.4250592601797021</v>
      </c>
      <c r="AK147" s="150">
        <f t="shared" si="464"/>
        <v>1.5148587112442238</v>
      </c>
      <c r="AM147" s="314">
        <f t="shared" si="465"/>
        <v>444</v>
      </c>
      <c r="AN147" s="144">
        <f t="shared" si="466"/>
        <v>190.04640788961703</v>
      </c>
      <c r="AP147" s="144">
        <f t="shared" si="467"/>
        <v>444</v>
      </c>
      <c r="AQ147" s="144">
        <f t="shared" si="468"/>
        <v>190.04640788961703</v>
      </c>
      <c r="AS147" s="5">
        <f t="shared" si="439"/>
        <v>5.2618726715467368</v>
      </c>
      <c r="AT147" s="5">
        <f t="shared" si="469"/>
        <v>1.9077392375517326</v>
      </c>
      <c r="AU147" s="5">
        <f t="shared" si="343"/>
        <v>3.3541334339950044</v>
      </c>
      <c r="AV147" s="5"/>
      <c r="AW147" s="150">
        <f t="shared" si="344"/>
        <v>0.3625589892867836</v>
      </c>
      <c r="AX147" s="150">
        <f t="shared" si="435"/>
        <v>2.3156705094807597</v>
      </c>
      <c r="AY147" s="150">
        <f t="shared" si="436"/>
        <v>0.45419560756758892</v>
      </c>
      <c r="AZ147" s="150">
        <f t="shared" si="440"/>
        <v>5.0983991718505655</v>
      </c>
      <c r="BA147" s="144">
        <f t="shared" si="433"/>
        <v>16.940724429459387</v>
      </c>
      <c r="BB147" s="5">
        <f t="shared" si="434"/>
        <v>0.3461201713036593</v>
      </c>
      <c r="BD147" s="150">
        <f t="shared" si="441"/>
        <v>0.49540642642502558</v>
      </c>
      <c r="BE147" s="150">
        <f t="shared" si="437"/>
        <v>0.65688946634733936</v>
      </c>
      <c r="BG147" s="456">
        <f t="shared" si="347"/>
        <v>4.9085505468642859E-3</v>
      </c>
      <c r="BH147" s="456">
        <f t="shared" si="470"/>
        <v>7.3049992378713929E-2</v>
      </c>
      <c r="BI147" s="456">
        <f t="shared" si="471"/>
        <v>4.2588744011139011E-2</v>
      </c>
      <c r="BJ147" s="456">
        <f t="shared" si="350"/>
        <v>3.9328944521214559E-3</v>
      </c>
      <c r="BK147">
        <f t="shared" si="351"/>
        <v>4.0337378680988184E-3</v>
      </c>
      <c r="BL147" s="144">
        <f t="shared" si="427"/>
        <v>46.622481879237831</v>
      </c>
      <c r="BM147" s="456">
        <f t="shared" si="472"/>
        <v>8.3313912676420146E-2</v>
      </c>
      <c r="BN147" s="144">
        <f t="shared" si="353"/>
        <v>83.313912676420145</v>
      </c>
      <c r="BO147" s="456">
        <f t="shared" si="354"/>
        <v>0.31079999999999997</v>
      </c>
      <c r="BR147" s="144">
        <f t="shared" si="355"/>
        <v>310.79999999999995</v>
      </c>
      <c r="BS147" s="456">
        <f t="shared" si="356"/>
        <v>7.3628258202964288E-3</v>
      </c>
      <c r="BT147" s="456">
        <f t="shared" si="357"/>
        <v>1.2945113129942768E-2</v>
      </c>
      <c r="BU147" s="456">
        <f t="shared" si="358"/>
        <v>6.0353363595597162E-2</v>
      </c>
      <c r="BV147" s="456"/>
      <c r="BW147" s="456">
        <f t="shared" si="359"/>
        <v>3.8594508491346006E-4</v>
      </c>
      <c r="BX147" s="144">
        <f t="shared" si="360"/>
        <v>81.047247630749837</v>
      </c>
      <c r="BY147" s="150">
        <f t="shared" si="361"/>
        <v>0.52036116688768719</v>
      </c>
      <c r="BZ147" s="5">
        <f t="shared" si="362"/>
        <v>2.2200000000000002</v>
      </c>
      <c r="CA147" s="150">
        <f t="shared" si="363"/>
        <v>0.81011219499994691</v>
      </c>
      <c r="CB147" s="5">
        <f t="shared" si="364"/>
        <v>81.011219499994695</v>
      </c>
      <c r="CE147" s="59">
        <f t="shared" si="473"/>
        <v>-50</v>
      </c>
      <c r="CF147">
        <f t="shared" si="474"/>
        <v>-50</v>
      </c>
      <c r="CG147" s="150">
        <f t="shared" si="475"/>
        <v>0.61431059966216217</v>
      </c>
      <c r="CI147" s="147">
        <v>37</v>
      </c>
      <c r="CJ147" s="188">
        <f t="shared" si="428"/>
        <v>0.44400000000000001</v>
      </c>
      <c r="CK147" s="188"/>
      <c r="CL147" s="188">
        <f t="shared" si="368"/>
        <v>2.2200000000000002</v>
      </c>
      <c r="CM147" s="465">
        <f t="shared" si="369"/>
        <v>9</v>
      </c>
      <c r="CN147" s="379">
        <f t="shared" si="370"/>
        <v>5.4</v>
      </c>
      <c r="CO147" s="379">
        <f t="shared" si="371"/>
        <v>14.4</v>
      </c>
      <c r="CP147" s="379"/>
      <c r="CQ147" s="188">
        <f t="shared" si="372"/>
        <v>0.375</v>
      </c>
      <c r="CR147" s="149">
        <f t="shared" si="429"/>
        <v>8.4754687499999992</v>
      </c>
      <c r="CS147" s="149">
        <f t="shared" si="373"/>
        <v>2.2200000000000002</v>
      </c>
      <c r="CT147" s="188">
        <f t="shared" si="374"/>
        <v>1.6950937499999998</v>
      </c>
      <c r="CU147" s="188">
        <f t="shared" si="375"/>
        <v>5</v>
      </c>
      <c r="CV147" s="188"/>
      <c r="CW147" s="149">
        <f t="shared" si="376"/>
        <v>41.761062518060342</v>
      </c>
      <c r="CX147" s="149">
        <f t="shared" si="377"/>
        <v>5</v>
      </c>
      <c r="CY147" s="188">
        <f t="shared" si="378"/>
        <v>1.3155555555555556</v>
      </c>
      <c r="CZ147" s="188">
        <f t="shared" si="379"/>
        <v>1.7540740740740743</v>
      </c>
      <c r="DA147" s="188">
        <f t="shared" si="380"/>
        <v>2.9234567901234572</v>
      </c>
      <c r="DB147" s="172">
        <f t="shared" si="381"/>
        <v>281.25</v>
      </c>
      <c r="DC147" s="379">
        <f t="shared" si="382"/>
        <v>213.78800675675674</v>
      </c>
      <c r="DE147" s="188">
        <f t="shared" si="383"/>
        <v>1</v>
      </c>
      <c r="DF147" s="150">
        <f t="shared" si="384"/>
        <v>2.2222222222222219</v>
      </c>
      <c r="DG147" s="150">
        <f t="shared" si="385"/>
        <v>0.31249999999999994</v>
      </c>
      <c r="DH147" s="150"/>
      <c r="DI147" s="150">
        <f t="shared" si="386"/>
        <v>2.2222222222222219</v>
      </c>
      <c r="DJ147" s="314">
        <f t="shared" si="387"/>
        <v>399.60000000000008</v>
      </c>
      <c r="DK147" s="456">
        <f t="shared" si="388"/>
        <v>0.31249999999999994</v>
      </c>
      <c r="DM147" s="150">
        <f t="shared" si="389"/>
        <v>1.0685103114683947</v>
      </c>
      <c r="DN147" s="150">
        <f t="shared" si="390"/>
        <v>1.3155555555555556</v>
      </c>
      <c r="DO147" s="150">
        <f t="shared" si="391"/>
        <v>1.4337448559670782</v>
      </c>
      <c r="DQ147" s="314">
        <f t="shared" si="392"/>
        <v>444</v>
      </c>
      <c r="DR147" s="144">
        <f t="shared" si="393"/>
        <v>213.78800675675674</v>
      </c>
      <c r="DT147">
        <f t="shared" si="430"/>
        <v>444</v>
      </c>
      <c r="DU147">
        <f t="shared" si="431"/>
        <v>213.78800675675674</v>
      </c>
      <c r="DW147" s="5">
        <f t="shared" si="394"/>
        <v>4.6775308641975313</v>
      </c>
      <c r="DX147" s="5">
        <f t="shared" si="395"/>
        <v>1.7540740740740743</v>
      </c>
      <c r="DY147" s="5">
        <f t="shared" si="396"/>
        <v>2.9234567901234572</v>
      </c>
      <c r="DZ147" s="5"/>
      <c r="EA147" s="150">
        <f t="shared" si="397"/>
        <v>0.375</v>
      </c>
      <c r="EB147" s="150">
        <f t="shared" si="398"/>
        <v>2.2199999999999998</v>
      </c>
      <c r="EC147" s="150">
        <f t="shared" si="399"/>
        <v>0.41111111111111109</v>
      </c>
      <c r="ED147" s="150">
        <f t="shared" si="400"/>
        <v>5.3999999999999995</v>
      </c>
      <c r="EE147" s="144">
        <f t="shared" si="401"/>
        <v>15.576177777777779</v>
      </c>
      <c r="EF147" s="5">
        <f t="shared" si="402"/>
        <v>0.30046639231824424</v>
      </c>
      <c r="EH147" s="150">
        <f t="shared" si="403"/>
        <v>0.46511912718048465</v>
      </c>
      <c r="EI147" s="150">
        <f t="shared" si="404"/>
        <v>0.60046621119084886</v>
      </c>
      <c r="EK147" s="456">
        <f t="shared" si="405"/>
        <v>4.3267160493827171E-3</v>
      </c>
      <c r="EL147" s="456">
        <f t="shared" si="406"/>
        <v>8.1000000000000016E-2</v>
      </c>
      <c r="EM147" s="456">
        <f t="shared" si="407"/>
        <v>2.6723500844594593E-2</v>
      </c>
      <c r="EN147" s="456">
        <f t="shared" si="408"/>
        <v>4.4331081081081074E-3</v>
      </c>
      <c r="EO147">
        <f t="shared" si="409"/>
        <v>4.0499999999999998E-3</v>
      </c>
      <c r="EP147" s="144">
        <f t="shared" si="410"/>
        <v>30.77350084459459</v>
      </c>
      <c r="EQ147" s="144"/>
      <c r="ER147" s="144">
        <f t="shared" si="432"/>
        <v>120.53332500208542</v>
      </c>
      <c r="ES147" s="456">
        <f t="shared" si="411"/>
        <v>0.31079999999999997</v>
      </c>
      <c r="EV147" s="144">
        <f t="shared" si="412"/>
        <v>310.79999999999995</v>
      </c>
      <c r="EW147" s="456">
        <f t="shared" si="413"/>
        <v>6.4900740740740761E-3</v>
      </c>
      <c r="EX147" s="456">
        <f t="shared" si="414"/>
        <v>1.0816790123456793E-2</v>
      </c>
      <c r="EY147" s="456">
        <f t="shared" si="415"/>
        <v>6.6328676578668144E-2</v>
      </c>
      <c r="EZ147" s="456"/>
      <c r="FA147" s="456">
        <f t="shared" si="416"/>
        <v>3.6999999999999999E-4</v>
      </c>
      <c r="FB147" s="144">
        <f t="shared" si="417"/>
        <v>84.005540776199012</v>
      </c>
      <c r="FC147" s="150">
        <f t="shared" si="418"/>
        <v>0.51533886577828436</v>
      </c>
      <c r="FD147" s="5">
        <f t="shared" si="419"/>
        <v>2.2200000000000002</v>
      </c>
      <c r="FE147" s="150">
        <f t="shared" si="420"/>
        <v>0.81159962583588141</v>
      </c>
      <c r="FF147" s="5">
        <f t="shared" si="421"/>
        <v>81.15996258358814</v>
      </c>
      <c r="FI147" s="59">
        <f t="shared" si="422"/>
        <v>-50</v>
      </c>
      <c r="FJ147">
        <f t="shared" si="423"/>
        <v>-50</v>
      </c>
      <c r="FL147">
        <f t="shared" si="476"/>
        <v>0.625</v>
      </c>
    </row>
    <row r="148" spans="5:168">
      <c r="E148" s="147">
        <v>38</v>
      </c>
      <c r="F148" s="188">
        <f t="shared" si="477"/>
        <v>0.45599999999999996</v>
      </c>
      <c r="G148" s="188"/>
      <c r="H148" s="188">
        <f t="shared" si="442"/>
        <v>2.2799999999999998</v>
      </c>
      <c r="I148" s="465">
        <f t="shared" si="443"/>
        <v>8.9629022120008361</v>
      </c>
      <c r="J148" s="149">
        <f t="shared" si="444"/>
        <v>5.4222586727994981</v>
      </c>
      <c r="K148" s="149">
        <f t="shared" si="445"/>
        <v>14.385160884800335</v>
      </c>
      <c r="L148" s="379"/>
      <c r="M148" s="188">
        <f t="shared" si="446"/>
        <v>0.37691811420903915</v>
      </c>
      <c r="N148" s="149">
        <f t="shared" si="447"/>
        <v>8.4837061512138092</v>
      </c>
      <c r="O148" s="149">
        <f t="shared" si="438"/>
        <v>2.2799999999999998</v>
      </c>
      <c r="P148" s="188">
        <f t="shared" si="448"/>
        <v>1.6967412302427618</v>
      </c>
      <c r="Q148" s="188">
        <f t="shared" si="449"/>
        <v>5</v>
      </c>
      <c r="R148" s="188"/>
      <c r="S148" s="149">
        <f t="shared" si="450"/>
        <v>40.263981570736128</v>
      </c>
      <c r="T148" s="149">
        <f t="shared" si="451"/>
        <v>5</v>
      </c>
      <c r="U148" s="188">
        <f t="shared" si="452"/>
        <v>1.4636920456165676</v>
      </c>
      <c r="V148" s="188">
        <f t="shared" si="453"/>
        <v>1.9596670957629292</v>
      </c>
      <c r="W148" s="188">
        <f t="shared" si="454"/>
        <v>3.2392966856246286</v>
      </c>
      <c r="X148" s="172">
        <f t="shared" si="455"/>
        <v>281.53534188036235</v>
      </c>
      <c r="Y148" s="379">
        <f t="shared" si="328"/>
        <v>185.22072762321724</v>
      </c>
      <c r="AA148" s="188">
        <f t="shared" si="456"/>
        <v>1</v>
      </c>
      <c r="AB148" s="150">
        <f t="shared" si="457"/>
        <v>2.2130998766616261</v>
      </c>
      <c r="AC148" s="150">
        <f t="shared" si="458"/>
        <v>0.31153291519565929</v>
      </c>
      <c r="AD148" s="150"/>
      <c r="AE148" s="150">
        <f t="shared" si="459"/>
        <v>2.2130998766616261</v>
      </c>
      <c r="AF148" s="314">
        <f t="shared" si="460"/>
        <v>412.09165913276183</v>
      </c>
      <c r="AG148" s="456">
        <f t="shared" si="461"/>
        <v>0.31153291519565934</v>
      </c>
      <c r="AI148" s="150">
        <f t="shared" si="462"/>
        <v>1.0850828265064927</v>
      </c>
      <c r="AJ148" s="150">
        <f t="shared" si="463"/>
        <v>1.4636920456165676</v>
      </c>
      <c r="AK148" s="150">
        <f t="shared" si="464"/>
        <v>1.5434755893456056</v>
      </c>
      <c r="AM148" s="314">
        <f t="shared" si="465"/>
        <v>455.99999999999994</v>
      </c>
      <c r="AN148" s="144">
        <f t="shared" si="466"/>
        <v>185.22072762321724</v>
      </c>
      <c r="AP148" s="144">
        <f t="shared" si="467"/>
        <v>455.99999999999994</v>
      </c>
      <c r="AQ148" s="144">
        <f t="shared" si="468"/>
        <v>185.22072762321724</v>
      </c>
      <c r="AS148" s="5">
        <f t="shared" si="439"/>
        <v>5.3989637813875584</v>
      </c>
      <c r="AT148" s="5">
        <f t="shared" si="469"/>
        <v>1.9596670957629292</v>
      </c>
      <c r="AU148" s="5">
        <f t="shared" si="343"/>
        <v>3.4392966856246292</v>
      </c>
      <c r="AV148" s="5"/>
      <c r="AW148" s="150">
        <f t="shared" si="344"/>
        <v>0.36297096537648671</v>
      </c>
      <c r="AX148" s="150">
        <f t="shared" si="435"/>
        <v>2.3808951026346103</v>
      </c>
      <c r="AY148" s="150">
        <f t="shared" si="436"/>
        <v>0.4662071654026187</v>
      </c>
      <c r="AZ148" s="150">
        <f t="shared" si="440"/>
        <v>5.1069466094079834</v>
      </c>
      <c r="BA148" s="144">
        <f t="shared" si="433"/>
        <v>17.872163913357912</v>
      </c>
      <c r="BB148" s="5">
        <f t="shared" si="434"/>
        <v>0.36453949558532706</v>
      </c>
      <c r="BD148" s="150">
        <f t="shared" si="441"/>
        <v>0.50912570981460992</v>
      </c>
      <c r="BE148" s="150">
        <f t="shared" si="437"/>
        <v>0.67447941387377197</v>
      </c>
      <c r="BG148" s="456">
        <f t="shared" si="347"/>
        <v>5.184179767884608E-3</v>
      </c>
      <c r="BH148" s="456">
        <f t="shared" si="470"/>
        <v>7.3123217764201776E-2</v>
      </c>
      <c r="BI148" s="456">
        <f t="shared" si="471"/>
        <v>4.1502881733063449E-2</v>
      </c>
      <c r="BJ148" s="456">
        <f t="shared" si="350"/>
        <v>3.8328253728052769E-3</v>
      </c>
      <c r="BK148">
        <f t="shared" si="351"/>
        <v>4.0333059954003759E-3</v>
      </c>
      <c r="BL148" s="144">
        <f t="shared" si="427"/>
        <v>45.536187728463823</v>
      </c>
      <c r="BM148" s="456">
        <f t="shared" si="472"/>
        <v>8.3642979611869256E-2</v>
      </c>
      <c r="BN148" s="144">
        <f t="shared" si="353"/>
        <v>83.642979611869251</v>
      </c>
      <c r="BO148" s="456">
        <f t="shared" si="354"/>
        <v>0.31919999999999993</v>
      </c>
      <c r="BR148" s="144">
        <f t="shared" si="355"/>
        <v>319.19999999999993</v>
      </c>
      <c r="BS148" s="456">
        <f t="shared" si="356"/>
        <v>7.7762696518269116E-3</v>
      </c>
      <c r="BT148" s="456">
        <f t="shared" si="357"/>
        <v>1.364767439218521E-2</v>
      </c>
      <c r="BU148" s="456">
        <f t="shared" si="358"/>
        <v>6.0508759701492422E-2</v>
      </c>
      <c r="BV148" s="456"/>
      <c r="BW148" s="456">
        <f t="shared" si="359"/>
        <v>3.968158504391017E-4</v>
      </c>
      <c r="BX148" s="144">
        <f t="shared" si="360"/>
        <v>82.329519595943651</v>
      </c>
      <c r="BY148" s="150">
        <f t="shared" si="361"/>
        <v>0.52920593022929907</v>
      </c>
      <c r="BZ148" s="5">
        <f t="shared" si="362"/>
        <v>2.2799999999999998</v>
      </c>
      <c r="CA148" s="150">
        <f t="shared" si="363"/>
        <v>0.81161725292737685</v>
      </c>
      <c r="CB148" s="5">
        <f t="shared" si="364"/>
        <v>81.161725292737685</v>
      </c>
      <c r="CE148" s="59">
        <f t="shared" si="473"/>
        <v>-50</v>
      </c>
      <c r="CF148">
        <f t="shared" si="474"/>
        <v>-50</v>
      </c>
      <c r="CG148" s="150">
        <f t="shared" si="475"/>
        <v>0.61459189967105265</v>
      </c>
      <c r="CI148" s="147">
        <v>38</v>
      </c>
      <c r="CJ148" s="188">
        <f t="shared" si="428"/>
        <v>0.45599999999999996</v>
      </c>
      <c r="CK148" s="188"/>
      <c r="CL148" s="188">
        <f t="shared" si="368"/>
        <v>2.2799999999999998</v>
      </c>
      <c r="CM148" s="465">
        <f t="shared" si="369"/>
        <v>9</v>
      </c>
      <c r="CN148" s="379">
        <f t="shared" si="370"/>
        <v>5.4</v>
      </c>
      <c r="CO148" s="379">
        <f t="shared" si="371"/>
        <v>14.4</v>
      </c>
      <c r="CP148" s="379"/>
      <c r="CQ148" s="188">
        <f t="shared" si="372"/>
        <v>0.375</v>
      </c>
      <c r="CR148" s="149">
        <f t="shared" si="429"/>
        <v>8.4754687499999992</v>
      </c>
      <c r="CS148" s="149">
        <f t="shared" si="373"/>
        <v>2.2799999999999998</v>
      </c>
      <c r="CT148" s="188">
        <f t="shared" si="374"/>
        <v>1.6950937499999998</v>
      </c>
      <c r="CU148" s="188">
        <f t="shared" si="375"/>
        <v>5</v>
      </c>
      <c r="CV148" s="188"/>
      <c r="CW148" s="149">
        <f t="shared" si="376"/>
        <v>40.430275131922393</v>
      </c>
      <c r="CX148" s="149">
        <f t="shared" si="377"/>
        <v>5</v>
      </c>
      <c r="CY148" s="188">
        <f t="shared" si="378"/>
        <v>1.3511111111111109</v>
      </c>
      <c r="CZ148" s="188">
        <f t="shared" si="379"/>
        <v>1.8014814814814815</v>
      </c>
      <c r="DA148" s="188">
        <f t="shared" si="380"/>
        <v>3.0024691358024689</v>
      </c>
      <c r="DB148" s="172">
        <f t="shared" si="381"/>
        <v>281.25</v>
      </c>
      <c r="DC148" s="379">
        <f t="shared" si="382"/>
        <v>208.16200657894737</v>
      </c>
      <c r="DE148" s="188">
        <f t="shared" si="383"/>
        <v>1</v>
      </c>
      <c r="DF148" s="150">
        <f t="shared" si="384"/>
        <v>2.2222222222222219</v>
      </c>
      <c r="DG148" s="150">
        <f t="shared" si="385"/>
        <v>0.31249999999999994</v>
      </c>
      <c r="DH148" s="150"/>
      <c r="DI148" s="150">
        <f t="shared" si="386"/>
        <v>2.2222222222222219</v>
      </c>
      <c r="DJ148" s="314">
        <f t="shared" si="387"/>
        <v>410.4</v>
      </c>
      <c r="DK148" s="456">
        <f t="shared" si="388"/>
        <v>0.31249999999999994</v>
      </c>
      <c r="DM148" s="150">
        <f t="shared" si="389"/>
        <v>1.082853373532829</v>
      </c>
      <c r="DN148" s="150">
        <f t="shared" si="390"/>
        <v>1.3511111111111109</v>
      </c>
      <c r="DO148" s="150">
        <f t="shared" si="391"/>
        <v>1.4600823045267488</v>
      </c>
      <c r="DQ148" s="314">
        <f t="shared" si="392"/>
        <v>455.99999999999994</v>
      </c>
      <c r="DR148" s="144">
        <f t="shared" si="393"/>
        <v>208.16200657894737</v>
      </c>
      <c r="DT148">
        <f t="shared" si="430"/>
        <v>455.99999999999994</v>
      </c>
      <c r="DU148">
        <f t="shared" si="431"/>
        <v>208.16200657894737</v>
      </c>
      <c r="DW148" s="5">
        <f t="shared" si="394"/>
        <v>4.8039506172839506</v>
      </c>
      <c r="DX148" s="5">
        <f t="shared" si="395"/>
        <v>1.8014814814814815</v>
      </c>
      <c r="DY148" s="5">
        <f t="shared" si="396"/>
        <v>3.0024691358024693</v>
      </c>
      <c r="DZ148" s="5"/>
      <c r="EA148" s="150">
        <f t="shared" si="397"/>
        <v>0.375</v>
      </c>
      <c r="EB148" s="150">
        <f t="shared" si="398"/>
        <v>2.2799999999999989</v>
      </c>
      <c r="EC148" s="150">
        <f t="shared" si="399"/>
        <v>0.42222222222222217</v>
      </c>
      <c r="ED148" s="150">
        <f t="shared" si="400"/>
        <v>5.3999999999999986</v>
      </c>
      <c r="EE148" s="144">
        <f t="shared" si="401"/>
        <v>16.429511111111111</v>
      </c>
      <c r="EF148" s="5">
        <f t="shared" si="402"/>
        <v>0.31692729766803834</v>
      </c>
      <c r="EH148" s="150">
        <f t="shared" si="403"/>
        <v>0.47768991440157876</v>
      </c>
      <c r="EI148" s="150">
        <f t="shared" si="404"/>
        <v>0.61669502770952034</v>
      </c>
      <c r="EK148" s="456">
        <f t="shared" si="405"/>
        <v>4.5637530864197527E-3</v>
      </c>
      <c r="EL148" s="456">
        <f t="shared" si="406"/>
        <v>8.1000000000000003E-2</v>
      </c>
      <c r="EM148" s="456">
        <f t="shared" si="407"/>
        <v>2.6020250822368422E-2</v>
      </c>
      <c r="EN148" s="456">
        <f t="shared" si="408"/>
        <v>4.3164473684210534E-3</v>
      </c>
      <c r="EO148">
        <f t="shared" si="409"/>
        <v>4.0499999999999998E-3</v>
      </c>
      <c r="EP148" s="144">
        <f t="shared" si="410"/>
        <v>30.070250822368422</v>
      </c>
      <c r="EQ148" s="144"/>
      <c r="ER148" s="144">
        <f t="shared" si="432"/>
        <v>119.95045127720923</v>
      </c>
      <c r="ES148" s="456">
        <f t="shared" si="411"/>
        <v>0.31919999999999993</v>
      </c>
      <c r="EV148" s="144">
        <f t="shared" si="412"/>
        <v>319.19999999999993</v>
      </c>
      <c r="EW148" s="456">
        <f t="shared" si="413"/>
        <v>6.8456296296296295E-3</v>
      </c>
      <c r="EX148" s="456">
        <f t="shared" si="414"/>
        <v>1.140938271604938E-2</v>
      </c>
      <c r="EY148" s="456">
        <f t="shared" si="415"/>
        <v>6.6328676578668005E-2</v>
      </c>
      <c r="EZ148" s="456"/>
      <c r="FA148" s="456">
        <f t="shared" si="416"/>
        <v>3.7999999999999991E-4</v>
      </c>
      <c r="FB148" s="144">
        <f t="shared" si="417"/>
        <v>84.963688924347025</v>
      </c>
      <c r="FC148" s="150">
        <f t="shared" si="418"/>
        <v>0.52411414020155622</v>
      </c>
      <c r="FD148" s="5">
        <f t="shared" si="419"/>
        <v>2.2799999999999998</v>
      </c>
      <c r="FE148" s="150">
        <f t="shared" si="420"/>
        <v>0.81309101056639455</v>
      </c>
      <c r="FF148" s="5">
        <f t="shared" si="421"/>
        <v>81.309101056639449</v>
      </c>
      <c r="FI148" s="59">
        <f t="shared" si="422"/>
        <v>-50</v>
      </c>
      <c r="FJ148">
        <f t="shared" si="423"/>
        <v>-50</v>
      </c>
      <c r="FL148">
        <f t="shared" si="476"/>
        <v>0.625</v>
      </c>
    </row>
    <row r="149" spans="5:168">
      <c r="E149" s="147">
        <v>39</v>
      </c>
      <c r="F149" s="188">
        <f t="shared" si="477"/>
        <v>0.46799999999999997</v>
      </c>
      <c r="G149" s="188"/>
      <c r="H149" s="188">
        <f t="shared" si="442"/>
        <v>2.34</v>
      </c>
      <c r="I149" s="465">
        <f t="shared" si="443"/>
        <v>8.9619424801466092</v>
      </c>
      <c r="J149" s="149">
        <f t="shared" si="444"/>
        <v>5.4228345119120345</v>
      </c>
      <c r="K149" s="149">
        <f t="shared" si="445"/>
        <v>14.384776992058644</v>
      </c>
      <c r="L149" s="379"/>
      <c r="M149" s="188">
        <f t="shared" si="446"/>
        <v>0.37696821259077307</v>
      </c>
      <c r="N149" s="149">
        <f t="shared" si="447"/>
        <v>8.4839252288838924</v>
      </c>
      <c r="O149" s="149">
        <f t="shared" si="438"/>
        <v>2.34</v>
      </c>
      <c r="P149" s="188">
        <f t="shared" si="448"/>
        <v>1.6967850457767786</v>
      </c>
      <c r="Q149" s="188">
        <f t="shared" si="449"/>
        <v>5</v>
      </c>
      <c r="R149" s="188"/>
      <c r="S149" s="149">
        <f t="shared" si="450"/>
        <v>39.002659925226659</v>
      </c>
      <c r="T149" s="149">
        <f t="shared" si="451"/>
        <v>5</v>
      </c>
      <c r="U149" s="188">
        <f t="shared" si="452"/>
        <v>1.5023310510242163</v>
      </c>
      <c r="V149" s="188">
        <f t="shared" si="453"/>
        <v>2.0116144075046187</v>
      </c>
      <c r="W149" s="188">
        <f t="shared" si="454"/>
        <v>3.324455609458405</v>
      </c>
      <c r="X149" s="172">
        <f t="shared" si="455"/>
        <v>281.54260462257844</v>
      </c>
      <c r="Y149" s="379">
        <f t="shared" si="328"/>
        <v>180.63355357426994</v>
      </c>
      <c r="AA149" s="188">
        <f t="shared" si="456"/>
        <v>1</v>
      </c>
      <c r="AB149" s="150">
        <f t="shared" si="457"/>
        <v>2.2128648723541677</v>
      </c>
      <c r="AC149" s="150">
        <f t="shared" si="458"/>
        <v>0.31150786992020096</v>
      </c>
      <c r="AD149" s="150"/>
      <c r="AE149" s="150">
        <f t="shared" si="459"/>
        <v>2.2128648723541677</v>
      </c>
      <c r="AF149" s="314">
        <f t="shared" si="460"/>
        <v>422.98109192913864</v>
      </c>
      <c r="AG149" s="456">
        <f t="shared" si="461"/>
        <v>0.31150786992020102</v>
      </c>
      <c r="AI149" s="150">
        <f t="shared" si="462"/>
        <v>1.0993258868560427</v>
      </c>
      <c r="AJ149" s="150">
        <f t="shared" si="463"/>
        <v>1.5023310510242163</v>
      </c>
      <c r="AK149" s="150">
        <f t="shared" si="464"/>
        <v>1.5720970748327527</v>
      </c>
      <c r="AM149" s="314">
        <f t="shared" si="465"/>
        <v>468</v>
      </c>
      <c r="AN149" s="144">
        <f t="shared" si="466"/>
        <v>180.63355357426994</v>
      </c>
      <c r="AP149" s="144">
        <f t="shared" si="467"/>
        <v>468</v>
      </c>
      <c r="AQ149" s="144">
        <f t="shared" si="468"/>
        <v>180.63355357426994</v>
      </c>
      <c r="AS149" s="5">
        <f t="shared" si="439"/>
        <v>5.5360700169630244</v>
      </c>
      <c r="AT149" s="5">
        <f t="shared" si="469"/>
        <v>2.0116144075046187</v>
      </c>
      <c r="AU149" s="5">
        <f t="shared" si="343"/>
        <v>3.5244556094584056</v>
      </c>
      <c r="AV149" s="5"/>
      <c r="AW149" s="150">
        <f t="shared" si="344"/>
        <v>0.36336505884875886</v>
      </c>
      <c r="AX149" s="150">
        <f t="shared" si="435"/>
        <v>2.4461380509522566</v>
      </c>
      <c r="AY149" s="150">
        <f t="shared" si="436"/>
        <v>0.47821822012924203</v>
      </c>
      <c r="AZ149" s="150">
        <f t="shared" si="440"/>
        <v>5.1151084337421722</v>
      </c>
      <c r="BA149" s="144">
        <f t="shared" si="433"/>
        <v>18.82871085424323</v>
      </c>
      <c r="BB149" s="5">
        <f t="shared" si="434"/>
        <v>0.38343743299340266</v>
      </c>
      <c r="BD149" s="150">
        <f t="shared" si="441"/>
        <v>0.52284938058684349</v>
      </c>
      <c r="BE149" s="150">
        <f t="shared" si="437"/>
        <v>0.69207036312102166</v>
      </c>
      <c r="BG149" s="456">
        <f t="shared" si="347"/>
        <v>5.4674294956009182E-3</v>
      </c>
      <c r="BH149" s="456">
        <f t="shared" si="470"/>
        <v>7.3192819108403862E-2</v>
      </c>
      <c r="BI149" s="456">
        <f t="shared" si="471"/>
        <v>4.0470687927927199E-2</v>
      </c>
      <c r="BJ149" s="456">
        <f t="shared" si="350"/>
        <v>3.7377021691783591E-3</v>
      </c>
      <c r="BK149">
        <f t="shared" si="351"/>
        <v>4.0328741160659742E-3</v>
      </c>
      <c r="BL149" s="144">
        <f t="shared" si="427"/>
        <v>44.503562043993171</v>
      </c>
      <c r="BM149" s="456">
        <f t="shared" si="472"/>
        <v>8.3983256130528414E-2</v>
      </c>
      <c r="BN149" s="144">
        <f t="shared" si="353"/>
        <v>83.983256130528417</v>
      </c>
      <c r="BO149" s="456">
        <f t="shared" si="354"/>
        <v>0.32759999999999995</v>
      </c>
      <c r="BR149" s="144">
        <f t="shared" si="355"/>
        <v>327.59999999999997</v>
      </c>
      <c r="BS149" s="456">
        <f t="shared" si="356"/>
        <v>8.2011442434013777E-3</v>
      </c>
      <c r="BT149" s="456">
        <f t="shared" si="357"/>
        <v>1.4368841625313884E-2</v>
      </c>
      <c r="BU149" s="456">
        <f t="shared" si="358"/>
        <v>6.0656895366945206E-2</v>
      </c>
      <c r="BV149" s="456"/>
      <c r="BW149" s="456">
        <f t="shared" si="359"/>
        <v>4.0768967515870941E-4</v>
      </c>
      <c r="BX149" s="144">
        <f t="shared" si="360"/>
        <v>83.634570910819178</v>
      </c>
      <c r="BY149" s="150">
        <f t="shared" si="361"/>
        <v>0.53813608372799548</v>
      </c>
      <c r="BZ149" s="5">
        <f t="shared" si="362"/>
        <v>2.34</v>
      </c>
      <c r="CA149" s="150">
        <f t="shared" si="363"/>
        <v>0.81302618497768953</v>
      </c>
      <c r="CB149" s="5">
        <f t="shared" si="364"/>
        <v>81.302618497768947</v>
      </c>
      <c r="CE149" s="59">
        <f t="shared" si="473"/>
        <v>-50</v>
      </c>
      <c r="CF149">
        <f t="shared" si="474"/>
        <v>-50</v>
      </c>
      <c r="CG149" s="150">
        <f t="shared" si="475"/>
        <v>0.61485877403846156</v>
      </c>
      <c r="CI149" s="147">
        <v>39</v>
      </c>
      <c r="CJ149" s="188">
        <f t="shared" si="428"/>
        <v>0.46799999999999997</v>
      </c>
      <c r="CK149" s="188"/>
      <c r="CL149" s="188">
        <f t="shared" si="368"/>
        <v>2.34</v>
      </c>
      <c r="CM149" s="465">
        <f t="shared" si="369"/>
        <v>9</v>
      </c>
      <c r="CN149" s="379">
        <f t="shared" si="370"/>
        <v>5.4</v>
      </c>
      <c r="CO149" s="379">
        <f t="shared" si="371"/>
        <v>14.4</v>
      </c>
      <c r="CP149" s="379"/>
      <c r="CQ149" s="188">
        <f t="shared" si="372"/>
        <v>0.375</v>
      </c>
      <c r="CR149" s="149">
        <f t="shared" si="429"/>
        <v>8.4754687499999992</v>
      </c>
      <c r="CS149" s="149">
        <f t="shared" si="373"/>
        <v>2.34</v>
      </c>
      <c r="CT149" s="188">
        <f t="shared" si="374"/>
        <v>1.6950937499999998</v>
      </c>
      <c r="CU149" s="188">
        <f t="shared" si="375"/>
        <v>5</v>
      </c>
      <c r="CV149" s="188"/>
      <c r="CW149" s="149">
        <f t="shared" si="376"/>
        <v>39.167905905496276</v>
      </c>
      <c r="CX149" s="149">
        <f t="shared" si="377"/>
        <v>5</v>
      </c>
      <c r="CY149" s="188">
        <f t="shared" si="378"/>
        <v>1.3866666666666665</v>
      </c>
      <c r="CZ149" s="188">
        <f t="shared" si="379"/>
        <v>1.8488888888888888</v>
      </c>
      <c r="DA149" s="188">
        <f t="shared" si="380"/>
        <v>3.081481481481481</v>
      </c>
      <c r="DB149" s="172">
        <f t="shared" si="381"/>
        <v>281.25</v>
      </c>
      <c r="DC149" s="379">
        <f t="shared" si="382"/>
        <v>202.82451923076925</v>
      </c>
      <c r="DE149" s="188">
        <f t="shared" si="383"/>
        <v>1</v>
      </c>
      <c r="DF149" s="150">
        <f t="shared" si="384"/>
        <v>2.2222222222222219</v>
      </c>
      <c r="DG149" s="150">
        <f t="shared" si="385"/>
        <v>0.31249999999999994</v>
      </c>
      <c r="DH149" s="150"/>
      <c r="DI149" s="150">
        <f t="shared" si="386"/>
        <v>2.2222222222222219</v>
      </c>
      <c r="DJ149" s="314">
        <f t="shared" si="387"/>
        <v>421.2</v>
      </c>
      <c r="DK149" s="456">
        <f t="shared" si="388"/>
        <v>0.31249999999999994</v>
      </c>
      <c r="DM149" s="150">
        <f t="shared" si="389"/>
        <v>1.0970089203960793</v>
      </c>
      <c r="DN149" s="150">
        <f t="shared" si="390"/>
        <v>1.3866666666666665</v>
      </c>
      <c r="DO149" s="150">
        <f t="shared" si="391"/>
        <v>1.4864197530864196</v>
      </c>
      <c r="DQ149" s="314">
        <f t="shared" si="392"/>
        <v>468</v>
      </c>
      <c r="DR149" s="144">
        <f t="shared" si="393"/>
        <v>202.82451923076925</v>
      </c>
      <c r="DT149">
        <f t="shared" si="430"/>
        <v>468</v>
      </c>
      <c r="DU149">
        <f t="shared" si="431"/>
        <v>202.82451923076925</v>
      </c>
      <c r="DW149" s="5">
        <f t="shared" si="394"/>
        <v>4.9303703703703698</v>
      </c>
      <c r="DX149" s="5">
        <f t="shared" si="395"/>
        <v>1.8488888888888888</v>
      </c>
      <c r="DY149" s="5">
        <f t="shared" si="396"/>
        <v>3.081481481481481</v>
      </c>
      <c r="DZ149" s="5"/>
      <c r="EA149" s="150">
        <f t="shared" si="397"/>
        <v>0.375</v>
      </c>
      <c r="EB149" s="150">
        <f t="shared" si="398"/>
        <v>2.3399999999999994</v>
      </c>
      <c r="EC149" s="150">
        <f t="shared" si="399"/>
        <v>0.43333333333333329</v>
      </c>
      <c r="ED149" s="150">
        <f t="shared" si="400"/>
        <v>5.3999999999999995</v>
      </c>
      <c r="EE149" s="144">
        <f t="shared" si="401"/>
        <v>17.305599999999998</v>
      </c>
      <c r="EF149" s="5">
        <f t="shared" si="402"/>
        <v>0.3338271604938271</v>
      </c>
      <c r="EH149" s="150">
        <f t="shared" si="403"/>
        <v>0.49026070162267293</v>
      </c>
      <c r="EI149" s="150">
        <f t="shared" si="404"/>
        <v>0.63292384422819192</v>
      </c>
      <c r="EK149" s="456">
        <f t="shared" si="405"/>
        <v>4.807111111111111E-3</v>
      </c>
      <c r="EL149" s="456">
        <f t="shared" si="406"/>
        <v>8.0999999999999989E-2</v>
      </c>
      <c r="EM149" s="456">
        <f t="shared" si="407"/>
        <v>2.5353064903846156E-2</v>
      </c>
      <c r="EN149" s="456">
        <f t="shared" si="408"/>
        <v>4.2057692307692317E-3</v>
      </c>
      <c r="EO149">
        <f t="shared" si="409"/>
        <v>4.0499999999999998E-3</v>
      </c>
      <c r="EP149" s="144">
        <f t="shared" si="410"/>
        <v>29.403064903846158</v>
      </c>
      <c r="EQ149" s="144"/>
      <c r="ER149" s="144">
        <f t="shared" si="432"/>
        <v>119.41594524572649</v>
      </c>
      <c r="ES149" s="456">
        <f t="shared" si="411"/>
        <v>0.32759999999999995</v>
      </c>
      <c r="EV149" s="144">
        <f t="shared" si="412"/>
        <v>327.59999999999997</v>
      </c>
      <c r="EW149" s="456">
        <f t="shared" si="413"/>
        <v>7.2106666666666664E-3</v>
      </c>
      <c r="EX149" s="456">
        <f t="shared" si="414"/>
        <v>1.2017777777777777E-2</v>
      </c>
      <c r="EY149" s="456">
        <f t="shared" si="415"/>
        <v>6.6328676578667964E-2</v>
      </c>
      <c r="EZ149" s="456"/>
      <c r="FA149" s="456">
        <f t="shared" si="416"/>
        <v>3.8999999999999999E-4</v>
      </c>
      <c r="FB149" s="144">
        <f t="shared" si="417"/>
        <v>85.947121023112416</v>
      </c>
      <c r="FC149" s="150">
        <f t="shared" si="418"/>
        <v>0.53296306626883883</v>
      </c>
      <c r="FD149" s="5">
        <f t="shared" si="419"/>
        <v>2.34</v>
      </c>
      <c r="FE149" s="150">
        <f t="shared" si="420"/>
        <v>0.81449010865252569</v>
      </c>
      <c r="FF149" s="5">
        <f t="shared" si="421"/>
        <v>81.449010865252575</v>
      </c>
      <c r="FI149" s="59">
        <f t="shared" si="422"/>
        <v>-50</v>
      </c>
      <c r="FJ149">
        <f t="shared" si="423"/>
        <v>-50</v>
      </c>
      <c r="FL149">
        <f t="shared" si="476"/>
        <v>0.625</v>
      </c>
    </row>
    <row r="150" spans="5:168">
      <c r="E150" s="147">
        <v>40</v>
      </c>
      <c r="F150" s="188">
        <f t="shared" si="477"/>
        <v>0.48</v>
      </c>
      <c r="G150" s="188"/>
      <c r="H150" s="188">
        <f t="shared" si="442"/>
        <v>2.4</v>
      </c>
      <c r="I150" s="465">
        <f t="shared" si="443"/>
        <v>8.9609827346695781</v>
      </c>
      <c r="J150" s="149">
        <f t="shared" si="444"/>
        <v>5.4234103591982539</v>
      </c>
      <c r="K150" s="149">
        <f t="shared" si="445"/>
        <v>14.384393093867832</v>
      </c>
      <c r="L150" s="379"/>
      <c r="M150" s="188">
        <f t="shared" si="446"/>
        <v>0.37701831400258667</v>
      </c>
      <c r="N150" s="149">
        <f t="shared" si="447"/>
        <v>8.4841441203558858</v>
      </c>
      <c r="O150" s="149">
        <f t="shared" si="438"/>
        <v>2.4</v>
      </c>
      <c r="P150" s="188">
        <f t="shared" si="448"/>
        <v>1.6968288240711771</v>
      </c>
      <c r="Q150" s="188">
        <f t="shared" si="449"/>
        <v>5</v>
      </c>
      <c r="R150" s="188"/>
      <c r="S150" s="149">
        <f t="shared" si="450"/>
        <v>37.804623266726807</v>
      </c>
      <c r="T150" s="149">
        <f t="shared" si="451"/>
        <v>5</v>
      </c>
      <c r="U150" s="188">
        <f t="shared" si="452"/>
        <v>1.5409762784005594</v>
      </c>
      <c r="V150" s="188">
        <f t="shared" si="453"/>
        <v>2.0635811817004428</v>
      </c>
      <c r="W150" s="188">
        <f t="shared" si="454"/>
        <v>3.4096102113026081</v>
      </c>
      <c r="X150" s="172">
        <f t="shared" si="455"/>
        <v>281.54986145204958</v>
      </c>
      <c r="Y150" s="379">
        <f t="shared" si="328"/>
        <v>176.26762975656624</v>
      </c>
      <c r="AA150" s="188">
        <f t="shared" si="456"/>
        <v>1</v>
      </c>
      <c r="AB150" s="150">
        <f t="shared" si="457"/>
        <v>2.2126299146159334</v>
      </c>
      <c r="AC150" s="150">
        <f t="shared" si="458"/>
        <v>0.31148282295238816</v>
      </c>
      <c r="AD150" s="150"/>
      <c r="AE150" s="150">
        <f t="shared" si="459"/>
        <v>2.2126299146159334</v>
      </c>
      <c r="AF150" s="314">
        <f t="shared" si="460"/>
        <v>433.87282873586031</v>
      </c>
      <c r="AG150" s="456">
        <f t="shared" si="461"/>
        <v>0.31148282295238816</v>
      </c>
      <c r="AI150" s="150">
        <f t="shared" si="462"/>
        <v>1.1133897132320874</v>
      </c>
      <c r="AJ150" s="150">
        <f t="shared" si="463"/>
        <v>1.5409762784005594</v>
      </c>
      <c r="AK150" s="150">
        <f t="shared" si="464"/>
        <v>1.6007231691855996</v>
      </c>
      <c r="AM150" s="314">
        <f t="shared" si="465"/>
        <v>480</v>
      </c>
      <c r="AN150" s="144">
        <f t="shared" si="466"/>
        <v>176.26762975656624</v>
      </c>
      <c r="AP150" s="144">
        <f t="shared" si="467"/>
        <v>480</v>
      </c>
      <c r="AQ150" s="144">
        <f t="shared" si="468"/>
        <v>176.26762975656624</v>
      </c>
      <c r="AS150" s="5">
        <f t="shared" si="439"/>
        <v>5.6731913930030506</v>
      </c>
      <c r="AT150" s="5">
        <f t="shared" si="469"/>
        <v>2.0635811817004428</v>
      </c>
      <c r="AU150" s="5">
        <f t="shared" si="343"/>
        <v>3.6096102113026078</v>
      </c>
      <c r="AV150" s="5"/>
      <c r="AW150" s="150">
        <f t="shared" si="344"/>
        <v>0.36374256370859109</v>
      </c>
      <c r="AX150" s="150">
        <f t="shared" si="435"/>
        <v>2.5113990268566582</v>
      </c>
      <c r="AY150" s="150">
        <f t="shared" si="436"/>
        <v>0.49022880814050812</v>
      </c>
      <c r="AZ150" s="150">
        <f t="shared" si="440"/>
        <v>5.1229119650937518</v>
      </c>
      <c r="BA150" s="144">
        <f t="shared" si="433"/>
        <v>19.81037934432425</v>
      </c>
      <c r="BB150" s="5">
        <f t="shared" si="434"/>
        <v>0.40281410177671834</v>
      </c>
      <c r="BD150" s="150">
        <f t="shared" si="441"/>
        <v>0.53657741346644916</v>
      </c>
      <c r="BE150" s="150">
        <f t="shared" si="437"/>
        <v>0.70966234427982344</v>
      </c>
      <c r="BG150" s="456">
        <f t="shared" si="347"/>
        <v>5.7583064128468951E-3</v>
      </c>
      <c r="BH150" s="456">
        <f t="shared" si="470"/>
        <v>7.3259058486608464E-2</v>
      </c>
      <c r="BI150" s="456">
        <f t="shared" si="471"/>
        <v>3.948827967324299E-2</v>
      </c>
      <c r="BJ150" s="456">
        <f t="shared" si="350"/>
        <v>3.6471670061070569E-3</v>
      </c>
      <c r="BK150">
        <f t="shared" si="351"/>
        <v>4.0324422306013104E-3</v>
      </c>
      <c r="BL150" s="144">
        <f t="shared" si="427"/>
        <v>43.520721903844304</v>
      </c>
      <c r="BM150" s="456">
        <f t="shared" si="472"/>
        <v>8.4334659091476444E-2</v>
      </c>
      <c r="BN150" s="144">
        <f t="shared" si="353"/>
        <v>84.334659091476439</v>
      </c>
      <c r="BO150" s="456">
        <f t="shared" si="354"/>
        <v>0.33599999999999997</v>
      </c>
      <c r="BR150" s="144">
        <f t="shared" si="355"/>
        <v>335.99999999999994</v>
      </c>
      <c r="BS150" s="456">
        <f t="shared" si="356"/>
        <v>8.6374596192703417E-3</v>
      </c>
      <c r="BT150" s="456">
        <f t="shared" si="357"/>
        <v>1.5108619286662038E-2</v>
      </c>
      <c r="BU150" s="456">
        <f t="shared" si="358"/>
        <v>6.0798280851665908E-2</v>
      </c>
      <c r="BV150" s="456"/>
      <c r="BW150" s="456">
        <f t="shared" si="359"/>
        <v>4.1856650447610969E-4</v>
      </c>
      <c r="BX150" s="144">
        <f t="shared" si="360"/>
        <v>84.962926262074404</v>
      </c>
      <c r="BY150" s="150">
        <f t="shared" si="361"/>
        <v>0.54714818007148103</v>
      </c>
      <c r="BZ150" s="5">
        <f t="shared" si="362"/>
        <v>2.4</v>
      </c>
      <c r="CA150" s="150">
        <f t="shared" si="363"/>
        <v>0.8143465660222724</v>
      </c>
      <c r="CB150" s="5">
        <f t="shared" si="364"/>
        <v>81.434656602227236</v>
      </c>
      <c r="CE150" s="59">
        <f t="shared" si="473"/>
        <v>-50</v>
      </c>
      <c r="CF150">
        <f t="shared" si="474"/>
        <v>-50</v>
      </c>
      <c r="CG150" s="150">
        <f t="shared" si="475"/>
        <v>0.6151123046875</v>
      </c>
      <c r="CI150" s="147">
        <v>40</v>
      </c>
      <c r="CJ150" s="188">
        <f t="shared" si="428"/>
        <v>0.48</v>
      </c>
      <c r="CK150" s="188"/>
      <c r="CL150" s="188">
        <f t="shared" si="368"/>
        <v>2.4</v>
      </c>
      <c r="CM150" s="465">
        <f t="shared" si="369"/>
        <v>9</v>
      </c>
      <c r="CN150" s="379">
        <f t="shared" si="370"/>
        <v>5.4</v>
      </c>
      <c r="CO150" s="379">
        <f t="shared" si="371"/>
        <v>14.4</v>
      </c>
      <c r="CP150" s="379"/>
      <c r="CQ150" s="188">
        <f t="shared" si="372"/>
        <v>0.375</v>
      </c>
      <c r="CR150" s="149">
        <f t="shared" si="429"/>
        <v>8.4754687499999992</v>
      </c>
      <c r="CS150" s="149">
        <f t="shared" si="373"/>
        <v>2.4</v>
      </c>
      <c r="CT150" s="188">
        <f t="shared" si="374"/>
        <v>1.6950937499999998</v>
      </c>
      <c r="CU150" s="188">
        <f t="shared" si="375"/>
        <v>5</v>
      </c>
      <c r="CV150" s="188"/>
      <c r="CW150" s="149">
        <f t="shared" si="376"/>
        <v>37.968826169819906</v>
      </c>
      <c r="CX150" s="149">
        <f t="shared" si="377"/>
        <v>5</v>
      </c>
      <c r="CY150" s="188">
        <f t="shared" si="378"/>
        <v>1.4222222222222223</v>
      </c>
      <c r="CZ150" s="188">
        <f t="shared" si="379"/>
        <v>1.8962962962962964</v>
      </c>
      <c r="DA150" s="188">
        <f t="shared" si="380"/>
        <v>3.1604938271604937</v>
      </c>
      <c r="DB150" s="172">
        <f t="shared" si="381"/>
        <v>281.25</v>
      </c>
      <c r="DC150" s="379">
        <f t="shared" si="382"/>
        <v>197.75390625</v>
      </c>
      <c r="DE150" s="188">
        <f t="shared" si="383"/>
        <v>1</v>
      </c>
      <c r="DF150" s="150">
        <f t="shared" si="384"/>
        <v>2.2222222222222219</v>
      </c>
      <c r="DG150" s="150">
        <f t="shared" si="385"/>
        <v>0.31249999999999994</v>
      </c>
      <c r="DH150" s="150"/>
      <c r="DI150" s="150">
        <f t="shared" si="386"/>
        <v>2.2222222222222219</v>
      </c>
      <c r="DJ150" s="314">
        <f t="shared" si="387"/>
        <v>432</v>
      </c>
      <c r="DK150" s="456">
        <f t="shared" si="388"/>
        <v>0.31249999999999994</v>
      </c>
      <c r="DM150" s="150">
        <f t="shared" si="389"/>
        <v>1.1109841197270618</v>
      </c>
      <c r="DN150" s="150">
        <f t="shared" si="390"/>
        <v>1.4222222222222223</v>
      </c>
      <c r="DO150" s="150">
        <f t="shared" si="391"/>
        <v>1.5127572016460906</v>
      </c>
      <c r="DQ150" s="314">
        <f t="shared" si="392"/>
        <v>480</v>
      </c>
      <c r="DR150" s="144">
        <f t="shared" si="393"/>
        <v>197.75390625</v>
      </c>
      <c r="DT150">
        <f t="shared" si="430"/>
        <v>480</v>
      </c>
      <c r="DU150">
        <f t="shared" si="431"/>
        <v>197.75390625</v>
      </c>
      <c r="DW150" s="5">
        <f t="shared" si="394"/>
        <v>5.05679012345679</v>
      </c>
      <c r="DX150" s="5">
        <f t="shared" si="395"/>
        <v>1.8962962962962964</v>
      </c>
      <c r="DY150" s="5">
        <f t="shared" si="396"/>
        <v>3.1604938271604937</v>
      </c>
      <c r="DZ150" s="5"/>
      <c r="EA150" s="150">
        <f t="shared" si="397"/>
        <v>0.375</v>
      </c>
      <c r="EB150" s="150">
        <f t="shared" si="398"/>
        <v>2.4000000000000004</v>
      </c>
      <c r="EC150" s="150">
        <f t="shared" si="399"/>
        <v>0.44444444444444448</v>
      </c>
      <c r="ED150" s="150">
        <f t="shared" si="400"/>
        <v>5.4</v>
      </c>
      <c r="EE150" s="144">
        <f t="shared" si="401"/>
        <v>18.204444444444448</v>
      </c>
      <c r="EF150" s="5">
        <f t="shared" si="402"/>
        <v>0.35116598079561034</v>
      </c>
      <c r="EH150" s="150">
        <f t="shared" si="403"/>
        <v>0.50283148884376716</v>
      </c>
      <c r="EI150" s="150">
        <f t="shared" si="404"/>
        <v>0.64915266074686362</v>
      </c>
      <c r="EK150" s="456">
        <f t="shared" si="405"/>
        <v>5.0567901234567902E-3</v>
      </c>
      <c r="EL150" s="456">
        <f t="shared" si="406"/>
        <v>8.1000000000000003E-2</v>
      </c>
      <c r="EM150" s="456">
        <f t="shared" si="407"/>
        <v>2.4719238281249997E-2</v>
      </c>
      <c r="EN150" s="456">
        <f t="shared" si="408"/>
        <v>4.1006250000000001E-3</v>
      </c>
      <c r="EO150">
        <f t="shared" si="409"/>
        <v>4.0499999999999998E-3</v>
      </c>
      <c r="EP150" s="144">
        <f t="shared" si="410"/>
        <v>28.769238281249997</v>
      </c>
      <c r="EQ150" s="144"/>
      <c r="ER150" s="144">
        <f t="shared" si="432"/>
        <v>118.92665340470678</v>
      </c>
      <c r="ES150" s="456">
        <f t="shared" si="411"/>
        <v>0.33599999999999997</v>
      </c>
      <c r="EV150" s="144">
        <f t="shared" si="412"/>
        <v>335.99999999999994</v>
      </c>
      <c r="EW150" s="456">
        <f t="shared" si="413"/>
        <v>7.5851851851851853E-3</v>
      </c>
      <c r="EX150" s="456">
        <f t="shared" si="414"/>
        <v>1.2641975308641978E-2</v>
      </c>
      <c r="EY150" s="456">
        <f t="shared" si="415"/>
        <v>6.632867657866813E-2</v>
      </c>
      <c r="EZ150" s="456"/>
      <c r="FA150" s="456">
        <f t="shared" si="416"/>
        <v>4.0000000000000002E-4</v>
      </c>
      <c r="FB150" s="144">
        <f t="shared" si="417"/>
        <v>86.955837072495299</v>
      </c>
      <c r="FC150" s="150">
        <f t="shared" si="418"/>
        <v>0.54188249047720194</v>
      </c>
      <c r="FD150" s="5">
        <f t="shared" si="419"/>
        <v>2.4</v>
      </c>
      <c r="FE150" s="150">
        <f t="shared" si="420"/>
        <v>0.81580416885063856</v>
      </c>
      <c r="FF150" s="5">
        <f t="shared" si="421"/>
        <v>81.580416885063855</v>
      </c>
      <c r="FI150" s="59">
        <f t="shared" si="422"/>
        <v>-50</v>
      </c>
      <c r="FJ150">
        <f t="shared" si="423"/>
        <v>-50</v>
      </c>
      <c r="FL150">
        <f t="shared" si="476"/>
        <v>0.625</v>
      </c>
    </row>
    <row r="151" spans="5:168">
      <c r="E151" s="147">
        <v>41</v>
      </c>
      <c r="F151" s="188">
        <f t="shared" si="477"/>
        <v>0.49199999999999994</v>
      </c>
      <c r="G151" s="188"/>
      <c r="H151" s="188">
        <f t="shared" si="442"/>
        <v>2.4599999999999995</v>
      </c>
      <c r="I151" s="465">
        <f t="shared" si="443"/>
        <v>8.960022976582156</v>
      </c>
      <c r="J151" s="149">
        <f t="shared" si="444"/>
        <v>5.4239862140507071</v>
      </c>
      <c r="K151" s="149">
        <f t="shared" si="445"/>
        <v>14.384009190632863</v>
      </c>
      <c r="L151" s="379"/>
      <c r="M151" s="188">
        <f t="shared" si="446"/>
        <v>0.37706841841832445</v>
      </c>
      <c r="N151" s="149">
        <f t="shared" si="447"/>
        <v>8.4843628259728838</v>
      </c>
      <c r="O151" s="149">
        <f t="shared" si="438"/>
        <v>2.4599999999999995</v>
      </c>
      <c r="P151" s="188">
        <f t="shared" si="448"/>
        <v>1.6968725651945769</v>
      </c>
      <c r="Q151" s="188">
        <f t="shared" si="449"/>
        <v>5</v>
      </c>
      <c r="R151" s="188"/>
      <c r="S151" s="149">
        <f t="shared" si="450"/>
        <v>36.665243666461372</v>
      </c>
      <c r="T151" s="149">
        <f t="shared" si="451"/>
        <v>5</v>
      </c>
      <c r="U151" s="188">
        <f t="shared" si="452"/>
        <v>1.579627729744479</v>
      </c>
      <c r="V151" s="188">
        <f t="shared" si="453"/>
        <v>2.1155674272795704</v>
      </c>
      <c r="W151" s="188">
        <f t="shared" si="454"/>
        <v>3.4947604969625274</v>
      </c>
      <c r="X151" s="172">
        <f t="shared" si="455"/>
        <v>281.5571123603923</v>
      </c>
      <c r="Y151" s="379">
        <f t="shared" si="328"/>
        <v>172.10732561715793</v>
      </c>
      <c r="AA151" s="188">
        <f t="shared" si="456"/>
        <v>1</v>
      </c>
      <c r="AB151" s="150">
        <f t="shared" si="457"/>
        <v>2.2123950036809252</v>
      </c>
      <c r="AC151" s="150">
        <f t="shared" si="458"/>
        <v>0.31145777431848043</v>
      </c>
      <c r="AD151" s="150"/>
      <c r="AE151" s="150">
        <f t="shared" si="459"/>
        <v>2.2123950036809252</v>
      </c>
      <c r="AF151" s="314">
        <f t="shared" si="460"/>
        <v>444.76686955215786</v>
      </c>
      <c r="AG151" s="456">
        <f t="shared" si="461"/>
        <v>0.31145777431848037</v>
      </c>
      <c r="AI151" s="150">
        <f t="shared" si="462"/>
        <v>1.1272810139600227</v>
      </c>
      <c r="AJ151" s="150">
        <f t="shared" si="463"/>
        <v>1.579627729744479</v>
      </c>
      <c r="AK151" s="150">
        <f t="shared" si="464"/>
        <v>1.6293538738847992</v>
      </c>
      <c r="AM151" s="314">
        <f t="shared" si="465"/>
        <v>491.99999999999994</v>
      </c>
      <c r="AN151" s="144">
        <f t="shared" si="466"/>
        <v>172.10732561715793</v>
      </c>
      <c r="AP151" s="144">
        <f t="shared" si="467"/>
        <v>491.99999999999994</v>
      </c>
      <c r="AQ151" s="144">
        <f t="shared" si="468"/>
        <v>172.10732561715793</v>
      </c>
      <c r="AS151" s="5">
        <f t="shared" si="439"/>
        <v>5.8103279242420971</v>
      </c>
      <c r="AT151" s="5">
        <f t="shared" si="469"/>
        <v>2.1155674272795704</v>
      </c>
      <c r="AU151" s="5">
        <f t="shared" si="343"/>
        <v>3.6947604969625267</v>
      </c>
      <c r="AV151" s="5"/>
      <c r="AW151" s="150">
        <f t="shared" si="344"/>
        <v>0.3641046520718581</v>
      </c>
      <c r="AX151" s="150">
        <f t="shared" si="435"/>
        <v>2.5766777336270654</v>
      </c>
      <c r="AY151" s="150">
        <f t="shared" si="436"/>
        <v>0.5022389624014032</v>
      </c>
      <c r="AZ151" s="150">
        <f t="shared" si="440"/>
        <v>5.1303820024375444</v>
      </c>
      <c r="BA151" s="144">
        <f t="shared" si="433"/>
        <v>20.81718348443097</v>
      </c>
      <c r="BB151" s="5">
        <f t="shared" si="434"/>
        <v>0.42266962029947919</v>
      </c>
      <c r="BD151" s="150">
        <f t="shared" si="441"/>
        <v>0.55030978567924027</v>
      </c>
      <c r="BE151" s="150">
        <f t="shared" si="437"/>
        <v>0.72725538474795826</v>
      </c>
      <c r="BG151" s="456">
        <f t="shared" si="347"/>
        <v>6.0568172042866275E-3</v>
      </c>
      <c r="BH151" s="456">
        <f t="shared" si="470"/>
        <v>7.3322173287836301E-2</v>
      </c>
      <c r="BI151" s="456">
        <f t="shared" si="471"/>
        <v>3.8552139799196042E-2</v>
      </c>
      <c r="BJ151" s="456">
        <f t="shared" si="350"/>
        <v>3.5608957548329562E-3</v>
      </c>
      <c r="BK151">
        <f t="shared" si="351"/>
        <v>4.0320103394619698E-3</v>
      </c>
      <c r="BL151" s="144">
        <f t="shared" si="427"/>
        <v>42.584150138658011</v>
      </c>
      <c r="BM151" s="456">
        <f t="shared" si="472"/>
        <v>8.4697114489903816E-2</v>
      </c>
      <c r="BN151" s="144">
        <f t="shared" si="353"/>
        <v>84.697114489903811</v>
      </c>
      <c r="BO151" s="456">
        <f t="shared" si="354"/>
        <v>0.34439999999999993</v>
      </c>
      <c r="BR151" s="144">
        <f t="shared" si="355"/>
        <v>344.39999999999992</v>
      </c>
      <c r="BS151" s="456">
        <f t="shared" si="356"/>
        <v>9.0852258064299408E-3</v>
      </c>
      <c r="BT151" s="456">
        <f t="shared" si="357"/>
        <v>1.5867011839347023E-2</v>
      </c>
      <c r="BU151" s="456">
        <f t="shared" si="358"/>
        <v>6.0933379703286779E-2</v>
      </c>
      <c r="BV151" s="456"/>
      <c r="BW151" s="456">
        <f t="shared" si="359"/>
        <v>4.2944628893784424E-4</v>
      </c>
      <c r="BX151" s="144">
        <f t="shared" si="360"/>
        <v>86.31506363800159</v>
      </c>
      <c r="BY151" s="150">
        <f t="shared" si="361"/>
        <v>0.55623910002361543</v>
      </c>
      <c r="BZ151" s="5">
        <f t="shared" si="362"/>
        <v>2.4599999999999995</v>
      </c>
      <c r="CA151" s="150">
        <f t="shared" si="363"/>
        <v>0.81558521006532259</v>
      </c>
      <c r="CB151" s="5">
        <f t="shared" si="364"/>
        <v>81.55852100653226</v>
      </c>
      <c r="CE151" s="59">
        <f t="shared" si="473"/>
        <v>-50</v>
      </c>
      <c r="CF151">
        <f t="shared" si="474"/>
        <v>-50</v>
      </c>
      <c r="CG151" s="150">
        <f t="shared" si="475"/>
        <v>0.61535346798780488</v>
      </c>
      <c r="CI151" s="147">
        <v>41</v>
      </c>
      <c r="CJ151" s="188">
        <f t="shared" si="428"/>
        <v>0.49199999999999994</v>
      </c>
      <c r="CK151" s="188"/>
      <c r="CL151" s="188">
        <f t="shared" si="368"/>
        <v>2.4599999999999995</v>
      </c>
      <c r="CM151" s="465">
        <f t="shared" si="369"/>
        <v>9</v>
      </c>
      <c r="CN151" s="379">
        <f t="shared" si="370"/>
        <v>5.4</v>
      </c>
      <c r="CO151" s="379">
        <f t="shared" si="371"/>
        <v>14.4</v>
      </c>
      <c r="CP151" s="379"/>
      <c r="CQ151" s="188">
        <f t="shared" si="372"/>
        <v>0.375</v>
      </c>
      <c r="CR151" s="149">
        <f t="shared" si="429"/>
        <v>8.4754687499999992</v>
      </c>
      <c r="CS151" s="149">
        <f t="shared" si="373"/>
        <v>2.4599999999999995</v>
      </c>
      <c r="CT151" s="188">
        <f t="shared" si="374"/>
        <v>1.6950937499999998</v>
      </c>
      <c r="CU151" s="188">
        <f t="shared" si="375"/>
        <v>5</v>
      </c>
      <c r="CV151" s="188"/>
      <c r="CW151" s="149">
        <f t="shared" si="376"/>
        <v>36.828407665697469</v>
      </c>
      <c r="CX151" s="149">
        <f t="shared" si="377"/>
        <v>5</v>
      </c>
      <c r="CY151" s="188">
        <f t="shared" si="378"/>
        <v>1.4577777777777774</v>
      </c>
      <c r="CZ151" s="188">
        <f t="shared" si="379"/>
        <v>1.9437037037037033</v>
      </c>
      <c r="DA151" s="188">
        <f t="shared" si="380"/>
        <v>3.2395061728395054</v>
      </c>
      <c r="DB151" s="172">
        <f t="shared" si="381"/>
        <v>281.25</v>
      </c>
      <c r="DC151" s="379">
        <f t="shared" si="382"/>
        <v>192.9306402439025</v>
      </c>
      <c r="DE151" s="188">
        <f t="shared" si="383"/>
        <v>1</v>
      </c>
      <c r="DF151" s="150">
        <f t="shared" si="384"/>
        <v>2.2222222222222219</v>
      </c>
      <c r="DG151" s="150">
        <f t="shared" si="385"/>
        <v>0.31249999999999994</v>
      </c>
      <c r="DH151" s="150"/>
      <c r="DI151" s="150">
        <f t="shared" si="386"/>
        <v>2.2222222222222219</v>
      </c>
      <c r="DJ151" s="314">
        <f t="shared" si="387"/>
        <v>442.8</v>
      </c>
      <c r="DK151" s="456">
        <f t="shared" si="388"/>
        <v>0.31249999999999994</v>
      </c>
      <c r="DM151" s="150">
        <f t="shared" si="389"/>
        <v>1.1247856938736629</v>
      </c>
      <c r="DN151" s="150">
        <f t="shared" si="390"/>
        <v>1.4577777777777774</v>
      </c>
      <c r="DO151" s="150">
        <f t="shared" si="391"/>
        <v>1.539094650205761</v>
      </c>
      <c r="DQ151" s="314">
        <f t="shared" si="392"/>
        <v>491.99999999999994</v>
      </c>
      <c r="DR151" s="144">
        <f t="shared" si="393"/>
        <v>192.9306402439025</v>
      </c>
      <c r="DT151">
        <f t="shared" si="430"/>
        <v>491.99999999999994</v>
      </c>
      <c r="DU151">
        <f t="shared" si="431"/>
        <v>192.9306402439025</v>
      </c>
      <c r="DW151" s="5">
        <f t="shared" si="394"/>
        <v>5.1832098765432084</v>
      </c>
      <c r="DX151" s="5">
        <f t="shared" si="395"/>
        <v>1.9437037037037033</v>
      </c>
      <c r="DY151" s="5">
        <f t="shared" si="396"/>
        <v>3.2395061728395049</v>
      </c>
      <c r="DZ151" s="5"/>
      <c r="EA151" s="150">
        <f t="shared" si="397"/>
        <v>0.375</v>
      </c>
      <c r="EB151" s="150">
        <f t="shared" si="398"/>
        <v>2.46</v>
      </c>
      <c r="EC151" s="150">
        <f t="shared" si="399"/>
        <v>0.45555555555555544</v>
      </c>
      <c r="ED151" s="150">
        <f t="shared" si="400"/>
        <v>5.4000000000000012</v>
      </c>
      <c r="EE151" s="144">
        <f t="shared" si="401"/>
        <v>19.126044444444439</v>
      </c>
      <c r="EF151" s="5">
        <f t="shared" si="402"/>
        <v>0.3689437585733879</v>
      </c>
      <c r="EH151" s="150">
        <f t="shared" si="403"/>
        <v>0.51540227606486122</v>
      </c>
      <c r="EI151" s="150">
        <f t="shared" si="404"/>
        <v>0.66538147726553498</v>
      </c>
      <c r="EK151" s="456">
        <f t="shared" si="405"/>
        <v>5.3127901234567886E-3</v>
      </c>
      <c r="EL151" s="456">
        <f t="shared" si="406"/>
        <v>8.1000000000000003E-2</v>
      </c>
      <c r="EM151" s="456">
        <f t="shared" si="407"/>
        <v>2.4116330030487812E-2</v>
      </c>
      <c r="EN151" s="456">
        <f t="shared" si="408"/>
        <v>4.0006097560975626E-3</v>
      </c>
      <c r="EO151">
        <f t="shared" si="409"/>
        <v>4.0499999999999998E-3</v>
      </c>
      <c r="EP151" s="144">
        <f t="shared" si="410"/>
        <v>28.16633003048781</v>
      </c>
      <c r="EQ151" s="144"/>
      <c r="ER151" s="144">
        <f t="shared" si="432"/>
        <v>118.47972991004215</v>
      </c>
      <c r="ES151" s="456">
        <f t="shared" si="411"/>
        <v>0.34439999999999993</v>
      </c>
      <c r="EV151" s="144">
        <f t="shared" si="412"/>
        <v>344.39999999999992</v>
      </c>
      <c r="EW151" s="456">
        <f t="shared" si="413"/>
        <v>7.9691851851851833E-3</v>
      </c>
      <c r="EX151" s="456">
        <f t="shared" si="414"/>
        <v>1.3281975308641969E-2</v>
      </c>
      <c r="EY151" s="456">
        <f t="shared" si="415"/>
        <v>6.6328676578668144E-2</v>
      </c>
      <c r="EZ151" s="456"/>
      <c r="FA151" s="456">
        <f t="shared" si="416"/>
        <v>4.0999999999999994E-4</v>
      </c>
      <c r="FB151" s="144">
        <f t="shared" si="417"/>
        <v>87.989837072495291</v>
      </c>
      <c r="FC151" s="150">
        <f t="shared" si="418"/>
        <v>0.55086956698253742</v>
      </c>
      <c r="FD151" s="5">
        <f t="shared" si="419"/>
        <v>2.4599999999999995</v>
      </c>
      <c r="FE151" s="150">
        <f t="shared" si="420"/>
        <v>0.81703971071233972</v>
      </c>
      <c r="FF151" s="5">
        <f t="shared" si="421"/>
        <v>81.703971071233966</v>
      </c>
      <c r="FI151" s="59">
        <f t="shared" si="422"/>
        <v>-50</v>
      </c>
      <c r="FJ151">
        <f t="shared" si="423"/>
        <v>-50</v>
      </c>
      <c r="FL151">
        <f t="shared" si="476"/>
        <v>0.625</v>
      </c>
    </row>
    <row r="152" spans="5:168">
      <c r="E152" s="147">
        <v>42</v>
      </c>
      <c r="F152" s="188">
        <f t="shared" si="477"/>
        <v>0.504</v>
      </c>
      <c r="G152" s="188"/>
      <c r="H152" s="188">
        <f t="shared" si="442"/>
        <v>2.52</v>
      </c>
      <c r="I152" s="465">
        <f t="shared" si="443"/>
        <v>8.9590632067988665</v>
      </c>
      <c r="J152" s="149">
        <f t="shared" si="444"/>
        <v>5.4245620759206803</v>
      </c>
      <c r="K152" s="149">
        <f t="shared" si="445"/>
        <v>14.383625282719546</v>
      </c>
      <c r="L152" s="379"/>
      <c r="M152" s="188">
        <f t="shared" si="446"/>
        <v>0.37711852581438043</v>
      </c>
      <c r="N152" s="149">
        <f t="shared" si="447"/>
        <v>8.4845813460434005</v>
      </c>
      <c r="O152" s="149">
        <f t="shared" si="438"/>
        <v>2.52</v>
      </c>
      <c r="P152" s="188">
        <f t="shared" si="448"/>
        <v>1.6969162692086801</v>
      </c>
      <c r="Q152" s="188">
        <f t="shared" si="449"/>
        <v>5</v>
      </c>
      <c r="R152" s="188"/>
      <c r="S152" s="149">
        <f t="shared" si="450"/>
        <v>35.580334001734691</v>
      </c>
      <c r="T152" s="149">
        <f t="shared" si="451"/>
        <v>5</v>
      </c>
      <c r="U152" s="188">
        <f t="shared" si="452"/>
        <v>1.6182854070558128</v>
      </c>
      <c r="V152" s="188">
        <f t="shared" si="453"/>
        <v>2.16757315317663</v>
      </c>
      <c r="W152" s="188">
        <f t="shared" si="454"/>
        <v>3.5799064722425182</v>
      </c>
      <c r="X152" s="172">
        <f t="shared" si="455"/>
        <v>281.56435733998717</v>
      </c>
      <c r="Y152" s="379">
        <f t="shared" si="328"/>
        <v>168.13844905429585</v>
      </c>
      <c r="AA152" s="188">
        <f t="shared" si="456"/>
        <v>0.99999999999999978</v>
      </c>
      <c r="AB152" s="150">
        <f t="shared" si="457"/>
        <v>2.2121601397589878</v>
      </c>
      <c r="AC152" s="150">
        <f t="shared" si="458"/>
        <v>0.31143272404218769</v>
      </c>
      <c r="AD152" s="150"/>
      <c r="AE152" s="150">
        <f t="shared" si="459"/>
        <v>2.2121601397589883</v>
      </c>
      <c r="AF152" s="314">
        <f t="shared" si="460"/>
        <v>455.66321437733717</v>
      </c>
      <c r="AG152" s="456">
        <f t="shared" si="461"/>
        <v>0.31143272404218786</v>
      </c>
      <c r="AI152" s="150">
        <f t="shared" si="462"/>
        <v>1.1410060903522659</v>
      </c>
      <c r="AJ152" s="150">
        <f t="shared" si="463"/>
        <v>1.6182854070558128</v>
      </c>
      <c r="AK152" s="150">
        <f t="shared" si="464"/>
        <v>1.6579891904117132</v>
      </c>
      <c r="AM152" s="314">
        <f t="shared" si="465"/>
        <v>504</v>
      </c>
      <c r="AN152" s="144">
        <f t="shared" si="466"/>
        <v>168.13844905429585</v>
      </c>
      <c r="AP152" s="144">
        <f t="shared" si="467"/>
        <v>504</v>
      </c>
      <c r="AQ152" s="144">
        <f t="shared" si="468"/>
        <v>168.13844905429585</v>
      </c>
      <c r="AS152" s="5">
        <f t="shared" si="439"/>
        <v>5.947479625419148</v>
      </c>
      <c r="AT152" s="5">
        <f t="shared" si="469"/>
        <v>2.16757315317663</v>
      </c>
      <c r="AU152" s="5">
        <f t="shared" si="343"/>
        <v>3.779906472242518</v>
      </c>
      <c r="AV152" s="5"/>
      <c r="AW152" s="150">
        <f t="shared" si="344"/>
        <v>0.36445238818684822</v>
      </c>
      <c r="AX152" s="150">
        <f t="shared" si="435"/>
        <v>2.6419739018494592</v>
      </c>
      <c r="AY152" s="150">
        <f t="shared" si="436"/>
        <v>0.51424871284319806</v>
      </c>
      <c r="AZ152" s="150">
        <f t="shared" si="440"/>
        <v>5.1375411077694535</v>
      </c>
      <c r="BA152" s="144">
        <f t="shared" si="433"/>
        <v>21.84913738402043</v>
      </c>
      <c r="BB152" s="5">
        <f t="shared" si="434"/>
        <v>0.44300410704131626</v>
      </c>
      <c r="BD152" s="150">
        <f t="shared" si="441"/>
        <v>0.56404647666276375</v>
      </c>
      <c r="BE152" s="150">
        <f t="shared" si="437"/>
        <v>0.7448495094497869</v>
      </c>
      <c r="BG152" s="456">
        <f t="shared" si="347"/>
        <v>6.3629685567135538E-3</v>
      </c>
      <c r="BH152" s="456">
        <f t="shared" si="470"/>
        <v>7.3382379054630797E-2</v>
      </c>
      <c r="BI152" s="456">
        <f t="shared" si="471"/>
        <v>3.7659074814264185E-2</v>
      </c>
      <c r="BJ152" s="456">
        <f t="shared" si="350"/>
        <v>3.4785941155554357E-3</v>
      </c>
      <c r="BK152">
        <f t="shared" si="351"/>
        <v>4.0315784430594902E-3</v>
      </c>
      <c r="BL152" s="144">
        <f t="shared" si="427"/>
        <v>41.690653257323675</v>
      </c>
      <c r="BM152" s="456">
        <f t="shared" si="472"/>
        <v>8.5070556420296067E-2</v>
      </c>
      <c r="BN152" s="144">
        <f t="shared" si="353"/>
        <v>85.070556420296072</v>
      </c>
      <c r="BO152" s="456">
        <f t="shared" si="354"/>
        <v>0.3528</v>
      </c>
      <c r="BR152" s="144">
        <f t="shared" si="355"/>
        <v>352.8</v>
      </c>
      <c r="BS152" s="456">
        <f t="shared" si="356"/>
        <v>9.5444528350703307E-3</v>
      </c>
      <c r="BT152" s="456">
        <f t="shared" si="357"/>
        <v>1.6644023751827646E-2</v>
      </c>
      <c r="BU152" s="456">
        <f t="shared" si="358"/>
        <v>6.1062613979844173E-2</v>
      </c>
      <c r="BV152" s="456"/>
      <c r="BW152" s="456">
        <f t="shared" si="359"/>
        <v>4.4032898364157664E-4</v>
      </c>
      <c r="BX152" s="144">
        <f t="shared" si="360"/>
        <v>87.691419550383728</v>
      </c>
      <c r="BY152" s="150">
        <f t="shared" si="361"/>
        <v>0.56540601453460715</v>
      </c>
      <c r="BZ152" s="5">
        <f t="shared" si="362"/>
        <v>2.52</v>
      </c>
      <c r="CA152" s="150">
        <f t="shared" si="363"/>
        <v>0.816748262020909</v>
      </c>
      <c r="CB152" s="5">
        <f t="shared" si="364"/>
        <v>81.674826202090898</v>
      </c>
      <c r="CE152" s="59">
        <f t="shared" si="473"/>
        <v>-50</v>
      </c>
      <c r="CF152">
        <f t="shared" si="474"/>
        <v>-50</v>
      </c>
      <c r="CG152" s="150">
        <f t="shared" si="475"/>
        <v>0.6155831473214286</v>
      </c>
      <c r="CI152" s="147">
        <v>42</v>
      </c>
      <c r="CJ152" s="188">
        <f t="shared" si="428"/>
        <v>0.504</v>
      </c>
      <c r="CK152" s="188"/>
      <c r="CL152" s="188">
        <f t="shared" si="368"/>
        <v>2.52</v>
      </c>
      <c r="CM152" s="465">
        <f t="shared" si="369"/>
        <v>9</v>
      </c>
      <c r="CN152" s="379">
        <f t="shared" si="370"/>
        <v>5.4</v>
      </c>
      <c r="CO152" s="379">
        <f t="shared" si="371"/>
        <v>14.4</v>
      </c>
      <c r="CP152" s="379"/>
      <c r="CQ152" s="188">
        <f t="shared" si="372"/>
        <v>0.375</v>
      </c>
      <c r="CR152" s="149">
        <f t="shared" si="429"/>
        <v>8.4754687499999992</v>
      </c>
      <c r="CS152" s="149">
        <f t="shared" si="373"/>
        <v>2.52</v>
      </c>
      <c r="CT152" s="188">
        <f t="shared" si="374"/>
        <v>1.6950937499999998</v>
      </c>
      <c r="CU152" s="188">
        <f t="shared" si="375"/>
        <v>5</v>
      </c>
      <c r="CV152" s="188"/>
      <c r="CW152" s="149">
        <f t="shared" si="376"/>
        <v>35.742462972232019</v>
      </c>
      <c r="CX152" s="149">
        <f t="shared" si="377"/>
        <v>5</v>
      </c>
      <c r="CY152" s="188">
        <f t="shared" si="378"/>
        <v>1.4933333333333334</v>
      </c>
      <c r="CZ152" s="188">
        <f t="shared" si="379"/>
        <v>1.9911111111111113</v>
      </c>
      <c r="DA152" s="188">
        <f t="shared" si="380"/>
        <v>3.3185185185185184</v>
      </c>
      <c r="DB152" s="172">
        <f t="shared" si="381"/>
        <v>281.25</v>
      </c>
      <c r="DC152" s="379">
        <f t="shared" si="382"/>
        <v>188.33705357142858</v>
      </c>
      <c r="DE152" s="188">
        <f t="shared" si="383"/>
        <v>1</v>
      </c>
      <c r="DF152" s="150">
        <f t="shared" si="384"/>
        <v>2.2222222222222219</v>
      </c>
      <c r="DG152" s="150">
        <f t="shared" si="385"/>
        <v>0.31249999999999994</v>
      </c>
      <c r="DH152" s="150"/>
      <c r="DI152" s="150">
        <f t="shared" si="386"/>
        <v>2.2222222222222219</v>
      </c>
      <c r="DJ152" s="314">
        <f t="shared" si="387"/>
        <v>453.60000000000008</v>
      </c>
      <c r="DK152" s="456">
        <f t="shared" si="388"/>
        <v>0.31249999999999994</v>
      </c>
      <c r="DM152" s="150">
        <f t="shared" si="389"/>
        <v>1.1384199576606167</v>
      </c>
      <c r="DN152" s="150">
        <f t="shared" si="390"/>
        <v>1.4933333333333334</v>
      </c>
      <c r="DO152" s="150">
        <f t="shared" si="391"/>
        <v>1.5654320987654322</v>
      </c>
      <c r="DQ152" s="314">
        <f t="shared" si="392"/>
        <v>504</v>
      </c>
      <c r="DR152" s="144">
        <f t="shared" si="393"/>
        <v>188.33705357142858</v>
      </c>
      <c r="DT152">
        <f t="shared" si="430"/>
        <v>504</v>
      </c>
      <c r="DU152">
        <f t="shared" si="431"/>
        <v>188.33705357142858</v>
      </c>
      <c r="DW152" s="5">
        <f t="shared" si="394"/>
        <v>5.3096296296296295</v>
      </c>
      <c r="DX152" s="5">
        <f t="shared" si="395"/>
        <v>1.9911111111111113</v>
      </c>
      <c r="DY152" s="5">
        <f t="shared" si="396"/>
        <v>3.318518518518518</v>
      </c>
      <c r="DZ152" s="5"/>
      <c r="EA152" s="150">
        <f t="shared" si="397"/>
        <v>0.37500000000000006</v>
      </c>
      <c r="EB152" s="150">
        <f t="shared" si="398"/>
        <v>2.5200000000000005</v>
      </c>
      <c r="EC152" s="150">
        <f t="shared" si="399"/>
        <v>0.46666666666666667</v>
      </c>
      <c r="ED152" s="150">
        <f t="shared" si="400"/>
        <v>5.4000000000000012</v>
      </c>
      <c r="EE152" s="144">
        <f t="shared" si="401"/>
        <v>20.070400000000003</v>
      </c>
      <c r="EF152" s="5">
        <f t="shared" si="402"/>
        <v>0.38716049382716039</v>
      </c>
      <c r="EH152" s="150">
        <f t="shared" si="403"/>
        <v>0.5279730632859555</v>
      </c>
      <c r="EI152" s="150">
        <f t="shared" si="404"/>
        <v>0.68161029378420679</v>
      </c>
      <c r="EK152" s="456">
        <f t="shared" si="405"/>
        <v>5.5751111111111123E-3</v>
      </c>
      <c r="EL152" s="456">
        <f t="shared" si="406"/>
        <v>8.1000000000000016E-2</v>
      </c>
      <c r="EM152" s="456">
        <f t="shared" si="407"/>
        <v>2.3542131696428572E-2</v>
      </c>
      <c r="EN152" s="456">
        <f t="shared" si="408"/>
        <v>3.9053571428571436E-3</v>
      </c>
      <c r="EO152">
        <f t="shared" si="409"/>
        <v>4.0499999999999998E-3</v>
      </c>
      <c r="EP152" s="144">
        <f t="shared" si="410"/>
        <v>27.592131696428574</v>
      </c>
      <c r="EQ152" s="144"/>
      <c r="ER152" s="144">
        <f t="shared" si="432"/>
        <v>118.07259995039685</v>
      </c>
      <c r="ES152" s="456">
        <f t="shared" si="411"/>
        <v>0.3528</v>
      </c>
      <c r="EV152" s="144">
        <f t="shared" si="412"/>
        <v>352.8</v>
      </c>
      <c r="EW152" s="456">
        <f t="shared" si="413"/>
        <v>8.3626666666666676E-3</v>
      </c>
      <c r="EX152" s="456">
        <f t="shared" si="414"/>
        <v>1.393777777777778E-2</v>
      </c>
      <c r="EY152" s="456">
        <f t="shared" si="415"/>
        <v>6.6328676578668103E-2</v>
      </c>
      <c r="EZ152" s="456"/>
      <c r="FA152" s="456">
        <f t="shared" si="416"/>
        <v>4.2000000000000013E-4</v>
      </c>
      <c r="FB152" s="144">
        <f t="shared" si="417"/>
        <v>89.049121023112548</v>
      </c>
      <c r="FC152" s="150">
        <f t="shared" si="418"/>
        <v>0.55992172097350945</v>
      </c>
      <c r="FD152" s="5">
        <f t="shared" si="419"/>
        <v>2.52</v>
      </c>
      <c r="FE152" s="150">
        <f t="shared" si="420"/>
        <v>0.81820261302078545</v>
      </c>
      <c r="FF152" s="5">
        <f t="shared" si="421"/>
        <v>81.820261302078549</v>
      </c>
      <c r="FI152" s="59">
        <f t="shared" si="422"/>
        <v>-50</v>
      </c>
      <c r="FJ152">
        <f t="shared" si="423"/>
        <v>-50</v>
      </c>
      <c r="FL152">
        <f t="shared" si="476"/>
        <v>0.625</v>
      </c>
    </row>
    <row r="153" spans="5:168">
      <c r="E153" s="147">
        <v>43</v>
      </c>
      <c r="F153" s="188">
        <f t="shared" si="477"/>
        <v>0.51600000000000001</v>
      </c>
      <c r="G153" s="188"/>
      <c r="H153" s="188">
        <f t="shared" si="442"/>
        <v>2.58</v>
      </c>
      <c r="I153" s="465">
        <f t="shared" si="443"/>
        <v>8.958103426147888</v>
      </c>
      <c r="J153" s="149">
        <f t="shared" si="444"/>
        <v>5.4251379443112668</v>
      </c>
      <c r="K153" s="149">
        <f t="shared" si="445"/>
        <v>14.383241370459155</v>
      </c>
      <c r="L153" s="379"/>
      <c r="M153" s="188">
        <f t="shared" si="446"/>
        <v>0.37716863616939778</v>
      </c>
      <c r="N153" s="149">
        <f t="shared" si="447"/>
        <v>8.4847996808454482</v>
      </c>
      <c r="O153" s="149">
        <f t="shared" si="438"/>
        <v>2.58</v>
      </c>
      <c r="P153" s="188">
        <f t="shared" si="448"/>
        <v>1.6969599361690897</v>
      </c>
      <c r="Q153" s="188">
        <f t="shared" si="449"/>
        <v>5</v>
      </c>
      <c r="R153" s="188"/>
      <c r="S153" s="149">
        <f t="shared" si="450"/>
        <v>34.546096700573955</v>
      </c>
      <c r="T153" s="149">
        <f t="shared" si="451"/>
        <v>5</v>
      </c>
      <c r="U153" s="188">
        <f t="shared" si="452"/>
        <v>1.6569493123353427</v>
      </c>
      <c r="V153" s="188">
        <f t="shared" si="453"/>
        <v>2.2195983683316607</v>
      </c>
      <c r="W153" s="188">
        <f t="shared" si="454"/>
        <v>3.6650481429460413</v>
      </c>
      <c r="X153" s="172">
        <f t="shared" si="455"/>
        <v>281.57159638388845</v>
      </c>
      <c r="Y153" s="379">
        <f t="shared" si="328"/>
        <v>164.34808466630415</v>
      </c>
      <c r="AA153" s="188">
        <f t="shared" si="456"/>
        <v>1</v>
      </c>
      <c r="AB153" s="150">
        <f t="shared" si="457"/>
        <v>2.2119253230386615</v>
      </c>
      <c r="AC153" s="150">
        <f t="shared" si="458"/>
        <v>0.311407672144972</v>
      </c>
      <c r="AD153" s="150"/>
      <c r="AE153" s="150">
        <f t="shared" si="459"/>
        <v>2.2119253230386615</v>
      </c>
      <c r="AF153" s="314">
        <f t="shared" si="460"/>
        <v>466.56186321076905</v>
      </c>
      <c r="AG153" s="456">
        <f t="shared" si="461"/>
        <v>0.31140767214497206</v>
      </c>
      <c r="AI153" s="150">
        <f t="shared" si="462"/>
        <v>1.1545708704483719</v>
      </c>
      <c r="AJ153" s="150">
        <f t="shared" si="463"/>
        <v>1.6569493123353427</v>
      </c>
      <c r="AK153" s="150">
        <f t="shared" si="464"/>
        <v>1.6866291202484021</v>
      </c>
      <c r="AM153" s="314">
        <f t="shared" si="465"/>
        <v>516</v>
      </c>
      <c r="AN153" s="144">
        <f t="shared" si="466"/>
        <v>164.34808466630415</v>
      </c>
      <c r="AP153" s="144">
        <f t="shared" si="467"/>
        <v>516</v>
      </c>
      <c r="AQ153" s="144">
        <f t="shared" si="468"/>
        <v>164.34808466630415</v>
      </c>
      <c r="AS153" s="5">
        <f t="shared" si="439"/>
        <v>6.0846465112777022</v>
      </c>
      <c r="AT153" s="5">
        <f t="shared" si="469"/>
        <v>2.2195983683316607</v>
      </c>
      <c r="AU153" s="5">
        <f t="shared" si="343"/>
        <v>3.8650481429460415</v>
      </c>
      <c r="AV153" s="5"/>
      <c r="AW153" s="150">
        <f t="shared" si="344"/>
        <v>0.36478674056376231</v>
      </c>
      <c r="AX153" s="150">
        <f t="shared" si="435"/>
        <v>2.7072872863459549</v>
      </c>
      <c r="AY153" s="150">
        <f t="shared" si="436"/>
        <v>0.52625808670458274</v>
      </c>
      <c r="AZ153" s="150">
        <f t="shared" si="440"/>
        <v>5.1444098527757207</v>
      </c>
      <c r="BA153" s="144">
        <f t="shared" si="433"/>
        <v>22.906255161182738</v>
      </c>
      <c r="BB153" s="5">
        <f t="shared" si="434"/>
        <v>0.46381768059733952</v>
      </c>
      <c r="BD153" s="150">
        <f t="shared" si="441"/>
        <v>0.57778746781621515</v>
      </c>
      <c r="BE153" s="150">
        <f t="shared" si="437"/>
        <v>0.76244474111289828</v>
      </c>
      <c r="BG153" s="456">
        <f t="shared" si="347"/>
        <v>6.6767671593094772E-3</v>
      </c>
      <c r="BH153" s="456">
        <f t="shared" si="470"/>
        <v>7.3439871939653109E-2</v>
      </c>
      <c r="BI153" s="456">
        <f t="shared" si="471"/>
        <v>3.6806178508251554E-2</v>
      </c>
      <c r="BJ153" s="456">
        <f t="shared" si="350"/>
        <v>3.3999942632237799E-3</v>
      </c>
      <c r="BK153">
        <f t="shared" si="351"/>
        <v>4.0311465417665494E-3</v>
      </c>
      <c r="BL153" s="144">
        <f t="shared" si="427"/>
        <v>40.837325050018102</v>
      </c>
      <c r="BM153" s="456">
        <f t="shared" si="472"/>
        <v>8.5454926179584695E-2</v>
      </c>
      <c r="BN153" s="144">
        <f t="shared" si="353"/>
        <v>85.454926179584689</v>
      </c>
      <c r="BO153" s="456">
        <f t="shared" si="354"/>
        <v>0.36119999999999997</v>
      </c>
      <c r="BR153" s="144">
        <f t="shared" si="355"/>
        <v>361.2</v>
      </c>
      <c r="BS153" s="456">
        <f t="shared" si="356"/>
        <v>1.0015150738964215E-2</v>
      </c>
      <c r="BT153" s="456">
        <f t="shared" si="357"/>
        <v>1.7439659497521433E-2</v>
      </c>
      <c r="BU153" s="456">
        <f t="shared" si="358"/>
        <v>6.1186368787357559E-2</v>
      </c>
      <c r="BV153" s="456"/>
      <c r="BW153" s="456">
        <f t="shared" si="359"/>
        <v>4.5121454772432577E-4</v>
      </c>
      <c r="BX153" s="144">
        <f t="shared" si="360"/>
        <v>89.092393571567541</v>
      </c>
      <c r="BY153" s="150">
        <f t="shared" si="361"/>
        <v>0.57464635198377201</v>
      </c>
      <c r="BZ153" s="5">
        <f t="shared" si="362"/>
        <v>2.58</v>
      </c>
      <c r="CA153" s="150">
        <f t="shared" si="363"/>
        <v>0.81784127668624074</v>
      </c>
      <c r="CB153" s="5">
        <f t="shared" si="364"/>
        <v>81.78412766862408</v>
      </c>
      <c r="CE153" s="59">
        <f t="shared" si="473"/>
        <v>-50</v>
      </c>
      <c r="CF153">
        <f t="shared" si="474"/>
        <v>-50</v>
      </c>
      <c r="CG153" s="150">
        <f t="shared" si="475"/>
        <v>0.61580214389534882</v>
      </c>
      <c r="CI153" s="147">
        <v>43</v>
      </c>
      <c r="CJ153" s="188">
        <f t="shared" si="428"/>
        <v>0.51600000000000001</v>
      </c>
      <c r="CK153" s="188"/>
      <c r="CL153" s="188">
        <f t="shared" si="368"/>
        <v>2.58</v>
      </c>
      <c r="CM153" s="465">
        <f t="shared" si="369"/>
        <v>9</v>
      </c>
      <c r="CN153" s="379">
        <f t="shared" si="370"/>
        <v>5.4</v>
      </c>
      <c r="CO153" s="379">
        <f t="shared" si="371"/>
        <v>14.4</v>
      </c>
      <c r="CP153" s="379"/>
      <c r="CQ153" s="188">
        <f t="shared" si="372"/>
        <v>0.375</v>
      </c>
      <c r="CR153" s="149">
        <f t="shared" si="429"/>
        <v>8.4754687499999992</v>
      </c>
      <c r="CS153" s="149">
        <f t="shared" si="373"/>
        <v>2.58</v>
      </c>
      <c r="CT153" s="188">
        <f t="shared" si="374"/>
        <v>1.6950937499999998</v>
      </c>
      <c r="CU153" s="188">
        <f t="shared" si="375"/>
        <v>5</v>
      </c>
      <c r="CV153" s="188"/>
      <c r="CW153" s="149">
        <f t="shared" si="376"/>
        <v>34.707194247680988</v>
      </c>
      <c r="CX153" s="149">
        <f t="shared" si="377"/>
        <v>5</v>
      </c>
      <c r="CY153" s="188">
        <f t="shared" si="378"/>
        <v>1.528888888888889</v>
      </c>
      <c r="CZ153" s="188">
        <f t="shared" si="379"/>
        <v>2.0385185185185186</v>
      </c>
      <c r="DA153" s="188">
        <f t="shared" si="380"/>
        <v>3.397530864197531</v>
      </c>
      <c r="DB153" s="172">
        <f t="shared" si="381"/>
        <v>281.25</v>
      </c>
      <c r="DC153" s="379">
        <f t="shared" si="382"/>
        <v>183.95712209302326</v>
      </c>
      <c r="DE153" s="188">
        <f t="shared" si="383"/>
        <v>1</v>
      </c>
      <c r="DF153" s="150">
        <f t="shared" si="384"/>
        <v>2.2222222222222219</v>
      </c>
      <c r="DG153" s="150">
        <f t="shared" si="385"/>
        <v>0.31249999999999994</v>
      </c>
      <c r="DH153" s="150"/>
      <c r="DI153" s="150">
        <f t="shared" si="386"/>
        <v>2.2222222222222219</v>
      </c>
      <c r="DJ153" s="314">
        <f t="shared" si="387"/>
        <v>464.40000000000003</v>
      </c>
      <c r="DK153" s="456">
        <f t="shared" si="388"/>
        <v>0.31249999999999994</v>
      </c>
      <c r="DM153" s="150">
        <f t="shared" si="389"/>
        <v>1.1518928521599321</v>
      </c>
      <c r="DN153" s="150">
        <f t="shared" si="390"/>
        <v>1.528888888888889</v>
      </c>
      <c r="DO153" s="150">
        <f t="shared" si="391"/>
        <v>1.5917695473251028</v>
      </c>
      <c r="DQ153" s="314">
        <f t="shared" si="392"/>
        <v>516</v>
      </c>
      <c r="DR153" s="144">
        <f t="shared" si="393"/>
        <v>183.95712209302326</v>
      </c>
      <c r="DT153">
        <f t="shared" si="430"/>
        <v>516</v>
      </c>
      <c r="DU153">
        <f t="shared" si="431"/>
        <v>183.95712209302326</v>
      </c>
      <c r="DW153" s="5">
        <f t="shared" si="394"/>
        <v>5.4360493827160488</v>
      </c>
      <c r="DX153" s="5">
        <f t="shared" si="395"/>
        <v>2.0385185185185186</v>
      </c>
      <c r="DY153" s="5">
        <f t="shared" si="396"/>
        <v>3.3975308641975301</v>
      </c>
      <c r="DZ153" s="5"/>
      <c r="EA153" s="150">
        <f t="shared" si="397"/>
        <v>0.37500000000000006</v>
      </c>
      <c r="EB153" s="150">
        <f t="shared" si="398"/>
        <v>2.58</v>
      </c>
      <c r="EC153" s="150">
        <f t="shared" si="399"/>
        <v>0.4777777777777778</v>
      </c>
      <c r="ED153" s="150">
        <f t="shared" si="400"/>
        <v>5.3999999999999995</v>
      </c>
      <c r="EE153" s="144">
        <f t="shared" si="401"/>
        <v>21.037511111111115</v>
      </c>
      <c r="EF153" s="5">
        <f t="shared" si="402"/>
        <v>0.40581618655692714</v>
      </c>
      <c r="EH153" s="150">
        <f t="shared" si="403"/>
        <v>0.54054385050704967</v>
      </c>
      <c r="EI153" s="150">
        <f t="shared" si="404"/>
        <v>0.69783911030287837</v>
      </c>
      <c r="EK153" s="456">
        <f t="shared" si="405"/>
        <v>5.8437530864197534E-3</v>
      </c>
      <c r="EL153" s="456">
        <f t="shared" si="406"/>
        <v>8.1000000000000016E-2</v>
      </c>
      <c r="EM153" s="456">
        <f t="shared" si="407"/>
        <v>2.2994640261627907E-2</v>
      </c>
      <c r="EN153" s="456">
        <f t="shared" si="408"/>
        <v>3.8145348837209307E-3</v>
      </c>
      <c r="EO153">
        <f t="shared" si="409"/>
        <v>4.0499999999999998E-3</v>
      </c>
      <c r="EP153" s="144">
        <f t="shared" si="410"/>
        <v>27.044640261627908</v>
      </c>
      <c r="EQ153" s="144"/>
      <c r="ER153" s="144">
        <f t="shared" si="432"/>
        <v>117.70292823176861</v>
      </c>
      <c r="ES153" s="456">
        <f t="shared" si="411"/>
        <v>0.36119999999999997</v>
      </c>
      <c r="EV153" s="144">
        <f t="shared" si="412"/>
        <v>361.2</v>
      </c>
      <c r="EW153" s="456">
        <f t="shared" si="413"/>
        <v>8.7656296296296284E-3</v>
      </c>
      <c r="EX153" s="456">
        <f t="shared" si="414"/>
        <v>1.4609382716049384E-2</v>
      </c>
      <c r="EY153" s="456">
        <f t="shared" si="415"/>
        <v>6.6328676578668089E-2</v>
      </c>
      <c r="EZ153" s="456"/>
      <c r="FA153" s="456">
        <f t="shared" si="416"/>
        <v>4.3000000000000004E-4</v>
      </c>
      <c r="FB153" s="144">
        <f t="shared" si="417"/>
        <v>90.133688924347098</v>
      </c>
      <c r="FC153" s="150">
        <f t="shared" si="418"/>
        <v>0.56903661715611575</v>
      </c>
      <c r="FD153" s="5">
        <f t="shared" si="419"/>
        <v>2.58</v>
      </c>
      <c r="FE153" s="150">
        <f t="shared" si="420"/>
        <v>0.81929818978414715</v>
      </c>
      <c r="FF153" s="5">
        <f t="shared" si="421"/>
        <v>81.929818978414716</v>
      </c>
      <c r="FI153" s="59">
        <f t="shared" si="422"/>
        <v>-50</v>
      </c>
      <c r="FJ153">
        <f t="shared" si="423"/>
        <v>-50</v>
      </c>
      <c r="FL153">
        <f t="shared" si="476"/>
        <v>0.625</v>
      </c>
    </row>
    <row r="154" spans="5:168">
      <c r="E154" s="147">
        <v>44</v>
      </c>
      <c r="F154" s="188">
        <f t="shared" si="477"/>
        <v>0.52800000000000002</v>
      </c>
      <c r="G154" s="188"/>
      <c r="H154" s="188">
        <f t="shared" si="442"/>
        <v>2.64</v>
      </c>
      <c r="I154" s="465">
        <f t="shared" si="443"/>
        <v>8.9571436353810121</v>
      </c>
      <c r="J154" s="149">
        <f t="shared" si="444"/>
        <v>5.4257138187713929</v>
      </c>
      <c r="K154" s="149">
        <f t="shared" si="445"/>
        <v>14.382857454152404</v>
      </c>
      <c r="L154" s="379"/>
      <c r="M154" s="188">
        <f t="shared" si="446"/>
        <v>0.37721874946400924</v>
      </c>
      <c r="N154" s="149">
        <f t="shared" si="447"/>
        <v>8.485017830630051</v>
      </c>
      <c r="O154" s="149">
        <f t="shared" si="438"/>
        <v>2.64</v>
      </c>
      <c r="P154" s="188">
        <f t="shared" si="448"/>
        <v>1.6970035661260101</v>
      </c>
      <c r="Q154" s="188">
        <f t="shared" si="449"/>
        <v>5</v>
      </c>
      <c r="R154" s="188"/>
      <c r="S154" s="149">
        <f t="shared" si="450"/>
        <v>33.55907947575583</v>
      </c>
      <c r="T154" s="149">
        <f t="shared" si="451"/>
        <v>5</v>
      </c>
      <c r="U154" s="188">
        <f t="shared" si="452"/>
        <v>1.6956194475847877</v>
      </c>
      <c r="V154" s="188">
        <f t="shared" si="453"/>
        <v>2.2716430816900623</v>
      </c>
      <c r="W154" s="188">
        <f t="shared" si="454"/>
        <v>3.7501855148757102</v>
      </c>
      <c r="X154" s="172">
        <f t="shared" si="455"/>
        <v>281.57882948574678</v>
      </c>
      <c r="Y154" s="379">
        <f t="shared" si="328"/>
        <v>160.72445334671616</v>
      </c>
      <c r="AA154" s="188">
        <f t="shared" si="456"/>
        <v>1</v>
      </c>
      <c r="AB154" s="150">
        <f t="shared" si="457"/>
        <v>2.2116905536896336</v>
      </c>
      <c r="AC154" s="150">
        <f t="shared" si="458"/>
        <v>0.31138261864630512</v>
      </c>
      <c r="AD154" s="150"/>
      <c r="AE154" s="150">
        <f t="shared" si="459"/>
        <v>2.2116905536896336</v>
      </c>
      <c r="AF154" s="314">
        <f t="shared" si="460"/>
        <v>477.46281605188261</v>
      </c>
      <c r="AG154" s="456">
        <f t="shared" si="461"/>
        <v>0.31138261864630518</v>
      </c>
      <c r="AI154" s="150">
        <f t="shared" si="462"/>
        <v>1.1679809392425675</v>
      </c>
      <c r="AJ154" s="150">
        <f t="shared" si="463"/>
        <v>1.6956194475847877</v>
      </c>
      <c r="AK154" s="150">
        <f t="shared" si="464"/>
        <v>1.7152736648776203</v>
      </c>
      <c r="AM154" s="314">
        <f t="shared" si="465"/>
        <v>528</v>
      </c>
      <c r="AN154" s="144">
        <f t="shared" si="466"/>
        <v>160.72445334671616</v>
      </c>
      <c r="AP154" s="144">
        <f t="shared" si="467"/>
        <v>528</v>
      </c>
      <c r="AQ154" s="144">
        <f t="shared" si="468"/>
        <v>160.72445334671616</v>
      </c>
      <c r="AS154" s="5">
        <f t="shared" si="439"/>
        <v>6.2218285965657731</v>
      </c>
      <c r="AT154" s="5">
        <f t="shared" si="469"/>
        <v>2.2716430816900623</v>
      </c>
      <c r="AU154" s="5">
        <f t="shared" si="343"/>
        <v>3.9501855148757108</v>
      </c>
      <c r="AV154" s="5"/>
      <c r="AW154" s="150">
        <f t="shared" si="344"/>
        <v>0.36510859250348493</v>
      </c>
      <c r="AX154" s="150">
        <f t="shared" si="435"/>
        <v>2.7726176635094451</v>
      </c>
      <c r="AY154" s="150">
        <f t="shared" si="436"/>
        <v>0.53826710882778461</v>
      </c>
      <c r="AZ154" s="150">
        <f t="shared" si="440"/>
        <v>5.1510070335665405</v>
      </c>
      <c r="BA154" s="144">
        <f t="shared" si="433"/>
        <v>23.988550942647059</v>
      </c>
      <c r="BB154" s="5">
        <f t="shared" si="434"/>
        <v>0.48511045967819272</v>
      </c>
      <c r="BD154" s="150">
        <f t="shared" si="441"/>
        <v>0.5915327422835478</v>
      </c>
      <c r="BE154" s="150">
        <f t="shared" si="437"/>
        <v>0.78004110050844067</v>
      </c>
      <c r="BG154" s="456">
        <f t="shared" si="347"/>
        <v>6.9982197038698834E-3</v>
      </c>
      <c r="BH154" s="456">
        <f t="shared" si="470"/>
        <v>7.3494830838081115E-2</v>
      </c>
      <c r="BI154" s="456">
        <f t="shared" si="471"/>
        <v>3.5990800358615772E-2</v>
      </c>
      <c r="BJ154" s="456">
        <f t="shared" si="350"/>
        <v>3.324851935983102E-3</v>
      </c>
      <c r="BK154">
        <f t="shared" si="351"/>
        <v>4.0307146359214556E-3</v>
      </c>
      <c r="BL154" s="144">
        <f t="shared" si="427"/>
        <v>40.021514994537227</v>
      </c>
      <c r="BM154" s="456">
        <f t="shared" si="472"/>
        <v>8.5850171488717208E-2</v>
      </c>
      <c r="BN154" s="144">
        <f t="shared" si="353"/>
        <v>85.850171488717208</v>
      </c>
      <c r="BO154" s="456">
        <f t="shared" si="354"/>
        <v>0.36959999999999998</v>
      </c>
      <c r="BR154" s="144">
        <f t="shared" si="355"/>
        <v>369.59999999999997</v>
      </c>
      <c r="BS154" s="456">
        <f t="shared" si="356"/>
        <v>1.0497329555804825E-2</v>
      </c>
      <c r="BT154" s="456">
        <f t="shared" si="357"/>
        <v>1.8253923554472577E-2</v>
      </c>
      <c r="BU154" s="456">
        <f t="shared" si="358"/>
        <v>6.1304996234992026E-2</v>
      </c>
      <c r="BV154" s="456"/>
      <c r="BW154" s="456">
        <f t="shared" si="359"/>
        <v>4.6210294391824092E-4</v>
      </c>
      <c r="BX154" s="144">
        <f t="shared" si="360"/>
        <v>90.518352289187675</v>
      </c>
      <c r="BY154" s="150">
        <f t="shared" si="361"/>
        <v>0.58395776976165892</v>
      </c>
      <c r="BZ154" s="5">
        <f t="shared" si="362"/>
        <v>2.64</v>
      </c>
      <c r="CA154" s="150">
        <f t="shared" si="363"/>
        <v>0.81886928692467642</v>
      </c>
      <c r="CB154" s="5">
        <f t="shared" si="364"/>
        <v>81.886928692467649</v>
      </c>
      <c r="CE154" s="59">
        <f t="shared" si="473"/>
        <v>-50</v>
      </c>
      <c r="CF154">
        <f t="shared" si="474"/>
        <v>-50</v>
      </c>
      <c r="CG154" s="150">
        <f t="shared" si="475"/>
        <v>0.61601118607954541</v>
      </c>
      <c r="CI154" s="147">
        <v>44</v>
      </c>
      <c r="CJ154" s="188">
        <f t="shared" si="428"/>
        <v>0.52800000000000002</v>
      </c>
      <c r="CK154" s="188"/>
      <c r="CL154" s="188">
        <f t="shared" si="368"/>
        <v>2.64</v>
      </c>
      <c r="CM154" s="465">
        <f t="shared" si="369"/>
        <v>9</v>
      </c>
      <c r="CN154" s="379">
        <f t="shared" si="370"/>
        <v>5.4</v>
      </c>
      <c r="CO154" s="379">
        <f t="shared" si="371"/>
        <v>14.4</v>
      </c>
      <c r="CP154" s="379"/>
      <c r="CQ154" s="188">
        <f t="shared" si="372"/>
        <v>0.375</v>
      </c>
      <c r="CR154" s="149">
        <f t="shared" si="429"/>
        <v>8.4754687499999992</v>
      </c>
      <c r="CS154" s="149">
        <f t="shared" si="373"/>
        <v>2.64</v>
      </c>
      <c r="CT154" s="188">
        <f t="shared" si="374"/>
        <v>1.6950937499999998</v>
      </c>
      <c r="CU154" s="188">
        <f t="shared" si="375"/>
        <v>5</v>
      </c>
      <c r="CV154" s="188"/>
      <c r="CW154" s="149">
        <f t="shared" si="376"/>
        <v>33.719148960219513</v>
      </c>
      <c r="CX154" s="149">
        <f t="shared" si="377"/>
        <v>5</v>
      </c>
      <c r="CY154" s="188">
        <f t="shared" si="378"/>
        <v>1.5644444444444445</v>
      </c>
      <c r="CZ154" s="188">
        <f t="shared" si="379"/>
        <v>2.0859259259259262</v>
      </c>
      <c r="DA154" s="188">
        <f t="shared" si="380"/>
        <v>3.4765432098765432</v>
      </c>
      <c r="DB154" s="172">
        <f t="shared" si="381"/>
        <v>281.25</v>
      </c>
      <c r="DC154" s="379">
        <f t="shared" si="382"/>
        <v>179.77627840909088</v>
      </c>
      <c r="DE154" s="188">
        <f t="shared" si="383"/>
        <v>1</v>
      </c>
      <c r="DF154" s="150">
        <f t="shared" si="384"/>
        <v>2.2222222222222219</v>
      </c>
      <c r="DG154" s="150">
        <f t="shared" si="385"/>
        <v>0.31249999999999994</v>
      </c>
      <c r="DH154" s="150"/>
      <c r="DI154" s="150">
        <f t="shared" si="386"/>
        <v>2.2222222222222219</v>
      </c>
      <c r="DJ154" s="314">
        <f t="shared" si="387"/>
        <v>475.20000000000005</v>
      </c>
      <c r="DK154" s="456">
        <f t="shared" si="388"/>
        <v>0.31249999999999994</v>
      </c>
      <c r="DM154" s="150">
        <f t="shared" si="389"/>
        <v>1.1652099749462694</v>
      </c>
      <c r="DN154" s="150">
        <f t="shared" si="390"/>
        <v>1.5644444444444445</v>
      </c>
      <c r="DO154" s="150">
        <f t="shared" si="391"/>
        <v>1.6181069958847738</v>
      </c>
      <c r="DQ154" s="314">
        <f t="shared" si="392"/>
        <v>528</v>
      </c>
      <c r="DR154" s="144">
        <f t="shared" si="393"/>
        <v>179.77627840909088</v>
      </c>
      <c r="DT154">
        <f t="shared" si="430"/>
        <v>528</v>
      </c>
      <c r="DU154">
        <f t="shared" si="431"/>
        <v>179.77627840909088</v>
      </c>
      <c r="DW154" s="5">
        <f t="shared" si="394"/>
        <v>5.5624691358024707</v>
      </c>
      <c r="DX154" s="5">
        <f t="shared" si="395"/>
        <v>2.0859259259259262</v>
      </c>
      <c r="DY154" s="5">
        <f t="shared" si="396"/>
        <v>3.4765432098765445</v>
      </c>
      <c r="DZ154" s="5"/>
      <c r="EA154" s="150">
        <f t="shared" si="397"/>
        <v>0.37499999999999994</v>
      </c>
      <c r="EB154" s="150">
        <f t="shared" si="398"/>
        <v>2.64</v>
      </c>
      <c r="EC154" s="150">
        <f t="shared" si="399"/>
        <v>0.48888888888888893</v>
      </c>
      <c r="ED154" s="150">
        <f t="shared" si="400"/>
        <v>5.3999999999999995</v>
      </c>
      <c r="EE154" s="144">
        <f t="shared" si="401"/>
        <v>22.027377777777779</v>
      </c>
      <c r="EF154" s="5">
        <f t="shared" si="402"/>
        <v>0.4249108367626887</v>
      </c>
      <c r="EH154" s="150">
        <f t="shared" si="403"/>
        <v>0.55311463772814384</v>
      </c>
      <c r="EI154" s="150">
        <f t="shared" si="404"/>
        <v>0.71406792682154996</v>
      </c>
      <c r="EK154" s="456">
        <f t="shared" si="405"/>
        <v>6.1187160493827164E-3</v>
      </c>
      <c r="EL154" s="456">
        <f t="shared" si="406"/>
        <v>8.0999999999999989E-2</v>
      </c>
      <c r="EM154" s="456">
        <f t="shared" si="407"/>
        <v>2.247203480113636E-2</v>
      </c>
      <c r="EN154" s="456">
        <f t="shared" si="408"/>
        <v>3.7278409090909089E-3</v>
      </c>
      <c r="EO154">
        <f t="shared" si="409"/>
        <v>4.0499999999999998E-3</v>
      </c>
      <c r="EP154" s="144">
        <f t="shared" si="410"/>
        <v>26.522034801136357</v>
      </c>
      <c r="EQ154" s="144"/>
      <c r="ER154" s="144">
        <f t="shared" si="432"/>
        <v>117.36859175960997</v>
      </c>
      <c r="ES154" s="456">
        <f t="shared" si="411"/>
        <v>0.36959999999999998</v>
      </c>
      <c r="EV154" s="144">
        <f t="shared" si="412"/>
        <v>369.59999999999997</v>
      </c>
      <c r="EW154" s="456">
        <f t="shared" si="413"/>
        <v>9.1780740740740746E-3</v>
      </c>
      <c r="EX154" s="456">
        <f t="shared" si="414"/>
        <v>1.5296790123456793E-2</v>
      </c>
      <c r="EY154" s="456">
        <f t="shared" si="415"/>
        <v>6.632867657866813E-2</v>
      </c>
      <c r="EZ154" s="456"/>
      <c r="FA154" s="456">
        <f t="shared" si="416"/>
        <v>4.3999999999999996E-4</v>
      </c>
      <c r="FB154" s="144">
        <f t="shared" si="417"/>
        <v>91.243540776198998</v>
      </c>
      <c r="FC154" s="150">
        <f t="shared" si="418"/>
        <v>0.57821213253580894</v>
      </c>
      <c r="FD154" s="5">
        <f t="shared" si="419"/>
        <v>2.64</v>
      </c>
      <c r="FE154" s="150">
        <f t="shared" si="420"/>
        <v>0.82033125576460886</v>
      </c>
      <c r="FF154" s="5">
        <f t="shared" si="421"/>
        <v>82.03312557646089</v>
      </c>
      <c r="FI154" s="59">
        <f t="shared" si="422"/>
        <v>-50</v>
      </c>
      <c r="FJ154">
        <f t="shared" si="423"/>
        <v>-50</v>
      </c>
      <c r="FL154">
        <f t="shared" si="476"/>
        <v>0.625</v>
      </c>
    </row>
    <row r="155" spans="5:168">
      <c r="E155" s="147">
        <v>45</v>
      </c>
      <c r="F155" s="188">
        <f t="shared" si="477"/>
        <v>0.54</v>
      </c>
      <c r="G155" s="188"/>
      <c r="H155" s="188">
        <f t="shared" si="442"/>
        <v>2.7</v>
      </c>
      <c r="I155" s="465">
        <f t="shared" si="443"/>
        <v>8.9561838351822498</v>
      </c>
      <c r="J155" s="149">
        <f t="shared" si="444"/>
        <v>5.4262896988906499</v>
      </c>
      <c r="K155" s="149">
        <f t="shared" si="445"/>
        <v>14.382473534072901</v>
      </c>
      <c r="L155" s="379"/>
      <c r="M155" s="188">
        <f t="shared" si="446"/>
        <v>0.37726886568061296</v>
      </c>
      <c r="N155" s="149">
        <f t="shared" si="447"/>
        <v>8.485235795624293</v>
      </c>
      <c r="O155" s="149">
        <f t="shared" si="438"/>
        <v>2.7</v>
      </c>
      <c r="P155" s="188">
        <f t="shared" si="448"/>
        <v>1.6970471591248586</v>
      </c>
      <c r="Q155" s="188">
        <f t="shared" si="449"/>
        <v>5</v>
      </c>
      <c r="R155" s="188"/>
      <c r="S155" s="149">
        <f t="shared" si="450"/>
        <v>32.616136960980526</v>
      </c>
      <c r="T155" s="149">
        <f t="shared" si="451"/>
        <v>5</v>
      </c>
      <c r="U155" s="188">
        <f t="shared" si="452"/>
        <v>1.7342958148067933</v>
      </c>
      <c r="V155" s="188">
        <f t="shared" si="453"/>
        <v>2.3237073022025596</v>
      </c>
      <c r="W155" s="188">
        <f t="shared" si="454"/>
        <v>3.8353185938333207</v>
      </c>
      <c r="X155" s="172">
        <f t="shared" si="455"/>
        <v>281.5860566397414</v>
      </c>
      <c r="Y155" s="379">
        <f t="shared" si="328"/>
        <v>157.25679000983229</v>
      </c>
      <c r="AA155" s="188">
        <f t="shared" si="456"/>
        <v>0.99999999999999978</v>
      </c>
      <c r="AB155" s="150">
        <f t="shared" si="457"/>
        <v>2.2114558318648703</v>
      </c>
      <c r="AC155" s="150">
        <f t="shared" si="458"/>
        <v>0.31135756356389382</v>
      </c>
      <c r="AD155" s="150"/>
      <c r="AE155" s="150">
        <f t="shared" si="459"/>
        <v>2.2114558318648707</v>
      </c>
      <c r="AF155" s="314">
        <f t="shared" si="460"/>
        <v>488.36607290015854</v>
      </c>
      <c r="AG155" s="456">
        <f t="shared" si="461"/>
        <v>0.31135756356389394</v>
      </c>
      <c r="AI155" s="150">
        <f t="shared" si="462"/>
        <v>1.1812415658355389</v>
      </c>
      <c r="AJ155" s="150">
        <f t="shared" si="463"/>
        <v>1.7342958148067933</v>
      </c>
      <c r="AK155" s="150">
        <f t="shared" si="464"/>
        <v>1.7439228257828097</v>
      </c>
      <c r="AM155" s="314">
        <f t="shared" si="465"/>
        <v>540</v>
      </c>
      <c r="AN155" s="144">
        <f t="shared" si="466"/>
        <v>157.25679000983229</v>
      </c>
      <c r="AP155" s="144">
        <f t="shared" si="467"/>
        <v>540</v>
      </c>
      <c r="AQ155" s="144">
        <f t="shared" si="468"/>
        <v>157.25679000983229</v>
      </c>
      <c r="AS155" s="5">
        <f t="shared" si="439"/>
        <v>6.3590258960358801</v>
      </c>
      <c r="AT155" s="5">
        <f t="shared" si="469"/>
        <v>2.3237073022025596</v>
      </c>
      <c r="AU155" s="5">
        <f t="shared" si="343"/>
        <v>4.0353185938333205</v>
      </c>
      <c r="AV155" s="5"/>
      <c r="AW155" s="150">
        <f t="shared" si="344"/>
        <v>0.3654187512667818</v>
      </c>
      <c r="AX155" s="150">
        <f t="shared" si="435"/>
        <v>2.8379648289824058</v>
      </c>
      <c r="AY155" s="150">
        <f t="shared" si="436"/>
        <v>0.55027580191644454</v>
      </c>
      <c r="AZ155" s="150">
        <f t="shared" si="440"/>
        <v>5.1573498581958912</v>
      </c>
      <c r="BA155" s="144">
        <f t="shared" si="433"/>
        <v>25.096038863787644</v>
      </c>
      <c r="BB155" s="5">
        <f t="shared" si="434"/>
        <v>0.50688256311010682</v>
      </c>
      <c r="BD155" s="150">
        <f t="shared" si="441"/>
        <v>0.60528228476474122</v>
      </c>
      <c r="BE155" s="150">
        <f t="shared" si="437"/>
        <v>0.79763860666057762</v>
      </c>
      <c r="BG155" s="456">
        <f t="shared" si="347"/>
        <v>7.3273328850005058E-3</v>
      </c>
      <c r="BH155" s="456">
        <f t="shared" si="470"/>
        <v>7.3547419244652343E-2</v>
      </c>
      <c r="BI155" s="456">
        <f t="shared" si="471"/>
        <v>3.521051801646774E-2</v>
      </c>
      <c r="BJ155" s="456">
        <f t="shared" si="350"/>
        <v>3.2529438995877974E-3</v>
      </c>
      <c r="BK155">
        <f t="shared" si="351"/>
        <v>4.0302827258320122E-3</v>
      </c>
      <c r="BL155" s="144">
        <f t="shared" si="427"/>
        <v>39.240800742299754</v>
      </c>
      <c r="BM155" s="456">
        <f t="shared" si="472"/>
        <v>8.6256245814806121E-2</v>
      </c>
      <c r="BN155" s="144">
        <f t="shared" si="353"/>
        <v>86.256245814806121</v>
      </c>
      <c r="BO155" s="456">
        <f t="shared" si="354"/>
        <v>0.378</v>
      </c>
      <c r="BR155" s="144">
        <f t="shared" si="355"/>
        <v>378</v>
      </c>
      <c r="BS155" s="456">
        <f t="shared" si="356"/>
        <v>1.0990999327500759E-2</v>
      </c>
      <c r="BT155" s="456">
        <f t="shared" si="357"/>
        <v>1.9086820405062831E-2</v>
      </c>
      <c r="BU155" s="456">
        <f t="shared" si="358"/>
        <v>6.1418818893139146E-2</v>
      </c>
      <c r="BV155" s="456"/>
      <c r="BW155" s="456">
        <f t="shared" si="359"/>
        <v>4.7299413816373432E-4</v>
      </c>
      <c r="BX155" s="144">
        <f t="shared" si="360"/>
        <v>91.969632763866471</v>
      </c>
      <c r="BY155" s="150">
        <f t="shared" si="361"/>
        <v>0.59333812953540688</v>
      </c>
      <c r="BZ155" s="5">
        <f t="shared" si="362"/>
        <v>2.7</v>
      </c>
      <c r="CA155" s="150">
        <f t="shared" si="363"/>
        <v>0.81983686272168188</v>
      </c>
      <c r="CB155" s="5">
        <f t="shared" si="364"/>
        <v>81.983686272168185</v>
      </c>
      <c r="CE155" s="59">
        <f t="shared" si="473"/>
        <v>-50</v>
      </c>
      <c r="CF155">
        <f t="shared" si="474"/>
        <v>-50</v>
      </c>
      <c r="CG155" s="150">
        <f t="shared" si="475"/>
        <v>0.6162109375</v>
      </c>
      <c r="CI155" s="147">
        <v>45</v>
      </c>
      <c r="CJ155" s="188">
        <f t="shared" si="428"/>
        <v>0.54</v>
      </c>
      <c r="CK155" s="188"/>
      <c r="CL155" s="188">
        <f t="shared" si="368"/>
        <v>2.7</v>
      </c>
      <c r="CM155" s="465">
        <f t="shared" si="369"/>
        <v>9</v>
      </c>
      <c r="CN155" s="379">
        <f t="shared" si="370"/>
        <v>5.4</v>
      </c>
      <c r="CO155" s="379">
        <f t="shared" si="371"/>
        <v>14.4</v>
      </c>
      <c r="CP155" s="379"/>
      <c r="CQ155" s="188">
        <f t="shared" si="372"/>
        <v>0.375</v>
      </c>
      <c r="CR155" s="149">
        <f t="shared" si="429"/>
        <v>8.4754687499999992</v>
      </c>
      <c r="CS155" s="149">
        <f t="shared" si="373"/>
        <v>2.7</v>
      </c>
      <c r="CT155" s="188">
        <f t="shared" si="374"/>
        <v>1.6950937499999998</v>
      </c>
      <c r="CU155" s="188">
        <f t="shared" si="375"/>
        <v>5</v>
      </c>
      <c r="CV155" s="188"/>
      <c r="CW155" s="149">
        <f t="shared" si="376"/>
        <v>32.77518152129344</v>
      </c>
      <c r="CX155" s="149">
        <f t="shared" si="377"/>
        <v>5</v>
      </c>
      <c r="CY155" s="188">
        <f t="shared" si="378"/>
        <v>1.6</v>
      </c>
      <c r="CZ155" s="188">
        <f t="shared" si="379"/>
        <v>2.1333333333333337</v>
      </c>
      <c r="DA155" s="188">
        <f t="shared" si="380"/>
        <v>3.5555555555555558</v>
      </c>
      <c r="DB155" s="172">
        <f t="shared" si="381"/>
        <v>281.25</v>
      </c>
      <c r="DC155" s="379">
        <f t="shared" si="382"/>
        <v>175.78124999999997</v>
      </c>
      <c r="DE155" s="188">
        <f t="shared" si="383"/>
        <v>1</v>
      </c>
      <c r="DF155" s="150">
        <f t="shared" si="384"/>
        <v>2.2222222222222219</v>
      </c>
      <c r="DG155" s="150">
        <f t="shared" si="385"/>
        <v>0.31249999999999994</v>
      </c>
      <c r="DH155" s="150"/>
      <c r="DI155" s="150">
        <f t="shared" si="386"/>
        <v>2.2222222222222219</v>
      </c>
      <c r="DJ155" s="314">
        <f t="shared" si="387"/>
        <v>486.00000000000006</v>
      </c>
      <c r="DK155" s="456">
        <f t="shared" si="388"/>
        <v>0.31249999999999994</v>
      </c>
      <c r="DM155" s="150">
        <f t="shared" si="389"/>
        <v>1.1783766072743589</v>
      </c>
      <c r="DN155" s="150">
        <f t="shared" si="390"/>
        <v>1.6</v>
      </c>
      <c r="DO155" s="150">
        <f t="shared" si="391"/>
        <v>1.6444444444444444</v>
      </c>
      <c r="DQ155" s="314">
        <f t="shared" si="392"/>
        <v>540</v>
      </c>
      <c r="DR155" s="144">
        <f t="shared" si="393"/>
        <v>175.78124999999997</v>
      </c>
      <c r="DT155">
        <f t="shared" si="430"/>
        <v>540</v>
      </c>
      <c r="DU155">
        <f t="shared" si="431"/>
        <v>175.78124999999997</v>
      </c>
      <c r="DW155" s="5">
        <f t="shared" si="394"/>
        <v>5.68888888888889</v>
      </c>
      <c r="DX155" s="5">
        <f t="shared" si="395"/>
        <v>2.1333333333333337</v>
      </c>
      <c r="DY155" s="5">
        <f t="shared" si="396"/>
        <v>3.5555555555555562</v>
      </c>
      <c r="DZ155" s="5"/>
      <c r="EA155" s="150">
        <f t="shared" si="397"/>
        <v>0.375</v>
      </c>
      <c r="EB155" s="150">
        <f t="shared" si="398"/>
        <v>2.6999999999999997</v>
      </c>
      <c r="EC155" s="150">
        <f t="shared" si="399"/>
        <v>0.5</v>
      </c>
      <c r="ED155" s="150">
        <f t="shared" si="400"/>
        <v>5.3999999999999995</v>
      </c>
      <c r="EE155" s="144">
        <f t="shared" si="401"/>
        <v>23.04000000000001</v>
      </c>
      <c r="EF155" s="5">
        <f t="shared" si="402"/>
        <v>0.44444444444444453</v>
      </c>
      <c r="EH155" s="150">
        <f t="shared" si="403"/>
        <v>0.56568542494923812</v>
      </c>
      <c r="EI155" s="150">
        <f t="shared" si="404"/>
        <v>0.73029674334022154</v>
      </c>
      <c r="EK155" s="456">
        <f t="shared" si="405"/>
        <v>6.4000000000000029E-3</v>
      </c>
      <c r="EL155" s="456">
        <f t="shared" si="406"/>
        <v>8.1000000000000003E-2</v>
      </c>
      <c r="EM155" s="456">
        <f t="shared" si="407"/>
        <v>2.1972656249999997E-2</v>
      </c>
      <c r="EN155" s="456">
        <f t="shared" si="408"/>
        <v>3.6449999999999998E-3</v>
      </c>
      <c r="EO155">
        <f t="shared" si="409"/>
        <v>4.0499999999999998E-3</v>
      </c>
      <c r="EP155" s="144">
        <f t="shared" si="410"/>
        <v>26.022656249999997</v>
      </c>
      <c r="EQ155" s="144"/>
      <c r="ER155" s="144">
        <f t="shared" si="432"/>
        <v>117.06765625</v>
      </c>
      <c r="ES155" s="456">
        <f t="shared" si="411"/>
        <v>0.378</v>
      </c>
      <c r="EV155" s="144">
        <f t="shared" si="412"/>
        <v>378</v>
      </c>
      <c r="EW155" s="456">
        <f t="shared" si="413"/>
        <v>9.6000000000000026E-3</v>
      </c>
      <c r="EX155" s="456">
        <f t="shared" si="414"/>
        <v>1.6000000000000004E-2</v>
      </c>
      <c r="EY155" s="456">
        <f t="shared" si="415"/>
        <v>6.6328676578668089E-2</v>
      </c>
      <c r="EZ155" s="456"/>
      <c r="FA155" s="456">
        <f t="shared" si="416"/>
        <v>4.5000000000000004E-4</v>
      </c>
      <c r="FB155" s="144">
        <f t="shared" si="417"/>
        <v>92.378676578668106</v>
      </c>
      <c r="FC155" s="150">
        <f t="shared" si="418"/>
        <v>0.58744633282866798</v>
      </c>
      <c r="FD155" s="5">
        <f t="shared" si="419"/>
        <v>2.7</v>
      </c>
      <c r="FE155" s="150">
        <f t="shared" si="420"/>
        <v>0.82130618317251658</v>
      </c>
      <c r="FF155" s="5">
        <f t="shared" si="421"/>
        <v>82.13061831725166</v>
      </c>
      <c r="FI155" s="59">
        <f t="shared" si="422"/>
        <v>-50</v>
      </c>
      <c r="FJ155">
        <f t="shared" si="423"/>
        <v>-50</v>
      </c>
      <c r="FL155">
        <f t="shared" si="476"/>
        <v>0.625</v>
      </c>
    </row>
    <row r="156" spans="5:168" s="59" customFormat="1">
      <c r="E156" s="147">
        <v>46</v>
      </c>
      <c r="F156" s="188">
        <f t="shared" si="477"/>
        <v>0.55200000000000005</v>
      </c>
      <c r="G156" s="188"/>
      <c r="H156" s="188">
        <f t="shared" si="442"/>
        <v>2.7600000000000002</v>
      </c>
      <c r="I156" s="465">
        <f t="shared" si="443"/>
        <v>8.9552240261753049</v>
      </c>
      <c r="J156" s="149">
        <f t="shared" si="444"/>
        <v>5.4268655842948172</v>
      </c>
      <c r="K156" s="149">
        <f t="shared" si="445"/>
        <v>14.382089610470121</v>
      </c>
      <c r="L156" s="379"/>
      <c r="M156" s="188">
        <f t="shared" si="446"/>
        <v>0.37731898480317799</v>
      </c>
      <c r="N156" s="149">
        <f t="shared" si="447"/>
        <v>8.4854535760339527</v>
      </c>
      <c r="O156" s="149">
        <f t="shared" si="438"/>
        <v>2.7600000000000002</v>
      </c>
      <c r="P156" s="188">
        <f t="shared" si="448"/>
        <v>1.6970907152067904</v>
      </c>
      <c r="Q156" s="188">
        <f t="shared" si="449"/>
        <v>5</v>
      </c>
      <c r="R156" s="188"/>
      <c r="S156" s="149">
        <f t="shared" si="450"/>
        <v>31.714397351041814</v>
      </c>
      <c r="T156" s="149">
        <f t="shared" si="451"/>
        <v>5</v>
      </c>
      <c r="U156" s="188">
        <f t="shared" si="452"/>
        <v>1.7729784160049249</v>
      </c>
      <c r="V156" s="188">
        <f t="shared" si="453"/>
        <v>2.3757910388251644</v>
      </c>
      <c r="W156" s="188">
        <f t="shared" si="454"/>
        <v>3.9204473856198767</v>
      </c>
      <c r="X156" s="172">
        <f t="shared" si="455"/>
        <v>281.59327784052232</v>
      </c>
      <c r="Y156" s="379">
        <f t="shared" si="328"/>
        <v>153.93523677287564</v>
      </c>
      <c r="AA156" s="188">
        <f t="shared" si="456"/>
        <v>1</v>
      </c>
      <c r="AB156" s="462">
        <f t="shared" si="457"/>
        <v>2.2112211577024561</v>
      </c>
      <c r="AC156" s="462">
        <f t="shared" si="458"/>
        <v>0.31133250691387454</v>
      </c>
      <c r="AD156" s="462"/>
      <c r="AE156" s="462">
        <f t="shared" si="459"/>
        <v>2.2112211577024561</v>
      </c>
      <c r="AF156" s="314">
        <f t="shared" si="460"/>
        <v>499.27163375512316</v>
      </c>
      <c r="AG156" s="497">
        <f t="shared" si="461"/>
        <v>0.31133250691387454</v>
      </c>
      <c r="AI156" s="462">
        <f t="shared" si="462"/>
        <v>1.194357727884529</v>
      </c>
      <c r="AJ156" s="462">
        <f t="shared" si="463"/>
        <v>1.7729784160049249</v>
      </c>
      <c r="AK156" s="462">
        <f t="shared" si="464"/>
        <v>1.7725766044480924</v>
      </c>
      <c r="AM156" s="484">
        <f t="shared" si="465"/>
        <v>552</v>
      </c>
      <c r="AN156" s="485">
        <f t="shared" si="466"/>
        <v>153.93523677287564</v>
      </c>
      <c r="AP156" s="59">
        <f t="shared" si="467"/>
        <v>552</v>
      </c>
      <c r="AQ156" s="59">
        <f t="shared" si="468"/>
        <v>153.93523677287564</v>
      </c>
      <c r="AS156" s="167">
        <f t="shared" si="439"/>
        <v>6.4962384244450408</v>
      </c>
      <c r="AT156" s="5">
        <f t="shared" si="469"/>
        <v>2.3757910388251644</v>
      </c>
      <c r="AU156" s="5">
        <f t="shared" si="343"/>
        <v>4.120447385619876</v>
      </c>
      <c r="AV156" s="5"/>
      <c r="AW156" s="150">
        <f t="shared" si="344"/>
        <v>0.36571795608442786</v>
      </c>
      <c r="AX156" s="150">
        <f t="shared" si="435"/>
        <v>2.9033285956291275</v>
      </c>
      <c r="AY156" s="150">
        <f t="shared" si="436"/>
        <v>0.56228418676089864</v>
      </c>
      <c r="AZ156" s="150">
        <f t="shared" si="440"/>
        <v>5.163454110908007</v>
      </c>
      <c r="BA156" s="144">
        <f t="shared" si="433"/>
        <v>26.228733068629818</v>
      </c>
      <c r="BB156" s="5">
        <f t="shared" si="434"/>
        <v>0.52913410983495335</v>
      </c>
      <c r="BD156" s="150">
        <f t="shared" si="441"/>
        <v>0.61903608135105814</v>
      </c>
      <c r="BE156" s="150">
        <f t="shared" si="437"/>
        <v>0.81523727702960014</v>
      </c>
      <c r="BG156" s="456">
        <f t="shared" si="347"/>
        <v>7.6641134002894771E-3</v>
      </c>
      <c r="BH156" s="456">
        <f t="shared" si="470"/>
        <v>7.3597786875960081E-2</v>
      </c>
      <c r="BI156" s="456">
        <f t="shared" si="471"/>
        <v>3.4463113270586002E-2</v>
      </c>
      <c r="BJ156" s="456">
        <f t="shared" si="350"/>
        <v>3.1840657323359074E-3</v>
      </c>
      <c r="BK156">
        <f t="shared" si="351"/>
        <v>4.0298508117788869E-3</v>
      </c>
      <c r="BL156" s="144">
        <f t="shared" si="427"/>
        <v>38.492964082364892</v>
      </c>
      <c r="BM156" s="456">
        <f t="shared" si="472"/>
        <v>8.6673107779025108E-2</v>
      </c>
      <c r="BN156" s="144">
        <f t="shared" si="353"/>
        <v>86.673107779025102</v>
      </c>
      <c r="BO156" s="456">
        <f t="shared" si="354"/>
        <v>0.38640000000000002</v>
      </c>
      <c r="BR156" s="144">
        <f t="shared" si="355"/>
        <v>386.40000000000003</v>
      </c>
      <c r="BS156" s="456">
        <f t="shared" si="356"/>
        <v>1.1496170100434215E-2</v>
      </c>
      <c r="BT156" s="456">
        <f t="shared" si="357"/>
        <v>1.9938354535759109E-2</v>
      </c>
      <c r="BU156" s="456">
        <f t="shared" si="358"/>
        <v>6.1528132825768446E-2</v>
      </c>
      <c r="BV156" s="456"/>
      <c r="BW156" s="456">
        <f t="shared" si="359"/>
        <v>4.8388809927152126E-4</v>
      </c>
      <c r="BX156" s="144">
        <f t="shared" si="360"/>
        <v>93.446545561233307</v>
      </c>
      <c r="BY156" s="150">
        <f t="shared" si="361"/>
        <v>0.60278547565218354</v>
      </c>
      <c r="BZ156" s="5">
        <f t="shared" si="362"/>
        <v>2.7600000000000002</v>
      </c>
      <c r="CA156" s="150">
        <f t="shared" si="363"/>
        <v>0.82074816249309557</v>
      </c>
      <c r="CB156" s="5">
        <f t="shared" si="364"/>
        <v>82.074816249309563</v>
      </c>
      <c r="CE156" s="59">
        <f t="shared" si="473"/>
        <v>-50</v>
      </c>
      <c r="CF156">
        <f t="shared" si="474"/>
        <v>-50</v>
      </c>
      <c r="CG156" s="150">
        <f t="shared" si="475"/>
        <v>0.61640200407608692</v>
      </c>
      <c r="CH156"/>
      <c r="CI156" s="147">
        <v>46</v>
      </c>
      <c r="CJ156" s="188">
        <f t="shared" si="428"/>
        <v>0.55200000000000005</v>
      </c>
      <c r="CK156" s="188"/>
      <c r="CL156" s="188">
        <f t="shared" si="368"/>
        <v>2.7600000000000002</v>
      </c>
      <c r="CM156" s="465">
        <f t="shared" si="369"/>
        <v>9</v>
      </c>
      <c r="CN156" s="379">
        <f t="shared" si="370"/>
        <v>5.4</v>
      </c>
      <c r="CO156" s="379">
        <f t="shared" si="371"/>
        <v>14.4</v>
      </c>
      <c r="CP156" s="379"/>
      <c r="CQ156" s="188">
        <f t="shared" si="372"/>
        <v>0.375</v>
      </c>
      <c r="CR156" s="149">
        <f t="shared" si="429"/>
        <v>8.4754687499999992</v>
      </c>
      <c r="CS156" s="149">
        <f t="shared" si="373"/>
        <v>2.7600000000000002</v>
      </c>
      <c r="CT156" s="188">
        <f t="shared" si="374"/>
        <v>1.6950937499999998</v>
      </c>
      <c r="CU156" s="188">
        <f t="shared" si="375"/>
        <v>5</v>
      </c>
      <c r="CV156" s="188"/>
      <c r="CW156" s="149">
        <f t="shared" si="376"/>
        <v>31.872419923342104</v>
      </c>
      <c r="CX156" s="149">
        <f t="shared" si="377"/>
        <v>5</v>
      </c>
      <c r="CY156" s="188">
        <f t="shared" si="378"/>
        <v>1.6355555555555557</v>
      </c>
      <c r="CZ156" s="188">
        <f t="shared" si="379"/>
        <v>2.1807407407407409</v>
      </c>
      <c r="DA156" s="188">
        <f t="shared" si="380"/>
        <v>3.6345679012345684</v>
      </c>
      <c r="DB156" s="172">
        <f t="shared" si="381"/>
        <v>281.25</v>
      </c>
      <c r="DC156" s="379">
        <f t="shared" si="382"/>
        <v>171.95991847826085</v>
      </c>
      <c r="DE156" s="188">
        <f t="shared" si="383"/>
        <v>1</v>
      </c>
      <c r="DF156" s="462">
        <f t="shared" si="384"/>
        <v>2.2222222222222219</v>
      </c>
      <c r="DG156" s="462">
        <f t="shared" si="385"/>
        <v>0.31249999999999994</v>
      </c>
      <c r="DH156" s="462"/>
      <c r="DI156" s="462">
        <f t="shared" si="386"/>
        <v>2.2222222222222219</v>
      </c>
      <c r="DJ156" s="314">
        <f t="shared" si="387"/>
        <v>496.80000000000007</v>
      </c>
      <c r="DK156" s="497">
        <f t="shared" si="388"/>
        <v>0.31249999999999994</v>
      </c>
      <c r="DM156" s="462">
        <f t="shared" si="389"/>
        <v>1.1913977385527352</v>
      </c>
      <c r="DN156" s="462">
        <f t="shared" si="390"/>
        <v>1.6355555555555557</v>
      </c>
      <c r="DO156" s="462">
        <f t="shared" si="391"/>
        <v>1.6707818930041154</v>
      </c>
      <c r="DQ156" s="484">
        <f t="shared" si="392"/>
        <v>552</v>
      </c>
      <c r="DR156" s="485">
        <f t="shared" si="393"/>
        <v>171.95991847826085</v>
      </c>
      <c r="DT156">
        <f t="shared" si="430"/>
        <v>552</v>
      </c>
      <c r="DU156">
        <f t="shared" si="431"/>
        <v>171.95991847826085</v>
      </c>
      <c r="DW156" s="167">
        <f t="shared" si="394"/>
        <v>5.8153086419753093</v>
      </c>
      <c r="DX156" s="5">
        <f t="shared" si="395"/>
        <v>2.1807407407407409</v>
      </c>
      <c r="DY156" s="5">
        <f t="shared" si="396"/>
        <v>3.6345679012345684</v>
      </c>
      <c r="DZ156" s="5"/>
      <c r="EA156" s="150">
        <f t="shared" si="397"/>
        <v>0.375</v>
      </c>
      <c r="EB156" s="150">
        <f t="shared" si="398"/>
        <v>2.76</v>
      </c>
      <c r="EC156" s="150">
        <f t="shared" si="399"/>
        <v>0.51111111111111118</v>
      </c>
      <c r="ED156" s="150">
        <f t="shared" si="400"/>
        <v>5.3999999999999986</v>
      </c>
      <c r="EE156" s="144">
        <f t="shared" si="401"/>
        <v>24.075377777777781</v>
      </c>
      <c r="EF156" s="5">
        <f t="shared" si="402"/>
        <v>0.46441700960219484</v>
      </c>
      <c r="EH156" s="150">
        <f t="shared" si="403"/>
        <v>0.5782562121703323</v>
      </c>
      <c r="EI156" s="150">
        <f t="shared" si="404"/>
        <v>0.74652555985889313</v>
      </c>
      <c r="EK156" s="456">
        <f t="shared" si="405"/>
        <v>6.6876049382716077E-3</v>
      </c>
      <c r="EL156" s="456">
        <f t="shared" si="406"/>
        <v>8.1000000000000003E-2</v>
      </c>
      <c r="EM156" s="456">
        <f t="shared" si="407"/>
        <v>2.1494989809782605E-2</v>
      </c>
      <c r="EN156" s="456">
        <f t="shared" si="408"/>
        <v>3.565760869565217E-3</v>
      </c>
      <c r="EO156">
        <f t="shared" si="409"/>
        <v>4.0499999999999998E-3</v>
      </c>
      <c r="EP156" s="144">
        <f t="shared" si="410"/>
        <v>25.544989809782606</v>
      </c>
      <c r="EQ156" s="144"/>
      <c r="ER156" s="144">
        <f t="shared" si="432"/>
        <v>116.79835561761944</v>
      </c>
      <c r="ES156" s="456">
        <f t="shared" si="411"/>
        <v>0.38640000000000002</v>
      </c>
      <c r="EV156" s="144">
        <f t="shared" si="412"/>
        <v>386.40000000000003</v>
      </c>
      <c r="EW156" s="456">
        <f t="shared" si="413"/>
        <v>1.0031407407407411E-2</v>
      </c>
      <c r="EX156" s="456">
        <f t="shared" si="414"/>
        <v>1.6719012345679015E-2</v>
      </c>
      <c r="EY156" s="456">
        <f t="shared" si="415"/>
        <v>6.6328676578668061E-2</v>
      </c>
      <c r="EZ156" s="456"/>
      <c r="FA156" s="456">
        <f t="shared" si="416"/>
        <v>4.6000000000000001E-4</v>
      </c>
      <c r="FB156" s="144">
        <f t="shared" si="417"/>
        <v>93.539096331754493</v>
      </c>
      <c r="FC156" s="150">
        <f t="shared" si="418"/>
        <v>0.59673745194937389</v>
      </c>
      <c r="FD156" s="5">
        <f t="shared" si="419"/>
        <v>2.7600000000000002</v>
      </c>
      <c r="FE156" s="150">
        <f t="shared" si="420"/>
        <v>0.82222695087373376</v>
      </c>
      <c r="FF156" s="5">
        <f t="shared" si="421"/>
        <v>82.222695087373381</v>
      </c>
      <c r="FI156" s="59">
        <f t="shared" si="422"/>
        <v>-50</v>
      </c>
      <c r="FJ156">
        <f t="shared" si="423"/>
        <v>-50</v>
      </c>
      <c r="FL156">
        <f t="shared" si="476"/>
        <v>0.625</v>
      </c>
    </row>
    <row r="157" spans="5:168">
      <c r="E157" s="147">
        <v>47</v>
      </c>
      <c r="F157" s="188">
        <f t="shared" si="477"/>
        <v>0.56399999999999995</v>
      </c>
      <c r="G157" s="188"/>
      <c r="H157" s="188">
        <f t="shared" si="442"/>
        <v>2.82</v>
      </c>
      <c r="I157" s="465">
        <f t="shared" si="443"/>
        <v>8.9542642089300752</v>
      </c>
      <c r="J157" s="149">
        <f t="shared" si="444"/>
        <v>5.427441474641955</v>
      </c>
      <c r="K157" s="149">
        <f t="shared" si="445"/>
        <v>14.381705683572029</v>
      </c>
      <c r="L157" s="379"/>
      <c r="M157" s="188">
        <f t="shared" si="446"/>
        <v>0.37736910681707492</v>
      </c>
      <c r="N157" s="149">
        <f t="shared" si="447"/>
        <v>8.4856711720458016</v>
      </c>
      <c r="O157" s="149">
        <f t="shared" si="438"/>
        <v>2.82</v>
      </c>
      <c r="P157" s="188">
        <f t="shared" si="448"/>
        <v>1.6971342344091602</v>
      </c>
      <c r="Q157" s="188">
        <f t="shared" si="449"/>
        <v>5</v>
      </c>
      <c r="R157" s="188"/>
      <c r="S157" s="149">
        <f t="shared" si="450"/>
        <v>30.85123330071805</v>
      </c>
      <c r="T157" s="149">
        <f t="shared" si="451"/>
        <v>5</v>
      </c>
      <c r="U157" s="188">
        <f t="shared" si="452"/>
        <v>1.8116672531836617</v>
      </c>
      <c r="V157" s="188">
        <f t="shared" si="453"/>
        <v>2.4278943005191498</v>
      </c>
      <c r="W157" s="188">
        <f t="shared" si="454"/>
        <v>4.0055718960356215</v>
      </c>
      <c r="X157" s="172">
        <f t="shared" si="455"/>
        <v>281.60049308315945</v>
      </c>
      <c r="Y157" s="379">
        <f t="shared" si="328"/>
        <v>150.75074936228222</v>
      </c>
      <c r="AA157" s="188">
        <f t="shared" si="456"/>
        <v>1</v>
      </c>
      <c r="AB157" s="150">
        <f t="shared" si="457"/>
        <v>2.2109865313272001</v>
      </c>
      <c r="AC157" s="150">
        <f t="shared" si="458"/>
        <v>0.31130744871098198</v>
      </c>
      <c r="AD157" s="150"/>
      <c r="AE157" s="150">
        <f t="shared" si="459"/>
        <v>2.2109865313272001</v>
      </c>
      <c r="AF157" s="314">
        <f t="shared" si="460"/>
        <v>510.17949861634378</v>
      </c>
      <c r="AG157" s="456">
        <f t="shared" si="461"/>
        <v>0.31130744871098193</v>
      </c>
      <c r="AI157" s="150">
        <f t="shared" si="462"/>
        <v>1.2073341336731978</v>
      </c>
      <c r="AJ157" s="150">
        <f t="shared" si="463"/>
        <v>1.8116672531836617</v>
      </c>
      <c r="AK157" s="150">
        <f t="shared" si="464"/>
        <v>1.8012350023582679</v>
      </c>
      <c r="AM157" s="314">
        <f t="shared" si="465"/>
        <v>564</v>
      </c>
      <c r="AN157" s="144">
        <f t="shared" si="466"/>
        <v>150.75074936228222</v>
      </c>
      <c r="AP157">
        <f t="shared" si="467"/>
        <v>564</v>
      </c>
      <c r="AQ157">
        <f t="shared" si="468"/>
        <v>150.75074936228222</v>
      </c>
      <c r="AS157" s="5">
        <f t="shared" si="439"/>
        <v>6.6334661965547728</v>
      </c>
      <c r="AT157" s="5">
        <f t="shared" si="469"/>
        <v>2.4278943005191498</v>
      </c>
      <c r="AU157" s="5">
        <f t="shared" si="343"/>
        <v>4.2055718960356234</v>
      </c>
      <c r="AV157" s="5"/>
      <c r="AW157" s="150">
        <f t="shared" si="344"/>
        <v>0.36600688517567581</v>
      </c>
      <c r="AX157" s="150">
        <f t="shared" si="435"/>
        <v>2.9687087917589876</v>
      </c>
      <c r="AY157" s="150">
        <f t="shared" si="436"/>
        <v>0.57429228243556862</v>
      </c>
      <c r="AZ157" s="150">
        <f t="shared" si="440"/>
        <v>5.1693342964121323</v>
      </c>
      <c r="BA157" s="144">
        <f t="shared" si="433"/>
        <v>27.386647709856007</v>
      </c>
      <c r="BB157" s="5">
        <f t="shared" si="434"/>
        <v>0.55186521891029949</v>
      </c>
      <c r="BD157" s="150">
        <f t="shared" si="441"/>
        <v>0.63279411938080599</v>
      </c>
      <c r="BE157" s="150">
        <f t="shared" si="437"/>
        <v>0.83283712767248086</v>
      </c>
      <c r="BG157" s="456">
        <f t="shared" si="347"/>
        <v>8.0085679504585949E-3</v>
      </c>
      <c r="BH157" s="456">
        <f t="shared" si="470"/>
        <v>7.3646071091907794E-2</v>
      </c>
      <c r="BI157" s="456">
        <f t="shared" si="471"/>
        <v>3.3746550987101803E-2</v>
      </c>
      <c r="BJ157" s="456">
        <f t="shared" si="350"/>
        <v>3.1180298842302273E-3</v>
      </c>
      <c r="BK157">
        <f t="shared" si="351"/>
        <v>4.0294188940185336E-3</v>
      </c>
      <c r="BL157" s="144">
        <f t="shared" si="427"/>
        <v>37.775969881120339</v>
      </c>
      <c r="BM157" s="456">
        <f t="shared" si="472"/>
        <v>8.7100720637867959E-2</v>
      </c>
      <c r="BN157" s="144">
        <f t="shared" si="353"/>
        <v>87.100720637867965</v>
      </c>
      <c r="BO157" s="456">
        <f t="shared" si="354"/>
        <v>0.39479999999999993</v>
      </c>
      <c r="BR157" s="144">
        <f t="shared" si="355"/>
        <v>394.79999999999995</v>
      </c>
      <c r="BS157" s="456">
        <f t="shared" si="356"/>
        <v>1.2012851925687892E-2</v>
      </c>
      <c r="BT157" s="456">
        <f t="shared" si="357"/>
        <v>2.0808530436892445E-2</v>
      </c>
      <c r="BU157" s="456">
        <f t="shared" si="358"/>
        <v>6.1633210256931657E-2</v>
      </c>
      <c r="BV157" s="456"/>
      <c r="BW157" s="456">
        <f t="shared" si="359"/>
        <v>4.947847986264979E-4</v>
      </c>
      <c r="BX157" s="144">
        <f t="shared" si="360"/>
        <v>94.949377418138496</v>
      </c>
      <c r="BY157" s="150">
        <f t="shared" si="361"/>
        <v>0.61229801622585545</v>
      </c>
      <c r="BZ157" s="5">
        <f t="shared" si="362"/>
        <v>2.82</v>
      </c>
      <c r="CA157" s="150">
        <f t="shared" si="363"/>
        <v>0.82160697779409708</v>
      </c>
      <c r="CB157" s="5">
        <f t="shared" si="364"/>
        <v>82.160697779409702</v>
      </c>
      <c r="CE157" s="59">
        <f t="shared" si="473"/>
        <v>-50</v>
      </c>
      <c r="CF157">
        <f t="shared" si="474"/>
        <v>-50</v>
      </c>
      <c r="CG157" s="150">
        <f t="shared" si="475"/>
        <v>0.61658494015957444</v>
      </c>
      <c r="CI157" s="147">
        <v>47</v>
      </c>
      <c r="CJ157" s="188">
        <f t="shared" si="428"/>
        <v>0.56399999999999995</v>
      </c>
      <c r="CK157" s="188"/>
      <c r="CL157" s="188">
        <f t="shared" si="368"/>
        <v>2.82</v>
      </c>
      <c r="CM157" s="465">
        <f t="shared" si="369"/>
        <v>9</v>
      </c>
      <c r="CN157" s="379">
        <f t="shared" si="370"/>
        <v>5.4</v>
      </c>
      <c r="CO157" s="379">
        <f t="shared" si="371"/>
        <v>14.4</v>
      </c>
      <c r="CP157" s="379"/>
      <c r="CQ157" s="188">
        <f t="shared" si="372"/>
        <v>0.375</v>
      </c>
      <c r="CR157" s="149">
        <f t="shared" si="429"/>
        <v>8.4754687499999992</v>
      </c>
      <c r="CS157" s="149">
        <f t="shared" si="373"/>
        <v>2.82</v>
      </c>
      <c r="CT157" s="188">
        <f t="shared" si="374"/>
        <v>1.6950937499999998</v>
      </c>
      <c r="CU157" s="188">
        <f t="shared" si="375"/>
        <v>5</v>
      </c>
      <c r="CV157" s="188"/>
      <c r="CW157" s="149">
        <f t="shared" si="376"/>
        <v>31.008236636559605</v>
      </c>
      <c r="CX157" s="149">
        <f t="shared" si="377"/>
        <v>5</v>
      </c>
      <c r="CY157" s="188">
        <f t="shared" si="378"/>
        <v>1.671111111111111</v>
      </c>
      <c r="CZ157" s="188">
        <f t="shared" si="379"/>
        <v>2.2281481481481484</v>
      </c>
      <c r="DA157" s="188">
        <f t="shared" si="380"/>
        <v>3.7135802469135801</v>
      </c>
      <c r="DB157" s="172">
        <f t="shared" si="381"/>
        <v>281.25</v>
      </c>
      <c r="DC157" s="379">
        <f t="shared" si="382"/>
        <v>168.30119680851064</v>
      </c>
      <c r="DE157" s="188">
        <f t="shared" si="383"/>
        <v>1</v>
      </c>
      <c r="DF157" s="150">
        <f t="shared" si="384"/>
        <v>2.2222222222222219</v>
      </c>
      <c r="DG157" s="150">
        <f t="shared" si="385"/>
        <v>0.31249999999999994</v>
      </c>
      <c r="DH157" s="150"/>
      <c r="DI157" s="150">
        <f t="shared" si="386"/>
        <v>2.2222222222222219</v>
      </c>
      <c r="DJ157" s="314">
        <f t="shared" si="387"/>
        <v>507.6</v>
      </c>
      <c r="DK157" s="456">
        <f t="shared" si="388"/>
        <v>0.31249999999999994</v>
      </c>
      <c r="DM157" s="150">
        <f t="shared" si="389"/>
        <v>1.2042780884354387</v>
      </c>
      <c r="DN157" s="150">
        <f t="shared" si="390"/>
        <v>1.671111111111111</v>
      </c>
      <c r="DO157" s="150">
        <f t="shared" si="391"/>
        <v>1.697119341563786</v>
      </c>
      <c r="DQ157" s="314">
        <f t="shared" si="392"/>
        <v>564</v>
      </c>
      <c r="DR157" s="144">
        <f t="shared" si="393"/>
        <v>168.30119680851064</v>
      </c>
      <c r="DT157">
        <f t="shared" si="430"/>
        <v>564</v>
      </c>
      <c r="DU157">
        <f t="shared" si="431"/>
        <v>168.30119680851064</v>
      </c>
      <c r="DW157" s="5">
        <f t="shared" si="394"/>
        <v>5.9417283950617286</v>
      </c>
      <c r="DX157" s="5">
        <f t="shared" si="395"/>
        <v>2.2281481481481484</v>
      </c>
      <c r="DY157" s="5">
        <f t="shared" si="396"/>
        <v>3.7135802469135801</v>
      </c>
      <c r="DZ157" s="5"/>
      <c r="EA157" s="150">
        <f t="shared" si="397"/>
        <v>0.37500000000000006</v>
      </c>
      <c r="EB157" s="150">
        <f t="shared" si="398"/>
        <v>2.819999999999999</v>
      </c>
      <c r="EC157" s="150">
        <f t="shared" si="399"/>
        <v>0.52222222222222214</v>
      </c>
      <c r="ED157" s="150">
        <f t="shared" si="400"/>
        <v>5.3999999999999986</v>
      </c>
      <c r="EE157" s="144">
        <f t="shared" si="401"/>
        <v>25.133511111111112</v>
      </c>
      <c r="EF157" s="5">
        <f t="shared" si="402"/>
        <v>0.48482853223593952</v>
      </c>
      <c r="EH157" s="150">
        <f t="shared" si="403"/>
        <v>0.59082699939142636</v>
      </c>
      <c r="EI157" s="150">
        <f t="shared" si="404"/>
        <v>0.7627543763775646</v>
      </c>
      <c r="EK157" s="456">
        <f t="shared" si="405"/>
        <v>6.9815308641975309E-3</v>
      </c>
      <c r="EL157" s="456">
        <f t="shared" si="406"/>
        <v>8.1000000000000003E-2</v>
      </c>
      <c r="EM157" s="456">
        <f t="shared" si="407"/>
        <v>2.1037649601063829E-2</v>
      </c>
      <c r="EN157" s="456">
        <f t="shared" si="408"/>
        <v>3.4898936170212769E-3</v>
      </c>
      <c r="EO157">
        <f t="shared" si="409"/>
        <v>4.0499999999999998E-3</v>
      </c>
      <c r="EP157" s="144">
        <f t="shared" si="410"/>
        <v>25.087649601063827</v>
      </c>
      <c r="EQ157" s="144"/>
      <c r="ER157" s="144">
        <f t="shared" si="432"/>
        <v>116.55907408228263</v>
      </c>
      <c r="ES157" s="456">
        <f t="shared" si="411"/>
        <v>0.39479999999999993</v>
      </c>
      <c r="EV157" s="144">
        <f t="shared" si="412"/>
        <v>394.79999999999995</v>
      </c>
      <c r="EW157" s="456">
        <f t="shared" si="413"/>
        <v>1.0472296296296296E-2</v>
      </c>
      <c r="EX157" s="456">
        <f t="shared" si="414"/>
        <v>1.7453827160493825E-2</v>
      </c>
      <c r="EY157" s="456">
        <f t="shared" si="415"/>
        <v>6.6328676578667978E-2</v>
      </c>
      <c r="EZ157" s="456"/>
      <c r="FA157" s="456">
        <f t="shared" si="416"/>
        <v>4.6999999999999988E-4</v>
      </c>
      <c r="FB157" s="144">
        <f t="shared" si="417"/>
        <v>94.724800035458088</v>
      </c>
      <c r="FC157" s="150">
        <f t="shared" si="418"/>
        <v>0.60608387411774056</v>
      </c>
      <c r="FD157" s="5">
        <f t="shared" si="419"/>
        <v>2.82</v>
      </c>
      <c r="FE157" s="150">
        <f t="shared" si="420"/>
        <v>0.823097187229891</v>
      </c>
      <c r="FF157" s="5">
        <f t="shared" si="421"/>
        <v>82.309718722989103</v>
      </c>
      <c r="FI157" s="59">
        <f t="shared" si="422"/>
        <v>-50</v>
      </c>
      <c r="FJ157">
        <f t="shared" si="423"/>
        <v>-50</v>
      </c>
      <c r="FL157">
        <f t="shared" si="476"/>
        <v>0.625</v>
      </c>
    </row>
    <row r="158" spans="5:168">
      <c r="E158" s="147">
        <v>48</v>
      </c>
      <c r="F158" s="188">
        <f t="shared" si="477"/>
        <v>0.57599999999999996</v>
      </c>
      <c r="G158" s="188"/>
      <c r="H158" s="188">
        <f t="shared" si="442"/>
        <v>2.88</v>
      </c>
      <c r="I158" s="465">
        <f t="shared" si="443"/>
        <v>8.9533043839683319</v>
      </c>
      <c r="J158" s="149">
        <f t="shared" si="444"/>
        <v>5.4280173696190008</v>
      </c>
      <c r="K158" s="149">
        <f t="shared" si="445"/>
        <v>14.381321753587333</v>
      </c>
      <c r="L158" s="379"/>
      <c r="M158" s="188">
        <f t="shared" si="446"/>
        <v>0.37741923170892772</v>
      </c>
      <c r="N158" s="149">
        <f t="shared" si="447"/>
        <v>8.4858885838296079</v>
      </c>
      <c r="O158" s="149">
        <f t="shared" si="438"/>
        <v>2.88</v>
      </c>
      <c r="P158" s="188">
        <f t="shared" si="448"/>
        <v>1.6971777167659217</v>
      </c>
      <c r="Q158" s="188">
        <f t="shared" si="449"/>
        <v>5</v>
      </c>
      <c r="R158" s="188"/>
      <c r="S158" s="149">
        <f t="shared" si="450"/>
        <v>30.024236461321767</v>
      </c>
      <c r="T158" s="149">
        <f t="shared" si="451"/>
        <v>5</v>
      </c>
      <c r="U158" s="188">
        <f t="shared" si="452"/>
        <v>1.850362328348393</v>
      </c>
      <c r="V158" s="188">
        <f t="shared" si="453"/>
        <v>2.4800170962510251</v>
      </c>
      <c r="W158" s="188">
        <f t="shared" si="454"/>
        <v>4.0906921308800577</v>
      </c>
      <c r="X158" s="172">
        <f t="shared" si="455"/>
        <v>281.60770236309821</v>
      </c>
      <c r="Y158" s="379">
        <f t="shared" si="328"/>
        <v>147.6950148727218</v>
      </c>
      <c r="AA158" s="188">
        <f t="shared" si="456"/>
        <v>1</v>
      </c>
      <c r="AB158" s="150">
        <f t="shared" si="457"/>
        <v>2.2107519528520401</v>
      </c>
      <c r="AC158" s="150">
        <f t="shared" si="458"/>
        <v>0.3112823889686977</v>
      </c>
      <c r="AD158" s="150"/>
      <c r="AE158" s="150">
        <f t="shared" si="459"/>
        <v>2.2107519528520401</v>
      </c>
      <c r="AF158" s="314">
        <f t="shared" si="460"/>
        <v>521.08966748342402</v>
      </c>
      <c r="AG158" s="456">
        <f t="shared" si="461"/>
        <v>0.3112823889686977</v>
      </c>
      <c r="AI158" s="150">
        <f t="shared" si="462"/>
        <v>1.2201752420784531</v>
      </c>
      <c r="AJ158" s="150">
        <f t="shared" si="463"/>
        <v>1.850362328348393</v>
      </c>
      <c r="AK158" s="150">
        <f t="shared" si="464"/>
        <v>1.8298980209988096</v>
      </c>
      <c r="AM158" s="314">
        <f t="shared" si="465"/>
        <v>576</v>
      </c>
      <c r="AN158" s="144">
        <f t="shared" si="466"/>
        <v>147.6950148727218</v>
      </c>
      <c r="AP158">
        <f t="shared" si="467"/>
        <v>576</v>
      </c>
      <c r="AQ158">
        <f t="shared" si="468"/>
        <v>147.6950148727218</v>
      </c>
      <c r="AS158" s="5">
        <f t="shared" si="439"/>
        <v>6.7707092271310829</v>
      </c>
      <c r="AT158" s="5">
        <f t="shared" si="469"/>
        <v>2.4800170962510251</v>
      </c>
      <c r="AU158" s="5">
        <f t="shared" si="343"/>
        <v>4.2906921308800579</v>
      </c>
      <c r="AV158" s="5"/>
      <c r="AW158" s="150">
        <f t="shared" si="344"/>
        <v>0.36628616191539948</v>
      </c>
      <c r="AX158" s="150">
        <f t="shared" si="435"/>
        <v>3.0341052595652398</v>
      </c>
      <c r="AY158" s="150">
        <f t="shared" si="436"/>
        <v>0.58630010647240904</v>
      </c>
      <c r="AZ158" s="150">
        <f t="shared" si="440"/>
        <v>5.1750037669625142</v>
      </c>
      <c r="BA158" s="144">
        <f t="shared" si="433"/>
        <v>28.569796948811806</v>
      </c>
      <c r="BB158" s="5">
        <f t="shared" si="434"/>
        <v>0.57507600950946069</v>
      </c>
      <c r="BD158" s="150">
        <f t="shared" si="441"/>
        <v>0.64655638731268472</v>
      </c>
      <c r="BE158" s="150">
        <f t="shared" si="437"/>
        <v>0.85043817338404937</v>
      </c>
      <c r="BG158" s="456">
        <f t="shared" si="347"/>
        <v>8.3607032394966072E-3</v>
      </c>
      <c r="BH158" s="456">
        <f t="shared" si="470"/>
        <v>7.3692398144744028E-2</v>
      </c>
      <c r="BI158" s="456">
        <f t="shared" si="471"/>
        <v>3.3058960603755197E-2</v>
      </c>
      <c r="BJ158" s="456">
        <f t="shared" si="350"/>
        <v>3.0546639715591508E-3</v>
      </c>
      <c r="BK158">
        <f t="shared" si="351"/>
        <v>4.0289869727857495E-3</v>
      </c>
      <c r="BL158" s="144">
        <f t="shared" si="427"/>
        <v>37.087947576540948</v>
      </c>
      <c r="BM158" s="456">
        <f t="shared" si="472"/>
        <v>8.7539051827388775E-2</v>
      </c>
      <c r="BN158" s="144">
        <f t="shared" si="353"/>
        <v>87.539051827388775</v>
      </c>
      <c r="BO158" s="456">
        <f t="shared" si="354"/>
        <v>0.40319999999999995</v>
      </c>
      <c r="BR158" s="144">
        <f t="shared" si="355"/>
        <v>403.19999999999993</v>
      </c>
      <c r="BS158" s="456">
        <f t="shared" si="356"/>
        <v>1.2541054859244911E-2</v>
      </c>
      <c r="BT158" s="456">
        <f t="shared" si="357"/>
        <v>2.169735260246395E-2</v>
      </c>
      <c r="BU158" s="456">
        <f t="shared" si="358"/>
        <v>6.1734301921876414E-2</v>
      </c>
      <c r="BV158" s="456"/>
      <c r="BW158" s="456">
        <f t="shared" si="359"/>
        <v>5.0568420992754004E-4</v>
      </c>
      <c r="BX158" s="144">
        <f t="shared" si="360"/>
        <v>96.47839359351282</v>
      </c>
      <c r="BY158" s="150">
        <f t="shared" si="361"/>
        <v>0.62187410652585362</v>
      </c>
      <c r="BZ158" s="5">
        <f t="shared" si="362"/>
        <v>2.88</v>
      </c>
      <c r="CA158" s="150">
        <f t="shared" si="363"/>
        <v>0.82241677238854149</v>
      </c>
      <c r="CB158" s="5">
        <f t="shared" si="364"/>
        <v>82.241677238854152</v>
      </c>
      <c r="CE158" s="59">
        <f t="shared" si="473"/>
        <v>-50</v>
      </c>
      <c r="CF158">
        <f t="shared" si="474"/>
        <v>-50</v>
      </c>
      <c r="CG158" s="150">
        <f t="shared" si="475"/>
        <v>0.61676025390625</v>
      </c>
      <c r="CI158" s="147">
        <v>48</v>
      </c>
      <c r="CJ158" s="188">
        <f t="shared" si="428"/>
        <v>0.57599999999999996</v>
      </c>
      <c r="CK158" s="188"/>
      <c r="CL158" s="188">
        <f t="shared" si="368"/>
        <v>2.88</v>
      </c>
      <c r="CM158" s="465">
        <f t="shared" si="369"/>
        <v>9</v>
      </c>
      <c r="CN158" s="379">
        <f t="shared" si="370"/>
        <v>5.4</v>
      </c>
      <c r="CO158" s="379">
        <f t="shared" si="371"/>
        <v>14.4</v>
      </c>
      <c r="CP158" s="379"/>
      <c r="CQ158" s="188">
        <f t="shared" si="372"/>
        <v>0.375</v>
      </c>
      <c r="CR158" s="149">
        <f t="shared" si="429"/>
        <v>8.4754687499999992</v>
      </c>
      <c r="CS158" s="149">
        <f t="shared" si="373"/>
        <v>2.88</v>
      </c>
      <c r="CT158" s="188">
        <f t="shared" si="374"/>
        <v>1.6950937499999998</v>
      </c>
      <c r="CU158" s="188">
        <f t="shared" si="375"/>
        <v>5</v>
      </c>
      <c r="CV158" s="188"/>
      <c r="CW158" s="149">
        <f t="shared" si="376"/>
        <v>30.180223143585213</v>
      </c>
      <c r="CX158" s="149">
        <f t="shared" si="377"/>
        <v>5</v>
      </c>
      <c r="CY158" s="188">
        <f t="shared" si="378"/>
        <v>1.7066666666666666</v>
      </c>
      <c r="CZ158" s="188">
        <f t="shared" si="379"/>
        <v>2.2755555555555556</v>
      </c>
      <c r="DA158" s="188">
        <f t="shared" si="380"/>
        <v>3.7925925925925923</v>
      </c>
      <c r="DB158" s="172">
        <f t="shared" si="381"/>
        <v>281.25</v>
      </c>
      <c r="DC158" s="379">
        <f t="shared" si="382"/>
        <v>164.794921875</v>
      </c>
      <c r="DE158" s="188">
        <f t="shared" si="383"/>
        <v>1</v>
      </c>
      <c r="DF158" s="150">
        <f t="shared" si="384"/>
        <v>2.2222222222222219</v>
      </c>
      <c r="DG158" s="150">
        <f t="shared" si="385"/>
        <v>0.31249999999999994</v>
      </c>
      <c r="DH158" s="150"/>
      <c r="DI158" s="150">
        <f t="shared" si="386"/>
        <v>2.2222222222222219</v>
      </c>
      <c r="DJ158" s="314">
        <f t="shared" si="387"/>
        <v>518.4</v>
      </c>
      <c r="DK158" s="456">
        <f t="shared" si="388"/>
        <v>0.31249999999999994</v>
      </c>
      <c r="DM158" s="150">
        <f t="shared" si="389"/>
        <v>1.217022126809064</v>
      </c>
      <c r="DN158" s="150">
        <f t="shared" si="390"/>
        <v>1.7066666666666666</v>
      </c>
      <c r="DO158" s="150">
        <f t="shared" si="391"/>
        <v>1.7234567901234565</v>
      </c>
      <c r="DQ158" s="314">
        <f t="shared" si="392"/>
        <v>576</v>
      </c>
      <c r="DR158" s="144">
        <f t="shared" si="393"/>
        <v>164.794921875</v>
      </c>
      <c r="DT158">
        <f t="shared" si="430"/>
        <v>576</v>
      </c>
      <c r="DU158">
        <f t="shared" si="431"/>
        <v>164.794921875</v>
      </c>
      <c r="DW158" s="5">
        <f t="shared" si="394"/>
        <v>6.0681481481481478</v>
      </c>
      <c r="DX158" s="5">
        <f t="shared" si="395"/>
        <v>2.2755555555555556</v>
      </c>
      <c r="DY158" s="5">
        <f t="shared" si="396"/>
        <v>3.7925925925925923</v>
      </c>
      <c r="DZ158" s="5"/>
      <c r="EA158" s="150">
        <f t="shared" si="397"/>
        <v>0.375</v>
      </c>
      <c r="EB158" s="150">
        <f t="shared" si="398"/>
        <v>2.88</v>
      </c>
      <c r="EC158" s="150">
        <f t="shared" si="399"/>
        <v>0.53333333333333333</v>
      </c>
      <c r="ED158" s="150">
        <f t="shared" si="400"/>
        <v>5.3999999999999995</v>
      </c>
      <c r="EE158" s="144">
        <f t="shared" si="401"/>
        <v>26.214399999999998</v>
      </c>
      <c r="EF158" s="5">
        <f t="shared" si="402"/>
        <v>0.50567901234567891</v>
      </c>
      <c r="EH158" s="150">
        <f t="shared" si="403"/>
        <v>0.60339778661252053</v>
      </c>
      <c r="EI158" s="150">
        <f t="shared" si="404"/>
        <v>0.77898319289623619</v>
      </c>
      <c r="EK158" s="456">
        <f t="shared" si="405"/>
        <v>7.2817777777777768E-3</v>
      </c>
      <c r="EL158" s="456">
        <f t="shared" si="406"/>
        <v>8.1000000000000003E-2</v>
      </c>
      <c r="EM158" s="456">
        <f t="shared" si="407"/>
        <v>2.0599365234374997E-2</v>
      </c>
      <c r="EN158" s="456">
        <f t="shared" si="408"/>
        <v>3.4171875000000001E-3</v>
      </c>
      <c r="EO158">
        <f t="shared" si="409"/>
        <v>4.0499999999999998E-3</v>
      </c>
      <c r="EP158" s="144">
        <f t="shared" si="410"/>
        <v>24.649365234374997</v>
      </c>
      <c r="EQ158" s="144"/>
      <c r="ER158" s="144">
        <f t="shared" si="432"/>
        <v>116.34833051215278</v>
      </c>
      <c r="ES158" s="456">
        <f t="shared" si="411"/>
        <v>0.40319999999999995</v>
      </c>
      <c r="EV158" s="144">
        <f t="shared" si="412"/>
        <v>403.19999999999993</v>
      </c>
      <c r="EW158" s="456">
        <f t="shared" si="413"/>
        <v>1.0922666666666666E-2</v>
      </c>
      <c r="EX158" s="456">
        <f t="shared" si="414"/>
        <v>1.820444444444444E-2</v>
      </c>
      <c r="EY158" s="456">
        <f t="shared" si="415"/>
        <v>6.6328676578668089E-2</v>
      </c>
      <c r="EZ158" s="456"/>
      <c r="FA158" s="456">
        <f t="shared" si="416"/>
        <v>4.7999999999999996E-4</v>
      </c>
      <c r="FB158" s="144">
        <f t="shared" si="417"/>
        <v>95.93578768977919</v>
      </c>
      <c r="FC158" s="150">
        <f t="shared" si="418"/>
        <v>0.61548411820193194</v>
      </c>
      <c r="FD158" s="5">
        <f t="shared" si="419"/>
        <v>2.88</v>
      </c>
      <c r="FE158" s="150">
        <f t="shared" si="420"/>
        <v>0.8239202075051808</v>
      </c>
      <c r="FF158" s="5">
        <f t="shared" si="421"/>
        <v>82.392020750518085</v>
      </c>
      <c r="FI158" s="59">
        <f t="shared" si="422"/>
        <v>-50</v>
      </c>
      <c r="FJ158">
        <f t="shared" si="423"/>
        <v>-50</v>
      </c>
      <c r="FL158">
        <f t="shared" si="476"/>
        <v>0.625</v>
      </c>
    </row>
    <row r="159" spans="5:168">
      <c r="E159" s="147">
        <v>49</v>
      </c>
      <c r="F159" s="188">
        <f t="shared" si="477"/>
        <v>0.58799999999999997</v>
      </c>
      <c r="G159" s="188"/>
      <c r="H159" s="188">
        <f t="shared" si="442"/>
        <v>2.94</v>
      </c>
      <c r="I159" s="465">
        <f t="shared" si="443"/>
        <v>8.9523445517686966</v>
      </c>
      <c r="J159" s="149">
        <f t="shared" si="444"/>
        <v>5.4285932689387826</v>
      </c>
      <c r="K159" s="149">
        <f t="shared" si="445"/>
        <v>14.38093782070748</v>
      </c>
      <c r="L159" s="379"/>
      <c r="M159" s="188">
        <f t="shared" si="446"/>
        <v>0.37746935946648447</v>
      </c>
      <c r="N159" s="149">
        <f t="shared" si="447"/>
        <v>8.4861058115398986</v>
      </c>
      <c r="O159" s="149">
        <f t="shared" si="438"/>
        <v>2.94</v>
      </c>
      <c r="P159" s="188">
        <f t="shared" si="448"/>
        <v>1.6972211623079798</v>
      </c>
      <c r="Q159" s="188">
        <f t="shared" si="449"/>
        <v>5</v>
      </c>
      <c r="R159" s="188"/>
      <c r="S159" s="149">
        <f t="shared" si="450"/>
        <v>29.231195135243208</v>
      </c>
      <c r="T159" s="149">
        <f t="shared" si="451"/>
        <v>5</v>
      </c>
      <c r="U159" s="188">
        <f t="shared" si="452"/>
        <v>1.8890636435054107</v>
      </c>
      <c r="V159" s="188">
        <f t="shared" si="453"/>
        <v>2.5321594349925136</v>
      </c>
      <c r="W159" s="188">
        <f t="shared" si="454"/>
        <v>4.175808095951969</v>
      </c>
      <c r="X159" s="172">
        <f t="shared" si="455"/>
        <v>281.61490567612071</v>
      </c>
      <c r="Y159" s="379">
        <f t="shared" si="328"/>
        <v>144.76037930411007</v>
      </c>
      <c r="AA159" s="188">
        <f t="shared" si="456"/>
        <v>1</v>
      </c>
      <c r="AB159" s="150">
        <f t="shared" si="457"/>
        <v>2.2105174223792674</v>
      </c>
      <c r="AC159" s="150">
        <f t="shared" si="458"/>
        <v>0.31125732769937947</v>
      </c>
      <c r="AD159" s="150"/>
      <c r="AE159" s="150">
        <f t="shared" si="459"/>
        <v>2.2105174223792674</v>
      </c>
      <c r="AF159" s="314">
        <f t="shared" si="460"/>
        <v>532.00214035600072</v>
      </c>
      <c r="AG159" s="456">
        <f t="shared" si="461"/>
        <v>0.31125732769937942</v>
      </c>
      <c r="AI159" s="150">
        <f t="shared" si="462"/>
        <v>1.232885280674102</v>
      </c>
      <c r="AJ159" s="150">
        <f t="shared" si="463"/>
        <v>1.8890636435054107</v>
      </c>
      <c r="AK159" s="150">
        <f t="shared" si="464"/>
        <v>1.8585656618558597</v>
      </c>
      <c r="AM159" s="314">
        <f t="shared" si="465"/>
        <v>588</v>
      </c>
      <c r="AN159" s="144">
        <f t="shared" si="466"/>
        <v>144.76037930411007</v>
      </c>
      <c r="AP159">
        <f t="shared" si="467"/>
        <v>588</v>
      </c>
      <c r="AQ159">
        <f t="shared" si="468"/>
        <v>144.76037930411007</v>
      </c>
      <c r="AS159" s="5">
        <f t="shared" si="439"/>
        <v>6.9079675309444823</v>
      </c>
      <c r="AT159" s="5">
        <f t="shared" si="469"/>
        <v>2.5321594349925136</v>
      </c>
      <c r="AU159" s="5">
        <f t="shared" si="343"/>
        <v>4.3758080959519692</v>
      </c>
      <c r="AV159" s="5"/>
      <c r="AW159" s="150">
        <f t="shared" si="344"/>
        <v>0.36655636026799732</v>
      </c>
      <c r="AX159" s="150">
        <f t="shared" si="435"/>
        <v>3.0995178537494064</v>
      </c>
      <c r="AY159" s="150">
        <f t="shared" si="436"/>
        <v>0.59830767501373283</v>
      </c>
      <c r="AZ159" s="150">
        <f t="shared" si="440"/>
        <v>5.1804748345878462</v>
      </c>
      <c r="BA159" s="144">
        <f t="shared" si="433"/>
        <v>29.77819495551196</v>
      </c>
      <c r="BB159" s="5">
        <f t="shared" si="434"/>
        <v>0.59876660092155687</v>
      </c>
      <c r="BD159" s="150">
        <f t="shared" si="441"/>
        <v>0.66032287461426797</v>
      </c>
      <c r="BE159" s="150">
        <f t="shared" si="437"/>
        <v>0.8680404278214594</v>
      </c>
      <c r="BG159" s="456">
        <f t="shared" si="347"/>
        <v>8.7205259747770054E-3</v>
      </c>
      <c r="BH159" s="456">
        <f t="shared" si="470"/>
        <v>7.3736884279593934E-2</v>
      </c>
      <c r="BI159" s="456">
        <f t="shared" si="471"/>
        <v>3.2398619824378E-2</v>
      </c>
      <c r="BJ159" s="456">
        <f t="shared" si="350"/>
        <v>2.993809274242185E-3</v>
      </c>
      <c r="BK159">
        <f t="shared" si="351"/>
        <v>4.0285550482959138E-3</v>
      </c>
      <c r="BL159" s="144">
        <f t="shared" si="427"/>
        <v>36.427174872673909</v>
      </c>
      <c r="BM159" s="456">
        <f t="shared" si="472"/>
        <v>8.7988072561688266E-2</v>
      </c>
      <c r="BN159" s="144">
        <f t="shared" si="353"/>
        <v>87.98807256168827</v>
      </c>
      <c r="BO159" s="456">
        <f t="shared" si="354"/>
        <v>0.41159999999999997</v>
      </c>
      <c r="BR159" s="144">
        <f t="shared" si="355"/>
        <v>411.59999999999997</v>
      </c>
      <c r="BS159" s="456">
        <f t="shared" si="356"/>
        <v>1.3080788962165506E-2</v>
      </c>
      <c r="BT159" s="456">
        <f t="shared" si="357"/>
        <v>2.2604825529973869E-2</v>
      </c>
      <c r="BU159" s="456">
        <f t="shared" si="358"/>
        <v>6.1831639145426949E-2</v>
      </c>
      <c r="BV159" s="456"/>
      <c r="BW159" s="456">
        <f t="shared" si="359"/>
        <v>5.165863089582343E-4</v>
      </c>
      <c r="BX159" s="144">
        <f t="shared" si="360"/>
        <v>98.033839946524566</v>
      </c>
      <c r="BY159" s="150">
        <f t="shared" si="361"/>
        <v>0.63151223434781156</v>
      </c>
      <c r="BZ159" s="5">
        <f t="shared" si="362"/>
        <v>2.94</v>
      </c>
      <c r="CA159" s="150">
        <f t="shared" si="363"/>
        <v>0.82318071648349511</v>
      </c>
      <c r="CB159" s="5">
        <f t="shared" si="364"/>
        <v>82.318071648349516</v>
      </c>
      <c r="CE159" s="59">
        <f t="shared" si="473"/>
        <v>-50</v>
      </c>
      <c r="CF159">
        <f t="shared" si="474"/>
        <v>-50</v>
      </c>
      <c r="CG159" s="150">
        <f t="shared" si="475"/>
        <v>0.61692841198979587</v>
      </c>
      <c r="CI159" s="147">
        <v>49</v>
      </c>
      <c r="CJ159" s="188">
        <f t="shared" si="428"/>
        <v>0.58799999999999997</v>
      </c>
      <c r="CK159" s="188"/>
      <c r="CL159" s="188">
        <f t="shared" si="368"/>
        <v>2.94</v>
      </c>
      <c r="CM159" s="465">
        <f t="shared" si="369"/>
        <v>9</v>
      </c>
      <c r="CN159" s="379">
        <f t="shared" si="370"/>
        <v>5.4</v>
      </c>
      <c r="CO159" s="379">
        <f t="shared" si="371"/>
        <v>14.4</v>
      </c>
      <c r="CP159" s="379"/>
      <c r="CQ159" s="188">
        <f t="shared" si="372"/>
        <v>0.375</v>
      </c>
      <c r="CR159" s="149">
        <f t="shared" si="429"/>
        <v>8.4754687499999992</v>
      </c>
      <c r="CS159" s="149">
        <f t="shared" si="373"/>
        <v>2.94</v>
      </c>
      <c r="CT159" s="188">
        <f t="shared" si="374"/>
        <v>1.6950937499999998</v>
      </c>
      <c r="CU159" s="188">
        <f t="shared" si="375"/>
        <v>5</v>
      </c>
      <c r="CV159" s="188"/>
      <c r="CW159" s="149">
        <f t="shared" si="376"/>
        <v>29.38616759241923</v>
      </c>
      <c r="CX159" s="149">
        <f t="shared" si="377"/>
        <v>5</v>
      </c>
      <c r="CY159" s="188">
        <f t="shared" si="378"/>
        <v>1.7422222222222221</v>
      </c>
      <c r="CZ159" s="188">
        <f t="shared" si="379"/>
        <v>2.3229629629629631</v>
      </c>
      <c r="DA159" s="188">
        <f t="shared" si="380"/>
        <v>3.8716049382716049</v>
      </c>
      <c r="DB159" s="172">
        <f t="shared" si="381"/>
        <v>281.25</v>
      </c>
      <c r="DC159" s="379">
        <f t="shared" si="382"/>
        <v>161.43176020408163</v>
      </c>
      <c r="DE159" s="188">
        <f t="shared" si="383"/>
        <v>1</v>
      </c>
      <c r="DF159" s="150">
        <f t="shared" si="384"/>
        <v>2.2222222222222219</v>
      </c>
      <c r="DG159" s="150">
        <f t="shared" si="385"/>
        <v>0.31249999999999994</v>
      </c>
      <c r="DH159" s="150"/>
      <c r="DI159" s="150">
        <f t="shared" si="386"/>
        <v>2.2222222222222219</v>
      </c>
      <c r="DJ159" s="314">
        <f t="shared" si="387"/>
        <v>529.20000000000005</v>
      </c>
      <c r="DK159" s="456">
        <f t="shared" si="388"/>
        <v>0.31249999999999994</v>
      </c>
      <c r="DM159" s="150">
        <f t="shared" si="389"/>
        <v>1.2296340919151518</v>
      </c>
      <c r="DN159" s="150">
        <f t="shared" si="390"/>
        <v>1.7422222222222221</v>
      </c>
      <c r="DO159" s="150">
        <f t="shared" si="391"/>
        <v>1.7497942386831276</v>
      </c>
      <c r="DQ159" s="314">
        <f t="shared" si="392"/>
        <v>588</v>
      </c>
      <c r="DR159" s="144">
        <f t="shared" si="393"/>
        <v>161.43176020408163</v>
      </c>
      <c r="DT159">
        <f t="shared" si="430"/>
        <v>588</v>
      </c>
      <c r="DU159">
        <f t="shared" si="431"/>
        <v>161.43176020408163</v>
      </c>
      <c r="DW159" s="5">
        <f t="shared" si="394"/>
        <v>6.1945679012345689</v>
      </c>
      <c r="DX159" s="5">
        <f t="shared" si="395"/>
        <v>2.3229629629629631</v>
      </c>
      <c r="DY159" s="5">
        <f t="shared" si="396"/>
        <v>3.8716049382716058</v>
      </c>
      <c r="DZ159" s="5"/>
      <c r="EA159" s="150">
        <f t="shared" si="397"/>
        <v>0.37499999999999994</v>
      </c>
      <c r="EB159" s="150">
        <f t="shared" si="398"/>
        <v>2.94</v>
      </c>
      <c r="EC159" s="150">
        <f t="shared" si="399"/>
        <v>0.5444444444444444</v>
      </c>
      <c r="ED159" s="150">
        <f t="shared" si="400"/>
        <v>5.4</v>
      </c>
      <c r="EE159" s="144">
        <f t="shared" si="401"/>
        <v>27.318044444444443</v>
      </c>
      <c r="EF159" s="5">
        <f t="shared" si="402"/>
        <v>0.5269684499314129</v>
      </c>
      <c r="EH159" s="150">
        <f t="shared" si="403"/>
        <v>0.61596857383361459</v>
      </c>
      <c r="EI159" s="150">
        <f t="shared" si="404"/>
        <v>0.79521200941490788</v>
      </c>
      <c r="EK159" s="456">
        <f t="shared" si="405"/>
        <v>7.5883456790123418E-3</v>
      </c>
      <c r="EL159" s="456">
        <f t="shared" si="406"/>
        <v>8.0999999999999989E-2</v>
      </c>
      <c r="EM159" s="456">
        <f t="shared" si="407"/>
        <v>2.0178970025510203E-2</v>
      </c>
      <c r="EN159" s="456">
        <f t="shared" si="408"/>
        <v>3.3474489795918372E-3</v>
      </c>
      <c r="EO159">
        <f t="shared" si="409"/>
        <v>4.0499999999999998E-3</v>
      </c>
      <c r="EP159" s="144">
        <f t="shared" si="410"/>
        <v>24.228970025510201</v>
      </c>
      <c r="EQ159" s="144"/>
      <c r="ER159" s="144">
        <f t="shared" si="432"/>
        <v>116.16476468411436</v>
      </c>
      <c r="ES159" s="456">
        <f t="shared" si="411"/>
        <v>0.41159999999999997</v>
      </c>
      <c r="EV159" s="144">
        <f t="shared" si="412"/>
        <v>411.59999999999997</v>
      </c>
      <c r="EW159" s="456">
        <f t="shared" si="413"/>
        <v>1.1382518518518512E-2</v>
      </c>
      <c r="EX159" s="456">
        <f t="shared" si="414"/>
        <v>1.8970864197530864E-2</v>
      </c>
      <c r="EY159" s="456">
        <f t="shared" si="415"/>
        <v>6.6328676578668033E-2</v>
      </c>
      <c r="EZ159" s="456"/>
      <c r="FA159" s="456">
        <f t="shared" si="416"/>
        <v>4.8999999999999998E-4</v>
      </c>
      <c r="FB159" s="144">
        <f t="shared" si="417"/>
        <v>97.172059294717414</v>
      </c>
      <c r="FC159" s="150">
        <f t="shared" si="418"/>
        <v>0.62493682397883177</v>
      </c>
      <c r="FD159" s="5">
        <f t="shared" si="419"/>
        <v>2.94</v>
      </c>
      <c r="FE159" s="150">
        <f t="shared" si="420"/>
        <v>0.82469904662115756</v>
      </c>
      <c r="FF159" s="5">
        <f t="shared" si="421"/>
        <v>82.469904662115752</v>
      </c>
      <c r="FI159" s="59">
        <f t="shared" si="422"/>
        <v>-50</v>
      </c>
      <c r="FJ159">
        <f t="shared" si="423"/>
        <v>-50</v>
      </c>
      <c r="FL159">
        <f t="shared" si="476"/>
        <v>0.625</v>
      </c>
    </row>
    <row r="160" spans="5:168">
      <c r="E160" s="147">
        <v>50</v>
      </c>
      <c r="F160" s="188">
        <f t="shared" si="477"/>
        <v>0.6</v>
      </c>
      <c r="G160" s="188"/>
      <c r="H160" s="188">
        <f t="shared" si="442"/>
        <v>3</v>
      </c>
      <c r="I160" s="465">
        <f t="shared" si="443"/>
        <v>8.9513847127710076</v>
      </c>
      <c r="J160" s="149">
        <f t="shared" si="444"/>
        <v>5.4291691723373958</v>
      </c>
      <c r="K160" s="149">
        <f t="shared" si="445"/>
        <v>14.380553885108403</v>
      </c>
      <c r="L160" s="379"/>
      <c r="M160" s="188">
        <f t="shared" si="446"/>
        <v>0.37751949007850338</v>
      </c>
      <c r="N160" s="149">
        <f t="shared" si="447"/>
        <v>8.4863228553174981</v>
      </c>
      <c r="O160" s="149">
        <f t="shared" si="438"/>
        <v>3</v>
      </c>
      <c r="P160" s="188">
        <f t="shared" si="448"/>
        <v>1.6972645710634997</v>
      </c>
      <c r="Q160" s="188">
        <f t="shared" si="449"/>
        <v>5</v>
      </c>
      <c r="R160" s="188"/>
      <c r="S160" s="149">
        <f t="shared" si="450"/>
        <v>28.470074611969288</v>
      </c>
      <c r="T160" s="149">
        <f t="shared" si="451"/>
        <v>5</v>
      </c>
      <c r="U160" s="188">
        <f t="shared" si="452"/>
        <v>1.9277712006619074</v>
      </c>
      <c r="V160" s="188">
        <f t="shared" si="453"/>
        <v>2.5843213257205337</v>
      </c>
      <c r="W160" s="188">
        <f t="shared" si="454"/>
        <v>4.2609197970494321</v>
      </c>
      <c r="X160" s="172">
        <f t="shared" si="455"/>
        <v>281.62210301831175</v>
      </c>
      <c r="Y160" s="379">
        <f t="shared" si="328"/>
        <v>141.93978354666044</v>
      </c>
      <c r="AA160" s="188">
        <f t="shared" si="456"/>
        <v>1</v>
      </c>
      <c r="AB160" s="150">
        <f t="shared" si="457"/>
        <v>2.2102829400016089</v>
      </c>
      <c r="AC160" s="150">
        <f t="shared" si="458"/>
        <v>0.31123226491437506</v>
      </c>
      <c r="AD160" s="150"/>
      <c r="AE160" s="150">
        <f t="shared" si="459"/>
        <v>2.2102829400016089</v>
      </c>
      <c r="AF160" s="314">
        <f t="shared" si="460"/>
        <v>542.91691723373947</v>
      </c>
      <c r="AG160" s="456">
        <f t="shared" si="461"/>
        <v>0.311232264914375</v>
      </c>
      <c r="AI160" s="150">
        <f t="shared" si="462"/>
        <v>1.2454682621794899</v>
      </c>
      <c r="AJ160" s="150">
        <f t="shared" si="463"/>
        <v>1.9277712006619074</v>
      </c>
      <c r="AK160" s="150">
        <f t="shared" si="464"/>
        <v>1.8872379264162276</v>
      </c>
      <c r="AM160" s="314">
        <f t="shared" si="465"/>
        <v>600</v>
      </c>
      <c r="AN160" s="144">
        <f t="shared" si="466"/>
        <v>141.93978354666044</v>
      </c>
      <c r="AP160">
        <f t="shared" si="467"/>
        <v>600</v>
      </c>
      <c r="AQ160">
        <f t="shared" si="468"/>
        <v>141.93978354666044</v>
      </c>
      <c r="AS160" s="5">
        <f t="shared" si="439"/>
        <v>7.0452411227699665</v>
      </c>
      <c r="AT160" s="5">
        <f t="shared" si="469"/>
        <v>2.5843213257205337</v>
      </c>
      <c r="AU160" s="5">
        <f t="shared" si="343"/>
        <v>4.4609197970494332</v>
      </c>
      <c r="AV160" s="5"/>
      <c r="AW160" s="150">
        <f t="shared" si="344"/>
        <v>0.36681800958779109</v>
      </c>
      <c r="AX160" s="150">
        <f t="shared" si="435"/>
        <v>3.164946440306065</v>
      </c>
      <c r="AY160" s="150">
        <f t="shared" si="436"/>
        <v>0.61031500294722019</v>
      </c>
      <c r="AZ160" s="150">
        <f t="shared" si="440"/>
        <v>5.1857588704562261</v>
      </c>
      <c r="BA160" s="144">
        <f t="shared" si="433"/>
        <v>31.011855908646403</v>
      </c>
      <c r="BB160" s="5">
        <f t="shared" si="434"/>
        <v>0.62293711255156492</v>
      </c>
      <c r="BD160" s="150">
        <f t="shared" si="441"/>
        <v>0.67409357166355277</v>
      </c>
      <c r="BE160" s="150">
        <f t="shared" si="437"/>
        <v>0.8856439036142153</v>
      </c>
      <c r="BG160" s="456">
        <f t="shared" si="347"/>
        <v>9.0880428671625078E-3</v>
      </c>
      <c r="BH160" s="456">
        <f t="shared" si="470"/>
        <v>7.3779636706686358E-2</v>
      </c>
      <c r="BI160" s="456">
        <f t="shared" si="471"/>
        <v>3.1763940214340043E-2</v>
      </c>
      <c r="BJ160" s="456">
        <f t="shared" si="350"/>
        <v>2.9353194083611297E-3</v>
      </c>
      <c r="BK160">
        <f t="shared" si="351"/>
        <v>4.028123120746953E-3</v>
      </c>
      <c r="BL160" s="144">
        <f t="shared" si="427"/>
        <v>35.792063335087001</v>
      </c>
      <c r="BM160" s="456">
        <f t="shared" si="472"/>
        <v>8.8447757478268399E-2</v>
      </c>
      <c r="BN160" s="144">
        <f t="shared" si="353"/>
        <v>88.4477574782684</v>
      </c>
      <c r="BO160" s="456">
        <f t="shared" si="354"/>
        <v>0.42</v>
      </c>
      <c r="BR160" s="144">
        <f t="shared" si="355"/>
        <v>420</v>
      </c>
      <c r="BS160" s="456">
        <f t="shared" si="356"/>
        <v>1.3632064300743759E-2</v>
      </c>
      <c r="BT160" s="456">
        <f t="shared" si="357"/>
        <v>2.3530953720270763E-2</v>
      </c>
      <c r="BU160" s="456">
        <f t="shared" si="358"/>
        <v>6.1925435683825213E-2</v>
      </c>
      <c r="BV160" s="456"/>
      <c r="BW160" s="456">
        <f t="shared" si="359"/>
        <v>5.2749107338434422E-4</v>
      </c>
      <c r="BX160" s="144">
        <f t="shared" si="360"/>
        <v>99.615944778224076</v>
      </c>
      <c r="BY160" s="150">
        <f t="shared" si="361"/>
        <v>0.64121100709552104</v>
      </c>
      <c r="BZ160" s="5">
        <f t="shared" si="362"/>
        <v>3</v>
      </c>
      <c r="CA160" s="150">
        <f t="shared" si="363"/>
        <v>0.82390171680630109</v>
      </c>
      <c r="CB160" s="5">
        <f t="shared" si="364"/>
        <v>82.390171680630104</v>
      </c>
      <c r="CE160" s="59">
        <f t="shared" si="473"/>
        <v>-50</v>
      </c>
      <c r="CF160">
        <f t="shared" si="474"/>
        <v>-50</v>
      </c>
      <c r="CG160" s="150">
        <f t="shared" si="475"/>
        <v>0.61708984374999998</v>
      </c>
      <c r="CI160" s="147">
        <v>50</v>
      </c>
      <c r="CJ160" s="188">
        <f t="shared" si="428"/>
        <v>0.6</v>
      </c>
      <c r="CK160" s="188"/>
      <c r="CL160" s="188">
        <f t="shared" si="368"/>
        <v>3</v>
      </c>
      <c r="CM160" s="465">
        <f t="shared" si="369"/>
        <v>9</v>
      </c>
      <c r="CN160" s="379">
        <f t="shared" si="370"/>
        <v>5.4</v>
      </c>
      <c r="CO160" s="379">
        <f t="shared" si="371"/>
        <v>14.4</v>
      </c>
      <c r="CP160" s="379"/>
      <c r="CQ160" s="188">
        <f t="shared" si="372"/>
        <v>0.375</v>
      </c>
      <c r="CR160" s="149">
        <f t="shared" si="429"/>
        <v>8.4754687499999992</v>
      </c>
      <c r="CS160" s="149">
        <f t="shared" si="373"/>
        <v>3</v>
      </c>
      <c r="CT160" s="188">
        <f t="shared" si="374"/>
        <v>1.6950937499999998</v>
      </c>
      <c r="CU160" s="188">
        <f t="shared" si="375"/>
        <v>5</v>
      </c>
      <c r="CV160" s="188"/>
      <c r="CW160" s="149">
        <f t="shared" si="376"/>
        <v>28.624035131012967</v>
      </c>
      <c r="CX160" s="149">
        <f t="shared" si="377"/>
        <v>5</v>
      </c>
      <c r="CY160" s="188">
        <f t="shared" si="378"/>
        <v>1.7777777777777777</v>
      </c>
      <c r="CZ160" s="188">
        <f t="shared" si="379"/>
        <v>2.3703703703703702</v>
      </c>
      <c r="DA160" s="188">
        <f t="shared" si="380"/>
        <v>3.9506172839506166</v>
      </c>
      <c r="DB160" s="172">
        <f t="shared" si="381"/>
        <v>281.25</v>
      </c>
      <c r="DC160" s="379">
        <f t="shared" si="382"/>
        <v>158.203125</v>
      </c>
      <c r="DE160" s="188">
        <f t="shared" si="383"/>
        <v>1</v>
      </c>
      <c r="DF160" s="150">
        <f t="shared" si="384"/>
        <v>2.2222222222222219</v>
      </c>
      <c r="DG160" s="150">
        <f t="shared" si="385"/>
        <v>0.31249999999999994</v>
      </c>
      <c r="DH160" s="150"/>
      <c r="DI160" s="150">
        <f t="shared" si="386"/>
        <v>2.2222222222222219</v>
      </c>
      <c r="DJ160" s="314">
        <f t="shared" si="387"/>
        <v>540</v>
      </c>
      <c r="DK160" s="456">
        <f t="shared" si="388"/>
        <v>0.31249999999999994</v>
      </c>
      <c r="DM160" s="150">
        <f t="shared" si="389"/>
        <v>1.2421180068162376</v>
      </c>
      <c r="DN160" s="150">
        <f t="shared" si="390"/>
        <v>1.7777777777777777</v>
      </c>
      <c r="DO160" s="150">
        <f t="shared" si="391"/>
        <v>1.7761316872427981</v>
      </c>
      <c r="DQ160" s="314">
        <f t="shared" si="392"/>
        <v>600</v>
      </c>
      <c r="DR160" s="144">
        <f t="shared" si="393"/>
        <v>158.203125</v>
      </c>
      <c r="DT160">
        <f t="shared" si="430"/>
        <v>600</v>
      </c>
      <c r="DU160">
        <f t="shared" si="431"/>
        <v>158.203125</v>
      </c>
      <c r="DW160" s="5">
        <f t="shared" si="394"/>
        <v>6.3209876543209873</v>
      </c>
      <c r="DX160" s="5">
        <f t="shared" si="395"/>
        <v>2.3703703703703702</v>
      </c>
      <c r="DY160" s="5">
        <f t="shared" si="396"/>
        <v>3.9506172839506171</v>
      </c>
      <c r="DZ160" s="5"/>
      <c r="EA160" s="150">
        <f t="shared" si="397"/>
        <v>0.375</v>
      </c>
      <c r="EB160" s="150">
        <f t="shared" si="398"/>
        <v>3</v>
      </c>
      <c r="EC160" s="150">
        <f t="shared" si="399"/>
        <v>0.55555555555555558</v>
      </c>
      <c r="ED160" s="150">
        <f t="shared" si="400"/>
        <v>5.3999999999999995</v>
      </c>
      <c r="EE160" s="144">
        <f t="shared" si="401"/>
        <v>28.444444444444443</v>
      </c>
      <c r="EF160" s="5">
        <f t="shared" si="402"/>
        <v>0.54869684499314109</v>
      </c>
      <c r="EH160" s="150">
        <f t="shared" si="403"/>
        <v>0.62853936105470887</v>
      </c>
      <c r="EI160" s="150">
        <f t="shared" si="404"/>
        <v>0.81144082593357947</v>
      </c>
      <c r="EK160" s="456">
        <f t="shared" si="405"/>
        <v>7.901234567901233E-3</v>
      </c>
      <c r="EL160" s="456">
        <f t="shared" si="406"/>
        <v>8.0999999999999989E-2</v>
      </c>
      <c r="EM160" s="456">
        <f t="shared" si="407"/>
        <v>1.9775390625E-2</v>
      </c>
      <c r="EN160" s="456">
        <f t="shared" si="408"/>
        <v>3.2805E-3</v>
      </c>
      <c r="EO160">
        <f t="shared" si="409"/>
        <v>4.0499999999999998E-3</v>
      </c>
      <c r="EP160" s="144">
        <f t="shared" si="410"/>
        <v>23.825390624999997</v>
      </c>
      <c r="EQ160" s="144"/>
      <c r="ER160" s="144">
        <f t="shared" si="432"/>
        <v>116.00712519290123</v>
      </c>
      <c r="ES160" s="456">
        <f t="shared" si="411"/>
        <v>0.42</v>
      </c>
      <c r="EV160" s="144">
        <f t="shared" si="412"/>
        <v>420</v>
      </c>
      <c r="EW160" s="456">
        <f t="shared" si="413"/>
        <v>1.185185185185185E-2</v>
      </c>
      <c r="EX160" s="456">
        <f t="shared" si="414"/>
        <v>1.9753086419753089E-2</v>
      </c>
      <c r="EY160" s="456">
        <f t="shared" si="415"/>
        <v>6.6328676578668158E-2</v>
      </c>
      <c r="EZ160" s="456"/>
      <c r="FA160" s="456">
        <f t="shared" si="416"/>
        <v>5.0000000000000001E-4</v>
      </c>
      <c r="FB160" s="144">
        <f t="shared" si="417"/>
        <v>98.433614850273102</v>
      </c>
      <c r="FC160" s="150">
        <f t="shared" si="418"/>
        <v>0.63444074004317419</v>
      </c>
      <c r="FD160" s="5">
        <f t="shared" si="419"/>
        <v>3</v>
      </c>
      <c r="FE160" s="150">
        <f t="shared" si="420"/>
        <v>0.82543648791598201</v>
      </c>
      <c r="FF160" s="5">
        <f t="shared" si="421"/>
        <v>82.543648791598201</v>
      </c>
      <c r="FI160" s="59">
        <f t="shared" si="422"/>
        <v>-50</v>
      </c>
      <c r="FJ160">
        <f t="shared" si="423"/>
        <v>-50</v>
      </c>
      <c r="FL160">
        <f t="shared" si="476"/>
        <v>0.625</v>
      </c>
    </row>
    <row r="161" spans="5:168">
      <c r="E161" s="147">
        <v>51</v>
      </c>
      <c r="F161" s="188">
        <f t="shared" si="477"/>
        <v>0.61199999999999999</v>
      </c>
      <c r="G161" s="188"/>
      <c r="H161" s="188">
        <f t="shared" si="442"/>
        <v>3.06</v>
      </c>
      <c r="I161" s="465">
        <f t="shared" si="443"/>
        <v>8.9504248673801765</v>
      </c>
      <c r="J161" s="149">
        <f t="shared" si="444"/>
        <v>5.4297450795718945</v>
      </c>
      <c r="K161" s="149">
        <f t="shared" si="445"/>
        <v>14.380169946952071</v>
      </c>
      <c r="L161" s="379"/>
      <c r="M161" s="188">
        <f t="shared" si="446"/>
        <v>0.37756962353465234</v>
      </c>
      <c r="N161" s="149">
        <f t="shared" si="447"/>
        <v>8.4865397152908937</v>
      </c>
      <c r="O161" s="149">
        <f t="shared" si="438"/>
        <v>3.06</v>
      </c>
      <c r="P161" s="188">
        <f t="shared" si="448"/>
        <v>1.6973079430581788</v>
      </c>
      <c r="Q161" s="188">
        <f t="shared" si="449"/>
        <v>5</v>
      </c>
      <c r="R161" s="188"/>
      <c r="S161" s="149">
        <f t="shared" si="450"/>
        <v>27.73899981753307</v>
      </c>
      <c r="T161" s="149">
        <f t="shared" si="451"/>
        <v>5</v>
      </c>
      <c r="U161" s="188">
        <f t="shared" si="452"/>
        <v>1.9664850018259725</v>
      </c>
      <c r="V161" s="188">
        <f t="shared" si="453"/>
        <v>2.6365027774171845</v>
      </c>
      <c r="W161" s="188">
        <f t="shared" si="454"/>
        <v>4.3460272399698416</v>
      </c>
      <c r="X161" s="172">
        <f t="shared" si="455"/>
        <v>281.62929438602868</v>
      </c>
      <c r="Y161" s="379">
        <f t="shared" si="328"/>
        <v>139.22670668681673</v>
      </c>
      <c r="AA161" s="188">
        <f t="shared" si="456"/>
        <v>0.99999999999999978</v>
      </c>
      <c r="AB161" s="150">
        <f t="shared" si="457"/>
        <v>2.2100485058031731</v>
      </c>
      <c r="AC161" s="150">
        <f t="shared" si="458"/>
        <v>0.31120720062412227</v>
      </c>
      <c r="AD161" s="150"/>
      <c r="AE161" s="150">
        <f t="shared" si="459"/>
        <v>2.2100485058031736</v>
      </c>
      <c r="AF161" s="314">
        <f t="shared" si="460"/>
        <v>553.83399811633331</v>
      </c>
      <c r="AG161" s="456">
        <f t="shared" si="461"/>
        <v>0.31120720062412238</v>
      </c>
      <c r="AI161" s="150">
        <f t="shared" si="462"/>
        <v>1.2579279994343684</v>
      </c>
      <c r="AJ161" s="150">
        <f t="shared" si="463"/>
        <v>1.9664850018259725</v>
      </c>
      <c r="AK161" s="150">
        <f t="shared" si="464"/>
        <v>1.9159148161673869</v>
      </c>
      <c r="AM161" s="314">
        <f t="shared" si="465"/>
        <v>612</v>
      </c>
      <c r="AN161" s="144">
        <f t="shared" si="466"/>
        <v>139.22670668681673</v>
      </c>
      <c r="AP161">
        <f t="shared" si="467"/>
        <v>612</v>
      </c>
      <c r="AQ161">
        <f t="shared" si="468"/>
        <v>139.22670668681673</v>
      </c>
      <c r="AS161" s="5">
        <f t="shared" si="439"/>
        <v>7.182530017387025</v>
      </c>
      <c r="AT161" s="5">
        <f t="shared" si="469"/>
        <v>2.6365027774171845</v>
      </c>
      <c r="AU161" s="5">
        <f t="shared" si="343"/>
        <v>4.54602723996984</v>
      </c>
      <c r="AV161" s="5"/>
      <c r="AW161" s="150">
        <f t="shared" si="344"/>
        <v>0.36707159887044</v>
      </c>
      <c r="AX161" s="150">
        <f t="shared" si="435"/>
        <v>3.2303908954466021</v>
      </c>
      <c r="AY161" s="150">
        <f t="shared" si="436"/>
        <v>0.62232210402548627</v>
      </c>
      <c r="AZ161" s="150">
        <f t="shared" si="440"/>
        <v>5.1908663930637218</v>
      </c>
      <c r="BA161" s="144">
        <f t="shared" si="433"/>
        <v>32.270793995586338</v>
      </c>
      <c r="BB161" s="5">
        <f t="shared" si="434"/>
        <v>0.64758766392037326</v>
      </c>
      <c r="BD161" s="150">
        <f t="shared" si="441"/>
        <v>0.68786846966182225</v>
      </c>
      <c r="BE161" s="150">
        <f t="shared" si="437"/>
        <v>0.90324861246167121</v>
      </c>
      <c r="BG161" s="456">
        <f t="shared" si="347"/>
        <v>9.4632606310979459E-3</v>
      </c>
      <c r="BH161" s="456">
        <f t="shared" si="470"/>
        <v>7.3820754462395027E-2</v>
      </c>
      <c r="BI161" s="456">
        <f t="shared" si="471"/>
        <v>3.1153454443328257E-2</v>
      </c>
      <c r="BJ161" s="456">
        <f t="shared" si="350"/>
        <v>2.8790591505032459E-3</v>
      </c>
      <c r="BK161">
        <f t="shared" si="351"/>
        <v>4.0276911903210791E-3</v>
      </c>
      <c r="BL161" s="144">
        <f t="shared" si="427"/>
        <v>35.181145633649336</v>
      </c>
      <c r="BM161" s="456">
        <f t="shared" si="472"/>
        <v>8.8918084324002652E-2</v>
      </c>
      <c r="BN161" s="144">
        <f t="shared" si="353"/>
        <v>88.918084324002649</v>
      </c>
      <c r="BO161" s="456">
        <f t="shared" si="354"/>
        <v>0.42839999999999995</v>
      </c>
      <c r="BR161" s="144">
        <f t="shared" si="355"/>
        <v>428.39999999999992</v>
      </c>
      <c r="BS161" s="456">
        <f t="shared" si="356"/>
        <v>1.4194890946646917E-2</v>
      </c>
      <c r="BT161" s="456">
        <f t="shared" si="357"/>
        <v>2.447574167741803E-2</v>
      </c>
      <c r="BU161" s="456">
        <f t="shared" si="358"/>
        <v>6.2015889360842034E-2</v>
      </c>
      <c r="BV161" s="456"/>
      <c r="BW161" s="456">
        <f t="shared" si="359"/>
        <v>5.3839848257443369E-4</v>
      </c>
      <c r="BX161" s="144">
        <f t="shared" si="360"/>
        <v>101.22492046748143</v>
      </c>
      <c r="BY161" s="150">
        <f t="shared" si="361"/>
        <v>0.65096914034512698</v>
      </c>
      <c r="BZ161" s="5">
        <f t="shared" si="362"/>
        <v>3.06</v>
      </c>
      <c r="CA161" s="150">
        <f t="shared" si="363"/>
        <v>0.82458244309609496</v>
      </c>
      <c r="CB161" s="5">
        <f t="shared" si="364"/>
        <v>82.458244309609498</v>
      </c>
      <c r="CE161" s="59">
        <f t="shared" si="473"/>
        <v>-50</v>
      </c>
      <c r="CF161">
        <f t="shared" si="474"/>
        <v>-50</v>
      </c>
      <c r="CG161" s="150">
        <f t="shared" si="475"/>
        <v>0.61724494485294112</v>
      </c>
      <c r="CI161" s="147">
        <v>51</v>
      </c>
      <c r="CJ161" s="188">
        <f t="shared" si="428"/>
        <v>0.61199999999999999</v>
      </c>
      <c r="CK161" s="188"/>
      <c r="CL161" s="188">
        <f t="shared" si="368"/>
        <v>3.06</v>
      </c>
      <c r="CM161" s="465">
        <f t="shared" si="369"/>
        <v>9</v>
      </c>
      <c r="CN161" s="379">
        <f t="shared" si="370"/>
        <v>5.4</v>
      </c>
      <c r="CO161" s="379">
        <f t="shared" si="371"/>
        <v>14.4</v>
      </c>
      <c r="CP161" s="379"/>
      <c r="CQ161" s="188">
        <f t="shared" si="372"/>
        <v>0.375</v>
      </c>
      <c r="CR161" s="149">
        <f t="shared" si="429"/>
        <v>8.4754687499999992</v>
      </c>
      <c r="CS161" s="149">
        <f t="shared" si="373"/>
        <v>3.06</v>
      </c>
      <c r="CT161" s="188">
        <f t="shared" si="374"/>
        <v>1.6950937499999998</v>
      </c>
      <c r="CU161" s="188">
        <f t="shared" si="375"/>
        <v>5</v>
      </c>
      <c r="CV161" s="188"/>
      <c r="CW161" s="149">
        <f t="shared" si="376"/>
        <v>27.891950555460333</v>
      </c>
      <c r="CX161" s="149">
        <f t="shared" si="377"/>
        <v>5</v>
      </c>
      <c r="CY161" s="188">
        <f t="shared" si="378"/>
        <v>1.8133333333333335</v>
      </c>
      <c r="CZ161" s="188">
        <f t="shared" si="379"/>
        <v>2.4177777777777778</v>
      </c>
      <c r="DA161" s="188">
        <f t="shared" si="380"/>
        <v>4.0296296296296292</v>
      </c>
      <c r="DB161" s="172">
        <f t="shared" si="381"/>
        <v>281.25</v>
      </c>
      <c r="DC161" s="379">
        <f t="shared" si="382"/>
        <v>155.10110294117646</v>
      </c>
      <c r="DE161" s="188">
        <f t="shared" si="383"/>
        <v>1</v>
      </c>
      <c r="DF161" s="150">
        <f t="shared" si="384"/>
        <v>2.2222222222222219</v>
      </c>
      <c r="DG161" s="150">
        <f t="shared" si="385"/>
        <v>0.31249999999999994</v>
      </c>
      <c r="DH161" s="150"/>
      <c r="DI161" s="150">
        <f t="shared" si="386"/>
        <v>2.2222222222222219</v>
      </c>
      <c r="DJ161" s="314">
        <f t="shared" si="387"/>
        <v>550.79999999999995</v>
      </c>
      <c r="DK161" s="456">
        <f t="shared" si="388"/>
        <v>0.31249999999999994</v>
      </c>
      <c r="DM161" s="150">
        <f t="shared" si="389"/>
        <v>1.2544776943869054</v>
      </c>
      <c r="DN161" s="150">
        <f t="shared" si="390"/>
        <v>1.8133333333333335</v>
      </c>
      <c r="DO161" s="150">
        <f t="shared" si="391"/>
        <v>1.8024691358024691</v>
      </c>
      <c r="DQ161" s="314">
        <f t="shared" si="392"/>
        <v>612</v>
      </c>
      <c r="DR161" s="144">
        <f t="shared" si="393"/>
        <v>155.10110294117646</v>
      </c>
      <c r="DT161">
        <f t="shared" si="430"/>
        <v>612</v>
      </c>
      <c r="DU161">
        <f t="shared" si="431"/>
        <v>155.10110294117646</v>
      </c>
      <c r="DW161" s="5">
        <f t="shared" si="394"/>
        <v>6.4474074074074075</v>
      </c>
      <c r="DX161" s="5">
        <f t="shared" si="395"/>
        <v>2.4177777777777778</v>
      </c>
      <c r="DY161" s="5">
        <f t="shared" si="396"/>
        <v>4.0296296296296301</v>
      </c>
      <c r="DZ161" s="5"/>
      <c r="EA161" s="150">
        <f t="shared" si="397"/>
        <v>0.375</v>
      </c>
      <c r="EB161" s="150">
        <f t="shared" si="398"/>
        <v>3.0600000000000005</v>
      </c>
      <c r="EC161" s="150">
        <f t="shared" si="399"/>
        <v>0.56666666666666665</v>
      </c>
      <c r="ED161" s="150">
        <f t="shared" si="400"/>
        <v>5.4000000000000012</v>
      </c>
      <c r="EE161" s="144">
        <f t="shared" si="401"/>
        <v>29.593599999999999</v>
      </c>
      <c r="EF161" s="5">
        <f t="shared" si="402"/>
        <v>0.57086419753086426</v>
      </c>
      <c r="EH161" s="150">
        <f t="shared" si="403"/>
        <v>0.64111014827580315</v>
      </c>
      <c r="EI161" s="150">
        <f t="shared" si="404"/>
        <v>0.82766964245225116</v>
      </c>
      <c r="EK161" s="456">
        <f t="shared" si="405"/>
        <v>8.2204444444444452E-3</v>
      </c>
      <c r="EL161" s="456">
        <f t="shared" si="406"/>
        <v>8.1000000000000003E-2</v>
      </c>
      <c r="EM161" s="456">
        <f t="shared" si="407"/>
        <v>1.9387637867647058E-2</v>
      </c>
      <c r="EN161" s="456">
        <f t="shared" si="408"/>
        <v>3.2161764705882353E-3</v>
      </c>
      <c r="EO161">
        <f t="shared" si="409"/>
        <v>4.0499999999999998E-3</v>
      </c>
      <c r="EP161" s="144">
        <f t="shared" si="410"/>
        <v>23.437637867647055</v>
      </c>
      <c r="EQ161" s="144"/>
      <c r="ER161" s="144">
        <f t="shared" si="432"/>
        <v>115.87425878267975</v>
      </c>
      <c r="ES161" s="456">
        <f t="shared" si="411"/>
        <v>0.42839999999999995</v>
      </c>
      <c r="EV161" s="144">
        <f t="shared" si="412"/>
        <v>428.39999999999992</v>
      </c>
      <c r="EW161" s="456">
        <f t="shared" si="413"/>
        <v>1.2330666666666669E-2</v>
      </c>
      <c r="EX161" s="456">
        <f t="shared" si="414"/>
        <v>2.0551111111111121E-2</v>
      </c>
      <c r="EY161" s="456">
        <f t="shared" si="415"/>
        <v>6.6328676578668186E-2</v>
      </c>
      <c r="EZ161" s="456"/>
      <c r="FA161" s="456">
        <f t="shared" si="416"/>
        <v>5.1000000000000015E-4</v>
      </c>
      <c r="FB161" s="144">
        <f t="shared" si="417"/>
        <v>99.72045435644597</v>
      </c>
      <c r="FC161" s="150">
        <f t="shared" si="418"/>
        <v>0.6439947131391256</v>
      </c>
      <c r="FD161" s="5">
        <f t="shared" si="419"/>
        <v>3.06</v>
      </c>
      <c r="FE161" s="150">
        <f t="shared" si="420"/>
        <v>0.82613508846146766</v>
      </c>
      <c r="FF161" s="5">
        <f t="shared" si="421"/>
        <v>82.613508846146772</v>
      </c>
      <c r="FI161" s="59">
        <f t="shared" si="422"/>
        <v>-50</v>
      </c>
      <c r="FJ161">
        <f t="shared" si="423"/>
        <v>-50</v>
      </c>
      <c r="FL161">
        <f t="shared" si="476"/>
        <v>0.625</v>
      </c>
    </row>
    <row r="162" spans="5:168">
      <c r="E162" s="147">
        <v>52</v>
      </c>
      <c r="F162" s="188">
        <f t="shared" si="477"/>
        <v>0.624</v>
      </c>
      <c r="G162" s="188"/>
      <c r="H162" s="188">
        <f t="shared" si="442"/>
        <v>3.12</v>
      </c>
      <c r="I162" s="465">
        <f t="shared" si="443"/>
        <v>8.9494650159695812</v>
      </c>
      <c r="J162" s="149">
        <f t="shared" si="444"/>
        <v>5.4303209904182514</v>
      </c>
      <c r="K162" s="149">
        <f t="shared" si="445"/>
        <v>14.379786006387832</v>
      </c>
      <c r="L162" s="379"/>
      <c r="M162" s="188">
        <f t="shared" si="446"/>
        <v>0.37761975982542062</v>
      </c>
      <c r="N162" s="149">
        <f t="shared" si="447"/>
        <v>8.486756391577428</v>
      </c>
      <c r="O162" s="149">
        <f t="shared" si="438"/>
        <v>3.12</v>
      </c>
      <c r="P162" s="188">
        <f t="shared" si="448"/>
        <v>1.6973512783154856</v>
      </c>
      <c r="Q162" s="188">
        <f t="shared" si="449"/>
        <v>5</v>
      </c>
      <c r="R162" s="188"/>
      <c r="S162" s="149">
        <f t="shared" si="450"/>
        <v>27.036239965970999</v>
      </c>
      <c r="T162" s="149">
        <f t="shared" si="451"/>
        <v>5</v>
      </c>
      <c r="U162" s="188">
        <f t="shared" si="452"/>
        <v>2.0052050490065891</v>
      </c>
      <c r="V162" s="188">
        <f t="shared" si="453"/>
        <v>2.6887037990697316</v>
      </c>
      <c r="W162" s="188">
        <f t="shared" si="454"/>
        <v>4.431130430509918</v>
      </c>
      <c r="X162" s="172">
        <f t="shared" si="455"/>
        <v>281.6364797758747</v>
      </c>
      <c r="Y162" s="379">
        <f t="shared" si="328"/>
        <v>136.61511567556715</v>
      </c>
      <c r="AA162" s="188">
        <f t="shared" si="456"/>
        <v>1</v>
      </c>
      <c r="AB162" s="150">
        <f t="shared" si="457"/>
        <v>2.2098141198602961</v>
      </c>
      <c r="AC162" s="150">
        <f t="shared" si="458"/>
        <v>0.31118213483823831</v>
      </c>
      <c r="AD162" s="150"/>
      <c r="AE162" s="150">
        <f t="shared" si="459"/>
        <v>2.2098141198602961</v>
      </c>
      <c r="AF162" s="314">
        <f t="shared" si="460"/>
        <v>564.75338300349824</v>
      </c>
      <c r="AG162" s="456">
        <f t="shared" si="461"/>
        <v>0.31118213483823831</v>
      </c>
      <c r="AI162" s="150">
        <f t="shared" si="462"/>
        <v>1.2702681190582201</v>
      </c>
      <c r="AJ162" s="150">
        <f t="shared" si="463"/>
        <v>2.0052050490065891</v>
      </c>
      <c r="AK162" s="150">
        <f t="shared" si="464"/>
        <v>1.9445963325974733</v>
      </c>
      <c r="AM162" s="314">
        <f t="shared" si="465"/>
        <v>624</v>
      </c>
      <c r="AN162" s="144">
        <f t="shared" si="466"/>
        <v>136.61511567556715</v>
      </c>
      <c r="AP162">
        <f t="shared" si="467"/>
        <v>624</v>
      </c>
      <c r="AQ162">
        <f t="shared" si="468"/>
        <v>136.61511567556715</v>
      </c>
      <c r="AS162" s="5">
        <f t="shared" si="439"/>
        <v>7.3198342295796515</v>
      </c>
      <c r="AT162" s="5">
        <f t="shared" si="469"/>
        <v>2.6887037990697316</v>
      </c>
      <c r="AU162" s="5">
        <f t="shared" si="343"/>
        <v>4.6311304305099199</v>
      </c>
      <c r="AV162" s="5"/>
      <c r="AW162" s="150">
        <f t="shared" si="344"/>
        <v>0.36731758052724822</v>
      </c>
      <c r="AX162" s="150">
        <f t="shared" si="435"/>
        <v>3.2958511046437335</v>
      </c>
      <c r="AY162" s="150">
        <f t="shared" si="436"/>
        <v>0.63432899097223339</v>
      </c>
      <c r="AZ162" s="150">
        <f t="shared" si="440"/>
        <v>5.1958071466861329</v>
      </c>
      <c r="BA162" s="144">
        <f t="shared" si="433"/>
        <v>33.555023412390248</v>
      </c>
      <c r="BB162" s="5">
        <f t="shared" si="434"/>
        <v>0.67271837466483919</v>
      </c>
      <c r="BD162" s="150">
        <f t="shared" si="441"/>
        <v>0.70164756055633393</v>
      </c>
      <c r="BE162" s="150">
        <f t="shared" si="437"/>
        <v>0.92085456521963971</v>
      </c>
      <c r="BG162" s="456">
        <f t="shared" si="347"/>
        <v>9.8461859846930861E-3</v>
      </c>
      <c r="BH162" s="456">
        <f t="shared" si="470"/>
        <v>7.3860329173650791E-2</v>
      </c>
      <c r="BI162" s="456">
        <f t="shared" si="471"/>
        <v>3.0565804959778144E-2</v>
      </c>
      <c r="BJ162" s="456">
        <f t="shared" si="350"/>
        <v>2.8249033940401379E-3</v>
      </c>
      <c r="BK162">
        <f t="shared" si="351"/>
        <v>4.0272592571863114E-3</v>
      </c>
      <c r="BL162" s="144">
        <f t="shared" si="427"/>
        <v>34.59306421696445</v>
      </c>
      <c r="BM162" s="456">
        <f t="shared" si="472"/>
        <v>8.9399033676404449E-2</v>
      </c>
      <c r="BN162" s="144">
        <f t="shared" si="353"/>
        <v>89.399033676404443</v>
      </c>
      <c r="BO162" s="456">
        <f t="shared" si="354"/>
        <v>0.43679999999999997</v>
      </c>
      <c r="BR162" s="144">
        <f t="shared" si="355"/>
        <v>436.79999999999995</v>
      </c>
      <c r="BS162" s="456">
        <f t="shared" si="356"/>
        <v>1.4769278977039628E-2</v>
      </c>
      <c r="BT162" s="456">
        <f t="shared" si="357"/>
        <v>2.5439193908575547E-2</v>
      </c>
      <c r="BU162" s="456">
        <f t="shared" si="358"/>
        <v>6.2103183524464194E-2</v>
      </c>
      <c r="BV162" s="456"/>
      <c r="BW162" s="456">
        <f t="shared" si="359"/>
        <v>5.4930851744062223E-4</v>
      </c>
      <c r="BX162" s="144">
        <f t="shared" si="360"/>
        <v>102.86096492751997</v>
      </c>
      <c r="BY162" s="150">
        <f t="shared" si="361"/>
        <v>0.66078544769686842</v>
      </c>
      <c r="BZ162" s="5">
        <f t="shared" si="362"/>
        <v>3.12</v>
      </c>
      <c r="CA162" s="150">
        <f t="shared" si="363"/>
        <v>0.82522535149425169</v>
      </c>
      <c r="CB162" s="5">
        <f t="shared" si="364"/>
        <v>82.522535149425167</v>
      </c>
      <c r="CE162" s="59">
        <f t="shared" si="473"/>
        <v>-50</v>
      </c>
      <c r="CF162">
        <f t="shared" si="474"/>
        <v>-50</v>
      </c>
      <c r="CG162" s="150">
        <f t="shared" si="475"/>
        <v>0.61739408052884615</v>
      </c>
      <c r="CI162" s="147">
        <v>52</v>
      </c>
      <c r="CJ162" s="188">
        <f t="shared" si="428"/>
        <v>0.624</v>
      </c>
      <c r="CK162" s="188"/>
      <c r="CL162" s="188">
        <f t="shared" si="368"/>
        <v>3.12</v>
      </c>
      <c r="CM162" s="465">
        <f t="shared" si="369"/>
        <v>9</v>
      </c>
      <c r="CN162" s="379">
        <f t="shared" si="370"/>
        <v>5.4</v>
      </c>
      <c r="CO162" s="379">
        <f t="shared" si="371"/>
        <v>14.4</v>
      </c>
      <c r="CP162" s="379"/>
      <c r="CQ162" s="188">
        <f t="shared" si="372"/>
        <v>0.375</v>
      </c>
      <c r="CR162" s="149">
        <f t="shared" si="429"/>
        <v>8.4754687499999992</v>
      </c>
      <c r="CS162" s="149">
        <f t="shared" si="373"/>
        <v>3.12</v>
      </c>
      <c r="CT162" s="188">
        <f t="shared" si="374"/>
        <v>1.6950937499999998</v>
      </c>
      <c r="CU162" s="188">
        <f t="shared" si="375"/>
        <v>5</v>
      </c>
      <c r="CV162" s="188"/>
      <c r="CW162" s="149">
        <f t="shared" si="376"/>
        <v>27.188182960345099</v>
      </c>
      <c r="CX162" s="149">
        <f t="shared" si="377"/>
        <v>5</v>
      </c>
      <c r="CY162" s="188">
        <f t="shared" si="378"/>
        <v>1.848888888888889</v>
      </c>
      <c r="CZ162" s="188">
        <f t="shared" si="379"/>
        <v>2.4651851851851858</v>
      </c>
      <c r="DA162" s="188">
        <f t="shared" si="380"/>
        <v>4.1086419753086423</v>
      </c>
      <c r="DB162" s="172">
        <f t="shared" si="381"/>
        <v>281.25</v>
      </c>
      <c r="DC162" s="379">
        <f t="shared" si="382"/>
        <v>152.11838942307691</v>
      </c>
      <c r="DE162" s="188">
        <f t="shared" si="383"/>
        <v>1</v>
      </c>
      <c r="DF162" s="150">
        <f t="shared" si="384"/>
        <v>2.2222222222222219</v>
      </c>
      <c r="DG162" s="150">
        <f t="shared" si="385"/>
        <v>0.31249999999999994</v>
      </c>
      <c r="DH162" s="150"/>
      <c r="DI162" s="150">
        <f t="shared" si="386"/>
        <v>2.2222222222222219</v>
      </c>
      <c r="DJ162" s="314">
        <f t="shared" si="387"/>
        <v>561.6</v>
      </c>
      <c r="DK162" s="456">
        <f t="shared" si="388"/>
        <v>0.31249999999999994</v>
      </c>
      <c r="DM162" s="150">
        <f t="shared" si="389"/>
        <v>1.2667167909881942</v>
      </c>
      <c r="DN162" s="150">
        <f t="shared" si="390"/>
        <v>1.848888888888889</v>
      </c>
      <c r="DO162" s="150">
        <f t="shared" si="391"/>
        <v>1.8288065843621399</v>
      </c>
      <c r="DQ162" s="314">
        <f t="shared" si="392"/>
        <v>624</v>
      </c>
      <c r="DR162" s="144">
        <f t="shared" si="393"/>
        <v>152.11838942307691</v>
      </c>
      <c r="DT162">
        <f t="shared" si="430"/>
        <v>624</v>
      </c>
      <c r="DU162">
        <f t="shared" si="431"/>
        <v>152.11838942307691</v>
      </c>
      <c r="DW162" s="5">
        <f t="shared" si="394"/>
        <v>6.5738271604938285</v>
      </c>
      <c r="DX162" s="5">
        <f t="shared" si="395"/>
        <v>2.4651851851851858</v>
      </c>
      <c r="DY162" s="5">
        <f t="shared" si="396"/>
        <v>4.1086419753086432</v>
      </c>
      <c r="DZ162" s="5"/>
      <c r="EA162" s="150">
        <f t="shared" si="397"/>
        <v>0.375</v>
      </c>
      <c r="EB162" s="150">
        <f t="shared" si="398"/>
        <v>3.12</v>
      </c>
      <c r="EC162" s="150">
        <f t="shared" si="399"/>
        <v>0.57777777777777783</v>
      </c>
      <c r="ED162" s="150">
        <f t="shared" si="400"/>
        <v>5.3999999999999995</v>
      </c>
      <c r="EE162" s="144">
        <f t="shared" si="401"/>
        <v>30.765511111111117</v>
      </c>
      <c r="EF162" s="5">
        <f t="shared" si="402"/>
        <v>0.59347050754458175</v>
      </c>
      <c r="EH162" s="150">
        <f t="shared" si="403"/>
        <v>0.65368093549689732</v>
      </c>
      <c r="EI162" s="150">
        <f t="shared" si="404"/>
        <v>0.84389845897092275</v>
      </c>
      <c r="EK162" s="456">
        <f t="shared" si="405"/>
        <v>8.5459753086419774E-3</v>
      </c>
      <c r="EL162" s="456">
        <f t="shared" si="406"/>
        <v>8.1000000000000003E-2</v>
      </c>
      <c r="EM162" s="456">
        <f t="shared" si="407"/>
        <v>1.9014798677884612E-2</v>
      </c>
      <c r="EN162" s="456">
        <f t="shared" si="408"/>
        <v>3.1543269230769229E-3</v>
      </c>
      <c r="EO162">
        <f t="shared" si="409"/>
        <v>4.0499999999999998E-3</v>
      </c>
      <c r="EP162" s="144">
        <f t="shared" si="410"/>
        <v>23.064798677884614</v>
      </c>
      <c r="EQ162" s="144"/>
      <c r="ER162" s="144">
        <f t="shared" si="432"/>
        <v>115.7651009096035</v>
      </c>
      <c r="ES162" s="456">
        <f t="shared" si="411"/>
        <v>0.43679999999999997</v>
      </c>
      <c r="EV162" s="144">
        <f t="shared" si="412"/>
        <v>436.79999999999995</v>
      </c>
      <c r="EW162" s="456">
        <f t="shared" si="413"/>
        <v>1.2818962962962964E-2</v>
      </c>
      <c r="EX162" s="456">
        <f t="shared" si="414"/>
        <v>2.1364938271604947E-2</v>
      </c>
      <c r="EY162" s="456">
        <f t="shared" si="415"/>
        <v>6.6328676578668061E-2</v>
      </c>
      <c r="EZ162" s="456"/>
      <c r="FA162" s="456">
        <f t="shared" si="416"/>
        <v>5.2000000000000006E-4</v>
      </c>
      <c r="FB162" s="144">
        <f t="shared" si="417"/>
        <v>101.03257781323597</v>
      </c>
      <c r="FC162" s="150">
        <f t="shared" si="418"/>
        <v>0.65359767872283925</v>
      </c>
      <c r="FD162" s="5">
        <f t="shared" si="419"/>
        <v>3.12</v>
      </c>
      <c r="FE162" s="150">
        <f t="shared" si="420"/>
        <v>0.82679720140594137</v>
      </c>
      <c r="FF162" s="5">
        <f t="shared" si="421"/>
        <v>82.679720140594142</v>
      </c>
      <c r="FI162" s="59">
        <f t="shared" si="422"/>
        <v>-50</v>
      </c>
      <c r="FJ162">
        <f t="shared" si="423"/>
        <v>-50</v>
      </c>
      <c r="FL162">
        <f t="shared" si="476"/>
        <v>0.625</v>
      </c>
    </row>
    <row r="163" spans="5:168">
      <c r="E163" s="147">
        <v>53</v>
      </c>
      <c r="F163" s="188">
        <f t="shared" si="477"/>
        <v>0.63600000000000001</v>
      </c>
      <c r="G163" s="188"/>
      <c r="H163" s="188">
        <f t="shared" si="442"/>
        <v>3.18</v>
      </c>
      <c r="I163" s="465">
        <f t="shared" si="443"/>
        <v>8.9485051588840818</v>
      </c>
      <c r="J163" s="149">
        <f t="shared" si="444"/>
        <v>5.4308969046695514</v>
      </c>
      <c r="K163" s="149">
        <f t="shared" si="445"/>
        <v>14.379402063553634</v>
      </c>
      <c r="L163" s="379"/>
      <c r="M163" s="188">
        <f t="shared" si="446"/>
        <v>0.37766989894204051</v>
      </c>
      <c r="N163" s="149">
        <f t="shared" si="447"/>
        <v>8.486972884284377</v>
      </c>
      <c r="O163" s="149">
        <f t="shared" si="438"/>
        <v>3.18</v>
      </c>
      <c r="P163" s="188">
        <f t="shared" si="448"/>
        <v>1.6973945768568754</v>
      </c>
      <c r="Q163" s="188">
        <f t="shared" si="449"/>
        <v>5</v>
      </c>
      <c r="R163" s="188"/>
      <c r="S163" s="149">
        <f t="shared" si="450"/>
        <v>26.360194948372293</v>
      </c>
      <c r="T163" s="149">
        <f t="shared" si="451"/>
        <v>5</v>
      </c>
      <c r="U163" s="188">
        <f t="shared" si="452"/>
        <v>2.0439313442136307</v>
      </c>
      <c r="V163" s="188">
        <f t="shared" si="453"/>
        <v>2.7409243996705941</v>
      </c>
      <c r="W163" s="188">
        <f t="shared" si="454"/>
        <v>4.5162293744657172</v>
      </c>
      <c r="X163" s="172">
        <f t="shared" si="455"/>
        <v>281.64365918467576</v>
      </c>
      <c r="Y163" s="379">
        <f t="shared" si="328"/>
        <v>134.09942054142772</v>
      </c>
      <c r="AA163" s="188">
        <f t="shared" si="456"/>
        <v>0.99999999999999978</v>
      </c>
      <c r="AB163" s="150">
        <f t="shared" si="457"/>
        <v>2.2095797822422756</v>
      </c>
      <c r="AC163" s="150">
        <f t="shared" si="458"/>
        <v>0.31115706756559675</v>
      </c>
      <c r="AD163" s="150"/>
      <c r="AE163" s="150">
        <f t="shared" si="459"/>
        <v>2.2095797822422765</v>
      </c>
      <c r="AF163" s="314">
        <f t="shared" si="460"/>
        <v>575.67507189497235</v>
      </c>
      <c r="AG163" s="456">
        <f t="shared" si="461"/>
        <v>0.31115706756559691</v>
      </c>
      <c r="AI163" s="150">
        <f t="shared" si="462"/>
        <v>1.282492073932592</v>
      </c>
      <c r="AJ163" s="150">
        <f t="shared" si="463"/>
        <v>2.0439313442136307</v>
      </c>
      <c r="AK163" s="150">
        <f t="shared" si="464"/>
        <v>1.9732824771952819</v>
      </c>
      <c r="AM163" s="314">
        <f t="shared" si="465"/>
        <v>636</v>
      </c>
      <c r="AN163" s="144">
        <f t="shared" si="466"/>
        <v>134.09942054142772</v>
      </c>
      <c r="AP163">
        <f t="shared" si="467"/>
        <v>636</v>
      </c>
      <c r="AQ163">
        <f t="shared" si="468"/>
        <v>134.09942054142772</v>
      </c>
      <c r="AS163" s="5">
        <f t="shared" si="439"/>
        <v>7.4571537741363105</v>
      </c>
      <c r="AT163" s="5">
        <f t="shared" si="469"/>
        <v>2.7409243996705941</v>
      </c>
      <c r="AU163" s="5">
        <f t="shared" si="343"/>
        <v>4.7162293744657164</v>
      </c>
      <c r="AV163" s="5"/>
      <c r="AW163" s="150">
        <f t="shared" si="344"/>
        <v>0.36755637374368733</v>
      </c>
      <c r="AX163" s="150">
        <f t="shared" si="435"/>
        <v>3.3613269617813097</v>
      </c>
      <c r="AY163" s="150">
        <f t="shared" si="436"/>
        <v>0.64633567557670413</v>
      </c>
      <c r="AZ163" s="150">
        <f t="shared" si="440"/>
        <v>5.2005901713256169</v>
      </c>
      <c r="BA163" s="144">
        <f t="shared" si="433"/>
        <v>34.864558363809955</v>
      </c>
      <c r="BB163" s="5">
        <f t="shared" si="434"/>
        <v>0.69832936453783656</v>
      </c>
      <c r="BD163" s="150">
        <f t="shared" si="441"/>
        <v>0.71543083697156529</v>
      </c>
      <c r="BE163" s="150">
        <f t="shared" si="437"/>
        <v>0.93846177197749792</v>
      </c>
      <c r="BG163" s="456">
        <f t="shared" si="347"/>
        <v>1.0236825649796688E-2</v>
      </c>
      <c r="BH163" s="456">
        <f t="shared" si="470"/>
        <v>7.3898445738144872E-2</v>
      </c>
      <c r="BI163" s="456">
        <f t="shared" si="471"/>
        <v>2.9999733912958296E-2</v>
      </c>
      <c r="BJ163" s="456">
        <f t="shared" si="350"/>
        <v>2.7727362203856165E-3</v>
      </c>
      <c r="BK163">
        <f t="shared" si="351"/>
        <v>4.0268273214978363E-3</v>
      </c>
      <c r="BL163" s="144">
        <f t="shared" si="427"/>
        <v>34.026561234456132</v>
      </c>
      <c r="BM163" s="456">
        <f t="shared" si="472"/>
        <v>8.989058869565901E-2</v>
      </c>
      <c r="BN163" s="144">
        <f t="shared" si="353"/>
        <v>89.890588695659005</v>
      </c>
      <c r="BO163" s="456">
        <f t="shared" si="354"/>
        <v>0.44519999999999998</v>
      </c>
      <c r="BR163" s="144">
        <f t="shared" si="355"/>
        <v>445.2</v>
      </c>
      <c r="BS163" s="456">
        <f t="shared" si="356"/>
        <v>1.5355238474695032E-2</v>
      </c>
      <c r="BT163" s="456">
        <f t="shared" si="357"/>
        <v>2.6421314923894358E-2</v>
      </c>
      <c r="BU163" s="456">
        <f t="shared" si="358"/>
        <v>6.2187488346696455E-2</v>
      </c>
      <c r="BV163" s="456"/>
      <c r="BW163" s="456">
        <f t="shared" si="359"/>
        <v>5.6022116029688499E-4</v>
      </c>
      <c r="BX163" s="144">
        <f t="shared" si="360"/>
        <v>104.52426290558273</v>
      </c>
      <c r="BY163" s="150">
        <f t="shared" si="361"/>
        <v>0.67065883174836582</v>
      </c>
      <c r="BZ163" s="5">
        <f t="shared" si="362"/>
        <v>3.18</v>
      </c>
      <c r="CA163" s="150">
        <f t="shared" si="363"/>
        <v>0.82583270524544039</v>
      </c>
      <c r="CB163" s="5">
        <f t="shared" si="364"/>
        <v>82.583270524544034</v>
      </c>
      <c r="CE163" s="59">
        <f t="shared" si="473"/>
        <v>-50</v>
      </c>
      <c r="CF163">
        <f t="shared" si="474"/>
        <v>-50</v>
      </c>
      <c r="CG163" s="150">
        <f t="shared" si="475"/>
        <v>0.61753758844339623</v>
      </c>
      <c r="CI163" s="147">
        <v>53</v>
      </c>
      <c r="CJ163" s="188">
        <f t="shared" si="428"/>
        <v>0.63600000000000001</v>
      </c>
      <c r="CK163" s="188"/>
      <c r="CL163" s="188">
        <f t="shared" si="368"/>
        <v>3.18</v>
      </c>
      <c r="CM163" s="465">
        <f t="shared" si="369"/>
        <v>9</v>
      </c>
      <c r="CN163" s="379">
        <f t="shared" si="370"/>
        <v>5.4</v>
      </c>
      <c r="CO163" s="379">
        <f t="shared" si="371"/>
        <v>14.4</v>
      </c>
      <c r="CP163" s="379"/>
      <c r="CQ163" s="188">
        <f t="shared" si="372"/>
        <v>0.375</v>
      </c>
      <c r="CR163" s="149">
        <f t="shared" si="429"/>
        <v>8.4754687499999992</v>
      </c>
      <c r="CS163" s="149">
        <f t="shared" si="373"/>
        <v>3.18</v>
      </c>
      <c r="CT163" s="188">
        <f t="shared" si="374"/>
        <v>1.6950937499999998</v>
      </c>
      <c r="CU163" s="188">
        <f t="shared" si="375"/>
        <v>5</v>
      </c>
      <c r="CV163" s="188"/>
      <c r="CW163" s="149">
        <f t="shared" si="376"/>
        <v>26.511132126808334</v>
      </c>
      <c r="CX163" s="149">
        <f t="shared" si="377"/>
        <v>5</v>
      </c>
      <c r="CY163" s="188">
        <f t="shared" si="378"/>
        <v>1.8844444444444446</v>
      </c>
      <c r="CZ163" s="188">
        <f t="shared" si="379"/>
        <v>2.5125925925925929</v>
      </c>
      <c r="DA163" s="188">
        <f t="shared" si="380"/>
        <v>4.1876543209876544</v>
      </c>
      <c r="DB163" s="172">
        <f t="shared" si="381"/>
        <v>281.25</v>
      </c>
      <c r="DC163" s="379">
        <f t="shared" si="382"/>
        <v>149.24823113207543</v>
      </c>
      <c r="DE163" s="188">
        <f t="shared" si="383"/>
        <v>1</v>
      </c>
      <c r="DF163" s="150">
        <f t="shared" si="384"/>
        <v>2.2222222222222219</v>
      </c>
      <c r="DG163" s="150">
        <f t="shared" si="385"/>
        <v>0.31249999999999994</v>
      </c>
      <c r="DH163" s="150"/>
      <c r="DI163" s="150">
        <f t="shared" si="386"/>
        <v>2.2222222222222219</v>
      </c>
      <c r="DJ163" s="314">
        <f t="shared" si="387"/>
        <v>572.4</v>
      </c>
      <c r="DK163" s="456">
        <f t="shared" si="388"/>
        <v>0.31249999999999994</v>
      </c>
      <c r="DM163" s="150">
        <f t="shared" si="389"/>
        <v>1.2788387589639953</v>
      </c>
      <c r="DN163" s="150">
        <f t="shared" si="390"/>
        <v>1.8844444444444446</v>
      </c>
      <c r="DO163" s="150">
        <f t="shared" si="391"/>
        <v>1.8551440329218107</v>
      </c>
      <c r="DQ163" s="314">
        <f t="shared" si="392"/>
        <v>636</v>
      </c>
      <c r="DR163" s="144">
        <f t="shared" si="393"/>
        <v>149.24823113207543</v>
      </c>
      <c r="DT163">
        <f t="shared" si="430"/>
        <v>636</v>
      </c>
      <c r="DU163">
        <f t="shared" si="431"/>
        <v>149.24823113207543</v>
      </c>
      <c r="DW163" s="5">
        <f t="shared" si="394"/>
        <v>6.7002469135802487</v>
      </c>
      <c r="DX163" s="5">
        <f t="shared" si="395"/>
        <v>2.5125925925925929</v>
      </c>
      <c r="DY163" s="5">
        <f t="shared" si="396"/>
        <v>4.1876543209876562</v>
      </c>
      <c r="DZ163" s="5"/>
      <c r="EA163" s="150">
        <f t="shared" si="397"/>
        <v>0.37499999999999994</v>
      </c>
      <c r="EB163" s="150">
        <f t="shared" si="398"/>
        <v>3.1799999999999997</v>
      </c>
      <c r="EC163" s="150">
        <f t="shared" si="399"/>
        <v>0.58888888888888891</v>
      </c>
      <c r="ED163" s="150">
        <f t="shared" si="400"/>
        <v>5.3999999999999995</v>
      </c>
      <c r="EE163" s="144">
        <f t="shared" si="401"/>
        <v>31.96017777777778</v>
      </c>
      <c r="EF163" s="5">
        <f t="shared" si="402"/>
        <v>0.61651577503429378</v>
      </c>
      <c r="EH163" s="150">
        <f t="shared" si="403"/>
        <v>0.66625172271799149</v>
      </c>
      <c r="EI163" s="150">
        <f t="shared" si="404"/>
        <v>0.86012727548959433</v>
      </c>
      <c r="EK163" s="456">
        <f t="shared" si="405"/>
        <v>8.8778271604938296E-3</v>
      </c>
      <c r="EL163" s="456">
        <f t="shared" si="406"/>
        <v>8.0999999999999989E-2</v>
      </c>
      <c r="EM163" s="456">
        <f t="shared" si="407"/>
        <v>1.865602889150943E-2</v>
      </c>
      <c r="EN163" s="456">
        <f t="shared" si="408"/>
        <v>3.0948113207547165E-3</v>
      </c>
      <c r="EO163">
        <f t="shared" si="409"/>
        <v>4.0499999999999998E-3</v>
      </c>
      <c r="EP163" s="144">
        <f t="shared" si="410"/>
        <v>22.706028891509433</v>
      </c>
      <c r="EQ163" s="144"/>
      <c r="ER163" s="144">
        <f t="shared" si="432"/>
        <v>115.67866737275796</v>
      </c>
      <c r="ES163" s="456">
        <f t="shared" si="411"/>
        <v>0.44519999999999998</v>
      </c>
      <c r="EV163" s="144">
        <f t="shared" si="412"/>
        <v>445.2</v>
      </c>
      <c r="EW163" s="456">
        <f t="shared" si="413"/>
        <v>1.3316740740740742E-2</v>
      </c>
      <c r="EX163" s="456">
        <f t="shared" si="414"/>
        <v>2.2194567901234575E-2</v>
      </c>
      <c r="EY163" s="456">
        <f t="shared" si="415"/>
        <v>6.6328676578668089E-2</v>
      </c>
      <c r="EZ163" s="456"/>
      <c r="FA163" s="456">
        <f t="shared" si="416"/>
        <v>5.2999999999999998E-4</v>
      </c>
      <c r="FB163" s="144">
        <f t="shared" si="417"/>
        <v>102.36998522064341</v>
      </c>
      <c r="FC163" s="150">
        <f t="shared" si="418"/>
        <v>0.66324865259340127</v>
      </c>
      <c r="FD163" s="5">
        <f t="shared" si="419"/>
        <v>3.18</v>
      </c>
      <c r="FE163" s="150">
        <f t="shared" si="420"/>
        <v>0.82742499574003747</v>
      </c>
      <c r="FF163" s="5">
        <f t="shared" si="421"/>
        <v>82.742499574003745</v>
      </c>
      <c r="FI163" s="59">
        <f t="shared" si="422"/>
        <v>-50</v>
      </c>
      <c r="FJ163">
        <f t="shared" si="423"/>
        <v>-50</v>
      </c>
      <c r="FL163">
        <f t="shared" si="476"/>
        <v>0.625</v>
      </c>
    </row>
    <row r="164" spans="5:168">
      <c r="E164" s="147">
        <v>54</v>
      </c>
      <c r="F164" s="188">
        <f t="shared" si="477"/>
        <v>0.64800000000000002</v>
      </c>
      <c r="G164" s="188"/>
      <c r="H164" s="188">
        <f t="shared" si="442"/>
        <v>3.24</v>
      </c>
      <c r="I164" s="465">
        <f t="shared" si="443"/>
        <v>8.9475452964426871</v>
      </c>
      <c r="J164" s="149">
        <f t="shared" si="444"/>
        <v>5.4314728221343875</v>
      </c>
      <c r="K164" s="149">
        <f t="shared" si="445"/>
        <v>14.379018118577076</v>
      </c>
      <c r="L164" s="379"/>
      <c r="M164" s="188">
        <f t="shared" si="446"/>
        <v>0.37772004087641725</v>
      </c>
      <c r="N164" s="149">
        <f t="shared" si="447"/>
        <v>8.4871891935098702</v>
      </c>
      <c r="O164" s="149">
        <f t="shared" si="438"/>
        <v>3.24</v>
      </c>
      <c r="P164" s="188">
        <f t="shared" si="448"/>
        <v>1.697437838701974</v>
      </c>
      <c r="Q164" s="188">
        <f t="shared" si="449"/>
        <v>5</v>
      </c>
      <c r="R164" s="188"/>
      <c r="S164" s="149">
        <f t="shared" si="450"/>
        <v>25.709383234277414</v>
      </c>
      <c r="T164" s="149">
        <f t="shared" si="451"/>
        <v>5</v>
      </c>
      <c r="U164" s="188">
        <f t="shared" si="452"/>
        <v>2.0826638894578622</v>
      </c>
      <c r="V164" s="188">
        <f t="shared" si="453"/>
        <v>2.793164588217341</v>
      </c>
      <c r="W164" s="188">
        <f t="shared" si="454"/>
        <v>4.6013240776326549</v>
      </c>
      <c r="X164" s="172">
        <f t="shared" si="455"/>
        <v>281.65083260945943</v>
      </c>
      <c r="Y164" s="379">
        <f t="shared" si="328"/>
        <v>131.67443444832335</v>
      </c>
      <c r="AA164" s="188">
        <f t="shared" si="456"/>
        <v>1</v>
      </c>
      <c r="AB164" s="150">
        <f t="shared" si="457"/>
        <v>2.2093454930120409</v>
      </c>
      <c r="AC164" s="150">
        <f t="shared" si="458"/>
        <v>0.31113199881439896</v>
      </c>
      <c r="AD164" s="150"/>
      <c r="AE164" s="150">
        <f t="shared" si="459"/>
        <v>2.2093454930120409</v>
      </c>
      <c r="AF164" s="314">
        <f t="shared" si="460"/>
        <v>586.59906479051381</v>
      </c>
      <c r="AG164" s="456">
        <f t="shared" si="461"/>
        <v>0.31113199881439901</v>
      </c>
      <c r="AI164" s="150">
        <f t="shared" si="462"/>
        <v>1.2946031546280492</v>
      </c>
      <c r="AJ164" s="150">
        <f t="shared" si="463"/>
        <v>2.0826638894578622</v>
      </c>
      <c r="AK164" s="150">
        <f t="shared" si="464"/>
        <v>2.0019732514502682</v>
      </c>
      <c r="AM164" s="314">
        <f t="shared" si="465"/>
        <v>648</v>
      </c>
      <c r="AN164" s="144">
        <f t="shared" si="466"/>
        <v>131.67443444832335</v>
      </c>
      <c r="AP164">
        <f t="shared" si="467"/>
        <v>648</v>
      </c>
      <c r="AQ164">
        <f t="shared" si="468"/>
        <v>131.67443444832335</v>
      </c>
      <c r="AS164" s="5">
        <f t="shared" si="439"/>
        <v>7.5944886658499966</v>
      </c>
      <c r="AT164" s="5">
        <f t="shared" si="469"/>
        <v>2.793164588217341</v>
      </c>
      <c r="AU164" s="5">
        <f t="shared" si="343"/>
        <v>4.8013240776326551</v>
      </c>
      <c r="AV164" s="5"/>
      <c r="AW164" s="150">
        <f t="shared" si="344"/>
        <v>0.36778836747460236</v>
      </c>
      <c r="AX164" s="150">
        <f t="shared" si="435"/>
        <v>3.4268183683960665</v>
      </c>
      <c r="AY164" s="150">
        <f t="shared" si="436"/>
        <v>0.65834216877792473</v>
      </c>
      <c r="AZ164" s="150">
        <f t="shared" si="440"/>
        <v>5.2052238652086373</v>
      </c>
      <c r="BA164" s="144">
        <f t="shared" si="433"/>
        <v>36.199413063296745</v>
      </c>
      <c r="BB164" s="5">
        <f t="shared" si="434"/>
        <v>0.72442075340832035</v>
      </c>
      <c r="BD164" s="150">
        <f t="shared" si="441"/>
        <v>0.72921829214793121</v>
      </c>
      <c r="BE164" s="150">
        <f t="shared" si="437"/>
        <v>0.95607024212699532</v>
      </c>
      <c r="BG164" s="456">
        <f t="shared" si="347"/>
        <v>1.0635186352062911E-2</v>
      </c>
      <c r="BH164" s="456">
        <f t="shared" si="470"/>
        <v>7.3935182930949223E-2</v>
      </c>
      <c r="BI164" s="456">
        <f t="shared" si="471"/>
        <v>2.9454074165246164E-2</v>
      </c>
      <c r="BJ164" s="456">
        <f t="shared" si="350"/>
        <v>2.7224500707214777E-3</v>
      </c>
      <c r="BK164">
        <f t="shared" si="351"/>
        <v>4.0263953833992094E-3</v>
      </c>
      <c r="BL164" s="144">
        <f t="shared" si="427"/>
        <v>33.480469548645374</v>
      </c>
      <c r="BM164" s="456">
        <f t="shared" si="472"/>
        <v>9.039273490353443E-2</v>
      </c>
      <c r="BN164" s="144">
        <f t="shared" si="353"/>
        <v>90.392734903534432</v>
      </c>
      <c r="BO164" s="456">
        <f t="shared" si="354"/>
        <v>0.4536</v>
      </c>
      <c r="BR164" s="144">
        <f t="shared" si="355"/>
        <v>453.6</v>
      </c>
      <c r="BS164" s="456">
        <f t="shared" si="356"/>
        <v>1.5952779528094367E-2</v>
      </c>
      <c r="BT164" s="456">
        <f t="shared" si="357"/>
        <v>2.7422109236423145E-2</v>
      </c>
      <c r="BU164" s="456">
        <f t="shared" si="358"/>
        <v>6.2268961985829818E-2</v>
      </c>
      <c r="BV164" s="456"/>
      <c r="BW164" s="456">
        <f t="shared" si="359"/>
        <v>5.7113639473267783E-4</v>
      </c>
      <c r="BX164" s="144">
        <f t="shared" si="360"/>
        <v>106.21498714508</v>
      </c>
      <c r="BY164" s="150">
        <f t="shared" si="361"/>
        <v>0.68058827604745908</v>
      </c>
      <c r="BZ164" s="5">
        <f t="shared" si="362"/>
        <v>3.24</v>
      </c>
      <c r="CA164" s="150">
        <f t="shared" si="363"/>
        <v>0.8264065930601634</v>
      </c>
      <c r="CB164" s="5">
        <f t="shared" si="364"/>
        <v>82.640659306016346</v>
      </c>
      <c r="CE164" s="59">
        <f t="shared" si="473"/>
        <v>-50</v>
      </c>
      <c r="CF164">
        <f t="shared" si="474"/>
        <v>-50</v>
      </c>
      <c r="CG164" s="150">
        <f t="shared" si="475"/>
        <v>0.61767578124999989</v>
      </c>
      <c r="CI164" s="147">
        <v>54</v>
      </c>
      <c r="CJ164" s="188">
        <f t="shared" si="428"/>
        <v>0.64800000000000002</v>
      </c>
      <c r="CK164" s="188"/>
      <c r="CL164" s="188">
        <f t="shared" si="368"/>
        <v>3.24</v>
      </c>
      <c r="CM164" s="465">
        <f t="shared" si="369"/>
        <v>9</v>
      </c>
      <c r="CN164" s="379">
        <f t="shared" si="370"/>
        <v>5.4</v>
      </c>
      <c r="CO164" s="379">
        <f t="shared" si="371"/>
        <v>14.4</v>
      </c>
      <c r="CP164" s="379"/>
      <c r="CQ164" s="188">
        <f t="shared" si="372"/>
        <v>0.375</v>
      </c>
      <c r="CR164" s="149">
        <f t="shared" si="429"/>
        <v>8.4754687499999992</v>
      </c>
      <c r="CS164" s="149">
        <f t="shared" si="373"/>
        <v>3.24</v>
      </c>
      <c r="CT164" s="188">
        <f t="shared" si="374"/>
        <v>1.6950937499999998</v>
      </c>
      <c r="CU164" s="188">
        <f t="shared" si="375"/>
        <v>5</v>
      </c>
      <c r="CV164" s="188"/>
      <c r="CW164" s="149">
        <f t="shared" si="376"/>
        <v>25.859316423076454</v>
      </c>
      <c r="CX164" s="149">
        <f t="shared" si="377"/>
        <v>5</v>
      </c>
      <c r="CY164" s="188">
        <f t="shared" si="378"/>
        <v>1.9200000000000002</v>
      </c>
      <c r="CZ164" s="188">
        <f t="shared" si="379"/>
        <v>2.5600000000000005</v>
      </c>
      <c r="DA164" s="188">
        <f t="shared" si="380"/>
        <v>4.2666666666666666</v>
      </c>
      <c r="DB164" s="172">
        <f t="shared" si="381"/>
        <v>281.25</v>
      </c>
      <c r="DC164" s="379">
        <f t="shared" si="382"/>
        <v>146.484375</v>
      </c>
      <c r="DE164" s="188">
        <f t="shared" si="383"/>
        <v>1</v>
      </c>
      <c r="DF164" s="150">
        <f t="shared" si="384"/>
        <v>2.2222222222222219</v>
      </c>
      <c r="DG164" s="150">
        <f t="shared" si="385"/>
        <v>0.31249999999999994</v>
      </c>
      <c r="DH164" s="150"/>
      <c r="DI164" s="150">
        <f t="shared" si="386"/>
        <v>2.2222222222222219</v>
      </c>
      <c r="DJ164" s="314">
        <f t="shared" si="387"/>
        <v>583.20000000000005</v>
      </c>
      <c r="DK164" s="456">
        <f t="shared" si="388"/>
        <v>0.31249999999999994</v>
      </c>
      <c r="DM164" s="150">
        <f t="shared" si="389"/>
        <v>1.2908468980811452</v>
      </c>
      <c r="DN164" s="150">
        <f t="shared" si="390"/>
        <v>1.9200000000000002</v>
      </c>
      <c r="DO164" s="150">
        <f t="shared" si="391"/>
        <v>1.8814814814814815</v>
      </c>
      <c r="DQ164" s="314">
        <f t="shared" si="392"/>
        <v>648</v>
      </c>
      <c r="DR164" s="144">
        <f t="shared" si="393"/>
        <v>146.484375</v>
      </c>
      <c r="DT164">
        <f t="shared" si="430"/>
        <v>648</v>
      </c>
      <c r="DU164">
        <f t="shared" si="431"/>
        <v>146.484375</v>
      </c>
      <c r="DW164" s="5">
        <f t="shared" si="394"/>
        <v>6.8266666666666662</v>
      </c>
      <c r="DX164" s="5">
        <f t="shared" si="395"/>
        <v>2.5600000000000005</v>
      </c>
      <c r="DY164" s="5">
        <f t="shared" si="396"/>
        <v>4.2666666666666657</v>
      </c>
      <c r="DZ164" s="5"/>
      <c r="EA164" s="150">
        <f t="shared" si="397"/>
        <v>0.37500000000000011</v>
      </c>
      <c r="EB164" s="150">
        <f t="shared" si="398"/>
        <v>3.2400000000000007</v>
      </c>
      <c r="EC164" s="150">
        <f t="shared" si="399"/>
        <v>0.6</v>
      </c>
      <c r="ED164" s="150">
        <f t="shared" si="400"/>
        <v>5.4000000000000012</v>
      </c>
      <c r="EE164" s="144">
        <f t="shared" si="401"/>
        <v>33.177600000000005</v>
      </c>
      <c r="EF164" s="5">
        <f t="shared" si="402"/>
        <v>0.63999999999999979</v>
      </c>
      <c r="EH164" s="150">
        <f t="shared" si="403"/>
        <v>0.67882250993908577</v>
      </c>
      <c r="EI164" s="150">
        <f t="shared" si="404"/>
        <v>0.87635609200826581</v>
      </c>
      <c r="EK164" s="456">
        <f t="shared" si="405"/>
        <v>9.2160000000000037E-3</v>
      </c>
      <c r="EL164" s="456">
        <f t="shared" si="406"/>
        <v>8.1000000000000016E-2</v>
      </c>
      <c r="EM164" s="456">
        <f t="shared" si="407"/>
        <v>1.8310546875E-2</v>
      </c>
      <c r="EN164" s="456">
        <f t="shared" si="408"/>
        <v>3.0375000000000003E-3</v>
      </c>
      <c r="EO164">
        <f t="shared" si="409"/>
        <v>4.0499999999999998E-3</v>
      </c>
      <c r="EP164" s="144">
        <f t="shared" si="410"/>
        <v>22.360546874999997</v>
      </c>
      <c r="EQ164" s="144"/>
      <c r="ER164" s="144">
        <f t="shared" si="432"/>
        <v>115.61404687500001</v>
      </c>
      <c r="ES164" s="456">
        <f t="shared" si="411"/>
        <v>0.4536</v>
      </c>
      <c r="EV164" s="144">
        <f t="shared" si="412"/>
        <v>453.6</v>
      </c>
      <c r="EW164" s="456">
        <f t="shared" si="413"/>
        <v>1.3824000000000006E-2</v>
      </c>
      <c r="EX164" s="456">
        <f t="shared" si="414"/>
        <v>2.3039999999999998E-2</v>
      </c>
      <c r="EY164" s="456">
        <f t="shared" si="415"/>
        <v>6.6328676578668158E-2</v>
      </c>
      <c r="EZ164" s="456"/>
      <c r="FA164" s="456">
        <f t="shared" si="416"/>
        <v>5.4000000000000012E-4</v>
      </c>
      <c r="FB164" s="144">
        <f t="shared" si="417"/>
        <v>103.73267657866816</v>
      </c>
      <c r="FC164" s="150">
        <f t="shared" si="418"/>
        <v>0.67294672345366813</v>
      </c>
      <c r="FD164" s="5">
        <f t="shared" si="419"/>
        <v>3.24</v>
      </c>
      <c r="FE164" s="150">
        <f t="shared" si="420"/>
        <v>0.82802047382344424</v>
      </c>
      <c r="FF164" s="5">
        <f t="shared" si="421"/>
        <v>82.802047382344426</v>
      </c>
      <c r="FI164" s="59">
        <f t="shared" si="422"/>
        <v>-50</v>
      </c>
      <c r="FJ164">
        <f t="shared" si="423"/>
        <v>-50</v>
      </c>
      <c r="FL164">
        <f t="shared" si="476"/>
        <v>0.62499999999999989</v>
      </c>
    </row>
    <row r="165" spans="5:168">
      <c r="E165" s="147">
        <v>55</v>
      </c>
      <c r="F165" s="188">
        <f t="shared" si="477"/>
        <v>0.66</v>
      </c>
      <c r="G165" s="188"/>
      <c r="H165" s="188">
        <f t="shared" si="442"/>
        <v>3.3000000000000003</v>
      </c>
      <c r="I165" s="465">
        <f t="shared" si="443"/>
        <v>8.9465854289409403</v>
      </c>
      <c r="J165" s="149">
        <f t="shared" si="444"/>
        <v>5.4320487426354367</v>
      </c>
      <c r="K165" s="149">
        <f t="shared" si="445"/>
        <v>14.378634171576376</v>
      </c>
      <c r="L165" s="379"/>
      <c r="M165" s="188">
        <f t="shared" si="446"/>
        <v>0.37777018562106773</v>
      </c>
      <c r="N165" s="149">
        <f t="shared" si="447"/>
        <v>8.4874053193437629</v>
      </c>
      <c r="O165" s="149">
        <f t="shared" si="438"/>
        <v>3.3000000000000003</v>
      </c>
      <c r="P165" s="188">
        <f t="shared" si="448"/>
        <v>1.6974810638687525</v>
      </c>
      <c r="Q165" s="188">
        <f t="shared" si="449"/>
        <v>5</v>
      </c>
      <c r="R165" s="188"/>
      <c r="S165" s="149">
        <f t="shared" si="450"/>
        <v>25.082431092945455</v>
      </c>
      <c r="T165" s="149">
        <f t="shared" si="451"/>
        <v>5</v>
      </c>
      <c r="U165" s="188">
        <f t="shared" si="452"/>
        <v>2.121402686750931</v>
      </c>
      <c r="V165" s="188">
        <f t="shared" si="453"/>
        <v>2.8454243737126701</v>
      </c>
      <c r="W165" s="188">
        <f t="shared" si="454"/>
        <v>4.6864145458054969</v>
      </c>
      <c r="X165" s="172">
        <f t="shared" si="455"/>
        <v>281.65800004743642</v>
      </c>
      <c r="Y165" s="379">
        <f t="shared" si="328"/>
        <v>129.3353379977448</v>
      </c>
      <c r="AA165" s="188">
        <f t="shared" si="456"/>
        <v>1</v>
      </c>
      <c r="AB165" s="150">
        <f t="shared" si="457"/>
        <v>2.2091112522267293</v>
      </c>
      <c r="AC165" s="150">
        <f t="shared" si="458"/>
        <v>0.31110692859223421</v>
      </c>
      <c r="AD165" s="150"/>
      <c r="AE165" s="150">
        <f t="shared" si="459"/>
        <v>2.2091112522267293</v>
      </c>
      <c r="AF165" s="314">
        <f t="shared" si="460"/>
        <v>597.52536168989809</v>
      </c>
      <c r="AG165" s="456">
        <f t="shared" si="461"/>
        <v>0.31110692859223427</v>
      </c>
      <c r="AI165" s="150">
        <f t="shared" si="462"/>
        <v>1.3066044998828048</v>
      </c>
      <c r="AJ165" s="150">
        <f t="shared" si="463"/>
        <v>2.121402686750931</v>
      </c>
      <c r="AK165" s="150">
        <f t="shared" si="464"/>
        <v>2.0306686568525416</v>
      </c>
      <c r="AM165" s="314">
        <f t="shared" si="465"/>
        <v>660</v>
      </c>
      <c r="AN165" s="144">
        <f t="shared" si="466"/>
        <v>129.3353379977448</v>
      </c>
      <c r="AP165">
        <f t="shared" si="467"/>
        <v>660</v>
      </c>
      <c r="AQ165">
        <f t="shared" si="468"/>
        <v>129.3353379977448</v>
      </c>
      <c r="AS165" s="5">
        <f t="shared" si="439"/>
        <v>7.7318389195181663</v>
      </c>
      <c r="AT165" s="5">
        <f t="shared" si="469"/>
        <v>2.8454243737126701</v>
      </c>
      <c r="AU165" s="5">
        <f t="shared" si="343"/>
        <v>4.8864145458054962</v>
      </c>
      <c r="AV165" s="5"/>
      <c r="AW165" s="150">
        <f t="shared" si="344"/>
        <v>0.3680139231211495</v>
      </c>
      <c r="AX165" s="150">
        <f t="shared" si="435"/>
        <v>3.4923252329999568</v>
      </c>
      <c r="AY165" s="150">
        <f t="shared" si="436"/>
        <v>0.67034848073998698</v>
      </c>
      <c r="AZ165" s="150">
        <f t="shared" si="440"/>
        <v>5.2097160407447101</v>
      </c>
      <c r="BA165" s="144">
        <f t="shared" si="433"/>
        <v>37.559601733007248</v>
      </c>
      <c r="BB165" s="5">
        <f t="shared" si="434"/>
        <v>0.75099266126137054</v>
      </c>
      <c r="BD165" s="150">
        <f t="shared" si="441"/>
        <v>0.74300991988704124</v>
      </c>
      <c r="BE165" s="150">
        <f t="shared" si="437"/>
        <v>0.97367998442377135</v>
      </c>
      <c r="BG165" s="456">
        <f t="shared" si="347"/>
        <v>1.1041274821010949E-2</v>
      </c>
      <c r="BH165" s="456">
        <f t="shared" si="470"/>
        <v>7.3970613946678074E-2</v>
      </c>
      <c r="BI165" s="456">
        <f t="shared" si="471"/>
        <v>2.8927741259444379E-2</v>
      </c>
      <c r="BJ165" s="456">
        <f t="shared" si="350"/>
        <v>2.6739450057362011E-3</v>
      </c>
      <c r="BK165">
        <f t="shared" si="351"/>
        <v>4.0259634430234231E-3</v>
      </c>
      <c r="BL165" s="144">
        <f t="shared" si="427"/>
        <v>32.953704702467796</v>
      </c>
      <c r="BM165" s="456">
        <f t="shared" si="472"/>
        <v>9.0905459985842929E-2</v>
      </c>
      <c r="BN165" s="144">
        <f t="shared" si="353"/>
        <v>90.905459985842924</v>
      </c>
      <c r="BO165" s="456">
        <f t="shared" si="354"/>
        <v>0.46199999999999997</v>
      </c>
      <c r="BR165" s="144">
        <f t="shared" si="355"/>
        <v>461.99999999999994</v>
      </c>
      <c r="BS165" s="456">
        <f t="shared" si="356"/>
        <v>1.6561912231516422E-2</v>
      </c>
      <c r="BT165" s="456">
        <f t="shared" si="357"/>
        <v>2.8441581362024269E-2</v>
      </c>
      <c r="BU165" s="456">
        <f t="shared" si="358"/>
        <v>6.2347751627859424E-2</v>
      </c>
      <c r="BV165" s="456"/>
      <c r="BW165" s="456">
        <f t="shared" si="359"/>
        <v>5.8205420549999282E-4</v>
      </c>
      <c r="BX165" s="144">
        <f t="shared" si="360"/>
        <v>107.93329942690011</v>
      </c>
      <c r="BY165" s="150">
        <f t="shared" si="361"/>
        <v>0.690572837902793</v>
      </c>
      <c r="BZ165" s="5">
        <f t="shared" si="362"/>
        <v>3.3000000000000003</v>
      </c>
      <c r="CA165" s="150">
        <f t="shared" si="363"/>
        <v>0.82694894543869124</v>
      </c>
      <c r="CB165" s="5">
        <f t="shared" si="364"/>
        <v>82.694894543869125</v>
      </c>
      <c r="CE165" s="59">
        <f t="shared" si="473"/>
        <v>-50</v>
      </c>
      <c r="CF165">
        <f t="shared" si="474"/>
        <v>-50</v>
      </c>
      <c r="CG165" s="150">
        <f t="shared" si="475"/>
        <v>0.61780894886363635</v>
      </c>
      <c r="CI165" s="147">
        <v>55</v>
      </c>
      <c r="CJ165" s="188">
        <f t="shared" si="428"/>
        <v>0.66</v>
      </c>
      <c r="CK165" s="188"/>
      <c r="CL165" s="188">
        <f t="shared" si="368"/>
        <v>3.3000000000000003</v>
      </c>
      <c r="CM165" s="465">
        <f t="shared" si="369"/>
        <v>9</v>
      </c>
      <c r="CN165" s="379">
        <f t="shared" si="370"/>
        <v>5.4</v>
      </c>
      <c r="CO165" s="379">
        <f t="shared" si="371"/>
        <v>14.4</v>
      </c>
      <c r="CP165" s="379"/>
      <c r="CQ165" s="188">
        <f t="shared" si="372"/>
        <v>0.375</v>
      </c>
      <c r="CR165" s="149">
        <f t="shared" si="429"/>
        <v>8.4754687499999992</v>
      </c>
      <c r="CS165" s="149">
        <f t="shared" si="373"/>
        <v>3.3000000000000003</v>
      </c>
      <c r="CT165" s="188">
        <f t="shared" si="374"/>
        <v>1.6950937499999998</v>
      </c>
      <c r="CU165" s="188">
        <f t="shared" si="375"/>
        <v>5</v>
      </c>
      <c r="CV165" s="188"/>
      <c r="CW165" s="149">
        <f t="shared" si="376"/>
        <v>25.231362024955082</v>
      </c>
      <c r="CX165" s="149">
        <f t="shared" si="377"/>
        <v>5</v>
      </c>
      <c r="CY165" s="188">
        <f t="shared" si="378"/>
        <v>1.9555555555555557</v>
      </c>
      <c r="CZ165" s="188">
        <f t="shared" si="379"/>
        <v>2.6074074074074076</v>
      </c>
      <c r="DA165" s="188">
        <f t="shared" si="380"/>
        <v>4.3456790123456797</v>
      </c>
      <c r="DB165" s="172">
        <f t="shared" si="381"/>
        <v>281.25</v>
      </c>
      <c r="DC165" s="379">
        <f t="shared" si="382"/>
        <v>143.82102272727272</v>
      </c>
      <c r="DE165" s="188">
        <f t="shared" si="383"/>
        <v>1</v>
      </c>
      <c r="DF165" s="150">
        <f t="shared" si="384"/>
        <v>2.2222222222222219</v>
      </c>
      <c r="DG165" s="150">
        <f t="shared" si="385"/>
        <v>0.31249999999999994</v>
      </c>
      <c r="DH165" s="150"/>
      <c r="DI165" s="150">
        <f t="shared" si="386"/>
        <v>2.2222222222222219</v>
      </c>
      <c r="DJ165" s="314">
        <f t="shared" si="387"/>
        <v>594.00000000000011</v>
      </c>
      <c r="DK165" s="456">
        <f t="shared" si="388"/>
        <v>0.31249999999999994</v>
      </c>
      <c r="DM165" s="150">
        <f t="shared" si="389"/>
        <v>1.3027443560203427</v>
      </c>
      <c r="DN165" s="150">
        <f t="shared" si="390"/>
        <v>1.9555555555555557</v>
      </c>
      <c r="DO165" s="150">
        <f t="shared" si="391"/>
        <v>1.9078189300411523</v>
      </c>
      <c r="DQ165" s="314">
        <f t="shared" si="392"/>
        <v>660</v>
      </c>
      <c r="DR165" s="144">
        <f t="shared" si="393"/>
        <v>143.82102272727272</v>
      </c>
      <c r="DT165">
        <f t="shared" si="430"/>
        <v>660</v>
      </c>
      <c r="DU165">
        <f t="shared" si="431"/>
        <v>143.82102272727272</v>
      </c>
      <c r="DW165" s="5">
        <f t="shared" si="394"/>
        <v>6.9530864197530873</v>
      </c>
      <c r="DX165" s="5">
        <f t="shared" si="395"/>
        <v>2.6074074074074076</v>
      </c>
      <c r="DY165" s="5">
        <f t="shared" si="396"/>
        <v>4.3456790123456797</v>
      </c>
      <c r="DZ165" s="5"/>
      <c r="EA165" s="150">
        <f t="shared" si="397"/>
        <v>0.375</v>
      </c>
      <c r="EB165" s="150">
        <f t="shared" si="398"/>
        <v>3.3000000000000007</v>
      </c>
      <c r="EC165" s="150">
        <f t="shared" si="399"/>
        <v>0.61111111111111116</v>
      </c>
      <c r="ED165" s="150">
        <f t="shared" si="400"/>
        <v>5.4</v>
      </c>
      <c r="EE165" s="144">
        <f t="shared" si="401"/>
        <v>34.417777777777786</v>
      </c>
      <c r="EF165" s="5">
        <f t="shared" si="402"/>
        <v>0.66392318244170101</v>
      </c>
      <c r="EH165" s="150">
        <f t="shared" si="403"/>
        <v>0.69139329716017994</v>
      </c>
      <c r="EI165" s="150">
        <f t="shared" si="404"/>
        <v>0.8925849085269375</v>
      </c>
      <c r="EK165" s="456">
        <f t="shared" si="405"/>
        <v>9.5604938271604979E-3</v>
      </c>
      <c r="EL165" s="456">
        <f t="shared" si="406"/>
        <v>8.1000000000000016E-2</v>
      </c>
      <c r="EM165" s="456">
        <f t="shared" si="407"/>
        <v>1.7977627840909088E-2</v>
      </c>
      <c r="EN165" s="456">
        <f t="shared" si="408"/>
        <v>2.9822727272727275E-3</v>
      </c>
      <c r="EO165">
        <f t="shared" si="409"/>
        <v>4.0499999999999998E-3</v>
      </c>
      <c r="EP165" s="144">
        <f t="shared" si="410"/>
        <v>22.027627840909087</v>
      </c>
      <c r="EQ165" s="144"/>
      <c r="ER165" s="144">
        <f t="shared" si="432"/>
        <v>115.57039439534232</v>
      </c>
      <c r="ES165" s="456">
        <f t="shared" si="411"/>
        <v>0.46199999999999997</v>
      </c>
      <c r="EV165" s="144">
        <f t="shared" si="412"/>
        <v>461.99999999999994</v>
      </c>
      <c r="EW165" s="456">
        <f t="shared" si="413"/>
        <v>1.4340740740740746E-2</v>
      </c>
      <c r="EX165" s="456">
        <f t="shared" si="414"/>
        <v>2.390123456790124E-2</v>
      </c>
      <c r="EY165" s="456">
        <f t="shared" si="415"/>
        <v>6.6328676578668158E-2</v>
      </c>
      <c r="EZ165" s="456"/>
      <c r="FA165" s="456">
        <f t="shared" si="416"/>
        <v>5.5000000000000003E-4</v>
      </c>
      <c r="FB165" s="144">
        <f t="shared" si="417"/>
        <v>105.12065188731013</v>
      </c>
      <c r="FC165" s="150">
        <f t="shared" si="418"/>
        <v>0.68269104628265254</v>
      </c>
      <c r="FD165" s="5">
        <f t="shared" si="419"/>
        <v>3.3000000000000003</v>
      </c>
      <c r="FE165" s="150">
        <f t="shared" si="420"/>
        <v>0.82858548696116918</v>
      </c>
      <c r="FF165" s="5">
        <f t="shared" si="421"/>
        <v>82.858548696116912</v>
      </c>
      <c r="FI165" s="59">
        <f t="shared" si="422"/>
        <v>-50</v>
      </c>
      <c r="FJ165">
        <f t="shared" si="423"/>
        <v>-50</v>
      </c>
      <c r="FL165">
        <f t="shared" si="476"/>
        <v>0.625</v>
      </c>
    </row>
    <row r="166" spans="5:168">
      <c r="E166" s="147">
        <v>56</v>
      </c>
      <c r="F166" s="188">
        <f t="shared" si="477"/>
        <v>0.67200000000000004</v>
      </c>
      <c r="G166" s="188"/>
      <c r="H166" s="188">
        <f t="shared" si="442"/>
        <v>3.3600000000000003</v>
      </c>
      <c r="I166" s="465">
        <f t="shared" si="443"/>
        <v>8.9456255566530274</v>
      </c>
      <c r="J166" s="149">
        <f t="shared" si="444"/>
        <v>5.4326246660081843</v>
      </c>
      <c r="K166" s="149">
        <f t="shared" si="445"/>
        <v>14.378250222661212</v>
      </c>
      <c r="L166" s="379"/>
      <c r="M166" s="188">
        <f t="shared" si="446"/>
        <v>0.37782033316906488</v>
      </c>
      <c r="N166" s="149">
        <f t="shared" si="447"/>
        <v>8.48762126186835</v>
      </c>
      <c r="O166" s="149">
        <f t="shared" si="438"/>
        <v>3.3600000000000003</v>
      </c>
      <c r="P166" s="188">
        <f t="shared" si="448"/>
        <v>1.69752425237367</v>
      </c>
      <c r="Q166" s="188">
        <f t="shared" si="449"/>
        <v>5</v>
      </c>
      <c r="R166" s="188"/>
      <c r="S166" s="149">
        <f t="shared" si="450"/>
        <v>24.478062969506915</v>
      </c>
      <c r="T166" s="149">
        <f t="shared" si="451"/>
        <v>5</v>
      </c>
      <c r="U166" s="188">
        <f t="shared" si="452"/>
        <v>2.1601477381053749</v>
      </c>
      <c r="V166" s="188">
        <f t="shared" si="453"/>
        <v>2.8977037651644157</v>
      </c>
      <c r="W166" s="188">
        <f t="shared" si="454"/>
        <v>4.7715007847783912</v>
      </c>
      <c r="X166" s="172">
        <f t="shared" si="455"/>
        <v>281.66516149598385</v>
      </c>
      <c r="Y166" s="379">
        <f t="shared" si="328"/>
        <v>127.07764725816767</v>
      </c>
      <c r="AA166" s="188">
        <f t="shared" si="456"/>
        <v>1</v>
      </c>
      <c r="AB166" s="150">
        <f t="shared" si="457"/>
        <v>2.2088770599382177</v>
      </c>
      <c r="AC166" s="150">
        <f t="shared" si="458"/>
        <v>0.31108185690613605</v>
      </c>
      <c r="AD166" s="150"/>
      <c r="AE166" s="150">
        <f t="shared" si="459"/>
        <v>2.2088770599382177</v>
      </c>
      <c r="AF166" s="314">
        <f t="shared" si="460"/>
        <v>608.4539625929167</v>
      </c>
      <c r="AG166" s="456">
        <f t="shared" si="461"/>
        <v>0.31108185690613605</v>
      </c>
      <c r="AI166" s="150">
        <f t="shared" si="462"/>
        <v>1.3184991062274631</v>
      </c>
      <c r="AJ166" s="150">
        <f t="shared" si="463"/>
        <v>2.1601477381053749</v>
      </c>
      <c r="AK166" s="150">
        <f t="shared" si="464"/>
        <v>2.0593686948928704</v>
      </c>
      <c r="AM166" s="314">
        <f t="shared" si="465"/>
        <v>672</v>
      </c>
      <c r="AN166" s="144">
        <f t="shared" si="466"/>
        <v>127.07764725816767</v>
      </c>
      <c r="AP166">
        <f t="shared" si="467"/>
        <v>672</v>
      </c>
      <c r="AQ166">
        <f t="shared" si="468"/>
        <v>127.07764725816767</v>
      </c>
      <c r="AS166" s="5">
        <f t="shared" si="439"/>
        <v>7.8692045499428058</v>
      </c>
      <c r="AT166" s="5">
        <f t="shared" si="469"/>
        <v>2.8977037651644157</v>
      </c>
      <c r="AU166" s="5">
        <f t="shared" si="343"/>
        <v>4.9715007847783905</v>
      </c>
      <c r="AV166" s="5"/>
      <c r="AW166" s="150">
        <f t="shared" si="344"/>
        <v>0.368233376928228</v>
      </c>
      <c r="AX166" s="150">
        <f t="shared" si="435"/>
        <v>3.5578474704732499</v>
      </c>
      <c r="AY166" s="150">
        <f t="shared" si="436"/>
        <v>0.68235462091947963</v>
      </c>
      <c r="AZ166" s="150">
        <f t="shared" si="440"/>
        <v>5.2140739747303462</v>
      </c>
      <c r="BA166" s="144">
        <f t="shared" si="433"/>
        <v>38.945138603809752</v>
      </c>
      <c r="BB166" s="5">
        <f t="shared" si="434"/>
        <v>0.77804520819825629</v>
      </c>
      <c r="BD166" s="150">
        <f t="shared" si="441"/>
        <v>0.75680571450270262</v>
      </c>
      <c r="BE166" s="150">
        <f t="shared" si="437"/>
        <v>0.99129100704248785</v>
      </c>
      <c r="BG166" s="456">
        <f t="shared" si="347"/>
        <v>1.1455097790078925E-2</v>
      </c>
      <c r="BH166" s="456">
        <f t="shared" si="470"/>
        <v>7.40048068850407E-2</v>
      </c>
      <c r="BI166" s="456">
        <f t="shared" si="471"/>
        <v>2.8419726224800077E-2</v>
      </c>
      <c r="BJ166" s="456">
        <f t="shared" si="350"/>
        <v>2.627128042655337E-3</v>
      </c>
      <c r="BK166">
        <f t="shared" si="351"/>
        <v>4.0255315004938622E-3</v>
      </c>
      <c r="BL166" s="144">
        <f t="shared" si="427"/>
        <v>32.445257725293942</v>
      </c>
      <c r="BM166" s="456">
        <f t="shared" si="472"/>
        <v>9.1428753615581851E-2</v>
      </c>
      <c r="BN166" s="144">
        <f t="shared" si="353"/>
        <v>91.428753615581854</v>
      </c>
      <c r="BO166" s="456">
        <f t="shared" si="354"/>
        <v>0.47039999999999998</v>
      </c>
      <c r="BR166" s="144">
        <f t="shared" si="355"/>
        <v>470.4</v>
      </c>
      <c r="BS166" s="456">
        <f t="shared" si="356"/>
        <v>1.7182646685118388E-2</v>
      </c>
      <c r="BT166" s="456">
        <f t="shared" si="357"/>
        <v>2.9479735819299292E-2</v>
      </c>
      <c r="BU166" s="456">
        <f t="shared" si="358"/>
        <v>6.2423994421452668E-2</v>
      </c>
      <c r="BV166" s="456"/>
      <c r="BW166" s="456">
        <f t="shared" si="359"/>
        <v>5.9297457841220834E-4</v>
      </c>
      <c r="BX166" s="144">
        <f t="shared" si="360"/>
        <v>109.67935150428254</v>
      </c>
      <c r="BY166" s="150">
        <f t="shared" si="361"/>
        <v>0.70061164194735148</v>
      </c>
      <c r="BZ166" s="5">
        <f t="shared" si="362"/>
        <v>3.3600000000000003</v>
      </c>
      <c r="CA166" s="150">
        <f t="shared" si="363"/>
        <v>0.82746154921346815</v>
      </c>
      <c r="CB166" s="5">
        <f t="shared" si="364"/>
        <v>82.746154921346815</v>
      </c>
      <c r="CE166" s="59">
        <f t="shared" si="473"/>
        <v>-50</v>
      </c>
      <c r="CF166">
        <f t="shared" si="474"/>
        <v>-50</v>
      </c>
      <c r="CG166" s="150">
        <f t="shared" si="475"/>
        <v>0.6179373604910714</v>
      </c>
      <c r="CI166" s="147">
        <v>56</v>
      </c>
      <c r="CJ166" s="188">
        <f t="shared" si="428"/>
        <v>0.67200000000000004</v>
      </c>
      <c r="CK166" s="188"/>
      <c r="CL166" s="188">
        <f t="shared" si="368"/>
        <v>3.3600000000000003</v>
      </c>
      <c r="CM166" s="465">
        <f t="shared" si="369"/>
        <v>9</v>
      </c>
      <c r="CN166" s="379">
        <f t="shared" si="370"/>
        <v>5.4</v>
      </c>
      <c r="CO166" s="379">
        <f t="shared" si="371"/>
        <v>14.4</v>
      </c>
      <c r="CP166" s="379"/>
      <c r="CQ166" s="188">
        <f t="shared" si="372"/>
        <v>0.375</v>
      </c>
      <c r="CR166" s="149">
        <f t="shared" si="429"/>
        <v>8.4754687499999992</v>
      </c>
      <c r="CS166" s="149">
        <f t="shared" si="373"/>
        <v>3.3600000000000003</v>
      </c>
      <c r="CT166" s="188">
        <f t="shared" si="374"/>
        <v>1.6950937499999998</v>
      </c>
      <c r="CU166" s="188">
        <f t="shared" si="375"/>
        <v>5</v>
      </c>
      <c r="CV166" s="188"/>
      <c r="CW166" s="149">
        <f t="shared" si="376"/>
        <v>24.625993291293355</v>
      </c>
      <c r="CX166" s="149">
        <f t="shared" si="377"/>
        <v>5</v>
      </c>
      <c r="CY166" s="188">
        <f t="shared" si="378"/>
        <v>1.9911111111111113</v>
      </c>
      <c r="CZ166" s="188">
        <f t="shared" si="379"/>
        <v>2.6548148148148152</v>
      </c>
      <c r="DA166" s="188">
        <f t="shared" si="380"/>
        <v>4.4246913580246918</v>
      </c>
      <c r="DB166" s="172">
        <f t="shared" si="381"/>
        <v>281.25</v>
      </c>
      <c r="DC166" s="379">
        <f t="shared" si="382"/>
        <v>141.25279017857142</v>
      </c>
      <c r="DE166" s="188">
        <f t="shared" si="383"/>
        <v>1</v>
      </c>
      <c r="DF166" s="150">
        <f t="shared" si="384"/>
        <v>2.2222222222222219</v>
      </c>
      <c r="DG166" s="150">
        <f t="shared" si="385"/>
        <v>0.31249999999999994</v>
      </c>
      <c r="DH166" s="150"/>
      <c r="DI166" s="150">
        <f t="shared" si="386"/>
        <v>2.2222222222222219</v>
      </c>
      <c r="DJ166" s="314">
        <f t="shared" si="387"/>
        <v>604.80000000000007</v>
      </c>
      <c r="DK166" s="456">
        <f t="shared" si="388"/>
        <v>0.31249999999999994</v>
      </c>
      <c r="DM166" s="150">
        <f t="shared" si="389"/>
        <v>1.3145341380123989</v>
      </c>
      <c r="DN166" s="150">
        <f t="shared" si="390"/>
        <v>1.9911111111111113</v>
      </c>
      <c r="DO166" s="150">
        <f t="shared" si="391"/>
        <v>1.9341563786008231</v>
      </c>
      <c r="DQ166" s="314">
        <f t="shared" si="392"/>
        <v>672</v>
      </c>
      <c r="DR166" s="144">
        <f t="shared" si="393"/>
        <v>141.25279017857142</v>
      </c>
      <c r="DT166">
        <f t="shared" si="430"/>
        <v>672</v>
      </c>
      <c r="DU166">
        <f t="shared" si="431"/>
        <v>141.25279017857142</v>
      </c>
      <c r="DW166" s="5">
        <f t="shared" si="394"/>
        <v>7.0795061728395066</v>
      </c>
      <c r="DX166" s="5">
        <f t="shared" si="395"/>
        <v>2.6548148148148152</v>
      </c>
      <c r="DY166" s="5">
        <f t="shared" si="396"/>
        <v>4.4246913580246918</v>
      </c>
      <c r="DZ166" s="5"/>
      <c r="EA166" s="150">
        <f t="shared" si="397"/>
        <v>0.37500000000000006</v>
      </c>
      <c r="EB166" s="150">
        <f t="shared" si="398"/>
        <v>3.3600000000000003</v>
      </c>
      <c r="EC166" s="150">
        <f t="shared" si="399"/>
        <v>0.62222222222222223</v>
      </c>
      <c r="ED166" s="150">
        <f t="shared" si="400"/>
        <v>5.4</v>
      </c>
      <c r="EE166" s="144">
        <f t="shared" si="401"/>
        <v>35.680711111111115</v>
      </c>
      <c r="EF166" s="5">
        <f t="shared" si="402"/>
        <v>0.68828532235939643</v>
      </c>
      <c r="EH166" s="150">
        <f t="shared" si="403"/>
        <v>0.70396408438127411</v>
      </c>
      <c r="EI166" s="150">
        <f t="shared" si="404"/>
        <v>0.90881372504560909</v>
      </c>
      <c r="EK166" s="456">
        <f t="shared" si="405"/>
        <v>9.9113086419753121E-3</v>
      </c>
      <c r="EL166" s="456">
        <f t="shared" si="406"/>
        <v>8.1000000000000016E-2</v>
      </c>
      <c r="EM166" s="456">
        <f t="shared" si="407"/>
        <v>1.7656598772321428E-2</v>
      </c>
      <c r="EN166" s="456">
        <f t="shared" si="408"/>
        <v>2.929017857142857E-3</v>
      </c>
      <c r="EO166">
        <f t="shared" si="409"/>
        <v>4.0499999999999998E-3</v>
      </c>
      <c r="EP166" s="144">
        <f t="shared" si="410"/>
        <v>21.706598772321431</v>
      </c>
      <c r="EQ166" s="144"/>
      <c r="ER166" s="144">
        <f t="shared" si="432"/>
        <v>115.54692527143962</v>
      </c>
      <c r="ES166" s="456">
        <f t="shared" si="411"/>
        <v>0.47039999999999998</v>
      </c>
      <c r="EV166" s="144">
        <f t="shared" si="412"/>
        <v>470.4</v>
      </c>
      <c r="EW166" s="456">
        <f t="shared" si="413"/>
        <v>1.4866962962962969E-2</v>
      </c>
      <c r="EX166" s="456">
        <f t="shared" si="414"/>
        <v>2.4778271604938278E-2</v>
      </c>
      <c r="EY166" s="456">
        <f t="shared" si="415"/>
        <v>6.6328676578668186E-2</v>
      </c>
      <c r="EZ166" s="456"/>
      <c r="FA166" s="456">
        <f t="shared" si="416"/>
        <v>5.6000000000000006E-4</v>
      </c>
      <c r="FB166" s="144">
        <f t="shared" si="417"/>
        <v>106.53391114656944</v>
      </c>
      <c r="FC166" s="150">
        <f t="shared" si="418"/>
        <v>0.69248083641800895</v>
      </c>
      <c r="FD166" s="5">
        <f t="shared" si="419"/>
        <v>3.3600000000000003</v>
      </c>
      <c r="FE166" s="150">
        <f t="shared" si="420"/>
        <v>0.82912174927640281</v>
      </c>
      <c r="FF166" s="5">
        <f t="shared" si="421"/>
        <v>82.91217492764028</v>
      </c>
      <c r="FI166" s="59">
        <f t="shared" si="422"/>
        <v>-50</v>
      </c>
      <c r="FJ166">
        <f t="shared" si="423"/>
        <v>-50</v>
      </c>
      <c r="FL166">
        <f t="shared" si="476"/>
        <v>0.625</v>
      </c>
    </row>
    <row r="167" spans="5:168">
      <c r="E167" s="147">
        <v>57</v>
      </c>
      <c r="F167" s="188">
        <f t="shared" si="477"/>
        <v>0.68399999999999994</v>
      </c>
      <c r="G167" s="188"/>
      <c r="H167" s="188">
        <f t="shared" si="442"/>
        <v>3.42</v>
      </c>
      <c r="I167" s="465">
        <f t="shared" si="443"/>
        <v>8.9446656798336797</v>
      </c>
      <c r="J167" s="149">
        <f t="shared" si="444"/>
        <v>5.4332005920997926</v>
      </c>
      <c r="K167" s="149">
        <f t="shared" si="445"/>
        <v>14.377866271933472</v>
      </c>
      <c r="L167" s="379"/>
      <c r="M167" s="188">
        <f t="shared" si="446"/>
        <v>0.37787048351398844</v>
      </c>
      <c r="N167" s="149">
        <f t="shared" si="447"/>
        <v>8.487837021159061</v>
      </c>
      <c r="O167" s="149">
        <f t="shared" si="438"/>
        <v>3.42</v>
      </c>
      <c r="P167" s="188">
        <f t="shared" si="448"/>
        <v>1.6975674042318123</v>
      </c>
      <c r="Q167" s="188">
        <f t="shared" si="449"/>
        <v>5</v>
      </c>
      <c r="R167" s="188"/>
      <c r="S167" s="149">
        <f t="shared" si="450"/>
        <v>23.895092874174413</v>
      </c>
      <c r="T167" s="149">
        <f t="shared" si="451"/>
        <v>5</v>
      </c>
      <c r="U167" s="188">
        <f t="shared" si="452"/>
        <v>2.1988990455346116</v>
      </c>
      <c r="V167" s="188">
        <f t="shared" si="453"/>
        <v>2.9500027715855319</v>
      </c>
      <c r="W167" s="188">
        <f t="shared" si="454"/>
        <v>4.8565828003448557</v>
      </c>
      <c r="X167" s="172">
        <f t="shared" si="455"/>
        <v>281.67231695263098</v>
      </c>
      <c r="Y167" s="379">
        <f t="shared" si="328"/>
        <v>124.89718507547283</v>
      </c>
      <c r="AA167" s="188">
        <f t="shared" si="456"/>
        <v>0.99999999999999978</v>
      </c>
      <c r="AB167" s="150">
        <f t="shared" si="457"/>
        <v>2.2086429161935848</v>
      </c>
      <c r="AC167" s="150">
        <f t="shared" si="458"/>
        <v>0.31105678376263124</v>
      </c>
      <c r="AD167" s="150"/>
      <c r="AE167" s="150">
        <f t="shared" si="459"/>
        <v>2.2086429161935852</v>
      </c>
      <c r="AF167" s="314">
        <f t="shared" si="460"/>
        <v>619.38486749937624</v>
      </c>
      <c r="AG167" s="456">
        <f t="shared" si="461"/>
        <v>0.31105678376263141</v>
      </c>
      <c r="AI167" s="150">
        <f t="shared" si="462"/>
        <v>1.3302898368394078</v>
      </c>
      <c r="AJ167" s="150">
        <f t="shared" si="463"/>
        <v>2.1988990455346116</v>
      </c>
      <c r="AK167" s="150">
        <f t="shared" si="464"/>
        <v>2.088073367062675</v>
      </c>
      <c r="AM167" s="314">
        <f t="shared" si="465"/>
        <v>683.99999999999989</v>
      </c>
      <c r="AN167" s="144">
        <f t="shared" si="466"/>
        <v>124.89718507547283</v>
      </c>
      <c r="AP167">
        <f t="shared" si="467"/>
        <v>683.99999999999989</v>
      </c>
      <c r="AQ167">
        <f t="shared" si="468"/>
        <v>124.89718507547283</v>
      </c>
      <c r="AS167" s="5">
        <f t="shared" si="439"/>
        <v>8.0065855719303869</v>
      </c>
      <c r="AT167" s="5">
        <f t="shared" si="469"/>
        <v>2.9500027715855319</v>
      </c>
      <c r="AU167" s="5">
        <f t="shared" si="343"/>
        <v>5.056582800344855</v>
      </c>
      <c r="AV167" s="5"/>
      <c r="AW167" s="150">
        <f t="shared" si="344"/>
        <v>0.36844704213587598</v>
      </c>
      <c r="AX167" s="150">
        <f t="shared" si="435"/>
        <v>3.6233850015198956</v>
      </c>
      <c r="AY167" s="150">
        <f t="shared" si="436"/>
        <v>0.69436059812599149</v>
      </c>
      <c r="AZ167" s="150">
        <f t="shared" si="440"/>
        <v>5.2183044534771161</v>
      </c>
      <c r="BA167" s="144">
        <f t="shared" si="433"/>
        <v>40.356037915290074</v>
      </c>
      <c r="BB167" s="5">
        <f t="shared" si="434"/>
        <v>0.80557851443648376</v>
      </c>
      <c r="BD167" s="150">
        <f t="shared" si="441"/>
        <v>0.77060567077696662</v>
      </c>
      <c r="BE167" s="150">
        <f t="shared" si="437"/>
        <v>1.0089033176263174</v>
      </c>
      <c r="BG167" s="456">
        <f t="shared" si="347"/>
        <v>1.1876661996672373E-2</v>
      </c>
      <c r="BH167" s="456">
        <f t="shared" si="470"/>
        <v>7.4037825186564613E-2</v>
      </c>
      <c r="BI167" s="456">
        <f t="shared" si="471"/>
        <v>2.7929089121310424E-2</v>
      </c>
      <c r="BJ167" s="456">
        <f t="shared" si="350"/>
        <v>2.581912560309541E-3</v>
      </c>
      <c r="BK167">
        <f t="shared" si="351"/>
        <v>4.0250995559251556E-3</v>
      </c>
      <c r="BL167" s="144">
        <f t="shared" si="427"/>
        <v>31.954188677235582</v>
      </c>
      <c r="BM167" s="456">
        <f t="shared" si="472"/>
        <v>9.1962607294280532E-2</v>
      </c>
      <c r="BN167" s="144">
        <f t="shared" si="353"/>
        <v>91.962607294280531</v>
      </c>
      <c r="BO167" s="456">
        <f t="shared" si="354"/>
        <v>0.47879999999999995</v>
      </c>
      <c r="BR167" s="144">
        <f t="shared" si="355"/>
        <v>478.79999999999995</v>
      </c>
      <c r="BS167" s="456">
        <f t="shared" si="356"/>
        <v>1.781499299500856E-2</v>
      </c>
      <c r="BT167" s="456">
        <f t="shared" si="357"/>
        <v>3.0536577129521694E-2</v>
      </c>
      <c r="BU167" s="456">
        <f t="shared" si="358"/>
        <v>6.2497818318948496E-2</v>
      </c>
      <c r="BV167" s="456"/>
      <c r="BW167" s="456">
        <f t="shared" si="359"/>
        <v>6.0389750025331593E-4</v>
      </c>
      <c r="BX167" s="144">
        <f t="shared" si="360"/>
        <v>111.45328594373207</v>
      </c>
      <c r="BY167" s="150">
        <f t="shared" si="361"/>
        <v>0.71070387436451421</v>
      </c>
      <c r="BZ167" s="5">
        <f t="shared" si="362"/>
        <v>3.42</v>
      </c>
      <c r="CA167" s="150">
        <f t="shared" si="363"/>
        <v>0.82794606053094244</v>
      </c>
      <c r="CB167" s="5">
        <f t="shared" si="364"/>
        <v>82.794606053094242</v>
      </c>
      <c r="CE167" s="59">
        <f t="shared" si="473"/>
        <v>-50</v>
      </c>
      <c r="CF167">
        <f t="shared" si="474"/>
        <v>-50</v>
      </c>
      <c r="CG167" s="150">
        <f t="shared" si="475"/>
        <v>0.61806126644736847</v>
      </c>
      <c r="CI167" s="147">
        <v>57</v>
      </c>
      <c r="CJ167" s="188">
        <f t="shared" si="428"/>
        <v>0.68399999999999994</v>
      </c>
      <c r="CK167" s="188"/>
      <c r="CL167" s="188">
        <f t="shared" si="368"/>
        <v>3.42</v>
      </c>
      <c r="CM167" s="465">
        <f t="shared" si="369"/>
        <v>9</v>
      </c>
      <c r="CN167" s="379">
        <f t="shared" si="370"/>
        <v>5.4</v>
      </c>
      <c r="CO167" s="379">
        <f t="shared" si="371"/>
        <v>14.4</v>
      </c>
      <c r="CP167" s="379"/>
      <c r="CQ167" s="188">
        <f t="shared" si="372"/>
        <v>0.375</v>
      </c>
      <c r="CR167" s="149">
        <f t="shared" si="429"/>
        <v>8.4754687499999992</v>
      </c>
      <c r="CS167" s="149">
        <f t="shared" si="373"/>
        <v>3.42</v>
      </c>
      <c r="CT167" s="188">
        <f t="shared" si="374"/>
        <v>1.6950937499999998</v>
      </c>
      <c r="CU167" s="188">
        <f t="shared" si="375"/>
        <v>5</v>
      </c>
      <c r="CV167" s="188"/>
      <c r="CW167" s="149">
        <f t="shared" si="376"/>
        <v>24.042024152580328</v>
      </c>
      <c r="CX167" s="149">
        <f t="shared" si="377"/>
        <v>5</v>
      </c>
      <c r="CY167" s="188">
        <f t="shared" si="378"/>
        <v>2.0266666666666668</v>
      </c>
      <c r="CZ167" s="188">
        <f t="shared" si="379"/>
        <v>2.7022222222222227</v>
      </c>
      <c r="DA167" s="188">
        <f t="shared" si="380"/>
        <v>4.503703703703704</v>
      </c>
      <c r="DB167" s="172">
        <f t="shared" si="381"/>
        <v>281.25</v>
      </c>
      <c r="DC167" s="379">
        <f t="shared" si="382"/>
        <v>138.77467105263156</v>
      </c>
      <c r="DE167" s="188">
        <f t="shared" si="383"/>
        <v>1</v>
      </c>
      <c r="DF167" s="150">
        <f t="shared" si="384"/>
        <v>2.2222222222222219</v>
      </c>
      <c r="DG167" s="150">
        <f t="shared" si="385"/>
        <v>0.31249999999999994</v>
      </c>
      <c r="DH167" s="150"/>
      <c r="DI167" s="150">
        <f t="shared" si="386"/>
        <v>2.2222222222222219</v>
      </c>
      <c r="DJ167" s="314">
        <f t="shared" si="387"/>
        <v>615.6</v>
      </c>
      <c r="DK167" s="456">
        <f t="shared" si="388"/>
        <v>0.31249999999999994</v>
      </c>
      <c r="DM167" s="150">
        <f t="shared" si="389"/>
        <v>1.3262191157034131</v>
      </c>
      <c r="DN167" s="150">
        <f t="shared" si="390"/>
        <v>2.0266666666666668</v>
      </c>
      <c r="DO167" s="150">
        <f t="shared" si="391"/>
        <v>1.9604938271604939</v>
      </c>
      <c r="DQ167" s="314">
        <f t="shared" si="392"/>
        <v>683.99999999999989</v>
      </c>
      <c r="DR167" s="144">
        <f t="shared" si="393"/>
        <v>138.77467105263156</v>
      </c>
      <c r="DT167">
        <f t="shared" si="430"/>
        <v>683.99999999999989</v>
      </c>
      <c r="DU167">
        <f t="shared" si="431"/>
        <v>138.77467105263156</v>
      </c>
      <c r="DW167" s="5">
        <f t="shared" si="394"/>
        <v>7.2059259259259276</v>
      </c>
      <c r="DX167" s="5">
        <f t="shared" si="395"/>
        <v>2.7022222222222227</v>
      </c>
      <c r="DY167" s="5">
        <f t="shared" si="396"/>
        <v>4.5037037037037049</v>
      </c>
      <c r="DZ167" s="5"/>
      <c r="EA167" s="150">
        <f t="shared" si="397"/>
        <v>0.375</v>
      </c>
      <c r="EB167" s="150">
        <f t="shared" si="398"/>
        <v>3.4200000000000008</v>
      </c>
      <c r="EC167" s="150">
        <f t="shared" si="399"/>
        <v>0.63333333333333341</v>
      </c>
      <c r="ED167" s="150">
        <f t="shared" si="400"/>
        <v>5.4</v>
      </c>
      <c r="EE167" s="144">
        <f t="shared" si="401"/>
        <v>36.9664</v>
      </c>
      <c r="EF167" s="5">
        <f t="shared" si="402"/>
        <v>0.71308641975308651</v>
      </c>
      <c r="EH167" s="150">
        <f t="shared" si="403"/>
        <v>0.71653487160236828</v>
      </c>
      <c r="EI167" s="150">
        <f t="shared" si="404"/>
        <v>0.92504254156428067</v>
      </c>
      <c r="EK167" s="456">
        <f t="shared" si="405"/>
        <v>1.026844444444445E-2</v>
      </c>
      <c r="EL167" s="456">
        <f t="shared" si="406"/>
        <v>8.1000000000000003E-2</v>
      </c>
      <c r="EM167" s="456">
        <f t="shared" si="407"/>
        <v>1.7346833881578944E-2</v>
      </c>
      <c r="EN167" s="456">
        <f t="shared" si="408"/>
        <v>2.8776315789473686E-3</v>
      </c>
      <c r="EO167">
        <f t="shared" si="409"/>
        <v>4.0499999999999998E-3</v>
      </c>
      <c r="EP167" s="144">
        <f t="shared" si="410"/>
        <v>21.396833881578946</v>
      </c>
      <c r="EQ167" s="144"/>
      <c r="ER167" s="144">
        <f t="shared" si="432"/>
        <v>115.54290990497077</v>
      </c>
      <c r="ES167" s="456">
        <f t="shared" si="411"/>
        <v>0.47879999999999995</v>
      </c>
      <c r="EV167" s="144">
        <f t="shared" si="412"/>
        <v>478.79999999999995</v>
      </c>
      <c r="EW167" s="456">
        <f t="shared" si="413"/>
        <v>1.5402666666666672E-2</v>
      </c>
      <c r="EX167" s="456">
        <f t="shared" si="414"/>
        <v>2.5671111111111117E-2</v>
      </c>
      <c r="EY167" s="456">
        <f t="shared" si="415"/>
        <v>6.6328676578668019E-2</v>
      </c>
      <c r="EZ167" s="456"/>
      <c r="FA167" s="456">
        <f t="shared" si="416"/>
        <v>5.7000000000000019E-4</v>
      </c>
      <c r="FB167" s="144">
        <f t="shared" si="417"/>
        <v>107.97245435644581</v>
      </c>
      <c r="FC167" s="150">
        <f t="shared" si="418"/>
        <v>0.7023153642614165</v>
      </c>
      <c r="FD167" s="5">
        <f t="shared" si="419"/>
        <v>3.42</v>
      </c>
      <c r="FE167" s="150">
        <f t="shared" si="420"/>
        <v>0.82963085009211857</v>
      </c>
      <c r="FF167" s="5">
        <f t="shared" si="421"/>
        <v>82.963085009211852</v>
      </c>
      <c r="FI167" s="59">
        <f t="shared" si="422"/>
        <v>-50</v>
      </c>
      <c r="FJ167">
        <f t="shared" si="423"/>
        <v>-50</v>
      </c>
      <c r="FL167">
        <f t="shared" si="476"/>
        <v>0.625</v>
      </c>
    </row>
    <row r="168" spans="5:168">
      <c r="E168" s="147">
        <v>58</v>
      </c>
      <c r="F168" s="188">
        <f t="shared" si="477"/>
        <v>0.69599999999999995</v>
      </c>
      <c r="G168" s="188"/>
      <c r="H168" s="188">
        <f t="shared" si="442"/>
        <v>3.4799999999999995</v>
      </c>
      <c r="I168" s="465">
        <f t="shared" si="443"/>
        <v>8.9437057987198685</v>
      </c>
      <c r="J168" s="149">
        <f t="shared" si="444"/>
        <v>5.4337765207680784</v>
      </c>
      <c r="K168" s="149">
        <f t="shared" si="445"/>
        <v>14.377482319487946</v>
      </c>
      <c r="L168" s="379"/>
      <c r="M168" s="188">
        <f t="shared" si="446"/>
        <v>0.3779206366498809</v>
      </c>
      <c r="N168" s="149">
        <f t="shared" si="447"/>
        <v>8.4880525972850513</v>
      </c>
      <c r="O168" s="149">
        <f t="shared" si="438"/>
        <v>3.4799999999999995</v>
      </c>
      <c r="P168" s="188">
        <f t="shared" si="448"/>
        <v>1.6976105194570104</v>
      </c>
      <c r="Q168" s="188">
        <f t="shared" si="449"/>
        <v>5</v>
      </c>
      <c r="R168" s="188"/>
      <c r="S168" s="149">
        <f t="shared" si="450"/>
        <v>23.332416662245745</v>
      </c>
      <c r="T168" s="149">
        <f t="shared" si="451"/>
        <v>5</v>
      </c>
      <c r="U168" s="188">
        <f t="shared" si="452"/>
        <v>2.2376566110529428</v>
      </c>
      <c r="V168" s="188">
        <f t="shared" si="453"/>
        <v>3.0023214019940911</v>
      </c>
      <c r="W168" s="188">
        <f t="shared" si="454"/>
        <v>4.9416605982977995</v>
      </c>
      <c r="X168" s="172">
        <f t="shared" si="455"/>
        <v>281.67946641504523</v>
      </c>
      <c r="Y168" s="379">
        <f t="shared" si="328"/>
        <v>122.79005527813774</v>
      </c>
      <c r="AA168" s="188">
        <f t="shared" si="456"/>
        <v>1</v>
      </c>
      <c r="AB168" s="150">
        <f t="shared" si="457"/>
        <v>2.2084088210355342</v>
      </c>
      <c r="AC168" s="150">
        <f t="shared" si="458"/>
        <v>0.31103170916778416</v>
      </c>
      <c r="AD168" s="150"/>
      <c r="AE168" s="150">
        <f t="shared" si="459"/>
        <v>2.2084088210355342</v>
      </c>
      <c r="AF168" s="314">
        <f t="shared" si="460"/>
        <v>630.3180764090971</v>
      </c>
      <c r="AG168" s="456">
        <f t="shared" si="461"/>
        <v>0.31103170916778422</v>
      </c>
      <c r="AI168" s="150">
        <f t="shared" si="462"/>
        <v>1.3419794297008718</v>
      </c>
      <c r="AJ168" s="150">
        <f t="shared" si="463"/>
        <v>2.2376566110529428</v>
      </c>
      <c r="AK168" s="150">
        <f t="shared" si="464"/>
        <v>2.1167826748540315</v>
      </c>
      <c r="AM168" s="314">
        <f t="shared" si="465"/>
        <v>696</v>
      </c>
      <c r="AN168" s="144">
        <f t="shared" si="466"/>
        <v>122.79005527813774</v>
      </c>
      <c r="AP168">
        <f t="shared" si="467"/>
        <v>696</v>
      </c>
      <c r="AQ168">
        <f t="shared" si="468"/>
        <v>122.79005527813774</v>
      </c>
      <c r="AS168" s="5">
        <f t="shared" si="439"/>
        <v>8.1439820002918903</v>
      </c>
      <c r="AT168" s="5">
        <f t="shared" si="469"/>
        <v>3.0023214019940911</v>
      </c>
      <c r="AU168" s="5">
        <f t="shared" si="343"/>
        <v>5.1416605982977988</v>
      </c>
      <c r="AV168" s="5"/>
      <c r="AW168" s="150">
        <f t="shared" si="344"/>
        <v>0.36865521091359044</v>
      </c>
      <c r="AX168" s="150">
        <f t="shared" si="435"/>
        <v>3.6889377521778512</v>
      </c>
      <c r="AY168" s="150">
        <f t="shared" si="436"/>
        <v>0.70636642057651511</v>
      </c>
      <c r="AZ168" s="150">
        <f t="shared" si="440"/>
        <v>5.2224138134525857</v>
      </c>
      <c r="BA168" s="144">
        <f t="shared" si="433"/>
        <v>41.792313915757745</v>
      </c>
      <c r="BB168" s="5">
        <f t="shared" si="434"/>
        <v>0.83359270030985544</v>
      </c>
      <c r="BD168" s="150">
        <f t="shared" si="441"/>
        <v>0.78440978392063587</v>
      </c>
      <c r="BE168" s="150">
        <f t="shared" si="437"/>
        <v>1.0265169233314639</v>
      </c>
      <c r="BG168" s="456">
        <f t="shared" si="347"/>
        <v>1.2305974182208372E-2</v>
      </c>
      <c r="BH168" s="456">
        <f t="shared" si="470"/>
        <v>7.4069728024354173E-2</v>
      </c>
      <c r="BI168" s="456">
        <f t="shared" si="471"/>
        <v>2.7454953235405342E-2</v>
      </c>
      <c r="BJ168" s="456">
        <f t="shared" si="350"/>
        <v>2.5382177642310562E-3</v>
      </c>
      <c r="BK168">
        <f t="shared" si="351"/>
        <v>4.024667609423941E-3</v>
      </c>
      <c r="BL168" s="144">
        <f t="shared" si="427"/>
        <v>31.479620844829284</v>
      </c>
      <c r="BM168" s="456">
        <f t="shared" si="472"/>
        <v>9.2507014209409585E-2</v>
      </c>
      <c r="BN168" s="144">
        <f t="shared" si="353"/>
        <v>92.50701420940959</v>
      </c>
      <c r="BO168" s="456">
        <f t="shared" si="354"/>
        <v>0.48719999999999991</v>
      </c>
      <c r="BR168" s="144">
        <f t="shared" si="355"/>
        <v>487.19999999999993</v>
      </c>
      <c r="BS168" s="456">
        <f t="shared" si="356"/>
        <v>1.845896127331256E-2</v>
      </c>
      <c r="BT168" s="456">
        <f t="shared" si="357"/>
        <v>3.161210981657684E-2</v>
      </c>
      <c r="BU168" s="456">
        <f t="shared" si="358"/>
        <v>6.2569342834217417E-2</v>
      </c>
      <c r="BV168" s="456"/>
      <c r="BW168" s="456">
        <f t="shared" si="359"/>
        <v>6.1482295869630854E-4</v>
      </c>
      <c r="BX168" s="144">
        <f t="shared" si="360"/>
        <v>113.25523688280312</v>
      </c>
      <c r="BY168" s="150">
        <f t="shared" si="361"/>
        <v>0.72084877769842592</v>
      </c>
      <c r="BZ168" s="5">
        <f t="shared" si="362"/>
        <v>3.4799999999999995</v>
      </c>
      <c r="CA168" s="150">
        <f t="shared" si="363"/>
        <v>0.8284040164632237</v>
      </c>
      <c r="CB168" s="5">
        <f t="shared" si="364"/>
        <v>82.840401646322377</v>
      </c>
      <c r="CE168" s="59">
        <f t="shared" si="473"/>
        <v>-50</v>
      </c>
      <c r="CF168">
        <f t="shared" si="474"/>
        <v>-50</v>
      </c>
      <c r="CG168" s="150">
        <f t="shared" si="475"/>
        <v>0.61818089978448276</v>
      </c>
      <c r="CI168" s="147">
        <v>58</v>
      </c>
      <c r="CJ168" s="188">
        <f t="shared" si="428"/>
        <v>0.69599999999999995</v>
      </c>
      <c r="CK168" s="188"/>
      <c r="CL168" s="188">
        <f t="shared" si="368"/>
        <v>3.4799999999999995</v>
      </c>
      <c r="CM168" s="465">
        <f t="shared" si="369"/>
        <v>9</v>
      </c>
      <c r="CN168" s="379">
        <f t="shared" si="370"/>
        <v>5.4</v>
      </c>
      <c r="CO168" s="379">
        <f t="shared" si="371"/>
        <v>14.4</v>
      </c>
      <c r="CP168" s="379"/>
      <c r="CQ168" s="188">
        <f t="shared" si="372"/>
        <v>0.375</v>
      </c>
      <c r="CR168" s="149">
        <f t="shared" si="429"/>
        <v>8.4754687499999992</v>
      </c>
      <c r="CS168" s="149">
        <f t="shared" si="373"/>
        <v>3.4799999999999995</v>
      </c>
      <c r="CT168" s="188">
        <f t="shared" si="374"/>
        <v>1.6950937499999998</v>
      </c>
      <c r="CU168" s="188">
        <f t="shared" si="375"/>
        <v>5</v>
      </c>
      <c r="CV168" s="188"/>
      <c r="CW168" s="149">
        <f t="shared" si="376"/>
        <v>23.478350390399257</v>
      </c>
      <c r="CX168" s="149">
        <f t="shared" si="377"/>
        <v>5</v>
      </c>
      <c r="CY168" s="188">
        <f t="shared" si="378"/>
        <v>2.0622222222222217</v>
      </c>
      <c r="CZ168" s="188">
        <f t="shared" si="379"/>
        <v>2.749629629629629</v>
      </c>
      <c r="DA168" s="188">
        <f t="shared" si="380"/>
        <v>4.5827160493827144</v>
      </c>
      <c r="DB168" s="172">
        <f t="shared" si="381"/>
        <v>281.25</v>
      </c>
      <c r="DC168" s="379">
        <f t="shared" si="382"/>
        <v>136.38200431034485</v>
      </c>
      <c r="DE168" s="188">
        <f t="shared" si="383"/>
        <v>1</v>
      </c>
      <c r="DF168" s="150">
        <f t="shared" si="384"/>
        <v>2.2222222222222219</v>
      </c>
      <c r="DG168" s="150">
        <f t="shared" si="385"/>
        <v>0.31249999999999994</v>
      </c>
      <c r="DH168" s="150"/>
      <c r="DI168" s="150">
        <f t="shared" si="386"/>
        <v>2.2222222222222219</v>
      </c>
      <c r="DJ168" s="314">
        <f t="shared" si="387"/>
        <v>626.4</v>
      </c>
      <c r="DK168" s="456">
        <f t="shared" si="388"/>
        <v>0.31249999999999994</v>
      </c>
      <c r="DM168" s="150">
        <f t="shared" si="389"/>
        <v>1.3378020353229718</v>
      </c>
      <c r="DN168" s="150">
        <f t="shared" si="390"/>
        <v>2.0622222222222217</v>
      </c>
      <c r="DO168" s="150">
        <f t="shared" si="391"/>
        <v>1.9868312757201643</v>
      </c>
      <c r="DQ168" s="314">
        <f t="shared" si="392"/>
        <v>696</v>
      </c>
      <c r="DR168" s="144">
        <f t="shared" si="393"/>
        <v>136.38200431034485</v>
      </c>
      <c r="DT168">
        <f t="shared" si="430"/>
        <v>696</v>
      </c>
      <c r="DU168">
        <f t="shared" si="431"/>
        <v>136.38200431034485</v>
      </c>
      <c r="DW168" s="5">
        <f t="shared" si="394"/>
        <v>7.3323456790123442</v>
      </c>
      <c r="DX168" s="5">
        <f t="shared" si="395"/>
        <v>2.749629629629629</v>
      </c>
      <c r="DY168" s="5">
        <f t="shared" si="396"/>
        <v>4.5827160493827153</v>
      </c>
      <c r="DZ168" s="5"/>
      <c r="EA168" s="150">
        <f t="shared" si="397"/>
        <v>0.375</v>
      </c>
      <c r="EB168" s="150">
        <f t="shared" si="398"/>
        <v>3.4799999999999986</v>
      </c>
      <c r="EC168" s="150">
        <f t="shared" si="399"/>
        <v>0.64444444444444426</v>
      </c>
      <c r="ED168" s="150">
        <f t="shared" si="400"/>
        <v>5.3999999999999995</v>
      </c>
      <c r="EE168" s="144">
        <f t="shared" si="401"/>
        <v>38.274844444444426</v>
      </c>
      <c r="EF168" s="5">
        <f t="shared" si="402"/>
        <v>0.73832647462277057</v>
      </c>
      <c r="EH168" s="150">
        <f t="shared" si="403"/>
        <v>0.72910565882346223</v>
      </c>
      <c r="EI168" s="150">
        <f t="shared" si="404"/>
        <v>0.94127135808295193</v>
      </c>
      <c r="EK168" s="456">
        <f t="shared" si="405"/>
        <v>1.0631901234567897E-2</v>
      </c>
      <c r="EL168" s="456">
        <f t="shared" si="406"/>
        <v>8.1000000000000003E-2</v>
      </c>
      <c r="EM168" s="456">
        <f t="shared" si="407"/>
        <v>1.7047750538793108E-2</v>
      </c>
      <c r="EN168" s="456">
        <f t="shared" si="408"/>
        <v>2.828017241379311E-3</v>
      </c>
      <c r="EO168">
        <f t="shared" si="409"/>
        <v>4.0499999999999998E-3</v>
      </c>
      <c r="EP168" s="144">
        <f t="shared" si="410"/>
        <v>21.097750538793107</v>
      </c>
      <c r="EQ168" s="144"/>
      <c r="ER168" s="144">
        <f t="shared" si="432"/>
        <v>115.55766901474031</v>
      </c>
      <c r="ES168" s="456">
        <f t="shared" si="411"/>
        <v>0.48719999999999991</v>
      </c>
      <c r="EV168" s="144">
        <f t="shared" si="412"/>
        <v>487.19999999999993</v>
      </c>
      <c r="EW168" s="456">
        <f t="shared" si="413"/>
        <v>1.5947851851851845E-2</v>
      </c>
      <c r="EX168" s="456">
        <f t="shared" si="414"/>
        <v>2.6579753086419741E-2</v>
      </c>
      <c r="EY168" s="456">
        <f t="shared" si="415"/>
        <v>6.6328676578668033E-2</v>
      </c>
      <c r="EZ168" s="456"/>
      <c r="FA168" s="456">
        <f t="shared" si="416"/>
        <v>5.7999999999999989E-4</v>
      </c>
      <c r="FB168" s="144">
        <f t="shared" si="417"/>
        <v>109.43628151693962</v>
      </c>
      <c r="FC168" s="150">
        <f t="shared" si="418"/>
        <v>0.71219395053167989</v>
      </c>
      <c r="FD168" s="5">
        <f t="shared" si="419"/>
        <v>3.4799999999999995</v>
      </c>
      <c r="FE168" s="150">
        <f t="shared" si="420"/>
        <v>0.83011426500404273</v>
      </c>
      <c r="FF168" s="5">
        <f t="shared" si="421"/>
        <v>83.011426500404269</v>
      </c>
      <c r="FI168" s="59">
        <f t="shared" si="422"/>
        <v>-50</v>
      </c>
      <c r="FJ168">
        <f t="shared" si="423"/>
        <v>-50</v>
      </c>
      <c r="FL168">
        <f t="shared" si="476"/>
        <v>0.625</v>
      </c>
    </row>
    <row r="169" spans="5:168">
      <c r="E169" s="147">
        <v>59</v>
      </c>
      <c r="F169" s="188">
        <f t="shared" si="477"/>
        <v>0.70799999999999996</v>
      </c>
      <c r="G169" s="188"/>
      <c r="H169" s="188">
        <f t="shared" si="442"/>
        <v>3.54</v>
      </c>
      <c r="I169" s="465">
        <f t="shared" si="443"/>
        <v>8.9427459135323257</v>
      </c>
      <c r="J169" s="149">
        <f t="shared" si="444"/>
        <v>5.4343524518806055</v>
      </c>
      <c r="K169" s="149">
        <f t="shared" si="445"/>
        <v>14.37709836541293</v>
      </c>
      <c r="L169" s="379"/>
      <c r="M169" s="188">
        <f t="shared" si="446"/>
        <v>0.37797079257120747</v>
      </c>
      <c r="N169" s="149">
        <f t="shared" si="447"/>
        <v>8.4882679903097333</v>
      </c>
      <c r="O169" s="149">
        <f t="shared" si="438"/>
        <v>3.54</v>
      </c>
      <c r="P169" s="188">
        <f t="shared" si="448"/>
        <v>1.6976535980619467</v>
      </c>
      <c r="Q169" s="188">
        <f t="shared" si="449"/>
        <v>5</v>
      </c>
      <c r="R169" s="188"/>
      <c r="S169" s="149">
        <f t="shared" si="450"/>
        <v>22.789005099212549</v>
      </c>
      <c r="T169" s="149">
        <f t="shared" si="451"/>
        <v>5</v>
      </c>
      <c r="U169" s="188">
        <f t="shared" si="452"/>
        <v>2.2764204366755534</v>
      </c>
      <c r="V169" s="188">
        <f t="shared" si="453"/>
        <v>3.0546596654132809</v>
      </c>
      <c r="W169" s="188">
        <f t="shared" si="454"/>
        <v>5.0267341844295244</v>
      </c>
      <c r="X169" s="172">
        <f t="shared" si="455"/>
        <v>281.68660988102113</v>
      </c>
      <c r="Y169" s="379">
        <f t="shared" si="328"/>
        <v>120.75261944207398</v>
      </c>
      <c r="AA169" s="188">
        <f t="shared" si="456"/>
        <v>0.99999999999999978</v>
      </c>
      <c r="AB169" s="150">
        <f t="shared" si="457"/>
        <v>2.2081747745027638</v>
      </c>
      <c r="AC169" s="150">
        <f t="shared" si="458"/>
        <v>0.31100663312723581</v>
      </c>
      <c r="AD169" s="150"/>
      <c r="AE169" s="150">
        <f t="shared" si="459"/>
        <v>2.2081747745027647</v>
      </c>
      <c r="AF169" s="314">
        <f t="shared" si="460"/>
        <v>641.25358932191136</v>
      </c>
      <c r="AG169" s="456">
        <f t="shared" si="461"/>
        <v>0.31100663312723603</v>
      </c>
      <c r="AI169" s="150">
        <f t="shared" si="462"/>
        <v>1.3535705051264666</v>
      </c>
      <c r="AJ169" s="150">
        <f t="shared" si="463"/>
        <v>2.2764204366755534</v>
      </c>
      <c r="AK169" s="150">
        <f t="shared" si="464"/>
        <v>2.145496619759669</v>
      </c>
      <c r="AM169" s="314">
        <f t="shared" si="465"/>
        <v>708</v>
      </c>
      <c r="AN169" s="144">
        <f t="shared" si="466"/>
        <v>120.75261944207398</v>
      </c>
      <c r="AP169">
        <f t="shared" si="467"/>
        <v>708</v>
      </c>
      <c r="AQ169">
        <f t="shared" si="468"/>
        <v>120.75261944207398</v>
      </c>
      <c r="AS169" s="5">
        <f t="shared" si="439"/>
        <v>8.2813938498428037</v>
      </c>
      <c r="AT169" s="5">
        <f t="shared" si="469"/>
        <v>3.0546596654132809</v>
      </c>
      <c r="AU169" s="5">
        <f t="shared" si="343"/>
        <v>5.2267341844295228</v>
      </c>
      <c r="AV169" s="5"/>
      <c r="AW169" s="150">
        <f t="shared" si="344"/>
        <v>0.36885815610270295</v>
      </c>
      <c r="AX169" s="150">
        <f t="shared" si="435"/>
        <v>3.7545056533780112</v>
      </c>
      <c r="AY169" s="150">
        <f t="shared" si="436"/>
        <v>0.71837209594444951</v>
      </c>
      <c r="AZ169" s="150">
        <f t="shared" si="440"/>
        <v>5.2264079779462103</v>
      </c>
      <c r="BA169" s="144">
        <f t="shared" si="433"/>
        <v>43.25398086225205</v>
      </c>
      <c r="BB169" s="5">
        <f t="shared" si="434"/>
        <v>0.86208788626852184</v>
      </c>
      <c r="BD169" s="150">
        <f t="shared" si="441"/>
        <v>0.79821804953770303</v>
      </c>
      <c r="BE169" s="150">
        <f t="shared" si="437"/>
        <v>1.0441318308672829</v>
      </c>
      <c r="BG169" s="456">
        <f t="shared" si="347"/>
        <v>1.2743041092155499E-2</v>
      </c>
      <c r="BH169" s="456">
        <f t="shared" si="470"/>
        <v>7.4100570656974757E-2</v>
      </c>
      <c r="BI169" s="456">
        <f t="shared" si="471"/>
        <v>2.6996499851598278E-2</v>
      </c>
      <c r="BJ169" s="456">
        <f t="shared" si="350"/>
        <v>2.4959682048292238E-3</v>
      </c>
      <c r="BK169">
        <f t="shared" si="351"/>
        <v>4.0242356610895461E-3</v>
      </c>
      <c r="BL169" s="144">
        <f t="shared" si="427"/>
        <v>31.020735512687825</v>
      </c>
      <c r="BM169" s="456">
        <f t="shared" si="472"/>
        <v>9.3061969105994319E-2</v>
      </c>
      <c r="BN169" s="144">
        <f t="shared" si="353"/>
        <v>93.061969105994322</v>
      </c>
      <c r="BO169" s="456">
        <f t="shared" si="354"/>
        <v>0.49559999999999993</v>
      </c>
      <c r="BR169" s="144">
        <f t="shared" si="355"/>
        <v>495.59999999999991</v>
      </c>
      <c r="BS169" s="456">
        <f t="shared" si="356"/>
        <v>1.9114561638233246E-2</v>
      </c>
      <c r="BT169" s="456">
        <f t="shared" si="357"/>
        <v>3.2706338406907925E-2</v>
      </c>
      <c r="BU169" s="456">
        <f t="shared" si="358"/>
        <v>6.2638679726816554E-2</v>
      </c>
      <c r="BV169" s="456"/>
      <c r="BW169" s="456">
        <f t="shared" si="359"/>
        <v>6.2575094222966853E-4</v>
      </c>
      <c r="BX169" s="144">
        <f t="shared" si="360"/>
        <v>115.08533071418739</v>
      </c>
      <c r="BY169" s="150">
        <f t="shared" si="361"/>
        <v>0.73104564618083467</v>
      </c>
      <c r="BZ169" s="5">
        <f t="shared" si="362"/>
        <v>3.54</v>
      </c>
      <c r="CA169" s="150">
        <f t="shared" si="363"/>
        <v>0.82883684541406499</v>
      </c>
      <c r="CB169" s="5">
        <f t="shared" si="364"/>
        <v>82.883684541406495</v>
      </c>
      <c r="CE169" s="59">
        <f t="shared" si="473"/>
        <v>-50</v>
      </c>
      <c r="CF169">
        <f t="shared" si="474"/>
        <v>-50</v>
      </c>
      <c r="CG169" s="150">
        <f t="shared" si="475"/>
        <v>0.61829647775423724</v>
      </c>
      <c r="CI169" s="147">
        <v>59</v>
      </c>
      <c r="CJ169" s="188">
        <f t="shared" si="428"/>
        <v>0.70799999999999996</v>
      </c>
      <c r="CK169" s="188"/>
      <c r="CL169" s="188">
        <f t="shared" si="368"/>
        <v>3.54</v>
      </c>
      <c r="CM169" s="465">
        <f t="shared" si="369"/>
        <v>9</v>
      </c>
      <c r="CN169" s="379">
        <f t="shared" si="370"/>
        <v>5.4</v>
      </c>
      <c r="CO169" s="379">
        <f t="shared" si="371"/>
        <v>14.4</v>
      </c>
      <c r="CP169" s="379"/>
      <c r="CQ169" s="188">
        <f t="shared" si="372"/>
        <v>0.375</v>
      </c>
      <c r="CR169" s="149">
        <f t="shared" si="429"/>
        <v>8.4754687499999992</v>
      </c>
      <c r="CS169" s="149">
        <f t="shared" si="373"/>
        <v>3.54</v>
      </c>
      <c r="CT169" s="188">
        <f t="shared" si="374"/>
        <v>1.6950937499999998</v>
      </c>
      <c r="CU169" s="188">
        <f t="shared" si="375"/>
        <v>5</v>
      </c>
      <c r="CV169" s="188"/>
      <c r="CW169" s="149">
        <f t="shared" si="376"/>
        <v>22.933942702044941</v>
      </c>
      <c r="CX169" s="149">
        <f t="shared" si="377"/>
        <v>5</v>
      </c>
      <c r="CY169" s="188">
        <f t="shared" si="378"/>
        <v>2.097777777777778</v>
      </c>
      <c r="CZ169" s="188">
        <f t="shared" si="379"/>
        <v>2.7970370370370374</v>
      </c>
      <c r="DA169" s="188">
        <f t="shared" si="380"/>
        <v>4.6617283950617292</v>
      </c>
      <c r="DB169" s="172">
        <f t="shared" si="381"/>
        <v>281.25</v>
      </c>
      <c r="DC169" s="379">
        <f t="shared" si="382"/>
        <v>134.07044491525423</v>
      </c>
      <c r="DE169" s="188">
        <f t="shared" si="383"/>
        <v>1</v>
      </c>
      <c r="DF169" s="150">
        <f t="shared" si="384"/>
        <v>2.2222222222222219</v>
      </c>
      <c r="DG169" s="150">
        <f t="shared" si="385"/>
        <v>0.31249999999999994</v>
      </c>
      <c r="DH169" s="150"/>
      <c r="DI169" s="150">
        <f t="shared" si="386"/>
        <v>2.2222222222222219</v>
      </c>
      <c r="DJ169" s="314">
        <f t="shared" si="387"/>
        <v>637.20000000000005</v>
      </c>
      <c r="DK169" s="456">
        <f t="shared" si="388"/>
        <v>0.31249999999999994</v>
      </c>
      <c r="DM169" s="150">
        <f t="shared" si="389"/>
        <v>1.3492855252211924</v>
      </c>
      <c r="DN169" s="150">
        <f t="shared" si="390"/>
        <v>2.097777777777778</v>
      </c>
      <c r="DO169" s="150">
        <f t="shared" si="391"/>
        <v>2.0131687242798355</v>
      </c>
      <c r="DQ169" s="314">
        <f t="shared" si="392"/>
        <v>708</v>
      </c>
      <c r="DR169" s="144">
        <f t="shared" si="393"/>
        <v>134.07044491525423</v>
      </c>
      <c r="DT169">
        <f t="shared" si="430"/>
        <v>708</v>
      </c>
      <c r="DU169">
        <f t="shared" si="431"/>
        <v>134.07044491525423</v>
      </c>
      <c r="DW169" s="5">
        <f t="shared" si="394"/>
        <v>7.4587654320987653</v>
      </c>
      <c r="DX169" s="5">
        <f t="shared" si="395"/>
        <v>2.7970370370370374</v>
      </c>
      <c r="DY169" s="5">
        <f t="shared" si="396"/>
        <v>4.6617283950617274</v>
      </c>
      <c r="DZ169" s="5"/>
      <c r="EA169" s="150">
        <f t="shared" si="397"/>
        <v>0.37500000000000006</v>
      </c>
      <c r="EB169" s="150">
        <f t="shared" si="398"/>
        <v>3.5400000000000009</v>
      </c>
      <c r="EC169" s="150">
        <f t="shared" si="399"/>
        <v>0.65555555555555567</v>
      </c>
      <c r="ED169" s="150">
        <f t="shared" si="400"/>
        <v>5.4</v>
      </c>
      <c r="EE169" s="144">
        <f t="shared" si="401"/>
        <v>39.60604444444445</v>
      </c>
      <c r="EF169" s="5">
        <f t="shared" si="402"/>
        <v>0.76400548696844961</v>
      </c>
      <c r="EH169" s="150">
        <f t="shared" si="403"/>
        <v>0.74167644604455663</v>
      </c>
      <c r="EI169" s="150">
        <f t="shared" si="404"/>
        <v>0.95750017460162384</v>
      </c>
      <c r="EK169" s="456">
        <f t="shared" si="405"/>
        <v>1.1001679012345682E-2</v>
      </c>
      <c r="EL169" s="456">
        <f t="shared" si="406"/>
        <v>8.1000000000000003E-2</v>
      </c>
      <c r="EM169" s="456">
        <f t="shared" si="407"/>
        <v>1.6758805614406777E-2</v>
      </c>
      <c r="EN169" s="456">
        <f t="shared" si="408"/>
        <v>2.7800847457627119E-3</v>
      </c>
      <c r="EO169">
        <f t="shared" si="409"/>
        <v>4.0499999999999998E-3</v>
      </c>
      <c r="EP169" s="144">
        <f t="shared" si="410"/>
        <v>20.808805614406776</v>
      </c>
      <c r="EQ169" s="144"/>
      <c r="ER169" s="144">
        <f t="shared" si="432"/>
        <v>115.59056937251518</v>
      </c>
      <c r="ES169" s="456">
        <f t="shared" si="411"/>
        <v>0.49559999999999993</v>
      </c>
      <c r="EV169" s="144">
        <f t="shared" si="412"/>
        <v>495.59999999999991</v>
      </c>
      <c r="EW169" s="456">
        <f t="shared" si="413"/>
        <v>1.6502518518518524E-2</v>
      </c>
      <c r="EX169" s="456">
        <f t="shared" si="414"/>
        <v>2.7504197530864204E-2</v>
      </c>
      <c r="EY169" s="456">
        <f t="shared" si="415"/>
        <v>6.6328676578668117E-2</v>
      </c>
      <c r="EZ169" s="456"/>
      <c r="FA169" s="456">
        <f t="shared" si="416"/>
        <v>5.9000000000000003E-4</v>
      </c>
      <c r="FB169" s="144">
        <f t="shared" si="417"/>
        <v>110.92539262805083</v>
      </c>
      <c r="FC169" s="150">
        <f t="shared" si="418"/>
        <v>0.72211596200056594</v>
      </c>
      <c r="FD169" s="5">
        <f t="shared" si="419"/>
        <v>3.54</v>
      </c>
      <c r="FE169" s="150">
        <f t="shared" si="420"/>
        <v>0.83057336580264773</v>
      </c>
      <c r="FF169" s="5">
        <f t="shared" si="421"/>
        <v>83.057336580264774</v>
      </c>
      <c r="FI169" s="59">
        <f t="shared" si="422"/>
        <v>-50</v>
      </c>
      <c r="FJ169">
        <f t="shared" si="423"/>
        <v>-50</v>
      </c>
      <c r="FL169">
        <f t="shared" si="476"/>
        <v>0.625</v>
      </c>
    </row>
    <row r="170" spans="5:168">
      <c r="E170" s="147">
        <v>60</v>
      </c>
      <c r="F170" s="188">
        <f t="shared" si="477"/>
        <v>0.72</v>
      </c>
      <c r="G170" s="188"/>
      <c r="H170" s="188">
        <f t="shared" si="442"/>
        <v>3.5999999999999996</v>
      </c>
      <c r="I170" s="465">
        <f t="shared" si="443"/>
        <v>8.9417860244769045</v>
      </c>
      <c r="J170" s="149">
        <f t="shared" si="444"/>
        <v>5.4349283853138575</v>
      </c>
      <c r="K170" s="149">
        <f t="shared" si="445"/>
        <v>14.376714409790761</v>
      </c>
      <c r="L170" s="379"/>
      <c r="M170" s="188">
        <f t="shared" si="446"/>
        <v>0.37802095127282115</v>
      </c>
      <c r="N170" s="149">
        <f t="shared" si="447"/>
        <v>8.4884832002912631</v>
      </c>
      <c r="O170" s="149">
        <f t="shared" si="438"/>
        <v>3.5999999999999996</v>
      </c>
      <c r="P170" s="188">
        <f t="shared" si="448"/>
        <v>1.6976966400582527</v>
      </c>
      <c r="Q170" s="188">
        <f t="shared" si="449"/>
        <v>5</v>
      </c>
      <c r="R170" s="188"/>
      <c r="S170" s="149">
        <f t="shared" si="450"/>
        <v>22.263897619378881</v>
      </c>
      <c r="T170" s="149">
        <f t="shared" si="451"/>
        <v>5</v>
      </c>
      <c r="U170" s="188">
        <f t="shared" si="452"/>
        <v>2.3151905244185049</v>
      </c>
      <c r="V170" s="188">
        <f t="shared" si="453"/>
        <v>3.1070175708713994</v>
      </c>
      <c r="W170" s="188">
        <f t="shared" si="454"/>
        <v>5.1118035645317308</v>
      </c>
      <c r="X170" s="172">
        <f t="shared" si="455"/>
        <v>281.69374734846883</v>
      </c>
      <c r="Y170" s="379">
        <f t="shared" si="328"/>
        <v>118.78147592360217</v>
      </c>
      <c r="AA170" s="188">
        <f t="shared" si="456"/>
        <v>1</v>
      </c>
      <c r="AB170" s="150">
        <f t="shared" si="457"/>
        <v>2.207940776630311</v>
      </c>
      <c r="AC170" s="150">
        <f t="shared" si="458"/>
        <v>0.31098155564624047</v>
      </c>
      <c r="AD170" s="150"/>
      <c r="AE170" s="150">
        <f t="shared" si="459"/>
        <v>2.207940776630311</v>
      </c>
      <c r="AF170" s="314">
        <f t="shared" si="460"/>
        <v>652.19140623766293</v>
      </c>
      <c r="AG170" s="456">
        <f t="shared" si="461"/>
        <v>0.31098155564624042</v>
      </c>
      <c r="AI170" s="150">
        <f t="shared" si="462"/>
        <v>1.3650655727187226</v>
      </c>
      <c r="AJ170" s="150">
        <f t="shared" si="463"/>
        <v>2.3151905244185049</v>
      </c>
      <c r="AK170" s="150">
        <f t="shared" si="464"/>
        <v>2.1742152032729667</v>
      </c>
      <c r="AM170" s="314">
        <f t="shared" si="465"/>
        <v>720</v>
      </c>
      <c r="AN170" s="144">
        <f t="shared" si="466"/>
        <v>118.78147592360217</v>
      </c>
      <c r="AP170">
        <f t="shared" si="467"/>
        <v>720</v>
      </c>
      <c r="AQ170">
        <f t="shared" si="468"/>
        <v>118.78147592360217</v>
      </c>
      <c r="AS170" s="5">
        <f t="shared" si="439"/>
        <v>8.4188211354031299</v>
      </c>
      <c r="AT170" s="5">
        <f t="shared" si="469"/>
        <v>3.1070175708713994</v>
      </c>
      <c r="AU170" s="5">
        <f t="shared" ref="AU170:AU233" si="478">AS170-AT170</f>
        <v>5.311803564531731</v>
      </c>
      <c r="AV170" s="5"/>
      <c r="AW170" s="150">
        <f t="shared" ref="AW170:AW233" si="479">AT170/AS170</f>
        <v>0.36905613278867005</v>
      </c>
      <c r="AX170" s="150">
        <f t="shared" si="435"/>
        <v>3.8200886405461563</v>
      </c>
      <c r="AY170" s="150">
        <f t="shared" si="436"/>
        <v>0.73037763140381917</v>
      </c>
      <c r="AZ170" s="150">
        <f t="shared" si="440"/>
        <v>5.2302924902064314</v>
      </c>
      <c r="BA170" s="144">
        <f t="shared" si="433"/>
        <v>44.741053020548151</v>
      </c>
      <c r="BB170" s="5">
        <f t="shared" si="434"/>
        <v>0.89106419287904015</v>
      </c>
      <c r="BD170" s="150">
        <f t="shared" si="441"/>
        <v>0.81203046359327447</v>
      </c>
      <c r="BE170" s="150">
        <f t="shared" si="437"/>
        <v>1.0617480465324949</v>
      </c>
      <c r="BG170" s="456">
        <f t="shared" ref="BG170:BG210" si="480">Rdson*BD170^2</f>
        <v>1.3187869476070164E-2</v>
      </c>
      <c r="BH170" s="456">
        <f t="shared" si="470"/>
        <v>7.4130404746889006E-2</v>
      </c>
      <c r="BI170" s="456">
        <f t="shared" si="471"/>
        <v>2.6552963534510143E-2</v>
      </c>
      <c r="BJ170" s="456">
        <f t="shared" ref="BJ170:BJ210" si="481">0.5*(Coss+Csw)*K170^2*AN170*1000</f>
        <v>2.4550933426000163E-3</v>
      </c>
      <c r="BK170">
        <f t="shared" ref="BK170:BK210" si="482">I170*IQ</f>
        <v>4.0238037110146068E-3</v>
      </c>
      <c r="BL170" s="144">
        <f t="shared" si="427"/>
        <v>30.576767245524753</v>
      </c>
      <c r="BM170" s="456">
        <f t="shared" si="472"/>
        <v>9.3627468170813868E-2</v>
      </c>
      <c r="BN170" s="144">
        <f t="shared" si="353"/>
        <v>93.62746817081387</v>
      </c>
      <c r="BO170" s="456">
        <f t="shared" ref="BO170:BO210" si="483">Vfwd2*F170</f>
        <v>0.504</v>
      </c>
      <c r="BR170" s="144">
        <f t="shared" ref="BR170:BR210" si="484">SUM(BO170:BQ170)*1000</f>
        <v>504</v>
      </c>
      <c r="BS170" s="456">
        <f t="shared" ref="BS170:BS210" si="485">Rdcr_pri*BD170^2</f>
        <v>1.9781804214105244E-2</v>
      </c>
      <c r="BT170" s="456">
        <f t="shared" ref="BT170:BT210" si="486">Rdcr_sec*BE170^2</f>
        <v>3.3819267429467066E-2</v>
      </c>
      <c r="BU170" s="456">
        <f t="shared" ref="BU170:BU210" si="487">AJ170^2.5*AN170^2.5*k_core</f>
        <v>6.2705933620662221E-2</v>
      </c>
      <c r="BV170" s="456"/>
      <c r="BW170" s="456">
        <f t="shared" ref="BW170:BW210" si="488">0.5*Lleak*0.000000001*AJ170^2*AN170*1000</f>
        <v>6.3668144009102607E-4</v>
      </c>
      <c r="BX170" s="144">
        <f t="shared" ref="BX170:BX210" si="489">SUM(BS170:BW170)*1000</f>
        <v>116.94368670432554</v>
      </c>
      <c r="BY170" s="150">
        <f t="shared" ref="BY170:BY210" si="490">SUM(BG170:BK170,BO170:BQ170,BS170:BW170)</f>
        <v>0.74129382151540946</v>
      </c>
      <c r="BZ170" s="5">
        <f t="shared" ref="BZ170:BZ210" si="491">MIN(H170,O170)</f>
        <v>3.5999999999999996</v>
      </c>
      <c r="CA170" s="150">
        <f t="shared" ref="CA170:CA210" si="492">BZ170/(BZ170+BY170)</f>
        <v>0.82924587646162895</v>
      </c>
      <c r="CB170" s="5">
        <f t="shared" ref="CB170:CB210" si="493">CA170*100</f>
        <v>82.924587646162891</v>
      </c>
      <c r="CE170" s="59">
        <f t="shared" si="473"/>
        <v>-50</v>
      </c>
      <c r="CF170">
        <f t="shared" si="474"/>
        <v>-50</v>
      </c>
      <c r="CG170" s="150">
        <f t="shared" si="475"/>
        <v>0.618408203125</v>
      </c>
      <c r="CI170" s="147">
        <v>60</v>
      </c>
      <c r="CJ170" s="188">
        <f t="shared" si="428"/>
        <v>0.72</v>
      </c>
      <c r="CK170" s="188"/>
      <c r="CL170" s="188">
        <f t="shared" si="368"/>
        <v>3.5999999999999996</v>
      </c>
      <c r="CM170" s="465">
        <f t="shared" si="369"/>
        <v>9</v>
      </c>
      <c r="CN170" s="379">
        <f t="shared" si="370"/>
        <v>5.4</v>
      </c>
      <c r="CO170" s="379">
        <f t="shared" si="371"/>
        <v>14.4</v>
      </c>
      <c r="CP170" s="379"/>
      <c r="CQ170" s="188">
        <f t="shared" si="372"/>
        <v>0.375</v>
      </c>
      <c r="CR170" s="149">
        <f t="shared" si="429"/>
        <v>8.4754687499999992</v>
      </c>
      <c r="CS170" s="149">
        <f t="shared" si="373"/>
        <v>3.5999999999999996</v>
      </c>
      <c r="CT170" s="188">
        <f t="shared" si="374"/>
        <v>1.6950937499999998</v>
      </c>
      <c r="CU170" s="188">
        <f t="shared" si="375"/>
        <v>5</v>
      </c>
      <c r="CV170" s="188"/>
      <c r="CW170" s="149">
        <f t="shared" si="376"/>
        <v>22.407840458701845</v>
      </c>
      <c r="CX170" s="149">
        <f t="shared" si="377"/>
        <v>5</v>
      </c>
      <c r="CY170" s="188">
        <f t="shared" si="378"/>
        <v>2.1333333333333333</v>
      </c>
      <c r="CZ170" s="188">
        <f t="shared" si="379"/>
        <v>2.8444444444444441</v>
      </c>
      <c r="DA170" s="188">
        <f t="shared" si="380"/>
        <v>4.7407407407407396</v>
      </c>
      <c r="DB170" s="172">
        <f t="shared" si="381"/>
        <v>281.25</v>
      </c>
      <c r="DC170" s="379">
        <f t="shared" si="382"/>
        <v>131.83593750000003</v>
      </c>
      <c r="DE170" s="188">
        <f t="shared" si="383"/>
        <v>1</v>
      </c>
      <c r="DF170" s="150">
        <f t="shared" si="384"/>
        <v>2.2222222222222219</v>
      </c>
      <c r="DG170" s="150">
        <f t="shared" si="385"/>
        <v>0.31249999999999994</v>
      </c>
      <c r="DH170" s="150"/>
      <c r="DI170" s="150">
        <f t="shared" si="386"/>
        <v>2.2222222222222219</v>
      </c>
      <c r="DJ170" s="314">
        <f t="shared" si="387"/>
        <v>648</v>
      </c>
      <c r="DK170" s="456">
        <f t="shared" si="388"/>
        <v>0.31249999999999994</v>
      </c>
      <c r="DM170" s="150">
        <f t="shared" si="389"/>
        <v>1.360672102833218</v>
      </c>
      <c r="DN170" s="150">
        <f t="shared" si="390"/>
        <v>2.1333333333333333</v>
      </c>
      <c r="DO170" s="150">
        <f t="shared" si="391"/>
        <v>2.0395061728395061</v>
      </c>
      <c r="DQ170" s="314">
        <f t="shared" si="392"/>
        <v>720</v>
      </c>
      <c r="DR170" s="144">
        <f t="shared" si="393"/>
        <v>131.83593750000003</v>
      </c>
      <c r="DT170">
        <f t="shared" si="430"/>
        <v>720</v>
      </c>
      <c r="DU170">
        <f t="shared" si="431"/>
        <v>131.83593750000003</v>
      </c>
      <c r="DW170" s="5">
        <f t="shared" si="394"/>
        <v>7.5851851851851837</v>
      </c>
      <c r="DX170" s="5">
        <f t="shared" si="395"/>
        <v>2.8444444444444441</v>
      </c>
      <c r="DY170" s="5">
        <f t="shared" si="396"/>
        <v>4.7407407407407396</v>
      </c>
      <c r="DZ170" s="5"/>
      <c r="EA170" s="150">
        <f t="shared" si="397"/>
        <v>0.37500000000000006</v>
      </c>
      <c r="EB170" s="150">
        <f t="shared" si="398"/>
        <v>3.600000000000001</v>
      </c>
      <c r="EC170" s="150">
        <f t="shared" si="399"/>
        <v>0.66666666666666663</v>
      </c>
      <c r="ED170" s="150">
        <f t="shared" si="400"/>
        <v>5.4000000000000021</v>
      </c>
      <c r="EE170" s="144">
        <f t="shared" si="401"/>
        <v>40.959999999999987</v>
      </c>
      <c r="EF170" s="5">
        <f t="shared" si="402"/>
        <v>0.79012345679012308</v>
      </c>
      <c r="EH170" s="150">
        <f t="shared" si="403"/>
        <v>0.75424723326565069</v>
      </c>
      <c r="EI170" s="150">
        <f t="shared" si="404"/>
        <v>0.97372899112029532</v>
      </c>
      <c r="EK170" s="456">
        <f t="shared" si="405"/>
        <v>1.1377777777777778E-2</v>
      </c>
      <c r="EL170" s="456">
        <f t="shared" si="406"/>
        <v>8.1000000000000016E-2</v>
      </c>
      <c r="EM170" s="456">
        <f t="shared" si="407"/>
        <v>1.6479492187500003E-2</v>
      </c>
      <c r="EN170" s="456">
        <f t="shared" si="408"/>
        <v>2.7337500000000009E-3</v>
      </c>
      <c r="EO170">
        <f t="shared" si="409"/>
        <v>4.0499999999999998E-3</v>
      </c>
      <c r="EP170" s="144">
        <f t="shared" si="410"/>
        <v>20.529492187500004</v>
      </c>
      <c r="EQ170" s="144"/>
      <c r="ER170" s="144">
        <f t="shared" si="432"/>
        <v>115.64101996527781</v>
      </c>
      <c r="ES170" s="456">
        <f t="shared" si="411"/>
        <v>0.504</v>
      </c>
      <c r="EV170" s="144">
        <f t="shared" ref="EV170:EV210" si="494">SUM(ES170:EU170)*1000</f>
        <v>504</v>
      </c>
      <c r="EW170" s="456">
        <f t="shared" si="413"/>
        <v>1.7066666666666667E-2</v>
      </c>
      <c r="EX170" s="456">
        <f t="shared" si="414"/>
        <v>2.8444444444444446E-2</v>
      </c>
      <c r="EY170" s="456">
        <f t="shared" si="415"/>
        <v>6.6328676578668019E-2</v>
      </c>
      <c r="EZ170" s="456"/>
      <c r="FA170" s="456">
        <f t="shared" si="416"/>
        <v>6.0000000000000016E-4</v>
      </c>
      <c r="FB170" s="144">
        <f t="shared" si="417"/>
        <v>112.43978768977914</v>
      </c>
      <c r="FC170" s="150">
        <f t="shared" si="418"/>
        <v>0.73208080765505701</v>
      </c>
      <c r="FD170" s="5">
        <f t="shared" si="419"/>
        <v>3.5999999999999996</v>
      </c>
      <c r="FE170" s="150">
        <f t="shared" si="420"/>
        <v>0.83100942938058198</v>
      </c>
      <c r="FF170" s="5">
        <f t="shared" si="421"/>
        <v>83.100942938058196</v>
      </c>
      <c r="FI170" s="59">
        <f t="shared" si="422"/>
        <v>-50</v>
      </c>
      <c r="FJ170">
        <f t="shared" si="423"/>
        <v>-50</v>
      </c>
      <c r="FL170">
        <f t="shared" si="476"/>
        <v>0.625</v>
      </c>
    </row>
    <row r="171" spans="5:168">
      <c r="E171" s="147">
        <v>61</v>
      </c>
      <c r="F171" s="188">
        <f t="shared" si="477"/>
        <v>0.73199999999999998</v>
      </c>
      <c r="G171" s="188"/>
      <c r="H171" s="188">
        <f t="shared" si="442"/>
        <v>3.66</v>
      </c>
      <c r="I171" s="465">
        <f t="shared" si="443"/>
        <v>8.9408261317458262</v>
      </c>
      <c r="J171" s="149">
        <f t="shared" si="444"/>
        <v>5.4355043209525045</v>
      </c>
      <c r="K171" s="149">
        <f t="shared" si="445"/>
        <v>14.37633045269833</v>
      </c>
      <c r="L171" s="379"/>
      <c r="M171" s="188">
        <f t="shared" si="446"/>
        <v>0.37807111274992999</v>
      </c>
      <c r="N171" s="149">
        <f t="shared" si="447"/>
        <v>8.4886982272829865</v>
      </c>
      <c r="O171" s="149">
        <f t="shared" si="438"/>
        <v>3.66</v>
      </c>
      <c r="P171" s="188">
        <f t="shared" si="448"/>
        <v>1.6977396454565974</v>
      </c>
      <c r="Q171" s="188">
        <f t="shared" si="449"/>
        <v>5</v>
      </c>
      <c r="R171" s="188"/>
      <c r="S171" s="149">
        <f t="shared" si="450"/>
        <v>21.756196698406942</v>
      </c>
      <c r="T171" s="149">
        <f t="shared" si="451"/>
        <v>5</v>
      </c>
      <c r="U171" s="188">
        <f t="shared" si="452"/>
        <v>2.3539668762987418</v>
      </c>
      <c r="V171" s="188">
        <f t="shared" si="453"/>
        <v>3.1593951274018512</v>
      </c>
      <c r="W171" s="188">
        <f t="shared" si="454"/>
        <v>5.1968687443955268</v>
      </c>
      <c r="X171" s="172">
        <f t="shared" si="455"/>
        <v>281.70087881540519</v>
      </c>
      <c r="Y171" s="379">
        <f t="shared" si="328"/>
        <v>116.87344090639112</v>
      </c>
      <c r="AA171" s="188">
        <f t="shared" si="456"/>
        <v>1</v>
      </c>
      <c r="AB171" s="150">
        <f t="shared" si="457"/>
        <v>2.207706827449849</v>
      </c>
      <c r="AC171" s="150">
        <f t="shared" si="458"/>
        <v>0.31095647672969629</v>
      </c>
      <c r="AD171" s="150"/>
      <c r="AE171" s="150">
        <f t="shared" si="459"/>
        <v>2.207706827449849</v>
      </c>
      <c r="AF171" s="314">
        <f t="shared" si="460"/>
        <v>663.13152715620561</v>
      </c>
      <c r="AG171" s="456">
        <f t="shared" si="461"/>
        <v>0.31095647672969629</v>
      </c>
      <c r="AI171" s="150">
        <f t="shared" si="462"/>
        <v>1.3764670378038797</v>
      </c>
      <c r="AJ171" s="150">
        <f t="shared" si="463"/>
        <v>2.3539668762987418</v>
      </c>
      <c r="AK171" s="150">
        <f t="shared" si="464"/>
        <v>2.2029384268879566</v>
      </c>
      <c r="AM171" s="314">
        <f t="shared" si="465"/>
        <v>732</v>
      </c>
      <c r="AN171" s="144">
        <f t="shared" si="466"/>
        <v>116.87344090639112</v>
      </c>
      <c r="AP171">
        <f t="shared" si="467"/>
        <v>732</v>
      </c>
      <c r="AQ171">
        <f t="shared" si="468"/>
        <v>116.87344090639112</v>
      </c>
      <c r="AS171" s="5">
        <f t="shared" si="439"/>
        <v>8.5562638717973769</v>
      </c>
      <c r="AT171" s="5">
        <f t="shared" si="469"/>
        <v>3.1593951274018512</v>
      </c>
      <c r="AU171" s="5">
        <f t="shared" si="478"/>
        <v>5.3968687443955261</v>
      </c>
      <c r="AV171" s="5"/>
      <c r="AW171" s="150">
        <f t="shared" si="479"/>
        <v>0.36924937972234029</v>
      </c>
      <c r="AX171" s="150">
        <f t="shared" si="435"/>
        <v>3.8856866532431864</v>
      </c>
      <c r="AY171" s="150">
        <f t="shared" si="436"/>
        <v>0.74238303366924818</v>
      </c>
      <c r="AZ171" s="150">
        <f t="shared" si="440"/>
        <v>5.2340725434390318</v>
      </c>
      <c r="BA171" s="144">
        <f t="shared" si="433"/>
        <v>46.253544665163098</v>
      </c>
      <c r="BB171" s="5">
        <f t="shared" si="434"/>
        <v>0.92052174082442484</v>
      </c>
      <c r="BD171" s="150">
        <f t="shared" si="441"/>
        <v>0.82584702238459151</v>
      </c>
      <c r="BE171" s="150">
        <f t="shared" si="437"/>
        <v>1.0793655762479439</v>
      </c>
      <c r="BG171" s="456">
        <f t="shared" si="480"/>
        <v>1.3640466087629919E-2</v>
      </c>
      <c r="BH171" s="456">
        <f t="shared" si="470"/>
        <v>7.415927864830707E-2</v>
      </c>
      <c r="BI171" s="456">
        <f t="shared" si="471"/>
        <v>2.6123627864072834E-2</v>
      </c>
      <c r="BJ171" s="456">
        <f t="shared" si="481"/>
        <v>2.4155271550988905E-3</v>
      </c>
      <c r="BK171">
        <f t="shared" si="482"/>
        <v>4.0233717592856218E-3</v>
      </c>
      <c r="BL171" s="144">
        <f t="shared" si="427"/>
        <v>30.146999623358457</v>
      </c>
      <c r="BM171" s="456">
        <f t="shared" si="472"/>
        <v>9.4203508927778318E-2</v>
      </c>
      <c r="BN171" s="144">
        <f t="shared" si="353"/>
        <v>94.203508927778316</v>
      </c>
      <c r="BO171" s="456">
        <f t="shared" si="483"/>
        <v>0.51239999999999997</v>
      </c>
      <c r="BR171" s="144">
        <f t="shared" si="484"/>
        <v>512.4</v>
      </c>
      <c r="BS171" s="456">
        <f t="shared" si="485"/>
        <v>2.0460699131444878E-2</v>
      </c>
      <c r="BT171" s="456">
        <f t="shared" si="486"/>
        <v>3.4950901415671677E-2</v>
      </c>
      <c r="BU171" s="456">
        <f t="shared" si="487"/>
        <v>6.2771202564419162E-2</v>
      </c>
      <c r="BV171" s="456"/>
      <c r="BW171" s="456">
        <f t="shared" si="488"/>
        <v>6.4761444220719786E-4</v>
      </c>
      <c r="BX171" s="144">
        <f t="shared" si="489"/>
        <v>118.8304175537429</v>
      </c>
      <c r="BY171" s="150">
        <f t="shared" si="490"/>
        <v>0.75159268906813725</v>
      </c>
      <c r="BZ171" s="5">
        <f t="shared" si="491"/>
        <v>3.66</v>
      </c>
      <c r="CA171" s="150">
        <f t="shared" si="492"/>
        <v>0.82963234776171135</v>
      </c>
      <c r="CB171" s="5">
        <f t="shared" si="493"/>
        <v>82.963234776171134</v>
      </c>
      <c r="CE171" s="59">
        <f t="shared" si="473"/>
        <v>-50</v>
      </c>
      <c r="CF171">
        <f t="shared" si="474"/>
        <v>-50</v>
      </c>
      <c r="CG171" s="150">
        <f t="shared" si="475"/>
        <v>0.61851626536885251</v>
      </c>
      <c r="CI171" s="147">
        <v>61</v>
      </c>
      <c r="CJ171" s="188">
        <f t="shared" si="428"/>
        <v>0.73199999999999998</v>
      </c>
      <c r="CK171" s="188"/>
      <c r="CL171" s="188">
        <f t="shared" si="368"/>
        <v>3.66</v>
      </c>
      <c r="CM171" s="465">
        <f t="shared" si="369"/>
        <v>9</v>
      </c>
      <c r="CN171" s="379">
        <f t="shared" si="370"/>
        <v>5.4</v>
      </c>
      <c r="CO171" s="379">
        <f t="shared" si="371"/>
        <v>14.4</v>
      </c>
      <c r="CP171" s="379"/>
      <c r="CQ171" s="188">
        <f t="shared" si="372"/>
        <v>0.375</v>
      </c>
      <c r="CR171" s="149">
        <f t="shared" si="429"/>
        <v>8.4754687499999992</v>
      </c>
      <c r="CS171" s="149">
        <f t="shared" si="373"/>
        <v>3.66</v>
      </c>
      <c r="CT171" s="188">
        <f t="shared" si="374"/>
        <v>1.6950937499999998</v>
      </c>
      <c r="CU171" s="188">
        <f t="shared" si="375"/>
        <v>5</v>
      </c>
      <c r="CV171" s="188"/>
      <c r="CW171" s="149">
        <f t="shared" si="376"/>
        <v>21.89914607759437</v>
      </c>
      <c r="CX171" s="149">
        <f t="shared" si="377"/>
        <v>5</v>
      </c>
      <c r="CY171" s="188">
        <f t="shared" si="378"/>
        <v>2.1688888888888891</v>
      </c>
      <c r="CZ171" s="188">
        <f t="shared" si="379"/>
        <v>2.8918518518518521</v>
      </c>
      <c r="DA171" s="188">
        <f t="shared" si="380"/>
        <v>4.8197530864197535</v>
      </c>
      <c r="DB171" s="172">
        <f t="shared" si="381"/>
        <v>281.25</v>
      </c>
      <c r="DC171" s="379">
        <f t="shared" si="382"/>
        <v>129.6746926229508</v>
      </c>
      <c r="DE171" s="188">
        <f t="shared" si="383"/>
        <v>1</v>
      </c>
      <c r="DF171" s="150">
        <f t="shared" si="384"/>
        <v>2.2222222222222219</v>
      </c>
      <c r="DG171" s="150">
        <f t="shared" si="385"/>
        <v>0.31249999999999994</v>
      </c>
      <c r="DH171" s="150"/>
      <c r="DI171" s="150">
        <f t="shared" si="386"/>
        <v>2.2222222222222219</v>
      </c>
      <c r="DJ171" s="314">
        <f t="shared" si="387"/>
        <v>658.8</v>
      </c>
      <c r="DK171" s="456">
        <f t="shared" si="388"/>
        <v>0.31249999999999994</v>
      </c>
      <c r="DM171" s="150">
        <f t="shared" si="389"/>
        <v>1.3719641811234411</v>
      </c>
      <c r="DN171" s="150">
        <f t="shared" si="390"/>
        <v>2.1688888888888891</v>
      </c>
      <c r="DO171" s="150">
        <f t="shared" si="391"/>
        <v>2.0658436213991771</v>
      </c>
      <c r="DQ171" s="314">
        <f t="shared" si="392"/>
        <v>732</v>
      </c>
      <c r="DR171" s="144">
        <f t="shared" si="393"/>
        <v>129.6746926229508</v>
      </c>
      <c r="DT171">
        <f t="shared" si="430"/>
        <v>732</v>
      </c>
      <c r="DU171">
        <f t="shared" si="431"/>
        <v>129.6746926229508</v>
      </c>
      <c r="DW171" s="5">
        <f t="shared" si="394"/>
        <v>7.7116049382716056</v>
      </c>
      <c r="DX171" s="5">
        <f t="shared" si="395"/>
        <v>2.8918518518518521</v>
      </c>
      <c r="DY171" s="5">
        <f t="shared" si="396"/>
        <v>4.8197530864197535</v>
      </c>
      <c r="DZ171" s="5"/>
      <c r="EA171" s="150">
        <f t="shared" si="397"/>
        <v>0.375</v>
      </c>
      <c r="EB171" s="150">
        <f t="shared" si="398"/>
        <v>3.6600000000000006</v>
      </c>
      <c r="EC171" s="150">
        <f t="shared" si="399"/>
        <v>0.67777777777777781</v>
      </c>
      <c r="ED171" s="150">
        <f t="shared" si="400"/>
        <v>5.4</v>
      </c>
      <c r="EE171" s="144">
        <f t="shared" si="401"/>
        <v>42.336711111111121</v>
      </c>
      <c r="EF171" s="5">
        <f t="shared" si="402"/>
        <v>0.81668038408779142</v>
      </c>
      <c r="EH171" s="150">
        <f t="shared" si="403"/>
        <v>0.76681802048674497</v>
      </c>
      <c r="EI171" s="150">
        <f t="shared" si="404"/>
        <v>0.98995780763896701</v>
      </c>
      <c r="EK171" s="456">
        <f t="shared" si="405"/>
        <v>1.17601975308642E-2</v>
      </c>
      <c r="EL171" s="456">
        <f t="shared" si="406"/>
        <v>8.1000000000000003E-2</v>
      </c>
      <c r="EM171" s="456">
        <f t="shared" si="407"/>
        <v>1.6209336577868851E-2</v>
      </c>
      <c r="EN171" s="456">
        <f t="shared" si="408"/>
        <v>2.6889344262295079E-3</v>
      </c>
      <c r="EO171">
        <f t="shared" si="409"/>
        <v>4.0499999999999998E-3</v>
      </c>
      <c r="EP171" s="144">
        <f t="shared" si="410"/>
        <v>20.259336577868854</v>
      </c>
      <c r="EQ171" s="144"/>
      <c r="ER171" s="144">
        <f t="shared" si="432"/>
        <v>115.70846853496256</v>
      </c>
      <c r="ES171" s="456">
        <f t="shared" si="411"/>
        <v>0.51239999999999997</v>
      </c>
      <c r="EV171" s="144">
        <f t="shared" si="494"/>
        <v>512.4</v>
      </c>
      <c r="EW171" s="456">
        <f t="shared" si="413"/>
        <v>1.76402962962963E-2</v>
      </c>
      <c r="EX171" s="456">
        <f t="shared" si="414"/>
        <v>2.94004938271605E-2</v>
      </c>
      <c r="EY171" s="456">
        <f t="shared" si="415"/>
        <v>6.6328676578668019E-2</v>
      </c>
      <c r="EZ171" s="456"/>
      <c r="FA171" s="456">
        <f t="shared" si="416"/>
        <v>6.1000000000000008E-4</v>
      </c>
      <c r="FB171" s="144">
        <f t="shared" si="417"/>
        <v>113.97946670212482</v>
      </c>
      <c r="FC171" s="150">
        <f t="shared" si="418"/>
        <v>0.74208793523708727</v>
      </c>
      <c r="FD171" s="5">
        <f t="shared" si="419"/>
        <v>3.66</v>
      </c>
      <c r="FE171" s="150">
        <f t="shared" si="420"/>
        <v>0.83142364574388716</v>
      </c>
      <c r="FF171" s="5">
        <f t="shared" si="421"/>
        <v>83.142364574388722</v>
      </c>
      <c r="FI171" s="59">
        <f t="shared" si="422"/>
        <v>-50</v>
      </c>
      <c r="FJ171">
        <f t="shared" si="423"/>
        <v>-50</v>
      </c>
      <c r="FL171">
        <f t="shared" si="476"/>
        <v>0.625</v>
      </c>
    </row>
    <row r="172" spans="5:168">
      <c r="E172" s="147">
        <v>62</v>
      </c>
      <c r="F172" s="188">
        <f t="shared" si="477"/>
        <v>0.74399999999999999</v>
      </c>
      <c r="G172" s="188"/>
      <c r="H172" s="188">
        <f t="shared" si="442"/>
        <v>3.7199999999999998</v>
      </c>
      <c r="I172" s="465">
        <f t="shared" si="443"/>
        <v>8.9398662355187781</v>
      </c>
      <c r="J172" s="149">
        <f t="shared" si="444"/>
        <v>5.436080258688734</v>
      </c>
      <c r="K172" s="149">
        <f t="shared" si="445"/>
        <v>14.375946494207511</v>
      </c>
      <c r="L172" s="379"/>
      <c r="M172" s="188">
        <f t="shared" si="446"/>
        <v>0.37812127699806847</v>
      </c>
      <c r="N172" s="149">
        <f t="shared" si="447"/>
        <v>8.4889130713338101</v>
      </c>
      <c r="O172" s="149">
        <f t="shared" si="438"/>
        <v>3.7199999999999998</v>
      </c>
      <c r="P172" s="188">
        <f t="shared" si="448"/>
        <v>1.697782614266762</v>
      </c>
      <c r="Q172" s="188">
        <f t="shared" si="449"/>
        <v>5</v>
      </c>
      <c r="R172" s="188"/>
      <c r="S172" s="149">
        <f t="shared" si="450"/>
        <v>21.265062770475598</v>
      </c>
      <c r="T172" s="149">
        <f t="shared" si="451"/>
        <v>5</v>
      </c>
      <c r="U172" s="188">
        <f t="shared" si="452"/>
        <v>2.3927494943340877</v>
      </c>
      <c r="V172" s="188">
        <f t="shared" si="453"/>
        <v>3.2117923440431482</v>
      </c>
      <c r="W172" s="188">
        <f t="shared" si="454"/>
        <v>5.2819297298114334</v>
      </c>
      <c r="X172" s="172">
        <f t="shared" si="455"/>
        <v>281.70800427994476</v>
      </c>
      <c r="Y172" s="379">
        <f t="shared" si="328"/>
        <v>115.02553124022573</v>
      </c>
      <c r="AA172" s="188">
        <f t="shared" si="456"/>
        <v>1</v>
      </c>
      <c r="AB172" s="150">
        <f t="shared" si="457"/>
        <v>2.2074729269899676</v>
      </c>
      <c r="AC172" s="150">
        <f t="shared" si="458"/>
        <v>0.31093139638217598</v>
      </c>
      <c r="AD172" s="150"/>
      <c r="AE172" s="150">
        <f t="shared" si="459"/>
        <v>2.2074729269899676</v>
      </c>
      <c r="AF172" s="314">
        <f t="shared" si="460"/>
        <v>674.07395207740308</v>
      </c>
      <c r="AG172" s="456">
        <f t="shared" si="461"/>
        <v>0.31093139638217598</v>
      </c>
      <c r="AI172" s="150">
        <f t="shared" si="462"/>
        <v>1.3877772073946195</v>
      </c>
      <c r="AJ172" s="150">
        <f t="shared" si="463"/>
        <v>2.3927494943340877</v>
      </c>
      <c r="AK172" s="150">
        <f t="shared" si="464"/>
        <v>2.231666292099324</v>
      </c>
      <c r="AM172" s="314">
        <f t="shared" si="465"/>
        <v>744</v>
      </c>
      <c r="AN172" s="144">
        <f t="shared" si="466"/>
        <v>115.02553124022573</v>
      </c>
      <c r="AP172">
        <f t="shared" si="467"/>
        <v>744</v>
      </c>
      <c r="AQ172">
        <f t="shared" si="468"/>
        <v>115.02553124022573</v>
      </c>
      <c r="AS172" s="5">
        <f t="shared" si="439"/>
        <v>8.6937220738545804</v>
      </c>
      <c r="AT172" s="5">
        <f t="shared" si="469"/>
        <v>3.2117923440431482</v>
      </c>
      <c r="AU172" s="5">
        <f t="shared" si="478"/>
        <v>5.4819297298114318</v>
      </c>
      <c r="AV172" s="5"/>
      <c r="AW172" s="150">
        <f t="shared" si="479"/>
        <v>0.36943812060685294</v>
      </c>
      <c r="AX172" s="150">
        <f t="shared" si="435"/>
        <v>3.951299634839327</v>
      </c>
      <c r="AY172" s="150">
        <f t="shared" si="436"/>
        <v>0.75438830903215237</v>
      </c>
      <c r="AZ172" s="150">
        <f t="shared" si="440"/>
        <v>5.2377530080081351</v>
      </c>
      <c r="BA172" s="144">
        <f t="shared" si="433"/>
        <v>47.79147007936205</v>
      </c>
      <c r="BB172" s="5">
        <f t="shared" si="434"/>
        <v>0.95046065090420673</v>
      </c>
      <c r="BD172" s="150">
        <f t="shared" si="441"/>
        <v>0.83966772251479982</v>
      </c>
      <c r="BE172" s="150">
        <f t="shared" si="437"/>
        <v>1.0969844255862615</v>
      </c>
      <c r="BG172" s="456">
        <f t="shared" si="480"/>
        <v>1.4100837684663818E-2</v>
      </c>
      <c r="BH172" s="456">
        <f t="shared" si="470"/>
        <v>7.4187237667822245E-2</v>
      </c>
      <c r="BI172" s="456">
        <f t="shared" si="471"/>
        <v>2.5707821573927609E-2</v>
      </c>
      <c r="BJ172" s="456">
        <f t="shared" si="481"/>
        <v>2.3772077810705291E-3</v>
      </c>
      <c r="BK172">
        <f t="shared" si="482"/>
        <v>4.0229398059834498E-3</v>
      </c>
      <c r="BL172" s="144">
        <f t="shared" si="427"/>
        <v>29.730761379911058</v>
      </c>
      <c r="BM172" s="456">
        <f t="shared" si="472"/>
        <v>9.4790090143249198E-2</v>
      </c>
      <c r="BN172" s="144">
        <f t="shared" si="353"/>
        <v>94.790090143249202</v>
      </c>
      <c r="BO172" s="456">
        <f t="shared" si="483"/>
        <v>0.52079999999999993</v>
      </c>
      <c r="BR172" s="144">
        <f t="shared" si="484"/>
        <v>520.79999999999995</v>
      </c>
      <c r="BS172" s="456">
        <f t="shared" si="485"/>
        <v>2.1151256526995725E-2</v>
      </c>
      <c r="BT172" s="456">
        <f t="shared" si="486"/>
        <v>3.6101244899364601E-2</v>
      </c>
      <c r="BU172" s="456">
        <f t="shared" si="487"/>
        <v>6.2834578539908939E-2</v>
      </c>
      <c r="BV172" s="456"/>
      <c r="BW172" s="456">
        <f t="shared" si="488"/>
        <v>6.5854993913988785E-4</v>
      </c>
      <c r="BX172" s="144">
        <f t="shared" si="489"/>
        <v>120.74562990540916</v>
      </c>
      <c r="BY172" s="150">
        <f t="shared" si="490"/>
        <v>0.76194167441887672</v>
      </c>
      <c r="BZ172" s="5">
        <f t="shared" si="491"/>
        <v>3.7199999999999998</v>
      </c>
      <c r="CA172" s="150">
        <f t="shared" si="492"/>
        <v>0.82999741411903383</v>
      </c>
      <c r="CB172" s="5">
        <f t="shared" si="493"/>
        <v>82.999741411903386</v>
      </c>
      <c r="CE172" s="59">
        <f t="shared" si="473"/>
        <v>-50</v>
      </c>
      <c r="CF172">
        <f t="shared" si="474"/>
        <v>-50</v>
      </c>
      <c r="CG172" s="150">
        <f t="shared" si="475"/>
        <v>0.618620841733871</v>
      </c>
      <c r="CI172" s="147">
        <v>62</v>
      </c>
      <c r="CJ172" s="188">
        <f t="shared" si="428"/>
        <v>0.74399999999999999</v>
      </c>
      <c r="CK172" s="188"/>
      <c r="CL172" s="188">
        <f t="shared" si="368"/>
        <v>3.7199999999999998</v>
      </c>
      <c r="CM172" s="465">
        <f t="shared" si="369"/>
        <v>9</v>
      </c>
      <c r="CN172" s="379">
        <f t="shared" si="370"/>
        <v>5.4</v>
      </c>
      <c r="CO172" s="379">
        <f t="shared" si="371"/>
        <v>14.4</v>
      </c>
      <c r="CP172" s="379"/>
      <c r="CQ172" s="188">
        <f t="shared" si="372"/>
        <v>0.375</v>
      </c>
      <c r="CR172" s="149">
        <f t="shared" si="429"/>
        <v>8.4754687499999992</v>
      </c>
      <c r="CS172" s="149">
        <f t="shared" si="373"/>
        <v>3.7199999999999998</v>
      </c>
      <c r="CT172" s="188">
        <f t="shared" si="374"/>
        <v>1.6950937499999998</v>
      </c>
      <c r="CU172" s="188">
        <f t="shared" si="375"/>
        <v>5</v>
      </c>
      <c r="CV172" s="188"/>
      <c r="CW172" s="149">
        <f t="shared" si="376"/>
        <v>21.407019938789837</v>
      </c>
      <c r="CX172" s="149">
        <f t="shared" si="377"/>
        <v>5</v>
      </c>
      <c r="CY172" s="188">
        <f t="shared" si="378"/>
        <v>2.2044444444444444</v>
      </c>
      <c r="CZ172" s="188">
        <f t="shared" si="379"/>
        <v>2.9392592592592592</v>
      </c>
      <c r="DA172" s="188">
        <f t="shared" si="380"/>
        <v>4.8987654320987657</v>
      </c>
      <c r="DB172" s="172">
        <f t="shared" si="381"/>
        <v>281.25</v>
      </c>
      <c r="DC172" s="379">
        <f t="shared" si="382"/>
        <v>127.58316532258065</v>
      </c>
      <c r="DE172" s="188">
        <f t="shared" si="383"/>
        <v>1</v>
      </c>
      <c r="DF172" s="150">
        <f t="shared" si="384"/>
        <v>2.2222222222222219</v>
      </c>
      <c r="DG172" s="150">
        <f t="shared" si="385"/>
        <v>0.31249999999999994</v>
      </c>
      <c r="DH172" s="150"/>
      <c r="DI172" s="150">
        <f t="shared" si="386"/>
        <v>2.2222222222222219</v>
      </c>
      <c r="DJ172" s="314">
        <f t="shared" si="387"/>
        <v>669.6</v>
      </c>
      <c r="DK172" s="456">
        <f t="shared" si="388"/>
        <v>0.31249999999999994</v>
      </c>
      <c r="DM172" s="150">
        <f t="shared" si="389"/>
        <v>1.3831640745561813</v>
      </c>
      <c r="DN172" s="150">
        <f t="shared" si="390"/>
        <v>2.2044444444444444</v>
      </c>
      <c r="DO172" s="150">
        <f t="shared" si="391"/>
        <v>2.0921810699588477</v>
      </c>
      <c r="DQ172" s="314">
        <f t="shared" si="392"/>
        <v>744</v>
      </c>
      <c r="DR172" s="144">
        <f t="shared" si="393"/>
        <v>127.58316532258065</v>
      </c>
      <c r="DT172">
        <f t="shared" si="430"/>
        <v>744</v>
      </c>
      <c r="DU172">
        <f t="shared" si="431"/>
        <v>127.58316532258065</v>
      </c>
      <c r="DW172" s="5">
        <f t="shared" si="394"/>
        <v>7.838024691358024</v>
      </c>
      <c r="DX172" s="5">
        <f t="shared" si="395"/>
        <v>2.9392592592592592</v>
      </c>
      <c r="DY172" s="5">
        <f t="shared" si="396"/>
        <v>4.8987654320987648</v>
      </c>
      <c r="DZ172" s="5"/>
      <c r="EA172" s="150">
        <f t="shared" si="397"/>
        <v>0.37500000000000006</v>
      </c>
      <c r="EB172" s="150">
        <f t="shared" si="398"/>
        <v>3.72</v>
      </c>
      <c r="EC172" s="150">
        <f t="shared" si="399"/>
        <v>0.68888888888888888</v>
      </c>
      <c r="ED172" s="150">
        <f t="shared" si="400"/>
        <v>5.4</v>
      </c>
      <c r="EE172" s="144">
        <f t="shared" si="401"/>
        <v>43.736177777777776</v>
      </c>
      <c r="EF172" s="5">
        <f t="shared" si="402"/>
        <v>0.84367626886145375</v>
      </c>
      <c r="EH172" s="150">
        <f t="shared" si="403"/>
        <v>0.77938880770783914</v>
      </c>
      <c r="EI172" s="150">
        <f t="shared" si="404"/>
        <v>1.0061866241576385</v>
      </c>
      <c r="EK172" s="456">
        <f t="shared" si="405"/>
        <v>1.2148938271604941E-2</v>
      </c>
      <c r="EL172" s="456">
        <f t="shared" si="406"/>
        <v>8.1000000000000016E-2</v>
      </c>
      <c r="EM172" s="456">
        <f t="shared" si="407"/>
        <v>1.5947895665322582E-2</v>
      </c>
      <c r="EN172" s="456">
        <f t="shared" si="408"/>
        <v>2.6455645161290323E-3</v>
      </c>
      <c r="EO172">
        <f t="shared" si="409"/>
        <v>4.0499999999999998E-3</v>
      </c>
      <c r="EP172" s="144">
        <f t="shared" si="410"/>
        <v>19.997895665322584</v>
      </c>
      <c r="EQ172" s="144"/>
      <c r="ER172" s="144">
        <f t="shared" si="432"/>
        <v>115.79239845305656</v>
      </c>
      <c r="ES172" s="456">
        <f t="shared" si="411"/>
        <v>0.52079999999999993</v>
      </c>
      <c r="EV172" s="144">
        <f t="shared" si="494"/>
        <v>520.79999999999995</v>
      </c>
      <c r="EW172" s="456">
        <f t="shared" si="413"/>
        <v>1.822340740740741E-2</v>
      </c>
      <c r="EX172" s="456">
        <f t="shared" si="414"/>
        <v>3.0372345679012345E-2</v>
      </c>
      <c r="EY172" s="456">
        <f t="shared" si="415"/>
        <v>6.6328676578668172E-2</v>
      </c>
      <c r="EZ172" s="456"/>
      <c r="FA172" s="456">
        <f t="shared" si="416"/>
        <v>6.2000000000000011E-4</v>
      </c>
      <c r="FB172" s="144">
        <f t="shared" si="417"/>
        <v>115.54442966508792</v>
      </c>
      <c r="FC172" s="150">
        <f t="shared" si="418"/>
        <v>0.75213682811814431</v>
      </c>
      <c r="FD172" s="5">
        <f t="shared" si="419"/>
        <v>3.7199999999999998</v>
      </c>
      <c r="FE172" s="150">
        <f t="shared" si="420"/>
        <v>0.83181712522990048</v>
      </c>
      <c r="FF172" s="5">
        <f t="shared" si="421"/>
        <v>83.181712522990054</v>
      </c>
      <c r="FI172" s="59">
        <f t="shared" si="422"/>
        <v>-50</v>
      </c>
      <c r="FJ172">
        <f t="shared" si="423"/>
        <v>-50</v>
      </c>
      <c r="FL172">
        <f t="shared" si="476"/>
        <v>0.625</v>
      </c>
    </row>
    <row r="173" spans="5:168">
      <c r="E173" s="147">
        <v>63</v>
      </c>
      <c r="F173" s="188">
        <f t="shared" si="477"/>
        <v>0.75600000000000001</v>
      </c>
      <c r="G173" s="188"/>
      <c r="H173" s="188">
        <f t="shared" si="442"/>
        <v>3.7800000000000002</v>
      </c>
      <c r="I173" s="465">
        <f t="shared" si="443"/>
        <v>8.9389063359639227</v>
      </c>
      <c r="J173" s="149">
        <f t="shared" si="444"/>
        <v>5.4366561984216464</v>
      </c>
      <c r="K173" s="149">
        <f t="shared" si="445"/>
        <v>14.375562534385569</v>
      </c>
      <c r="L173" s="379"/>
      <c r="M173" s="188">
        <f t="shared" si="446"/>
        <v>0.37817144401307129</v>
      </c>
      <c r="N173" s="149">
        <f t="shared" si="447"/>
        <v>8.4891277324885728</v>
      </c>
      <c r="O173" s="149">
        <f t="shared" si="438"/>
        <v>3.7800000000000002</v>
      </c>
      <c r="P173" s="188">
        <f>N173/Vout</f>
        <v>1.6978255464977146</v>
      </c>
      <c r="Q173" s="188">
        <f t="shared" si="449"/>
        <v>5</v>
      </c>
      <c r="R173" s="188"/>
      <c r="S173" s="149">
        <f t="shared" si="450"/>
        <v>20.789709629539285</v>
      </c>
      <c r="T173" s="149">
        <f t="shared" si="451"/>
        <v>5</v>
      </c>
      <c r="U173" s="188">
        <f t="shared" si="452"/>
        <v>2.4315383805432429</v>
      </c>
      <c r="V173" s="188">
        <f t="shared" si="453"/>
        <v>3.2642092298389058</v>
      </c>
      <c r="W173" s="188">
        <f t="shared" si="454"/>
        <v>5.3669865265693861</v>
      </c>
      <c r="X173" s="172">
        <f t="shared" si="455"/>
        <v>281.71512374029169</v>
      </c>
      <c r="Y173" s="379">
        <f t="shared" si="328"/>
        <v>113.23494887703711</v>
      </c>
      <c r="AA173" s="188">
        <f t="shared" si="456"/>
        <v>1</v>
      </c>
      <c r="AB173" s="150">
        <f t="shared" si="457"/>
        <v>2.2072390752764179</v>
      </c>
      <c r="AC173" s="150">
        <f t="shared" si="458"/>
        <v>0.31090631460795154</v>
      </c>
      <c r="AD173" s="150"/>
      <c r="AE173" s="150">
        <f t="shared" si="459"/>
        <v>2.2072390752764179</v>
      </c>
      <c r="AF173" s="314">
        <f t="shared" si="460"/>
        <v>685.01868100112745</v>
      </c>
      <c r="AG173" s="456">
        <f t="shared" si="461"/>
        <v>0.31090631460795159</v>
      </c>
      <c r="AI173" s="150">
        <f t="shared" si="462"/>
        <v>1.3989982957215468</v>
      </c>
      <c r="AJ173" s="150">
        <f t="shared" si="463"/>
        <v>2.4315383805432429</v>
      </c>
      <c r="AK173" s="150">
        <f t="shared" si="464"/>
        <v>2.260398800402402</v>
      </c>
      <c r="AM173" s="314">
        <f t="shared" si="465"/>
        <v>756</v>
      </c>
      <c r="AN173" s="144">
        <f t="shared" si="466"/>
        <v>113.23494887703711</v>
      </c>
      <c r="AP173">
        <f t="shared" si="467"/>
        <v>756</v>
      </c>
      <c r="AQ173">
        <f t="shared" si="468"/>
        <v>113.23494887703711</v>
      </c>
      <c r="AS173" s="5">
        <f t="shared" si="439"/>
        <v>8.8311957564082917</v>
      </c>
      <c r="AT173" s="5">
        <f t="shared" si="469"/>
        <v>3.2642092298389058</v>
      </c>
      <c r="AU173" s="5">
        <f t="shared" si="478"/>
        <v>5.5669865265693854</v>
      </c>
      <c r="AV173" s="5"/>
      <c r="AW173" s="150">
        <f t="shared" si="479"/>
        <v>0.36962256526476117</v>
      </c>
      <c r="AX173" s="150">
        <f t="shared" si="435"/>
        <v>4.0169275322186691</v>
      </c>
      <c r="AY173" s="150">
        <f t="shared" si="436"/>
        <v>0.76639346339356329</v>
      </c>
      <c r="AZ173" s="150">
        <f t="shared" si="440"/>
        <v>5.2413384561395597</v>
      </c>
      <c r="BA173" s="144">
        <f t="shared" si="433"/>
        <v>49.354843555164258</v>
      </c>
      <c r="BB173" s="5">
        <f t="shared" si="434"/>
        <v>0.98088104403448673</v>
      </c>
      <c r="BD173" s="150">
        <f t="shared" si="441"/>
        <v>0.85349256086916825</v>
      </c>
      <c r="BE173" s="150">
        <f t="shared" si="437"/>
        <v>1.1146045997987841</v>
      </c>
      <c r="BG173" s="456">
        <f t="shared" si="480"/>
        <v>1.4568991029180219E-2</v>
      </c>
      <c r="BH173" s="456">
        <f t="shared" si="470"/>
        <v>7.4214324300789114E-2</v>
      </c>
      <c r="BI173" s="456">
        <f t="shared" si="471"/>
        <v>2.5304915049237445E-2</v>
      </c>
      <c r="BJ173" s="456">
        <f t="shared" si="481"/>
        <v>2.3400771977007879E-3</v>
      </c>
      <c r="BK173">
        <f t="shared" si="482"/>
        <v>4.0225078511837648E-3</v>
      </c>
      <c r="BL173" s="144">
        <f t="shared" si="427"/>
        <v>29.327422900421208</v>
      </c>
      <c r="BM173" s="456">
        <f t="shared" si="472"/>
        <v>9.5387211740225686E-2</v>
      </c>
      <c r="BN173" s="144">
        <f t="shared" si="353"/>
        <v>95.387211740225681</v>
      </c>
      <c r="BO173" s="456">
        <f t="shared" si="483"/>
        <v>0.5292</v>
      </c>
      <c r="BR173" s="144">
        <f t="shared" si="484"/>
        <v>529.20000000000005</v>
      </c>
      <c r="BS173" s="456">
        <f t="shared" si="485"/>
        <v>2.1853486543770326E-2</v>
      </c>
      <c r="BT173" s="456">
        <f t="shared" si="486"/>
        <v>3.7270302416778228E-2</v>
      </c>
      <c r="BU173" s="456">
        <f t="shared" si="487"/>
        <v>6.2896147924076051E-2</v>
      </c>
      <c r="BV173" s="456"/>
      <c r="BW173" s="456">
        <f t="shared" si="488"/>
        <v>6.6948792203644478E-4</v>
      </c>
      <c r="BX173" s="144">
        <f t="shared" si="489"/>
        <v>122.68942480666105</v>
      </c>
      <c r="BY173" s="150">
        <f t="shared" si="490"/>
        <v>0.77234024023475234</v>
      </c>
      <c r="BZ173" s="5">
        <f t="shared" si="491"/>
        <v>3.7800000000000002</v>
      </c>
      <c r="CA173" s="150">
        <f t="shared" si="492"/>
        <v>0.83034215382044374</v>
      </c>
      <c r="CB173" s="5">
        <f t="shared" si="493"/>
        <v>83.03421538204438</v>
      </c>
      <c r="CE173" s="59">
        <f t="shared" si="473"/>
        <v>-50</v>
      </c>
      <c r="CF173">
        <f t="shared" si="474"/>
        <v>-50</v>
      </c>
      <c r="CG173" s="150">
        <f t="shared" si="475"/>
        <v>0.6187220982142857</v>
      </c>
      <c r="CI173" s="147">
        <v>63</v>
      </c>
      <c r="CJ173" s="188">
        <f t="shared" si="428"/>
        <v>0.75600000000000001</v>
      </c>
      <c r="CK173" s="188"/>
      <c r="CL173" s="188">
        <f t="shared" si="368"/>
        <v>3.7800000000000002</v>
      </c>
      <c r="CM173" s="465">
        <f t="shared" si="369"/>
        <v>9</v>
      </c>
      <c r="CN173" s="379">
        <f t="shared" si="370"/>
        <v>5.4</v>
      </c>
      <c r="CO173" s="379">
        <f t="shared" si="371"/>
        <v>14.4</v>
      </c>
      <c r="CP173" s="379"/>
      <c r="CQ173" s="188">
        <f t="shared" si="372"/>
        <v>0.375</v>
      </c>
      <c r="CR173" s="149">
        <f t="shared" si="429"/>
        <v>8.4754687499999992</v>
      </c>
      <c r="CS173" s="149">
        <f t="shared" si="373"/>
        <v>3.7800000000000002</v>
      </c>
      <c r="CT173" s="188">
        <f t="shared" si="374"/>
        <v>1.6950937499999998</v>
      </c>
      <c r="CU173" s="188">
        <f t="shared" si="375"/>
        <v>5</v>
      </c>
      <c r="CV173" s="188"/>
      <c r="CW173" s="149">
        <f t="shared" si="376"/>
        <v>20.930675786137364</v>
      </c>
      <c r="CX173" s="149">
        <f t="shared" si="377"/>
        <v>5</v>
      </c>
      <c r="CY173" s="188">
        <f t="shared" si="378"/>
        <v>2.2400000000000002</v>
      </c>
      <c r="CZ173" s="188">
        <f t="shared" si="379"/>
        <v>2.9866666666666672</v>
      </c>
      <c r="DA173" s="188">
        <f t="shared" si="380"/>
        <v>4.9777777777777779</v>
      </c>
      <c r="DB173" s="172">
        <f t="shared" si="381"/>
        <v>281.25</v>
      </c>
      <c r="DC173" s="379">
        <f t="shared" si="382"/>
        <v>125.55803571428569</v>
      </c>
      <c r="DE173" s="188">
        <f t="shared" si="383"/>
        <v>1</v>
      </c>
      <c r="DF173" s="150">
        <f t="shared" si="384"/>
        <v>2.2222222222222219</v>
      </c>
      <c r="DG173" s="150">
        <f t="shared" si="385"/>
        <v>0.31249999999999994</v>
      </c>
      <c r="DH173" s="150"/>
      <c r="DI173" s="150">
        <f t="shared" si="386"/>
        <v>2.2222222222222219</v>
      </c>
      <c r="DJ173" s="314">
        <f t="shared" si="387"/>
        <v>680.4</v>
      </c>
      <c r="DK173" s="456">
        <f t="shared" si="388"/>
        <v>0.31249999999999994</v>
      </c>
      <c r="DM173" s="150">
        <f t="shared" si="389"/>
        <v>1.3942740046346702</v>
      </c>
      <c r="DN173" s="150">
        <f t="shared" si="390"/>
        <v>2.2400000000000002</v>
      </c>
      <c r="DO173" s="150">
        <f t="shared" si="391"/>
        <v>2.1185185185185187</v>
      </c>
      <c r="DQ173" s="314">
        <f t="shared" si="392"/>
        <v>756</v>
      </c>
      <c r="DR173" s="144">
        <f t="shared" si="393"/>
        <v>125.55803571428569</v>
      </c>
      <c r="DT173">
        <f t="shared" si="430"/>
        <v>756</v>
      </c>
      <c r="DU173">
        <f t="shared" si="431"/>
        <v>125.55803571428569</v>
      </c>
      <c r="DW173" s="5">
        <f t="shared" si="394"/>
        <v>7.964444444444446</v>
      </c>
      <c r="DX173" s="5">
        <f t="shared" si="395"/>
        <v>2.9866666666666672</v>
      </c>
      <c r="DY173" s="5">
        <f t="shared" si="396"/>
        <v>4.9777777777777787</v>
      </c>
      <c r="DZ173" s="5"/>
      <c r="EA173" s="150">
        <f t="shared" si="397"/>
        <v>0.375</v>
      </c>
      <c r="EB173" s="150">
        <f t="shared" si="398"/>
        <v>3.78</v>
      </c>
      <c r="EC173" s="150">
        <f t="shared" si="399"/>
        <v>0.70000000000000007</v>
      </c>
      <c r="ED173" s="150">
        <f t="shared" si="400"/>
        <v>5.3999999999999995</v>
      </c>
      <c r="EE173" s="144">
        <f t="shared" si="401"/>
        <v>45.158400000000007</v>
      </c>
      <c r="EF173" s="5">
        <f t="shared" si="402"/>
        <v>0.87111111111111128</v>
      </c>
      <c r="EH173" s="150">
        <f t="shared" si="403"/>
        <v>0.79195959492893331</v>
      </c>
      <c r="EI173" s="150">
        <f t="shared" si="404"/>
        <v>1.0224154406763102</v>
      </c>
      <c r="EK173" s="456">
        <f t="shared" si="405"/>
        <v>1.2544000000000001E-2</v>
      </c>
      <c r="EL173" s="456">
        <f t="shared" si="406"/>
        <v>8.1000000000000016E-2</v>
      </c>
      <c r="EM173" s="456">
        <f t="shared" si="407"/>
        <v>1.5694754464285709E-2</v>
      </c>
      <c r="EN173" s="456">
        <f t="shared" si="408"/>
        <v>2.6035714285714282E-3</v>
      </c>
      <c r="EO173">
        <f t="shared" si="409"/>
        <v>4.0499999999999998E-3</v>
      </c>
      <c r="EP173" s="144">
        <f t="shared" si="410"/>
        <v>19.744754464285709</v>
      </c>
      <c r="EQ173" s="144"/>
      <c r="ER173" s="144">
        <f t="shared" si="432"/>
        <v>115.89232589285716</v>
      </c>
      <c r="ES173" s="456">
        <f t="shared" si="411"/>
        <v>0.5292</v>
      </c>
      <c r="EV173" s="144">
        <f t="shared" si="494"/>
        <v>529.20000000000005</v>
      </c>
      <c r="EW173" s="456">
        <f t="shared" si="413"/>
        <v>1.8816000000000003E-2</v>
      </c>
      <c r="EX173" s="456">
        <f t="shared" si="414"/>
        <v>3.1359999999999999E-2</v>
      </c>
      <c r="EY173" s="456">
        <f t="shared" si="415"/>
        <v>6.6328676578667978E-2</v>
      </c>
      <c r="EZ173" s="456"/>
      <c r="FA173" s="456">
        <f t="shared" si="416"/>
        <v>6.3000000000000013E-4</v>
      </c>
      <c r="FB173" s="144">
        <f t="shared" si="417"/>
        <v>117.13467657866798</v>
      </c>
      <c r="FC173" s="150">
        <f t="shared" si="418"/>
        <v>0.76222700247152508</v>
      </c>
      <c r="FD173" s="5">
        <f t="shared" si="419"/>
        <v>3.7800000000000002</v>
      </c>
      <c r="FE173" s="150">
        <f t="shared" si="420"/>
        <v>0.83219090502152782</v>
      </c>
      <c r="FF173" s="5">
        <f t="shared" si="421"/>
        <v>83.219090502152781</v>
      </c>
      <c r="FI173" s="59">
        <f t="shared" si="422"/>
        <v>-50</v>
      </c>
      <c r="FJ173">
        <f t="shared" si="423"/>
        <v>-50</v>
      </c>
      <c r="FL173">
        <f t="shared" si="476"/>
        <v>0.625</v>
      </c>
    </row>
    <row r="174" spans="5:168">
      <c r="E174" s="147">
        <v>64</v>
      </c>
      <c r="F174" s="188">
        <f t="shared" si="477"/>
        <v>0.76800000000000002</v>
      </c>
      <c r="G174" s="188"/>
      <c r="H174" s="188">
        <f t="shared" ref="H174:H205" si="495">F174*Vout</f>
        <v>3.84</v>
      </c>
      <c r="I174" s="465">
        <f t="shared" ref="I174:I210" si="496">VIN_min-F174*(Rdcr_pri+RON/1000)/CG174/Nps</f>
        <v>8.9379464332388121</v>
      </c>
      <c r="J174" s="149">
        <f t="shared" ref="J174:J210" si="497">(T174+Vfwd1+F174/CG174*Rdcr_sec)*Nps</f>
        <v>5.4372321400567136</v>
      </c>
      <c r="K174" s="149">
        <f t="shared" ref="K174:K210" si="498">(Vout+Vfwd1+F174/CG174*Rdcr_sec)*Nps++I174</f>
        <v>14.375178573295525</v>
      </c>
      <c r="L174" s="379"/>
      <c r="M174" s="188">
        <f t="shared" ref="M174:M209" si="499">(Vout+Vfwd1+F174/FL174*Rdcr_sec)*Nps/((Vout+Vfwd1+F174/FL174*Rdcr_sec)*Nps+I174)</f>
        <v>0.37822161379104957</v>
      </c>
      <c r="N174" s="149">
        <f t="shared" ref="N174:N205" si="500">M174*I174*(Isw_max+VIN_min/Lmag*ILIM_delay)*0.5*Efficiency</f>
        <v>8.4893422107883705</v>
      </c>
      <c r="O174" s="149">
        <f t="shared" si="438"/>
        <v>3.84</v>
      </c>
      <c r="P174" s="188">
        <f t="shared" ref="P174:P205" si="501">N174/Vout</f>
        <v>1.6978684421576742</v>
      </c>
      <c r="Q174" s="188">
        <f t="shared" ref="Q174:Q210" si="502">MIN(Vout,N174/F174)</f>
        <v>5</v>
      </c>
      <c r="R174" s="188"/>
      <c r="S174" s="149">
        <f t="shared" ref="S174:S210" si="503">(SQRT(Isw_max^2*Nps^2*I174^2+4*Isw_max*F174/Efficiency*(Nps^2*Vfwd1*I174-Nps*I174^2)+4*(F174/Efficiency)^2*Nps^2*Vfwd1^2+8*(F174/Efficiency)^2*Nps*Vfwd1*I174+4*(F174/Efficiency)^2*I174^2)-2*F174/Efficiency*I174-2*F174/Efficiency*Nps*Vfwd1+Isw_max*Nps*I174)/(4*F174/Efficiency*Nps)</f>
        <v>20.329400261738943</v>
      </c>
      <c r="T174" s="149">
        <f t="shared" ref="T174:T205" si="504">MIN(Vout, S174)</f>
        <v>5</v>
      </c>
      <c r="U174" s="188">
        <f t="shared" ref="U174:U209" si="505">MIN(2*(Vout+Vfwd1+F174/FL174*Rdcr_sec)*F174/(I174*M174), Isw_max)</f>
        <v>2.4703335369457866</v>
      </c>
      <c r="V174" s="188">
        <f t="shared" ref="V174:V205" si="506">L*U174/I174*1000000</f>
        <v>3.3166457938378411</v>
      </c>
      <c r="W174" s="188">
        <f t="shared" ref="W174:W210" si="507">L*U174/J174*1000000</f>
        <v>5.4520391404587398</v>
      </c>
      <c r="X174" s="172">
        <f t="shared" ref="X174:X210" si="508">IF(1/((350000*L)*(1/I174+1/J174))&gt;Isw_min, 350, 0.001/((Isw_min*L)*(1/I174+1/J174)))</f>
        <v>281.72223719473345</v>
      </c>
      <c r="Y174" s="379">
        <f t="shared" ref="Y174:Y209" si="509">MIN(1/(V174+W174+0.2)*1000, 350)</f>
        <v>111.49906673340296</v>
      </c>
      <c r="AA174" s="188">
        <f t="shared" ref="AA174:AA210" si="510">1/((X174*1000*L)*(1/I174+1/J174))</f>
        <v>0.99999999999999978</v>
      </c>
      <c r="AB174" s="150">
        <f t="shared" ref="AB174:AB205" si="511">L*AA174/J174*1000000</f>
        <v>2.2070052723323359</v>
      </c>
      <c r="AC174" s="150">
        <f t="shared" ref="AC174:AC205" si="512">0.5*AB174*AA174*Nps*X174/1000</f>
        <v>0.31088123141101875</v>
      </c>
      <c r="AD174" s="150"/>
      <c r="AE174" s="150">
        <f t="shared" ref="AE174:AE210" si="513">L*Isw_min/J174*1000000</f>
        <v>2.2070052723323368</v>
      </c>
      <c r="AF174" s="314">
        <f t="shared" ref="AF174:AF205" si="514">MAX(12000,F174/(0.5*AE174/1000000*Isw_min*Nps))/1000</f>
        <v>695.96571392725934</v>
      </c>
      <c r="AG174" s="456">
        <f t="shared" ref="AG174:AG210" si="515">0.5*AE174/1000000*Isw_min*Nps*X174*1000</f>
        <v>0.31088123141101892</v>
      </c>
      <c r="AI174" s="150">
        <f t="shared" ref="AI174:AI210" si="516">SQRT(F174/(0.5*L/J174*Fsw_DCM*Nps))</f>
        <v>1.4101324293709432</v>
      </c>
      <c r="AJ174" s="150">
        <f t="shared" ref="AJ174:AJ205" si="517">MAX(IF(F174&gt;AC174,U174,AI174),Isw_min)</f>
        <v>2.4703335369457866</v>
      </c>
      <c r="AK174" s="150">
        <f t="shared" ref="AK174:AK205" si="518">IF(F174&gt;AG174, (AJ174-Isw_min)/1.08*0.8+1.2, AF174*0.2/350+1)</f>
        <v>2.289135953293175</v>
      </c>
      <c r="AM174" s="314">
        <f t="shared" ref="AM174:AM210" si="519">F174*1000</f>
        <v>768</v>
      </c>
      <c r="AN174" s="144">
        <f t="shared" ref="AN174:AN210" si="520">IF(F174&gt;AG174, Y174, AF174)</f>
        <v>111.49906673340296</v>
      </c>
      <c r="AP174">
        <f t="shared" ref="AP174:AP210" si="521">IF(H174&gt;N174, "",AM174)</f>
        <v>768</v>
      </c>
      <c r="AQ174">
        <f t="shared" ref="AQ174:AQ210" si="522">IF(H174&gt;N174, "",AN174)</f>
        <v>111.49906673340296</v>
      </c>
      <c r="AS174" s="5">
        <f t="shared" si="439"/>
        <v>8.9686849342965793</v>
      </c>
      <c r="AT174" s="5">
        <f t="shared" ref="AT174:AT210" si="523">L*AJ174/I174*1000000</f>
        <v>3.3166457938378411</v>
      </c>
      <c r="AU174" s="5">
        <f t="shared" si="478"/>
        <v>5.6520391404587382</v>
      </c>
      <c r="AV174" s="5"/>
      <c r="AW174" s="150">
        <f t="shared" si="479"/>
        <v>0.36980291069818566</v>
      </c>
      <c r="AX174" s="150">
        <f t="shared" si="435"/>
        <v>4.0825702955108039</v>
      </c>
      <c r="AY174" s="150">
        <f t="shared" si="436"/>
        <v>0.77839850229394536</v>
      </c>
      <c r="AZ174" s="150">
        <f t="shared" si="440"/>
        <v>5.244833184390056</v>
      </c>
      <c r="BA174" s="144">
        <f t="shared" si="433"/>
        <v>50.943679393349235</v>
      </c>
      <c r="BB174" s="5">
        <f t="shared" si="434"/>
        <v>1.0117830412479889</v>
      </c>
      <c r="BD174" s="150">
        <f t="shared" si="441"/>
        <v>0.8673215345934997</v>
      </c>
      <c r="BE174" s="150">
        <f t="shared" si="437"/>
        <v>1.1322261038400132</v>
      </c>
      <c r="BG174" s="456">
        <f t="shared" si="480"/>
        <v>1.5044932887392466E-2</v>
      </c>
      <c r="BH174" s="456">
        <f t="shared" ref="BH174:BH210" si="524">0.5*K174*AJ174*AN174*1000*Tfall</f>
        <v>7.4240578446036723E-2</v>
      </c>
      <c r="BI174" s="456">
        <f t="shared" ref="BI174:BI210" si="525">Qg*Vdd*AN174*1000*0+Qg*I174*AN174*1000</f>
        <v>2.4914317145481878E-2</v>
      </c>
      <c r="BJ174" s="456">
        <f t="shared" si="481"/>
        <v>2.3040809274491717E-3</v>
      </c>
      <c r="BK174">
        <f t="shared" si="482"/>
        <v>4.0220758949574657E-3</v>
      </c>
      <c r="BL174" s="144">
        <f t="shared" si="427"/>
        <v>28.936393040439345</v>
      </c>
      <c r="BM174" s="456">
        <f t="shared" ref="BM174:BM210" si="526">(BH174+BI174*0+BJ174+BK174*0+BG174*(1+RdsonTC*(Ta-25)))/(1-BG174*RdsonTC*ThetaJA)</f>
        <v>9.5994874720448514E-2</v>
      </c>
      <c r="BN174" s="144">
        <f t="shared" ref="BN174:BN210" si="527">BM174*1000</f>
        <v>95.994874720448507</v>
      </c>
      <c r="BO174" s="456">
        <f t="shared" si="483"/>
        <v>0.53759999999999997</v>
      </c>
      <c r="BR174" s="144">
        <f t="shared" si="484"/>
        <v>537.6</v>
      </c>
      <c r="BS174" s="456">
        <f t="shared" si="485"/>
        <v>2.2567399331088697E-2</v>
      </c>
      <c r="BT174" s="456">
        <f t="shared" si="486"/>
        <v>3.845807850650209E-2</v>
      </c>
      <c r="BU174" s="456">
        <f t="shared" si="487"/>
        <v>6.2955991909386277E-2</v>
      </c>
      <c r="BV174" s="456"/>
      <c r="BW174" s="456">
        <f t="shared" si="488"/>
        <v>6.80428382585134E-4</v>
      </c>
      <c r="BX174" s="144">
        <f t="shared" si="489"/>
        <v>124.66189812956219</v>
      </c>
      <c r="BY174" s="150">
        <f t="shared" si="490"/>
        <v>0.78278788343087979</v>
      </c>
      <c r="BZ174" s="5">
        <f t="shared" si="491"/>
        <v>3.84</v>
      </c>
      <c r="CA174" s="150">
        <f t="shared" si="492"/>
        <v>0.83066757481203735</v>
      </c>
      <c r="CB174" s="5">
        <f t="shared" si="493"/>
        <v>83.066757481203737</v>
      </c>
      <c r="CE174" s="59">
        <f t="shared" ref="CE174:CE210" si="528">IF(ABS(F174-Ioutmax_Vinmin)&lt;Iout/200, AN174, -50)</f>
        <v>-50</v>
      </c>
      <c r="CF174">
        <f t="shared" ref="CF174:CF210" si="529">IF(ABS(F174-Ioutmax_Vinmin)&lt;Iout/200, N174*CA174, -50)</f>
        <v>-50</v>
      </c>
      <c r="CG174" s="150">
        <f t="shared" ref="CG174:CG210" si="530">MIN(SQRT(2*DU174*1000*Ls1_*CL174)/CU174,1-EA174-0.00000005*DU174*1000)</f>
        <v>0.6188201904296875</v>
      </c>
      <c r="CI174" s="147">
        <v>64</v>
      </c>
      <c r="CJ174" s="188">
        <f t="shared" si="428"/>
        <v>0.76800000000000002</v>
      </c>
      <c r="CK174" s="188"/>
      <c r="CL174" s="188">
        <f t="shared" ref="CL174:CL210" si="531">CJ174*Vout</f>
        <v>3.84</v>
      </c>
      <c r="CM174" s="465">
        <f t="shared" ref="CM174:CM212" si="532">VIN_min</f>
        <v>9</v>
      </c>
      <c r="CN174" s="379">
        <f t="shared" ref="CN174:CN210" si="533">(CX174+Vfwd1)*Nps</f>
        <v>5.4</v>
      </c>
      <c r="CO174" s="379">
        <f t="shared" ref="CO174:CO210" si="534">(Vout+Vfwd1)*Nps+CM174</f>
        <v>14.4</v>
      </c>
      <c r="CP174" s="379"/>
      <c r="CQ174" s="188">
        <f t="shared" ref="CQ174:CQ210" si="535">(Vout+Vfwd1)*Nps/((Vout+Vfwd1)*Nps+CM174)</f>
        <v>0.375</v>
      </c>
      <c r="CR174" s="149">
        <f t="shared" si="429"/>
        <v>8.4754687499999992</v>
      </c>
      <c r="CS174" s="149">
        <f t="shared" ref="CS174:CS210" si="536">CX174*CJ174</f>
        <v>3.84</v>
      </c>
      <c r="CT174" s="188">
        <f t="shared" ref="CT174:CT210" si="537">CR174/Vout</f>
        <v>1.6950937499999998</v>
      </c>
      <c r="CU174" s="188">
        <f t="shared" ref="CU174:CU210" si="538">MIN(Vout,CR174/CJ174)</f>
        <v>5</v>
      </c>
      <c r="CV174" s="188"/>
      <c r="CW174" s="149">
        <f t="shared" ref="CW174:CW210" si="539">(SQRT(Isw_max^2*Nps^2*CM174^2+4*Isw_max*CJ174/Efficiency*(Nps^2*Vfwd1*CM174-Nps*CM174^2)+4*(CJ174/Efficiency)^2*Nps^2*Vfwd1^2+8*(CJ174/Efficiency)^2*Nps*Vfwd1*CM174+4*(CJ174/Efficiency)^2*CM174^2)-2*CJ174/Efficiency*CM174-2*CJ174/Efficiency*Nps*Vfwd1+Isw_max*Nps*CM174)/(4*CJ174/Efficiency*Nps)</f>
        <v>20.469376559390387</v>
      </c>
      <c r="CX174" s="149">
        <f t="shared" ref="CX174:CX210" si="540">MIN(Vout, CW174)</f>
        <v>5</v>
      </c>
      <c r="CY174" s="188">
        <f t="shared" ref="CY174:CY210" si="541">MIN(2*Vout*CJ174/(Efficiency*CM174*CQ174), Isw_max)</f>
        <v>2.2755555555555556</v>
      </c>
      <c r="CZ174" s="188">
        <f t="shared" ref="CZ174:CZ210" si="542">L*CY174/CM174*1000000</f>
        <v>3.0340740740740739</v>
      </c>
      <c r="DA174" s="188">
        <f t="shared" ref="DA174:DA210" si="543">L*CY174/CN174*1000000</f>
        <v>5.05679012345679</v>
      </c>
      <c r="DB174" s="172">
        <f t="shared" ref="DB174:DB210" si="544">IF(1/((350000*L)*(1/CM174+1/CN174))&gt;Isw_min, 350, 0.001/((Isw_min*L)*(1/CM174+1/CN174)))</f>
        <v>281.25</v>
      </c>
      <c r="DC174" s="379">
        <f t="shared" ref="DC174:DC210" si="545">MIN(1/(CZ174+DA174)*1000, 350)</f>
        <v>123.59619140625</v>
      </c>
      <c r="DE174" s="188">
        <f t="shared" ref="DE174:DE210" si="546">1/((DB174*1000*L)*(1/CM174+1/CN174))</f>
        <v>1</v>
      </c>
      <c r="DF174" s="150">
        <f t="shared" ref="DF174:DF210" si="547">L*DE174/CN174*1000000</f>
        <v>2.2222222222222219</v>
      </c>
      <c r="DG174" s="150">
        <f t="shared" ref="DG174:DG210" si="548">0.5*DF174*DE174*Nps*DB174/1000</f>
        <v>0.31249999999999994</v>
      </c>
      <c r="DH174" s="150"/>
      <c r="DI174" s="150">
        <f t="shared" ref="DI174:DI210" si="549">L*Isw_min/CN174*1000000</f>
        <v>2.2222222222222219</v>
      </c>
      <c r="DJ174" s="314">
        <f t="shared" ref="DJ174:DJ210" si="550">MAX(12000,CJ174/(0.5*DI174/1000000*Isw_min*Nps))/1000</f>
        <v>691.20000000000016</v>
      </c>
      <c r="DK174" s="456">
        <f t="shared" ref="DK174:DK210" si="551">0.5*DI174/1000000*Isw_min*Nps*DB174*1000</f>
        <v>0.31249999999999994</v>
      </c>
      <c r="DM174" s="150">
        <f t="shared" ref="DM174:DM210" si="552">SQRT(CJ174/(0.5*L/CN174*Fsw_DCM*Nps))</f>
        <v>1.4052961050458879</v>
      </c>
      <c r="DN174" s="150">
        <f t="shared" ref="DN174:DN210" si="553">MAX(IF(CJ174&gt;DG174,CY174,DM174),Isw_min)</f>
        <v>2.2755555555555556</v>
      </c>
      <c r="DO174" s="150">
        <f t="shared" ref="DO174:DO210" si="554">IF(CJ174&gt;DK174, (DN174-Isw_min)/1.08*0.8+1.2, DJ174*0.2/350+1)</f>
        <v>2.1448559670781893</v>
      </c>
      <c r="DQ174" s="314">
        <f t="shared" ref="DQ174:DQ210" si="555">CJ174*1000</f>
        <v>768</v>
      </c>
      <c r="DR174" s="144">
        <f t="shared" ref="DR174:DR210" si="556">IF(CJ174&gt;DK174, DC174, DJ174)</f>
        <v>123.59619140625</v>
      </c>
      <c r="DT174">
        <f t="shared" si="430"/>
        <v>768</v>
      </c>
      <c r="DU174">
        <f t="shared" si="431"/>
        <v>123.59619140625</v>
      </c>
      <c r="DW174" s="5">
        <f t="shared" ref="DW174:DW210" si="557">1/DR174*1000</f>
        <v>8.0908641975308644</v>
      </c>
      <c r="DX174" s="5">
        <f t="shared" ref="DX174:DX210" si="558">L*DN174/CM174*1000000</f>
        <v>3.0340740740740739</v>
      </c>
      <c r="DY174" s="5">
        <f t="shared" ref="DY174:DY210" si="559">DW174-DX174</f>
        <v>5.0567901234567909</v>
      </c>
      <c r="DZ174" s="5"/>
      <c r="EA174" s="150">
        <f t="shared" ref="EA174:EA210" si="560">DX174/DW174</f>
        <v>0.375</v>
      </c>
      <c r="EB174" s="150">
        <f t="shared" ref="EB174:EB210" si="561">0.5*L*DN174^2*DR174*1000</f>
        <v>3.8400000000000007</v>
      </c>
      <c r="EC174" s="150">
        <f t="shared" ref="EC174:EC210" si="562">DN174*Nps/2*(1-EA174)</f>
        <v>0.71111111111111114</v>
      </c>
      <c r="ED174" s="150">
        <f t="shared" ref="ED174:ED210" si="563">EB174/EC174</f>
        <v>5.4000000000000012</v>
      </c>
      <c r="EE174" s="144">
        <f t="shared" ref="EE174:EE210" si="564">CJ174*DX174/Vout_ripple*1000</f>
        <v>46.603377777777773</v>
      </c>
      <c r="EF174" s="5">
        <f t="shared" ref="EF174:EF210" si="565">CL174/Efficiency/CM174*DY174/Vinripple1</f>
        <v>0.89898491083676257</v>
      </c>
      <c r="EH174" s="150">
        <f t="shared" ref="EH174:EH210" si="566">DN174*SQRT(EA174/3)</f>
        <v>0.80453038215002748</v>
      </c>
      <c r="EI174" s="150">
        <f t="shared" ref="EI174:EI210" si="567">DN174*Nps*SQRT((1-EA174)/3)</f>
        <v>1.0386442571949817</v>
      </c>
      <c r="EK174" s="456">
        <f t="shared" ref="EK174:EK210" si="568">Rdson*EH174^2</f>
        <v>1.2945382716049385E-2</v>
      </c>
      <c r="EL174" s="456">
        <f t="shared" ref="EL174:EL210" si="569">0.5*CO174*DN174*DR174*1000*Trise</f>
        <v>8.1000000000000003E-2</v>
      </c>
      <c r="EM174" s="456">
        <f t="shared" ref="EM174:EM210" si="570">Qg*Vdd*DR174*1000</f>
        <v>1.544952392578125E-2</v>
      </c>
      <c r="EN174" s="456">
        <f t="shared" ref="EN174:EN210" si="571">0.5*(Coss+Csw)*CO174^2*DR174*1000</f>
        <v>2.5628906250000001E-3</v>
      </c>
      <c r="EO174">
        <f t="shared" ref="EO174:EO210" si="572">CM174*IQ</f>
        <v>4.0499999999999998E-3</v>
      </c>
      <c r="EP174" s="144">
        <f t="shared" ref="EP174:EP210" si="573">(EO174+EM174)*1000</f>
        <v>19.499523925781247</v>
      </c>
      <c r="EQ174" s="144"/>
      <c r="ER174" s="144">
        <f t="shared" si="432"/>
        <v>116.00779726683062</v>
      </c>
      <c r="ES174" s="456">
        <f t="shared" ref="ES174:ES210" si="574">Vfwd2*CJ174</f>
        <v>0.53759999999999997</v>
      </c>
      <c r="EV174" s="144">
        <f t="shared" si="494"/>
        <v>537.6</v>
      </c>
      <c r="EW174" s="456">
        <f t="shared" ref="EW174:EW210" si="575">Rdcr_pri*EH174^2</f>
        <v>1.9418074074074077E-2</v>
      </c>
      <c r="EX174" s="456">
        <f t="shared" ref="EX174:EX210" si="576">Rdcr_sec*EI174^2</f>
        <v>3.2363456790123458E-2</v>
      </c>
      <c r="EY174" s="456">
        <f t="shared" ref="EY174:EY210" si="577">DN174^2.5*DR174^2.5*k_core</f>
        <v>6.6328676578668033E-2</v>
      </c>
      <c r="EZ174" s="456"/>
      <c r="FA174" s="456">
        <f t="shared" ref="FA174:FA210" si="578">0.5*Lleak*0.000000001*DN174^2*DR174*1000</f>
        <v>6.4000000000000005E-4</v>
      </c>
      <c r="FB174" s="144">
        <f t="shared" ref="FB174:FB210" si="579">SUM(EW174:FA174)*1000</f>
        <v>118.75020744286557</v>
      </c>
      <c r="FC174" s="150">
        <f t="shared" ref="FC174:FC210" si="580">SUM(EK174:EO174,ES174:EU174,EW174:FA174)</f>
        <v>0.77235800470969607</v>
      </c>
      <c r="FD174" s="5">
        <f t="shared" ref="FD174:FD210" si="581">MIN(CL174,CS174)</f>
        <v>3.84</v>
      </c>
      <c r="FE174" s="150">
        <f t="shared" ref="FE174:FE210" si="582">FD174/(FD174+FC174)</f>
        <v>0.83254595503622253</v>
      </c>
      <c r="FF174" s="5">
        <f t="shared" ref="FF174:FF210" si="583">FE174*100</f>
        <v>83.254595503622255</v>
      </c>
      <c r="FI174" s="59">
        <f t="shared" ref="FI174:FI210" si="584">IF(ABS(CJ174-Ioutmax_Vinmin)&lt;Iout/200, DR174, -50)</f>
        <v>-50</v>
      </c>
      <c r="FJ174">
        <f t="shared" ref="FJ174:FJ210" si="585">IF(ABS(CJ174-Ioutmax_Vinmin)&lt;Iout/200, CR174*FE174, -50)</f>
        <v>-50</v>
      </c>
      <c r="FL174">
        <f t="shared" ref="FL174:FL210" si="586">MIN(SQRT(2*L*DR174*1000*CJ174*(CX174+Vfwd1))/(Nps*(CX174+Vfwd1)), 1-EA174)</f>
        <v>0.625</v>
      </c>
    </row>
    <row r="175" spans="5:168">
      <c r="E175" s="147">
        <v>65</v>
      </c>
      <c r="F175" s="188">
        <f t="shared" ref="F175:F206" si="587">IF(PLOT_TYPE=1, E175/100*Iout_max, min_I*EXP(N175*rr/100))</f>
        <v>0.78</v>
      </c>
      <c r="G175" s="188"/>
      <c r="H175" s="188">
        <f t="shared" si="495"/>
        <v>3.9000000000000004</v>
      </c>
      <c r="I175" s="465">
        <f t="shared" si="496"/>
        <v>8.9369865274912001</v>
      </c>
      <c r="J175" s="149">
        <f t="shared" si="497"/>
        <v>5.4378080835052804</v>
      </c>
      <c r="K175" s="149">
        <f t="shared" si="498"/>
        <v>14.374794610996481</v>
      </c>
      <c r="L175" s="379"/>
      <c r="M175" s="188">
        <f t="shared" si="499"/>
        <v>0.37827178632836966</v>
      </c>
      <c r="N175" s="149">
        <f t="shared" si="500"/>
        <v>8.4895565062708229</v>
      </c>
      <c r="O175" s="149">
        <f t="shared" si="438"/>
        <v>3.9000000000000004</v>
      </c>
      <c r="P175" s="188">
        <f t="shared" si="501"/>
        <v>1.6979113012541647</v>
      </c>
      <c r="Q175" s="188">
        <f t="shared" si="502"/>
        <v>5</v>
      </c>
      <c r="R175" s="188"/>
      <c r="S175" s="149">
        <f t="shared" si="503"/>
        <v>19.883443062533008</v>
      </c>
      <c r="T175" s="149">
        <f t="shared" si="504"/>
        <v>5</v>
      </c>
      <c r="U175" s="188">
        <f t="shared" si="505"/>
        <v>2.5091349655621773</v>
      </c>
      <c r="V175" s="188">
        <f t="shared" si="506"/>
        <v>3.3691020450937765</v>
      </c>
      <c r="W175" s="188">
        <f t="shared" si="507"/>
        <v>5.5370875772682808</v>
      </c>
      <c r="X175" s="172">
        <f t="shared" si="508"/>
        <v>281.72934464163325</v>
      </c>
      <c r="Y175" s="379">
        <f t="shared" si="509"/>
        <v>109.81541582928403</v>
      </c>
      <c r="AA175" s="188">
        <f t="shared" si="510"/>
        <v>0.99999999999999978</v>
      </c>
      <c r="AB175" s="150">
        <f t="shared" si="511"/>
        <v>2.2067715181784502</v>
      </c>
      <c r="AC175" s="150">
        <f t="shared" si="512"/>
        <v>0.3108561467951183</v>
      </c>
      <c r="AD175" s="150"/>
      <c r="AE175" s="150">
        <f t="shared" si="513"/>
        <v>2.2067715181784506</v>
      </c>
      <c r="AF175" s="314">
        <f t="shared" si="514"/>
        <v>706.91505085568656</v>
      </c>
      <c r="AG175" s="456">
        <f t="shared" si="515"/>
        <v>0.31085614679511853</v>
      </c>
      <c r="AI175" s="150">
        <f t="shared" si="516"/>
        <v>1.4211816520625027</v>
      </c>
      <c r="AJ175" s="150">
        <f t="shared" si="517"/>
        <v>2.5091349655621773</v>
      </c>
      <c r="AK175" s="150">
        <f t="shared" si="518"/>
        <v>2.3178777522682794</v>
      </c>
      <c r="AM175" s="314">
        <f t="shared" si="519"/>
        <v>780</v>
      </c>
      <c r="AN175" s="144">
        <f t="shared" si="520"/>
        <v>109.81541582928403</v>
      </c>
      <c r="AP175">
        <f t="shared" si="521"/>
        <v>780</v>
      </c>
      <c r="AQ175">
        <f t="shared" si="522"/>
        <v>109.81541582928403</v>
      </c>
      <c r="AS175" s="5">
        <f t="shared" si="439"/>
        <v>9.1061896223620558</v>
      </c>
      <c r="AT175" s="5">
        <f t="shared" si="523"/>
        <v>3.3691020450937765</v>
      </c>
      <c r="AU175" s="5">
        <f t="shared" si="478"/>
        <v>5.7370875772682792</v>
      </c>
      <c r="AV175" s="5"/>
      <c r="AW175" s="150">
        <f t="shared" si="479"/>
        <v>0.36997934205326427</v>
      </c>
      <c r="AX175" s="150">
        <f t="shared" si="435"/>
        <v>4.1482278778466624</v>
      </c>
      <c r="AY175" s="150">
        <f t="shared" si="436"/>
        <v>0.79040343094032162</v>
      </c>
      <c r="AZ175" s="150">
        <f t="shared" si="440"/>
        <v>5.2482412341146185</v>
      </c>
      <c r="BA175" s="144">
        <f t="shared" si="433"/>
        <v>52.557991903462913</v>
      </c>
      <c r="BB175" s="5">
        <f t="shared" si="434"/>
        <v>1.0431667636941206</v>
      </c>
      <c r="BD175" s="150">
        <f t="shared" si="441"/>
        <v>0.88115464107449537</v>
      </c>
      <c r="BE175" s="150">
        <f t="shared" si="437"/>
        <v>1.1498489423898748</v>
      </c>
      <c r="BG175" s="456">
        <f t="shared" si="480"/>
        <v>1.5528670029742455E-2</v>
      </c>
      <c r="BH175" s="456">
        <f t="shared" si="524"/>
        <v>7.4266037601198945E-2</v>
      </c>
      <c r="BI175" s="456">
        <f t="shared" si="525"/>
        <v>2.4535472294428883E-2</v>
      </c>
      <c r="BJ175" s="456">
        <f t="shared" si="481"/>
        <v>2.2691677713464363E-3</v>
      </c>
      <c r="BK175">
        <f t="shared" si="482"/>
        <v>4.0216439373710403E-3</v>
      </c>
      <c r="BL175" s="144">
        <f t="shared" ref="BL175:BL210" si="588">(BK175+BI175)*1000</f>
        <v>28.557116231799924</v>
      </c>
      <c r="BM175" s="456">
        <f t="shared" si="526"/>
        <v>9.6613081093588002E-2</v>
      </c>
      <c r="BN175" s="144">
        <f t="shared" si="527"/>
        <v>96.613081093588008</v>
      </c>
      <c r="BO175" s="456">
        <f t="shared" si="483"/>
        <v>0.54599999999999993</v>
      </c>
      <c r="BR175" s="144">
        <f t="shared" si="484"/>
        <v>545.99999999999989</v>
      </c>
      <c r="BS175" s="456">
        <f t="shared" si="485"/>
        <v>2.3293005044613683E-2</v>
      </c>
      <c r="BT175" s="456">
        <f t="shared" si="486"/>
        <v>3.9664577709453412E-2</v>
      </c>
      <c r="BU175" s="456">
        <f t="shared" si="487"/>
        <v>6.301418688695451E-2</v>
      </c>
      <c r="BV175" s="456"/>
      <c r="BW175" s="456">
        <f t="shared" si="488"/>
        <v>6.9137131297444387E-4</v>
      </c>
      <c r="BX175" s="144">
        <f t="shared" si="489"/>
        <v>126.66314095399606</v>
      </c>
      <c r="BY175" s="150">
        <f t="shared" si="490"/>
        <v>0.79328413258808383</v>
      </c>
      <c r="BZ175" s="5">
        <f t="shared" si="491"/>
        <v>3.9000000000000004</v>
      </c>
      <c r="CA175" s="150">
        <f t="shared" si="492"/>
        <v>0.83097462029203173</v>
      </c>
      <c r="CB175" s="5">
        <f t="shared" si="493"/>
        <v>83.097462029203172</v>
      </c>
      <c r="CE175" s="59">
        <f t="shared" si="528"/>
        <v>-50</v>
      </c>
      <c r="CF175">
        <f t="shared" si="529"/>
        <v>-50</v>
      </c>
      <c r="CG175" s="150">
        <f t="shared" si="530"/>
        <v>0.61891526442307687</v>
      </c>
      <c r="CI175" s="147">
        <v>65</v>
      </c>
      <c r="CJ175" s="188">
        <f t="shared" ref="CJ175:CJ210" si="589">IF(PLOT_TYPE=1, CI175/100*Iout_max, min_I*EXP(CR175*rr/100))</f>
        <v>0.78</v>
      </c>
      <c r="CK175" s="188"/>
      <c r="CL175" s="188">
        <f t="shared" si="531"/>
        <v>3.9000000000000004</v>
      </c>
      <c r="CM175" s="465">
        <f t="shared" si="532"/>
        <v>9</v>
      </c>
      <c r="CN175" s="379">
        <f t="shared" si="533"/>
        <v>5.4</v>
      </c>
      <c r="CO175" s="379">
        <f t="shared" si="534"/>
        <v>14.4</v>
      </c>
      <c r="CP175" s="379"/>
      <c r="CQ175" s="188">
        <f t="shared" si="535"/>
        <v>0.375</v>
      </c>
      <c r="CR175" s="149">
        <f t="shared" ref="CR175:CR210" si="590">CQ175*CM175*(Isw_max+VIN_min/Lmag*ILIM_delay)*0.5*Efficiency</f>
        <v>8.4754687499999992</v>
      </c>
      <c r="CS175" s="149">
        <f t="shared" si="536"/>
        <v>3.9000000000000004</v>
      </c>
      <c r="CT175" s="188">
        <f t="shared" si="537"/>
        <v>1.6950937499999998</v>
      </c>
      <c r="CU175" s="188">
        <f t="shared" si="538"/>
        <v>5</v>
      </c>
      <c r="CV175" s="188"/>
      <c r="CW175" s="149">
        <f t="shared" si="539"/>
        <v>20.022430611077567</v>
      </c>
      <c r="CX175" s="149">
        <f t="shared" si="540"/>
        <v>5</v>
      </c>
      <c r="CY175" s="188">
        <f t="shared" si="541"/>
        <v>2.3111111111111113</v>
      </c>
      <c r="CZ175" s="188">
        <f t="shared" si="542"/>
        <v>3.0814814814814819</v>
      </c>
      <c r="DA175" s="188">
        <f t="shared" si="543"/>
        <v>5.1358024691358031</v>
      </c>
      <c r="DB175" s="172">
        <f t="shared" si="544"/>
        <v>281.25</v>
      </c>
      <c r="DC175" s="379">
        <f t="shared" si="545"/>
        <v>121.69471153846153</v>
      </c>
      <c r="DE175" s="188">
        <f t="shared" si="546"/>
        <v>1</v>
      </c>
      <c r="DF175" s="150">
        <f t="shared" si="547"/>
        <v>2.2222222222222219</v>
      </c>
      <c r="DG175" s="150">
        <f t="shared" si="548"/>
        <v>0.31249999999999994</v>
      </c>
      <c r="DH175" s="150"/>
      <c r="DI175" s="150">
        <f t="shared" si="549"/>
        <v>2.2222222222222219</v>
      </c>
      <c r="DJ175" s="314">
        <f t="shared" si="550"/>
        <v>702.00000000000011</v>
      </c>
      <c r="DK175" s="456">
        <f t="shared" si="551"/>
        <v>0.31249999999999994</v>
      </c>
      <c r="DM175" s="150">
        <f t="shared" si="552"/>
        <v>1.4162324264449979</v>
      </c>
      <c r="DN175" s="150">
        <f t="shared" si="553"/>
        <v>2.3111111111111113</v>
      </c>
      <c r="DO175" s="150">
        <f t="shared" si="554"/>
        <v>2.1711934156378603</v>
      </c>
      <c r="DQ175" s="314">
        <f t="shared" si="555"/>
        <v>780</v>
      </c>
      <c r="DR175" s="144">
        <f t="shared" si="556"/>
        <v>121.69471153846153</v>
      </c>
      <c r="DT175">
        <f t="shared" ref="DT175:DT209" si="591">IF(CL175&gt;CR175, " ",DQ175)</f>
        <v>780</v>
      </c>
      <c r="DU175">
        <f t="shared" ref="DU175:DU209" si="592">IF(CL175&gt;CR175, " ",DR175)</f>
        <v>121.69471153846153</v>
      </c>
      <c r="DW175" s="5">
        <f t="shared" si="557"/>
        <v>8.2172839506172846</v>
      </c>
      <c r="DX175" s="5">
        <f t="shared" si="558"/>
        <v>3.0814814814814819</v>
      </c>
      <c r="DY175" s="5">
        <f t="shared" si="559"/>
        <v>5.1358024691358022</v>
      </c>
      <c r="DZ175" s="5"/>
      <c r="EA175" s="150">
        <f t="shared" si="560"/>
        <v>0.375</v>
      </c>
      <c r="EB175" s="150">
        <f t="shared" si="561"/>
        <v>3.9000000000000004</v>
      </c>
      <c r="EC175" s="150">
        <f t="shared" si="562"/>
        <v>0.72222222222222232</v>
      </c>
      <c r="ED175" s="150">
        <f t="shared" si="563"/>
        <v>5.3999999999999995</v>
      </c>
      <c r="EE175" s="144">
        <f t="shared" si="564"/>
        <v>48.071111111111122</v>
      </c>
      <c r="EF175" s="5">
        <f t="shared" si="565"/>
        <v>0.92729766803840863</v>
      </c>
      <c r="EH175" s="150">
        <f t="shared" si="566"/>
        <v>0.81710116937112176</v>
      </c>
      <c r="EI175" s="150">
        <f t="shared" si="567"/>
        <v>1.0548730737136534</v>
      </c>
      <c r="EK175" s="456">
        <f t="shared" si="568"/>
        <v>1.3353086419753094E-2</v>
      </c>
      <c r="EL175" s="456">
        <f t="shared" si="569"/>
        <v>8.1000000000000003E-2</v>
      </c>
      <c r="EM175" s="456">
        <f t="shared" si="570"/>
        <v>1.521183894230769E-2</v>
      </c>
      <c r="EN175" s="456">
        <f t="shared" si="571"/>
        <v>2.5234615384615387E-3</v>
      </c>
      <c r="EO175">
        <f t="shared" si="572"/>
        <v>4.0499999999999998E-3</v>
      </c>
      <c r="EP175" s="144">
        <f t="shared" si="573"/>
        <v>19.261838942307691</v>
      </c>
      <c r="EQ175" s="144"/>
      <c r="ER175" s="144">
        <f t="shared" ref="ER175:ER210" si="593">SUM(EK175:EO175)*1000</f>
        <v>116.13838690052233</v>
      </c>
      <c r="ES175" s="456">
        <f t="shared" si="574"/>
        <v>0.54599999999999993</v>
      </c>
      <c r="EV175" s="144">
        <f t="shared" si="494"/>
        <v>545.99999999999989</v>
      </c>
      <c r="EW175" s="456">
        <f t="shared" si="575"/>
        <v>2.002962962962964E-2</v>
      </c>
      <c r="EX175" s="456">
        <f t="shared" si="576"/>
        <v>3.338271604938272E-2</v>
      </c>
      <c r="EY175" s="456">
        <f t="shared" si="577"/>
        <v>6.6328676578668089E-2</v>
      </c>
      <c r="EZ175" s="456"/>
      <c r="FA175" s="456">
        <f t="shared" si="578"/>
        <v>6.5000000000000008E-4</v>
      </c>
      <c r="FB175" s="144">
        <f t="shared" si="579"/>
        <v>120.39102225768045</v>
      </c>
      <c r="FC175" s="150">
        <f t="shared" si="580"/>
        <v>0.78252940915820268</v>
      </c>
      <c r="FD175" s="5">
        <f t="shared" si="581"/>
        <v>3.9000000000000004</v>
      </c>
      <c r="FE175" s="150">
        <f t="shared" si="582"/>
        <v>0.83288318325823796</v>
      </c>
      <c r="FF175" s="5">
        <f t="shared" si="583"/>
        <v>83.288318325823795</v>
      </c>
      <c r="FI175" s="59">
        <f t="shared" si="584"/>
        <v>-50</v>
      </c>
      <c r="FJ175">
        <f t="shared" si="585"/>
        <v>-50</v>
      </c>
      <c r="FL175">
        <f t="shared" si="586"/>
        <v>0.625</v>
      </c>
    </row>
    <row r="176" spans="5:168">
      <c r="E176" s="147">
        <v>66</v>
      </c>
      <c r="F176" s="188">
        <f t="shared" si="587"/>
        <v>0.79200000000000004</v>
      </c>
      <c r="G176" s="188"/>
      <c r="H176" s="188">
        <f t="shared" si="495"/>
        <v>3.96</v>
      </c>
      <c r="I176" s="465">
        <f t="shared" si="496"/>
        <v>8.9360266188598061</v>
      </c>
      <c r="J176" s="149">
        <f t="shared" si="497"/>
        <v>5.4383840286841165</v>
      </c>
      <c r="K176" s="149">
        <f t="shared" si="498"/>
        <v>14.374410647543922</v>
      </c>
      <c r="L176" s="379"/>
      <c r="M176" s="188">
        <f t="shared" si="499"/>
        <v>0.37832196162163323</v>
      </c>
      <c r="N176" s="149">
        <f t="shared" si="500"/>
        <v>8.4897706189703719</v>
      </c>
      <c r="O176" s="149">
        <f t="shared" si="438"/>
        <v>3.96</v>
      </c>
      <c r="P176" s="188">
        <f t="shared" si="501"/>
        <v>1.6979541237940743</v>
      </c>
      <c r="Q176" s="188">
        <f t="shared" si="502"/>
        <v>5</v>
      </c>
      <c r="R176" s="188"/>
      <c r="S176" s="149">
        <f t="shared" si="503"/>
        <v>19.451188397745089</v>
      </c>
      <c r="T176" s="149">
        <f t="shared" si="504"/>
        <v>5</v>
      </c>
      <c r="U176" s="188">
        <f t="shared" si="505"/>
        <v>2.5479426684137478</v>
      </c>
      <c r="V176" s="188">
        <f t="shared" si="506"/>
        <v>3.4215779926656307</v>
      </c>
      <c r="W176" s="188">
        <f t="shared" si="507"/>
        <v>5.6221318427862199</v>
      </c>
      <c r="X176" s="172">
        <f t="shared" si="508"/>
        <v>281.73644607942526</v>
      </c>
      <c r="Y176" s="379">
        <f t="shared" si="509"/>
        <v>108.18167357057872</v>
      </c>
      <c r="AA176" s="188">
        <f t="shared" si="510"/>
        <v>0.99999999999999978</v>
      </c>
      <c r="AB176" s="150">
        <f t="shared" si="511"/>
        <v>2.2065378128332624</v>
      </c>
      <c r="AC176" s="150">
        <f t="shared" si="512"/>
        <v>0.31083106076375566</v>
      </c>
      <c r="AD176" s="150"/>
      <c r="AE176" s="150">
        <f t="shared" si="513"/>
        <v>2.2065378128332629</v>
      </c>
      <c r="AF176" s="314">
        <f t="shared" si="514"/>
        <v>717.86669178630336</v>
      </c>
      <c r="AG176" s="456">
        <f t="shared" si="515"/>
        <v>0.31083106076375583</v>
      </c>
      <c r="AI176" s="150">
        <f t="shared" si="516"/>
        <v>1.4321479290974133</v>
      </c>
      <c r="AJ176" s="150">
        <f t="shared" si="517"/>
        <v>2.5479426684137478</v>
      </c>
      <c r="AK176" s="150">
        <f t="shared" si="518"/>
        <v>2.3466241988249985</v>
      </c>
      <c r="AM176" s="314">
        <f t="shared" si="519"/>
        <v>792</v>
      </c>
      <c r="AN176" s="144">
        <f t="shared" si="520"/>
        <v>108.18167357057872</v>
      </c>
      <c r="AP176">
        <f t="shared" si="521"/>
        <v>792</v>
      </c>
      <c r="AQ176">
        <f t="shared" si="522"/>
        <v>108.18167357057872</v>
      </c>
      <c r="AS176" s="5">
        <f t="shared" si="439"/>
        <v>9.243709835451849</v>
      </c>
      <c r="AT176" s="5">
        <f t="shared" si="523"/>
        <v>3.4215779926656307</v>
      </c>
      <c r="AU176" s="5">
        <f t="shared" si="478"/>
        <v>5.8221318427862183</v>
      </c>
      <c r="AV176" s="5"/>
      <c r="AW176" s="150">
        <f t="shared" si="479"/>
        <v>0.3701520334988293</v>
      </c>
      <c r="AX176" s="150">
        <f t="shared" si="435"/>
        <v>4.2139002351360766</v>
      </c>
      <c r="AY176" s="150">
        <f t="shared" si="436"/>
        <v>0.80240825423098283</v>
      </c>
      <c r="AZ176" s="150">
        <f t="shared" si="440"/>
        <v>5.251566410136971</v>
      </c>
      <c r="BA176" s="144">
        <f t="shared" si="433"/>
        <v>54.197795403823591</v>
      </c>
      <c r="BB176" s="5">
        <f t="shared" si="434"/>
        <v>1.0750323326390228</v>
      </c>
      <c r="BD176" s="150">
        <f t="shared" si="441"/>
        <v>0.89499187792187151</v>
      </c>
      <c r="BE176" s="150">
        <f t="shared" si="437"/>
        <v>1.1674731198740029</v>
      </c>
      <c r="BG176" s="456">
        <f t="shared" si="480"/>
        <v>1.6020209230922365E-2</v>
      </c>
      <c r="BH176" s="456">
        <f t="shared" si="524"/>
        <v>7.4290737040673238E-2</v>
      </c>
      <c r="BI176" s="456">
        <f t="shared" si="525"/>
        <v>2.4167857867487343E-2</v>
      </c>
      <c r="BJ176" s="456">
        <f t="shared" si="481"/>
        <v>2.2352895660113928E-3</v>
      </c>
      <c r="BK176">
        <f t="shared" si="482"/>
        <v>4.0212119784869124E-3</v>
      </c>
      <c r="BL176" s="144">
        <f t="shared" si="588"/>
        <v>28.189069845974256</v>
      </c>
      <c r="BM176" s="456">
        <f t="shared" si="526"/>
        <v>9.7241833812782244E-2</v>
      </c>
      <c r="BN176" s="144">
        <f t="shared" si="527"/>
        <v>97.241833812782247</v>
      </c>
      <c r="BO176" s="456">
        <f t="shared" si="483"/>
        <v>0.5544</v>
      </c>
      <c r="BR176" s="144">
        <f t="shared" si="484"/>
        <v>554.4</v>
      </c>
      <c r="BS176" s="456">
        <f t="shared" si="485"/>
        <v>2.4030313846383544E-2</v>
      </c>
      <c r="BT176" s="456">
        <f t="shared" si="486"/>
        <v>4.0889804568850142E-2</v>
      </c>
      <c r="BU176" s="456">
        <f t="shared" si="487"/>
        <v>6.3070804796201238E-2</v>
      </c>
      <c r="BV176" s="456"/>
      <c r="BW176" s="456">
        <f t="shared" si="488"/>
        <v>7.0231670585601288E-4</v>
      </c>
      <c r="BX176" s="144">
        <f t="shared" si="489"/>
        <v>128.69323991729092</v>
      </c>
      <c r="BY176" s="150">
        <f t="shared" si="490"/>
        <v>0.80382854560087214</v>
      </c>
      <c r="BZ176" s="5">
        <f t="shared" si="491"/>
        <v>3.96</v>
      </c>
      <c r="CA176" s="150">
        <f t="shared" si="492"/>
        <v>0.83126417378241657</v>
      </c>
      <c r="CB176" s="5">
        <f t="shared" si="493"/>
        <v>83.126417378241655</v>
      </c>
      <c r="CE176" s="59">
        <f t="shared" si="528"/>
        <v>-50</v>
      </c>
      <c r="CF176">
        <f t="shared" si="529"/>
        <v>-50</v>
      </c>
      <c r="CG176" s="150">
        <f t="shared" si="530"/>
        <v>0.61900745738636365</v>
      </c>
      <c r="CI176" s="147">
        <v>66</v>
      </c>
      <c r="CJ176" s="188">
        <f t="shared" si="589"/>
        <v>0.79200000000000004</v>
      </c>
      <c r="CK176" s="188"/>
      <c r="CL176" s="188">
        <f t="shared" si="531"/>
        <v>3.96</v>
      </c>
      <c r="CM176" s="465">
        <f t="shared" si="532"/>
        <v>9</v>
      </c>
      <c r="CN176" s="379">
        <f t="shared" si="533"/>
        <v>5.4</v>
      </c>
      <c r="CO176" s="379">
        <f t="shared" si="534"/>
        <v>14.4</v>
      </c>
      <c r="CP176" s="379"/>
      <c r="CQ176" s="188">
        <f t="shared" si="535"/>
        <v>0.375</v>
      </c>
      <c r="CR176" s="149">
        <f t="shared" si="590"/>
        <v>8.4754687499999992</v>
      </c>
      <c r="CS176" s="149">
        <f t="shared" si="536"/>
        <v>3.96</v>
      </c>
      <c r="CT176" s="188">
        <f t="shared" si="537"/>
        <v>1.6950937499999998</v>
      </c>
      <c r="CU176" s="188">
        <f t="shared" si="538"/>
        <v>5</v>
      </c>
      <c r="CV176" s="188"/>
      <c r="CW176" s="149">
        <f t="shared" si="539"/>
        <v>19.58918826731562</v>
      </c>
      <c r="CX176" s="149">
        <f t="shared" si="540"/>
        <v>5</v>
      </c>
      <c r="CY176" s="188">
        <f t="shared" si="541"/>
        <v>2.3466666666666667</v>
      </c>
      <c r="CZ176" s="188">
        <f t="shared" si="542"/>
        <v>3.1288888888888891</v>
      </c>
      <c r="DA176" s="188">
        <f t="shared" si="543"/>
        <v>5.2148148148148143</v>
      </c>
      <c r="DB176" s="172">
        <f t="shared" si="544"/>
        <v>281.25</v>
      </c>
      <c r="DC176" s="379">
        <f t="shared" si="545"/>
        <v>119.85085227272728</v>
      </c>
      <c r="DE176" s="188">
        <f t="shared" si="546"/>
        <v>1</v>
      </c>
      <c r="DF176" s="150">
        <f t="shared" si="547"/>
        <v>2.2222222222222219</v>
      </c>
      <c r="DG176" s="150">
        <f t="shared" si="548"/>
        <v>0.31249999999999994</v>
      </c>
      <c r="DH176" s="150"/>
      <c r="DI176" s="150">
        <f t="shared" si="549"/>
        <v>2.2222222222222219</v>
      </c>
      <c r="DJ176" s="314">
        <f t="shared" si="550"/>
        <v>712.80000000000007</v>
      </c>
      <c r="DK176" s="456">
        <f t="shared" si="551"/>
        <v>0.31249999999999994</v>
      </c>
      <c r="DM176" s="150">
        <f t="shared" si="552"/>
        <v>1.4270849409097655</v>
      </c>
      <c r="DN176" s="150">
        <f t="shared" si="553"/>
        <v>2.3466666666666667</v>
      </c>
      <c r="DO176" s="150">
        <f t="shared" si="554"/>
        <v>2.1975308641975309</v>
      </c>
      <c r="DQ176" s="314">
        <f t="shared" si="555"/>
        <v>792</v>
      </c>
      <c r="DR176" s="144">
        <f t="shared" si="556"/>
        <v>119.85085227272728</v>
      </c>
      <c r="DT176">
        <f t="shared" si="591"/>
        <v>792</v>
      </c>
      <c r="DU176">
        <f t="shared" si="592"/>
        <v>119.85085227272728</v>
      </c>
      <c r="DW176" s="5">
        <f t="shared" si="557"/>
        <v>8.3437037037037047</v>
      </c>
      <c r="DX176" s="5">
        <f t="shared" si="558"/>
        <v>3.1288888888888891</v>
      </c>
      <c r="DY176" s="5">
        <f t="shared" si="559"/>
        <v>5.2148148148148152</v>
      </c>
      <c r="DZ176" s="5"/>
      <c r="EA176" s="150">
        <f t="shared" si="560"/>
        <v>0.375</v>
      </c>
      <c r="EB176" s="150">
        <f t="shared" si="561"/>
        <v>3.9600000000000009</v>
      </c>
      <c r="EC176" s="150">
        <f t="shared" si="562"/>
        <v>0.73333333333333339</v>
      </c>
      <c r="ED176" s="150">
        <f t="shared" si="563"/>
        <v>5.4</v>
      </c>
      <c r="EE176" s="144">
        <f t="shared" si="564"/>
        <v>49.561600000000006</v>
      </c>
      <c r="EF176" s="5">
        <f t="shared" si="565"/>
        <v>0.95604938271604933</v>
      </c>
      <c r="EH176" s="150">
        <f t="shared" si="566"/>
        <v>0.82967195659221582</v>
      </c>
      <c r="EI176" s="150">
        <f t="shared" si="567"/>
        <v>1.0711018902323248</v>
      </c>
      <c r="EK176" s="456">
        <f t="shared" si="568"/>
        <v>1.3767111111111112E-2</v>
      </c>
      <c r="EL176" s="456">
        <f t="shared" si="569"/>
        <v>8.1000000000000016E-2</v>
      </c>
      <c r="EM176" s="456">
        <f t="shared" si="570"/>
        <v>1.4981356534090908E-2</v>
      </c>
      <c r="EN176" s="456">
        <f t="shared" si="571"/>
        <v>2.4852272727272726E-3</v>
      </c>
      <c r="EO176">
        <f t="shared" si="572"/>
        <v>4.0499999999999998E-3</v>
      </c>
      <c r="EP176" s="144">
        <f t="shared" si="573"/>
        <v>19.031356534090911</v>
      </c>
      <c r="EQ176" s="144"/>
      <c r="ER176" s="144">
        <f t="shared" si="593"/>
        <v>116.28369491792932</v>
      </c>
      <c r="ES176" s="456">
        <f t="shared" si="574"/>
        <v>0.5544</v>
      </c>
      <c r="EV176" s="144">
        <f t="shared" si="494"/>
        <v>554.4</v>
      </c>
      <c r="EW176" s="456">
        <f t="shared" si="575"/>
        <v>2.0650666666666668E-2</v>
      </c>
      <c r="EX176" s="456">
        <f t="shared" si="576"/>
        <v>3.4417777777777776E-2</v>
      </c>
      <c r="EY176" s="456">
        <f t="shared" si="577"/>
        <v>6.6328676578668117E-2</v>
      </c>
      <c r="EZ176" s="456"/>
      <c r="FA176" s="456">
        <f t="shared" si="578"/>
        <v>6.600000000000001E-4</v>
      </c>
      <c r="FB176" s="144">
        <f t="shared" si="579"/>
        <v>122.05712102311256</v>
      </c>
      <c r="FC176" s="150">
        <f t="shared" si="580"/>
        <v>0.79274081594104195</v>
      </c>
      <c r="FD176" s="5">
        <f t="shared" si="581"/>
        <v>3.96</v>
      </c>
      <c r="FE176" s="150">
        <f t="shared" si="582"/>
        <v>0.83320344057430373</v>
      </c>
      <c r="FF176" s="5">
        <f t="shared" si="583"/>
        <v>83.320344057430376</v>
      </c>
      <c r="FI176" s="59">
        <f t="shared" si="584"/>
        <v>-50</v>
      </c>
      <c r="FJ176">
        <f t="shared" si="585"/>
        <v>-50</v>
      </c>
      <c r="FL176">
        <f t="shared" si="586"/>
        <v>0.625</v>
      </c>
    </row>
    <row r="177" spans="5:168">
      <c r="E177" s="147">
        <v>67</v>
      </c>
      <c r="F177" s="188">
        <f t="shared" si="587"/>
        <v>0.80400000000000005</v>
      </c>
      <c r="G177" s="188"/>
      <c r="H177" s="188">
        <f t="shared" si="495"/>
        <v>4.0200000000000005</v>
      </c>
      <c r="I177" s="465">
        <f t="shared" si="496"/>
        <v>8.9350667074749861</v>
      </c>
      <c r="J177" s="149">
        <f t="shared" si="497"/>
        <v>5.4389599755150089</v>
      </c>
      <c r="K177" s="149">
        <f t="shared" si="498"/>
        <v>14.374026682989996</v>
      </c>
      <c r="L177" s="379"/>
      <c r="M177" s="188">
        <f t="shared" si="499"/>
        <v>0.37837213966765981</v>
      </c>
      <c r="N177" s="149">
        <f t="shared" si="500"/>
        <v>8.4899845489184891</v>
      </c>
      <c r="O177" s="149">
        <f t="shared" si="438"/>
        <v>4.0200000000000005</v>
      </c>
      <c r="P177" s="188">
        <f t="shared" si="501"/>
        <v>1.6979969097836978</v>
      </c>
      <c r="Q177" s="188">
        <f t="shared" si="502"/>
        <v>5</v>
      </c>
      <c r="R177" s="188"/>
      <c r="S177" s="149">
        <f t="shared" si="503"/>
        <v>19.032025472596366</v>
      </c>
      <c r="T177" s="149">
        <f t="shared" si="504"/>
        <v>5</v>
      </c>
      <c r="U177" s="188">
        <f t="shared" si="505"/>
        <v>2.5867566475227108</v>
      </c>
      <c r="V177" s="188">
        <f t="shared" si="506"/>
        <v>3.4740736456174277</v>
      </c>
      <c r="W177" s="188">
        <f t="shared" si="507"/>
        <v>5.7071719428002012</v>
      </c>
      <c r="X177" s="172">
        <f t="shared" si="508"/>
        <v>281.74354150660878</v>
      </c>
      <c r="Y177" s="379">
        <f t="shared" si="509"/>
        <v>106.59565305854807</v>
      </c>
      <c r="AA177" s="188">
        <f t="shared" si="510"/>
        <v>1</v>
      </c>
      <c r="AB177" s="150">
        <f t="shared" si="511"/>
        <v>2.2063041563132177</v>
      </c>
      <c r="AC177" s="150">
        <f t="shared" si="512"/>
        <v>0.31080597332021825</v>
      </c>
      <c r="AD177" s="150"/>
      <c r="AE177" s="150">
        <f t="shared" si="513"/>
        <v>2.2063041563132177</v>
      </c>
      <c r="AF177" s="314">
        <f t="shared" si="514"/>
        <v>728.82063671901108</v>
      </c>
      <c r="AG177" s="456">
        <f t="shared" si="515"/>
        <v>0.31080597332021825</v>
      </c>
      <c r="AI177" s="150">
        <f t="shared" si="516"/>
        <v>1.4430331515041614</v>
      </c>
      <c r="AJ177" s="150">
        <f t="shared" si="517"/>
        <v>2.5867566475227108</v>
      </c>
      <c r="AK177" s="150">
        <f t="shared" si="518"/>
        <v>2.3753752944612674</v>
      </c>
      <c r="AM177" s="314">
        <f t="shared" si="519"/>
        <v>804</v>
      </c>
      <c r="AN177" s="144">
        <f t="shared" si="520"/>
        <v>106.59565305854807</v>
      </c>
      <c r="AP177">
        <f t="shared" si="521"/>
        <v>804</v>
      </c>
      <c r="AQ177">
        <f t="shared" si="522"/>
        <v>106.59565305854807</v>
      </c>
      <c r="AS177" s="5">
        <f t="shared" si="439"/>
        <v>9.3812455884176273</v>
      </c>
      <c r="AT177" s="5">
        <f t="shared" si="523"/>
        <v>3.4740736456174277</v>
      </c>
      <c r="AU177" s="5">
        <f t="shared" si="478"/>
        <v>5.9071719428001996</v>
      </c>
      <c r="AV177" s="5"/>
      <c r="AW177" s="150">
        <f t="shared" si="479"/>
        <v>0.37032114902808061</v>
      </c>
      <c r="AX177" s="150">
        <f t="shared" si="435"/>
        <v>4.2795873258648482</v>
      </c>
      <c r="AY177" s="150">
        <f t="shared" si="436"/>
        <v>0.81441297677803737</v>
      </c>
      <c r="AZ177" s="150">
        <f t="shared" si="440"/>
        <v>5.2548122978045573</v>
      </c>
      <c r="BA177" s="144">
        <f t="shared" si="433"/>
        <v>55.863104221528239</v>
      </c>
      <c r="BB177" s="5">
        <f t="shared" si="434"/>
        <v>1.1073798694656285</v>
      </c>
      <c r="BD177" s="150">
        <f t="shared" si="441"/>
        <v>0.90883324295205359</v>
      </c>
      <c r="BE177" s="150">
        <f t="shared" si="437"/>
        <v>1.1850986404822588</v>
      </c>
      <c r="BG177" s="456">
        <f t="shared" si="480"/>
        <v>1.651955726989493E-2</v>
      </c>
      <c r="BH177" s="456">
        <f t="shared" si="524"/>
        <v>7.431470997798395E-2</v>
      </c>
      <c r="BI177" s="456">
        <f t="shared" si="525"/>
        <v>2.3810981770124674E-2</v>
      </c>
      <c r="BJ177" s="456">
        <f t="shared" si="481"/>
        <v>2.202400961961796E-3</v>
      </c>
      <c r="BK177">
        <f t="shared" si="482"/>
        <v>4.0207800183637435E-3</v>
      </c>
      <c r="BL177" s="144">
        <f t="shared" si="588"/>
        <v>27.831761788488418</v>
      </c>
      <c r="BM177" s="456">
        <f t="shared" si="526"/>
        <v>9.7881136715876504E-2</v>
      </c>
      <c r="BN177" s="144">
        <f t="shared" si="527"/>
        <v>97.881136715876508</v>
      </c>
      <c r="BO177" s="456">
        <f t="shared" si="483"/>
        <v>0.56279999999999997</v>
      </c>
      <c r="BR177" s="144">
        <f t="shared" si="484"/>
        <v>562.79999999999995</v>
      </c>
      <c r="BS177" s="456">
        <f t="shared" si="485"/>
        <v>2.4779335904842392E-2</v>
      </c>
      <c r="BT177" s="456">
        <f t="shared" si="486"/>
        <v>4.2133763630186935E-2</v>
      </c>
      <c r="BU177" s="456">
        <f t="shared" si="487"/>
        <v>6.3125913444397067E-2</v>
      </c>
      <c r="BV177" s="456"/>
      <c r="BW177" s="456">
        <f t="shared" si="488"/>
        <v>7.132645543108081E-4</v>
      </c>
      <c r="BX177" s="144">
        <f t="shared" si="489"/>
        <v>130.75227753373719</v>
      </c>
      <c r="BY177" s="150">
        <f t="shared" si="490"/>
        <v>0.8144207075320663</v>
      </c>
      <c r="BZ177" s="5">
        <f t="shared" si="491"/>
        <v>4.0200000000000005</v>
      </c>
      <c r="CA177" s="150">
        <f t="shared" si="492"/>
        <v>0.83153706373481484</v>
      </c>
      <c r="CB177" s="5">
        <f t="shared" si="493"/>
        <v>83.153706373481484</v>
      </c>
      <c r="CE177" s="59">
        <f t="shared" si="528"/>
        <v>-50</v>
      </c>
      <c r="CF177">
        <f t="shared" si="529"/>
        <v>-50</v>
      </c>
      <c r="CG177" s="150">
        <f t="shared" si="530"/>
        <v>0.61909689832089554</v>
      </c>
      <c r="CI177" s="147">
        <v>67</v>
      </c>
      <c r="CJ177" s="188">
        <f t="shared" si="589"/>
        <v>0.80400000000000005</v>
      </c>
      <c r="CK177" s="188"/>
      <c r="CL177" s="188">
        <f t="shared" si="531"/>
        <v>4.0200000000000005</v>
      </c>
      <c r="CM177" s="465">
        <f t="shared" si="532"/>
        <v>9</v>
      </c>
      <c r="CN177" s="379">
        <f t="shared" si="533"/>
        <v>5.4</v>
      </c>
      <c r="CO177" s="379">
        <f t="shared" si="534"/>
        <v>14.4</v>
      </c>
      <c r="CP177" s="379"/>
      <c r="CQ177" s="188">
        <f t="shared" si="535"/>
        <v>0.375</v>
      </c>
      <c r="CR177" s="149">
        <f t="shared" si="590"/>
        <v>8.4754687499999992</v>
      </c>
      <c r="CS177" s="149">
        <f t="shared" si="536"/>
        <v>4.0200000000000005</v>
      </c>
      <c r="CT177" s="188">
        <f t="shared" si="537"/>
        <v>1.6950937499999998</v>
      </c>
      <c r="CU177" s="188">
        <f t="shared" si="538"/>
        <v>5</v>
      </c>
      <c r="CV177" s="188"/>
      <c r="CW177" s="149">
        <f t="shared" si="539"/>
        <v>19.169038696629606</v>
      </c>
      <c r="CX177" s="149">
        <f t="shared" si="540"/>
        <v>5</v>
      </c>
      <c r="CY177" s="188">
        <f t="shared" si="541"/>
        <v>2.3822222222222225</v>
      </c>
      <c r="CZ177" s="188">
        <f t="shared" si="542"/>
        <v>3.1762962962962971</v>
      </c>
      <c r="DA177" s="188">
        <f t="shared" si="543"/>
        <v>5.2938271604938283</v>
      </c>
      <c r="DB177" s="172">
        <f t="shared" si="544"/>
        <v>281.25</v>
      </c>
      <c r="DC177" s="379">
        <f t="shared" si="545"/>
        <v>118.06203358208953</v>
      </c>
      <c r="DE177" s="188">
        <f t="shared" si="546"/>
        <v>1</v>
      </c>
      <c r="DF177" s="150">
        <f t="shared" si="547"/>
        <v>2.2222222222222219</v>
      </c>
      <c r="DG177" s="150">
        <f t="shared" si="548"/>
        <v>0.31249999999999994</v>
      </c>
      <c r="DH177" s="150"/>
      <c r="DI177" s="150">
        <f t="shared" si="549"/>
        <v>2.2222222222222219</v>
      </c>
      <c r="DJ177" s="314">
        <f t="shared" si="550"/>
        <v>723.60000000000014</v>
      </c>
      <c r="DK177" s="456">
        <f t="shared" si="551"/>
        <v>0.31249999999999994</v>
      </c>
      <c r="DM177" s="150">
        <f t="shared" si="552"/>
        <v>1.4378555460923645</v>
      </c>
      <c r="DN177" s="150">
        <f t="shared" si="553"/>
        <v>2.3822222222222225</v>
      </c>
      <c r="DO177" s="150">
        <f t="shared" si="554"/>
        <v>2.2238683127572019</v>
      </c>
      <c r="DQ177" s="314">
        <f t="shared" si="555"/>
        <v>804</v>
      </c>
      <c r="DR177" s="144">
        <f t="shared" si="556"/>
        <v>118.06203358208953</v>
      </c>
      <c r="DT177">
        <f t="shared" si="591"/>
        <v>804</v>
      </c>
      <c r="DU177">
        <f t="shared" si="592"/>
        <v>118.06203358208953</v>
      </c>
      <c r="DW177" s="5">
        <f t="shared" si="557"/>
        <v>8.4701234567901267</v>
      </c>
      <c r="DX177" s="5">
        <f t="shared" si="558"/>
        <v>3.1762962962962971</v>
      </c>
      <c r="DY177" s="5">
        <f t="shared" si="559"/>
        <v>5.2938271604938301</v>
      </c>
      <c r="DZ177" s="5"/>
      <c r="EA177" s="150">
        <f t="shared" si="560"/>
        <v>0.37499999999999994</v>
      </c>
      <c r="EB177" s="150">
        <f t="shared" si="561"/>
        <v>4.0200000000000014</v>
      </c>
      <c r="EC177" s="150">
        <f t="shared" si="562"/>
        <v>0.74444444444444446</v>
      </c>
      <c r="ED177" s="150">
        <f t="shared" si="563"/>
        <v>5.4000000000000012</v>
      </c>
      <c r="EE177" s="144">
        <f t="shared" si="564"/>
        <v>51.074844444444459</v>
      </c>
      <c r="EF177" s="5">
        <f t="shared" si="565"/>
        <v>0.98524005486968491</v>
      </c>
      <c r="EH177" s="150">
        <f t="shared" si="566"/>
        <v>0.84224274381330999</v>
      </c>
      <c r="EI177" s="150">
        <f t="shared" si="567"/>
        <v>1.0873307067509965</v>
      </c>
      <c r="EK177" s="456">
        <f t="shared" si="568"/>
        <v>1.4187456790123459E-2</v>
      </c>
      <c r="EL177" s="456">
        <f t="shared" si="569"/>
        <v>8.0999999999999989E-2</v>
      </c>
      <c r="EM177" s="456">
        <f t="shared" si="570"/>
        <v>1.4757754197761191E-2</v>
      </c>
      <c r="EN177" s="456">
        <f t="shared" si="571"/>
        <v>2.4481343283582085E-3</v>
      </c>
      <c r="EO177">
        <f t="shared" si="572"/>
        <v>4.0499999999999998E-3</v>
      </c>
      <c r="EP177" s="144">
        <f t="shared" si="573"/>
        <v>18.807754197761192</v>
      </c>
      <c r="EQ177" s="144"/>
      <c r="ER177" s="144">
        <f t="shared" si="593"/>
        <v>116.44334531624284</v>
      </c>
      <c r="ES177" s="456">
        <f t="shared" si="574"/>
        <v>0.56279999999999997</v>
      </c>
      <c r="EV177" s="144">
        <f t="shared" si="494"/>
        <v>562.79999999999995</v>
      </c>
      <c r="EW177" s="456">
        <f t="shared" si="575"/>
        <v>2.1281185185185188E-2</v>
      </c>
      <c r="EX177" s="456">
        <f t="shared" si="576"/>
        <v>3.5468641975308648E-2</v>
      </c>
      <c r="EY177" s="456">
        <f t="shared" si="577"/>
        <v>6.6328676578668103E-2</v>
      </c>
      <c r="EZ177" s="456"/>
      <c r="FA177" s="456">
        <f t="shared" si="578"/>
        <v>6.7000000000000013E-4</v>
      </c>
      <c r="FB177" s="144">
        <f t="shared" si="579"/>
        <v>123.74850373916193</v>
      </c>
      <c r="FC177" s="150">
        <f t="shared" si="580"/>
        <v>0.80299184905540466</v>
      </c>
      <c r="FD177" s="5">
        <f t="shared" si="581"/>
        <v>4.0200000000000005</v>
      </c>
      <c r="FE177" s="150">
        <f t="shared" si="582"/>
        <v>0.83350752516559345</v>
      </c>
      <c r="FF177" s="5">
        <f t="shared" si="583"/>
        <v>83.350752516559339</v>
      </c>
      <c r="FI177" s="59">
        <f t="shared" si="584"/>
        <v>-50</v>
      </c>
      <c r="FJ177">
        <f t="shared" si="585"/>
        <v>-50</v>
      </c>
      <c r="FL177">
        <f t="shared" si="586"/>
        <v>0.625</v>
      </c>
    </row>
    <row r="178" spans="5:168">
      <c r="E178" s="147">
        <v>68</v>
      </c>
      <c r="F178" s="188">
        <f t="shared" si="587"/>
        <v>0.81600000000000006</v>
      </c>
      <c r="G178" s="188"/>
      <c r="H178" s="188">
        <f t="shared" si="495"/>
        <v>4.08</v>
      </c>
      <c r="I178" s="465">
        <f t="shared" si="496"/>
        <v>8.9341067934593532</v>
      </c>
      <c r="J178" s="149">
        <f t="shared" si="497"/>
        <v>5.4395359239243888</v>
      </c>
      <c r="K178" s="149">
        <f t="shared" si="498"/>
        <v>14.373642717383742</v>
      </c>
      <c r="L178" s="379"/>
      <c r="M178" s="188">
        <f t="shared" si="499"/>
        <v>0.37842232046347063</v>
      </c>
      <c r="N178" s="149">
        <f t="shared" si="500"/>
        <v>8.4901982961439195</v>
      </c>
      <c r="O178" s="149">
        <f t="shared" si="438"/>
        <v>4.08</v>
      </c>
      <c r="P178" s="188">
        <f t="shared" si="501"/>
        <v>1.6980396592287839</v>
      </c>
      <c r="Q178" s="188">
        <f t="shared" si="502"/>
        <v>5</v>
      </c>
      <c r="R178" s="188"/>
      <c r="S178" s="149">
        <f t="shared" si="503"/>
        <v>18.625379477018473</v>
      </c>
      <c r="T178" s="149">
        <f t="shared" si="504"/>
        <v>5</v>
      </c>
      <c r="U178" s="188">
        <f t="shared" si="505"/>
        <v>2.6255769049121551</v>
      </c>
      <c r="V178" s="188">
        <f t="shared" si="506"/>
        <v>3.5265890130182949</v>
      </c>
      <c r="W178" s="188">
        <f t="shared" si="507"/>
        <v>5.7922078830973112</v>
      </c>
      <c r="X178" s="172">
        <f t="shared" si="508"/>
        <v>281.75063092174327</v>
      </c>
      <c r="Y178" s="379">
        <f t="shared" si="509"/>
        <v>105.05529332263369</v>
      </c>
      <c r="AA178" s="188">
        <f t="shared" si="510"/>
        <v>1</v>
      </c>
      <c r="AB178" s="150">
        <f t="shared" si="511"/>
        <v>2.2060705486328551</v>
      </c>
      <c r="AC178" s="150">
        <f t="shared" si="512"/>
        <v>0.31078088446759167</v>
      </c>
      <c r="AD178" s="150"/>
      <c r="AE178" s="150">
        <f t="shared" si="513"/>
        <v>2.2060705486328551</v>
      </c>
      <c r="AF178" s="314">
        <f t="shared" si="514"/>
        <v>739.77688565371693</v>
      </c>
      <c r="AG178" s="456">
        <f t="shared" si="515"/>
        <v>0.31078088446759161</v>
      </c>
      <c r="AI178" s="150">
        <f t="shared" si="516"/>
        <v>1.4538391399067867</v>
      </c>
      <c r="AJ178" s="150">
        <f t="shared" si="517"/>
        <v>2.6255769049121551</v>
      </c>
      <c r="AK178" s="150">
        <f t="shared" si="518"/>
        <v>2.4041310406756704</v>
      </c>
      <c r="AM178" s="314">
        <f t="shared" si="519"/>
        <v>816.00000000000011</v>
      </c>
      <c r="AN178" s="144">
        <f t="shared" si="520"/>
        <v>105.05529332263369</v>
      </c>
      <c r="AP178">
        <f t="shared" si="521"/>
        <v>816.00000000000011</v>
      </c>
      <c r="AQ178">
        <f t="shared" si="522"/>
        <v>105.05529332263369</v>
      </c>
      <c r="AS178" s="5">
        <f t="shared" si="439"/>
        <v>9.5187968961156049</v>
      </c>
      <c r="AT178" s="5">
        <f t="shared" si="523"/>
        <v>3.5265890130182949</v>
      </c>
      <c r="AU178" s="5">
        <f t="shared" si="478"/>
        <v>5.9922078830973096</v>
      </c>
      <c r="AV178" s="5"/>
      <c r="AW178" s="150">
        <f t="shared" si="479"/>
        <v>0.37048684319101421</v>
      </c>
      <c r="AX178" s="150">
        <f t="shared" si="435"/>
        <v>4.3452891109093175</v>
      </c>
      <c r="AY178" s="150">
        <f t="shared" si="436"/>
        <v>0.82641760292800859</v>
      </c>
      <c r="AZ178" s="150">
        <f t="shared" si="440"/>
        <v>5.2579822785888153</v>
      </c>
      <c r="BA178" s="144">
        <f t="shared" si="433"/>
        <v>57.553932692458574</v>
      </c>
      <c r="BB178" s="5">
        <f t="shared" si="434"/>
        <v>1.1402094956737177</v>
      </c>
      <c r="BD178" s="150">
        <f t="shared" si="441"/>
        <v>0.92267873417327773</v>
      </c>
      <c r="BE178" s="150">
        <f t="shared" si="437"/>
        <v>1.2027255081856494</v>
      </c>
      <c r="BG178" s="456">
        <f t="shared" si="480"/>
        <v>1.7026720929912042E-2</v>
      </c>
      <c r="BH178" s="456">
        <f t="shared" si="524"/>
        <v>7.4337987714120896E-2</v>
      </c>
      <c r="BI178" s="456">
        <f t="shared" si="525"/>
        <v>2.3464380244065167E-2</v>
      </c>
      <c r="BJ178" s="456">
        <f t="shared" si="481"/>
        <v>2.1704592210734942E-3</v>
      </c>
      <c r="BK178">
        <f t="shared" si="482"/>
        <v>4.0203480570567092E-3</v>
      </c>
      <c r="BL178" s="144">
        <f t="shared" si="588"/>
        <v>27.484728301121876</v>
      </c>
      <c r="BM178" s="456">
        <f t="shared" si="526"/>
        <v>9.8530994471789007E-2</v>
      </c>
      <c r="BN178" s="144">
        <f t="shared" si="527"/>
        <v>98.530994471789</v>
      </c>
      <c r="BO178" s="456">
        <f t="shared" si="483"/>
        <v>0.57120000000000004</v>
      </c>
      <c r="BR178" s="144">
        <f t="shared" si="484"/>
        <v>571.20000000000005</v>
      </c>
      <c r="BS178" s="456">
        <f t="shared" si="485"/>
        <v>2.5540081394868065E-2</v>
      </c>
      <c r="BT178" s="456">
        <f t="shared" si="486"/>
        <v>4.3396459441212856E-2</v>
      </c>
      <c r="BU178" s="456">
        <f t="shared" si="487"/>
        <v>6.3179576799080026E-2</v>
      </c>
      <c r="BV178" s="456"/>
      <c r="BW178" s="456">
        <f t="shared" si="488"/>
        <v>7.2421485181821963E-4</v>
      </c>
      <c r="BX178" s="144">
        <f t="shared" si="489"/>
        <v>132.84033248697918</v>
      </c>
      <c r="BY178" s="150">
        <f t="shared" si="490"/>
        <v>0.82506022865320749</v>
      </c>
      <c r="BZ178" s="5">
        <f t="shared" si="491"/>
        <v>4.08</v>
      </c>
      <c r="CA178" s="150">
        <f t="shared" si="492"/>
        <v>0.83179406771937936</v>
      </c>
      <c r="CB178" s="5">
        <f t="shared" si="493"/>
        <v>83.179406771937934</v>
      </c>
      <c r="CE178" s="59">
        <f t="shared" si="528"/>
        <v>-50</v>
      </c>
      <c r="CF178">
        <f t="shared" si="529"/>
        <v>-50</v>
      </c>
      <c r="CG178" s="150">
        <f t="shared" si="530"/>
        <v>0.61918370863970584</v>
      </c>
      <c r="CI178" s="147">
        <v>68</v>
      </c>
      <c r="CJ178" s="188">
        <f t="shared" si="589"/>
        <v>0.81600000000000006</v>
      </c>
      <c r="CK178" s="188"/>
      <c r="CL178" s="188">
        <f t="shared" si="531"/>
        <v>4.08</v>
      </c>
      <c r="CM178" s="465">
        <f t="shared" si="532"/>
        <v>9</v>
      </c>
      <c r="CN178" s="379">
        <f t="shared" si="533"/>
        <v>5.4</v>
      </c>
      <c r="CO178" s="379">
        <f t="shared" si="534"/>
        <v>14.4</v>
      </c>
      <c r="CP178" s="379"/>
      <c r="CQ178" s="188">
        <f t="shared" si="535"/>
        <v>0.375</v>
      </c>
      <c r="CR178" s="149">
        <f t="shared" si="590"/>
        <v>8.4754687499999992</v>
      </c>
      <c r="CS178" s="149">
        <f t="shared" si="536"/>
        <v>4.08</v>
      </c>
      <c r="CT178" s="188">
        <f t="shared" si="537"/>
        <v>1.6950937499999998</v>
      </c>
      <c r="CU178" s="188">
        <f t="shared" si="538"/>
        <v>5</v>
      </c>
      <c r="CV178" s="188"/>
      <c r="CW178" s="149">
        <f t="shared" si="539"/>
        <v>18.761407055074134</v>
      </c>
      <c r="CX178" s="149">
        <f t="shared" si="540"/>
        <v>5</v>
      </c>
      <c r="CY178" s="188">
        <f t="shared" si="541"/>
        <v>2.4177777777777778</v>
      </c>
      <c r="CZ178" s="188">
        <f t="shared" si="542"/>
        <v>3.2237037037037042</v>
      </c>
      <c r="DA178" s="188">
        <f t="shared" si="543"/>
        <v>5.3728395061728396</v>
      </c>
      <c r="DB178" s="172">
        <f t="shared" si="544"/>
        <v>281.25</v>
      </c>
      <c r="DC178" s="379">
        <f t="shared" si="545"/>
        <v>116.32582720588235</v>
      </c>
      <c r="DE178" s="188">
        <f t="shared" si="546"/>
        <v>1</v>
      </c>
      <c r="DF178" s="150">
        <f t="shared" si="547"/>
        <v>2.2222222222222219</v>
      </c>
      <c r="DG178" s="150">
        <f t="shared" si="548"/>
        <v>0.31249999999999994</v>
      </c>
      <c r="DH178" s="150"/>
      <c r="DI178" s="150">
        <f t="shared" si="549"/>
        <v>2.2222222222222219</v>
      </c>
      <c r="DJ178" s="314">
        <f t="shared" si="550"/>
        <v>734.40000000000009</v>
      </c>
      <c r="DK178" s="456">
        <f t="shared" si="551"/>
        <v>0.31249999999999994</v>
      </c>
      <c r="DM178" s="150">
        <f t="shared" si="552"/>
        <v>1.4485460690933218</v>
      </c>
      <c r="DN178" s="150">
        <f t="shared" si="553"/>
        <v>2.4177777777777778</v>
      </c>
      <c r="DO178" s="150">
        <f t="shared" si="554"/>
        <v>2.2502057613168724</v>
      </c>
      <c r="DQ178" s="314">
        <f t="shared" si="555"/>
        <v>816.00000000000011</v>
      </c>
      <c r="DR178" s="144">
        <f t="shared" si="556"/>
        <v>116.32582720588235</v>
      </c>
      <c r="DT178">
        <f t="shared" si="591"/>
        <v>816.00000000000011</v>
      </c>
      <c r="DU178">
        <f t="shared" si="592"/>
        <v>116.32582720588235</v>
      </c>
      <c r="DW178" s="5">
        <f t="shared" si="557"/>
        <v>8.5965432098765433</v>
      </c>
      <c r="DX178" s="5">
        <f t="shared" si="558"/>
        <v>3.2237037037037042</v>
      </c>
      <c r="DY178" s="5">
        <f t="shared" si="559"/>
        <v>5.3728395061728396</v>
      </c>
      <c r="DZ178" s="5"/>
      <c r="EA178" s="150">
        <f t="shared" si="560"/>
        <v>0.37500000000000006</v>
      </c>
      <c r="EB178" s="150">
        <f t="shared" si="561"/>
        <v>4.08</v>
      </c>
      <c r="EC178" s="150">
        <f t="shared" si="562"/>
        <v>0.75555555555555554</v>
      </c>
      <c r="ED178" s="150">
        <f t="shared" si="563"/>
        <v>5.4</v>
      </c>
      <c r="EE178" s="144">
        <f t="shared" si="564"/>
        <v>52.61084444444446</v>
      </c>
      <c r="EF178" s="5">
        <f t="shared" si="565"/>
        <v>1.0148696844993139</v>
      </c>
      <c r="EH178" s="150">
        <f t="shared" si="566"/>
        <v>0.85481353103440416</v>
      </c>
      <c r="EI178" s="150">
        <f t="shared" si="567"/>
        <v>1.103559523269668</v>
      </c>
      <c r="EK178" s="456">
        <f t="shared" si="568"/>
        <v>1.4614123456790125E-2</v>
      </c>
      <c r="EL178" s="456">
        <f t="shared" si="569"/>
        <v>8.1000000000000003E-2</v>
      </c>
      <c r="EM178" s="456">
        <f t="shared" si="570"/>
        <v>1.4540728400735293E-2</v>
      </c>
      <c r="EN178" s="456">
        <f t="shared" si="571"/>
        <v>2.4121323529411767E-3</v>
      </c>
      <c r="EO178">
        <f t="shared" si="572"/>
        <v>4.0499999999999998E-3</v>
      </c>
      <c r="EP178" s="144">
        <f t="shared" si="573"/>
        <v>18.590728400735294</v>
      </c>
      <c r="EQ178" s="144"/>
      <c r="ER178" s="144">
        <f t="shared" si="593"/>
        <v>116.6169842104666</v>
      </c>
      <c r="ES178" s="456">
        <f t="shared" si="574"/>
        <v>0.57120000000000004</v>
      </c>
      <c r="EV178" s="144">
        <f t="shared" si="494"/>
        <v>571.20000000000005</v>
      </c>
      <c r="EW178" s="456">
        <f t="shared" si="575"/>
        <v>2.1921185185185186E-2</v>
      </c>
      <c r="EX178" s="456">
        <f t="shared" si="576"/>
        <v>3.6535308641975302E-2</v>
      </c>
      <c r="EY178" s="456">
        <f t="shared" si="577"/>
        <v>6.6328676578668103E-2</v>
      </c>
      <c r="EZ178" s="456"/>
      <c r="FA178" s="456">
        <f t="shared" si="578"/>
        <v>6.8000000000000005E-4</v>
      </c>
      <c r="FB178" s="144">
        <f t="shared" si="579"/>
        <v>125.4651704058286</v>
      </c>
      <c r="FC178" s="150">
        <f t="shared" si="580"/>
        <v>0.81328215461629527</v>
      </c>
      <c r="FD178" s="5">
        <f t="shared" si="581"/>
        <v>4.08</v>
      </c>
      <c r="FE178" s="150">
        <f t="shared" si="582"/>
        <v>0.83379618650254017</v>
      </c>
      <c r="FF178" s="5">
        <f t="shared" si="583"/>
        <v>83.379618650254017</v>
      </c>
      <c r="FI178" s="59">
        <f t="shared" si="584"/>
        <v>-50</v>
      </c>
      <c r="FJ178">
        <f t="shared" si="585"/>
        <v>-50</v>
      </c>
      <c r="FL178">
        <f t="shared" si="586"/>
        <v>0.625</v>
      </c>
    </row>
    <row r="179" spans="5:168">
      <c r="E179" s="147">
        <v>69</v>
      </c>
      <c r="F179" s="188">
        <f t="shared" si="587"/>
        <v>0.82799999999999996</v>
      </c>
      <c r="G179" s="188"/>
      <c r="H179" s="188">
        <f t="shared" si="495"/>
        <v>4.1399999999999997</v>
      </c>
      <c r="I179" s="465">
        <f t="shared" si="496"/>
        <v>8.9331468769283511</v>
      </c>
      <c r="J179" s="149">
        <f t="shared" si="497"/>
        <v>5.4401118738429899</v>
      </c>
      <c r="K179" s="149">
        <f t="shared" si="498"/>
        <v>14.373258750771342</v>
      </c>
      <c r="L179" s="379"/>
      <c r="M179" s="188">
        <f t="shared" si="499"/>
        <v>0.37847250400627369</v>
      </c>
      <c r="N179" s="149">
        <f t="shared" si="500"/>
        <v>8.4904118606728698</v>
      </c>
      <c r="O179" s="149">
        <f t="shared" si="438"/>
        <v>4.1399999999999997</v>
      </c>
      <c r="P179" s="188">
        <f t="shared" si="501"/>
        <v>1.6980823721345739</v>
      </c>
      <c r="Q179" s="188">
        <f t="shared" si="502"/>
        <v>5</v>
      </c>
      <c r="R179" s="188"/>
      <c r="S179" s="149">
        <f t="shared" si="503"/>
        <v>18.230708979218182</v>
      </c>
      <c r="T179" s="149">
        <f t="shared" si="504"/>
        <v>5</v>
      </c>
      <c r="U179" s="188">
        <f t="shared" si="505"/>
        <v>2.6644034426060461</v>
      </c>
      <c r="V179" s="188">
        <f t="shared" si="506"/>
        <v>3.5791241039424579</v>
      </c>
      <c r="W179" s="188">
        <f t="shared" si="507"/>
        <v>5.8772396694640721</v>
      </c>
      <c r="X179" s="172">
        <f t="shared" si="508"/>
        <v>281.75771432344436</v>
      </c>
      <c r="Y179" s="379">
        <f t="shared" si="509"/>
        <v>103.5586503849393</v>
      </c>
      <c r="AA179" s="188">
        <f t="shared" si="510"/>
        <v>1</v>
      </c>
      <c r="AB179" s="150">
        <f t="shared" si="511"/>
        <v>2.2058369898049524</v>
      </c>
      <c r="AC179" s="150">
        <f t="shared" si="512"/>
        <v>0.31075579420877514</v>
      </c>
      <c r="AD179" s="150"/>
      <c r="AE179" s="150">
        <f t="shared" si="513"/>
        <v>2.2058369898049524</v>
      </c>
      <c r="AF179" s="314">
        <f t="shared" si="514"/>
        <v>750.73543859033259</v>
      </c>
      <c r="AG179" s="456">
        <f t="shared" si="515"/>
        <v>0.31075579420877508</v>
      </c>
      <c r="AI179" s="150">
        <f t="shared" si="516"/>
        <v>1.4645676481379679</v>
      </c>
      <c r="AJ179" s="150">
        <f t="shared" si="517"/>
        <v>2.6644034426060461</v>
      </c>
      <c r="AK179" s="150">
        <f t="shared" si="518"/>
        <v>2.4328914389674416</v>
      </c>
      <c r="AM179" s="314">
        <f t="shared" si="519"/>
        <v>828</v>
      </c>
      <c r="AN179" s="144">
        <f t="shared" si="520"/>
        <v>103.5586503849393</v>
      </c>
      <c r="AP179">
        <f t="shared" si="521"/>
        <v>828</v>
      </c>
      <c r="AQ179">
        <f t="shared" si="522"/>
        <v>103.5586503849393</v>
      </c>
      <c r="AS179" s="5">
        <f t="shared" si="439"/>
        <v>9.6563637734065288</v>
      </c>
      <c r="AT179" s="5">
        <f t="shared" si="523"/>
        <v>3.5791241039424579</v>
      </c>
      <c r="AU179" s="5">
        <f t="shared" si="478"/>
        <v>6.0772396694640705</v>
      </c>
      <c r="AV179" s="5"/>
      <c r="AW179" s="150">
        <f t="shared" si="479"/>
        <v>0.37064926176448615</v>
      </c>
      <c r="AX179" s="150">
        <f t="shared" si="435"/>
        <v>4.4110055533667492</v>
      </c>
      <c r="AY179" s="150">
        <f t="shared" si="436"/>
        <v>0.83842213678067989</v>
      </c>
      <c r="AZ179" s="150">
        <f t="shared" si="440"/>
        <v>5.2610795443734926</v>
      </c>
      <c r="BA179" s="144">
        <f t="shared" si="433"/>
        <v>59.270295161287095</v>
      </c>
      <c r="BB179" s="5">
        <f t="shared" si="434"/>
        <v>1.1735213328799721</v>
      </c>
      <c r="BD179" s="150">
        <f t="shared" si="441"/>
        <v>0.93652834977197008</v>
      </c>
      <c r="BE179" s="150">
        <f t="shared" si="437"/>
        <v>1.2203537267518139</v>
      </c>
      <c r="BG179" s="456">
        <f t="shared" si="480"/>
        <v>1.7541706998532192E-2</v>
      </c>
      <c r="BH179" s="456">
        <f t="shared" si="524"/>
        <v>7.4360599773248076E-2</v>
      </c>
      <c r="BI179" s="456">
        <f t="shared" si="525"/>
        <v>2.3127615856628387E-2</v>
      </c>
      <c r="BJ179" s="456">
        <f t="shared" si="481"/>
        <v>2.1394240312856902E-3</v>
      </c>
      <c r="BK179">
        <f t="shared" si="482"/>
        <v>4.0199160946177582E-3</v>
      </c>
      <c r="BL179" s="144">
        <f t="shared" si="588"/>
        <v>27.147531951246147</v>
      </c>
      <c r="BM179" s="456">
        <f t="shared" si="526"/>
        <v>9.9191412531496229E-2</v>
      </c>
      <c r="BN179" s="144">
        <f t="shared" si="527"/>
        <v>99.191412531496226</v>
      </c>
      <c r="BO179" s="456">
        <f t="shared" si="483"/>
        <v>0.57959999999999989</v>
      </c>
      <c r="BR179" s="144">
        <f t="shared" si="484"/>
        <v>579.59999999999991</v>
      </c>
      <c r="BS179" s="456">
        <f t="shared" si="485"/>
        <v>2.6312560497798287E-2</v>
      </c>
      <c r="BT179" s="456">
        <f t="shared" si="486"/>
        <v>4.467789655191122E-2</v>
      </c>
      <c r="BU179" s="456">
        <f t="shared" si="487"/>
        <v>6.3231855255991898E-2</v>
      </c>
      <c r="BV179" s="456"/>
      <c r="BW179" s="456">
        <f t="shared" si="488"/>
        <v>7.3516759222779166E-4</v>
      </c>
      <c r="BX179" s="144">
        <f t="shared" si="489"/>
        <v>134.95747989792923</v>
      </c>
      <c r="BY179" s="150">
        <f t="shared" si="490"/>
        <v>0.83574674265224114</v>
      </c>
      <c r="BZ179" s="5">
        <f t="shared" si="491"/>
        <v>4.1399999999999997</v>
      </c>
      <c r="CA179" s="150">
        <f t="shared" si="492"/>
        <v>0.83203591623982853</v>
      </c>
      <c r="CB179" s="5">
        <f t="shared" si="493"/>
        <v>83.203591623982859</v>
      </c>
      <c r="CE179" s="59">
        <f t="shared" si="528"/>
        <v>-50</v>
      </c>
      <c r="CF179">
        <f t="shared" si="529"/>
        <v>-50</v>
      </c>
      <c r="CG179" s="150">
        <f t="shared" si="530"/>
        <v>0.61926800271739135</v>
      </c>
      <c r="CI179" s="147">
        <v>69</v>
      </c>
      <c r="CJ179" s="188">
        <f t="shared" si="589"/>
        <v>0.82799999999999996</v>
      </c>
      <c r="CK179" s="188"/>
      <c r="CL179" s="188">
        <f t="shared" si="531"/>
        <v>4.1399999999999997</v>
      </c>
      <c r="CM179" s="465">
        <f t="shared" si="532"/>
        <v>9</v>
      </c>
      <c r="CN179" s="379">
        <f t="shared" si="533"/>
        <v>5.4</v>
      </c>
      <c r="CO179" s="379">
        <f t="shared" si="534"/>
        <v>14.4</v>
      </c>
      <c r="CP179" s="379"/>
      <c r="CQ179" s="188">
        <f t="shared" si="535"/>
        <v>0.375</v>
      </c>
      <c r="CR179" s="149">
        <f t="shared" si="590"/>
        <v>8.4754687499999992</v>
      </c>
      <c r="CS179" s="149">
        <f t="shared" si="536"/>
        <v>4.1399999999999997</v>
      </c>
      <c r="CT179" s="188">
        <f t="shared" si="537"/>
        <v>1.6950937499999998</v>
      </c>
      <c r="CU179" s="188">
        <f t="shared" si="538"/>
        <v>5</v>
      </c>
      <c r="CV179" s="188"/>
      <c r="CW179" s="149">
        <f t="shared" si="539"/>
        <v>18.3657518796247</v>
      </c>
      <c r="CX179" s="149">
        <f t="shared" si="540"/>
        <v>5</v>
      </c>
      <c r="CY179" s="188">
        <f t="shared" si="541"/>
        <v>2.4533333333333331</v>
      </c>
      <c r="CZ179" s="188">
        <f t="shared" si="542"/>
        <v>3.2711111111111109</v>
      </c>
      <c r="DA179" s="188">
        <f t="shared" si="543"/>
        <v>5.4518518518518508</v>
      </c>
      <c r="DB179" s="172">
        <f t="shared" si="544"/>
        <v>281.25</v>
      </c>
      <c r="DC179" s="379">
        <f t="shared" si="545"/>
        <v>114.63994565217394</v>
      </c>
      <c r="DE179" s="188">
        <f t="shared" si="546"/>
        <v>1</v>
      </c>
      <c r="DF179" s="150">
        <f t="shared" si="547"/>
        <v>2.2222222222222219</v>
      </c>
      <c r="DG179" s="150">
        <f t="shared" si="548"/>
        <v>0.31249999999999994</v>
      </c>
      <c r="DH179" s="150"/>
      <c r="DI179" s="150">
        <f t="shared" si="549"/>
        <v>2.2222222222222219</v>
      </c>
      <c r="DJ179" s="314">
        <f t="shared" si="550"/>
        <v>745.2</v>
      </c>
      <c r="DK179" s="456">
        <f t="shared" si="551"/>
        <v>0.31249999999999994</v>
      </c>
      <c r="DM179" s="150">
        <f t="shared" si="552"/>
        <v>1.4591582700799997</v>
      </c>
      <c r="DN179" s="150">
        <f t="shared" si="553"/>
        <v>2.4533333333333331</v>
      </c>
      <c r="DO179" s="150">
        <f t="shared" si="554"/>
        <v>2.276543209876543</v>
      </c>
      <c r="DQ179" s="314">
        <f t="shared" si="555"/>
        <v>828</v>
      </c>
      <c r="DR179" s="144">
        <f t="shared" si="556"/>
        <v>114.63994565217394</v>
      </c>
      <c r="DT179">
        <f t="shared" si="591"/>
        <v>828</v>
      </c>
      <c r="DU179">
        <f t="shared" si="592"/>
        <v>114.63994565217394</v>
      </c>
      <c r="DW179" s="5">
        <f t="shared" si="557"/>
        <v>8.7229629629629617</v>
      </c>
      <c r="DX179" s="5">
        <f t="shared" si="558"/>
        <v>3.2711111111111109</v>
      </c>
      <c r="DY179" s="5">
        <f t="shared" si="559"/>
        <v>5.4518518518518508</v>
      </c>
      <c r="DZ179" s="5"/>
      <c r="EA179" s="150">
        <f t="shared" si="560"/>
        <v>0.375</v>
      </c>
      <c r="EB179" s="150">
        <f t="shared" si="561"/>
        <v>4.1400000000000006</v>
      </c>
      <c r="EC179" s="150">
        <f t="shared" si="562"/>
        <v>0.76666666666666661</v>
      </c>
      <c r="ED179" s="150">
        <f t="shared" si="563"/>
        <v>5.4000000000000012</v>
      </c>
      <c r="EE179" s="144">
        <f t="shared" si="564"/>
        <v>54.169599999999996</v>
      </c>
      <c r="EF179" s="5">
        <f t="shared" si="565"/>
        <v>1.0449382716049378</v>
      </c>
      <c r="EH179" s="150">
        <f t="shared" si="566"/>
        <v>0.86738431825549833</v>
      </c>
      <c r="EI179" s="150">
        <f t="shared" si="567"/>
        <v>1.1197883397883395</v>
      </c>
      <c r="EK179" s="456">
        <f t="shared" si="568"/>
        <v>1.5047111111111114E-2</v>
      </c>
      <c r="EL179" s="456">
        <f t="shared" si="569"/>
        <v>8.1000000000000016E-2</v>
      </c>
      <c r="EM179" s="456">
        <f t="shared" si="570"/>
        <v>1.4329993206521742E-2</v>
      </c>
      <c r="EN179" s="456">
        <f t="shared" si="571"/>
        <v>2.3771739130434792E-3</v>
      </c>
      <c r="EO179">
        <f t="shared" si="572"/>
        <v>4.0499999999999998E-3</v>
      </c>
      <c r="EP179" s="144">
        <f t="shared" si="573"/>
        <v>18.379993206521743</v>
      </c>
      <c r="EQ179" s="144"/>
      <c r="ER179" s="144">
        <f t="shared" si="593"/>
        <v>116.80427823067635</v>
      </c>
      <c r="ES179" s="456">
        <f t="shared" si="574"/>
        <v>0.57959999999999989</v>
      </c>
      <c r="EV179" s="144">
        <f t="shared" si="494"/>
        <v>579.59999999999991</v>
      </c>
      <c r="EW179" s="456">
        <f t="shared" si="575"/>
        <v>2.2570666666666669E-2</v>
      </c>
      <c r="EX179" s="456">
        <f t="shared" si="576"/>
        <v>3.7617777777777771E-2</v>
      </c>
      <c r="EY179" s="456">
        <f t="shared" si="577"/>
        <v>6.632867657866813E-2</v>
      </c>
      <c r="EZ179" s="456"/>
      <c r="FA179" s="456">
        <f t="shared" si="578"/>
        <v>6.9000000000000008E-4</v>
      </c>
      <c r="FB179" s="144">
        <f t="shared" si="579"/>
        <v>127.20712102311258</v>
      </c>
      <c r="FC179" s="150">
        <f t="shared" si="580"/>
        <v>0.82361139925378879</v>
      </c>
      <c r="FD179" s="5">
        <f t="shared" si="581"/>
        <v>4.1399999999999997</v>
      </c>
      <c r="FE179" s="150">
        <f t="shared" si="582"/>
        <v>0.8340701289835849</v>
      </c>
      <c r="FF179" s="5">
        <f t="shared" si="583"/>
        <v>83.407012898358488</v>
      </c>
      <c r="FI179" s="59">
        <f t="shared" si="584"/>
        <v>-50</v>
      </c>
      <c r="FJ179">
        <f t="shared" si="585"/>
        <v>-50</v>
      </c>
      <c r="FL179">
        <f t="shared" si="586"/>
        <v>0.625</v>
      </c>
    </row>
    <row r="180" spans="5:168">
      <c r="E180" s="147">
        <v>70</v>
      </c>
      <c r="F180" s="188">
        <f t="shared" si="587"/>
        <v>0.84</v>
      </c>
      <c r="G180" s="188"/>
      <c r="H180" s="188">
        <f t="shared" si="495"/>
        <v>4.2</v>
      </c>
      <c r="I180" s="465">
        <f t="shared" si="496"/>
        <v>8.9321869579907656</v>
      </c>
      <c r="J180" s="149">
        <f t="shared" si="497"/>
        <v>5.4406878252055417</v>
      </c>
      <c r="K180" s="149">
        <f t="shared" si="498"/>
        <v>14.372874783196307</v>
      </c>
      <c r="L180" s="379"/>
      <c r="M180" s="188">
        <f t="shared" si="499"/>
        <v>0.37852269029345048</v>
      </c>
      <c r="N180" s="149">
        <f t="shared" si="500"/>
        <v>8.4906252425291964</v>
      </c>
      <c r="O180" s="149">
        <f t="shared" si="438"/>
        <v>4.2</v>
      </c>
      <c r="P180" s="188">
        <f t="shared" si="501"/>
        <v>1.6981250485058392</v>
      </c>
      <c r="Q180" s="188">
        <f t="shared" si="502"/>
        <v>5</v>
      </c>
      <c r="R180" s="188"/>
      <c r="S180" s="149">
        <f t="shared" si="503"/>
        <v>17.847503542668434</v>
      </c>
      <c r="T180" s="149">
        <f t="shared" si="504"/>
        <v>5</v>
      </c>
      <c r="U180" s="188">
        <f t="shared" si="505"/>
        <v>2.7032362626292272</v>
      </c>
      <c r="V180" s="188">
        <f t="shared" si="506"/>
        <v>3.6316789274692507</v>
      </c>
      <c r="W180" s="188">
        <f t="shared" si="507"/>
        <v>5.9622673076864565</v>
      </c>
      <c r="X180" s="172">
        <f t="shared" si="508"/>
        <v>281.76479171037948</v>
      </c>
      <c r="Y180" s="379">
        <f t="shared" si="509"/>
        <v>102.103889074913</v>
      </c>
      <c r="AA180" s="188">
        <f t="shared" si="510"/>
        <v>1</v>
      </c>
      <c r="AB180" s="150">
        <f t="shared" si="511"/>
        <v>2.2056034798406499</v>
      </c>
      <c r="AC180" s="150">
        <f t="shared" si="512"/>
        <v>0.31073070254649443</v>
      </c>
      <c r="AD180" s="150"/>
      <c r="AE180" s="150">
        <f t="shared" si="513"/>
        <v>2.2056034798406499</v>
      </c>
      <c r="AF180" s="314">
        <f t="shared" si="514"/>
        <v>761.69629552877575</v>
      </c>
      <c r="AG180" s="456">
        <f t="shared" si="515"/>
        <v>0.31073070254649443</v>
      </c>
      <c r="AI180" s="150">
        <f t="shared" si="516"/>
        <v>1.4752203666172103</v>
      </c>
      <c r="AJ180" s="150">
        <f t="shared" si="517"/>
        <v>2.7032362626292272</v>
      </c>
      <c r="AK180" s="150">
        <f t="shared" si="518"/>
        <v>2.4616564908364644</v>
      </c>
      <c r="AM180" s="314">
        <f t="shared" si="519"/>
        <v>840</v>
      </c>
      <c r="AN180" s="144">
        <f t="shared" si="520"/>
        <v>102.103889074913</v>
      </c>
      <c r="AP180">
        <f t="shared" si="521"/>
        <v>840</v>
      </c>
      <c r="AQ180">
        <f t="shared" si="522"/>
        <v>102.103889074913</v>
      </c>
      <c r="AS180" s="5">
        <f t="shared" si="439"/>
        <v>9.7939462351557065</v>
      </c>
      <c r="AT180" s="5">
        <f t="shared" si="523"/>
        <v>3.6316789274692507</v>
      </c>
      <c r="AU180" s="5">
        <f t="shared" si="478"/>
        <v>6.1622673076864558</v>
      </c>
      <c r="AV180" s="5"/>
      <c r="AW180" s="150">
        <f t="shared" si="479"/>
        <v>0.37080854236601934</v>
      </c>
      <c r="AX180" s="150">
        <f t="shared" si="435"/>
        <v>4.4767366183999417</v>
      </c>
      <c r="AY180" s="150">
        <f t="shared" si="436"/>
        <v>0.85042658220635881</v>
      </c>
      <c r="AZ180" s="150">
        <f t="shared" si="440"/>
        <v>5.2641071105578954</v>
      </c>
      <c r="BA180" s="144">
        <f t="shared" si="433"/>
        <v>61.012205981483412</v>
      </c>
      <c r="BB180" s="5">
        <f t="shared" si="434"/>
        <v>1.2073155028180329</v>
      </c>
      <c r="BD180" s="150">
        <f t="shared" si="441"/>
        <v>0.95038208810027258</v>
      </c>
      <c r="BE180" s="150">
        <f t="shared" si="437"/>
        <v>1.2379832997592131</v>
      </c>
      <c r="BG180" s="456">
        <f t="shared" si="480"/>
        <v>1.8064522267636687E-2</v>
      </c>
      <c r="BH180" s="456">
        <f t="shared" si="524"/>
        <v>7.4382574027017853E-2</v>
      </c>
      <c r="BI180" s="456">
        <f t="shared" si="525"/>
        <v>2.280027565887684E-2</v>
      </c>
      <c r="BJ180" s="456">
        <f t="shared" si="481"/>
        <v>2.1092573368630108E-3</v>
      </c>
      <c r="BK180">
        <f t="shared" si="482"/>
        <v>4.0194841310958445E-3</v>
      </c>
      <c r="BL180" s="144">
        <f t="shared" si="588"/>
        <v>26.819759789972682</v>
      </c>
      <c r="BM180" s="456">
        <f t="shared" si="526"/>
        <v>9.9862397083183618E-2</v>
      </c>
      <c r="BN180" s="144">
        <f t="shared" si="527"/>
        <v>99.862397083183623</v>
      </c>
      <c r="BO180" s="456">
        <f t="shared" si="483"/>
        <v>0.58799999999999997</v>
      </c>
      <c r="BR180" s="144">
        <f t="shared" si="484"/>
        <v>588</v>
      </c>
      <c r="BS180" s="456">
        <f t="shared" si="485"/>
        <v>2.7096783401455025E-2</v>
      </c>
      <c r="BT180" s="456">
        <f t="shared" si="486"/>
        <v>4.5978079514481282E-2</v>
      </c>
      <c r="BU180" s="456">
        <f t="shared" si="487"/>
        <v>6.3282805884893101E-2</v>
      </c>
      <c r="BV180" s="456"/>
      <c r="BW180" s="456">
        <f t="shared" si="488"/>
        <v>7.4612276973332373E-4</v>
      </c>
      <c r="BX180" s="144">
        <f t="shared" si="489"/>
        <v>137.10379157056272</v>
      </c>
      <c r="BY180" s="150">
        <f t="shared" si="490"/>
        <v>0.84647990499205295</v>
      </c>
      <c r="BZ180" s="5">
        <f t="shared" si="491"/>
        <v>4.2</v>
      </c>
      <c r="CA180" s="150">
        <f t="shared" si="492"/>
        <v>0.83226329621273187</v>
      </c>
      <c r="CB180" s="5">
        <f t="shared" si="493"/>
        <v>83.22632962127318</v>
      </c>
      <c r="CE180" s="59">
        <f t="shared" si="528"/>
        <v>-50</v>
      </c>
      <c r="CF180">
        <f t="shared" si="529"/>
        <v>-50</v>
      </c>
      <c r="CG180" s="150">
        <f t="shared" si="530"/>
        <v>0.6193498883928571</v>
      </c>
      <c r="CI180" s="147">
        <v>70</v>
      </c>
      <c r="CJ180" s="188">
        <f t="shared" si="589"/>
        <v>0.84</v>
      </c>
      <c r="CK180" s="188"/>
      <c r="CL180" s="188">
        <f t="shared" si="531"/>
        <v>4.2</v>
      </c>
      <c r="CM180" s="465">
        <f t="shared" si="532"/>
        <v>9</v>
      </c>
      <c r="CN180" s="379">
        <f t="shared" si="533"/>
        <v>5.4</v>
      </c>
      <c r="CO180" s="379">
        <f t="shared" si="534"/>
        <v>14.4</v>
      </c>
      <c r="CP180" s="379"/>
      <c r="CQ180" s="188">
        <f t="shared" si="535"/>
        <v>0.375</v>
      </c>
      <c r="CR180" s="149">
        <f t="shared" si="590"/>
        <v>8.4754687499999992</v>
      </c>
      <c r="CS180" s="149">
        <f t="shared" si="536"/>
        <v>4.2</v>
      </c>
      <c r="CT180" s="188">
        <f t="shared" si="537"/>
        <v>1.6950937499999998</v>
      </c>
      <c r="CU180" s="188">
        <f t="shared" si="538"/>
        <v>5</v>
      </c>
      <c r="CV180" s="188"/>
      <c r="CW180" s="149">
        <f t="shared" si="539"/>
        <v>17.981562705012088</v>
      </c>
      <c r="CX180" s="149">
        <f t="shared" si="540"/>
        <v>5</v>
      </c>
      <c r="CY180" s="188">
        <f t="shared" si="541"/>
        <v>2.4888888888888889</v>
      </c>
      <c r="CZ180" s="188">
        <f t="shared" si="542"/>
        <v>3.3185185185185184</v>
      </c>
      <c r="DA180" s="188">
        <f t="shared" si="543"/>
        <v>5.5308641975308639</v>
      </c>
      <c r="DB180" s="172">
        <f t="shared" si="544"/>
        <v>281.25</v>
      </c>
      <c r="DC180" s="379">
        <f t="shared" si="545"/>
        <v>113.00223214285715</v>
      </c>
      <c r="DE180" s="188">
        <f t="shared" si="546"/>
        <v>1</v>
      </c>
      <c r="DF180" s="150">
        <f t="shared" si="547"/>
        <v>2.2222222222222219</v>
      </c>
      <c r="DG180" s="150">
        <f t="shared" si="548"/>
        <v>0.31249999999999994</v>
      </c>
      <c r="DH180" s="150"/>
      <c r="DI180" s="150">
        <f t="shared" si="549"/>
        <v>2.2222222222222219</v>
      </c>
      <c r="DJ180" s="314">
        <f t="shared" si="550"/>
        <v>756</v>
      </c>
      <c r="DK180" s="456">
        <f t="shared" si="551"/>
        <v>0.31249999999999994</v>
      </c>
      <c r="DM180" s="150">
        <f t="shared" si="552"/>
        <v>1.4696938456699069</v>
      </c>
      <c r="DN180" s="150">
        <f t="shared" si="553"/>
        <v>2.4888888888888889</v>
      </c>
      <c r="DO180" s="150">
        <f t="shared" si="554"/>
        <v>2.302880658436214</v>
      </c>
      <c r="DQ180" s="314">
        <f t="shared" si="555"/>
        <v>840</v>
      </c>
      <c r="DR180" s="144">
        <f t="shared" si="556"/>
        <v>113.00223214285715</v>
      </c>
      <c r="DT180">
        <f t="shared" si="591"/>
        <v>840</v>
      </c>
      <c r="DU180">
        <f t="shared" si="592"/>
        <v>113.00223214285715</v>
      </c>
      <c r="DW180" s="5">
        <f t="shared" si="557"/>
        <v>8.8493827160493819</v>
      </c>
      <c r="DX180" s="5">
        <f t="shared" si="558"/>
        <v>3.3185185185185184</v>
      </c>
      <c r="DY180" s="5">
        <f t="shared" si="559"/>
        <v>5.5308641975308639</v>
      </c>
      <c r="DZ180" s="5"/>
      <c r="EA180" s="150">
        <f t="shared" si="560"/>
        <v>0.375</v>
      </c>
      <c r="EB180" s="150">
        <f t="shared" si="561"/>
        <v>4.2</v>
      </c>
      <c r="EC180" s="150">
        <f t="shared" si="562"/>
        <v>0.77777777777777779</v>
      </c>
      <c r="ED180" s="150">
        <f t="shared" si="563"/>
        <v>5.4</v>
      </c>
      <c r="EE180" s="144">
        <f t="shared" si="564"/>
        <v>55.751111111111115</v>
      </c>
      <c r="EF180" s="5">
        <f t="shared" si="565"/>
        <v>1.0754458161865568</v>
      </c>
      <c r="EH180" s="150">
        <f t="shared" si="566"/>
        <v>0.8799551054765925</v>
      </c>
      <c r="EI180" s="150">
        <f t="shared" si="567"/>
        <v>1.1360171563070112</v>
      </c>
      <c r="EK180" s="456">
        <f t="shared" si="568"/>
        <v>1.5486419753086421E-2</v>
      </c>
      <c r="EL180" s="456">
        <f t="shared" si="569"/>
        <v>8.1000000000000016E-2</v>
      </c>
      <c r="EM180" s="456">
        <f t="shared" si="570"/>
        <v>1.4125279017857142E-2</v>
      </c>
      <c r="EN180" s="456">
        <f t="shared" si="571"/>
        <v>2.3432142857142861E-3</v>
      </c>
      <c r="EO180">
        <f t="shared" si="572"/>
        <v>4.0499999999999998E-3</v>
      </c>
      <c r="EP180" s="144">
        <f t="shared" si="573"/>
        <v>18.175279017857143</v>
      </c>
      <c r="EQ180" s="144"/>
      <c r="ER180" s="144">
        <f t="shared" si="593"/>
        <v>117.00491305665786</v>
      </c>
      <c r="ES180" s="456">
        <f t="shared" si="574"/>
        <v>0.58799999999999997</v>
      </c>
      <c r="EV180" s="144">
        <f t="shared" si="494"/>
        <v>588</v>
      </c>
      <c r="EW180" s="456">
        <f t="shared" si="575"/>
        <v>2.3229629629629628E-2</v>
      </c>
      <c r="EX180" s="456">
        <f t="shared" si="576"/>
        <v>3.8716049382716049E-2</v>
      </c>
      <c r="EY180" s="456">
        <f t="shared" si="577"/>
        <v>6.6328676578668075E-2</v>
      </c>
      <c r="EZ180" s="456"/>
      <c r="FA180" s="456">
        <f t="shared" si="578"/>
        <v>7.0000000000000021E-4</v>
      </c>
      <c r="FB180" s="144">
        <f t="shared" si="579"/>
        <v>128.97435559101376</v>
      </c>
      <c r="FC180" s="150">
        <f t="shared" si="580"/>
        <v>0.83397926864767147</v>
      </c>
      <c r="FD180" s="5">
        <f t="shared" si="581"/>
        <v>4.2</v>
      </c>
      <c r="FE180" s="150">
        <f t="shared" si="582"/>
        <v>0.8343300152541725</v>
      </c>
      <c r="FF180" s="5">
        <f t="shared" si="583"/>
        <v>83.433001525417254</v>
      </c>
      <c r="FI180" s="59">
        <f t="shared" si="584"/>
        <v>-50</v>
      </c>
      <c r="FJ180">
        <f t="shared" si="585"/>
        <v>-50</v>
      </c>
      <c r="FL180">
        <f t="shared" si="586"/>
        <v>0.625</v>
      </c>
    </row>
    <row r="181" spans="5:168">
      <c r="E181" s="147">
        <v>71</v>
      </c>
      <c r="F181" s="188">
        <f t="shared" si="587"/>
        <v>0.85199999999999998</v>
      </c>
      <c r="G181" s="188"/>
      <c r="H181" s="188">
        <f t="shared" si="495"/>
        <v>4.26</v>
      </c>
      <c r="I181" s="465">
        <f t="shared" si="496"/>
        <v>8.9312270367491955</v>
      </c>
      <c r="J181" s="149">
        <f t="shared" si="497"/>
        <v>5.4412637779504829</v>
      </c>
      <c r="K181" s="149">
        <f t="shared" si="498"/>
        <v>14.372490814699677</v>
      </c>
      <c r="L181" s="379"/>
      <c r="M181" s="188">
        <f t="shared" si="499"/>
        <v>0.37857287932254347</v>
      </c>
      <c r="N181" s="149">
        <f t="shared" si="500"/>
        <v>8.4908384417345637</v>
      </c>
      <c r="O181" s="149">
        <f t="shared" si="438"/>
        <v>4.26</v>
      </c>
      <c r="P181" s="188">
        <f t="shared" si="501"/>
        <v>1.6981676883469128</v>
      </c>
      <c r="Q181" s="188">
        <f t="shared" si="502"/>
        <v>5</v>
      </c>
      <c r="R181" s="188"/>
      <c r="S181" s="149">
        <f t="shared" si="503"/>
        <v>17.475281544497651</v>
      </c>
      <c r="T181" s="149">
        <f t="shared" si="504"/>
        <v>5</v>
      </c>
      <c r="U181" s="188">
        <f t="shared" si="505"/>
        <v>2.7420753670074189</v>
      </c>
      <c r="V181" s="188">
        <f t="shared" si="506"/>
        <v>3.6842534926831081</v>
      </c>
      <c r="W181" s="188">
        <f t="shared" si="507"/>
        <v>6.0472908035498794</v>
      </c>
      <c r="X181" s="172">
        <f t="shared" si="508"/>
        <v>281.77186308126426</v>
      </c>
      <c r="Y181" s="379">
        <f t="shared" si="509"/>
        <v>100.68927552176329</v>
      </c>
      <c r="AA181" s="188">
        <f t="shared" si="510"/>
        <v>1</v>
      </c>
      <c r="AB181" s="150">
        <f t="shared" si="511"/>
        <v>2.205370018749568</v>
      </c>
      <c r="AC181" s="150">
        <f t="shared" si="512"/>
        <v>0.31070560948331422</v>
      </c>
      <c r="AD181" s="150"/>
      <c r="AE181" s="150">
        <f t="shared" si="513"/>
        <v>2.205370018749568</v>
      </c>
      <c r="AF181" s="314">
        <f t="shared" si="514"/>
        <v>772.65945646896853</v>
      </c>
      <c r="AG181" s="456">
        <f t="shared" si="515"/>
        <v>0.31070560948331422</v>
      </c>
      <c r="AI181" s="150">
        <f t="shared" si="516"/>
        <v>1.4857989255125323</v>
      </c>
      <c r="AJ181" s="150">
        <f t="shared" si="517"/>
        <v>2.7420753670074189</v>
      </c>
      <c r="AK181" s="150">
        <f t="shared" si="518"/>
        <v>2.4904261977832736</v>
      </c>
      <c r="AM181" s="314">
        <f t="shared" si="519"/>
        <v>852</v>
      </c>
      <c r="AN181" s="144">
        <f t="shared" si="520"/>
        <v>100.68927552176329</v>
      </c>
      <c r="AP181">
        <f t="shared" si="521"/>
        <v>852</v>
      </c>
      <c r="AQ181">
        <f t="shared" si="522"/>
        <v>100.68927552176329</v>
      </c>
      <c r="AS181" s="5">
        <f t="shared" si="439"/>
        <v>9.931544296232989</v>
      </c>
      <c r="AT181" s="5">
        <f t="shared" si="523"/>
        <v>3.6842534926831081</v>
      </c>
      <c r="AU181" s="5">
        <f t="shared" si="478"/>
        <v>6.2472908035498804</v>
      </c>
      <c r="AV181" s="5"/>
      <c r="AW181" s="150">
        <f t="shared" si="479"/>
        <v>0.37096481501678813</v>
      </c>
      <c r="AX181" s="150">
        <f t="shared" si="435"/>
        <v>4.5424822730947101</v>
      </c>
      <c r="AY181" s="150">
        <f t="shared" si="436"/>
        <v>0.86243094286171018</v>
      </c>
      <c r="AZ181" s="150">
        <f t="shared" si="440"/>
        <v>5.2670678280882273</v>
      </c>
      <c r="BA181" s="144">
        <f t="shared" ref="BA181:BA244" si="594">F181*AT181/Vout_ripple*1000</f>
        <v>62.779679515320169</v>
      </c>
      <c r="BB181" s="5">
        <f t="shared" ref="BB181:BB244" si="595">H181/Efficiency/I181*AU181/Vinripple1</f>
        <v>1.2415921273385531</v>
      </c>
      <c r="BD181" s="150">
        <f t="shared" si="441"/>
        <v>0.96423994766460397</v>
      </c>
      <c r="BE181" s="150">
        <f t="shared" si="437"/>
        <v>1.2556142306101501</v>
      </c>
      <c r="BG181" s="456">
        <f t="shared" si="480"/>
        <v>1.8595173533444764E-2</v>
      </c>
      <c r="BH181" s="456">
        <f t="shared" si="524"/>
        <v>7.4403936808592558E-2</v>
      </c>
      <c r="BI181" s="456">
        <f t="shared" si="525"/>
        <v>2.2481969496266532E-2</v>
      </c>
      <c r="BJ181" s="456">
        <f t="shared" si="481"/>
        <v>2.0799231827116509E-3</v>
      </c>
      <c r="BK181">
        <f t="shared" si="482"/>
        <v>4.0190521665371378E-3</v>
      </c>
      <c r="BL181" s="144">
        <f t="shared" si="588"/>
        <v>26.501021662803669</v>
      </c>
      <c r="BM181" s="456">
        <f t="shared" si="526"/>
        <v>0.10054395501116138</v>
      </c>
      <c r="BN181" s="144">
        <f t="shared" si="527"/>
        <v>100.54395501116139</v>
      </c>
      <c r="BO181" s="456">
        <f t="shared" si="483"/>
        <v>0.59639999999999993</v>
      </c>
      <c r="BR181" s="144">
        <f t="shared" si="484"/>
        <v>596.4</v>
      </c>
      <c r="BS181" s="456">
        <f t="shared" si="485"/>
        <v>2.7892760300167147E-2</v>
      </c>
      <c r="BT181" s="456">
        <f t="shared" si="486"/>
        <v>4.7297012883321575E-2</v>
      </c>
      <c r="BU181" s="456">
        <f t="shared" si="487"/>
        <v>6.3332482655355696E-2</v>
      </c>
      <c r="BV181" s="456"/>
      <c r="BW181" s="456">
        <f t="shared" si="488"/>
        <v>7.5708037884911845E-4</v>
      </c>
      <c r="BX181" s="144">
        <f t="shared" si="489"/>
        <v>139.27933621769353</v>
      </c>
      <c r="BY181" s="150">
        <f t="shared" si="490"/>
        <v>0.85725939140524621</v>
      </c>
      <c r="BZ181" s="5">
        <f t="shared" si="491"/>
        <v>4.26</v>
      </c>
      <c r="CA181" s="150">
        <f t="shared" si="492"/>
        <v>0.83247685414480532</v>
      </c>
      <c r="CB181" s="5">
        <f t="shared" si="493"/>
        <v>83.247685414480529</v>
      </c>
      <c r="CE181" s="59">
        <f t="shared" si="528"/>
        <v>-50</v>
      </c>
      <c r="CF181">
        <f t="shared" si="529"/>
        <v>-50</v>
      </c>
      <c r="CG181" s="150">
        <f t="shared" si="530"/>
        <v>0.6194294674295775</v>
      </c>
      <c r="CI181" s="147">
        <v>71</v>
      </c>
      <c r="CJ181" s="188">
        <f t="shared" si="589"/>
        <v>0.85199999999999998</v>
      </c>
      <c r="CK181" s="188"/>
      <c r="CL181" s="188">
        <f t="shared" si="531"/>
        <v>4.26</v>
      </c>
      <c r="CM181" s="465">
        <f t="shared" si="532"/>
        <v>9</v>
      </c>
      <c r="CN181" s="379">
        <f t="shared" si="533"/>
        <v>5.4</v>
      </c>
      <c r="CO181" s="379">
        <f t="shared" si="534"/>
        <v>14.4</v>
      </c>
      <c r="CP181" s="379"/>
      <c r="CQ181" s="188">
        <f t="shared" si="535"/>
        <v>0.375</v>
      </c>
      <c r="CR181" s="149">
        <f t="shared" si="590"/>
        <v>8.4754687499999992</v>
      </c>
      <c r="CS181" s="149">
        <f t="shared" si="536"/>
        <v>4.26</v>
      </c>
      <c r="CT181" s="188">
        <f t="shared" si="537"/>
        <v>1.6950937499999998</v>
      </c>
      <c r="CU181" s="188">
        <f t="shared" si="538"/>
        <v>5</v>
      </c>
      <c r="CV181" s="188"/>
      <c r="CW181" s="149">
        <f t="shared" si="539"/>
        <v>17.60835788196999</v>
      </c>
      <c r="CX181" s="149">
        <f t="shared" si="540"/>
        <v>5</v>
      </c>
      <c r="CY181" s="188">
        <f t="shared" si="541"/>
        <v>2.5244444444444443</v>
      </c>
      <c r="CZ181" s="188">
        <f t="shared" si="542"/>
        <v>3.3659259259259255</v>
      </c>
      <c r="DA181" s="188">
        <f t="shared" si="543"/>
        <v>5.6098765432098769</v>
      </c>
      <c r="DB181" s="172">
        <f t="shared" si="544"/>
        <v>281.25</v>
      </c>
      <c r="DC181" s="379">
        <f t="shared" si="545"/>
        <v>111.4106514084507</v>
      </c>
      <c r="DE181" s="188">
        <f t="shared" si="546"/>
        <v>1</v>
      </c>
      <c r="DF181" s="150">
        <f t="shared" si="547"/>
        <v>2.2222222222222219</v>
      </c>
      <c r="DG181" s="150">
        <f t="shared" si="548"/>
        <v>0.31249999999999994</v>
      </c>
      <c r="DH181" s="150"/>
      <c r="DI181" s="150">
        <f t="shared" si="549"/>
        <v>2.2222222222222219</v>
      </c>
      <c r="DJ181" s="314">
        <f t="shared" si="550"/>
        <v>766.8</v>
      </c>
      <c r="DK181" s="456">
        <f t="shared" si="551"/>
        <v>0.31249999999999994</v>
      </c>
      <c r="DM181" s="150">
        <f t="shared" si="552"/>
        <v>1.4801544320972535</v>
      </c>
      <c r="DN181" s="150">
        <f t="shared" si="553"/>
        <v>2.5244444444444443</v>
      </c>
      <c r="DO181" s="150">
        <f t="shared" si="554"/>
        <v>2.3292181069958846</v>
      </c>
      <c r="DQ181" s="314">
        <f t="shared" si="555"/>
        <v>852</v>
      </c>
      <c r="DR181" s="144">
        <f t="shared" si="556"/>
        <v>111.4106514084507</v>
      </c>
      <c r="DT181">
        <f t="shared" si="591"/>
        <v>852</v>
      </c>
      <c r="DU181">
        <f t="shared" si="592"/>
        <v>111.4106514084507</v>
      </c>
      <c r="DW181" s="5">
        <f t="shared" si="557"/>
        <v>8.975802469135802</v>
      </c>
      <c r="DX181" s="5">
        <f t="shared" si="558"/>
        <v>3.3659259259259255</v>
      </c>
      <c r="DY181" s="5">
        <f t="shared" si="559"/>
        <v>5.6098765432098769</v>
      </c>
      <c r="DZ181" s="5"/>
      <c r="EA181" s="150">
        <f t="shared" si="560"/>
        <v>0.375</v>
      </c>
      <c r="EB181" s="150">
        <f t="shared" si="561"/>
        <v>4.2599999999999989</v>
      </c>
      <c r="EC181" s="150">
        <f t="shared" si="562"/>
        <v>0.78888888888888886</v>
      </c>
      <c r="ED181" s="150">
        <f t="shared" si="563"/>
        <v>5.3999999999999986</v>
      </c>
      <c r="EE181" s="144">
        <f t="shared" si="564"/>
        <v>57.355377777777775</v>
      </c>
      <c r="EF181" s="5">
        <f t="shared" si="565"/>
        <v>1.1063923182441699</v>
      </c>
      <c r="EH181" s="150">
        <f t="shared" si="566"/>
        <v>0.89252589269768667</v>
      </c>
      <c r="EI181" s="150">
        <f t="shared" si="567"/>
        <v>1.1522459728256829</v>
      </c>
      <c r="EK181" s="456">
        <f t="shared" si="568"/>
        <v>1.593204938271605E-2</v>
      </c>
      <c r="EL181" s="456">
        <f t="shared" si="569"/>
        <v>8.0999999999999989E-2</v>
      </c>
      <c r="EM181" s="456">
        <f t="shared" si="570"/>
        <v>1.3926331426056338E-2</v>
      </c>
      <c r="EN181" s="456">
        <f t="shared" si="571"/>
        <v>2.3102112676056338E-3</v>
      </c>
      <c r="EO181">
        <f t="shared" si="572"/>
        <v>4.0499999999999998E-3</v>
      </c>
      <c r="EP181" s="144">
        <f t="shared" si="573"/>
        <v>17.976331426056337</v>
      </c>
      <c r="EQ181" s="144"/>
      <c r="ER181" s="144">
        <f t="shared" si="593"/>
        <v>117.21859207637803</v>
      </c>
      <c r="ES181" s="456">
        <f t="shared" si="574"/>
        <v>0.59639999999999993</v>
      </c>
      <c r="EV181" s="144">
        <f t="shared" si="494"/>
        <v>596.4</v>
      </c>
      <c r="EW181" s="456">
        <f t="shared" si="575"/>
        <v>2.3898074074074072E-2</v>
      </c>
      <c r="EX181" s="456">
        <f t="shared" si="576"/>
        <v>3.9830123456790129E-2</v>
      </c>
      <c r="EY181" s="456">
        <f t="shared" si="577"/>
        <v>6.6328676578668019E-2</v>
      </c>
      <c r="EZ181" s="456"/>
      <c r="FA181" s="456">
        <f t="shared" si="578"/>
        <v>7.1000000000000002E-4</v>
      </c>
      <c r="FB181" s="144">
        <f t="shared" si="579"/>
        <v>130.76687410953218</v>
      </c>
      <c r="FC181" s="150">
        <f t="shared" si="580"/>
        <v>0.84438546618591026</v>
      </c>
      <c r="FD181" s="5">
        <f t="shared" si="581"/>
        <v>4.26</v>
      </c>
      <c r="FE181" s="150">
        <f t="shared" si="582"/>
        <v>0.83457646923815676</v>
      </c>
      <c r="FF181" s="5">
        <f t="shared" si="583"/>
        <v>83.457646923815673</v>
      </c>
      <c r="FI181" s="59">
        <f t="shared" si="584"/>
        <v>-50</v>
      </c>
      <c r="FJ181">
        <f t="shared" si="585"/>
        <v>-50</v>
      </c>
      <c r="FL181">
        <f t="shared" si="586"/>
        <v>0.625</v>
      </c>
    </row>
    <row r="182" spans="5:168">
      <c r="E182" s="147">
        <v>72</v>
      </c>
      <c r="F182" s="188">
        <f t="shared" si="587"/>
        <v>0.86399999999999999</v>
      </c>
      <c r="G182" s="188"/>
      <c r="H182" s="188">
        <f t="shared" si="495"/>
        <v>4.32</v>
      </c>
      <c r="I182" s="465">
        <f t="shared" si="496"/>
        <v>8.9302671133004932</v>
      </c>
      <c r="J182" s="149">
        <f t="shared" si="497"/>
        <v>5.4418397320197052</v>
      </c>
      <c r="K182" s="149">
        <f t="shared" si="498"/>
        <v>14.372106845320198</v>
      </c>
      <c r="L182" s="379"/>
      <c r="M182" s="188">
        <f t="shared" si="499"/>
        <v>0.3786230710912451</v>
      </c>
      <c r="N182" s="149">
        <f t="shared" si="500"/>
        <v>8.4910514583086094</v>
      </c>
      <c r="O182" s="149">
        <f t="shared" si="438"/>
        <v>4.32</v>
      </c>
      <c r="P182" s="188">
        <f t="shared" si="501"/>
        <v>1.6982102916617219</v>
      </c>
      <c r="Q182" s="188">
        <f t="shared" si="502"/>
        <v>5</v>
      </c>
      <c r="R182" s="188"/>
      <c r="S182" s="149">
        <f t="shared" si="503"/>
        <v>17.113588175696467</v>
      </c>
      <c r="T182" s="149">
        <f t="shared" si="504"/>
        <v>5</v>
      </c>
      <c r="U182" s="188">
        <f t="shared" si="505"/>
        <v>2.7809207577672153</v>
      </c>
      <c r="V182" s="188">
        <f t="shared" si="506"/>
        <v>3.7368478086735686</v>
      </c>
      <c r="W182" s="188">
        <f t="shared" si="507"/>
        <v>6.1323101628391985</v>
      </c>
      <c r="X182" s="172">
        <f t="shared" si="508"/>
        <v>281.77892843485904</v>
      </c>
      <c r="Y182" s="379">
        <f t="shared" si="509"/>
        <v>99.313170260031427</v>
      </c>
      <c r="AA182" s="188">
        <f t="shared" si="510"/>
        <v>1</v>
      </c>
      <c r="AB182" s="150">
        <f t="shared" si="511"/>
        <v>2.2051366065399125</v>
      </c>
      <c r="AC182" s="150">
        <f t="shared" si="512"/>
        <v>0.31068051502164895</v>
      </c>
      <c r="AD182" s="150"/>
      <c r="AE182" s="150">
        <f t="shared" si="513"/>
        <v>2.2051366065399125</v>
      </c>
      <c r="AF182" s="314">
        <f t="shared" si="514"/>
        <v>783.6249214108376</v>
      </c>
      <c r="AG182" s="456">
        <f t="shared" si="515"/>
        <v>0.31068051502164901</v>
      </c>
      <c r="AI182" s="150">
        <f t="shared" si="516"/>
        <v>1.4963048977023725</v>
      </c>
      <c r="AJ182" s="150">
        <f t="shared" si="517"/>
        <v>2.7809207577672153</v>
      </c>
      <c r="AK182" s="150">
        <f t="shared" si="518"/>
        <v>2.5192005613090487</v>
      </c>
      <c r="AM182" s="314">
        <f t="shared" si="519"/>
        <v>864</v>
      </c>
      <c r="AN182" s="144">
        <f t="shared" si="520"/>
        <v>99.313170260031427</v>
      </c>
      <c r="AP182">
        <f t="shared" si="521"/>
        <v>864</v>
      </c>
      <c r="AQ182">
        <f t="shared" si="522"/>
        <v>99.313170260031427</v>
      </c>
      <c r="AS182" s="5">
        <f t="shared" si="439"/>
        <v>10.069157971512766</v>
      </c>
      <c r="AT182" s="5">
        <f t="shared" si="523"/>
        <v>3.7368478086735686</v>
      </c>
      <c r="AU182" s="5">
        <f t="shared" si="478"/>
        <v>6.3323101628391978</v>
      </c>
      <c r="AV182" s="5"/>
      <c r="AW182" s="150">
        <f t="shared" si="479"/>
        <v>0.37111820265862344</v>
      </c>
      <c r="AX182" s="150">
        <f t="shared" si="435"/>
        <v>4.6082424863290044</v>
      </c>
      <c r="AY182" s="150">
        <f t="shared" si="436"/>
        <v>0.87443522220429448</v>
      </c>
      <c r="AZ182" s="150">
        <f t="shared" si="440"/>
        <v>5.2699643945179275</v>
      </c>
      <c r="BA182" s="144">
        <f t="shared" si="594"/>
        <v>64.572730133879261</v>
      </c>
      <c r="BB182" s="5">
        <f t="shared" si="595"/>
        <v>1.2763513284092536</v>
      </c>
      <c r="BD182" s="150">
        <f t="shared" si="441"/>
        <v>0.97810192711515886</v>
      </c>
      <c r="BE182" s="150">
        <f t="shared" si="437"/>
        <v>1.2732465225427243</v>
      </c>
      <c r="BG182" s="456">
        <f t="shared" si="480"/>
        <v>1.9133667596527751E-2</v>
      </c>
      <c r="BH182" s="456">
        <f t="shared" si="524"/>
        <v>7.4424713017353553E-2</v>
      </c>
      <c r="BI182" s="456">
        <f t="shared" si="525"/>
        <v>2.2172328457269276E-2</v>
      </c>
      <c r="BJ182" s="456">
        <f t="shared" si="481"/>
        <v>2.0513875714104719E-3</v>
      </c>
      <c r="BK182">
        <f t="shared" si="482"/>
        <v>4.018620200985222E-3</v>
      </c>
      <c r="BL182" s="144">
        <f t="shared" si="588"/>
        <v>26.190948658254499</v>
      </c>
      <c r="BM182" s="456">
        <f t="shared" si="526"/>
        <v>0.10123609385818631</v>
      </c>
      <c r="BN182" s="144">
        <f t="shared" si="527"/>
        <v>101.23609385818631</v>
      </c>
      <c r="BO182" s="456">
        <f t="shared" si="483"/>
        <v>0.6048</v>
      </c>
      <c r="BR182" s="144">
        <f t="shared" si="484"/>
        <v>604.79999999999995</v>
      </c>
      <c r="BS182" s="456">
        <f t="shared" si="485"/>
        <v>2.8700501394791623E-2</v>
      </c>
      <c r="BT182" s="456">
        <f t="shared" si="486"/>
        <v>4.8634701215014203E-2</v>
      </c>
      <c r="BU182" s="456">
        <f t="shared" si="487"/>
        <v>6.3380936644413743E-2</v>
      </c>
      <c r="BV182" s="456"/>
      <c r="BW182" s="456">
        <f t="shared" si="488"/>
        <v>7.6804041438816733E-4</v>
      </c>
      <c r="BX182" s="144">
        <f t="shared" si="489"/>
        <v>141.48417966860771</v>
      </c>
      <c r="BY182" s="150">
        <f t="shared" si="490"/>
        <v>0.86808489651215393</v>
      </c>
      <c r="BZ182" s="5">
        <f t="shared" si="491"/>
        <v>4.32</v>
      </c>
      <c r="CA182" s="150">
        <f t="shared" si="492"/>
        <v>0.83267719903817494</v>
      </c>
      <c r="CB182" s="5">
        <f t="shared" si="493"/>
        <v>83.267719903817493</v>
      </c>
      <c r="CE182" s="59">
        <f t="shared" si="528"/>
        <v>-50</v>
      </c>
      <c r="CF182">
        <f t="shared" si="529"/>
        <v>-50</v>
      </c>
      <c r="CG182" s="150">
        <f t="shared" si="530"/>
        <v>0.6195068359375</v>
      </c>
      <c r="CI182" s="147">
        <v>72</v>
      </c>
      <c r="CJ182" s="188">
        <f t="shared" si="589"/>
        <v>0.86399999999999999</v>
      </c>
      <c r="CK182" s="188"/>
      <c r="CL182" s="188">
        <f t="shared" si="531"/>
        <v>4.32</v>
      </c>
      <c r="CM182" s="465">
        <f t="shared" si="532"/>
        <v>9</v>
      </c>
      <c r="CN182" s="379">
        <f t="shared" si="533"/>
        <v>5.4</v>
      </c>
      <c r="CO182" s="379">
        <f t="shared" si="534"/>
        <v>14.4</v>
      </c>
      <c r="CP182" s="379"/>
      <c r="CQ182" s="188">
        <f t="shared" si="535"/>
        <v>0.375</v>
      </c>
      <c r="CR182" s="149">
        <f t="shared" si="590"/>
        <v>8.4754687499999992</v>
      </c>
      <c r="CS182" s="149">
        <f t="shared" si="536"/>
        <v>4.32</v>
      </c>
      <c r="CT182" s="188">
        <f t="shared" si="537"/>
        <v>1.6950937499999998</v>
      </c>
      <c r="CU182" s="188">
        <f t="shared" si="538"/>
        <v>5</v>
      </c>
      <c r="CV182" s="188"/>
      <c r="CW182" s="149">
        <f t="shared" si="539"/>
        <v>17.245682577313747</v>
      </c>
      <c r="CX182" s="149">
        <f t="shared" si="540"/>
        <v>5</v>
      </c>
      <c r="CY182" s="188">
        <f t="shared" si="541"/>
        <v>2.56</v>
      </c>
      <c r="CZ182" s="188">
        <f t="shared" si="542"/>
        <v>3.413333333333334</v>
      </c>
      <c r="DA182" s="188">
        <f t="shared" si="543"/>
        <v>5.6888888888888891</v>
      </c>
      <c r="DB182" s="172">
        <f t="shared" si="544"/>
        <v>281.25</v>
      </c>
      <c r="DC182" s="379">
        <f t="shared" si="545"/>
        <v>109.86328124999997</v>
      </c>
      <c r="DE182" s="188">
        <f t="shared" si="546"/>
        <v>1</v>
      </c>
      <c r="DF182" s="150">
        <f t="shared" si="547"/>
        <v>2.2222222222222219</v>
      </c>
      <c r="DG182" s="150">
        <f t="shared" si="548"/>
        <v>0.31249999999999994</v>
      </c>
      <c r="DH182" s="150"/>
      <c r="DI182" s="150">
        <f t="shared" si="549"/>
        <v>2.2222222222222219</v>
      </c>
      <c r="DJ182" s="314">
        <f t="shared" si="550"/>
        <v>777.6</v>
      </c>
      <c r="DK182" s="456">
        <f t="shared" si="551"/>
        <v>0.31249999999999994</v>
      </c>
      <c r="DM182" s="150">
        <f t="shared" si="552"/>
        <v>1.4905416081794851</v>
      </c>
      <c r="DN182" s="150">
        <f t="shared" si="553"/>
        <v>2.56</v>
      </c>
      <c r="DO182" s="150">
        <f t="shared" si="554"/>
        <v>2.3555555555555556</v>
      </c>
      <c r="DQ182" s="314">
        <f t="shared" si="555"/>
        <v>864</v>
      </c>
      <c r="DR182" s="144">
        <f t="shared" si="556"/>
        <v>109.86328124999997</v>
      </c>
      <c r="DT182">
        <f t="shared" si="591"/>
        <v>864</v>
      </c>
      <c r="DU182">
        <f t="shared" si="592"/>
        <v>109.86328124999997</v>
      </c>
      <c r="DW182" s="5">
        <f t="shared" si="557"/>
        <v>9.1022222222222258</v>
      </c>
      <c r="DX182" s="5">
        <f t="shared" si="558"/>
        <v>3.413333333333334</v>
      </c>
      <c r="DY182" s="5">
        <f t="shared" si="559"/>
        <v>5.6888888888888918</v>
      </c>
      <c r="DZ182" s="5"/>
      <c r="EA182" s="150">
        <f t="shared" si="560"/>
        <v>0.37499999999999994</v>
      </c>
      <c r="EB182" s="150">
        <f t="shared" si="561"/>
        <v>4.3199999999999994</v>
      </c>
      <c r="EC182" s="150">
        <f t="shared" si="562"/>
        <v>0.8</v>
      </c>
      <c r="ED182" s="150">
        <f t="shared" si="563"/>
        <v>5.3999999999999986</v>
      </c>
      <c r="EE182" s="144">
        <f t="shared" si="564"/>
        <v>58.982400000000013</v>
      </c>
      <c r="EF182" s="5">
        <f t="shared" si="565"/>
        <v>1.1377777777777782</v>
      </c>
      <c r="EH182" s="150">
        <f t="shared" si="566"/>
        <v>0.90509667991878073</v>
      </c>
      <c r="EI182" s="150">
        <f t="shared" si="567"/>
        <v>1.1684747893443546</v>
      </c>
      <c r="EK182" s="456">
        <f t="shared" si="568"/>
        <v>1.6383999999999996E-2</v>
      </c>
      <c r="EL182" s="456">
        <f t="shared" si="569"/>
        <v>8.0999999999999989E-2</v>
      </c>
      <c r="EM182" s="456">
        <f t="shared" si="570"/>
        <v>1.3732910156249995E-2</v>
      </c>
      <c r="EN182" s="456">
        <f t="shared" si="571"/>
        <v>2.2781249999999993E-3</v>
      </c>
      <c r="EO182">
        <f t="shared" si="572"/>
        <v>4.0499999999999998E-3</v>
      </c>
      <c r="EP182" s="144">
        <f t="shared" si="573"/>
        <v>17.782910156249994</v>
      </c>
      <c r="EQ182" s="144"/>
      <c r="ER182" s="144">
        <f t="shared" si="593"/>
        <v>117.44503515624999</v>
      </c>
      <c r="ES182" s="456">
        <f t="shared" si="574"/>
        <v>0.6048</v>
      </c>
      <c r="EV182" s="144">
        <f t="shared" si="494"/>
        <v>604.79999999999995</v>
      </c>
      <c r="EW182" s="456">
        <f t="shared" si="575"/>
        <v>2.4575999999999994E-2</v>
      </c>
      <c r="EX182" s="456">
        <f t="shared" si="576"/>
        <v>4.096000000000001E-2</v>
      </c>
      <c r="EY182" s="456">
        <f t="shared" si="577"/>
        <v>6.6328676578668089E-2</v>
      </c>
      <c r="EZ182" s="456"/>
      <c r="FA182" s="456">
        <f t="shared" si="578"/>
        <v>7.1999999999999994E-4</v>
      </c>
      <c r="FB182" s="144">
        <f t="shared" si="579"/>
        <v>132.58467657866811</v>
      </c>
      <c r="FC182" s="150">
        <f t="shared" si="580"/>
        <v>0.85482971173491817</v>
      </c>
      <c r="FD182" s="5">
        <f t="shared" si="581"/>
        <v>4.32</v>
      </c>
      <c r="FE182" s="150">
        <f t="shared" si="582"/>
        <v>0.83481007891014691</v>
      </c>
      <c r="FF182" s="5">
        <f t="shared" si="583"/>
        <v>83.481007891014684</v>
      </c>
      <c r="FI182" s="59">
        <f t="shared" si="584"/>
        <v>-50</v>
      </c>
      <c r="FJ182">
        <f t="shared" si="585"/>
        <v>-50</v>
      </c>
      <c r="FL182">
        <f t="shared" si="586"/>
        <v>0.625</v>
      </c>
    </row>
    <row r="183" spans="5:168">
      <c r="E183" s="147">
        <v>73</v>
      </c>
      <c r="F183" s="188">
        <f t="shared" si="587"/>
        <v>0.876</v>
      </c>
      <c r="G183" s="188"/>
      <c r="H183" s="188">
        <f t="shared" si="495"/>
        <v>4.38</v>
      </c>
      <c r="I183" s="465">
        <f t="shared" si="496"/>
        <v>8.9293071877361552</v>
      </c>
      <c r="J183" s="149">
        <f t="shared" si="497"/>
        <v>5.4424156873583076</v>
      </c>
      <c r="K183" s="149">
        <f t="shared" si="498"/>
        <v>14.371722875094463</v>
      </c>
      <c r="L183" s="379"/>
      <c r="M183" s="188">
        <f t="shared" si="499"/>
        <v>0.37867326559738712</v>
      </c>
      <c r="N183" s="149">
        <f t="shared" si="500"/>
        <v>8.4912642922690775</v>
      </c>
      <c r="O183" s="149">
        <f t="shared" si="438"/>
        <v>4.38</v>
      </c>
      <c r="P183" s="188">
        <f t="shared" si="501"/>
        <v>1.6982528584538155</v>
      </c>
      <c r="Q183" s="188">
        <f t="shared" si="502"/>
        <v>5</v>
      </c>
      <c r="R183" s="188"/>
      <c r="S183" s="149">
        <f t="shared" si="503"/>
        <v>16.761993605707083</v>
      </c>
      <c r="T183" s="149">
        <f t="shared" si="504"/>
        <v>5</v>
      </c>
      <c r="U183" s="188">
        <f t="shared" si="505"/>
        <v>2.8197724369360926</v>
      </c>
      <c r="V183" s="188">
        <f t="shared" si="506"/>
        <v>3.7894618845352843</v>
      </c>
      <c r="W183" s="188">
        <f t="shared" si="507"/>
        <v>6.2173253913387443</v>
      </c>
      <c r="X183" s="172">
        <f t="shared" si="508"/>
        <v>281.7859877699662</v>
      </c>
      <c r="Y183" s="379">
        <f t="shared" si="509"/>
        <v>97.97402189068039</v>
      </c>
      <c r="AA183" s="188">
        <f t="shared" si="510"/>
        <v>1.0000000000000002</v>
      </c>
      <c r="AB183" s="150">
        <f t="shared" si="511"/>
        <v>2.2049032432185789</v>
      </c>
      <c r="AC183" s="150">
        <f t="shared" si="512"/>
        <v>0.3106554191637747</v>
      </c>
      <c r="AD183" s="150"/>
      <c r="AE183" s="150">
        <f t="shared" si="513"/>
        <v>2.2049032432185784</v>
      </c>
      <c r="AF183" s="314">
        <f t="shared" si="514"/>
        <v>794.59269035431294</v>
      </c>
      <c r="AG183" s="456">
        <f t="shared" si="515"/>
        <v>0.31065541916377454</v>
      </c>
      <c r="AI183" s="150">
        <f t="shared" si="516"/>
        <v>1.5067398015529261</v>
      </c>
      <c r="AJ183" s="150">
        <f t="shared" si="517"/>
        <v>2.8197724369360926</v>
      </c>
      <c r="AK183" s="150">
        <f t="shared" si="518"/>
        <v>2.547979582915624</v>
      </c>
      <c r="AM183" s="314">
        <f t="shared" si="519"/>
        <v>876</v>
      </c>
      <c r="AN183" s="144">
        <f t="shared" si="520"/>
        <v>97.97402189068039</v>
      </c>
      <c r="AP183">
        <f t="shared" si="521"/>
        <v>876</v>
      </c>
      <c r="AQ183">
        <f t="shared" si="522"/>
        <v>97.97402189068039</v>
      </c>
      <c r="AS183" s="5">
        <f t="shared" si="439"/>
        <v>10.206787275874026</v>
      </c>
      <c r="AT183" s="5">
        <f t="shared" si="523"/>
        <v>3.7894618845352843</v>
      </c>
      <c r="AU183" s="5">
        <f t="shared" si="478"/>
        <v>6.4173253913387418</v>
      </c>
      <c r="AV183" s="5"/>
      <c r="AW183" s="150">
        <f t="shared" si="479"/>
        <v>0.37126882162935892</v>
      </c>
      <c r="AX183" s="150">
        <f t="shared" si="435"/>
        <v>4.6740172286525725</v>
      </c>
      <c r="AY183" s="150">
        <f t="shared" si="436"/>
        <v>0.88643942350594185</v>
      </c>
      <c r="AZ183" s="150">
        <f t="shared" si="440"/>
        <v>5.2727993641871711</v>
      </c>
      <c r="BA183" s="144">
        <f t="shared" si="594"/>
        <v>66.391372217058176</v>
      </c>
      <c r="BB183" s="5">
        <f t="shared" si="595"/>
        <v>1.3115932281149849</v>
      </c>
      <c r="BD183" s="150">
        <f t="shared" si="441"/>
        <v>0.99196802523625749</v>
      </c>
      <c r="BE183" s="150">
        <f t="shared" si="437"/>
        <v>1.2908801786418378</v>
      </c>
      <c r="BG183" s="456">
        <f t="shared" si="480"/>
        <v>1.9680011261822408E-2</v>
      </c>
      <c r="BH183" s="456">
        <f t="shared" si="524"/>
        <v>7.4444926215173318E-2</v>
      </c>
      <c r="BI183" s="456">
        <f t="shared" si="525"/>
        <v>2.1871003446996797E-2</v>
      </c>
      <c r="BJ183" s="456">
        <f t="shared" si="481"/>
        <v>2.0236183317617587E-3</v>
      </c>
      <c r="BK183">
        <f t="shared" si="482"/>
        <v>4.0181882344812701E-3</v>
      </c>
      <c r="BL183" s="144">
        <f t="shared" si="588"/>
        <v>25.889191681478067</v>
      </c>
      <c r="BM183" s="456">
        <f t="shared" si="526"/>
        <v>0.10193882179087017</v>
      </c>
      <c r="BN183" s="144">
        <f t="shared" si="527"/>
        <v>101.93882179087018</v>
      </c>
      <c r="BO183" s="456">
        <f t="shared" si="483"/>
        <v>0.61319999999999997</v>
      </c>
      <c r="BR183" s="144">
        <f t="shared" si="484"/>
        <v>613.19999999999993</v>
      </c>
      <c r="BS183" s="456">
        <f t="shared" si="485"/>
        <v>2.9520016892733609E-2</v>
      </c>
      <c r="BT183" s="456">
        <f t="shared" si="486"/>
        <v>4.9991149068311487E-2</v>
      </c>
      <c r="BU183" s="456">
        <f t="shared" si="487"/>
        <v>6.3428216227745068E-2</v>
      </c>
      <c r="BV183" s="456"/>
      <c r="BW183" s="456">
        <f t="shared" si="488"/>
        <v>7.7900287144209556E-4</v>
      </c>
      <c r="BX183" s="144">
        <f t="shared" si="489"/>
        <v>143.71838506023224</v>
      </c>
      <c r="BY183" s="150">
        <f t="shared" si="490"/>
        <v>0.87895613255046778</v>
      </c>
      <c r="BZ183" s="5">
        <f t="shared" si="491"/>
        <v>4.38</v>
      </c>
      <c r="CA183" s="150">
        <f t="shared" si="492"/>
        <v>0.83286490505023569</v>
      </c>
      <c r="CB183" s="5">
        <f t="shared" si="493"/>
        <v>83.286490505023565</v>
      </c>
      <c r="CE183" s="59">
        <f t="shared" si="528"/>
        <v>-50</v>
      </c>
      <c r="CF183">
        <f t="shared" si="529"/>
        <v>-50</v>
      </c>
      <c r="CG183" s="150">
        <f t="shared" si="530"/>
        <v>0.61958208476027399</v>
      </c>
      <c r="CI183" s="147">
        <v>73</v>
      </c>
      <c r="CJ183" s="188">
        <f t="shared" si="589"/>
        <v>0.876</v>
      </c>
      <c r="CK183" s="188"/>
      <c r="CL183" s="188">
        <f t="shared" si="531"/>
        <v>4.38</v>
      </c>
      <c r="CM183" s="465">
        <f t="shared" si="532"/>
        <v>9</v>
      </c>
      <c r="CN183" s="379">
        <f t="shared" si="533"/>
        <v>5.4</v>
      </c>
      <c r="CO183" s="379">
        <f t="shared" si="534"/>
        <v>14.4</v>
      </c>
      <c r="CP183" s="379"/>
      <c r="CQ183" s="188">
        <f t="shared" si="535"/>
        <v>0.375</v>
      </c>
      <c r="CR183" s="149">
        <f t="shared" si="590"/>
        <v>8.4754687499999992</v>
      </c>
      <c r="CS183" s="149">
        <f t="shared" si="536"/>
        <v>4.38</v>
      </c>
      <c r="CT183" s="188">
        <f t="shared" si="537"/>
        <v>1.6950937499999998</v>
      </c>
      <c r="CU183" s="188">
        <f t="shared" si="538"/>
        <v>5</v>
      </c>
      <c r="CV183" s="188"/>
      <c r="CW183" s="149">
        <f t="shared" si="539"/>
        <v>16.893106938414082</v>
      </c>
      <c r="CX183" s="149">
        <f t="shared" si="540"/>
        <v>5</v>
      </c>
      <c r="CY183" s="188">
        <f t="shared" si="541"/>
        <v>2.5955555555555554</v>
      </c>
      <c r="CZ183" s="188">
        <f t="shared" si="542"/>
        <v>3.4607407407407407</v>
      </c>
      <c r="DA183" s="188">
        <f t="shared" si="543"/>
        <v>5.7679012345679004</v>
      </c>
      <c r="DB183" s="172">
        <f t="shared" si="544"/>
        <v>281.25</v>
      </c>
      <c r="DC183" s="379">
        <f t="shared" si="545"/>
        <v>108.35830479452056</v>
      </c>
      <c r="DE183" s="188">
        <f t="shared" si="546"/>
        <v>1</v>
      </c>
      <c r="DF183" s="150">
        <f t="shared" si="547"/>
        <v>2.2222222222222219</v>
      </c>
      <c r="DG183" s="150">
        <f t="shared" si="548"/>
        <v>0.31249999999999994</v>
      </c>
      <c r="DH183" s="150"/>
      <c r="DI183" s="150">
        <f t="shared" si="549"/>
        <v>2.2222222222222219</v>
      </c>
      <c r="DJ183" s="314">
        <f t="shared" si="550"/>
        <v>788.4</v>
      </c>
      <c r="DK183" s="456">
        <f t="shared" si="551"/>
        <v>0.31249999999999994</v>
      </c>
      <c r="DM183" s="150">
        <f t="shared" si="552"/>
        <v>1.5008568980990256</v>
      </c>
      <c r="DN183" s="150">
        <f t="shared" si="553"/>
        <v>2.5955555555555554</v>
      </c>
      <c r="DO183" s="150">
        <f t="shared" si="554"/>
        <v>2.3818930041152262</v>
      </c>
      <c r="DQ183" s="314">
        <f t="shared" si="555"/>
        <v>876</v>
      </c>
      <c r="DR183" s="144">
        <f t="shared" si="556"/>
        <v>108.35830479452056</v>
      </c>
      <c r="DT183">
        <f t="shared" si="591"/>
        <v>876</v>
      </c>
      <c r="DU183">
        <f t="shared" si="592"/>
        <v>108.35830479452056</v>
      </c>
      <c r="DW183" s="5">
        <f t="shared" si="557"/>
        <v>9.2286419753086406</v>
      </c>
      <c r="DX183" s="5">
        <f t="shared" si="558"/>
        <v>3.4607407407407407</v>
      </c>
      <c r="DY183" s="5">
        <f t="shared" si="559"/>
        <v>5.7679012345678995</v>
      </c>
      <c r="DZ183" s="5"/>
      <c r="EA183" s="150">
        <f t="shared" si="560"/>
        <v>0.37500000000000006</v>
      </c>
      <c r="EB183" s="150">
        <f t="shared" si="561"/>
        <v>4.38</v>
      </c>
      <c r="EC183" s="150">
        <f t="shared" si="562"/>
        <v>0.81111111111111112</v>
      </c>
      <c r="ED183" s="150">
        <f t="shared" si="563"/>
        <v>5.3999999999999995</v>
      </c>
      <c r="EE183" s="144">
        <f t="shared" si="564"/>
        <v>60.632177777777784</v>
      </c>
      <c r="EF183" s="5">
        <f t="shared" si="565"/>
        <v>1.1696021947873794</v>
      </c>
      <c r="EH183" s="150">
        <f t="shared" si="566"/>
        <v>0.91766746713987501</v>
      </c>
      <c r="EI183" s="150">
        <f t="shared" si="567"/>
        <v>1.184703605863026</v>
      </c>
      <c r="EK183" s="456">
        <f t="shared" si="568"/>
        <v>1.6842271604938272E-2</v>
      </c>
      <c r="EL183" s="456">
        <f t="shared" si="569"/>
        <v>8.1000000000000016E-2</v>
      </c>
      <c r="EM183" s="456">
        <f t="shared" si="570"/>
        <v>1.354478809931507E-2</v>
      </c>
      <c r="EN183" s="456">
        <f t="shared" si="571"/>
        <v>2.2469178082191784E-3</v>
      </c>
      <c r="EO183">
        <f t="shared" si="572"/>
        <v>4.0499999999999998E-3</v>
      </c>
      <c r="EP183" s="144">
        <f t="shared" si="573"/>
        <v>17.594788099315071</v>
      </c>
      <c r="EQ183" s="144"/>
      <c r="ER183" s="144">
        <f t="shared" si="593"/>
        <v>117.68397751247254</v>
      </c>
      <c r="ES183" s="456">
        <f t="shared" si="574"/>
        <v>0.61319999999999997</v>
      </c>
      <c r="EV183" s="144">
        <f t="shared" si="494"/>
        <v>613.19999999999993</v>
      </c>
      <c r="EW183" s="456">
        <f t="shared" si="575"/>
        <v>2.5263407407407408E-2</v>
      </c>
      <c r="EX183" s="456">
        <f t="shared" si="576"/>
        <v>4.210567901234568E-2</v>
      </c>
      <c r="EY183" s="456">
        <f t="shared" si="577"/>
        <v>6.6328676578668075E-2</v>
      </c>
      <c r="EZ183" s="456"/>
      <c r="FA183" s="456">
        <f t="shared" si="578"/>
        <v>7.3000000000000007E-4</v>
      </c>
      <c r="FB183" s="144">
        <f t="shared" si="579"/>
        <v>134.42776299842117</v>
      </c>
      <c r="FC183" s="150">
        <f t="shared" si="580"/>
        <v>0.86531174051089355</v>
      </c>
      <c r="FD183" s="5">
        <f t="shared" si="581"/>
        <v>4.38</v>
      </c>
      <c r="FE183" s="150">
        <f t="shared" si="582"/>
        <v>0.83503139883414967</v>
      </c>
      <c r="FF183" s="5">
        <f t="shared" si="583"/>
        <v>83.503139883414974</v>
      </c>
      <c r="FI183" s="59">
        <f t="shared" si="584"/>
        <v>-50</v>
      </c>
      <c r="FJ183">
        <f t="shared" si="585"/>
        <v>-50</v>
      </c>
      <c r="FL183">
        <f t="shared" si="586"/>
        <v>0.625</v>
      </c>
    </row>
    <row r="184" spans="5:168">
      <c r="E184" s="147">
        <v>74</v>
      </c>
      <c r="F184" s="188">
        <f t="shared" si="587"/>
        <v>0.88800000000000001</v>
      </c>
      <c r="G184" s="188"/>
      <c r="H184" s="188">
        <f t="shared" si="495"/>
        <v>4.4400000000000004</v>
      </c>
      <c r="I184" s="465">
        <f t="shared" si="496"/>
        <v>8.9283472601426901</v>
      </c>
      <c r="J184" s="149">
        <f t="shared" si="497"/>
        <v>5.4429916439143868</v>
      </c>
      <c r="K184" s="149">
        <f t="shared" si="498"/>
        <v>14.371338904057076</v>
      </c>
      <c r="L184" s="379"/>
      <c r="M184" s="188">
        <f t="shared" si="499"/>
        <v>0.37872346283893132</v>
      </c>
      <c r="N184" s="149">
        <f t="shared" si="500"/>
        <v>8.4914769436319446</v>
      </c>
      <c r="O184" s="149">
        <f t="shared" si="438"/>
        <v>4.4400000000000004</v>
      </c>
      <c r="P184" s="188">
        <f t="shared" si="501"/>
        <v>1.698295388726389</v>
      </c>
      <c r="Q184" s="188">
        <f t="shared" si="502"/>
        <v>5</v>
      </c>
      <c r="R184" s="188"/>
      <c r="S184" s="149">
        <f t="shared" si="503"/>
        <v>16.420091295845022</v>
      </c>
      <c r="T184" s="149">
        <f t="shared" si="504"/>
        <v>5</v>
      </c>
      <c r="U184" s="188">
        <f t="shared" si="505"/>
        <v>2.8586304065423995</v>
      </c>
      <c r="V184" s="188">
        <f t="shared" si="506"/>
        <v>3.8420957293680096</v>
      </c>
      <c r="W184" s="188">
        <f t="shared" si="507"/>
        <v>6.3023364948322822</v>
      </c>
      <c r="X184" s="172">
        <f t="shared" si="508"/>
        <v>281.79304108542675</v>
      </c>
      <c r="Y184" s="379">
        <f t="shared" si="509"/>
        <v>96.670361246173485</v>
      </c>
      <c r="AA184" s="188">
        <f t="shared" si="510"/>
        <v>1</v>
      </c>
      <c r="AB184" s="150">
        <f t="shared" si="511"/>
        <v>2.2046699287912319</v>
      </c>
      <c r="AC184" s="150">
        <f t="shared" si="512"/>
        <v>0.31063032191183626</v>
      </c>
      <c r="AD184" s="150"/>
      <c r="AE184" s="150">
        <f t="shared" si="513"/>
        <v>2.2046699287912319</v>
      </c>
      <c r="AF184" s="314">
        <f t="shared" si="514"/>
        <v>805.56276329932905</v>
      </c>
      <c r="AG184" s="456">
        <f t="shared" si="515"/>
        <v>0.31063032191183626</v>
      </c>
      <c r="AI184" s="150">
        <f t="shared" si="516"/>
        <v>1.5171051035247825</v>
      </c>
      <c r="AJ184" s="150">
        <f t="shared" si="517"/>
        <v>2.8586304065423995</v>
      </c>
      <c r="AK184" s="150">
        <f t="shared" si="518"/>
        <v>2.5767632641054812</v>
      </c>
      <c r="AM184" s="314">
        <f t="shared" si="519"/>
        <v>888</v>
      </c>
      <c r="AN184" s="144">
        <f t="shared" si="520"/>
        <v>96.670361246173485</v>
      </c>
      <c r="AP184">
        <f t="shared" si="521"/>
        <v>888</v>
      </c>
      <c r="AQ184">
        <f t="shared" si="522"/>
        <v>96.670361246173485</v>
      </c>
      <c r="AS184" s="5">
        <f t="shared" si="439"/>
        <v>10.344432224200292</v>
      </c>
      <c r="AT184" s="5">
        <f t="shared" si="523"/>
        <v>3.8420957293680096</v>
      </c>
      <c r="AU184" s="5">
        <f t="shared" si="478"/>
        <v>6.5023364948322815</v>
      </c>
      <c r="AV184" s="5"/>
      <c r="AW184" s="150">
        <f t="shared" si="479"/>
        <v>0.37141678210038587</v>
      </c>
      <c r="AX184" s="150">
        <f t="shared" si="435"/>
        <v>4.7398064721762001</v>
      </c>
      <c r="AY184" s="150">
        <f t="shared" si="436"/>
        <v>0.89844354986505182</v>
      </c>
      <c r="AZ184" s="150">
        <f t="shared" si="440"/>
        <v>5.2755751576024217</v>
      </c>
      <c r="BA184" s="144">
        <f t="shared" si="594"/>
        <v>68.235620153575852</v>
      </c>
      <c r="BB184" s="5">
        <f t="shared" si="595"/>
        <v>1.3473179486577755</v>
      </c>
      <c r="BD184" s="150">
        <f t="shared" si="441"/>
        <v>1.0058382409374622</v>
      </c>
      <c r="BE184" s="150">
        <f t="shared" si="437"/>
        <v>1.3085152018493149</v>
      </c>
      <c r="BG184" s="456">
        <f t="shared" si="480"/>
        <v>2.0234211338643365E-2</v>
      </c>
      <c r="BH184" s="456">
        <f t="shared" si="524"/>
        <v>7.4464598715033539E-2</v>
      </c>
      <c r="BI184" s="456">
        <f t="shared" si="525"/>
        <v>2.1577663874231923E-2</v>
      </c>
      <c r="BJ184" s="456">
        <f t="shared" si="481"/>
        <v>1.9965849977931611E-3</v>
      </c>
      <c r="BK184">
        <f t="shared" si="482"/>
        <v>4.0177562670642101E-3</v>
      </c>
      <c r="BL184" s="144">
        <f t="shared" si="588"/>
        <v>25.595420141296135</v>
      </c>
      <c r="BM184" s="456">
        <f t="shared" si="526"/>
        <v>0.10265214756788898</v>
      </c>
      <c r="BN184" s="144">
        <f t="shared" si="527"/>
        <v>102.65214756788899</v>
      </c>
      <c r="BO184" s="456">
        <f t="shared" si="483"/>
        <v>0.62159999999999993</v>
      </c>
      <c r="BR184" s="144">
        <f t="shared" si="484"/>
        <v>621.59999999999991</v>
      </c>
      <c r="BS184" s="456">
        <f t="shared" si="485"/>
        <v>3.0351317007965044E-2</v>
      </c>
      <c r="BT184" s="456">
        <f t="shared" si="486"/>
        <v>5.1366361004122597E-2</v>
      </c>
      <c r="BU184" s="456">
        <f t="shared" si="487"/>
        <v>6.3474367255893366E-2</v>
      </c>
      <c r="BV184" s="456"/>
      <c r="BW184" s="456">
        <f t="shared" si="488"/>
        <v>7.8996774536270009E-4</v>
      </c>
      <c r="BX184" s="144">
        <f t="shared" si="489"/>
        <v>145.9820130133437</v>
      </c>
      <c r="BY184" s="150">
        <f t="shared" si="490"/>
        <v>0.8898728282061098</v>
      </c>
      <c r="BZ184" s="5">
        <f t="shared" si="491"/>
        <v>4.4400000000000004</v>
      </c>
      <c r="CA184" s="150">
        <f t="shared" si="492"/>
        <v>0.83304051393180867</v>
      </c>
      <c r="CB184" s="5">
        <f t="shared" si="493"/>
        <v>83.30405139318087</v>
      </c>
      <c r="CE184" s="59">
        <f t="shared" si="528"/>
        <v>-50</v>
      </c>
      <c r="CF184">
        <f t="shared" si="529"/>
        <v>-50</v>
      </c>
      <c r="CG184" s="150">
        <f t="shared" si="530"/>
        <v>0.61965529983108103</v>
      </c>
      <c r="CI184" s="147">
        <v>74</v>
      </c>
      <c r="CJ184" s="188">
        <f t="shared" si="589"/>
        <v>0.88800000000000001</v>
      </c>
      <c r="CK184" s="188"/>
      <c r="CL184" s="188">
        <f t="shared" si="531"/>
        <v>4.4400000000000004</v>
      </c>
      <c r="CM184" s="465">
        <f t="shared" si="532"/>
        <v>9</v>
      </c>
      <c r="CN184" s="379">
        <f t="shared" si="533"/>
        <v>5.4</v>
      </c>
      <c r="CO184" s="379">
        <f t="shared" si="534"/>
        <v>14.4</v>
      </c>
      <c r="CP184" s="379"/>
      <c r="CQ184" s="188">
        <f t="shared" si="535"/>
        <v>0.375</v>
      </c>
      <c r="CR184" s="149">
        <f t="shared" si="590"/>
        <v>8.4754687499999992</v>
      </c>
      <c r="CS184" s="149">
        <f t="shared" si="536"/>
        <v>4.4400000000000004</v>
      </c>
      <c r="CT184" s="188">
        <f t="shared" si="537"/>
        <v>1.6950937499999998</v>
      </c>
      <c r="CU184" s="188">
        <f t="shared" si="538"/>
        <v>5</v>
      </c>
      <c r="CV184" s="188"/>
      <c r="CW184" s="149">
        <f t="shared" si="539"/>
        <v>16.550224406514555</v>
      </c>
      <c r="CX184" s="149">
        <f t="shared" si="540"/>
        <v>5</v>
      </c>
      <c r="CY184" s="188">
        <f t="shared" si="541"/>
        <v>2.6311111111111112</v>
      </c>
      <c r="CZ184" s="188">
        <f t="shared" si="542"/>
        <v>3.5081481481481487</v>
      </c>
      <c r="DA184" s="188">
        <f t="shared" si="543"/>
        <v>5.8469135802469143</v>
      </c>
      <c r="DB184" s="172">
        <f t="shared" si="544"/>
        <v>281.25</v>
      </c>
      <c r="DC184" s="379">
        <f t="shared" si="545"/>
        <v>106.89400337837837</v>
      </c>
      <c r="DE184" s="188">
        <f t="shared" si="546"/>
        <v>1</v>
      </c>
      <c r="DF184" s="150">
        <f t="shared" si="547"/>
        <v>2.2222222222222219</v>
      </c>
      <c r="DG184" s="150">
        <f t="shared" si="548"/>
        <v>0.31249999999999994</v>
      </c>
      <c r="DH184" s="150"/>
      <c r="DI184" s="150">
        <f t="shared" si="549"/>
        <v>2.2222222222222219</v>
      </c>
      <c r="DJ184" s="314">
        <f t="shared" si="550"/>
        <v>799.20000000000016</v>
      </c>
      <c r="DK184" s="456">
        <f t="shared" si="551"/>
        <v>0.31249999999999994</v>
      </c>
      <c r="DM184" s="150">
        <f t="shared" si="552"/>
        <v>1.5111017740141039</v>
      </c>
      <c r="DN184" s="150">
        <f t="shared" si="553"/>
        <v>2.6311111111111112</v>
      </c>
      <c r="DO184" s="150">
        <f t="shared" si="554"/>
        <v>2.4082304526748972</v>
      </c>
      <c r="DQ184" s="314">
        <f t="shared" si="555"/>
        <v>888</v>
      </c>
      <c r="DR184" s="144">
        <f t="shared" si="556"/>
        <v>106.89400337837837</v>
      </c>
      <c r="DT184">
        <f t="shared" si="591"/>
        <v>888</v>
      </c>
      <c r="DU184">
        <f t="shared" si="592"/>
        <v>106.89400337837837</v>
      </c>
      <c r="DW184" s="5">
        <f t="shared" si="557"/>
        <v>9.3550617283950626</v>
      </c>
      <c r="DX184" s="5">
        <f t="shared" si="558"/>
        <v>3.5081481481481487</v>
      </c>
      <c r="DY184" s="5">
        <f t="shared" si="559"/>
        <v>5.8469135802469143</v>
      </c>
      <c r="DZ184" s="5"/>
      <c r="EA184" s="150">
        <f t="shared" si="560"/>
        <v>0.375</v>
      </c>
      <c r="EB184" s="150">
        <f t="shared" si="561"/>
        <v>4.4399999999999995</v>
      </c>
      <c r="EC184" s="150">
        <f t="shared" si="562"/>
        <v>0.82222222222222219</v>
      </c>
      <c r="ED184" s="150">
        <f t="shared" si="563"/>
        <v>5.3999999999999995</v>
      </c>
      <c r="EE184" s="144">
        <f t="shared" si="564"/>
        <v>62.304711111111118</v>
      </c>
      <c r="EF184" s="5">
        <f t="shared" si="565"/>
        <v>1.2018655692729769</v>
      </c>
      <c r="EH184" s="150">
        <f t="shared" si="566"/>
        <v>0.9302382543609693</v>
      </c>
      <c r="EI184" s="150">
        <f t="shared" si="567"/>
        <v>1.2009324223816977</v>
      </c>
      <c r="EK184" s="456">
        <f t="shared" si="568"/>
        <v>1.7306864197530868E-2</v>
      </c>
      <c r="EL184" s="456">
        <f t="shared" si="569"/>
        <v>8.1000000000000016E-2</v>
      </c>
      <c r="EM184" s="456">
        <f t="shared" si="570"/>
        <v>1.3361750422297296E-2</v>
      </c>
      <c r="EN184" s="456">
        <f t="shared" si="571"/>
        <v>2.2165540540540537E-3</v>
      </c>
      <c r="EO184">
        <f t="shared" si="572"/>
        <v>4.0499999999999998E-3</v>
      </c>
      <c r="EP184" s="144">
        <f t="shared" si="573"/>
        <v>17.411750422297299</v>
      </c>
      <c r="EQ184" s="144"/>
      <c r="ER184" s="144">
        <f t="shared" si="593"/>
        <v>117.93516867388223</v>
      </c>
      <c r="ES184" s="456">
        <f t="shared" si="574"/>
        <v>0.62159999999999993</v>
      </c>
      <c r="EV184" s="144">
        <f t="shared" si="494"/>
        <v>621.59999999999991</v>
      </c>
      <c r="EW184" s="456">
        <f t="shared" si="575"/>
        <v>2.5960296296296304E-2</v>
      </c>
      <c r="EX184" s="456">
        <f t="shared" si="576"/>
        <v>4.3267160493827173E-2</v>
      </c>
      <c r="EY184" s="456">
        <f t="shared" si="577"/>
        <v>6.6328676578668075E-2</v>
      </c>
      <c r="EZ184" s="456"/>
      <c r="FA184" s="456">
        <f t="shared" si="578"/>
        <v>7.3999999999999999E-4</v>
      </c>
      <c r="FB184" s="144">
        <f t="shared" si="579"/>
        <v>136.29613336879154</v>
      </c>
      <c r="FC184" s="150">
        <f t="shared" si="580"/>
        <v>0.87583130204267357</v>
      </c>
      <c r="FD184" s="5">
        <f t="shared" si="581"/>
        <v>4.4400000000000004</v>
      </c>
      <c r="FE184" s="150">
        <f t="shared" si="582"/>
        <v>0.83524095249107622</v>
      </c>
      <c r="FF184" s="5">
        <f t="shared" si="583"/>
        <v>83.524095249107617</v>
      </c>
      <c r="FI184" s="59">
        <f t="shared" si="584"/>
        <v>-50</v>
      </c>
      <c r="FJ184">
        <f t="shared" si="585"/>
        <v>-50</v>
      </c>
      <c r="FL184">
        <f t="shared" si="586"/>
        <v>0.625</v>
      </c>
    </row>
    <row r="185" spans="5:168">
      <c r="E185" s="147">
        <v>75</v>
      </c>
      <c r="F185" s="188">
        <f t="shared" si="587"/>
        <v>0.89999999999999991</v>
      </c>
      <c r="G185" s="188"/>
      <c r="H185" s="188">
        <f t="shared" si="495"/>
        <v>4.5</v>
      </c>
      <c r="I185" s="465">
        <f t="shared" si="496"/>
        <v>8.9273873306019542</v>
      </c>
      <c r="J185" s="149">
        <f t="shared" si="497"/>
        <v>5.4435676016388284</v>
      </c>
      <c r="K185" s="149">
        <f t="shared" si="498"/>
        <v>14.370954932240782</v>
      </c>
      <c r="L185" s="379"/>
      <c r="M185" s="188">
        <f t="shared" si="499"/>
        <v>0.37877366281396069</v>
      </c>
      <c r="N185" s="149">
        <f t="shared" si="500"/>
        <v>8.4916894124115476</v>
      </c>
      <c r="O185" s="149">
        <f t="shared" si="438"/>
        <v>4.5</v>
      </c>
      <c r="P185" s="188">
        <f t="shared" si="501"/>
        <v>1.6983378824823094</v>
      </c>
      <c r="Q185" s="188">
        <f t="shared" si="502"/>
        <v>5</v>
      </c>
      <c r="R185" s="188"/>
      <c r="S185" s="149">
        <f t="shared" si="503"/>
        <v>16.087496447661909</v>
      </c>
      <c r="T185" s="149">
        <f t="shared" si="504"/>
        <v>5</v>
      </c>
      <c r="U185" s="188">
        <f t="shared" si="505"/>
        <v>2.8974946686153644</v>
      </c>
      <c r="V185" s="188">
        <f t="shared" si="506"/>
        <v>3.8947493522766101</v>
      </c>
      <c r="W185" s="188">
        <f t="shared" si="507"/>
        <v>6.3873434791030457</v>
      </c>
      <c r="X185" s="172">
        <f t="shared" si="508"/>
        <v>281.80008838011804</v>
      </c>
      <c r="Y185" s="379">
        <f t="shared" si="509"/>
        <v>95.400796013402598</v>
      </c>
      <c r="AA185" s="188">
        <f t="shared" si="510"/>
        <v>1</v>
      </c>
      <c r="AB185" s="150">
        <f t="shared" si="511"/>
        <v>2.2044366632623991</v>
      </c>
      <c r="AC185" s="150">
        <f t="shared" si="512"/>
        <v>0.31060522326785828</v>
      </c>
      <c r="AD185" s="150"/>
      <c r="AE185" s="150">
        <f t="shared" si="513"/>
        <v>2.2044366632623991</v>
      </c>
      <c r="AF185" s="314">
        <f t="shared" si="514"/>
        <v>816.53514024582421</v>
      </c>
      <c r="AG185" s="456">
        <f t="shared" si="515"/>
        <v>0.31060522326785828</v>
      </c>
      <c r="AI185" s="150">
        <f t="shared" si="516"/>
        <v>1.5274022206215028</v>
      </c>
      <c r="AJ185" s="150">
        <f t="shared" si="517"/>
        <v>2.8974946686153644</v>
      </c>
      <c r="AK185" s="150">
        <f t="shared" si="518"/>
        <v>2.6055516063817512</v>
      </c>
      <c r="AM185" s="314">
        <f t="shared" si="519"/>
        <v>899.99999999999989</v>
      </c>
      <c r="AN185" s="144">
        <f t="shared" si="520"/>
        <v>95.400796013402598</v>
      </c>
      <c r="AP185">
        <f t="shared" si="521"/>
        <v>899.99999999999989</v>
      </c>
      <c r="AQ185">
        <f t="shared" si="522"/>
        <v>95.400796013402598</v>
      </c>
      <c r="AS185" s="5">
        <f t="shared" si="439"/>
        <v>10.482092831379653</v>
      </c>
      <c r="AT185" s="5">
        <f t="shared" si="523"/>
        <v>3.8947493522766101</v>
      </c>
      <c r="AU185" s="5">
        <f t="shared" si="478"/>
        <v>6.5873434791030423</v>
      </c>
      <c r="AV185" s="5"/>
      <c r="AW185" s="150">
        <f t="shared" si="479"/>
        <v>0.37156218847987282</v>
      </c>
      <c r="AX185" s="150">
        <f t="shared" si="435"/>
        <v>4.8056101904696336</v>
      </c>
      <c r="AY185" s="150">
        <f t="shared" si="436"/>
        <v>0.91044760421793791</v>
      </c>
      <c r="AZ185" s="150">
        <f t="shared" si="440"/>
        <v>5.2782940700882914</v>
      </c>
      <c r="BA185" s="144">
        <f t="shared" si="594"/>
        <v>70.10548834097898</v>
      </c>
      <c r="BB185" s="5">
        <f t="shared" si="595"/>
        <v>1.3835256123568893</v>
      </c>
      <c r="BD185" s="150">
        <f t="shared" si="441"/>
        <v>1.0197125732453971</v>
      </c>
      <c r="BE185" s="150">
        <f t="shared" si="437"/>
        <v>1.326151594973241</v>
      </c>
      <c r="BG185" s="456">
        <f t="shared" si="480"/>
        <v>2.0796274640694987E-2</v>
      </c>
      <c r="BH185" s="456">
        <f t="shared" si="524"/>
        <v>7.4483751662689279E-2</v>
      </c>
      <c r="BI185" s="456">
        <f t="shared" si="525"/>
        <v>2.1291996441484794E-2</v>
      </c>
      <c r="BJ185" s="456">
        <f t="shared" si="481"/>
        <v>1.9702586972539997E-3</v>
      </c>
      <c r="BK185">
        <f t="shared" si="482"/>
        <v>4.0173242987708796E-3</v>
      </c>
      <c r="BL185" s="144">
        <f t="shared" si="588"/>
        <v>25.309320740255671</v>
      </c>
      <c r="BM185" s="456">
        <f t="shared" si="526"/>
        <v>0.10337608051073729</v>
      </c>
      <c r="BN185" s="144">
        <f t="shared" si="527"/>
        <v>103.3760805107373</v>
      </c>
      <c r="BO185" s="456">
        <f t="shared" si="483"/>
        <v>0.62999999999999989</v>
      </c>
      <c r="BR185" s="144">
        <f t="shared" si="484"/>
        <v>629.99999999999989</v>
      </c>
      <c r="BS185" s="456">
        <f t="shared" si="485"/>
        <v>3.119441196104248E-2</v>
      </c>
      <c r="BT185" s="456">
        <f t="shared" si="486"/>
        <v>5.2760341585502128E-2</v>
      </c>
      <c r="BU185" s="456">
        <f t="shared" si="487"/>
        <v>6.3519433216873047E-2</v>
      </c>
      <c r="BV185" s="456"/>
      <c r="BW185" s="456">
        <f t="shared" si="488"/>
        <v>8.0093503174493905E-4</v>
      </c>
      <c r="BX185" s="144">
        <f t="shared" si="489"/>
        <v>148.27512179516262</v>
      </c>
      <c r="BY185" s="150">
        <f t="shared" si="490"/>
        <v>0.90083472753605642</v>
      </c>
      <c r="BZ185" s="5">
        <f t="shared" si="491"/>
        <v>4.5</v>
      </c>
      <c r="CA185" s="150">
        <f t="shared" si="492"/>
        <v>0.83320453726473676</v>
      </c>
      <c r="CB185" s="5">
        <f t="shared" si="493"/>
        <v>83.320453726473673</v>
      </c>
      <c r="CE185" s="59">
        <f t="shared" si="528"/>
        <v>-50</v>
      </c>
      <c r="CF185">
        <f t="shared" si="529"/>
        <v>-50</v>
      </c>
      <c r="CG185" s="150">
        <f t="shared" si="530"/>
        <v>0.61972656250000002</v>
      </c>
      <c r="CI185" s="147">
        <v>75</v>
      </c>
      <c r="CJ185" s="188">
        <f t="shared" si="589"/>
        <v>0.89999999999999991</v>
      </c>
      <c r="CK185" s="188"/>
      <c r="CL185" s="188">
        <f t="shared" si="531"/>
        <v>4.5</v>
      </c>
      <c r="CM185" s="465">
        <f t="shared" si="532"/>
        <v>9</v>
      </c>
      <c r="CN185" s="379">
        <f t="shared" si="533"/>
        <v>5.4</v>
      </c>
      <c r="CO185" s="379">
        <f t="shared" si="534"/>
        <v>14.4</v>
      </c>
      <c r="CP185" s="379"/>
      <c r="CQ185" s="188">
        <f t="shared" si="535"/>
        <v>0.375</v>
      </c>
      <c r="CR185" s="149">
        <f t="shared" si="590"/>
        <v>8.4754687499999992</v>
      </c>
      <c r="CS185" s="149">
        <f t="shared" si="536"/>
        <v>4.5</v>
      </c>
      <c r="CT185" s="188">
        <f t="shared" si="537"/>
        <v>1.6950937499999998</v>
      </c>
      <c r="CU185" s="188">
        <f t="shared" si="538"/>
        <v>5</v>
      </c>
      <c r="CV185" s="188"/>
      <c r="CW185" s="149">
        <f t="shared" si="539"/>
        <v>16.216650165000328</v>
      </c>
      <c r="CX185" s="149">
        <f t="shared" si="540"/>
        <v>5</v>
      </c>
      <c r="CY185" s="188">
        <f t="shared" si="541"/>
        <v>2.6666666666666665</v>
      </c>
      <c r="CZ185" s="188">
        <f t="shared" si="542"/>
        <v>3.5555555555555554</v>
      </c>
      <c r="DA185" s="188">
        <f t="shared" si="543"/>
        <v>5.9259259259259247</v>
      </c>
      <c r="DB185" s="172">
        <f t="shared" si="544"/>
        <v>281.25</v>
      </c>
      <c r="DC185" s="379">
        <f t="shared" si="545"/>
        <v>105.46875</v>
      </c>
      <c r="DE185" s="188">
        <f t="shared" si="546"/>
        <v>1</v>
      </c>
      <c r="DF185" s="150">
        <f t="shared" si="547"/>
        <v>2.2222222222222219</v>
      </c>
      <c r="DG185" s="150">
        <f t="shared" si="548"/>
        <v>0.31249999999999994</v>
      </c>
      <c r="DH185" s="150"/>
      <c r="DI185" s="150">
        <f t="shared" si="549"/>
        <v>2.2222222222222219</v>
      </c>
      <c r="DJ185" s="314">
        <f t="shared" si="550"/>
        <v>810</v>
      </c>
      <c r="DK185" s="456">
        <f t="shared" si="551"/>
        <v>0.31249999999999994</v>
      </c>
      <c r="DM185" s="150">
        <f t="shared" si="552"/>
        <v>1.5212776585113299</v>
      </c>
      <c r="DN185" s="150">
        <f t="shared" si="553"/>
        <v>2.6666666666666665</v>
      </c>
      <c r="DO185" s="150">
        <f t="shared" si="554"/>
        <v>2.4345679012345678</v>
      </c>
      <c r="DQ185" s="314">
        <f t="shared" si="555"/>
        <v>899.99999999999989</v>
      </c>
      <c r="DR185" s="144">
        <f t="shared" si="556"/>
        <v>105.46875</v>
      </c>
      <c r="DT185">
        <f t="shared" si="591"/>
        <v>899.99999999999989</v>
      </c>
      <c r="DU185">
        <f t="shared" si="592"/>
        <v>105.46875</v>
      </c>
      <c r="DW185" s="5">
        <f t="shared" si="557"/>
        <v>9.481481481481481</v>
      </c>
      <c r="DX185" s="5">
        <f t="shared" si="558"/>
        <v>3.5555555555555554</v>
      </c>
      <c r="DY185" s="5">
        <f t="shared" si="559"/>
        <v>5.9259259259259256</v>
      </c>
      <c r="DZ185" s="5"/>
      <c r="EA185" s="150">
        <f t="shared" si="560"/>
        <v>0.375</v>
      </c>
      <c r="EB185" s="150">
        <f t="shared" si="561"/>
        <v>4.5</v>
      </c>
      <c r="EC185" s="150">
        <f t="shared" si="562"/>
        <v>0.83333333333333326</v>
      </c>
      <c r="ED185" s="150">
        <f t="shared" si="563"/>
        <v>5.4</v>
      </c>
      <c r="EE185" s="144">
        <f t="shared" si="564"/>
        <v>63.999999999999986</v>
      </c>
      <c r="EF185" s="5">
        <f t="shared" si="565"/>
        <v>1.2345679012345676</v>
      </c>
      <c r="EH185" s="150">
        <f t="shared" si="566"/>
        <v>0.94280904158206336</v>
      </c>
      <c r="EI185" s="150">
        <f t="shared" si="567"/>
        <v>1.2171612389003692</v>
      </c>
      <c r="EK185" s="456">
        <f t="shared" si="568"/>
        <v>1.7777777777777778E-2</v>
      </c>
      <c r="EL185" s="456">
        <f t="shared" si="569"/>
        <v>8.1000000000000003E-2</v>
      </c>
      <c r="EM185" s="456">
        <f t="shared" si="570"/>
        <v>1.318359375E-2</v>
      </c>
      <c r="EN185" s="456">
        <f t="shared" si="571"/>
        <v>2.1870000000000001E-3</v>
      </c>
      <c r="EO185">
        <f t="shared" si="572"/>
        <v>4.0499999999999998E-3</v>
      </c>
      <c r="EP185" s="144">
        <f t="shared" si="573"/>
        <v>17.233593749999997</v>
      </c>
      <c r="EQ185" s="144"/>
      <c r="ER185" s="144">
        <f t="shared" si="593"/>
        <v>118.19837152777778</v>
      </c>
      <c r="ES185" s="456">
        <f t="shared" si="574"/>
        <v>0.62999999999999989</v>
      </c>
      <c r="EV185" s="144">
        <f t="shared" si="494"/>
        <v>629.99999999999989</v>
      </c>
      <c r="EW185" s="456">
        <f t="shared" si="575"/>
        <v>2.6666666666666665E-2</v>
      </c>
      <c r="EX185" s="456">
        <f t="shared" si="576"/>
        <v>4.4444444444444446E-2</v>
      </c>
      <c r="EY185" s="456">
        <f t="shared" si="577"/>
        <v>6.6328676578668033E-2</v>
      </c>
      <c r="EZ185" s="456"/>
      <c r="FA185" s="456">
        <f t="shared" si="578"/>
        <v>7.5000000000000002E-4</v>
      </c>
      <c r="FB185" s="144">
        <f t="shared" si="579"/>
        <v>138.18978768977917</v>
      </c>
      <c r="FC185" s="150">
        <f t="shared" si="580"/>
        <v>0.88638815921755676</v>
      </c>
      <c r="FD185" s="5">
        <f t="shared" si="581"/>
        <v>4.5</v>
      </c>
      <c r="FE185" s="150">
        <f t="shared" si="582"/>
        <v>0.8354392344152346</v>
      </c>
      <c r="FF185" s="5">
        <f t="shared" si="583"/>
        <v>83.543923441523461</v>
      </c>
      <c r="FI185" s="59">
        <f t="shared" si="584"/>
        <v>-50</v>
      </c>
      <c r="FJ185">
        <f t="shared" si="585"/>
        <v>-50</v>
      </c>
      <c r="FL185">
        <f t="shared" si="586"/>
        <v>0.625</v>
      </c>
    </row>
    <row r="186" spans="5:168">
      <c r="E186" s="147">
        <v>76</v>
      </c>
      <c r="F186" s="188">
        <f t="shared" si="587"/>
        <v>0.91199999999999992</v>
      </c>
      <c r="G186" s="188"/>
      <c r="H186" s="188">
        <f t="shared" si="495"/>
        <v>4.5599999999999996</v>
      </c>
      <c r="I186" s="465">
        <f t="shared" si="496"/>
        <v>8.9264273991914589</v>
      </c>
      <c r="J186" s="149">
        <f t="shared" si="497"/>
        <v>5.4441435604851254</v>
      </c>
      <c r="K186" s="149">
        <f t="shared" si="498"/>
        <v>14.370570959676584</v>
      </c>
      <c r="L186" s="379"/>
      <c r="M186" s="188">
        <f t="shared" si="499"/>
        <v>0.37882386552067138</v>
      </c>
      <c r="N186" s="149">
        <f t="shared" si="500"/>
        <v>8.4919016986206817</v>
      </c>
      <c r="O186" s="149">
        <f t="shared" si="438"/>
        <v>4.5599999999999996</v>
      </c>
      <c r="P186" s="188">
        <f t="shared" si="501"/>
        <v>1.6983803397241364</v>
      </c>
      <c r="Q186" s="188">
        <f t="shared" si="502"/>
        <v>5</v>
      </c>
      <c r="R186" s="188"/>
      <c r="S186" s="149">
        <f t="shared" si="503"/>
        <v>15.763844573819751</v>
      </c>
      <c r="T186" s="149">
        <f t="shared" si="504"/>
        <v>5</v>
      </c>
      <c r="U186" s="188">
        <f t="shared" si="505"/>
        <v>2.9363652251850945</v>
      </c>
      <c r="V186" s="188">
        <f t="shared" si="506"/>
        <v>3.947422762371068</v>
      </c>
      <c r="W186" s="188">
        <f t="shared" si="507"/>
        <v>6.4723463499337326</v>
      </c>
      <c r="X186" s="172">
        <f t="shared" si="508"/>
        <v>281.80712965295118</v>
      </c>
      <c r="Y186" s="379">
        <f t="shared" si="509"/>
        <v>94.164005773094516</v>
      </c>
      <c r="AA186" s="188">
        <f t="shared" si="510"/>
        <v>1</v>
      </c>
      <c r="AB186" s="150">
        <f t="shared" si="511"/>
        <v>2.2042034466355411</v>
      </c>
      <c r="AC186" s="150">
        <f t="shared" si="512"/>
        <v>0.31058012323375189</v>
      </c>
      <c r="AD186" s="150"/>
      <c r="AE186" s="150">
        <f t="shared" si="513"/>
        <v>2.2042034466355411</v>
      </c>
      <c r="AF186" s="314">
        <f t="shared" si="514"/>
        <v>827.50982119373896</v>
      </c>
      <c r="AG186" s="456">
        <f t="shared" si="515"/>
        <v>0.31058012323375189</v>
      </c>
      <c r="AI186" s="150">
        <f t="shared" si="516"/>
        <v>1.5376325226917043</v>
      </c>
      <c r="AJ186" s="150">
        <f t="shared" si="517"/>
        <v>2.9363652251850945</v>
      </c>
      <c r="AK186" s="150">
        <f t="shared" si="518"/>
        <v>2.6343446112482178</v>
      </c>
      <c r="AM186" s="314">
        <f t="shared" si="519"/>
        <v>911.99999999999989</v>
      </c>
      <c r="AN186" s="144">
        <f t="shared" si="520"/>
        <v>94.164005773094516</v>
      </c>
      <c r="AP186">
        <f t="shared" si="521"/>
        <v>911.99999999999989</v>
      </c>
      <c r="AQ186">
        <f t="shared" si="522"/>
        <v>94.164005773094516</v>
      </c>
      <c r="AS186" s="5">
        <f t="shared" si="439"/>
        <v>10.6197691123048</v>
      </c>
      <c r="AT186" s="5">
        <f t="shared" si="523"/>
        <v>3.947422762371068</v>
      </c>
      <c r="AU186" s="5">
        <f t="shared" si="478"/>
        <v>6.6723463499337319</v>
      </c>
      <c r="AV186" s="5"/>
      <c r="AW186" s="150">
        <f t="shared" si="479"/>
        <v>0.37170513978475395</v>
      </c>
      <c r="AX186" s="150">
        <f t="shared" si="435"/>
        <v>4.8714283584674094</v>
      </c>
      <c r="AY186" s="150">
        <f t="shared" si="436"/>
        <v>0.92245158934928917</v>
      </c>
      <c r="AZ186" s="150">
        <f t="shared" si="440"/>
        <v>5.2809582797768133</v>
      </c>
      <c r="BA186" s="144">
        <f t="shared" si="594"/>
        <v>72.000991185648274</v>
      </c>
      <c r="BB186" s="5">
        <f t="shared" si="595"/>
        <v>1.4202163416488878</v>
      </c>
      <c r="BD186" s="150">
        <f t="shared" si="441"/>
        <v>1.0335910212961996</v>
      </c>
      <c r="BE186" s="150">
        <f t="shared" si="437"/>
        <v>1.3437893606965772</v>
      </c>
      <c r="BG186" s="456">
        <f t="shared" si="480"/>
        <v>2.1366207986082419E-2</v>
      </c>
      <c r="BH186" s="456">
        <f t="shared" si="524"/>
        <v>7.4502405112007911E-2</v>
      </c>
      <c r="BI186" s="456">
        <f t="shared" si="525"/>
        <v>2.1013704028764336E-2</v>
      </c>
      <c r="BJ186" s="456">
        <f t="shared" si="481"/>
        <v>1.9446120487480215E-3</v>
      </c>
      <c r="BK186">
        <f t="shared" si="482"/>
        <v>4.0168923296361563E-3</v>
      </c>
      <c r="BL186" s="144">
        <f t="shared" si="588"/>
        <v>25.030596358400491</v>
      </c>
      <c r="BM186" s="456">
        <f t="shared" si="526"/>
        <v>0.10411063047679726</v>
      </c>
      <c r="BN186" s="144">
        <f t="shared" si="527"/>
        <v>104.11063047679727</v>
      </c>
      <c r="BO186" s="456">
        <f t="shared" si="483"/>
        <v>0.63839999999999986</v>
      </c>
      <c r="BR186" s="144">
        <f t="shared" si="484"/>
        <v>638.39999999999986</v>
      </c>
      <c r="BS186" s="456">
        <f t="shared" si="485"/>
        <v>3.2049311979123626E-2</v>
      </c>
      <c r="BT186" s="456">
        <f t="shared" si="486"/>
        <v>5.4173095377639466E-2</v>
      </c>
      <c r="BU186" s="456">
        <f t="shared" si="487"/>
        <v>6.356345538637255E-2</v>
      </c>
      <c r="BV186" s="456"/>
      <c r="BW186" s="456">
        <f t="shared" si="488"/>
        <v>8.1190472641123489E-4</v>
      </c>
      <c r="BX186" s="144">
        <f t="shared" si="489"/>
        <v>150.59776746954691</v>
      </c>
      <c r="BY186" s="150">
        <f t="shared" si="490"/>
        <v>0.91184158897478562</v>
      </c>
      <c r="BZ186" s="5">
        <f t="shared" si="491"/>
        <v>4.5599999999999996</v>
      </c>
      <c r="CA186" s="150">
        <f t="shared" si="492"/>
        <v>0.83335745851779497</v>
      </c>
      <c r="CB186" s="5">
        <f t="shared" si="493"/>
        <v>83.335745851779492</v>
      </c>
      <c r="CE186" s="59">
        <f t="shared" si="528"/>
        <v>-50</v>
      </c>
      <c r="CF186">
        <f t="shared" si="529"/>
        <v>-50</v>
      </c>
      <c r="CG186" s="150">
        <f t="shared" si="530"/>
        <v>0.61979594983552633</v>
      </c>
      <c r="CI186" s="147">
        <v>76</v>
      </c>
      <c r="CJ186" s="188">
        <f t="shared" si="589"/>
        <v>0.91199999999999992</v>
      </c>
      <c r="CK186" s="188"/>
      <c r="CL186" s="188">
        <f t="shared" si="531"/>
        <v>4.5599999999999996</v>
      </c>
      <c r="CM186" s="465">
        <f t="shared" si="532"/>
        <v>9</v>
      </c>
      <c r="CN186" s="379">
        <f t="shared" si="533"/>
        <v>5.4</v>
      </c>
      <c r="CO186" s="379">
        <f t="shared" si="534"/>
        <v>14.4</v>
      </c>
      <c r="CP186" s="379"/>
      <c r="CQ186" s="188">
        <f t="shared" si="535"/>
        <v>0.375</v>
      </c>
      <c r="CR186" s="149">
        <f t="shared" si="590"/>
        <v>8.4754687499999992</v>
      </c>
      <c r="CS186" s="149">
        <f t="shared" si="536"/>
        <v>4.5599999999999996</v>
      </c>
      <c r="CT186" s="188">
        <f t="shared" si="537"/>
        <v>1.6950937499999998</v>
      </c>
      <c r="CU186" s="188">
        <f t="shared" si="538"/>
        <v>5</v>
      </c>
      <c r="CV186" s="188"/>
      <c r="CW186" s="149">
        <f t="shared" si="539"/>
        <v>15.892019710187922</v>
      </c>
      <c r="CX186" s="149">
        <f t="shared" si="540"/>
        <v>5</v>
      </c>
      <c r="CY186" s="188">
        <f t="shared" si="541"/>
        <v>2.7022222222222219</v>
      </c>
      <c r="CZ186" s="188">
        <f t="shared" si="542"/>
        <v>3.6029629629629629</v>
      </c>
      <c r="DA186" s="188">
        <f t="shared" si="543"/>
        <v>6.0049382716049378</v>
      </c>
      <c r="DB186" s="172">
        <f t="shared" si="544"/>
        <v>281.25</v>
      </c>
      <c r="DC186" s="379">
        <f t="shared" si="545"/>
        <v>104.08100328947368</v>
      </c>
      <c r="DE186" s="188">
        <f t="shared" si="546"/>
        <v>1</v>
      </c>
      <c r="DF186" s="150">
        <f t="shared" si="547"/>
        <v>2.2222222222222219</v>
      </c>
      <c r="DG186" s="150">
        <f t="shared" si="548"/>
        <v>0.31249999999999994</v>
      </c>
      <c r="DH186" s="150"/>
      <c r="DI186" s="150">
        <f t="shared" si="549"/>
        <v>2.2222222222222219</v>
      </c>
      <c r="DJ186" s="314">
        <f t="shared" si="550"/>
        <v>820.8</v>
      </c>
      <c r="DK186" s="456">
        <f t="shared" si="551"/>
        <v>0.31249999999999994</v>
      </c>
      <c r="DM186" s="150">
        <f t="shared" si="552"/>
        <v>1.5313859269115859</v>
      </c>
      <c r="DN186" s="150">
        <f t="shared" si="553"/>
        <v>2.7022222222222219</v>
      </c>
      <c r="DO186" s="150">
        <f t="shared" si="554"/>
        <v>2.4609053497942384</v>
      </c>
      <c r="DQ186" s="314">
        <f t="shared" si="555"/>
        <v>911.99999999999989</v>
      </c>
      <c r="DR186" s="144">
        <f t="shared" si="556"/>
        <v>104.08100328947368</v>
      </c>
      <c r="DT186">
        <f t="shared" si="591"/>
        <v>911.99999999999989</v>
      </c>
      <c r="DU186">
        <f t="shared" si="592"/>
        <v>104.08100328947368</v>
      </c>
      <c r="DW186" s="5">
        <f t="shared" si="557"/>
        <v>9.6079012345679011</v>
      </c>
      <c r="DX186" s="5">
        <f t="shared" si="558"/>
        <v>3.6029629629629629</v>
      </c>
      <c r="DY186" s="5">
        <f t="shared" si="559"/>
        <v>6.0049382716049386</v>
      </c>
      <c r="DZ186" s="5"/>
      <c r="EA186" s="150">
        <f t="shared" si="560"/>
        <v>0.375</v>
      </c>
      <c r="EB186" s="150">
        <f t="shared" si="561"/>
        <v>4.5599999999999978</v>
      </c>
      <c r="EC186" s="150">
        <f t="shared" si="562"/>
        <v>0.84444444444444433</v>
      </c>
      <c r="ED186" s="150">
        <f t="shared" si="563"/>
        <v>5.3999999999999986</v>
      </c>
      <c r="EE186" s="144">
        <f t="shared" si="564"/>
        <v>65.718044444444445</v>
      </c>
      <c r="EF186" s="5">
        <f t="shared" si="565"/>
        <v>1.2677091906721534</v>
      </c>
      <c r="EH186" s="150">
        <f t="shared" si="566"/>
        <v>0.95537982880315753</v>
      </c>
      <c r="EI186" s="150">
        <f t="shared" si="567"/>
        <v>1.2333900554190407</v>
      </c>
      <c r="EK186" s="456">
        <f t="shared" si="568"/>
        <v>1.8255012345679011E-2</v>
      </c>
      <c r="EL186" s="456">
        <f t="shared" si="569"/>
        <v>8.1000000000000003E-2</v>
      </c>
      <c r="EM186" s="456">
        <f t="shared" si="570"/>
        <v>1.3010125411184211E-2</v>
      </c>
      <c r="EN186" s="456">
        <f t="shared" si="571"/>
        <v>2.1582236842105267E-3</v>
      </c>
      <c r="EO186">
        <f t="shared" si="572"/>
        <v>4.0499999999999998E-3</v>
      </c>
      <c r="EP186" s="144">
        <f t="shared" si="573"/>
        <v>17.06012541118421</v>
      </c>
      <c r="EQ186" s="144"/>
      <c r="ER186" s="144">
        <f t="shared" si="593"/>
        <v>118.47336144107375</v>
      </c>
      <c r="ES186" s="456">
        <f t="shared" si="574"/>
        <v>0.63839999999999986</v>
      </c>
      <c r="EV186" s="144">
        <f t="shared" si="494"/>
        <v>638.39999999999986</v>
      </c>
      <c r="EW186" s="456">
        <f t="shared" si="575"/>
        <v>2.7382518518518518E-2</v>
      </c>
      <c r="EX186" s="456">
        <f t="shared" si="576"/>
        <v>4.5637530864197522E-2</v>
      </c>
      <c r="EY186" s="456">
        <f t="shared" si="577"/>
        <v>6.6328676578668033E-2</v>
      </c>
      <c r="EZ186" s="456"/>
      <c r="FA186" s="456">
        <f t="shared" si="578"/>
        <v>7.5999999999999983E-4</v>
      </c>
      <c r="FB186" s="144">
        <f t="shared" si="579"/>
        <v>140.1087259613841</v>
      </c>
      <c r="FC186" s="150">
        <f t="shared" si="580"/>
        <v>0.89698208740245766</v>
      </c>
      <c r="FD186" s="5">
        <f t="shared" si="581"/>
        <v>4.5599999999999996</v>
      </c>
      <c r="FE186" s="150">
        <f t="shared" si="582"/>
        <v>0.83562671215777728</v>
      </c>
      <c r="FF186" s="5">
        <f t="shared" si="583"/>
        <v>83.562671215777726</v>
      </c>
      <c r="FI186" s="59">
        <f t="shared" si="584"/>
        <v>-50</v>
      </c>
      <c r="FJ186">
        <f t="shared" si="585"/>
        <v>-50</v>
      </c>
      <c r="FL186">
        <f t="shared" si="586"/>
        <v>0.625</v>
      </c>
    </row>
    <row r="187" spans="5:168">
      <c r="E187" s="147">
        <v>77</v>
      </c>
      <c r="F187" s="188">
        <f t="shared" si="587"/>
        <v>0.92399999999999993</v>
      </c>
      <c r="G187" s="188"/>
      <c r="H187" s="188">
        <f t="shared" si="495"/>
        <v>4.6199999999999992</v>
      </c>
      <c r="I187" s="465">
        <f t="shared" si="496"/>
        <v>8.9254674659846547</v>
      </c>
      <c r="J187" s="149">
        <f t="shared" si="497"/>
        <v>5.4447195204092074</v>
      </c>
      <c r="K187" s="149">
        <f t="shared" si="498"/>
        <v>14.370186986393861</v>
      </c>
      <c r="L187" s="379"/>
      <c r="M187" s="188">
        <f t="shared" si="499"/>
        <v>0.37887407095736536</v>
      </c>
      <c r="N187" s="149">
        <f t="shared" si="500"/>
        <v>8.4921138022707101</v>
      </c>
      <c r="O187" s="149">
        <f t="shared" si="438"/>
        <v>4.6199999999999992</v>
      </c>
      <c r="P187" s="188">
        <f t="shared" si="501"/>
        <v>1.698422760454142</v>
      </c>
      <c r="Q187" s="188">
        <f t="shared" si="502"/>
        <v>5</v>
      </c>
      <c r="R187" s="188"/>
      <c r="S187" s="149">
        <f t="shared" si="503"/>
        <v>15.448790180338934</v>
      </c>
      <c r="T187" s="149">
        <f t="shared" si="504"/>
        <v>5</v>
      </c>
      <c r="U187" s="188">
        <f t="shared" si="505"/>
        <v>2.975242078282569</v>
      </c>
      <c r="V187" s="188">
        <f t="shared" si="506"/>
        <v>4.0001159687664716</v>
      </c>
      <c r="W187" s="188">
        <f t="shared" si="507"/>
        <v>6.5573451131064902</v>
      </c>
      <c r="X187" s="172">
        <f t="shared" si="508"/>
        <v>281.81416490286904</v>
      </c>
      <c r="Y187" s="379">
        <f t="shared" si="509"/>
        <v>92.958737418540764</v>
      </c>
      <c r="AA187" s="188">
        <f t="shared" si="510"/>
        <v>1</v>
      </c>
      <c r="AB187" s="150">
        <f t="shared" si="511"/>
        <v>2.2039702789131219</v>
      </c>
      <c r="AC187" s="150">
        <f t="shared" si="512"/>
        <v>0.31055502181132238</v>
      </c>
      <c r="AD187" s="150"/>
      <c r="AE187" s="150">
        <f t="shared" si="513"/>
        <v>2.2039702789131219</v>
      </c>
      <c r="AF187" s="314">
        <f t="shared" si="514"/>
        <v>838.48680614301793</v>
      </c>
      <c r="AG187" s="456">
        <f t="shared" si="515"/>
        <v>0.31055502181132238</v>
      </c>
      <c r="AI187" s="150">
        <f t="shared" si="516"/>
        <v>1.5477973345952147</v>
      </c>
      <c r="AJ187" s="150">
        <f t="shared" si="517"/>
        <v>2.975242078282569</v>
      </c>
      <c r="AK187" s="150">
        <f t="shared" si="518"/>
        <v>2.6631422802093105</v>
      </c>
      <c r="AM187" s="314">
        <f t="shared" si="519"/>
        <v>923.99999999999989</v>
      </c>
      <c r="AN187" s="144">
        <f t="shared" si="520"/>
        <v>92.958737418540764</v>
      </c>
      <c r="AP187">
        <f t="shared" si="521"/>
        <v>923.99999999999989</v>
      </c>
      <c r="AQ187">
        <f t="shared" si="522"/>
        <v>92.958737418540764</v>
      </c>
      <c r="AS187" s="5">
        <f t="shared" si="439"/>
        <v>10.757461081872961</v>
      </c>
      <c r="AT187" s="5">
        <f t="shared" si="523"/>
        <v>4.0001159687664716</v>
      </c>
      <c r="AU187" s="5">
        <f t="shared" si="478"/>
        <v>6.7573451131064894</v>
      </c>
      <c r="AV187" s="5"/>
      <c r="AW187" s="150">
        <f t="shared" si="479"/>
        <v>0.37184572998427423</v>
      </c>
      <c r="AX187" s="150">
        <f t="shared" si="435"/>
        <v>4.9372609523818776</v>
      </c>
      <c r="AY187" s="150">
        <f t="shared" si="436"/>
        <v>0.93445550790182896</v>
      </c>
      <c r="AZ187" s="150">
        <f t="shared" si="440"/>
        <v>5.2835698549925727</v>
      </c>
      <c r="BA187" s="144">
        <f t="shared" si="594"/>
        <v>73.922143102804384</v>
      </c>
      <c r="BB187" s="5">
        <f t="shared" si="595"/>
        <v>1.4573902590876748</v>
      </c>
      <c r="BD187" s="150">
        <f t="shared" si="441"/>
        <v>1.0474735843285528</v>
      </c>
      <c r="BE187" s="150">
        <f t="shared" si="437"/>
        <v>1.3614285015851135</v>
      </c>
      <c r="BG187" s="456">
        <f t="shared" si="480"/>
        <v>2.1944018197322116E-2</v>
      </c>
      <c r="BH187" s="456">
        <f t="shared" si="524"/>
        <v>7.4520578094547318E-2</v>
      </c>
      <c r="BI187" s="456">
        <f t="shared" si="525"/>
        <v>2.0742504662704896E-2</v>
      </c>
      <c r="BJ187" s="456">
        <f t="shared" si="481"/>
        <v>1.9196190667321459E-3</v>
      </c>
      <c r="BK187">
        <f t="shared" si="482"/>
        <v>4.0164603596930942E-3</v>
      </c>
      <c r="BL187" s="144">
        <f t="shared" si="588"/>
        <v>24.758965022397991</v>
      </c>
      <c r="BM187" s="456">
        <f t="shared" si="526"/>
        <v>0.10485580783451777</v>
      </c>
      <c r="BN187" s="144">
        <f t="shared" si="527"/>
        <v>104.85580783451778</v>
      </c>
      <c r="BO187" s="456">
        <f t="shared" si="483"/>
        <v>0.64679999999999993</v>
      </c>
      <c r="BR187" s="144">
        <f t="shared" si="484"/>
        <v>646.79999999999995</v>
      </c>
      <c r="BS187" s="456">
        <f t="shared" si="485"/>
        <v>3.2916027295983169E-2</v>
      </c>
      <c r="BT187" s="456">
        <f t="shared" si="486"/>
        <v>5.5604626947848616E-2</v>
      </c>
      <c r="BU187" s="456">
        <f t="shared" si="487"/>
        <v>6.3606472966643235E-2</v>
      </c>
      <c r="BV187" s="456"/>
      <c r="BW187" s="456">
        <f t="shared" si="488"/>
        <v>8.2287682539697977E-4</v>
      </c>
      <c r="BX187" s="144">
        <f t="shared" si="489"/>
        <v>152.95000403587201</v>
      </c>
      <c r="BY187" s="150">
        <f t="shared" si="490"/>
        <v>0.92289318441687151</v>
      </c>
      <c r="BZ187" s="5">
        <f t="shared" si="491"/>
        <v>4.6199999999999992</v>
      </c>
      <c r="CA187" s="150">
        <f t="shared" si="492"/>
        <v>0.83349973493779994</v>
      </c>
      <c r="CB187" s="5">
        <f t="shared" si="493"/>
        <v>83.349973493779999</v>
      </c>
      <c r="CE187" s="59">
        <f t="shared" si="528"/>
        <v>-50</v>
      </c>
      <c r="CF187">
        <f t="shared" si="529"/>
        <v>-50</v>
      </c>
      <c r="CG187" s="150">
        <f t="shared" si="530"/>
        <v>0.61986353490259738</v>
      </c>
      <c r="CI187" s="147">
        <v>77</v>
      </c>
      <c r="CJ187" s="188">
        <f t="shared" si="589"/>
        <v>0.92399999999999993</v>
      </c>
      <c r="CK187" s="188"/>
      <c r="CL187" s="188">
        <f t="shared" si="531"/>
        <v>4.6199999999999992</v>
      </c>
      <c r="CM187" s="465">
        <f t="shared" si="532"/>
        <v>9</v>
      </c>
      <c r="CN187" s="379">
        <f t="shared" si="533"/>
        <v>5.4</v>
      </c>
      <c r="CO187" s="379">
        <f t="shared" si="534"/>
        <v>14.4</v>
      </c>
      <c r="CP187" s="379"/>
      <c r="CQ187" s="188">
        <f t="shared" si="535"/>
        <v>0.375</v>
      </c>
      <c r="CR187" s="149">
        <f t="shared" si="590"/>
        <v>8.4754687499999992</v>
      </c>
      <c r="CS187" s="149">
        <f t="shared" si="536"/>
        <v>4.6199999999999992</v>
      </c>
      <c r="CT187" s="188">
        <f t="shared" si="537"/>
        <v>1.6950937499999998</v>
      </c>
      <c r="CU187" s="188">
        <f t="shared" si="538"/>
        <v>5</v>
      </c>
      <c r="CV187" s="188"/>
      <c r="CW187" s="149">
        <f t="shared" si="539"/>
        <v>15.575987533497315</v>
      </c>
      <c r="CX187" s="149">
        <f t="shared" si="540"/>
        <v>5</v>
      </c>
      <c r="CY187" s="188">
        <f t="shared" si="541"/>
        <v>2.7377777777777772</v>
      </c>
      <c r="CZ187" s="188">
        <f t="shared" si="542"/>
        <v>3.6503703703703696</v>
      </c>
      <c r="DA187" s="188">
        <f t="shared" si="543"/>
        <v>6.083950617283949</v>
      </c>
      <c r="DB187" s="172">
        <f t="shared" si="544"/>
        <v>281.25</v>
      </c>
      <c r="DC187" s="379">
        <f t="shared" si="545"/>
        <v>102.72930194805198</v>
      </c>
      <c r="DE187" s="188">
        <f t="shared" si="546"/>
        <v>1</v>
      </c>
      <c r="DF187" s="150">
        <f t="shared" si="547"/>
        <v>2.2222222222222219</v>
      </c>
      <c r="DG187" s="150">
        <f t="shared" si="548"/>
        <v>0.31249999999999994</v>
      </c>
      <c r="DH187" s="150"/>
      <c r="DI187" s="150">
        <f t="shared" si="549"/>
        <v>2.2222222222222219</v>
      </c>
      <c r="DJ187" s="314">
        <f t="shared" si="550"/>
        <v>831.6</v>
      </c>
      <c r="DK187" s="456">
        <f t="shared" si="551"/>
        <v>0.31249999999999994</v>
      </c>
      <c r="DM187" s="150">
        <f t="shared" si="552"/>
        <v>1.5414279094398156</v>
      </c>
      <c r="DN187" s="150">
        <f t="shared" si="553"/>
        <v>2.7377777777777772</v>
      </c>
      <c r="DO187" s="150">
        <f t="shared" si="554"/>
        <v>2.4872427983539094</v>
      </c>
      <c r="DQ187" s="314">
        <f t="shared" si="555"/>
        <v>923.99999999999989</v>
      </c>
      <c r="DR187" s="144">
        <f t="shared" si="556"/>
        <v>102.72930194805198</v>
      </c>
      <c r="DT187">
        <f t="shared" si="591"/>
        <v>923.99999999999989</v>
      </c>
      <c r="DU187">
        <f t="shared" si="592"/>
        <v>102.72930194805198</v>
      </c>
      <c r="DW187" s="5">
        <f t="shared" si="557"/>
        <v>9.7343209876543177</v>
      </c>
      <c r="DX187" s="5">
        <f t="shared" si="558"/>
        <v>3.6503703703703696</v>
      </c>
      <c r="DY187" s="5">
        <f t="shared" si="559"/>
        <v>6.0839506172839481</v>
      </c>
      <c r="DZ187" s="5"/>
      <c r="EA187" s="150">
        <f t="shared" si="560"/>
        <v>0.37500000000000006</v>
      </c>
      <c r="EB187" s="150">
        <f t="shared" si="561"/>
        <v>4.62</v>
      </c>
      <c r="EC187" s="150">
        <f t="shared" si="562"/>
        <v>0.8555555555555554</v>
      </c>
      <c r="ED187" s="150">
        <f t="shared" si="563"/>
        <v>5.4000000000000012</v>
      </c>
      <c r="EE187" s="144">
        <f t="shared" si="564"/>
        <v>67.458844444444424</v>
      </c>
      <c r="EF187" s="5">
        <f t="shared" si="565"/>
        <v>1.3012894375857327</v>
      </c>
      <c r="EH187" s="150">
        <f t="shared" si="566"/>
        <v>0.96795061602425159</v>
      </c>
      <c r="EI187" s="150">
        <f t="shared" si="567"/>
        <v>1.2496188719377122</v>
      </c>
      <c r="EK187" s="456">
        <f t="shared" si="568"/>
        <v>1.8738567901234564E-2</v>
      </c>
      <c r="EL187" s="456">
        <f t="shared" si="569"/>
        <v>8.1000000000000016E-2</v>
      </c>
      <c r="EM187" s="456">
        <f t="shared" si="570"/>
        <v>1.2841162743506497E-2</v>
      </c>
      <c r="EN187" s="456">
        <f t="shared" si="571"/>
        <v>2.1301948051948064E-3</v>
      </c>
      <c r="EO187">
        <f t="shared" si="572"/>
        <v>4.0499999999999998E-3</v>
      </c>
      <c r="EP187" s="144">
        <f t="shared" si="573"/>
        <v>16.891162743506499</v>
      </c>
      <c r="EQ187" s="144"/>
      <c r="ER187" s="144">
        <f t="shared" si="593"/>
        <v>118.75992544993588</v>
      </c>
      <c r="ES187" s="456">
        <f t="shared" si="574"/>
        <v>0.64679999999999993</v>
      </c>
      <c r="EV187" s="144">
        <f t="shared" si="494"/>
        <v>646.79999999999995</v>
      </c>
      <c r="EW187" s="456">
        <f t="shared" si="575"/>
        <v>2.8107851851851842E-2</v>
      </c>
      <c r="EX187" s="456">
        <f t="shared" si="576"/>
        <v>4.6846419753086406E-2</v>
      </c>
      <c r="EY187" s="456">
        <f t="shared" si="577"/>
        <v>6.6328676578668033E-2</v>
      </c>
      <c r="EZ187" s="456"/>
      <c r="FA187" s="456">
        <f t="shared" si="578"/>
        <v>7.7000000000000007E-4</v>
      </c>
      <c r="FB187" s="144">
        <f t="shared" si="579"/>
        <v>142.05294818360628</v>
      </c>
      <c r="FC187" s="150">
        <f t="shared" si="580"/>
        <v>0.90761287363354215</v>
      </c>
      <c r="FD187" s="5">
        <f t="shared" si="581"/>
        <v>4.6199999999999992</v>
      </c>
      <c r="FE187" s="150">
        <f t="shared" si="582"/>
        <v>0.83580382809316955</v>
      </c>
      <c r="FF187" s="5">
        <f t="shared" si="583"/>
        <v>83.580382809316959</v>
      </c>
      <c r="FI187" s="59">
        <f t="shared" si="584"/>
        <v>-50</v>
      </c>
      <c r="FJ187">
        <f t="shared" si="585"/>
        <v>-50</v>
      </c>
      <c r="FL187">
        <f t="shared" si="586"/>
        <v>0.625</v>
      </c>
    </row>
    <row r="188" spans="5:168">
      <c r="E188" s="147">
        <v>78</v>
      </c>
      <c r="F188" s="188">
        <f t="shared" si="587"/>
        <v>0.93599999999999994</v>
      </c>
      <c r="G188" s="188"/>
      <c r="H188" s="188">
        <f t="shared" si="495"/>
        <v>4.68</v>
      </c>
      <c r="I188" s="465">
        <f t="shared" si="496"/>
        <v>8.9245075310511961</v>
      </c>
      <c r="J188" s="149">
        <f t="shared" si="497"/>
        <v>5.445295481369282</v>
      </c>
      <c r="K188" s="149">
        <f t="shared" si="498"/>
        <v>14.369803012420478</v>
      </c>
      <c r="L188" s="379"/>
      <c r="M188" s="188">
        <f t="shared" si="499"/>
        <v>0.37892427912244347</v>
      </c>
      <c r="N188" s="149">
        <f t="shared" si="500"/>
        <v>8.4923257233716534</v>
      </c>
      <c r="O188" s="149">
        <f t="shared" si="438"/>
        <v>4.68</v>
      </c>
      <c r="P188" s="188">
        <f t="shared" si="501"/>
        <v>1.6984651446743306</v>
      </c>
      <c r="Q188" s="188">
        <f t="shared" si="502"/>
        <v>5</v>
      </c>
      <c r="R188" s="188"/>
      <c r="S188" s="149">
        <f t="shared" si="503"/>
        <v>15.142005550223994</v>
      </c>
      <c r="T188" s="149">
        <f t="shared" si="504"/>
        <v>5</v>
      </c>
      <c r="U188" s="188">
        <f t="shared" si="505"/>
        <v>3.0141252299396513</v>
      </c>
      <c r="V188" s="188">
        <f t="shared" si="506"/>
        <v>4.0528289805830324</v>
      </c>
      <c r="W188" s="188">
        <f t="shared" si="507"/>
        <v>6.6423397744029451</v>
      </c>
      <c r="X188" s="172">
        <f t="shared" si="508"/>
        <v>281.82119412884413</v>
      </c>
      <c r="Y188" s="379">
        <f t="shared" si="509"/>
        <v>91.783800920235223</v>
      </c>
      <c r="AA188" s="188">
        <f t="shared" si="510"/>
        <v>1</v>
      </c>
      <c r="AB188" s="150">
        <f t="shared" si="511"/>
        <v>2.2037371600966758</v>
      </c>
      <c r="AC188" s="150">
        <f t="shared" si="512"/>
        <v>0.31052991900227644</v>
      </c>
      <c r="AD188" s="150"/>
      <c r="AE188" s="150">
        <f t="shared" si="513"/>
        <v>2.2037371600966758</v>
      </c>
      <c r="AF188" s="314">
        <f t="shared" si="514"/>
        <v>849.46609509360781</v>
      </c>
      <c r="AG188" s="456">
        <f t="shared" si="515"/>
        <v>0.31052991900227644</v>
      </c>
      <c r="AI188" s="150">
        <f t="shared" si="516"/>
        <v>1.5578979382429829</v>
      </c>
      <c r="AJ188" s="150">
        <f t="shared" si="517"/>
        <v>3.0141252299396513</v>
      </c>
      <c r="AK188" s="150">
        <f t="shared" si="518"/>
        <v>2.691944614770112</v>
      </c>
      <c r="AM188" s="314">
        <f t="shared" si="519"/>
        <v>936</v>
      </c>
      <c r="AN188" s="144">
        <f t="shared" si="520"/>
        <v>91.783800920235223</v>
      </c>
      <c r="AP188">
        <f t="shared" si="521"/>
        <v>936</v>
      </c>
      <c r="AQ188">
        <f t="shared" si="522"/>
        <v>91.783800920235223</v>
      </c>
      <c r="AS188" s="5">
        <f t="shared" si="439"/>
        <v>10.895168754985976</v>
      </c>
      <c r="AT188" s="5">
        <f t="shared" si="523"/>
        <v>4.0528289805830324</v>
      </c>
      <c r="AU188" s="5">
        <f t="shared" si="478"/>
        <v>6.8423397744029435</v>
      </c>
      <c r="AV188" s="5"/>
      <c r="AW188" s="150">
        <f t="shared" si="479"/>
        <v>0.37198404831759296</v>
      </c>
      <c r="AX188" s="150">
        <f t="shared" si="435"/>
        <v>5.003107949622823</v>
      </c>
      <c r="AY188" s="150">
        <f t="shared" si="436"/>
        <v>0.94645936238525208</v>
      </c>
      <c r="AZ188" s="150">
        <f t="shared" si="440"/>
        <v>5.2861307610863175</v>
      </c>
      <c r="BA188" s="144">
        <f t="shared" si="594"/>
        <v>75.868958516514368</v>
      </c>
      <c r="BB188" s="5">
        <f t="shared" si="595"/>
        <v>1.4950474873445649</v>
      </c>
      <c r="BD188" s="150">
        <f t="shared" si="441"/>
        <v>1.061360261677248</v>
      </c>
      <c r="BE188" s="150">
        <f t="shared" si="437"/>
        <v>1.3790690200948328</v>
      </c>
      <c r="BG188" s="456">
        <f t="shared" si="480"/>
        <v>2.2529712101351924E-2</v>
      </c>
      <c r="BH188" s="456">
        <f t="shared" si="524"/>
        <v>7.4538288683880349E-2</v>
      </c>
      <c r="BI188" s="456">
        <f t="shared" si="525"/>
        <v>2.0478130563528572E-2</v>
      </c>
      <c r="BJ188" s="456">
        <f t="shared" si="481"/>
        <v>1.8952550736882497E-3</v>
      </c>
      <c r="BK188">
        <f t="shared" si="482"/>
        <v>4.0160283889730383E-3</v>
      </c>
      <c r="BL188" s="144">
        <f t="shared" si="588"/>
        <v>24.494158952501611</v>
      </c>
      <c r="BM188" s="456">
        <f t="shared" si="526"/>
        <v>0.10561162344051703</v>
      </c>
      <c r="BN188" s="144">
        <f t="shared" si="527"/>
        <v>105.61162344051702</v>
      </c>
      <c r="BO188" s="456">
        <f t="shared" si="483"/>
        <v>0.65519999999999989</v>
      </c>
      <c r="BR188" s="144">
        <f t="shared" si="484"/>
        <v>655.19999999999993</v>
      </c>
      <c r="BS188" s="456">
        <f t="shared" si="485"/>
        <v>3.3794568152027887E-2</v>
      </c>
      <c r="BT188" s="456">
        <f t="shared" si="486"/>
        <v>5.7054940865559664E-2</v>
      </c>
      <c r="BU188" s="456">
        <f t="shared" si="487"/>
        <v>6.364852321505747E-2</v>
      </c>
      <c r="BV188" s="456"/>
      <c r="BW188" s="456">
        <f t="shared" si="488"/>
        <v>8.3385132493713702E-4</v>
      </c>
      <c r="BX188" s="144">
        <f t="shared" si="489"/>
        <v>155.33188355758216</v>
      </c>
      <c r="BY188" s="150">
        <f t="shared" si="490"/>
        <v>0.93398929836900413</v>
      </c>
      <c r="BZ188" s="5">
        <f t="shared" si="491"/>
        <v>4.68</v>
      </c>
      <c r="CA188" s="150">
        <f t="shared" si="492"/>
        <v>0.83363179929104059</v>
      </c>
      <c r="CB188" s="5">
        <f t="shared" si="493"/>
        <v>83.363179929104064</v>
      </c>
      <c r="CE188" s="59">
        <f t="shared" si="528"/>
        <v>-50</v>
      </c>
      <c r="CF188">
        <f t="shared" si="529"/>
        <v>-50</v>
      </c>
      <c r="CG188" s="150">
        <f t="shared" si="530"/>
        <v>0.61992938701923073</v>
      </c>
      <c r="CI188" s="147">
        <v>78</v>
      </c>
      <c r="CJ188" s="188">
        <f t="shared" si="589"/>
        <v>0.93599999999999994</v>
      </c>
      <c r="CK188" s="188"/>
      <c r="CL188" s="188">
        <f t="shared" si="531"/>
        <v>4.68</v>
      </c>
      <c r="CM188" s="465">
        <f t="shared" si="532"/>
        <v>9</v>
      </c>
      <c r="CN188" s="379">
        <f t="shared" si="533"/>
        <v>5.4</v>
      </c>
      <c r="CO188" s="379">
        <f t="shared" si="534"/>
        <v>14.4</v>
      </c>
      <c r="CP188" s="379"/>
      <c r="CQ188" s="188">
        <f t="shared" si="535"/>
        <v>0.375</v>
      </c>
      <c r="CR188" s="149">
        <f t="shared" si="590"/>
        <v>8.4754687499999992</v>
      </c>
      <c r="CS188" s="149">
        <f t="shared" si="536"/>
        <v>4.68</v>
      </c>
      <c r="CT188" s="188">
        <f t="shared" si="537"/>
        <v>1.6950937499999998</v>
      </c>
      <c r="CU188" s="188">
        <f t="shared" si="538"/>
        <v>5</v>
      </c>
      <c r="CV188" s="188"/>
      <c r="CW188" s="149">
        <f t="shared" si="539"/>
        <v>15.268225905009823</v>
      </c>
      <c r="CX188" s="149">
        <f t="shared" si="540"/>
        <v>5</v>
      </c>
      <c r="CY188" s="188">
        <f t="shared" si="541"/>
        <v>2.773333333333333</v>
      </c>
      <c r="CZ188" s="188">
        <f t="shared" si="542"/>
        <v>3.6977777777777776</v>
      </c>
      <c r="DA188" s="188">
        <f t="shared" si="543"/>
        <v>6.1629629629629621</v>
      </c>
      <c r="DB188" s="172">
        <f t="shared" si="544"/>
        <v>281.25</v>
      </c>
      <c r="DC188" s="379">
        <f t="shared" si="545"/>
        <v>101.41225961538463</v>
      </c>
      <c r="DE188" s="188">
        <f t="shared" si="546"/>
        <v>1</v>
      </c>
      <c r="DF188" s="150">
        <f t="shared" si="547"/>
        <v>2.2222222222222219</v>
      </c>
      <c r="DG188" s="150">
        <f t="shared" si="548"/>
        <v>0.31249999999999994</v>
      </c>
      <c r="DH188" s="150"/>
      <c r="DI188" s="150">
        <f t="shared" si="549"/>
        <v>2.2222222222222219</v>
      </c>
      <c r="DJ188" s="314">
        <f t="shared" si="550"/>
        <v>842.4</v>
      </c>
      <c r="DK188" s="456">
        <f t="shared" si="551"/>
        <v>0.31249999999999994</v>
      </c>
      <c r="DM188" s="150">
        <f t="shared" si="552"/>
        <v>1.5514048932684024</v>
      </c>
      <c r="DN188" s="150">
        <f t="shared" si="553"/>
        <v>2.773333333333333</v>
      </c>
      <c r="DO188" s="150">
        <f t="shared" si="554"/>
        <v>2.51358024691358</v>
      </c>
      <c r="DQ188" s="314">
        <f t="shared" si="555"/>
        <v>936</v>
      </c>
      <c r="DR188" s="144">
        <f t="shared" si="556"/>
        <v>101.41225961538463</v>
      </c>
      <c r="DT188">
        <f t="shared" si="591"/>
        <v>936</v>
      </c>
      <c r="DU188">
        <f t="shared" si="592"/>
        <v>101.41225961538463</v>
      </c>
      <c r="DW188" s="5">
        <f t="shared" si="557"/>
        <v>9.8607407407407397</v>
      </c>
      <c r="DX188" s="5">
        <f t="shared" si="558"/>
        <v>3.6977777777777776</v>
      </c>
      <c r="DY188" s="5">
        <f t="shared" si="559"/>
        <v>6.1629629629629621</v>
      </c>
      <c r="DZ188" s="5"/>
      <c r="EA188" s="150">
        <f t="shared" si="560"/>
        <v>0.375</v>
      </c>
      <c r="EB188" s="150">
        <f t="shared" si="561"/>
        <v>4.6799999999999988</v>
      </c>
      <c r="EC188" s="150">
        <f t="shared" si="562"/>
        <v>0.86666666666666659</v>
      </c>
      <c r="ED188" s="150">
        <f t="shared" si="563"/>
        <v>5.3999999999999995</v>
      </c>
      <c r="EE188" s="144">
        <f t="shared" si="564"/>
        <v>69.222399999999993</v>
      </c>
      <c r="EF188" s="5">
        <f t="shared" si="565"/>
        <v>1.3353086419753084</v>
      </c>
      <c r="EH188" s="150">
        <f t="shared" si="566"/>
        <v>0.98052140324534587</v>
      </c>
      <c r="EI188" s="150">
        <f t="shared" si="567"/>
        <v>1.2658476884563838</v>
      </c>
      <c r="EK188" s="456">
        <f t="shared" si="568"/>
        <v>1.9228444444444444E-2</v>
      </c>
      <c r="EL188" s="456">
        <f t="shared" si="569"/>
        <v>8.0999999999999989E-2</v>
      </c>
      <c r="EM188" s="456">
        <f t="shared" si="570"/>
        <v>1.2676532451923078E-2</v>
      </c>
      <c r="EN188" s="456">
        <f t="shared" si="571"/>
        <v>2.1028846153846158E-3</v>
      </c>
      <c r="EO188">
        <f t="shared" si="572"/>
        <v>4.0499999999999998E-3</v>
      </c>
      <c r="EP188" s="144">
        <f t="shared" si="573"/>
        <v>16.726532451923077</v>
      </c>
      <c r="EQ188" s="144"/>
      <c r="ER188" s="144">
        <f t="shared" si="593"/>
        <v>119.05786151175211</v>
      </c>
      <c r="ES188" s="456">
        <f t="shared" si="574"/>
        <v>0.65519999999999989</v>
      </c>
      <c r="EV188" s="144">
        <f t="shared" si="494"/>
        <v>655.19999999999993</v>
      </c>
      <c r="EW188" s="456">
        <f t="shared" si="575"/>
        <v>2.8842666666666666E-2</v>
      </c>
      <c r="EX188" s="456">
        <f t="shared" si="576"/>
        <v>4.8071111111111106E-2</v>
      </c>
      <c r="EY188" s="456">
        <f t="shared" si="577"/>
        <v>6.6328676578668005E-2</v>
      </c>
      <c r="EZ188" s="456"/>
      <c r="FA188" s="456">
        <f t="shared" si="578"/>
        <v>7.7999999999999999E-4</v>
      </c>
      <c r="FB188" s="144">
        <f t="shared" si="579"/>
        <v>144.02245435644579</v>
      </c>
      <c r="FC188" s="150">
        <f t="shared" si="580"/>
        <v>0.91828031586819781</v>
      </c>
      <c r="FD188" s="5">
        <f t="shared" si="581"/>
        <v>4.68</v>
      </c>
      <c r="FE188" s="150">
        <f t="shared" si="582"/>
        <v>0.8359710010830731</v>
      </c>
      <c r="FF188" s="5">
        <f t="shared" si="583"/>
        <v>83.597100108307316</v>
      </c>
      <c r="FI188" s="59">
        <f t="shared" si="584"/>
        <v>-50</v>
      </c>
      <c r="FJ188">
        <f t="shared" si="585"/>
        <v>-50</v>
      </c>
      <c r="FL188">
        <f t="shared" si="586"/>
        <v>0.625</v>
      </c>
    </row>
    <row r="189" spans="5:168">
      <c r="E189" s="147">
        <v>79</v>
      </c>
      <c r="F189" s="188">
        <f t="shared" si="587"/>
        <v>0.94799999999999995</v>
      </c>
      <c r="G189" s="188"/>
      <c r="H189" s="188">
        <f t="shared" si="495"/>
        <v>4.74</v>
      </c>
      <c r="I189" s="465">
        <f t="shared" si="496"/>
        <v>8.9235475944571832</v>
      </c>
      <c r="J189" s="149">
        <f t="shared" si="497"/>
        <v>5.4458714433256903</v>
      </c>
      <c r="K189" s="149">
        <f t="shared" si="498"/>
        <v>14.369419037782873</v>
      </c>
      <c r="L189" s="379"/>
      <c r="M189" s="188">
        <f t="shared" si="499"/>
        <v>0.3789744900143992</v>
      </c>
      <c r="N189" s="149">
        <f t="shared" si="500"/>
        <v>8.4925374619322707</v>
      </c>
      <c r="O189" s="149">
        <f t="shared" si="438"/>
        <v>4.74</v>
      </c>
      <c r="P189" s="188">
        <f t="shared" si="501"/>
        <v>1.698507492386454</v>
      </c>
      <c r="Q189" s="188">
        <f t="shared" si="502"/>
        <v>5</v>
      </c>
      <c r="R189" s="188"/>
      <c r="S189" s="149">
        <f t="shared" si="503"/>
        <v>14.843179619483671</v>
      </c>
      <c r="T189" s="149">
        <f t="shared" si="504"/>
        <v>5</v>
      </c>
      <c r="U189" s="188">
        <f t="shared" si="505"/>
        <v>3.0530146821890791</v>
      </c>
      <c r="V189" s="188">
        <f t="shared" si="506"/>
        <v>4.105561806946076</v>
      </c>
      <c r="W189" s="188">
        <f t="shared" si="507"/>
        <v>6.727330339604185</v>
      </c>
      <c r="X189" s="172">
        <f t="shared" si="508"/>
        <v>281.82821732987645</v>
      </c>
      <c r="Y189" s="379">
        <f t="shared" si="509"/>
        <v>90.63806540632936</v>
      </c>
      <c r="AA189" s="188">
        <f t="shared" si="510"/>
        <v>1</v>
      </c>
      <c r="AB189" s="150">
        <f t="shared" si="511"/>
        <v>2.2035040901868643</v>
      </c>
      <c r="AC189" s="150">
        <f t="shared" si="512"/>
        <v>0.31050481480822767</v>
      </c>
      <c r="AD189" s="150"/>
      <c r="AE189" s="150">
        <f t="shared" si="513"/>
        <v>2.2035040901868643</v>
      </c>
      <c r="AF189" s="314">
        <f t="shared" si="514"/>
        <v>860.44768804545902</v>
      </c>
      <c r="AG189" s="456">
        <f t="shared" si="515"/>
        <v>0.31050481480822761</v>
      </c>
      <c r="AI189" s="150">
        <f t="shared" si="516"/>
        <v>1.5679355745196193</v>
      </c>
      <c r="AJ189" s="150">
        <f t="shared" si="517"/>
        <v>3.0530146821890791</v>
      </c>
      <c r="AK189" s="150">
        <f t="shared" si="518"/>
        <v>2.7207516164363552</v>
      </c>
      <c r="AM189" s="314">
        <f t="shared" si="519"/>
        <v>948</v>
      </c>
      <c r="AN189" s="144">
        <f t="shared" si="520"/>
        <v>90.63806540632936</v>
      </c>
      <c r="AP189">
        <f t="shared" si="521"/>
        <v>948</v>
      </c>
      <c r="AQ189">
        <f t="shared" si="522"/>
        <v>90.63806540632936</v>
      </c>
      <c r="AS189" s="5">
        <f t="shared" si="439"/>
        <v>11.03289214655026</v>
      </c>
      <c r="AT189" s="5">
        <f t="shared" si="523"/>
        <v>4.105561806946076</v>
      </c>
      <c r="AU189" s="5">
        <f t="shared" si="478"/>
        <v>6.9273303396041843</v>
      </c>
      <c r="AV189" s="5"/>
      <c r="AW189" s="150">
        <f t="shared" si="479"/>
        <v>0.37212017958770616</v>
      </c>
      <c r="AX189" s="150">
        <f t="shared" si="435"/>
        <v>5.0689693287230346</v>
      </c>
      <c r="AY189" s="150">
        <f t="shared" si="436"/>
        <v>0.95846315518448766</v>
      </c>
      <c r="AZ189" s="150">
        <f t="shared" si="440"/>
        <v>5.2886428667644978</v>
      </c>
      <c r="BA189" s="144">
        <f t="shared" si="594"/>
        <v>77.8414518596976</v>
      </c>
      <c r="BB189" s="5">
        <f t="shared" si="595"/>
        <v>1.5331881492083312</v>
      </c>
      <c r="BD189" s="150">
        <f t="shared" si="441"/>
        <v>1.0752510527672228</v>
      </c>
      <c r="BE189" s="150">
        <f t="shared" si="437"/>
        <v>1.3967109185787183</v>
      </c>
      <c r="BG189" s="456">
        <f t="shared" si="480"/>
        <v>2.3123296529540417E-2</v>
      </c>
      <c r="BH189" s="456">
        <f t="shared" si="524"/>
        <v>7.4555554055122972E-2</v>
      </c>
      <c r="BI189" s="456">
        <f t="shared" si="525"/>
        <v>2.0220327263072577E-2</v>
      </c>
      <c r="BJ189" s="456">
        <f t="shared" si="481"/>
        <v>1.8714966188440318E-3</v>
      </c>
      <c r="BK189">
        <f t="shared" si="482"/>
        <v>4.015596417505732E-3</v>
      </c>
      <c r="BL189" s="144">
        <f t="shared" si="588"/>
        <v>24.23592368057831</v>
      </c>
      <c r="BM189" s="456">
        <f t="shared" si="526"/>
        <v>0.10637808861844243</v>
      </c>
      <c r="BN189" s="144">
        <f t="shared" si="527"/>
        <v>106.37808861844243</v>
      </c>
      <c r="BO189" s="456">
        <f t="shared" si="483"/>
        <v>0.66359999999999997</v>
      </c>
      <c r="BR189" s="144">
        <f t="shared" si="484"/>
        <v>663.6</v>
      </c>
      <c r="BS189" s="456">
        <f t="shared" si="485"/>
        <v>3.468494479431062E-2</v>
      </c>
      <c r="BT189" s="456">
        <f t="shared" si="486"/>
        <v>5.8524041702310209E-2</v>
      </c>
      <c r="BU189" s="456">
        <f t="shared" si="487"/>
        <v>6.3689641563219171E-2</v>
      </c>
      <c r="BV189" s="456"/>
      <c r="BW189" s="456">
        <f t="shared" si="488"/>
        <v>8.4482822145383904E-4</v>
      </c>
      <c r="BX189" s="144">
        <f t="shared" si="489"/>
        <v>157.74345628129385</v>
      </c>
      <c r="BY189" s="150">
        <f t="shared" si="490"/>
        <v>0.94512972716537957</v>
      </c>
      <c r="BZ189" s="5">
        <f t="shared" si="491"/>
        <v>4.74</v>
      </c>
      <c r="CA189" s="150">
        <f t="shared" si="492"/>
        <v>0.83375406146859832</v>
      </c>
      <c r="CB189" s="5">
        <f t="shared" si="493"/>
        <v>83.375406146859831</v>
      </c>
      <c r="CE189" s="59">
        <f t="shared" si="528"/>
        <v>-50</v>
      </c>
      <c r="CF189">
        <f t="shared" si="529"/>
        <v>-50</v>
      </c>
      <c r="CG189" s="150">
        <f t="shared" si="530"/>
        <v>0.61999357199367089</v>
      </c>
      <c r="CI189" s="147">
        <v>79</v>
      </c>
      <c r="CJ189" s="188">
        <f t="shared" si="589"/>
        <v>0.94799999999999995</v>
      </c>
      <c r="CK189" s="188"/>
      <c r="CL189" s="188">
        <f t="shared" si="531"/>
        <v>4.74</v>
      </c>
      <c r="CM189" s="465">
        <f t="shared" si="532"/>
        <v>9</v>
      </c>
      <c r="CN189" s="379">
        <f t="shared" si="533"/>
        <v>5.4</v>
      </c>
      <c r="CO189" s="379">
        <f t="shared" si="534"/>
        <v>14.4</v>
      </c>
      <c r="CP189" s="379"/>
      <c r="CQ189" s="188">
        <f t="shared" si="535"/>
        <v>0.375</v>
      </c>
      <c r="CR189" s="149">
        <f t="shared" si="590"/>
        <v>8.4754687499999992</v>
      </c>
      <c r="CS189" s="149">
        <f t="shared" si="536"/>
        <v>4.74</v>
      </c>
      <c r="CT189" s="188">
        <f t="shared" si="537"/>
        <v>1.6950937499999998</v>
      </c>
      <c r="CU189" s="188">
        <f t="shared" si="538"/>
        <v>5</v>
      </c>
      <c r="CV189" s="188"/>
      <c r="CW189" s="149">
        <f t="shared" si="539"/>
        <v>14.968423749427588</v>
      </c>
      <c r="CX189" s="149">
        <f t="shared" si="540"/>
        <v>5</v>
      </c>
      <c r="CY189" s="188">
        <f t="shared" si="541"/>
        <v>2.8088888888888892</v>
      </c>
      <c r="CZ189" s="188">
        <f t="shared" si="542"/>
        <v>3.7451851851851861</v>
      </c>
      <c r="DA189" s="188">
        <f t="shared" si="543"/>
        <v>6.241975308641976</v>
      </c>
      <c r="DB189" s="172">
        <f t="shared" si="544"/>
        <v>281.25</v>
      </c>
      <c r="DC189" s="379">
        <f t="shared" si="545"/>
        <v>100.12856012658226</v>
      </c>
      <c r="DE189" s="188">
        <f t="shared" si="546"/>
        <v>1</v>
      </c>
      <c r="DF189" s="150">
        <f t="shared" si="547"/>
        <v>2.2222222222222219</v>
      </c>
      <c r="DG189" s="150">
        <f t="shared" si="548"/>
        <v>0.31249999999999994</v>
      </c>
      <c r="DH189" s="150"/>
      <c r="DI189" s="150">
        <f t="shared" si="549"/>
        <v>2.2222222222222219</v>
      </c>
      <c r="DJ189" s="314">
        <f t="shared" si="550"/>
        <v>853.2</v>
      </c>
      <c r="DK189" s="456">
        <f t="shared" si="551"/>
        <v>0.31249999999999994</v>
      </c>
      <c r="DM189" s="150">
        <f t="shared" si="552"/>
        <v>1.5613181244430252</v>
      </c>
      <c r="DN189" s="150">
        <f t="shared" si="553"/>
        <v>2.8088888888888892</v>
      </c>
      <c r="DO189" s="150">
        <f t="shared" si="554"/>
        <v>2.5399176954732514</v>
      </c>
      <c r="DQ189" s="314">
        <f t="shared" si="555"/>
        <v>948</v>
      </c>
      <c r="DR189" s="144">
        <f t="shared" si="556"/>
        <v>100.12856012658226</v>
      </c>
      <c r="DT189">
        <f t="shared" si="591"/>
        <v>948</v>
      </c>
      <c r="DU189">
        <f t="shared" si="592"/>
        <v>100.12856012658226</v>
      </c>
      <c r="DW189" s="5">
        <f t="shared" si="557"/>
        <v>9.9871604938271634</v>
      </c>
      <c r="DX189" s="5">
        <f t="shared" si="558"/>
        <v>3.7451851851851861</v>
      </c>
      <c r="DY189" s="5">
        <f t="shared" si="559"/>
        <v>6.2419753086419778</v>
      </c>
      <c r="DZ189" s="5"/>
      <c r="EA189" s="150">
        <f t="shared" si="560"/>
        <v>0.375</v>
      </c>
      <c r="EB189" s="150">
        <f t="shared" si="561"/>
        <v>4.74</v>
      </c>
      <c r="EC189" s="150">
        <f t="shared" si="562"/>
        <v>0.87777777777777788</v>
      </c>
      <c r="ED189" s="150">
        <f t="shared" si="563"/>
        <v>5.3999999999999995</v>
      </c>
      <c r="EE189" s="144">
        <f t="shared" si="564"/>
        <v>71.008711111111126</v>
      </c>
      <c r="EF189" s="5">
        <f t="shared" si="565"/>
        <v>1.3697668038408783</v>
      </c>
      <c r="EH189" s="150">
        <f t="shared" si="566"/>
        <v>0.99309219046644026</v>
      </c>
      <c r="EI189" s="150">
        <f t="shared" si="567"/>
        <v>1.2820765049750558</v>
      </c>
      <c r="EK189" s="456">
        <f t="shared" si="568"/>
        <v>1.9724641975308651E-2</v>
      </c>
      <c r="EL189" s="456">
        <f t="shared" si="569"/>
        <v>8.1000000000000003E-2</v>
      </c>
      <c r="EM189" s="456">
        <f t="shared" si="570"/>
        <v>1.2516070015822781E-2</v>
      </c>
      <c r="EN189" s="456">
        <f t="shared" si="571"/>
        <v>2.0762658227848098E-3</v>
      </c>
      <c r="EO189">
        <f t="shared" si="572"/>
        <v>4.0499999999999998E-3</v>
      </c>
      <c r="EP189" s="144">
        <f t="shared" si="573"/>
        <v>16.566070015822781</v>
      </c>
      <c r="EQ189" s="144"/>
      <c r="ER189" s="144">
        <f t="shared" si="593"/>
        <v>119.36697781391624</v>
      </c>
      <c r="ES189" s="456">
        <f t="shared" si="574"/>
        <v>0.66359999999999997</v>
      </c>
      <c r="EV189" s="144">
        <f t="shared" si="494"/>
        <v>663.6</v>
      </c>
      <c r="EW189" s="456">
        <f t="shared" si="575"/>
        <v>2.9586962962962975E-2</v>
      </c>
      <c r="EX189" s="456">
        <f t="shared" si="576"/>
        <v>4.9311604938271622E-2</v>
      </c>
      <c r="EY189" s="456">
        <f t="shared" si="577"/>
        <v>6.6328676578667978E-2</v>
      </c>
      <c r="EZ189" s="456"/>
      <c r="FA189" s="456">
        <f t="shared" si="578"/>
        <v>7.9000000000000001E-4</v>
      </c>
      <c r="FB189" s="144">
        <f t="shared" si="579"/>
        <v>146.01724447990259</v>
      </c>
      <c r="FC189" s="150">
        <f t="shared" si="580"/>
        <v>0.92898422229381861</v>
      </c>
      <c r="FD189" s="5">
        <f t="shared" si="581"/>
        <v>4.74</v>
      </c>
      <c r="FE189" s="150">
        <f t="shared" si="582"/>
        <v>0.83612862801055254</v>
      </c>
      <c r="FF189" s="5">
        <f t="shared" si="583"/>
        <v>83.612862801055257</v>
      </c>
      <c r="FI189" s="59">
        <f t="shared" si="584"/>
        <v>-50</v>
      </c>
      <c r="FJ189">
        <f t="shared" si="585"/>
        <v>-50</v>
      </c>
      <c r="FL189">
        <f t="shared" si="586"/>
        <v>0.625</v>
      </c>
    </row>
    <row r="190" spans="5:168">
      <c r="E190" s="147">
        <v>80</v>
      </c>
      <c r="F190" s="188">
        <f t="shared" si="587"/>
        <v>0.96</v>
      </c>
      <c r="G190" s="188"/>
      <c r="H190" s="188">
        <f t="shared" si="495"/>
        <v>4.8</v>
      </c>
      <c r="I190" s="465">
        <f t="shared" si="496"/>
        <v>8.9225876562653799</v>
      </c>
      <c r="J190" s="149">
        <f t="shared" si="497"/>
        <v>5.4464474062407717</v>
      </c>
      <c r="K190" s="149">
        <f t="shared" si="498"/>
        <v>14.369035062506152</v>
      </c>
      <c r="L190" s="379"/>
      <c r="M190" s="188">
        <f t="shared" si="499"/>
        <v>0.37902470363181284</v>
      </c>
      <c r="N190" s="149">
        <f t="shared" si="500"/>
        <v>8.492749017960147</v>
      </c>
      <c r="O190" s="149">
        <f t="shared" si="438"/>
        <v>4.8</v>
      </c>
      <c r="P190" s="188">
        <f t="shared" si="501"/>
        <v>1.6985498035920295</v>
      </c>
      <c r="Q190" s="188">
        <f t="shared" si="502"/>
        <v>5</v>
      </c>
      <c r="R190" s="188"/>
      <c r="S190" s="149">
        <f t="shared" si="503"/>
        <v>14.552016937459914</v>
      </c>
      <c r="T190" s="149">
        <f t="shared" si="504"/>
        <v>5</v>
      </c>
      <c r="U190" s="188">
        <f t="shared" si="505"/>
        <v>3.0919104370644694</v>
      </c>
      <c r="V190" s="188">
        <f t="shared" si="506"/>
        <v>4.1583144569860524</v>
      </c>
      <c r="W190" s="188">
        <f t="shared" si="507"/>
        <v>6.8123168144907664</v>
      </c>
      <c r="X190" s="172">
        <f t="shared" si="508"/>
        <v>281.83523450499212</v>
      </c>
      <c r="Y190" s="379">
        <f t="shared" si="509"/>
        <v>89.52045553176643</v>
      </c>
      <c r="AA190" s="188">
        <f t="shared" si="510"/>
        <v>0.99999999999999978</v>
      </c>
      <c r="AB190" s="150">
        <f t="shared" si="511"/>
        <v>2.2032710691835353</v>
      </c>
      <c r="AC190" s="150">
        <f t="shared" si="512"/>
        <v>0.31047970923070312</v>
      </c>
      <c r="AD190" s="150"/>
      <c r="AE190" s="150">
        <f t="shared" si="513"/>
        <v>2.2032710691835358</v>
      </c>
      <c r="AF190" s="314">
        <f t="shared" si="514"/>
        <v>871.43158499852348</v>
      </c>
      <c r="AG190" s="456">
        <f t="shared" si="515"/>
        <v>0.31047970923070323</v>
      </c>
      <c r="AI190" s="150">
        <f t="shared" si="516"/>
        <v>1.5779114450967171</v>
      </c>
      <c r="AJ190" s="150">
        <f t="shared" si="517"/>
        <v>3.0919104370644694</v>
      </c>
      <c r="AK190" s="150">
        <f t="shared" si="518"/>
        <v>2.7495632867144217</v>
      </c>
      <c r="AM190" s="314">
        <f t="shared" si="519"/>
        <v>960</v>
      </c>
      <c r="AN190" s="144">
        <f t="shared" si="520"/>
        <v>89.52045553176643</v>
      </c>
      <c r="AP190">
        <f t="shared" si="521"/>
        <v>960</v>
      </c>
      <c r="AQ190">
        <f t="shared" si="522"/>
        <v>89.52045553176643</v>
      </c>
      <c r="AS190" s="5">
        <f t="shared" si="439"/>
        <v>11.170631271476818</v>
      </c>
      <c r="AT190" s="5">
        <f t="shared" si="523"/>
        <v>4.1583144569860524</v>
      </c>
      <c r="AU190" s="5">
        <f t="shared" si="478"/>
        <v>7.0123168144907657</v>
      </c>
      <c r="AV190" s="5"/>
      <c r="AW190" s="150">
        <f t="shared" si="479"/>
        <v>0.37225420443372137</v>
      </c>
      <c r="AX190" s="150">
        <f t="shared" si="435"/>
        <v>5.1348450692693897</v>
      </c>
      <c r="AY190" s="150">
        <f t="shared" si="436"/>
        <v>0.97046688856735785</v>
      </c>
      <c r="AZ190" s="150">
        <f t="shared" si="440"/>
        <v>5.2911079499576266</v>
      </c>
      <c r="BA190" s="144">
        <f t="shared" si="594"/>
        <v>79.839637574132212</v>
      </c>
      <c r="BB190" s="5">
        <f t="shared" si="595"/>
        <v>1.5718123675852627</v>
      </c>
      <c r="BD190" s="150">
        <f t="shared" si="441"/>
        <v>1.0891459571080466</v>
      </c>
      <c r="BE190" s="150">
        <f t="shared" si="437"/>
        <v>1.4143541992930662</v>
      </c>
      <c r="BG190" s="456">
        <f t="shared" si="480"/>
        <v>2.3724778317696062E-2</v>
      </c>
      <c r="BH190" s="456">
        <f t="shared" si="524"/>
        <v>7.4572390540077915E-2</v>
      </c>
      <c r="BI190" s="456">
        <f t="shared" si="525"/>
        <v>1.9968852787774823E-2</v>
      </c>
      <c r="BJ190" s="456">
        <f t="shared" si="481"/>
        <v>1.8483214028801689E-3</v>
      </c>
      <c r="BK190">
        <f t="shared" si="482"/>
        <v>4.015164445319421E-3</v>
      </c>
      <c r="BL190" s="144">
        <f t="shared" si="588"/>
        <v>23.984017233094246</v>
      </c>
      <c r="BM190" s="456">
        <f t="shared" si="526"/>
        <v>0.107155215139437</v>
      </c>
      <c r="BN190" s="144">
        <f t="shared" si="527"/>
        <v>107.155215139437</v>
      </c>
      <c r="BO190" s="456">
        <f t="shared" si="483"/>
        <v>0.67199999999999993</v>
      </c>
      <c r="BR190" s="144">
        <f t="shared" si="484"/>
        <v>671.99999999999989</v>
      </c>
      <c r="BS190" s="456">
        <f t="shared" si="485"/>
        <v>3.5587167476544092E-2</v>
      </c>
      <c r="BT190" s="456">
        <f t="shared" si="486"/>
        <v>6.0011934031737907E-2</v>
      </c>
      <c r="BU190" s="456">
        <f t="shared" si="487"/>
        <v>6.3729861727429116E-2</v>
      </c>
      <c r="BV190" s="456"/>
      <c r="BW190" s="456">
        <f t="shared" si="488"/>
        <v>8.5580751154489833E-4</v>
      </c>
      <c r="BX190" s="144">
        <f t="shared" si="489"/>
        <v>160.18477074725601</v>
      </c>
      <c r="BY190" s="150">
        <f t="shared" si="490"/>
        <v>0.95631427824100435</v>
      </c>
      <c r="BZ190" s="5">
        <f t="shared" si="491"/>
        <v>4.8</v>
      </c>
      <c r="CA190" s="150">
        <f t="shared" si="492"/>
        <v>0.8338669099677386</v>
      </c>
      <c r="CB190" s="5">
        <f t="shared" si="493"/>
        <v>83.386690996773865</v>
      </c>
      <c r="CE190" s="59">
        <f t="shared" si="528"/>
        <v>-50</v>
      </c>
      <c r="CF190">
        <f t="shared" si="529"/>
        <v>-50</v>
      </c>
      <c r="CG190" s="150">
        <f t="shared" si="530"/>
        <v>0.62005615234375</v>
      </c>
      <c r="CI190" s="147">
        <v>80</v>
      </c>
      <c r="CJ190" s="188">
        <f t="shared" si="589"/>
        <v>0.96</v>
      </c>
      <c r="CK190" s="188"/>
      <c r="CL190" s="188">
        <f t="shared" si="531"/>
        <v>4.8</v>
      </c>
      <c r="CM190" s="465">
        <f t="shared" si="532"/>
        <v>9</v>
      </c>
      <c r="CN190" s="379">
        <f t="shared" si="533"/>
        <v>5.4</v>
      </c>
      <c r="CO190" s="379">
        <f t="shared" si="534"/>
        <v>14.4</v>
      </c>
      <c r="CP190" s="379"/>
      <c r="CQ190" s="188">
        <f t="shared" si="535"/>
        <v>0.375</v>
      </c>
      <c r="CR190" s="149">
        <f t="shared" si="590"/>
        <v>8.4754687499999992</v>
      </c>
      <c r="CS190" s="149">
        <f t="shared" si="536"/>
        <v>4.8</v>
      </c>
      <c r="CT190" s="188">
        <f t="shared" si="537"/>
        <v>1.6950937499999998</v>
      </c>
      <c r="CU190" s="188">
        <f t="shared" si="538"/>
        <v>5</v>
      </c>
      <c r="CV190" s="188"/>
      <c r="CW190" s="149">
        <f t="shared" si="539"/>
        <v>14.67628560634882</v>
      </c>
      <c r="CX190" s="149">
        <f t="shared" si="540"/>
        <v>5</v>
      </c>
      <c r="CY190" s="188">
        <f t="shared" si="541"/>
        <v>2.8444444444444446</v>
      </c>
      <c r="CZ190" s="188">
        <f t="shared" si="542"/>
        <v>3.7925925925925927</v>
      </c>
      <c r="DA190" s="188">
        <f t="shared" si="543"/>
        <v>6.3209876543209873</v>
      </c>
      <c r="DB190" s="172">
        <f t="shared" si="544"/>
        <v>281.25</v>
      </c>
      <c r="DC190" s="379">
        <f t="shared" si="545"/>
        <v>98.876953125</v>
      </c>
      <c r="DE190" s="188">
        <f t="shared" si="546"/>
        <v>1</v>
      </c>
      <c r="DF190" s="150">
        <f t="shared" si="547"/>
        <v>2.2222222222222219</v>
      </c>
      <c r="DG190" s="150">
        <f t="shared" si="548"/>
        <v>0.31249999999999994</v>
      </c>
      <c r="DH190" s="150"/>
      <c r="DI190" s="150">
        <f t="shared" si="549"/>
        <v>2.2222222222222219</v>
      </c>
      <c r="DJ190" s="314">
        <f t="shared" si="550"/>
        <v>864</v>
      </c>
      <c r="DK190" s="456">
        <f t="shared" si="551"/>
        <v>0.31249999999999994</v>
      </c>
      <c r="DM190" s="150">
        <f t="shared" si="552"/>
        <v>1.5711688096991452</v>
      </c>
      <c r="DN190" s="150">
        <f t="shared" si="553"/>
        <v>2.8444444444444446</v>
      </c>
      <c r="DO190" s="150">
        <f t="shared" si="554"/>
        <v>2.5662551440329215</v>
      </c>
      <c r="DQ190" s="314">
        <f t="shared" si="555"/>
        <v>960</v>
      </c>
      <c r="DR190" s="144">
        <f t="shared" si="556"/>
        <v>98.876953125</v>
      </c>
      <c r="DT190">
        <f t="shared" si="591"/>
        <v>960</v>
      </c>
      <c r="DU190">
        <f t="shared" si="592"/>
        <v>98.876953125</v>
      </c>
      <c r="DW190" s="5">
        <f t="shared" si="557"/>
        <v>10.11358024691358</v>
      </c>
      <c r="DX190" s="5">
        <f t="shared" si="558"/>
        <v>3.7925925925925927</v>
      </c>
      <c r="DY190" s="5">
        <f t="shared" si="559"/>
        <v>6.3209876543209873</v>
      </c>
      <c r="DZ190" s="5"/>
      <c r="EA190" s="150">
        <f t="shared" si="560"/>
        <v>0.375</v>
      </c>
      <c r="EB190" s="150">
        <f t="shared" si="561"/>
        <v>4.8000000000000007</v>
      </c>
      <c r="EC190" s="150">
        <f t="shared" si="562"/>
        <v>0.88888888888888895</v>
      </c>
      <c r="ED190" s="150">
        <f t="shared" si="563"/>
        <v>5.4</v>
      </c>
      <c r="EE190" s="144">
        <f t="shared" si="564"/>
        <v>72.817777777777792</v>
      </c>
      <c r="EF190" s="5">
        <f t="shared" si="565"/>
        <v>1.4046639231824414</v>
      </c>
      <c r="EH190" s="150">
        <f t="shared" si="566"/>
        <v>1.0056629776875343</v>
      </c>
      <c r="EI190" s="150">
        <f t="shared" si="567"/>
        <v>1.2983053214937272</v>
      </c>
      <c r="EK190" s="456">
        <f t="shared" si="568"/>
        <v>2.0227160493827161E-2</v>
      </c>
      <c r="EL190" s="456">
        <f t="shared" si="569"/>
        <v>8.1000000000000003E-2</v>
      </c>
      <c r="EM190" s="456">
        <f t="shared" si="570"/>
        <v>1.2359619140624998E-2</v>
      </c>
      <c r="EN190" s="456">
        <f t="shared" si="571"/>
        <v>2.0503125000000001E-3</v>
      </c>
      <c r="EO190">
        <f t="shared" si="572"/>
        <v>4.0499999999999998E-3</v>
      </c>
      <c r="EP190" s="144">
        <f t="shared" si="573"/>
        <v>16.409619140624997</v>
      </c>
      <c r="EQ190" s="144"/>
      <c r="ER190" s="144">
        <f t="shared" si="593"/>
        <v>119.68709213445216</v>
      </c>
      <c r="ES190" s="456">
        <f t="shared" si="574"/>
        <v>0.67199999999999993</v>
      </c>
      <c r="EV190" s="144">
        <f t="shared" si="494"/>
        <v>671.99999999999989</v>
      </c>
      <c r="EW190" s="456">
        <f t="shared" si="575"/>
        <v>3.0340740740740741E-2</v>
      </c>
      <c r="EX190" s="456">
        <f t="shared" si="576"/>
        <v>5.0567901234567912E-2</v>
      </c>
      <c r="EY190" s="456">
        <f t="shared" si="577"/>
        <v>6.6328676578668075E-2</v>
      </c>
      <c r="EZ190" s="456"/>
      <c r="FA190" s="456">
        <f t="shared" si="578"/>
        <v>8.0000000000000004E-4</v>
      </c>
      <c r="FB190" s="144">
        <f t="shared" si="579"/>
        <v>148.03731855397672</v>
      </c>
      <c r="FC190" s="150">
        <f t="shared" si="580"/>
        <v>0.93972441068842882</v>
      </c>
      <c r="FD190" s="5">
        <f t="shared" si="581"/>
        <v>4.8</v>
      </c>
      <c r="FE190" s="150">
        <f t="shared" si="582"/>
        <v>0.8362770851962007</v>
      </c>
      <c r="FF190" s="5">
        <f t="shared" si="583"/>
        <v>83.627708519620072</v>
      </c>
      <c r="FI190" s="59">
        <f t="shared" si="584"/>
        <v>-50</v>
      </c>
      <c r="FJ190">
        <f t="shared" si="585"/>
        <v>-50</v>
      </c>
      <c r="FL190">
        <f t="shared" si="586"/>
        <v>0.625</v>
      </c>
    </row>
    <row r="191" spans="5:168">
      <c r="E191" s="147">
        <v>81</v>
      </c>
      <c r="F191" s="188">
        <f t="shared" si="587"/>
        <v>0.97199999999999998</v>
      </c>
      <c r="G191" s="188"/>
      <c r="H191" s="188">
        <f t="shared" si="495"/>
        <v>4.8599999999999994</v>
      </c>
      <c r="I191" s="465">
        <f t="shared" si="496"/>
        <v>8.9216277165354327</v>
      </c>
      <c r="J191" s="149">
        <f t="shared" si="497"/>
        <v>5.4470233700787407</v>
      </c>
      <c r="K191" s="149">
        <f t="shared" si="498"/>
        <v>14.368651086614173</v>
      </c>
      <c r="L191" s="379"/>
      <c r="M191" s="188">
        <f t="shared" si="499"/>
        <v>0.37907491997334603</v>
      </c>
      <c r="N191" s="149">
        <f t="shared" si="500"/>
        <v>8.4929603914617608</v>
      </c>
      <c r="O191" s="149">
        <f t="shared" si="438"/>
        <v>4.8599999999999994</v>
      </c>
      <c r="P191" s="188">
        <f t="shared" si="501"/>
        <v>1.6985920782923523</v>
      </c>
      <c r="Q191" s="188">
        <f t="shared" si="502"/>
        <v>5</v>
      </c>
      <c r="R191" s="188"/>
      <c r="S191" s="149">
        <f t="shared" si="503"/>
        <v>14.268236704178943</v>
      </c>
      <c r="T191" s="149">
        <f t="shared" si="504"/>
        <v>5</v>
      </c>
      <c r="U191" s="188">
        <f t="shared" si="505"/>
        <v>3.1308124966003166</v>
      </c>
      <c r="V191" s="188">
        <f t="shared" si="506"/>
        <v>4.2110869398385296</v>
      </c>
      <c r="W191" s="188">
        <f t="shared" si="507"/>
        <v>6.8972992048427182</v>
      </c>
      <c r="X191" s="172">
        <f t="shared" si="508"/>
        <v>281.8422456532416</v>
      </c>
      <c r="Y191" s="379">
        <f t="shared" si="509"/>
        <v>88.429948111591244</v>
      </c>
      <c r="AA191" s="188">
        <f t="shared" si="510"/>
        <v>1</v>
      </c>
      <c r="AB191" s="150">
        <f t="shared" si="511"/>
        <v>2.2030380970857726</v>
      </c>
      <c r="AC191" s="150">
        <f t="shared" si="512"/>
        <v>0.31045460227114907</v>
      </c>
      <c r="AD191" s="150"/>
      <c r="AE191" s="150">
        <f t="shared" si="513"/>
        <v>2.2030380970857726</v>
      </c>
      <c r="AF191" s="314">
        <f t="shared" si="514"/>
        <v>882.41778595275593</v>
      </c>
      <c r="AG191" s="456">
        <f t="shared" si="515"/>
        <v>0.31045460227114913</v>
      </c>
      <c r="AI191" s="150">
        <f t="shared" si="516"/>
        <v>1.5878267141444407</v>
      </c>
      <c r="AJ191" s="150">
        <f t="shared" si="517"/>
        <v>3.1308124966003166</v>
      </c>
      <c r="AK191" s="150">
        <f t="shared" si="518"/>
        <v>2.7783796271113457</v>
      </c>
      <c r="AM191" s="314">
        <f t="shared" si="519"/>
        <v>972</v>
      </c>
      <c r="AN191" s="144">
        <f t="shared" si="520"/>
        <v>88.429948111591244</v>
      </c>
      <c r="AP191">
        <f t="shared" si="521"/>
        <v>972</v>
      </c>
      <c r="AQ191">
        <f t="shared" si="522"/>
        <v>88.429948111591244</v>
      </c>
      <c r="AS191" s="5">
        <f t="shared" si="439"/>
        <v>11.308386144681247</v>
      </c>
      <c r="AT191" s="5">
        <f t="shared" si="523"/>
        <v>4.2110869398385296</v>
      </c>
      <c r="AU191" s="5">
        <f t="shared" si="478"/>
        <v>7.0972992048427175</v>
      </c>
      <c r="AV191" s="5"/>
      <c r="AW191" s="150">
        <f t="shared" si="479"/>
        <v>0.3723861995833207</v>
      </c>
      <c r="AX191" s="150">
        <f t="shared" si="435"/>
        <v>5.2007351518389449</v>
      </c>
      <c r="AY191" s="150">
        <f t="shared" si="436"/>
        <v>0.98247056469167837</v>
      </c>
      <c r="AZ191" s="150">
        <f t="shared" si="440"/>
        <v>5.2935277032661574</v>
      </c>
      <c r="BA191" s="144">
        <f t="shared" si="594"/>
        <v>81.863530110461014</v>
      </c>
      <c r="BB191" s="5">
        <f t="shared" si="595"/>
        <v>1.6109202654992245</v>
      </c>
      <c r="BD191" s="150">
        <f t="shared" si="441"/>
        <v>1.1030449742888024</v>
      </c>
      <c r="BE191" s="150">
        <f t="shared" si="437"/>
        <v>1.4319988644033383</v>
      </c>
      <c r="BG191" s="456">
        <f t="shared" si="480"/>
        <v>2.4334164306075698E-2</v>
      </c>
      <c r="BH191" s="456">
        <f t="shared" si="524"/>
        <v>7.4588813678366492E-2</v>
      </c>
      <c r="BI191" s="456">
        <f t="shared" si="525"/>
        <v>1.9723476901104063E-2</v>
      </c>
      <c r="BJ191" s="456">
        <f t="shared" si="481"/>
        <v>1.825708208115652E-3</v>
      </c>
      <c r="BK191">
        <f t="shared" si="482"/>
        <v>4.0147324724409449E-3</v>
      </c>
      <c r="BL191" s="144">
        <f t="shared" si="588"/>
        <v>23.738209373545008</v>
      </c>
      <c r="BM191" s="456">
        <f t="shared" si="526"/>
        <v>0.1079430152040765</v>
      </c>
      <c r="BN191" s="144">
        <f t="shared" si="527"/>
        <v>107.94301520407649</v>
      </c>
      <c r="BO191" s="456">
        <f t="shared" si="483"/>
        <v>0.68039999999999989</v>
      </c>
      <c r="BR191" s="144">
        <f t="shared" si="484"/>
        <v>680.39999999999986</v>
      </c>
      <c r="BS191" s="456">
        <f t="shared" si="485"/>
        <v>3.6501246459113547E-2</v>
      </c>
      <c r="BT191" s="456">
        <f t="shared" si="486"/>
        <v>6.1518622429573511E-2</v>
      </c>
      <c r="BU191" s="456">
        <f t="shared" si="487"/>
        <v>6.3769215811226534E-2</v>
      </c>
      <c r="BV191" s="456"/>
      <c r="BW191" s="456">
        <f t="shared" si="488"/>
        <v>8.667891919731575E-4</v>
      </c>
      <c r="BX191" s="144">
        <f t="shared" si="489"/>
        <v>162.65587389188676</v>
      </c>
      <c r="BY191" s="150">
        <f t="shared" si="490"/>
        <v>0.96754276945798945</v>
      </c>
      <c r="BZ191" s="5">
        <f t="shared" si="491"/>
        <v>4.8599999999999994</v>
      </c>
      <c r="CA191" s="150">
        <f t="shared" si="492"/>
        <v>0.83397071326033712</v>
      </c>
      <c r="CB191" s="5">
        <f t="shared" si="493"/>
        <v>83.397071326033711</v>
      </c>
      <c r="CE191" s="59">
        <f t="shared" si="528"/>
        <v>-50</v>
      </c>
      <c r="CF191">
        <f t="shared" si="529"/>
        <v>-50</v>
      </c>
      <c r="CG191" s="150">
        <f t="shared" si="530"/>
        <v>0.6201171875</v>
      </c>
      <c r="CI191" s="147">
        <v>81</v>
      </c>
      <c r="CJ191" s="188">
        <f t="shared" si="589"/>
        <v>0.97199999999999998</v>
      </c>
      <c r="CK191" s="188"/>
      <c r="CL191" s="188">
        <f t="shared" si="531"/>
        <v>4.8599999999999994</v>
      </c>
      <c r="CM191" s="465">
        <f t="shared" si="532"/>
        <v>9</v>
      </c>
      <c r="CN191" s="379">
        <f t="shared" si="533"/>
        <v>5.4</v>
      </c>
      <c r="CO191" s="379">
        <f t="shared" si="534"/>
        <v>14.4</v>
      </c>
      <c r="CP191" s="379"/>
      <c r="CQ191" s="188">
        <f t="shared" si="535"/>
        <v>0.375</v>
      </c>
      <c r="CR191" s="149">
        <f t="shared" si="590"/>
        <v>8.4754687499999992</v>
      </c>
      <c r="CS191" s="149">
        <f t="shared" si="536"/>
        <v>4.8599999999999994</v>
      </c>
      <c r="CT191" s="188">
        <f t="shared" si="537"/>
        <v>1.6950937499999998</v>
      </c>
      <c r="CU191" s="188">
        <f t="shared" si="538"/>
        <v>5</v>
      </c>
      <c r="CV191" s="188"/>
      <c r="CW191" s="149">
        <f t="shared" si="539"/>
        <v>14.391530667571413</v>
      </c>
      <c r="CX191" s="149">
        <f t="shared" si="540"/>
        <v>5</v>
      </c>
      <c r="CY191" s="188">
        <f t="shared" si="541"/>
        <v>2.8799999999999994</v>
      </c>
      <c r="CZ191" s="188">
        <f t="shared" si="542"/>
        <v>3.84</v>
      </c>
      <c r="DA191" s="188">
        <f t="shared" si="543"/>
        <v>6.3999999999999986</v>
      </c>
      <c r="DB191" s="172">
        <f t="shared" si="544"/>
        <v>281.25</v>
      </c>
      <c r="DC191" s="379">
        <f t="shared" si="545"/>
        <v>97.656250000000014</v>
      </c>
      <c r="DE191" s="188">
        <f t="shared" si="546"/>
        <v>1</v>
      </c>
      <c r="DF191" s="150">
        <f t="shared" si="547"/>
        <v>2.2222222222222219</v>
      </c>
      <c r="DG191" s="150">
        <f t="shared" si="548"/>
        <v>0.31249999999999994</v>
      </c>
      <c r="DH191" s="150"/>
      <c r="DI191" s="150">
        <f t="shared" si="549"/>
        <v>2.2222222222222219</v>
      </c>
      <c r="DJ191" s="314">
        <f t="shared" si="550"/>
        <v>874.8</v>
      </c>
      <c r="DK191" s="456">
        <f t="shared" si="551"/>
        <v>0.31249999999999994</v>
      </c>
      <c r="DM191" s="150">
        <f t="shared" si="552"/>
        <v>1.5809581181766237</v>
      </c>
      <c r="DN191" s="150">
        <f t="shared" si="553"/>
        <v>2.8799999999999994</v>
      </c>
      <c r="DO191" s="150">
        <f t="shared" si="554"/>
        <v>2.5925925925925921</v>
      </c>
      <c r="DQ191" s="314">
        <f t="shared" si="555"/>
        <v>972</v>
      </c>
      <c r="DR191" s="144">
        <f t="shared" si="556"/>
        <v>97.656250000000014</v>
      </c>
      <c r="DT191">
        <f t="shared" si="591"/>
        <v>972</v>
      </c>
      <c r="DU191">
        <f t="shared" si="592"/>
        <v>97.656250000000014</v>
      </c>
      <c r="DW191" s="5">
        <f t="shared" si="557"/>
        <v>10.239999999999998</v>
      </c>
      <c r="DX191" s="5">
        <f t="shared" si="558"/>
        <v>3.84</v>
      </c>
      <c r="DY191" s="5">
        <f t="shared" si="559"/>
        <v>6.3999999999999986</v>
      </c>
      <c r="DZ191" s="5"/>
      <c r="EA191" s="150">
        <f t="shared" si="560"/>
        <v>0.37500000000000006</v>
      </c>
      <c r="EB191" s="150">
        <f t="shared" si="561"/>
        <v>4.8599999999999985</v>
      </c>
      <c r="EC191" s="150">
        <f t="shared" si="562"/>
        <v>0.8999999999999998</v>
      </c>
      <c r="ED191" s="150">
        <f t="shared" si="563"/>
        <v>5.3999999999999995</v>
      </c>
      <c r="EE191" s="144">
        <f t="shared" si="564"/>
        <v>74.649599999999992</v>
      </c>
      <c r="EF191" s="5">
        <f t="shared" si="565"/>
        <v>1.4399999999999993</v>
      </c>
      <c r="EH191" s="150">
        <f t="shared" si="566"/>
        <v>1.0182337649086284</v>
      </c>
      <c r="EI191" s="150">
        <f t="shared" si="567"/>
        <v>1.3145341380123985</v>
      </c>
      <c r="EK191" s="456">
        <f t="shared" si="568"/>
        <v>2.0736000000000001E-2</v>
      </c>
      <c r="EL191" s="456">
        <f t="shared" si="569"/>
        <v>8.1000000000000003E-2</v>
      </c>
      <c r="EM191" s="456">
        <f t="shared" si="570"/>
        <v>1.220703125E-2</v>
      </c>
      <c r="EN191" s="456">
        <f t="shared" si="571"/>
        <v>2.0250000000000003E-3</v>
      </c>
      <c r="EO191">
        <f t="shared" si="572"/>
        <v>4.0499999999999998E-3</v>
      </c>
      <c r="EP191" s="144">
        <f t="shared" si="573"/>
        <v>16.257031249999997</v>
      </c>
      <c r="EQ191" s="144"/>
      <c r="ER191" s="144">
        <f t="shared" si="593"/>
        <v>120.01803125000001</v>
      </c>
      <c r="ES191" s="456">
        <f t="shared" si="574"/>
        <v>0.68039999999999989</v>
      </c>
      <c r="EV191" s="144">
        <f t="shared" si="494"/>
        <v>680.39999999999986</v>
      </c>
      <c r="EW191" s="456">
        <f t="shared" si="575"/>
        <v>3.1103999999999996E-2</v>
      </c>
      <c r="EX191" s="456">
        <f t="shared" si="576"/>
        <v>5.1839999999999983E-2</v>
      </c>
      <c r="EY191" s="456">
        <f t="shared" si="577"/>
        <v>6.6328676578668089E-2</v>
      </c>
      <c r="EZ191" s="456"/>
      <c r="FA191" s="456">
        <f t="shared" si="578"/>
        <v>8.0999999999999974E-4</v>
      </c>
      <c r="FB191" s="144">
        <f t="shared" si="579"/>
        <v>150.08267657866804</v>
      </c>
      <c r="FC191" s="150">
        <f t="shared" si="580"/>
        <v>0.95050070782866802</v>
      </c>
      <c r="FD191" s="5">
        <f t="shared" si="581"/>
        <v>4.8599999999999994</v>
      </c>
      <c r="FE191" s="150">
        <f t="shared" si="582"/>
        <v>0.83641672970661041</v>
      </c>
      <c r="FF191" s="5">
        <f t="shared" si="583"/>
        <v>83.641672970661034</v>
      </c>
      <c r="FI191" s="59">
        <f t="shared" si="584"/>
        <v>-50</v>
      </c>
      <c r="FJ191">
        <f t="shared" si="585"/>
        <v>-50</v>
      </c>
      <c r="FL191">
        <f t="shared" si="586"/>
        <v>0.625</v>
      </c>
    </row>
    <row r="192" spans="5:168">
      <c r="E192" s="147">
        <v>82</v>
      </c>
      <c r="F192" s="188">
        <f t="shared" si="587"/>
        <v>0.98399999999999987</v>
      </c>
      <c r="G192" s="188"/>
      <c r="H192" s="188">
        <f t="shared" si="495"/>
        <v>4.919999999999999</v>
      </c>
      <c r="I192" s="465">
        <f t="shared" si="496"/>
        <v>8.920667775324052</v>
      </c>
      <c r="J192" s="149">
        <f t="shared" si="497"/>
        <v>5.4475993348055693</v>
      </c>
      <c r="K192" s="149">
        <f t="shared" si="498"/>
        <v>14.368267110129622</v>
      </c>
      <c r="L192" s="379"/>
      <c r="M192" s="188">
        <f t="shared" si="499"/>
        <v>0.37912513903773692</v>
      </c>
      <c r="N192" s="149">
        <f t="shared" si="500"/>
        <v>8.4931715824425549</v>
      </c>
      <c r="O192" s="149">
        <f t="shared" si="438"/>
        <v>4.919999999999999</v>
      </c>
      <c r="P192" s="188">
        <f t="shared" si="501"/>
        <v>1.6986343164885109</v>
      </c>
      <c r="Q192" s="188">
        <f t="shared" si="502"/>
        <v>5</v>
      </c>
      <c r="R192" s="188"/>
      <c r="S192" s="149">
        <f t="shared" si="503"/>
        <v>13.991571878148362</v>
      </c>
      <c r="T192" s="149">
        <f t="shared" si="504"/>
        <v>5</v>
      </c>
      <c r="U192" s="188">
        <f t="shared" si="505"/>
        <v>3.1697208628319955</v>
      </c>
      <c r="V192" s="188">
        <f t="shared" si="506"/>
        <v>4.2638792646442027</v>
      </c>
      <c r="W192" s="188">
        <f t="shared" si="507"/>
        <v>6.9822775164395452</v>
      </c>
      <c r="X192" s="172">
        <f t="shared" si="508"/>
        <v>281.84925077369786</v>
      </c>
      <c r="Y192" s="379">
        <f t="shared" si="509"/>
        <v>87.365568996279109</v>
      </c>
      <c r="AA192" s="188">
        <f t="shared" si="510"/>
        <v>1</v>
      </c>
      <c r="AB192" s="150">
        <f t="shared" si="511"/>
        <v>2.2028051738919405</v>
      </c>
      <c r="AC192" s="150">
        <f t="shared" si="512"/>
        <v>0.31042949393093433</v>
      </c>
      <c r="AD192" s="150"/>
      <c r="AE192" s="150">
        <f t="shared" si="513"/>
        <v>2.2028051738919405</v>
      </c>
      <c r="AF192" s="314">
        <f t="shared" si="514"/>
        <v>893.40629090811308</v>
      </c>
      <c r="AG192" s="456">
        <f t="shared" si="515"/>
        <v>0.31042949393093433</v>
      </c>
      <c r="AI192" s="150">
        <f t="shared" si="516"/>
        <v>1.5976825099482717</v>
      </c>
      <c r="AJ192" s="150">
        <f t="shared" si="517"/>
        <v>3.1697208628319955</v>
      </c>
      <c r="AK192" s="150">
        <f t="shared" si="518"/>
        <v>2.8072006391348117</v>
      </c>
      <c r="AM192" s="314">
        <f t="shared" si="519"/>
        <v>983.99999999999989</v>
      </c>
      <c r="AN192" s="144">
        <f t="shared" si="520"/>
        <v>87.365568996279109</v>
      </c>
      <c r="AP192">
        <f t="shared" si="521"/>
        <v>983.99999999999989</v>
      </c>
      <c r="AQ192">
        <f t="shared" si="522"/>
        <v>87.365568996279109</v>
      </c>
      <c r="AS192" s="5">
        <f t="shared" si="439"/>
        <v>11.446156781083745</v>
      </c>
      <c r="AT192" s="5">
        <f t="shared" si="523"/>
        <v>4.2638792646442027</v>
      </c>
      <c r="AU192" s="5">
        <f t="shared" si="478"/>
        <v>7.1822775164395427</v>
      </c>
      <c r="AV192" s="5"/>
      <c r="AW192" s="150">
        <f t="shared" si="479"/>
        <v>0.37251623808707696</v>
      </c>
      <c r="AX192" s="150">
        <f t="shared" si="435"/>
        <v>5.2666395579396186</v>
      </c>
      <c r="AY192" s="150">
        <f t="shared" si="436"/>
        <v>0.9944741856118483</v>
      </c>
      <c r="AZ192" s="150">
        <f t="shared" si="440"/>
        <v>5.2959037390189563</v>
      </c>
      <c r="BA192" s="144">
        <f t="shared" si="594"/>
        <v>83.913143928197897</v>
      </c>
      <c r="BB192" s="5">
        <f t="shared" si="595"/>
        <v>1.6505119660917096</v>
      </c>
      <c r="BD192" s="150">
        <f t="shared" si="441"/>
        <v>1.1169481039733435</v>
      </c>
      <c r="BE192" s="150">
        <f t="shared" si="437"/>
        <v>1.4496449159895983</v>
      </c>
      <c r="BG192" s="456">
        <f t="shared" si="480"/>
        <v>2.4951461339392939E-2</v>
      </c>
      <c r="BH192" s="456">
        <f t="shared" si="524"/>
        <v>7.4604838264884343E-2</v>
      </c>
      <c r="BI192" s="456">
        <f t="shared" si="525"/>
        <v>1.9483980400448929E-2</v>
      </c>
      <c r="BJ192" s="456">
        <f t="shared" si="481"/>
        <v>1.803636833711846E-3</v>
      </c>
      <c r="BK192">
        <f t="shared" si="482"/>
        <v>4.0143004988958233E-3</v>
      </c>
      <c r="BL192" s="144">
        <f t="shared" si="588"/>
        <v>23.498280899344753</v>
      </c>
      <c r="BM192" s="456">
        <f t="shared" si="526"/>
        <v>0.10874150142565442</v>
      </c>
      <c r="BN192" s="144">
        <f t="shared" si="527"/>
        <v>108.74150142565442</v>
      </c>
      <c r="BO192" s="456">
        <f t="shared" si="483"/>
        <v>0.68879999999999986</v>
      </c>
      <c r="BR192" s="144">
        <f t="shared" si="484"/>
        <v>688.79999999999984</v>
      </c>
      <c r="BS192" s="456">
        <f t="shared" si="485"/>
        <v>3.7427192009089408E-2</v>
      </c>
      <c r="BT192" s="456">
        <f t="shared" si="486"/>
        <v>6.3044111473634687E-2</v>
      </c>
      <c r="BU192" s="456">
        <f t="shared" si="487"/>
        <v>6.3807734400663521E-2</v>
      </c>
      <c r="BV192" s="456"/>
      <c r="BW192" s="456">
        <f t="shared" si="488"/>
        <v>8.7777325965660295E-4</v>
      </c>
      <c r="BX192" s="144">
        <f t="shared" si="489"/>
        <v>165.15681114304419</v>
      </c>
      <c r="BY192" s="150">
        <f t="shared" si="490"/>
        <v>0.97881502848037805</v>
      </c>
      <c r="BZ192" s="5">
        <f t="shared" si="491"/>
        <v>4.919999999999999</v>
      </c>
      <c r="CA192" s="150">
        <f t="shared" si="492"/>
        <v>0.83406582105821081</v>
      </c>
      <c r="CB192" s="5">
        <f t="shared" si="493"/>
        <v>83.406582105821087</v>
      </c>
      <c r="CE192" s="59">
        <f t="shared" si="528"/>
        <v>-50</v>
      </c>
      <c r="CF192">
        <f t="shared" si="529"/>
        <v>-50</v>
      </c>
      <c r="CG192" s="150">
        <f t="shared" si="530"/>
        <v>0.62017673399390238</v>
      </c>
      <c r="CI192" s="147">
        <v>82</v>
      </c>
      <c r="CJ192" s="188">
        <f t="shared" si="589"/>
        <v>0.98399999999999987</v>
      </c>
      <c r="CK192" s="188"/>
      <c r="CL192" s="188">
        <f t="shared" si="531"/>
        <v>4.919999999999999</v>
      </c>
      <c r="CM192" s="465">
        <f t="shared" si="532"/>
        <v>9</v>
      </c>
      <c r="CN192" s="379">
        <f t="shared" si="533"/>
        <v>5.4</v>
      </c>
      <c r="CO192" s="379">
        <f t="shared" si="534"/>
        <v>14.4</v>
      </c>
      <c r="CP192" s="379"/>
      <c r="CQ192" s="188">
        <f t="shared" si="535"/>
        <v>0.375</v>
      </c>
      <c r="CR192" s="149">
        <f t="shared" si="590"/>
        <v>8.4754687499999992</v>
      </c>
      <c r="CS192" s="149">
        <f t="shared" si="536"/>
        <v>4.919999999999999</v>
      </c>
      <c r="CT192" s="188">
        <f t="shared" si="537"/>
        <v>1.6950937499999998</v>
      </c>
      <c r="CU192" s="188">
        <f t="shared" si="538"/>
        <v>5</v>
      </c>
      <c r="CV192" s="188"/>
      <c r="CW192" s="149">
        <f t="shared" si="539"/>
        <v>14.113891884848455</v>
      </c>
      <c r="CX192" s="149">
        <f t="shared" si="540"/>
        <v>5</v>
      </c>
      <c r="CY192" s="188">
        <f t="shared" si="541"/>
        <v>2.9155555555555548</v>
      </c>
      <c r="CZ192" s="188">
        <f t="shared" si="542"/>
        <v>3.8874074074074065</v>
      </c>
      <c r="DA192" s="188">
        <f t="shared" si="543"/>
        <v>6.4790123456790107</v>
      </c>
      <c r="DB192" s="172">
        <f t="shared" si="544"/>
        <v>281.25</v>
      </c>
      <c r="DC192" s="379">
        <f t="shared" si="545"/>
        <v>96.465320121951251</v>
      </c>
      <c r="DE192" s="188">
        <f t="shared" si="546"/>
        <v>1</v>
      </c>
      <c r="DF192" s="150">
        <f t="shared" si="547"/>
        <v>2.2222222222222219</v>
      </c>
      <c r="DG192" s="150">
        <f t="shared" si="548"/>
        <v>0.31249999999999994</v>
      </c>
      <c r="DH192" s="150"/>
      <c r="DI192" s="150">
        <f t="shared" si="549"/>
        <v>2.2222222222222219</v>
      </c>
      <c r="DJ192" s="314">
        <f t="shared" si="550"/>
        <v>885.6</v>
      </c>
      <c r="DK192" s="456">
        <f t="shared" si="551"/>
        <v>0.31249999999999994</v>
      </c>
      <c r="DM192" s="150">
        <f t="shared" si="552"/>
        <v>1.5906871830393663</v>
      </c>
      <c r="DN192" s="150">
        <f t="shared" si="553"/>
        <v>2.9155555555555548</v>
      </c>
      <c r="DO192" s="150">
        <f t="shared" si="554"/>
        <v>2.6189300411522627</v>
      </c>
      <c r="DQ192" s="314">
        <f t="shared" si="555"/>
        <v>983.99999999999989</v>
      </c>
      <c r="DR192" s="144">
        <f t="shared" si="556"/>
        <v>96.465320121951251</v>
      </c>
      <c r="DT192">
        <f t="shared" si="591"/>
        <v>983.99999999999989</v>
      </c>
      <c r="DU192">
        <f t="shared" si="592"/>
        <v>96.465320121951251</v>
      </c>
      <c r="DW192" s="5">
        <f t="shared" si="557"/>
        <v>10.366419753086417</v>
      </c>
      <c r="DX192" s="5">
        <f t="shared" si="558"/>
        <v>3.8874074074074065</v>
      </c>
      <c r="DY192" s="5">
        <f t="shared" si="559"/>
        <v>6.4790123456790099</v>
      </c>
      <c r="DZ192" s="5"/>
      <c r="EA192" s="150">
        <f t="shared" si="560"/>
        <v>0.375</v>
      </c>
      <c r="EB192" s="150">
        <f t="shared" si="561"/>
        <v>4.92</v>
      </c>
      <c r="EC192" s="150">
        <f t="shared" si="562"/>
        <v>0.91111111111111087</v>
      </c>
      <c r="ED192" s="150">
        <f t="shared" si="563"/>
        <v>5.4000000000000012</v>
      </c>
      <c r="EE192" s="144">
        <f t="shared" si="564"/>
        <v>76.504177777777755</v>
      </c>
      <c r="EF192" s="5">
        <f t="shared" si="565"/>
        <v>1.4757750342935516</v>
      </c>
      <c r="EH192" s="150">
        <f t="shared" si="566"/>
        <v>1.0308045521297224</v>
      </c>
      <c r="EI192" s="150">
        <f t="shared" si="567"/>
        <v>1.33076295453107</v>
      </c>
      <c r="EK192" s="456">
        <f t="shared" si="568"/>
        <v>2.1251160493827154E-2</v>
      </c>
      <c r="EL192" s="456">
        <f t="shared" si="569"/>
        <v>8.1000000000000003E-2</v>
      </c>
      <c r="EM192" s="456">
        <f t="shared" si="570"/>
        <v>1.2058165015243906E-2</v>
      </c>
      <c r="EN192" s="456">
        <f t="shared" si="571"/>
        <v>2.0003048780487813E-3</v>
      </c>
      <c r="EO192">
        <f t="shared" si="572"/>
        <v>4.0499999999999998E-3</v>
      </c>
      <c r="EP192" s="144">
        <f t="shared" si="573"/>
        <v>16.108165015243905</v>
      </c>
      <c r="EQ192" s="144"/>
      <c r="ER192" s="144">
        <f t="shared" si="593"/>
        <v>120.35963038711984</v>
      </c>
      <c r="ES192" s="456">
        <f t="shared" si="574"/>
        <v>0.68879999999999986</v>
      </c>
      <c r="EV192" s="144">
        <f t="shared" si="494"/>
        <v>688.79999999999984</v>
      </c>
      <c r="EW192" s="456">
        <f t="shared" si="575"/>
        <v>3.1876740740740733E-2</v>
      </c>
      <c r="EX192" s="456">
        <f t="shared" si="576"/>
        <v>5.3127901234567877E-2</v>
      </c>
      <c r="EY192" s="456">
        <f t="shared" si="577"/>
        <v>6.6328676578668075E-2</v>
      </c>
      <c r="EZ192" s="456"/>
      <c r="FA192" s="456">
        <f t="shared" si="578"/>
        <v>8.1999999999999987E-4</v>
      </c>
      <c r="FB192" s="144">
        <f t="shared" si="579"/>
        <v>152.15331855397667</v>
      </c>
      <c r="FC192" s="150">
        <f t="shared" si="580"/>
        <v>0.96131294894109642</v>
      </c>
      <c r="FD192" s="5">
        <f t="shared" si="581"/>
        <v>4.919999999999999</v>
      </c>
      <c r="FE192" s="150">
        <f t="shared" si="582"/>
        <v>0.83654790056458794</v>
      </c>
      <c r="FF192" s="5">
        <f t="shared" si="583"/>
        <v>83.654790056458793</v>
      </c>
      <c r="FI192" s="59">
        <f t="shared" si="584"/>
        <v>-50</v>
      </c>
      <c r="FJ192">
        <f t="shared" si="585"/>
        <v>-50</v>
      </c>
      <c r="FL192">
        <f t="shared" si="586"/>
        <v>0.625</v>
      </c>
    </row>
    <row r="193" spans="5:168">
      <c r="E193" s="147">
        <v>83</v>
      </c>
      <c r="F193" s="188">
        <f t="shared" si="587"/>
        <v>0.99599999999999989</v>
      </c>
      <c r="G193" s="188"/>
      <c r="H193" s="188">
        <f t="shared" si="495"/>
        <v>4.9799999999999995</v>
      </c>
      <c r="I193" s="465">
        <f t="shared" si="496"/>
        <v>8.9197078326851944</v>
      </c>
      <c r="J193" s="149">
        <f t="shared" si="497"/>
        <v>5.4481753003888835</v>
      </c>
      <c r="K193" s="149">
        <f t="shared" si="498"/>
        <v>14.367883133074077</v>
      </c>
      <c r="L193" s="379"/>
      <c r="M193" s="188">
        <f t="shared" si="499"/>
        <v>0.37917536082379527</v>
      </c>
      <c r="N193" s="149">
        <f t="shared" si="500"/>
        <v>8.4933825909069931</v>
      </c>
      <c r="O193" s="149">
        <f t="shared" si="438"/>
        <v>4.9799999999999995</v>
      </c>
      <c r="P193" s="188">
        <f t="shared" si="501"/>
        <v>1.6986765181813985</v>
      </c>
      <c r="Q193" s="188">
        <f t="shared" si="502"/>
        <v>5</v>
      </c>
      <c r="R193" s="188"/>
      <c r="S193" s="149">
        <f t="shared" si="503"/>
        <v>13.721768348658026</v>
      </c>
      <c r="T193" s="149">
        <f t="shared" si="504"/>
        <v>5</v>
      </c>
      <c r="U193" s="188">
        <f t="shared" si="505"/>
        <v>3.2086355377957592</v>
      </c>
      <c r="V193" s="188">
        <f t="shared" si="506"/>
        <v>4.3166914405488939</v>
      </c>
      <c r="W193" s="188">
        <f t="shared" si="507"/>
        <v>7.0672517550602265</v>
      </c>
      <c r="X193" s="172">
        <f t="shared" si="508"/>
        <v>281.85624986545577</v>
      </c>
      <c r="Y193" s="379">
        <f t="shared" si="509"/>
        <v>86.326390169027135</v>
      </c>
      <c r="AA193" s="188">
        <f t="shared" si="510"/>
        <v>0.99999999999999978</v>
      </c>
      <c r="AB193" s="150">
        <f t="shared" si="511"/>
        <v>2.2025722995997303</v>
      </c>
      <c r="AC193" s="150">
        <f t="shared" si="512"/>
        <v>0.31040438421135652</v>
      </c>
      <c r="AD193" s="150"/>
      <c r="AE193" s="150">
        <f t="shared" si="513"/>
        <v>2.2025722995997312</v>
      </c>
      <c r="AF193" s="314">
        <f t="shared" si="514"/>
        <v>904.39709986455443</v>
      </c>
      <c r="AG193" s="456">
        <f t="shared" si="515"/>
        <v>0.31040438421135669</v>
      </c>
      <c r="AI193" s="150">
        <f t="shared" si="516"/>
        <v>1.6074799264372563</v>
      </c>
      <c r="AJ193" s="150">
        <f t="shared" si="517"/>
        <v>3.2086355377957592</v>
      </c>
      <c r="AK193" s="150">
        <f t="shared" si="518"/>
        <v>2.8360263242931549</v>
      </c>
      <c r="AM193" s="314">
        <f t="shared" si="519"/>
        <v>995.99999999999989</v>
      </c>
      <c r="AN193" s="144">
        <f t="shared" si="520"/>
        <v>86.326390169027135</v>
      </c>
      <c r="AP193">
        <f t="shared" si="521"/>
        <v>995.99999999999989</v>
      </c>
      <c r="AQ193">
        <f t="shared" si="522"/>
        <v>86.326390169027135</v>
      </c>
      <c r="AS193" s="5">
        <f t="shared" si="439"/>
        <v>11.58394319560912</v>
      </c>
      <c r="AT193" s="5">
        <f t="shared" si="523"/>
        <v>4.3166914405488939</v>
      </c>
      <c r="AU193" s="5">
        <f t="shared" si="478"/>
        <v>7.2672517550602258</v>
      </c>
      <c r="AV193" s="5"/>
      <c r="AW193" s="150">
        <f t="shared" si="479"/>
        <v>0.37264438953612367</v>
      </c>
      <c r="AX193" s="150">
        <f t="shared" si="435"/>
        <v>5.3325582699550784</v>
      </c>
      <c r="AY193" s="150">
        <f t="shared" si="436"/>
        <v>1.0064777532849734</v>
      </c>
      <c r="AZ193" s="150">
        <f t="shared" si="440"/>
        <v>5.2982375939761299</v>
      </c>
      <c r="BA193" s="144">
        <f t="shared" si="594"/>
        <v>85.988493495733948</v>
      </c>
      <c r="BB193" s="5">
        <f t="shared" si="595"/>
        <v>1.6905875926218996</v>
      </c>
      <c r="BD193" s="150">
        <f t="shared" si="441"/>
        <v>1.1308553458958821</v>
      </c>
      <c r="BE193" s="150">
        <f t="shared" si="437"/>
        <v>1.4672923560515578</v>
      </c>
      <c r="BG193" s="456">
        <f t="shared" si="480"/>
        <v>2.5576676266825901E-2</v>
      </c>
      <c r="BH193" s="456">
        <f t="shared" si="524"/>
        <v>7.4620478393886414E-2</v>
      </c>
      <c r="BI193" s="456">
        <f t="shared" si="525"/>
        <v>1.9250154463952736E-2</v>
      </c>
      <c r="BJ193" s="456">
        <f t="shared" si="481"/>
        <v>1.782088035479351E-3</v>
      </c>
      <c r="BK193">
        <f t="shared" si="482"/>
        <v>4.013868524708337E-3</v>
      </c>
      <c r="BL193" s="144">
        <f t="shared" si="588"/>
        <v>23.264022988661072</v>
      </c>
      <c r="BM193" s="456">
        <f t="shared" si="526"/>
        <v>0.10955068681470349</v>
      </c>
      <c r="BN193" s="144">
        <f t="shared" si="527"/>
        <v>109.5506868147035</v>
      </c>
      <c r="BO193" s="456">
        <f t="shared" si="483"/>
        <v>0.69719999999999993</v>
      </c>
      <c r="BR193" s="144">
        <f t="shared" si="484"/>
        <v>697.19999999999993</v>
      </c>
      <c r="BS193" s="456">
        <f t="shared" si="485"/>
        <v>3.8365014400238852E-2</v>
      </c>
      <c r="BT193" s="456">
        <f t="shared" si="486"/>
        <v>6.4588405743819938E-2</v>
      </c>
      <c r="BU193" s="456">
        <f t="shared" si="487"/>
        <v>6.384544665290369E-2</v>
      </c>
      <c r="BV193" s="456"/>
      <c r="BW193" s="456">
        <f t="shared" si="488"/>
        <v>8.8875971165917997E-4</v>
      </c>
      <c r="BX193" s="144">
        <f t="shared" si="489"/>
        <v>167.68762650862169</v>
      </c>
      <c r="BY193" s="150">
        <f t="shared" si="490"/>
        <v>0.99013089219347439</v>
      </c>
      <c r="BZ193" s="5">
        <f t="shared" si="491"/>
        <v>4.9799999999999995</v>
      </c>
      <c r="CA193" s="150">
        <f t="shared" si="492"/>
        <v>0.83415256548425654</v>
      </c>
      <c r="CB193" s="5">
        <f t="shared" si="493"/>
        <v>83.41525654842566</v>
      </c>
      <c r="CE193" s="59">
        <f t="shared" si="528"/>
        <v>-50</v>
      </c>
      <c r="CF193">
        <f t="shared" si="529"/>
        <v>-50</v>
      </c>
      <c r="CG193" s="150">
        <f t="shared" si="530"/>
        <v>0.62023484563253017</v>
      </c>
      <c r="CI193" s="147">
        <v>83</v>
      </c>
      <c r="CJ193" s="188">
        <f t="shared" si="589"/>
        <v>0.99599999999999989</v>
      </c>
      <c r="CK193" s="188"/>
      <c r="CL193" s="188">
        <f t="shared" si="531"/>
        <v>4.9799999999999995</v>
      </c>
      <c r="CM193" s="465">
        <f t="shared" si="532"/>
        <v>9</v>
      </c>
      <c r="CN193" s="379">
        <f t="shared" si="533"/>
        <v>5.4</v>
      </c>
      <c r="CO193" s="379">
        <f t="shared" si="534"/>
        <v>14.4</v>
      </c>
      <c r="CP193" s="379"/>
      <c r="CQ193" s="188">
        <f t="shared" si="535"/>
        <v>0.375</v>
      </c>
      <c r="CR193" s="149">
        <f t="shared" si="590"/>
        <v>8.4754687499999992</v>
      </c>
      <c r="CS193" s="149">
        <f t="shared" si="536"/>
        <v>4.9799999999999995</v>
      </c>
      <c r="CT193" s="188">
        <f t="shared" si="537"/>
        <v>1.6950937499999998</v>
      </c>
      <c r="CU193" s="188">
        <f t="shared" si="538"/>
        <v>5</v>
      </c>
      <c r="CV193" s="188"/>
      <c r="CW193" s="149">
        <f t="shared" si="539"/>
        <v>13.843115142152946</v>
      </c>
      <c r="CX193" s="149">
        <f t="shared" si="540"/>
        <v>5</v>
      </c>
      <c r="CY193" s="188">
        <f t="shared" si="541"/>
        <v>2.951111111111111</v>
      </c>
      <c r="CZ193" s="188">
        <f t="shared" si="542"/>
        <v>3.934814814814815</v>
      </c>
      <c r="DA193" s="188">
        <f t="shared" si="543"/>
        <v>6.5580246913580247</v>
      </c>
      <c r="DB193" s="172">
        <f t="shared" si="544"/>
        <v>281.25</v>
      </c>
      <c r="DC193" s="379">
        <f t="shared" si="545"/>
        <v>95.3030873493976</v>
      </c>
      <c r="DE193" s="188">
        <f t="shared" si="546"/>
        <v>1</v>
      </c>
      <c r="DF193" s="150">
        <f t="shared" si="547"/>
        <v>2.2222222222222219</v>
      </c>
      <c r="DG193" s="150">
        <f t="shared" si="548"/>
        <v>0.31249999999999994</v>
      </c>
      <c r="DH193" s="150"/>
      <c r="DI193" s="150">
        <f t="shared" si="549"/>
        <v>2.2222222222222219</v>
      </c>
      <c r="DJ193" s="314">
        <f t="shared" si="550"/>
        <v>896.4</v>
      </c>
      <c r="DK193" s="456">
        <f t="shared" si="551"/>
        <v>0.31249999999999994</v>
      </c>
      <c r="DM193" s="150">
        <f t="shared" si="552"/>
        <v>1.6003571030063439</v>
      </c>
      <c r="DN193" s="150">
        <f t="shared" si="553"/>
        <v>2.951111111111111</v>
      </c>
      <c r="DO193" s="150">
        <f t="shared" si="554"/>
        <v>2.6452674897119342</v>
      </c>
      <c r="DQ193" s="314">
        <f t="shared" si="555"/>
        <v>995.99999999999989</v>
      </c>
      <c r="DR193" s="144">
        <f t="shared" si="556"/>
        <v>95.3030873493976</v>
      </c>
      <c r="DT193">
        <f t="shared" si="591"/>
        <v>995.99999999999989</v>
      </c>
      <c r="DU193">
        <f t="shared" si="592"/>
        <v>95.3030873493976</v>
      </c>
      <c r="DW193" s="5">
        <f t="shared" si="557"/>
        <v>10.492839506172839</v>
      </c>
      <c r="DX193" s="5">
        <f t="shared" si="558"/>
        <v>3.934814814814815</v>
      </c>
      <c r="DY193" s="5">
        <f t="shared" si="559"/>
        <v>6.5580246913580238</v>
      </c>
      <c r="DZ193" s="5"/>
      <c r="EA193" s="150">
        <f t="shared" si="560"/>
        <v>0.37500000000000006</v>
      </c>
      <c r="EB193" s="150">
        <f t="shared" si="561"/>
        <v>4.9800000000000013</v>
      </c>
      <c r="EC193" s="150">
        <f t="shared" si="562"/>
        <v>0.92222222222222217</v>
      </c>
      <c r="ED193" s="150">
        <f t="shared" si="563"/>
        <v>5.4000000000000021</v>
      </c>
      <c r="EE193" s="144">
        <f t="shared" si="564"/>
        <v>78.381511111111109</v>
      </c>
      <c r="EF193" s="5">
        <f t="shared" si="565"/>
        <v>1.5119890260630995</v>
      </c>
      <c r="EH193" s="150">
        <f t="shared" si="566"/>
        <v>1.0433753393508167</v>
      </c>
      <c r="EI193" s="150">
        <f t="shared" si="567"/>
        <v>1.3469917710497419</v>
      </c>
      <c r="EK193" s="456">
        <f t="shared" si="568"/>
        <v>2.1772641975308638E-2</v>
      </c>
      <c r="EL193" s="456">
        <f t="shared" si="569"/>
        <v>8.1000000000000016E-2</v>
      </c>
      <c r="EM193" s="456">
        <f t="shared" si="570"/>
        <v>1.1912885918674699E-2</v>
      </c>
      <c r="EN193" s="456">
        <f t="shared" si="571"/>
        <v>1.9762048192771085E-3</v>
      </c>
      <c r="EO193">
        <f t="shared" si="572"/>
        <v>4.0499999999999998E-3</v>
      </c>
      <c r="EP193" s="144">
        <f t="shared" si="573"/>
        <v>15.962885918674699</v>
      </c>
      <c r="EQ193" s="144"/>
      <c r="ER193" s="144">
        <f t="shared" si="593"/>
        <v>120.71173271326046</v>
      </c>
      <c r="ES193" s="456">
        <f t="shared" si="574"/>
        <v>0.69719999999999993</v>
      </c>
      <c r="EV193" s="144">
        <f t="shared" si="494"/>
        <v>697.19999999999993</v>
      </c>
      <c r="EW193" s="456">
        <f t="shared" si="575"/>
        <v>3.2658962962962952E-2</v>
      </c>
      <c r="EX193" s="456">
        <f t="shared" si="576"/>
        <v>5.4431604938271608E-2</v>
      </c>
      <c r="EY193" s="456">
        <f t="shared" si="577"/>
        <v>6.6328676578668103E-2</v>
      </c>
      <c r="EZ193" s="456"/>
      <c r="FA193" s="456">
        <f t="shared" si="578"/>
        <v>8.3000000000000012E-4</v>
      </c>
      <c r="FB193" s="144">
        <f t="shared" si="579"/>
        <v>154.24924447990267</v>
      </c>
      <c r="FC193" s="150">
        <f t="shared" si="580"/>
        <v>0.97216097719316308</v>
      </c>
      <c r="FD193" s="5">
        <f t="shared" si="581"/>
        <v>4.9799999999999995</v>
      </c>
      <c r="FE193" s="150">
        <f t="shared" si="582"/>
        <v>0.8366709198695762</v>
      </c>
      <c r="FF193" s="5">
        <f t="shared" si="583"/>
        <v>83.667091986957615</v>
      </c>
      <c r="FI193" s="59">
        <f t="shared" si="584"/>
        <v>-50</v>
      </c>
      <c r="FJ193">
        <f t="shared" si="585"/>
        <v>-50</v>
      </c>
      <c r="FL193">
        <f t="shared" si="586"/>
        <v>0.625</v>
      </c>
    </row>
    <row r="194" spans="5:168">
      <c r="E194" s="147">
        <v>84</v>
      </c>
      <c r="F194" s="188">
        <f t="shared" si="587"/>
        <v>1.008</v>
      </c>
      <c r="G194" s="188"/>
      <c r="H194" s="188">
        <f t="shared" si="495"/>
        <v>5.04</v>
      </c>
      <c r="I194" s="465">
        <f t="shared" si="496"/>
        <v>8.9187478886702269</v>
      </c>
      <c r="J194" s="149">
        <f t="shared" si="497"/>
        <v>5.4487512667978635</v>
      </c>
      <c r="K194" s="149">
        <f t="shared" si="498"/>
        <v>14.36749915546809</v>
      </c>
      <c r="L194" s="379"/>
      <c r="M194" s="188">
        <f t="shared" si="499"/>
        <v>0.37922558533039852</v>
      </c>
      <c r="N194" s="149">
        <f t="shared" si="500"/>
        <v>8.4935934168586282</v>
      </c>
      <c r="O194" s="149">
        <f t="shared" si="438"/>
        <v>5.04</v>
      </c>
      <c r="P194" s="188">
        <f t="shared" si="501"/>
        <v>1.6987186833717256</v>
      </c>
      <c r="Q194" s="188">
        <f t="shared" si="502"/>
        <v>5</v>
      </c>
      <c r="R194" s="188"/>
      <c r="S194" s="149">
        <f t="shared" si="503"/>
        <v>13.458584167208185</v>
      </c>
      <c r="T194" s="149">
        <f t="shared" si="504"/>
        <v>5</v>
      </c>
      <c r="U194" s="188">
        <f t="shared" si="505"/>
        <v>3.2475565235287407</v>
      </c>
      <c r="V194" s="188">
        <f t="shared" si="506"/>
        <v>4.3695234767035629</v>
      </c>
      <c r="W194" s="188">
        <f t="shared" si="507"/>
        <v>7.1522219264832181</v>
      </c>
      <c r="X194" s="172">
        <f t="shared" si="508"/>
        <v>281.8632429276301</v>
      </c>
      <c r="Y194" s="379">
        <f t="shared" si="509"/>
        <v>85.311527046827933</v>
      </c>
      <c r="AA194" s="188">
        <f t="shared" si="510"/>
        <v>1</v>
      </c>
      <c r="AB194" s="150">
        <f t="shared" si="511"/>
        <v>2.2023394742062048</v>
      </c>
      <c r="AC194" s="150">
        <f t="shared" si="512"/>
        <v>0.31037927311364633</v>
      </c>
      <c r="AD194" s="150"/>
      <c r="AE194" s="150">
        <f t="shared" si="513"/>
        <v>2.2023394742062048</v>
      </c>
      <c r="AF194" s="314">
        <f t="shared" si="514"/>
        <v>915.39021282204112</v>
      </c>
      <c r="AG194" s="456">
        <f t="shared" si="515"/>
        <v>0.31037927311364633</v>
      </c>
      <c r="AI194" s="150">
        <f t="shared" si="516"/>
        <v>1.6172200246296031</v>
      </c>
      <c r="AJ194" s="150">
        <f t="shared" si="517"/>
        <v>3.2475565235287407</v>
      </c>
      <c r="AK194" s="150">
        <f t="shared" si="518"/>
        <v>2.8648566840953635</v>
      </c>
      <c r="AM194" s="314">
        <f t="shared" si="519"/>
        <v>1008</v>
      </c>
      <c r="AN194" s="144">
        <f t="shared" si="520"/>
        <v>85.311527046827933</v>
      </c>
      <c r="AP194">
        <f t="shared" si="521"/>
        <v>1008</v>
      </c>
      <c r="AQ194">
        <f t="shared" si="522"/>
        <v>85.311527046827933</v>
      </c>
      <c r="AS194" s="5">
        <f t="shared" si="439"/>
        <v>11.72174540318678</v>
      </c>
      <c r="AT194" s="5">
        <f t="shared" si="523"/>
        <v>4.3695234767035629</v>
      </c>
      <c r="AU194" s="5">
        <f t="shared" si="478"/>
        <v>7.3522219264832174</v>
      </c>
      <c r="AV194" s="5"/>
      <c r="AW194" s="150">
        <f t="shared" si="479"/>
        <v>0.37277072026454561</v>
      </c>
      <c r="AX194" s="150">
        <f t="shared" si="435"/>
        <v>5.3984912710935244</v>
      </c>
      <c r="AY194" s="150">
        <f t="shared" si="436"/>
        <v>1.0184812695765542</v>
      </c>
      <c r="AZ194" s="150">
        <f t="shared" si="440"/>
        <v>5.3005307337051102</v>
      </c>
      <c r="BA194" s="144">
        <f t="shared" si="594"/>
        <v>88.089593290343842</v>
      </c>
      <c r="BB194" s="5">
        <f t="shared" si="595"/>
        <v>1.731147268466716</v>
      </c>
      <c r="BD194" s="150">
        <f t="shared" si="441"/>
        <v>1.1447666998568944</v>
      </c>
      <c r="BE194" s="150">
        <f t="shared" si="437"/>
        <v>1.4849411865132733</v>
      </c>
      <c r="BG194" s="456">
        <f t="shared" si="480"/>
        <v>2.62098159420249E-2</v>
      </c>
      <c r="BH194" s="456">
        <f t="shared" si="524"/>
        <v>7.4635747499976923E-2</v>
      </c>
      <c r="BI194" s="456">
        <f t="shared" si="525"/>
        <v>1.9021800043203238E-2</v>
      </c>
      <c r="BJ194" s="456">
        <f t="shared" si="481"/>
        <v>1.7610434699106814E-3</v>
      </c>
      <c r="BK194">
        <f t="shared" si="482"/>
        <v>4.0134365499016021E-3</v>
      </c>
      <c r="BL194" s="144">
        <f t="shared" si="588"/>
        <v>23.035236593104841</v>
      </c>
      <c r="BM194" s="456">
        <f t="shared" si="526"/>
        <v>0.11037058476465306</v>
      </c>
      <c r="BN194" s="144">
        <f t="shared" si="527"/>
        <v>110.37058476465306</v>
      </c>
      <c r="BO194" s="456">
        <f t="shared" si="483"/>
        <v>0.7056</v>
      </c>
      <c r="BR194" s="144">
        <f t="shared" si="484"/>
        <v>705.6</v>
      </c>
      <c r="BS194" s="456">
        <f t="shared" si="485"/>
        <v>3.931472391303735E-2</v>
      </c>
      <c r="BT194" s="456">
        <f t="shared" si="486"/>
        <v>6.6151509822103438E-2</v>
      </c>
      <c r="BU194" s="456">
        <f t="shared" si="487"/>
        <v>6.388238037868757E-2</v>
      </c>
      <c r="BV194" s="456"/>
      <c r="BW194" s="456">
        <f t="shared" si="488"/>
        <v>8.9974854518225429E-4</v>
      </c>
      <c r="BX194" s="144">
        <f t="shared" si="489"/>
        <v>170.24836265901061</v>
      </c>
      <c r="BY194" s="150">
        <f t="shared" si="490"/>
        <v>1.0014902061640281</v>
      </c>
      <c r="BZ194" s="5">
        <f t="shared" si="491"/>
        <v>5.04</v>
      </c>
      <c r="CA194" s="150">
        <f t="shared" si="492"/>
        <v>0.83423126215743515</v>
      </c>
      <c r="CB194" s="5">
        <f t="shared" si="493"/>
        <v>83.423126215743508</v>
      </c>
      <c r="CE194" s="59">
        <f t="shared" si="528"/>
        <v>-50</v>
      </c>
      <c r="CF194">
        <f t="shared" si="529"/>
        <v>-50</v>
      </c>
      <c r="CG194" s="150">
        <f t="shared" si="530"/>
        <v>0.6202915736607143</v>
      </c>
      <c r="CI194" s="147">
        <v>84</v>
      </c>
      <c r="CJ194" s="188">
        <f t="shared" si="589"/>
        <v>1.008</v>
      </c>
      <c r="CK194" s="188"/>
      <c r="CL194" s="188">
        <f t="shared" si="531"/>
        <v>5.04</v>
      </c>
      <c r="CM194" s="465">
        <f t="shared" si="532"/>
        <v>9</v>
      </c>
      <c r="CN194" s="379">
        <f t="shared" si="533"/>
        <v>5.4</v>
      </c>
      <c r="CO194" s="379">
        <f t="shared" si="534"/>
        <v>14.4</v>
      </c>
      <c r="CP194" s="379"/>
      <c r="CQ194" s="188">
        <f t="shared" si="535"/>
        <v>0.375</v>
      </c>
      <c r="CR194" s="149">
        <f t="shared" si="590"/>
        <v>8.4754687499999992</v>
      </c>
      <c r="CS194" s="149">
        <f t="shared" si="536"/>
        <v>5.04</v>
      </c>
      <c r="CT194" s="188">
        <f t="shared" si="537"/>
        <v>1.6950937499999998</v>
      </c>
      <c r="CU194" s="188">
        <f t="shared" si="538"/>
        <v>5</v>
      </c>
      <c r="CV194" s="188"/>
      <c r="CW194" s="149">
        <f t="shared" si="539"/>
        <v>13.578958487074907</v>
      </c>
      <c r="CX194" s="149">
        <f t="shared" si="540"/>
        <v>5</v>
      </c>
      <c r="CY194" s="188">
        <f t="shared" si="541"/>
        <v>2.9866666666666668</v>
      </c>
      <c r="CZ194" s="188">
        <f t="shared" si="542"/>
        <v>3.9822222222222226</v>
      </c>
      <c r="DA194" s="188">
        <f t="shared" si="543"/>
        <v>6.6370370370370368</v>
      </c>
      <c r="DB194" s="172">
        <f t="shared" si="544"/>
        <v>281.25</v>
      </c>
      <c r="DC194" s="379">
        <f t="shared" si="545"/>
        <v>94.168526785714292</v>
      </c>
      <c r="DE194" s="188">
        <f t="shared" si="546"/>
        <v>1</v>
      </c>
      <c r="DF194" s="150">
        <f t="shared" si="547"/>
        <v>2.2222222222222219</v>
      </c>
      <c r="DG194" s="150">
        <f t="shared" si="548"/>
        <v>0.31249999999999994</v>
      </c>
      <c r="DH194" s="150"/>
      <c r="DI194" s="150">
        <f t="shared" si="549"/>
        <v>2.2222222222222219</v>
      </c>
      <c r="DJ194" s="314">
        <f t="shared" si="550"/>
        <v>907.20000000000016</v>
      </c>
      <c r="DK194" s="456">
        <f t="shared" si="551"/>
        <v>0.31249999999999994</v>
      </c>
      <c r="DM194" s="150">
        <f t="shared" si="552"/>
        <v>1.6099689437998488</v>
      </c>
      <c r="DN194" s="150">
        <f t="shared" si="553"/>
        <v>2.9866666666666668</v>
      </c>
      <c r="DO194" s="150">
        <f t="shared" si="554"/>
        <v>2.6716049382716047</v>
      </c>
      <c r="DQ194" s="314">
        <f t="shared" si="555"/>
        <v>1008</v>
      </c>
      <c r="DR194" s="144">
        <f t="shared" si="556"/>
        <v>94.168526785714292</v>
      </c>
      <c r="DT194">
        <f t="shared" si="591"/>
        <v>1008</v>
      </c>
      <c r="DU194">
        <f t="shared" si="592"/>
        <v>94.168526785714292</v>
      </c>
      <c r="DW194" s="5">
        <f t="shared" si="557"/>
        <v>10.619259259259259</v>
      </c>
      <c r="DX194" s="5">
        <f t="shared" si="558"/>
        <v>3.9822222222222226</v>
      </c>
      <c r="DY194" s="5">
        <f t="shared" si="559"/>
        <v>6.637037037037036</v>
      </c>
      <c r="DZ194" s="5"/>
      <c r="EA194" s="150">
        <f t="shared" si="560"/>
        <v>0.37500000000000006</v>
      </c>
      <c r="EB194" s="150">
        <f t="shared" si="561"/>
        <v>5.0400000000000009</v>
      </c>
      <c r="EC194" s="150">
        <f t="shared" si="562"/>
        <v>0.93333333333333335</v>
      </c>
      <c r="ED194" s="150">
        <f t="shared" si="563"/>
        <v>5.4000000000000012</v>
      </c>
      <c r="EE194" s="144">
        <f t="shared" si="564"/>
        <v>80.281600000000012</v>
      </c>
      <c r="EF194" s="5">
        <f t="shared" si="565"/>
        <v>1.5486419753086416</v>
      </c>
      <c r="EH194" s="150">
        <f t="shared" si="566"/>
        <v>1.055946126571911</v>
      </c>
      <c r="EI194" s="150">
        <f t="shared" si="567"/>
        <v>1.3632205875684136</v>
      </c>
      <c r="EK194" s="456">
        <f t="shared" si="568"/>
        <v>2.2300444444444449E-2</v>
      </c>
      <c r="EL194" s="456">
        <f t="shared" si="569"/>
        <v>8.1000000000000016E-2</v>
      </c>
      <c r="EM194" s="456">
        <f t="shared" si="570"/>
        <v>1.1771065848214286E-2</v>
      </c>
      <c r="EN194" s="456">
        <f t="shared" si="571"/>
        <v>1.9526785714285718E-3</v>
      </c>
      <c r="EO194">
        <f t="shared" si="572"/>
        <v>4.0499999999999998E-3</v>
      </c>
      <c r="EP194" s="144">
        <f t="shared" si="573"/>
        <v>15.821065848214285</v>
      </c>
      <c r="EQ194" s="144"/>
      <c r="ER194" s="144">
        <f t="shared" si="593"/>
        <v>121.07418886408733</v>
      </c>
      <c r="ES194" s="456">
        <f t="shared" si="574"/>
        <v>0.7056</v>
      </c>
      <c r="EV194" s="144">
        <f t="shared" si="494"/>
        <v>705.6</v>
      </c>
      <c r="EW194" s="456">
        <f t="shared" si="575"/>
        <v>3.345066666666667E-2</v>
      </c>
      <c r="EX194" s="456">
        <f t="shared" si="576"/>
        <v>5.5751111111111119E-2</v>
      </c>
      <c r="EY194" s="456">
        <f t="shared" si="577"/>
        <v>6.6328676578668047E-2</v>
      </c>
      <c r="EZ194" s="456"/>
      <c r="FA194" s="456">
        <f t="shared" si="578"/>
        <v>8.4000000000000025E-4</v>
      </c>
      <c r="FB194" s="144">
        <f t="shared" si="579"/>
        <v>156.37045435644586</v>
      </c>
      <c r="FC194" s="150">
        <f t="shared" si="580"/>
        <v>0.98304464322053309</v>
      </c>
      <c r="FD194" s="5">
        <f t="shared" si="581"/>
        <v>5.04</v>
      </c>
      <c r="FE194" s="150">
        <f t="shared" si="582"/>
        <v>0.83678609383594116</v>
      </c>
      <c r="FF194" s="5">
        <f t="shared" si="583"/>
        <v>83.678609383594122</v>
      </c>
      <c r="FI194" s="59">
        <f t="shared" si="584"/>
        <v>-50</v>
      </c>
      <c r="FJ194">
        <f t="shared" si="585"/>
        <v>-50</v>
      </c>
      <c r="FL194">
        <f t="shared" si="586"/>
        <v>0.625</v>
      </c>
    </row>
    <row r="195" spans="5:168">
      <c r="E195" s="147">
        <v>85</v>
      </c>
      <c r="F195" s="188">
        <f t="shared" si="587"/>
        <v>1.02</v>
      </c>
      <c r="G195" s="188"/>
      <c r="H195" s="188">
        <f t="shared" si="495"/>
        <v>5.0999999999999996</v>
      </c>
      <c r="I195" s="465">
        <f t="shared" si="496"/>
        <v>8.9177879433280864</v>
      </c>
      <c r="J195" s="149">
        <f t="shared" si="497"/>
        <v>5.4493272340031487</v>
      </c>
      <c r="K195" s="149">
        <f t="shared" si="498"/>
        <v>14.367115177331236</v>
      </c>
      <c r="L195" s="379"/>
      <c r="M195" s="188">
        <f t="shared" si="499"/>
        <v>0.37927581255648718</v>
      </c>
      <c r="N195" s="149">
        <f t="shared" si="500"/>
        <v>8.4938040603001479</v>
      </c>
      <c r="O195" s="149">
        <f t="shared" si="438"/>
        <v>5.0999999999999996</v>
      </c>
      <c r="P195" s="188">
        <f t="shared" si="501"/>
        <v>1.6987608120600295</v>
      </c>
      <c r="Q195" s="188">
        <f t="shared" si="502"/>
        <v>5</v>
      </c>
      <c r="R195" s="188"/>
      <c r="S195" s="149">
        <f t="shared" si="503"/>
        <v>13.201788833194357</v>
      </c>
      <c r="T195" s="149">
        <f t="shared" si="504"/>
        <v>5</v>
      </c>
      <c r="U195" s="188">
        <f t="shared" si="505"/>
        <v>3.2864838220689507</v>
      </c>
      <c r="V195" s="188">
        <f t="shared" si="506"/>
        <v>4.4223753822642884</v>
      </c>
      <c r="W195" s="188">
        <f t="shared" si="507"/>
        <v>7.2371880364864554</v>
      </c>
      <c r="X195" s="172">
        <f t="shared" si="508"/>
        <v>281.87022995935462</v>
      </c>
      <c r="Y195" s="379">
        <f t="shared" si="509"/>
        <v>84.320135968827898</v>
      </c>
      <c r="AA195" s="188">
        <f t="shared" si="510"/>
        <v>1</v>
      </c>
      <c r="AB195" s="150">
        <f t="shared" si="511"/>
        <v>2.2021066977078272</v>
      </c>
      <c r="AC195" s="150">
        <f t="shared" si="512"/>
        <v>0.31035416063897014</v>
      </c>
      <c r="AD195" s="150"/>
      <c r="AE195" s="150">
        <f t="shared" si="513"/>
        <v>2.2021066977078272</v>
      </c>
      <c r="AF195" s="314">
        <f t="shared" si="514"/>
        <v>926.38562978053528</v>
      </c>
      <c r="AG195" s="456">
        <f t="shared" si="515"/>
        <v>0.31035416063897009</v>
      </c>
      <c r="AI195" s="150">
        <f t="shared" si="516"/>
        <v>1.6269038340010278</v>
      </c>
      <c r="AJ195" s="150">
        <f t="shared" si="517"/>
        <v>3.2864838220689507</v>
      </c>
      <c r="AK195" s="150">
        <f t="shared" si="518"/>
        <v>2.8936917200510743</v>
      </c>
      <c r="AM195" s="314">
        <f t="shared" si="519"/>
        <v>1020</v>
      </c>
      <c r="AN195" s="144">
        <f t="shared" si="520"/>
        <v>84.320135968827898</v>
      </c>
      <c r="AP195">
        <f t="shared" si="521"/>
        <v>1020</v>
      </c>
      <c r="AQ195">
        <f t="shared" si="522"/>
        <v>84.320135968827898</v>
      </c>
      <c r="AS195" s="5">
        <f t="shared" si="439"/>
        <v>11.859563418750742</v>
      </c>
      <c r="AT195" s="5">
        <f t="shared" si="523"/>
        <v>4.4223753822642884</v>
      </c>
      <c r="AU195" s="5">
        <f t="shared" si="478"/>
        <v>7.4371880364864538</v>
      </c>
      <c r="AV195" s="5"/>
      <c r="AW195" s="150">
        <f t="shared" si="479"/>
        <v>0.37289529353772205</v>
      </c>
      <c r="AX195" s="150">
        <f t="shared" si="435"/>
        <v>5.4644385453399869</v>
      </c>
      <c r="AY195" s="150">
        <f t="shared" si="436"/>
        <v>1.0304847362657872</v>
      </c>
      <c r="AZ195" s="150">
        <f t="shared" si="440"/>
        <v>5.3027845566560385</v>
      </c>
      <c r="BA195" s="144">
        <f t="shared" si="594"/>
        <v>90.216457798191485</v>
      </c>
      <c r="BB195" s="5">
        <f t="shared" si="595"/>
        <v>1.7721911171208793</v>
      </c>
      <c r="BD195" s="150">
        <f t="shared" si="441"/>
        <v>1.1586821657193054</v>
      </c>
      <c r="BE195" s="150">
        <f t="shared" si="437"/>
        <v>1.5025914092275161</v>
      </c>
      <c r="BG195" s="456">
        <f t="shared" si="480"/>
        <v>2.6850887223119596E-2</v>
      </c>
      <c r="BH195" s="456">
        <f t="shared" si="524"/>
        <v>7.4650658396254871E-2</v>
      </c>
      <c r="BI195" s="456">
        <f t="shared" si="525"/>
        <v>1.8798727298064959E-2</v>
      </c>
      <c r="BJ195" s="456">
        <f t="shared" si="481"/>
        <v>1.7404856420966358E-3</v>
      </c>
      <c r="BK195">
        <f t="shared" si="482"/>
        <v>4.0130045744976384E-3</v>
      </c>
      <c r="BL195" s="144">
        <f t="shared" si="588"/>
        <v>22.811731872562596</v>
      </c>
      <c r="BM195" s="456">
        <f t="shared" si="526"/>
        <v>0.11120120903853065</v>
      </c>
      <c r="BN195" s="144">
        <f t="shared" si="527"/>
        <v>111.20120903853065</v>
      </c>
      <c r="BO195" s="456">
        <f t="shared" si="483"/>
        <v>0.71399999999999997</v>
      </c>
      <c r="BR195" s="144">
        <f t="shared" si="484"/>
        <v>714</v>
      </c>
      <c r="BS195" s="456">
        <f t="shared" si="485"/>
        <v>4.0276330834679394E-2</v>
      </c>
      <c r="BT195" s="456">
        <f t="shared" si="486"/>
        <v>6.7733428292529985E-2</v>
      </c>
      <c r="BU195" s="456">
        <f t="shared" si="487"/>
        <v>6.391856211915245E-2</v>
      </c>
      <c r="BV195" s="456"/>
      <c r="BW195" s="456">
        <f t="shared" si="488"/>
        <v>9.1073975755666457E-4</v>
      </c>
      <c r="BX195" s="144">
        <f t="shared" si="489"/>
        <v>172.83906100391849</v>
      </c>
      <c r="BY195" s="150">
        <f t="shared" si="490"/>
        <v>1.0128928241379522</v>
      </c>
      <c r="BZ195" s="5">
        <f t="shared" si="491"/>
        <v>5.0999999999999996</v>
      </c>
      <c r="CA195" s="150">
        <f t="shared" si="492"/>
        <v>0.83430221119887016</v>
      </c>
      <c r="CB195" s="5">
        <f t="shared" si="493"/>
        <v>83.430221119887022</v>
      </c>
      <c r="CE195" s="59">
        <f t="shared" si="528"/>
        <v>-50</v>
      </c>
      <c r="CF195">
        <f t="shared" si="529"/>
        <v>-50</v>
      </c>
      <c r="CG195" s="150">
        <f t="shared" si="530"/>
        <v>0.62034696691176472</v>
      </c>
      <c r="CI195" s="147">
        <v>85</v>
      </c>
      <c r="CJ195" s="188">
        <f t="shared" si="589"/>
        <v>1.02</v>
      </c>
      <c r="CK195" s="188"/>
      <c r="CL195" s="188">
        <f t="shared" si="531"/>
        <v>5.0999999999999996</v>
      </c>
      <c r="CM195" s="465">
        <f t="shared" si="532"/>
        <v>9</v>
      </c>
      <c r="CN195" s="379">
        <f t="shared" si="533"/>
        <v>5.4</v>
      </c>
      <c r="CO195" s="379">
        <f t="shared" si="534"/>
        <v>14.4</v>
      </c>
      <c r="CP195" s="379"/>
      <c r="CQ195" s="188">
        <f t="shared" si="535"/>
        <v>0.375</v>
      </c>
      <c r="CR195" s="149">
        <f t="shared" si="590"/>
        <v>8.4754687499999992</v>
      </c>
      <c r="CS195" s="149">
        <f t="shared" si="536"/>
        <v>5.0999999999999996</v>
      </c>
      <c r="CT195" s="188">
        <f t="shared" si="537"/>
        <v>1.6950937499999998</v>
      </c>
      <c r="CU195" s="188">
        <f t="shared" si="538"/>
        <v>5</v>
      </c>
      <c r="CV195" s="188"/>
      <c r="CW195" s="149">
        <f t="shared" si="539"/>
        <v>13.321191416479952</v>
      </c>
      <c r="CX195" s="149">
        <f t="shared" si="540"/>
        <v>5</v>
      </c>
      <c r="CY195" s="188">
        <f t="shared" si="541"/>
        <v>3.0222222222222221</v>
      </c>
      <c r="CZ195" s="188">
        <f t="shared" si="542"/>
        <v>4.0296296296296301</v>
      </c>
      <c r="DA195" s="188">
        <f t="shared" si="543"/>
        <v>6.7160493827160499</v>
      </c>
      <c r="DB195" s="172">
        <f t="shared" si="544"/>
        <v>281.25</v>
      </c>
      <c r="DC195" s="379">
        <f t="shared" si="545"/>
        <v>93.060661764705884</v>
      </c>
      <c r="DE195" s="188">
        <f t="shared" si="546"/>
        <v>1</v>
      </c>
      <c r="DF195" s="150">
        <f t="shared" si="547"/>
        <v>2.2222222222222219</v>
      </c>
      <c r="DG195" s="150">
        <f t="shared" si="548"/>
        <v>0.31249999999999994</v>
      </c>
      <c r="DH195" s="150"/>
      <c r="DI195" s="150">
        <f t="shared" si="549"/>
        <v>2.2222222222222219</v>
      </c>
      <c r="DJ195" s="314">
        <f t="shared" si="550"/>
        <v>918.00000000000011</v>
      </c>
      <c r="DK195" s="456">
        <f t="shared" si="551"/>
        <v>0.31249999999999994</v>
      </c>
      <c r="DM195" s="150">
        <f t="shared" si="552"/>
        <v>1.6195237395163873</v>
      </c>
      <c r="DN195" s="150">
        <f t="shared" si="553"/>
        <v>3.0222222222222221</v>
      </c>
      <c r="DO195" s="150">
        <f t="shared" si="554"/>
        <v>2.6979423868312757</v>
      </c>
      <c r="DQ195" s="314">
        <f t="shared" si="555"/>
        <v>1020</v>
      </c>
      <c r="DR195" s="144">
        <f t="shared" si="556"/>
        <v>93.060661764705884</v>
      </c>
      <c r="DT195">
        <f t="shared" si="591"/>
        <v>1020</v>
      </c>
      <c r="DU195">
        <f t="shared" si="592"/>
        <v>93.060661764705884</v>
      </c>
      <c r="DW195" s="5">
        <f t="shared" si="557"/>
        <v>10.745679012345679</v>
      </c>
      <c r="DX195" s="5">
        <f t="shared" si="558"/>
        <v>4.0296296296296301</v>
      </c>
      <c r="DY195" s="5">
        <f t="shared" si="559"/>
        <v>6.716049382716049</v>
      </c>
      <c r="DZ195" s="5"/>
      <c r="EA195" s="150">
        <f t="shared" si="560"/>
        <v>0.37500000000000006</v>
      </c>
      <c r="EB195" s="150">
        <f t="shared" si="561"/>
        <v>5.0999999999999996</v>
      </c>
      <c r="EC195" s="150">
        <f t="shared" si="562"/>
        <v>0.94444444444444442</v>
      </c>
      <c r="ED195" s="150">
        <f t="shared" si="563"/>
        <v>5.3999999999999995</v>
      </c>
      <c r="EE195" s="144">
        <f t="shared" si="564"/>
        <v>82.204444444444462</v>
      </c>
      <c r="EF195" s="5">
        <f t="shared" si="565"/>
        <v>1.5857338820301781</v>
      </c>
      <c r="EH195" s="150">
        <f t="shared" si="566"/>
        <v>1.0685169137930053</v>
      </c>
      <c r="EI195" s="150">
        <f t="shared" si="567"/>
        <v>1.3794494040870851</v>
      </c>
      <c r="EK195" s="456">
        <f t="shared" si="568"/>
        <v>2.2834567901234577E-2</v>
      </c>
      <c r="EL195" s="456">
        <f t="shared" si="569"/>
        <v>8.1000000000000016E-2</v>
      </c>
      <c r="EM195" s="456">
        <f t="shared" si="570"/>
        <v>1.1632582720588236E-2</v>
      </c>
      <c r="EN195" s="456">
        <f t="shared" si="571"/>
        <v>1.9297058823529412E-3</v>
      </c>
      <c r="EO195">
        <f t="shared" si="572"/>
        <v>4.0499999999999998E-3</v>
      </c>
      <c r="EP195" s="144">
        <f t="shared" si="573"/>
        <v>15.682582720588236</v>
      </c>
      <c r="EQ195" s="144"/>
      <c r="ER195" s="144">
        <f t="shared" si="593"/>
        <v>121.44685650417576</v>
      </c>
      <c r="ES195" s="456">
        <f t="shared" si="574"/>
        <v>0.71399999999999997</v>
      </c>
      <c r="EV195" s="144">
        <f t="shared" si="494"/>
        <v>714</v>
      </c>
      <c r="EW195" s="456">
        <f t="shared" si="575"/>
        <v>3.425185185185186E-2</v>
      </c>
      <c r="EX195" s="456">
        <f t="shared" si="576"/>
        <v>5.7086419753086419E-2</v>
      </c>
      <c r="EY195" s="456">
        <f t="shared" si="577"/>
        <v>6.632867657866813E-2</v>
      </c>
      <c r="EZ195" s="456"/>
      <c r="FA195" s="456">
        <f t="shared" si="578"/>
        <v>8.4999999999999995E-4</v>
      </c>
      <c r="FB195" s="144">
        <f t="shared" si="579"/>
        <v>158.51694818360639</v>
      </c>
      <c r="FC195" s="150">
        <f t="shared" si="580"/>
        <v>0.99396380468778212</v>
      </c>
      <c r="FD195" s="5">
        <f t="shared" si="581"/>
        <v>5.0999999999999996</v>
      </c>
      <c r="FE195" s="150">
        <f t="shared" si="582"/>
        <v>0.83689371375603261</v>
      </c>
      <c r="FF195" s="5">
        <f t="shared" si="583"/>
        <v>83.689371375603258</v>
      </c>
      <c r="FI195" s="59">
        <f t="shared" si="584"/>
        <v>-50</v>
      </c>
      <c r="FJ195">
        <f t="shared" si="585"/>
        <v>-50</v>
      </c>
      <c r="FL195">
        <f t="shared" si="586"/>
        <v>0.625</v>
      </c>
    </row>
    <row r="196" spans="5:168">
      <c r="E196" s="147">
        <v>86</v>
      </c>
      <c r="F196" s="188">
        <f t="shared" si="587"/>
        <v>1.032</v>
      </c>
      <c r="G196" s="188"/>
      <c r="H196" s="188">
        <f t="shared" si="495"/>
        <v>5.16</v>
      </c>
      <c r="I196" s="465">
        <f t="shared" si="496"/>
        <v>8.9168279967054094</v>
      </c>
      <c r="J196" s="149">
        <f t="shared" si="497"/>
        <v>5.4499032019767553</v>
      </c>
      <c r="K196" s="149">
        <f t="shared" si="498"/>
        <v>14.366731198682164</v>
      </c>
      <c r="L196" s="379"/>
      <c r="M196" s="188">
        <f t="shared" si="499"/>
        <v>0.37932604250106178</v>
      </c>
      <c r="N196" s="149">
        <f t="shared" si="500"/>
        <v>8.4940145212334297</v>
      </c>
      <c r="O196" s="149">
        <f t="shared" si="438"/>
        <v>5.16</v>
      </c>
      <c r="P196" s="188">
        <f t="shared" si="501"/>
        <v>1.6988029042466859</v>
      </c>
      <c r="Q196" s="188">
        <f t="shared" si="502"/>
        <v>5</v>
      </c>
      <c r="R196" s="188"/>
      <c r="S196" s="149">
        <f t="shared" si="503"/>
        <v>12.951162629431289</v>
      </c>
      <c r="T196" s="149">
        <f t="shared" si="504"/>
        <v>5</v>
      </c>
      <c r="U196" s="188">
        <f t="shared" si="505"/>
        <v>3.3254174354552828</v>
      </c>
      <c r="V196" s="188">
        <f t="shared" si="506"/>
        <v>4.4752471663922986</v>
      </c>
      <c r="W196" s="188">
        <f t="shared" si="507"/>
        <v>7.3221500908473569</v>
      </c>
      <c r="X196" s="172">
        <f t="shared" si="508"/>
        <v>281.87721095978094</v>
      </c>
      <c r="Y196" s="379">
        <f t="shared" si="509"/>
        <v>83.351411856981272</v>
      </c>
      <c r="AA196" s="188">
        <f t="shared" si="510"/>
        <v>0.99999999999999978</v>
      </c>
      <c r="AB196" s="150">
        <f t="shared" si="511"/>
        <v>2.2018739701005021</v>
      </c>
      <c r="AC196" s="150">
        <f t="shared" si="512"/>
        <v>0.31032904678843476</v>
      </c>
      <c r="AD196" s="150"/>
      <c r="AE196" s="150">
        <f t="shared" si="513"/>
        <v>2.201873970100503</v>
      </c>
      <c r="AF196" s="314">
        <f t="shared" si="514"/>
        <v>937.3833507400019</v>
      </c>
      <c r="AG196" s="456">
        <f t="shared" si="515"/>
        <v>0.31032904678843493</v>
      </c>
      <c r="AI196" s="150">
        <f t="shared" si="516"/>
        <v>1.6365323537808332</v>
      </c>
      <c r="AJ196" s="150">
        <f t="shared" si="517"/>
        <v>3.3254174354552828</v>
      </c>
      <c r="AK196" s="150">
        <f t="shared" si="518"/>
        <v>2.9225314336705797</v>
      </c>
      <c r="AM196" s="314">
        <f t="shared" si="519"/>
        <v>1032</v>
      </c>
      <c r="AN196" s="144">
        <f t="shared" si="520"/>
        <v>83.351411856981272</v>
      </c>
      <c r="AP196">
        <f t="shared" si="521"/>
        <v>1032</v>
      </c>
      <c r="AQ196">
        <f t="shared" si="522"/>
        <v>83.351411856981272</v>
      </c>
      <c r="AS196" s="5">
        <f t="shared" si="439"/>
        <v>11.997397257239655</v>
      </c>
      <c r="AT196" s="5">
        <f t="shared" si="523"/>
        <v>4.4752471663922986</v>
      </c>
      <c r="AU196" s="5">
        <f t="shared" si="478"/>
        <v>7.5221500908473562</v>
      </c>
      <c r="AV196" s="5"/>
      <c r="AW196" s="150">
        <f t="shared" si="479"/>
        <v>0.37301816972775287</v>
      </c>
      <c r="AX196" s="150">
        <f t="shared" si="435"/>
        <v>5.5304000774119366</v>
      </c>
      <c r="AY196" s="150">
        <f t="shared" si="436"/>
        <v>1.0424881550504979</v>
      </c>
      <c r="AZ196" s="150">
        <f t="shared" si="440"/>
        <v>5.3050003979604403</v>
      </c>
      <c r="BA196" s="144">
        <f t="shared" si="594"/>
        <v>92.369101514337046</v>
      </c>
      <c r="BB196" s="5">
        <f t="shared" si="595"/>
        <v>1.8137192621969689</v>
      </c>
      <c r="BD196" s="150">
        <f t="shared" si="441"/>
        <v>1.1726017434049407</v>
      </c>
      <c r="BE196" s="150">
        <f t="shared" si="437"/>
        <v>1.5202430259798454</v>
      </c>
      <c r="BG196" s="456">
        <f t="shared" si="480"/>
        <v>2.7499896972726128E-2</v>
      </c>
      <c r="BH196" s="456">
        <f t="shared" si="524"/>
        <v>7.4665223309842807E-2</v>
      </c>
      <c r="BI196" s="456">
        <f t="shared" si="525"/>
        <v>1.8580755070281344E-2</v>
      </c>
      <c r="BJ196" s="456">
        <f t="shared" si="481"/>
        <v>1.7203978572155438E-3</v>
      </c>
      <c r="BK196">
        <f t="shared" si="482"/>
        <v>4.0125725985174342E-3</v>
      </c>
      <c r="BL196" s="144">
        <f t="shared" si="588"/>
        <v>22.593327668798775</v>
      </c>
      <c r="BM196" s="456">
        <f t="shared" si="526"/>
        <v>0.11204257375662477</v>
      </c>
      <c r="BN196" s="144">
        <f t="shared" si="527"/>
        <v>112.04257375662478</v>
      </c>
      <c r="BO196" s="456">
        <f t="shared" si="483"/>
        <v>0.72239999999999993</v>
      </c>
      <c r="BR196" s="144">
        <f t="shared" si="484"/>
        <v>722.4</v>
      </c>
      <c r="BS196" s="456">
        <f t="shared" si="485"/>
        <v>4.1249845459089191E-2</v>
      </c>
      <c r="BT196" s="456">
        <f t="shared" si="486"/>
        <v>6.9334165741210693E-2</v>
      </c>
      <c r="BU196" s="456">
        <f t="shared" si="487"/>
        <v>6.3954017217452072E-2</v>
      </c>
      <c r="BV196" s="456"/>
      <c r="BW196" s="456">
        <f t="shared" si="488"/>
        <v>9.2173334623532274E-4</v>
      </c>
      <c r="BX196" s="144">
        <f t="shared" si="489"/>
        <v>175.45976176398727</v>
      </c>
      <c r="BY196" s="150">
        <f t="shared" si="490"/>
        <v>1.0243386075725702</v>
      </c>
      <c r="BZ196" s="5">
        <f t="shared" si="491"/>
        <v>5.16</v>
      </c>
      <c r="CA196" s="150">
        <f t="shared" si="492"/>
        <v>0.83436569816563844</v>
      </c>
      <c r="CB196" s="5">
        <f t="shared" si="493"/>
        <v>83.436569816563846</v>
      </c>
      <c r="CE196" s="59">
        <f t="shared" si="528"/>
        <v>-50</v>
      </c>
      <c r="CF196">
        <f t="shared" si="529"/>
        <v>-50</v>
      </c>
      <c r="CG196" s="150">
        <f t="shared" si="530"/>
        <v>0.62040107194767447</v>
      </c>
      <c r="CI196" s="147">
        <v>86</v>
      </c>
      <c r="CJ196" s="188">
        <f t="shared" si="589"/>
        <v>1.032</v>
      </c>
      <c r="CK196" s="188"/>
      <c r="CL196" s="188">
        <f t="shared" si="531"/>
        <v>5.16</v>
      </c>
      <c r="CM196" s="465">
        <f t="shared" si="532"/>
        <v>9</v>
      </c>
      <c r="CN196" s="379">
        <f t="shared" si="533"/>
        <v>5.4</v>
      </c>
      <c r="CO196" s="379">
        <f t="shared" si="534"/>
        <v>14.4</v>
      </c>
      <c r="CP196" s="379"/>
      <c r="CQ196" s="188">
        <f t="shared" si="535"/>
        <v>0.375</v>
      </c>
      <c r="CR196" s="149">
        <f t="shared" si="590"/>
        <v>8.4754687499999992</v>
      </c>
      <c r="CS196" s="149">
        <f t="shared" si="536"/>
        <v>5.16</v>
      </c>
      <c r="CT196" s="188">
        <f t="shared" si="537"/>
        <v>1.6950937499999998</v>
      </c>
      <c r="CU196" s="188">
        <f t="shared" si="538"/>
        <v>5</v>
      </c>
      <c r="CV196" s="188"/>
      <c r="CW196" s="149">
        <f t="shared" si="539"/>
        <v>13.069594212011532</v>
      </c>
      <c r="CX196" s="149">
        <f t="shared" si="540"/>
        <v>5</v>
      </c>
      <c r="CY196" s="188">
        <f t="shared" si="541"/>
        <v>3.0577777777777779</v>
      </c>
      <c r="CZ196" s="188">
        <f t="shared" si="542"/>
        <v>4.0770370370370372</v>
      </c>
      <c r="DA196" s="188">
        <f t="shared" si="543"/>
        <v>6.7950617283950621</v>
      </c>
      <c r="DB196" s="172">
        <f t="shared" si="544"/>
        <v>281.25</v>
      </c>
      <c r="DC196" s="379">
        <f t="shared" si="545"/>
        <v>91.978561046511629</v>
      </c>
      <c r="DE196" s="188">
        <f t="shared" si="546"/>
        <v>1</v>
      </c>
      <c r="DF196" s="150">
        <f t="shared" si="547"/>
        <v>2.2222222222222219</v>
      </c>
      <c r="DG196" s="150">
        <f t="shared" si="548"/>
        <v>0.31249999999999994</v>
      </c>
      <c r="DH196" s="150"/>
      <c r="DI196" s="150">
        <f t="shared" si="549"/>
        <v>2.2222222222222219</v>
      </c>
      <c r="DJ196" s="314">
        <f t="shared" si="550"/>
        <v>928.80000000000007</v>
      </c>
      <c r="DK196" s="456">
        <f t="shared" si="551"/>
        <v>0.31249999999999994</v>
      </c>
      <c r="DM196" s="150">
        <f t="shared" si="552"/>
        <v>1.6290224939252023</v>
      </c>
      <c r="DN196" s="150">
        <f t="shared" si="553"/>
        <v>3.0577777777777779</v>
      </c>
      <c r="DO196" s="150">
        <f t="shared" si="554"/>
        <v>2.7242798353909468</v>
      </c>
      <c r="DQ196" s="314">
        <f t="shared" si="555"/>
        <v>1032</v>
      </c>
      <c r="DR196" s="144">
        <f t="shared" si="556"/>
        <v>91.978561046511629</v>
      </c>
      <c r="DT196">
        <f t="shared" si="591"/>
        <v>1032</v>
      </c>
      <c r="DU196">
        <f t="shared" si="592"/>
        <v>91.978561046511629</v>
      </c>
      <c r="DW196" s="5">
        <f t="shared" si="557"/>
        <v>10.872098765432098</v>
      </c>
      <c r="DX196" s="5">
        <f t="shared" si="558"/>
        <v>4.0770370370370372</v>
      </c>
      <c r="DY196" s="5">
        <f t="shared" si="559"/>
        <v>6.7950617283950603</v>
      </c>
      <c r="DZ196" s="5"/>
      <c r="EA196" s="150">
        <f t="shared" si="560"/>
        <v>0.37500000000000006</v>
      </c>
      <c r="EB196" s="150">
        <f t="shared" si="561"/>
        <v>5.16</v>
      </c>
      <c r="EC196" s="150">
        <f t="shared" si="562"/>
        <v>0.9555555555555556</v>
      </c>
      <c r="ED196" s="150">
        <f t="shared" si="563"/>
        <v>5.3999999999999995</v>
      </c>
      <c r="EE196" s="144">
        <f t="shared" si="564"/>
        <v>84.150044444444461</v>
      </c>
      <c r="EF196" s="5">
        <f t="shared" si="565"/>
        <v>1.6232647462277086</v>
      </c>
      <c r="EH196" s="150">
        <f t="shared" si="566"/>
        <v>1.0810877010140993</v>
      </c>
      <c r="EI196" s="150">
        <f t="shared" si="567"/>
        <v>1.3956782206057567</v>
      </c>
      <c r="EK196" s="456">
        <f t="shared" si="568"/>
        <v>2.3375012345679014E-2</v>
      </c>
      <c r="EL196" s="456">
        <f t="shared" si="569"/>
        <v>8.1000000000000016E-2</v>
      </c>
      <c r="EM196" s="456">
        <f t="shared" si="570"/>
        <v>1.1497320130813954E-2</v>
      </c>
      <c r="EN196" s="456">
        <f t="shared" si="571"/>
        <v>1.9072674418604654E-3</v>
      </c>
      <c r="EO196">
        <f t="shared" si="572"/>
        <v>4.0499999999999998E-3</v>
      </c>
      <c r="EP196" s="144">
        <f t="shared" si="573"/>
        <v>15.547320130813953</v>
      </c>
      <c r="EQ196" s="144"/>
      <c r="ER196" s="144">
        <f t="shared" si="593"/>
        <v>121.82959991835345</v>
      </c>
      <c r="ES196" s="456">
        <f t="shared" si="574"/>
        <v>0.72239999999999993</v>
      </c>
      <c r="EV196" s="144">
        <f t="shared" si="494"/>
        <v>722.4</v>
      </c>
      <c r="EW196" s="456">
        <f t="shared" si="575"/>
        <v>3.5062518518518514E-2</v>
      </c>
      <c r="EX196" s="456">
        <f t="shared" si="576"/>
        <v>5.8437530864197534E-2</v>
      </c>
      <c r="EY196" s="456">
        <f t="shared" si="577"/>
        <v>6.6328676578668144E-2</v>
      </c>
      <c r="EZ196" s="456"/>
      <c r="FA196" s="456">
        <f t="shared" si="578"/>
        <v>8.6000000000000009E-4</v>
      </c>
      <c r="FB196" s="144">
        <f t="shared" si="579"/>
        <v>160.68872596138419</v>
      </c>
      <c r="FC196" s="150">
        <f t="shared" si="580"/>
        <v>1.0049183258797376</v>
      </c>
      <c r="FD196" s="5">
        <f t="shared" si="581"/>
        <v>5.16</v>
      </c>
      <c r="FE196" s="150">
        <f t="shared" si="582"/>
        <v>0.83699405689428419</v>
      </c>
      <c r="FF196" s="5">
        <f t="shared" si="583"/>
        <v>83.699405689428417</v>
      </c>
      <c r="FI196" s="59">
        <f t="shared" si="584"/>
        <v>-50</v>
      </c>
      <c r="FJ196">
        <f t="shared" si="585"/>
        <v>-50</v>
      </c>
      <c r="FL196">
        <f t="shared" si="586"/>
        <v>0.625</v>
      </c>
    </row>
    <row r="197" spans="5:168">
      <c r="E197" s="147">
        <v>87</v>
      </c>
      <c r="F197" s="188">
        <f t="shared" si="587"/>
        <v>1.044</v>
      </c>
      <c r="G197" s="188"/>
      <c r="H197" s="188">
        <f t="shared" si="495"/>
        <v>5.2200000000000006</v>
      </c>
      <c r="I197" s="465">
        <f t="shared" si="496"/>
        <v>8.9158680488466757</v>
      </c>
      <c r="J197" s="149">
        <f t="shared" si="497"/>
        <v>5.4504791706919953</v>
      </c>
      <c r="K197" s="149">
        <f t="shared" si="498"/>
        <v>14.366347219538671</v>
      </c>
      <c r="L197" s="379"/>
      <c r="M197" s="188">
        <f t="shared" si="499"/>
        <v>0.37937627516317929</v>
      </c>
      <c r="N197" s="149">
        <f t="shared" si="500"/>
        <v>8.4942247996595874</v>
      </c>
      <c r="O197" s="149">
        <f t="shared" si="438"/>
        <v>5.2200000000000006</v>
      </c>
      <c r="P197" s="188">
        <f t="shared" si="501"/>
        <v>1.6988449599319175</v>
      </c>
      <c r="Q197" s="188">
        <f t="shared" si="502"/>
        <v>5</v>
      </c>
      <c r="R197" s="188"/>
      <c r="S197" s="149">
        <f t="shared" si="503"/>
        <v>12.70649600350465</v>
      </c>
      <c r="T197" s="149">
        <f t="shared" si="504"/>
        <v>5</v>
      </c>
      <c r="U197" s="188">
        <f t="shared" si="505"/>
        <v>3.3643573657275083</v>
      </c>
      <c r="V197" s="188">
        <f t="shared" si="506"/>
        <v>4.52813883825395</v>
      </c>
      <c r="W197" s="188">
        <f t="shared" si="507"/>
        <v>7.4071080953428199</v>
      </c>
      <c r="X197" s="172">
        <f t="shared" si="508"/>
        <v>281.88418592807744</v>
      </c>
      <c r="Y197" s="379">
        <f t="shared" si="509"/>
        <v>82.404586035367132</v>
      </c>
      <c r="AA197" s="188">
        <f t="shared" si="510"/>
        <v>1</v>
      </c>
      <c r="AB197" s="150">
        <f t="shared" si="511"/>
        <v>2.201641291379612</v>
      </c>
      <c r="AC197" s="150">
        <f t="shared" si="512"/>
        <v>0.3103039315630915</v>
      </c>
      <c r="AD197" s="150"/>
      <c r="AE197" s="150">
        <f t="shared" si="513"/>
        <v>2.201641291379612</v>
      </c>
      <c r="AF197" s="314">
        <f t="shared" si="514"/>
        <v>948.3833757004071</v>
      </c>
      <c r="AG197" s="456">
        <f t="shared" si="515"/>
        <v>0.31030393156309155</v>
      </c>
      <c r="AI197" s="150">
        <f t="shared" si="516"/>
        <v>1.6461065541803328</v>
      </c>
      <c r="AJ197" s="150">
        <f t="shared" si="517"/>
        <v>3.3643573657275083</v>
      </c>
      <c r="AK197" s="150">
        <f t="shared" si="518"/>
        <v>2.9513758264648211</v>
      </c>
      <c r="AM197" s="314">
        <f t="shared" si="519"/>
        <v>1044</v>
      </c>
      <c r="AN197" s="144">
        <f t="shared" si="520"/>
        <v>82.404586035367132</v>
      </c>
      <c r="AP197">
        <f t="shared" si="521"/>
        <v>1044</v>
      </c>
      <c r="AQ197">
        <f t="shared" si="522"/>
        <v>82.404586035367132</v>
      </c>
      <c r="AS197" s="5">
        <f t="shared" si="439"/>
        <v>12.135246933596768</v>
      </c>
      <c r="AT197" s="5">
        <f t="shared" si="523"/>
        <v>4.52813883825395</v>
      </c>
      <c r="AU197" s="5">
        <f t="shared" si="478"/>
        <v>7.6071080953428183</v>
      </c>
      <c r="AV197" s="5"/>
      <c r="AW197" s="150">
        <f t="shared" si="479"/>
        <v>0.37313940647698496</v>
      </c>
      <c r="AX197" s="150">
        <f t="shared" ref="AX197:AX210" si="596">0.5*L*AJ197^2*AN197*1000</f>
        <v>5.5963758527178786</v>
      </c>
      <c r="AY197" s="150">
        <f t="shared" ref="AY197:AY210" si="597">AJ197*Nps/2*(1-AW197)</f>
        <v>1.0544915275517366</v>
      </c>
      <c r="AZ197" s="150">
        <f t="shared" si="440"/>
        <v>5.3071795329747715</v>
      </c>
      <c r="BA197" s="144">
        <f t="shared" si="594"/>
        <v>94.547538942742477</v>
      </c>
      <c r="BB197" s="5">
        <f t="shared" si="595"/>
        <v>1.855731827425473</v>
      </c>
      <c r="BD197" s="150">
        <f t="shared" si="441"/>
        <v>1.1865254328912163</v>
      </c>
      <c r="BE197" s="150">
        <f t="shared" ref="BE197:BE210" si="598">AJ197*Nps*SQRT((1-AW197)/3)</f>
        <v>1.5378960384924023</v>
      </c>
      <c r="BG197" s="456">
        <f t="shared" si="480"/>
        <v>2.8156852057953763E-2</v>
      </c>
      <c r="BH197" s="456">
        <f t="shared" si="524"/>
        <v>7.4679453915006133E-2</v>
      </c>
      <c r="BI197" s="456">
        <f t="shared" si="525"/>
        <v>1.8367710392779166E-2</v>
      </c>
      <c r="BJ197" s="456">
        <f t="shared" si="481"/>
        <v>1.7007641753126975E-3</v>
      </c>
      <c r="BK197">
        <f t="shared" si="482"/>
        <v>4.012140621981004E-3</v>
      </c>
      <c r="BL197" s="144">
        <f t="shared" si="588"/>
        <v>22.37985101476017</v>
      </c>
      <c r="BM197" s="456">
        <f t="shared" si="526"/>
        <v>0.11289469338503358</v>
      </c>
      <c r="BN197" s="144">
        <f t="shared" si="527"/>
        <v>112.89469338503358</v>
      </c>
      <c r="BO197" s="456">
        <f t="shared" si="483"/>
        <v>0.73080000000000001</v>
      </c>
      <c r="BR197" s="144">
        <f t="shared" si="484"/>
        <v>730.8</v>
      </c>
      <c r="BS197" s="456">
        <f t="shared" si="485"/>
        <v>4.2235278086930637E-2</v>
      </c>
      <c r="BT197" s="456">
        <f t="shared" si="486"/>
        <v>7.0953726756318738E-2</v>
      </c>
      <c r="BU197" s="456">
        <f t="shared" si="487"/>
        <v>6.3988769885583607E-2</v>
      </c>
      <c r="BV197" s="456"/>
      <c r="BW197" s="456">
        <f t="shared" si="488"/>
        <v>9.3272930878631312E-4</v>
      </c>
      <c r="BX197" s="144">
        <f t="shared" si="489"/>
        <v>178.11050403761931</v>
      </c>
      <c r="BY197" s="150">
        <f t="shared" si="490"/>
        <v>1.0358274252006521</v>
      </c>
      <c r="BZ197" s="5">
        <f t="shared" si="491"/>
        <v>5.2200000000000006</v>
      </c>
      <c r="CA197" s="150">
        <f t="shared" si="492"/>
        <v>0.83442199491821367</v>
      </c>
      <c r="CB197" s="5">
        <f t="shared" si="493"/>
        <v>83.44219949182137</v>
      </c>
      <c r="CE197" s="59">
        <f t="shared" si="528"/>
        <v>-50</v>
      </c>
      <c r="CF197">
        <f t="shared" si="529"/>
        <v>-50</v>
      </c>
      <c r="CG197" s="150">
        <f t="shared" si="530"/>
        <v>0.62045393318965514</v>
      </c>
      <c r="CI197" s="147">
        <v>87</v>
      </c>
      <c r="CJ197" s="188">
        <f t="shared" si="589"/>
        <v>1.044</v>
      </c>
      <c r="CK197" s="188"/>
      <c r="CL197" s="188">
        <f t="shared" si="531"/>
        <v>5.2200000000000006</v>
      </c>
      <c r="CM197" s="465">
        <f t="shared" si="532"/>
        <v>9</v>
      </c>
      <c r="CN197" s="379">
        <f t="shared" si="533"/>
        <v>5.4</v>
      </c>
      <c r="CO197" s="379">
        <f t="shared" si="534"/>
        <v>14.4</v>
      </c>
      <c r="CP197" s="379"/>
      <c r="CQ197" s="188">
        <f t="shared" si="535"/>
        <v>0.375</v>
      </c>
      <c r="CR197" s="149">
        <f t="shared" si="590"/>
        <v>8.4754687499999992</v>
      </c>
      <c r="CS197" s="149">
        <f t="shared" si="536"/>
        <v>5.2200000000000006</v>
      </c>
      <c r="CT197" s="188">
        <f t="shared" si="537"/>
        <v>1.6950937499999998</v>
      </c>
      <c r="CU197" s="188">
        <f t="shared" si="538"/>
        <v>5</v>
      </c>
      <c r="CV197" s="188"/>
      <c r="CW197" s="149">
        <f t="shared" si="539"/>
        <v>12.823957321425008</v>
      </c>
      <c r="CX197" s="149">
        <f t="shared" si="540"/>
        <v>5</v>
      </c>
      <c r="CY197" s="188">
        <f t="shared" si="541"/>
        <v>3.0933333333333337</v>
      </c>
      <c r="CZ197" s="188">
        <f t="shared" si="542"/>
        <v>4.1244444444444444</v>
      </c>
      <c r="DA197" s="188">
        <f t="shared" si="543"/>
        <v>6.8740740740740742</v>
      </c>
      <c r="DB197" s="172">
        <f t="shared" si="544"/>
        <v>281.25</v>
      </c>
      <c r="DC197" s="379">
        <f t="shared" si="545"/>
        <v>90.921336206896541</v>
      </c>
      <c r="DE197" s="188">
        <f t="shared" si="546"/>
        <v>1</v>
      </c>
      <c r="DF197" s="150">
        <f t="shared" si="547"/>
        <v>2.2222222222222219</v>
      </c>
      <c r="DG197" s="150">
        <f t="shared" si="548"/>
        <v>0.31249999999999994</v>
      </c>
      <c r="DH197" s="150"/>
      <c r="DI197" s="150">
        <f t="shared" si="549"/>
        <v>2.2222222222222219</v>
      </c>
      <c r="DJ197" s="314">
        <f t="shared" si="550"/>
        <v>939.60000000000014</v>
      </c>
      <c r="DK197" s="456">
        <f t="shared" si="551"/>
        <v>0.31249999999999994</v>
      </c>
      <c r="DM197" s="150">
        <f t="shared" si="552"/>
        <v>1.6384661816990391</v>
      </c>
      <c r="DN197" s="150">
        <f t="shared" si="553"/>
        <v>3.0933333333333337</v>
      </c>
      <c r="DO197" s="150">
        <f t="shared" si="554"/>
        <v>2.7506172839506178</v>
      </c>
      <c r="DQ197" s="314">
        <f t="shared" si="555"/>
        <v>1044</v>
      </c>
      <c r="DR197" s="144">
        <f t="shared" si="556"/>
        <v>90.921336206896541</v>
      </c>
      <c r="DT197">
        <f t="shared" si="591"/>
        <v>1044</v>
      </c>
      <c r="DU197">
        <f t="shared" si="592"/>
        <v>90.921336206896541</v>
      </c>
      <c r="DW197" s="5">
        <f t="shared" si="557"/>
        <v>10.998518518518519</v>
      </c>
      <c r="DX197" s="5">
        <f t="shared" si="558"/>
        <v>4.1244444444444444</v>
      </c>
      <c r="DY197" s="5">
        <f t="shared" si="559"/>
        <v>6.8740740740740751</v>
      </c>
      <c r="DZ197" s="5"/>
      <c r="EA197" s="150">
        <f t="shared" si="560"/>
        <v>0.37499999999999994</v>
      </c>
      <c r="EB197" s="150">
        <f t="shared" si="561"/>
        <v>5.2200000000000015</v>
      </c>
      <c r="EC197" s="150">
        <f t="shared" si="562"/>
        <v>0.96666666666666679</v>
      </c>
      <c r="ED197" s="150">
        <f t="shared" si="563"/>
        <v>5.4000000000000012</v>
      </c>
      <c r="EE197" s="144">
        <f t="shared" si="564"/>
        <v>86.118400000000008</v>
      </c>
      <c r="EF197" s="5">
        <f t="shared" si="565"/>
        <v>1.6612345679012348</v>
      </c>
      <c r="EH197" s="150">
        <f t="shared" si="566"/>
        <v>1.0936584882351936</v>
      </c>
      <c r="EI197" s="150">
        <f t="shared" si="567"/>
        <v>1.4119070371244284</v>
      </c>
      <c r="EK197" s="456">
        <f t="shared" si="568"/>
        <v>2.3921777777777785E-2</v>
      </c>
      <c r="EL197" s="456">
        <f t="shared" si="569"/>
        <v>8.1000000000000003E-2</v>
      </c>
      <c r="EM197" s="456">
        <f t="shared" si="570"/>
        <v>1.1365167025862067E-2</v>
      </c>
      <c r="EN197" s="456">
        <f t="shared" si="571"/>
        <v>1.8853448275862068E-3</v>
      </c>
      <c r="EO197">
        <f t="shared" si="572"/>
        <v>4.0499999999999998E-3</v>
      </c>
      <c r="EP197" s="144">
        <f t="shared" si="573"/>
        <v>15.415167025862067</v>
      </c>
      <c r="EQ197" s="144"/>
      <c r="ER197" s="144">
        <f t="shared" si="593"/>
        <v>122.22228963122606</v>
      </c>
      <c r="ES197" s="456">
        <f t="shared" si="574"/>
        <v>0.73080000000000001</v>
      </c>
      <c r="EV197" s="144">
        <f t="shared" si="494"/>
        <v>730.8</v>
      </c>
      <c r="EW197" s="456">
        <f t="shared" si="575"/>
        <v>3.5882666666666674E-2</v>
      </c>
      <c r="EX197" s="456">
        <f t="shared" si="576"/>
        <v>5.9804444444444459E-2</v>
      </c>
      <c r="EY197" s="456">
        <f t="shared" si="577"/>
        <v>6.6328676578668075E-2</v>
      </c>
      <c r="EZ197" s="456"/>
      <c r="FA197" s="456">
        <f t="shared" si="578"/>
        <v>8.7000000000000011E-4</v>
      </c>
      <c r="FB197" s="144">
        <f t="shared" si="579"/>
        <v>162.88578768977922</v>
      </c>
      <c r="FC197" s="150">
        <f t="shared" si="580"/>
        <v>1.0159080773210052</v>
      </c>
      <c r="FD197" s="5">
        <f t="shared" si="581"/>
        <v>5.2200000000000006</v>
      </c>
      <c r="FE197" s="150">
        <f t="shared" si="582"/>
        <v>0.83708738731802357</v>
      </c>
      <c r="FF197" s="5">
        <f t="shared" si="583"/>
        <v>83.708738731802356</v>
      </c>
      <c r="FI197" s="59">
        <f t="shared" si="584"/>
        <v>-50</v>
      </c>
      <c r="FJ197">
        <f t="shared" si="585"/>
        <v>-50</v>
      </c>
      <c r="FL197">
        <f t="shared" si="586"/>
        <v>0.625</v>
      </c>
    </row>
    <row r="198" spans="5:168">
      <c r="E198" s="147">
        <v>88</v>
      </c>
      <c r="F198" s="188">
        <f t="shared" si="587"/>
        <v>1.056</v>
      </c>
      <c r="G198" s="188"/>
      <c r="H198" s="188">
        <f t="shared" si="495"/>
        <v>5.28</v>
      </c>
      <c r="I198" s="465">
        <f t="shared" si="496"/>
        <v>8.9149080997943315</v>
      </c>
      <c r="J198" s="149">
        <f t="shared" si="497"/>
        <v>5.451055140123402</v>
      </c>
      <c r="K198" s="149">
        <f t="shared" si="498"/>
        <v>14.365963239917733</v>
      </c>
      <c r="L198" s="379"/>
      <c r="M198" s="188">
        <f t="shared" si="499"/>
        <v>0.37942651054194937</v>
      </c>
      <c r="N198" s="149">
        <f t="shared" si="500"/>
        <v>8.4944348955790137</v>
      </c>
      <c r="O198" s="149">
        <f t="shared" ref="O198:O261" si="599">T198*F198</f>
        <v>5.28</v>
      </c>
      <c r="P198" s="188">
        <f t="shared" si="501"/>
        <v>1.6988869791158028</v>
      </c>
      <c r="Q198" s="188">
        <f t="shared" si="502"/>
        <v>5</v>
      </c>
      <c r="R198" s="188"/>
      <c r="S198" s="149">
        <f t="shared" si="503"/>
        <v>12.467588991303355</v>
      </c>
      <c r="T198" s="149">
        <f t="shared" si="504"/>
        <v>5</v>
      </c>
      <c r="U198" s="188">
        <f t="shared" si="505"/>
        <v>3.4033036149262808</v>
      </c>
      <c r="V198" s="188">
        <f t="shared" si="506"/>
        <v>4.5810504070207463</v>
      </c>
      <c r="W198" s="188">
        <f t="shared" si="507"/>
        <v>7.4920620557492352</v>
      </c>
      <c r="X198" s="172">
        <f t="shared" si="508"/>
        <v>281.89115486342843</v>
      </c>
      <c r="Y198" s="379">
        <f t="shared" si="509"/>
        <v>81.47892419575409</v>
      </c>
      <c r="AA198" s="188">
        <f t="shared" si="510"/>
        <v>1</v>
      </c>
      <c r="AB198" s="150">
        <f t="shared" si="511"/>
        <v>2.2014086615400377</v>
      </c>
      <c r="AC198" s="150">
        <f t="shared" si="512"/>
        <v>0.31027881496393772</v>
      </c>
      <c r="AD198" s="150"/>
      <c r="AE198" s="150">
        <f t="shared" si="513"/>
        <v>2.2014086615400377</v>
      </c>
      <c r="AF198" s="314">
        <f t="shared" si="514"/>
        <v>959.38570466171882</v>
      </c>
      <c r="AG198" s="456">
        <f t="shared" si="515"/>
        <v>0.31027881496393767</v>
      </c>
      <c r="AI198" s="150">
        <f t="shared" si="516"/>
        <v>1.655627377557884</v>
      </c>
      <c r="AJ198" s="150">
        <f t="shared" si="517"/>
        <v>3.4033036149262808</v>
      </c>
      <c r="AK198" s="150">
        <f t="shared" si="518"/>
        <v>2.9802248999453931</v>
      </c>
      <c r="AM198" s="314">
        <f t="shared" si="519"/>
        <v>1056</v>
      </c>
      <c r="AN198" s="144">
        <f t="shared" si="520"/>
        <v>81.47892419575409</v>
      </c>
      <c r="AP198">
        <f t="shared" si="521"/>
        <v>1056</v>
      </c>
      <c r="AQ198">
        <f t="shared" si="522"/>
        <v>81.47892419575409</v>
      </c>
      <c r="AS198" s="5">
        <f t="shared" ref="AS198:AS262" si="600">1/AN198*1000</f>
        <v>12.27311246276998</v>
      </c>
      <c r="AT198" s="5">
        <f t="shared" si="523"/>
        <v>4.5810504070207463</v>
      </c>
      <c r="AU198" s="5">
        <f t="shared" si="478"/>
        <v>7.6920620557492336</v>
      </c>
      <c r="AV198" s="5"/>
      <c r="AW198" s="150">
        <f t="shared" si="479"/>
        <v>0.37325905885057181</v>
      </c>
      <c r="AX198" s="150">
        <f t="shared" si="596"/>
        <v>5.6623658573187328</v>
      </c>
      <c r="AY198" s="150">
        <f t="shared" si="597"/>
        <v>1.0664948553180742</v>
      </c>
      <c r="AZ198" s="150">
        <f t="shared" ref="AZ198:AZ210" si="601">AX198/AY198</f>
        <v>5.3093231805885965</v>
      </c>
      <c r="BA198" s="144">
        <f t="shared" si="594"/>
        <v>96.751784596278171</v>
      </c>
      <c r="BB198" s="5">
        <f t="shared" si="595"/>
        <v>1.898228936654851</v>
      </c>
      <c r="BD198" s="150">
        <f t="shared" ref="BD198:BD210" si="602">AJ198*SQRT(AW198/3)</f>
        <v>1.2004532342080534</v>
      </c>
      <c r="BE198" s="150">
        <f t="shared" si="598"/>
        <v>1.5555504484274547</v>
      </c>
      <c r="BG198" s="456">
        <f t="shared" si="480"/>
        <v>2.8821759350411508E-2</v>
      </c>
      <c r="BH198" s="456">
        <f t="shared" si="524"/>
        <v>7.4693361364050831E-2</v>
      </c>
      <c r="BI198" s="456">
        <f t="shared" si="525"/>
        <v>1.8159428031881412E-2</v>
      </c>
      <c r="BJ198" s="456">
        <f t="shared" si="481"/>
        <v>1.6815693691124905E-3</v>
      </c>
      <c r="BK198">
        <f t="shared" si="482"/>
        <v>4.0117086449074487E-3</v>
      </c>
      <c r="BL198" s="144">
        <f t="shared" si="588"/>
        <v>22.171136676788862</v>
      </c>
      <c r="BM198" s="456">
        <f t="shared" si="526"/>
        <v>0.11375758272502981</v>
      </c>
      <c r="BN198" s="144">
        <f t="shared" si="527"/>
        <v>113.75758272502981</v>
      </c>
      <c r="BO198" s="456">
        <f t="shared" si="483"/>
        <v>0.73919999999999997</v>
      </c>
      <c r="BR198" s="144">
        <f t="shared" si="484"/>
        <v>739.19999999999993</v>
      </c>
      <c r="BS198" s="456">
        <f t="shared" si="485"/>
        <v>4.3232639025617262E-2</v>
      </c>
      <c r="BT198" s="456">
        <f t="shared" si="486"/>
        <v>7.2592115928085663E-2</v>
      </c>
      <c r="BU198" s="456">
        <f t="shared" si="487"/>
        <v>6.4022843266790808E-2</v>
      </c>
      <c r="BV198" s="456"/>
      <c r="BW198" s="456">
        <f t="shared" si="488"/>
        <v>9.4372764288645533E-4</v>
      </c>
      <c r="BX198" s="144">
        <f t="shared" si="489"/>
        <v>180.79132586338017</v>
      </c>
      <c r="BY198" s="150">
        <f t="shared" si="490"/>
        <v>1.0473591526237438</v>
      </c>
      <c r="BZ198" s="5">
        <f t="shared" si="491"/>
        <v>5.28</v>
      </c>
      <c r="CA198" s="150">
        <f t="shared" si="492"/>
        <v>0.83447136042697378</v>
      </c>
      <c r="CB198" s="5">
        <f t="shared" si="493"/>
        <v>83.44713604269738</v>
      </c>
      <c r="CE198" s="59">
        <f t="shared" si="528"/>
        <v>-50</v>
      </c>
      <c r="CF198">
        <f t="shared" si="529"/>
        <v>-50</v>
      </c>
      <c r="CG198" s="150">
        <f t="shared" si="530"/>
        <v>0.62050559303977271</v>
      </c>
      <c r="CI198" s="147">
        <v>88</v>
      </c>
      <c r="CJ198" s="188">
        <f t="shared" si="589"/>
        <v>1.056</v>
      </c>
      <c r="CK198" s="188"/>
      <c r="CL198" s="188">
        <f t="shared" si="531"/>
        <v>5.28</v>
      </c>
      <c r="CM198" s="465">
        <f t="shared" si="532"/>
        <v>9</v>
      </c>
      <c r="CN198" s="379">
        <f t="shared" si="533"/>
        <v>5.4</v>
      </c>
      <c r="CO198" s="379">
        <f t="shared" si="534"/>
        <v>14.4</v>
      </c>
      <c r="CP198" s="379"/>
      <c r="CQ198" s="188">
        <f t="shared" si="535"/>
        <v>0.375</v>
      </c>
      <c r="CR198" s="149">
        <f t="shared" si="590"/>
        <v>8.4754687499999992</v>
      </c>
      <c r="CS198" s="149">
        <f t="shared" si="536"/>
        <v>5.28</v>
      </c>
      <c r="CT198" s="188">
        <f t="shared" si="537"/>
        <v>1.6950937499999998</v>
      </c>
      <c r="CU198" s="188">
        <f t="shared" si="538"/>
        <v>5</v>
      </c>
      <c r="CV198" s="188"/>
      <c r="CW198" s="149">
        <f t="shared" si="539"/>
        <v>12.584080782106467</v>
      </c>
      <c r="CX198" s="149">
        <f t="shared" si="540"/>
        <v>5</v>
      </c>
      <c r="CY198" s="188">
        <f t="shared" si="541"/>
        <v>3.1288888888888891</v>
      </c>
      <c r="CZ198" s="188">
        <f t="shared" si="542"/>
        <v>4.1718518518518524</v>
      </c>
      <c r="DA198" s="188">
        <f t="shared" si="543"/>
        <v>6.9530864197530864</v>
      </c>
      <c r="DB198" s="172">
        <f t="shared" si="544"/>
        <v>281.25</v>
      </c>
      <c r="DC198" s="379">
        <f t="shared" si="545"/>
        <v>89.888139204545439</v>
      </c>
      <c r="DE198" s="188">
        <f t="shared" si="546"/>
        <v>1</v>
      </c>
      <c r="DF198" s="150">
        <f t="shared" si="547"/>
        <v>2.2222222222222219</v>
      </c>
      <c r="DG198" s="150">
        <f t="shared" si="548"/>
        <v>0.31249999999999994</v>
      </c>
      <c r="DH198" s="150"/>
      <c r="DI198" s="150">
        <f t="shared" si="549"/>
        <v>2.2222222222222219</v>
      </c>
      <c r="DJ198" s="314">
        <f t="shared" si="550"/>
        <v>950.40000000000009</v>
      </c>
      <c r="DK198" s="456">
        <f t="shared" si="551"/>
        <v>0.31249999999999994</v>
      </c>
      <c r="DM198" s="150">
        <f t="shared" si="552"/>
        <v>1.6478557495814286</v>
      </c>
      <c r="DN198" s="150">
        <f t="shared" si="553"/>
        <v>3.1288888888888891</v>
      </c>
      <c r="DO198" s="150">
        <f t="shared" si="554"/>
        <v>2.7769547325102879</v>
      </c>
      <c r="DQ198" s="314">
        <f t="shared" si="555"/>
        <v>1056</v>
      </c>
      <c r="DR198" s="144">
        <f t="shared" si="556"/>
        <v>89.888139204545439</v>
      </c>
      <c r="DT198">
        <f t="shared" si="591"/>
        <v>1056</v>
      </c>
      <c r="DU198">
        <f t="shared" si="592"/>
        <v>89.888139204545439</v>
      </c>
      <c r="DW198" s="5">
        <f t="shared" si="557"/>
        <v>11.124938271604941</v>
      </c>
      <c r="DX198" s="5">
        <f t="shared" si="558"/>
        <v>4.1718518518518524</v>
      </c>
      <c r="DY198" s="5">
        <f t="shared" si="559"/>
        <v>6.9530864197530891</v>
      </c>
      <c r="DZ198" s="5"/>
      <c r="EA198" s="150">
        <f t="shared" si="560"/>
        <v>0.37499999999999994</v>
      </c>
      <c r="EB198" s="150">
        <f t="shared" si="561"/>
        <v>5.28</v>
      </c>
      <c r="EC198" s="150">
        <f t="shared" si="562"/>
        <v>0.97777777777777786</v>
      </c>
      <c r="ED198" s="150">
        <f t="shared" si="563"/>
        <v>5.3999999999999995</v>
      </c>
      <c r="EE198" s="144">
        <f t="shared" si="564"/>
        <v>88.109511111111118</v>
      </c>
      <c r="EF198" s="5">
        <f t="shared" si="565"/>
        <v>1.6996433470507548</v>
      </c>
      <c r="EH198" s="150">
        <f t="shared" si="566"/>
        <v>1.1062292754562877</v>
      </c>
      <c r="EI198" s="150">
        <f t="shared" si="567"/>
        <v>1.4281358536430999</v>
      </c>
      <c r="EK198" s="456">
        <f t="shared" si="568"/>
        <v>2.4474864197530866E-2</v>
      </c>
      <c r="EL198" s="456">
        <f t="shared" si="569"/>
        <v>8.0999999999999989E-2</v>
      </c>
      <c r="EM198" s="456">
        <f t="shared" si="570"/>
        <v>1.123601740056818E-2</v>
      </c>
      <c r="EN198" s="456">
        <f t="shared" si="571"/>
        <v>1.8639204545454545E-3</v>
      </c>
      <c r="EO198">
        <f t="shared" si="572"/>
        <v>4.0499999999999998E-3</v>
      </c>
      <c r="EP198" s="144">
        <f t="shared" si="573"/>
        <v>15.286017400568181</v>
      </c>
      <c r="EQ198" s="144"/>
      <c r="ER198" s="144">
        <f t="shared" si="593"/>
        <v>122.62480205264448</v>
      </c>
      <c r="ES198" s="456">
        <f t="shared" si="574"/>
        <v>0.73919999999999997</v>
      </c>
      <c r="EV198" s="144">
        <f t="shared" si="494"/>
        <v>739.19999999999993</v>
      </c>
      <c r="EW198" s="456">
        <f t="shared" si="575"/>
        <v>3.6712296296296298E-2</v>
      </c>
      <c r="EX198" s="456">
        <f t="shared" si="576"/>
        <v>6.1187160493827171E-2</v>
      </c>
      <c r="EY198" s="456">
        <f t="shared" si="577"/>
        <v>6.6328676578668158E-2</v>
      </c>
      <c r="EZ198" s="456"/>
      <c r="FA198" s="456">
        <f t="shared" si="578"/>
        <v>8.7999999999999992E-4</v>
      </c>
      <c r="FB198" s="144">
        <f t="shared" si="579"/>
        <v>165.10813336879158</v>
      </c>
      <c r="FC198" s="150">
        <f t="shared" si="580"/>
        <v>1.026932935421436</v>
      </c>
      <c r="FD198" s="5">
        <f t="shared" si="581"/>
        <v>5.28</v>
      </c>
      <c r="FE198" s="150">
        <f t="shared" si="582"/>
        <v>0.83717395667014249</v>
      </c>
      <c r="FF198" s="5">
        <f t="shared" si="583"/>
        <v>83.717395667014245</v>
      </c>
      <c r="FI198" s="59">
        <f t="shared" si="584"/>
        <v>-50</v>
      </c>
      <c r="FJ198">
        <f t="shared" si="585"/>
        <v>-50</v>
      </c>
      <c r="FL198">
        <f t="shared" si="586"/>
        <v>0.625</v>
      </c>
    </row>
    <row r="199" spans="5:168">
      <c r="E199" s="147">
        <v>89</v>
      </c>
      <c r="F199" s="188">
        <f t="shared" si="587"/>
        <v>1.0680000000000001</v>
      </c>
      <c r="G199" s="188"/>
      <c r="H199" s="188">
        <f t="shared" si="495"/>
        <v>5.34</v>
      </c>
      <c r="I199" s="465">
        <f t="shared" si="496"/>
        <v>8.9139481495888955</v>
      </c>
      <c r="J199" s="149">
        <f t="shared" si="497"/>
        <v>5.4516311102466632</v>
      </c>
      <c r="K199" s="149">
        <f t="shared" si="498"/>
        <v>14.36557925983556</v>
      </c>
      <c r="L199" s="379"/>
      <c r="M199" s="188">
        <f t="shared" si="499"/>
        <v>0.37947674863653197</v>
      </c>
      <c r="N199" s="149">
        <f t="shared" si="500"/>
        <v>8.4946448089914188</v>
      </c>
      <c r="O199" s="149">
        <f t="shared" si="599"/>
        <v>5.34</v>
      </c>
      <c r="P199" s="188">
        <f t="shared" si="501"/>
        <v>1.6989289617982837</v>
      </c>
      <c r="Q199" s="188">
        <f t="shared" si="502"/>
        <v>5</v>
      </c>
      <c r="R199" s="188"/>
      <c r="S199" s="149">
        <f t="shared" si="503"/>
        <v>12.234250679413378</v>
      </c>
      <c r="T199" s="149">
        <f t="shared" si="504"/>
        <v>5</v>
      </c>
      <c r="U199" s="188">
        <f t="shared" si="505"/>
        <v>3.442256185093135</v>
      </c>
      <c r="V199" s="188">
        <f t="shared" si="506"/>
        <v>4.6339818818693352</v>
      </c>
      <c r="W199" s="188">
        <f t="shared" si="507"/>
        <v>7.5770119778424725</v>
      </c>
      <c r="X199" s="172">
        <f t="shared" si="508"/>
        <v>281.89811776503313</v>
      </c>
      <c r="Y199" s="379">
        <f t="shared" si="509"/>
        <v>80.57372449809759</v>
      </c>
      <c r="AA199" s="188">
        <f t="shared" si="510"/>
        <v>0.99999999999999978</v>
      </c>
      <c r="AB199" s="150">
        <f t="shared" si="511"/>
        <v>2.2011760805761944</v>
      </c>
      <c r="AC199" s="150">
        <f t="shared" si="512"/>
        <v>0.31025369699192101</v>
      </c>
      <c r="AD199" s="150"/>
      <c r="AE199" s="150">
        <f t="shared" si="513"/>
        <v>2.2011760805761948</v>
      </c>
      <c r="AF199" s="314">
        <f t="shared" si="514"/>
        <v>970.39033762390613</v>
      </c>
      <c r="AG199" s="456">
        <f t="shared" si="515"/>
        <v>0.31025369699192112</v>
      </c>
      <c r="AI199" s="150">
        <f t="shared" si="516"/>
        <v>1.6650957395244841</v>
      </c>
      <c r="AJ199" s="150">
        <f t="shared" si="517"/>
        <v>3.442256185093135</v>
      </c>
      <c r="AK199" s="150">
        <f t="shared" si="518"/>
        <v>3.0090786556245446</v>
      </c>
      <c r="AM199" s="314">
        <f t="shared" si="519"/>
        <v>1068</v>
      </c>
      <c r="AN199" s="144">
        <f t="shared" si="520"/>
        <v>80.57372449809759</v>
      </c>
      <c r="AP199">
        <f t="shared" si="521"/>
        <v>1068</v>
      </c>
      <c r="AQ199">
        <f t="shared" si="522"/>
        <v>80.57372449809759</v>
      </c>
      <c r="AS199" s="5">
        <f t="shared" si="600"/>
        <v>12.410993859711807</v>
      </c>
      <c r="AT199" s="5">
        <f t="shared" si="523"/>
        <v>4.6339818818693352</v>
      </c>
      <c r="AU199" s="5">
        <f t="shared" si="478"/>
        <v>7.7770119778424718</v>
      </c>
      <c r="AV199" s="5"/>
      <c r="AW199" s="150">
        <f t="shared" si="479"/>
        <v>0.37337717947891563</v>
      </c>
      <c r="AX199" s="150">
        <f t="shared" si="596"/>
        <v>5.7283700778917748</v>
      </c>
      <c r="AY199" s="150">
        <f t="shared" si="597"/>
        <v>1.0784981398296041</v>
      </c>
      <c r="AZ199" s="150">
        <f t="shared" si="601"/>
        <v>5.3114325063155148</v>
      </c>
      <c r="BA199" s="144">
        <f t="shared" si="594"/>
        <v>98.981852996729017</v>
      </c>
      <c r="BB199" s="5">
        <f t="shared" si="595"/>
        <v>1.9412107138515875</v>
      </c>
      <c r="BD199" s="150">
        <f t="shared" si="602"/>
        <v>1.2143851474349963</v>
      </c>
      <c r="BE199" s="150">
        <f t="shared" si="598"/>
        <v>1.5732062573907033</v>
      </c>
      <c r="BG199" s="456">
        <f t="shared" si="480"/>
        <v>2.9494625726214353E-2</v>
      </c>
      <c r="BH199" s="456">
        <f t="shared" si="524"/>
        <v>7.4706956316172413E-2</v>
      </c>
      <c r="BI199" s="456">
        <f t="shared" si="525"/>
        <v>1.795575005988256E-2</v>
      </c>
      <c r="BJ199" s="456">
        <f t="shared" si="481"/>
        <v>1.6627988846286453E-3</v>
      </c>
      <c r="BK199">
        <f t="shared" si="482"/>
        <v>4.011276667315003E-3</v>
      </c>
      <c r="BL199" s="144">
        <f t="shared" si="588"/>
        <v>21.967026727197563</v>
      </c>
      <c r="BM199" s="456">
        <f t="shared" si="526"/>
        <v>0.11463125690318032</v>
      </c>
      <c r="BN199" s="144">
        <f t="shared" si="527"/>
        <v>114.63125690318033</v>
      </c>
      <c r="BO199" s="456">
        <f t="shared" si="483"/>
        <v>0.74760000000000004</v>
      </c>
      <c r="BR199" s="144">
        <f t="shared" si="484"/>
        <v>747.6</v>
      </c>
      <c r="BS199" s="456">
        <f t="shared" si="485"/>
        <v>4.4241938589321524E-2</v>
      </c>
      <c r="BT199" s="456">
        <f t="shared" si="486"/>
        <v>7.4249337848797919E-2</v>
      </c>
      <c r="BU199" s="456">
        <f t="shared" si="487"/>
        <v>6.4056259493881787E-2</v>
      </c>
      <c r="BV199" s="456"/>
      <c r="BW199" s="456">
        <f t="shared" si="488"/>
        <v>9.5472834631529584E-4</v>
      </c>
      <c r="BX199" s="144">
        <f t="shared" si="489"/>
        <v>183.50226427831655</v>
      </c>
      <c r="BY199" s="150">
        <f t="shared" si="490"/>
        <v>1.0589336719325297</v>
      </c>
      <c r="BZ199" s="5">
        <f t="shared" si="491"/>
        <v>5.34</v>
      </c>
      <c r="CA199" s="150">
        <f t="shared" si="492"/>
        <v>0.83451404152268338</v>
      </c>
      <c r="CB199" s="5">
        <f t="shared" si="493"/>
        <v>83.451404152268339</v>
      </c>
      <c r="CE199" s="59">
        <f t="shared" si="528"/>
        <v>-50</v>
      </c>
      <c r="CF199">
        <f t="shared" si="529"/>
        <v>-50</v>
      </c>
      <c r="CG199" s="150">
        <f t="shared" si="530"/>
        <v>0.620556091994382</v>
      </c>
      <c r="CI199" s="147">
        <v>89</v>
      </c>
      <c r="CJ199" s="188">
        <f t="shared" si="589"/>
        <v>1.0680000000000001</v>
      </c>
      <c r="CK199" s="188"/>
      <c r="CL199" s="188">
        <f t="shared" si="531"/>
        <v>5.34</v>
      </c>
      <c r="CM199" s="465">
        <f t="shared" si="532"/>
        <v>9</v>
      </c>
      <c r="CN199" s="379">
        <f t="shared" si="533"/>
        <v>5.4</v>
      </c>
      <c r="CO199" s="379">
        <f t="shared" si="534"/>
        <v>14.4</v>
      </c>
      <c r="CP199" s="379"/>
      <c r="CQ199" s="188">
        <f t="shared" si="535"/>
        <v>0.375</v>
      </c>
      <c r="CR199" s="149">
        <f t="shared" si="590"/>
        <v>8.4754687499999992</v>
      </c>
      <c r="CS199" s="149">
        <f t="shared" si="536"/>
        <v>5.34</v>
      </c>
      <c r="CT199" s="188">
        <f t="shared" si="537"/>
        <v>1.6950937499999998</v>
      </c>
      <c r="CU199" s="188">
        <f t="shared" si="538"/>
        <v>5</v>
      </c>
      <c r="CV199" s="188"/>
      <c r="CW199" s="149">
        <f t="shared" si="539"/>
        <v>12.349773683456757</v>
      </c>
      <c r="CX199" s="149">
        <f t="shared" si="540"/>
        <v>5</v>
      </c>
      <c r="CY199" s="188">
        <f t="shared" si="541"/>
        <v>3.1644444444444444</v>
      </c>
      <c r="CZ199" s="188">
        <f t="shared" si="542"/>
        <v>4.2192592592592595</v>
      </c>
      <c r="DA199" s="188">
        <f t="shared" si="543"/>
        <v>7.0320987654320986</v>
      </c>
      <c r="DB199" s="172">
        <f t="shared" si="544"/>
        <v>281.25</v>
      </c>
      <c r="DC199" s="379">
        <f t="shared" si="545"/>
        <v>88.878160112359552</v>
      </c>
      <c r="DE199" s="188">
        <f t="shared" si="546"/>
        <v>1</v>
      </c>
      <c r="DF199" s="150">
        <f t="shared" si="547"/>
        <v>2.2222222222222219</v>
      </c>
      <c r="DG199" s="150">
        <f t="shared" si="548"/>
        <v>0.31249999999999994</v>
      </c>
      <c r="DH199" s="150"/>
      <c r="DI199" s="150">
        <f t="shared" si="549"/>
        <v>2.2222222222222219</v>
      </c>
      <c r="DJ199" s="314">
        <f t="shared" si="550"/>
        <v>961.20000000000016</v>
      </c>
      <c r="DK199" s="456">
        <f t="shared" si="551"/>
        <v>0.31249999999999994</v>
      </c>
      <c r="DM199" s="150">
        <f t="shared" si="552"/>
        <v>1.6571921174944428</v>
      </c>
      <c r="DN199" s="150">
        <f t="shared" si="553"/>
        <v>3.1644444444444444</v>
      </c>
      <c r="DO199" s="150">
        <f t="shared" si="554"/>
        <v>2.8032921810699589</v>
      </c>
      <c r="DQ199" s="314">
        <f t="shared" si="555"/>
        <v>1068</v>
      </c>
      <c r="DR199" s="144">
        <f t="shared" si="556"/>
        <v>88.878160112359552</v>
      </c>
      <c r="DT199">
        <f t="shared" si="591"/>
        <v>1068</v>
      </c>
      <c r="DU199">
        <f t="shared" si="592"/>
        <v>88.878160112359552</v>
      </c>
      <c r="DW199" s="5">
        <f t="shared" si="557"/>
        <v>11.251358024691358</v>
      </c>
      <c r="DX199" s="5">
        <f t="shared" si="558"/>
        <v>4.2192592592592595</v>
      </c>
      <c r="DY199" s="5">
        <f t="shared" si="559"/>
        <v>7.0320987654320986</v>
      </c>
      <c r="DZ199" s="5"/>
      <c r="EA199" s="150">
        <f t="shared" si="560"/>
        <v>0.375</v>
      </c>
      <c r="EB199" s="150">
        <f t="shared" si="561"/>
        <v>5.34</v>
      </c>
      <c r="EC199" s="150">
        <f t="shared" si="562"/>
        <v>0.98888888888888893</v>
      </c>
      <c r="ED199" s="150">
        <f t="shared" si="563"/>
        <v>5.3999999999999995</v>
      </c>
      <c r="EE199" s="144">
        <f t="shared" si="564"/>
        <v>90.12337777777779</v>
      </c>
      <c r="EF199" s="5">
        <f t="shared" si="565"/>
        <v>1.7384910836762684</v>
      </c>
      <c r="EH199" s="150">
        <f t="shared" si="566"/>
        <v>1.118800062677382</v>
      </c>
      <c r="EI199" s="150">
        <f t="shared" si="567"/>
        <v>1.4443646701617714</v>
      </c>
      <c r="EK199" s="456">
        <f t="shared" si="568"/>
        <v>2.503427160493828E-2</v>
      </c>
      <c r="EL199" s="456">
        <f t="shared" si="569"/>
        <v>8.1000000000000003E-2</v>
      </c>
      <c r="EM199" s="456">
        <f t="shared" si="570"/>
        <v>1.1109770014044944E-2</v>
      </c>
      <c r="EN199" s="456">
        <f t="shared" si="571"/>
        <v>1.8429775280898878E-3</v>
      </c>
      <c r="EO199">
        <f t="shared" si="572"/>
        <v>4.0499999999999998E-3</v>
      </c>
      <c r="EP199" s="144">
        <f t="shared" si="573"/>
        <v>15.159770014044943</v>
      </c>
      <c r="EQ199" s="144"/>
      <c r="ER199" s="144">
        <f t="shared" si="593"/>
        <v>123.03701914707311</v>
      </c>
      <c r="ES199" s="456">
        <f t="shared" si="574"/>
        <v>0.74760000000000004</v>
      </c>
      <c r="EV199" s="144">
        <f t="shared" si="494"/>
        <v>747.6</v>
      </c>
      <c r="EW199" s="456">
        <f t="shared" si="575"/>
        <v>3.7551407407407415E-2</v>
      </c>
      <c r="EX199" s="456">
        <f t="shared" si="576"/>
        <v>6.2585679012345685E-2</v>
      </c>
      <c r="EY199" s="456">
        <f t="shared" si="577"/>
        <v>6.6328676578668089E-2</v>
      </c>
      <c r="EZ199" s="456"/>
      <c r="FA199" s="456">
        <f t="shared" si="578"/>
        <v>8.9000000000000006E-4</v>
      </c>
      <c r="FB199" s="144">
        <f t="shared" si="579"/>
        <v>167.3557629984212</v>
      </c>
      <c r="FC199" s="150">
        <f t="shared" si="580"/>
        <v>1.0379927821454944</v>
      </c>
      <c r="FD199" s="5">
        <f t="shared" si="581"/>
        <v>5.34</v>
      </c>
      <c r="FE199" s="150">
        <f t="shared" si="582"/>
        <v>0.83725400488830226</v>
      </c>
      <c r="FF199" s="5">
        <f t="shared" si="583"/>
        <v>83.725400488830232</v>
      </c>
      <c r="FI199" s="59">
        <f t="shared" si="584"/>
        <v>-50</v>
      </c>
      <c r="FJ199">
        <f t="shared" si="585"/>
        <v>-50</v>
      </c>
      <c r="FL199">
        <f t="shared" si="586"/>
        <v>0.625</v>
      </c>
    </row>
    <row r="200" spans="5:168">
      <c r="E200" s="147">
        <v>90</v>
      </c>
      <c r="F200" s="188">
        <f t="shared" si="587"/>
        <v>1.08</v>
      </c>
      <c r="G200" s="188"/>
      <c r="H200" s="188">
        <f t="shared" si="495"/>
        <v>5.4</v>
      </c>
      <c r="I200" s="465">
        <f t="shared" si="496"/>
        <v>8.9129881982690797</v>
      </c>
      <c r="J200" s="149">
        <f t="shared" si="497"/>
        <v>5.4522070810385523</v>
      </c>
      <c r="K200" s="149">
        <f t="shared" si="498"/>
        <v>14.365195279307631</v>
      </c>
      <c r="L200" s="379"/>
      <c r="M200" s="188">
        <f t="shared" si="499"/>
        <v>0.37952698944613422</v>
      </c>
      <c r="N200" s="149">
        <f t="shared" si="500"/>
        <v>8.4948545398958721</v>
      </c>
      <c r="O200" s="149">
        <f t="shared" si="599"/>
        <v>5.4</v>
      </c>
      <c r="P200" s="188">
        <f t="shared" si="501"/>
        <v>1.6989709079791744</v>
      </c>
      <c r="Q200" s="188">
        <f t="shared" si="502"/>
        <v>5</v>
      </c>
      <c r="R200" s="188"/>
      <c r="S200" s="149">
        <f t="shared" si="503"/>
        <v>12.006298703348728</v>
      </c>
      <c r="T200" s="149">
        <f t="shared" si="504"/>
        <v>5</v>
      </c>
      <c r="U200" s="188">
        <f t="shared" si="505"/>
        <v>3.4812150782704867</v>
      </c>
      <c r="V200" s="188">
        <f t="shared" si="506"/>
        <v>4.6869332719815056</v>
      </c>
      <c r="W200" s="188">
        <f t="shared" si="507"/>
        <v>7.6619578673978941</v>
      </c>
      <c r="X200" s="172">
        <f t="shared" si="508"/>
        <v>281.90507463210474</v>
      </c>
      <c r="Y200" s="379">
        <f t="shared" si="509"/>
        <v>79.688315795642055</v>
      </c>
      <c r="AA200" s="188">
        <f t="shared" si="510"/>
        <v>1</v>
      </c>
      <c r="AB200" s="150">
        <f t="shared" si="511"/>
        <v>2.200943548482059</v>
      </c>
      <c r="AC200" s="150">
        <f t="shared" si="512"/>
        <v>0.31022857764794215</v>
      </c>
      <c r="AD200" s="150"/>
      <c r="AE200" s="150">
        <f t="shared" si="513"/>
        <v>2.200943548482059</v>
      </c>
      <c r="AF200" s="314">
        <f t="shared" si="514"/>
        <v>981.39727458693937</v>
      </c>
      <c r="AG200" s="456">
        <f t="shared" si="515"/>
        <v>0.31022857764794221</v>
      </c>
      <c r="AI200" s="150">
        <f t="shared" si="516"/>
        <v>1.6745125299935923</v>
      </c>
      <c r="AJ200" s="150">
        <f t="shared" si="517"/>
        <v>3.4812150782704867</v>
      </c>
      <c r="AK200" s="150">
        <f t="shared" si="518"/>
        <v>3.0379370950151756</v>
      </c>
      <c r="AM200" s="314">
        <f t="shared" si="519"/>
        <v>1080</v>
      </c>
      <c r="AN200" s="144">
        <f t="shared" si="520"/>
        <v>79.688315795642055</v>
      </c>
      <c r="AP200">
        <f t="shared" si="521"/>
        <v>1080</v>
      </c>
      <c r="AQ200">
        <f t="shared" si="522"/>
        <v>79.688315795642055</v>
      </c>
      <c r="AS200" s="5">
        <f t="shared" si="600"/>
        <v>12.5488911393794</v>
      </c>
      <c r="AT200" s="5">
        <f t="shared" si="523"/>
        <v>4.6869332719815056</v>
      </c>
      <c r="AU200" s="5">
        <f t="shared" si="478"/>
        <v>7.8619578673978943</v>
      </c>
      <c r="AV200" s="5"/>
      <c r="AW200" s="150">
        <f t="shared" si="479"/>
        <v>0.37349381869076409</v>
      </c>
      <c r="AX200" s="150">
        <f t="shared" si="596"/>
        <v>5.7943885016969512</v>
      </c>
      <c r="AY200" s="150">
        <f t="shared" si="597"/>
        <v>1.0905013825016876</v>
      </c>
      <c r="AZ200" s="150">
        <f t="shared" si="601"/>
        <v>5.3135086251832275</v>
      </c>
      <c r="BA200" s="144">
        <f t="shared" si="594"/>
        <v>101.23775867480052</v>
      </c>
      <c r="BB200" s="5">
        <f t="shared" si="595"/>
        <v>1.9846772831002488</v>
      </c>
      <c r="BD200" s="150">
        <f t="shared" si="602"/>
        <v>1.2283211726985219</v>
      </c>
      <c r="BE200" s="150">
        <f t="shared" si="598"/>
        <v>1.5908634669343744</v>
      </c>
      <c r="BG200" s="456">
        <f t="shared" si="480"/>
        <v>3.0175458065989442E-2</v>
      </c>
      <c r="BH200" s="456">
        <f t="shared" si="524"/>
        <v>7.4720248964412012E-2</v>
      </c>
      <c r="BI200" s="456">
        <f t="shared" si="525"/>
        <v>1.7756525455662427E-2</v>
      </c>
      <c r="BJ200" s="456">
        <f t="shared" si="481"/>
        <v>1.644438804358356E-3</v>
      </c>
      <c r="BK200">
        <f t="shared" si="482"/>
        <v>4.010844689221086E-3</v>
      </c>
      <c r="BL200" s="144">
        <f t="shared" si="588"/>
        <v>21.767370144883511</v>
      </c>
      <c r="BM200" s="456">
        <f t="shared" si="526"/>
        <v>0.11551573136216198</v>
      </c>
      <c r="BN200" s="144">
        <f t="shared" si="527"/>
        <v>115.51573136216197</v>
      </c>
      <c r="BO200" s="456">
        <f t="shared" si="483"/>
        <v>0.75600000000000001</v>
      </c>
      <c r="BR200" s="144">
        <f t="shared" si="484"/>
        <v>756</v>
      </c>
      <c r="BS200" s="456">
        <f t="shared" si="485"/>
        <v>4.5263187098984164E-2</v>
      </c>
      <c r="BT200" s="456">
        <f t="shared" si="486"/>
        <v>7.5925397112793724E-2</v>
      </c>
      <c r="BU200" s="456">
        <f t="shared" si="487"/>
        <v>6.4089039743770476E-2</v>
      </c>
      <c r="BV200" s="456"/>
      <c r="BW200" s="456">
        <f t="shared" si="488"/>
        <v>9.6573141694949191E-4</v>
      </c>
      <c r="BX200" s="144">
        <f t="shared" si="489"/>
        <v>186.24335537249786</v>
      </c>
      <c r="BY200" s="150">
        <f t="shared" si="490"/>
        <v>1.0705508713521412</v>
      </c>
      <c r="BZ200" s="5">
        <f t="shared" si="491"/>
        <v>5.4</v>
      </c>
      <c r="CA200" s="150">
        <f t="shared" si="492"/>
        <v>0.834550273595418</v>
      </c>
      <c r="CB200" s="5">
        <f t="shared" si="493"/>
        <v>83.455027359541802</v>
      </c>
      <c r="CE200" s="59">
        <f t="shared" si="528"/>
        <v>-50</v>
      </c>
      <c r="CF200">
        <f t="shared" si="529"/>
        <v>-50</v>
      </c>
      <c r="CG200" s="150">
        <f t="shared" si="530"/>
        <v>0.62060546875</v>
      </c>
      <c r="CI200" s="147">
        <v>90</v>
      </c>
      <c r="CJ200" s="188">
        <f t="shared" si="589"/>
        <v>1.08</v>
      </c>
      <c r="CK200" s="188"/>
      <c r="CL200" s="188">
        <f t="shared" si="531"/>
        <v>5.4</v>
      </c>
      <c r="CM200" s="465">
        <f t="shared" si="532"/>
        <v>9</v>
      </c>
      <c r="CN200" s="379">
        <f t="shared" si="533"/>
        <v>5.4</v>
      </c>
      <c r="CO200" s="379">
        <f t="shared" si="534"/>
        <v>14.4</v>
      </c>
      <c r="CP200" s="379"/>
      <c r="CQ200" s="188">
        <f t="shared" si="535"/>
        <v>0.375</v>
      </c>
      <c r="CR200" s="149">
        <f t="shared" si="590"/>
        <v>8.4754687499999992</v>
      </c>
      <c r="CS200" s="149">
        <f t="shared" si="536"/>
        <v>5.4</v>
      </c>
      <c r="CT200" s="188">
        <f t="shared" si="537"/>
        <v>1.6950937499999998</v>
      </c>
      <c r="CU200" s="188">
        <f t="shared" si="538"/>
        <v>5</v>
      </c>
      <c r="CV200" s="188"/>
      <c r="CW200" s="149">
        <f t="shared" si="539"/>
        <v>12.120853665116282</v>
      </c>
      <c r="CX200" s="149">
        <f t="shared" si="540"/>
        <v>5</v>
      </c>
      <c r="CY200" s="188">
        <f t="shared" si="541"/>
        <v>3.2</v>
      </c>
      <c r="CZ200" s="188">
        <f t="shared" si="542"/>
        <v>4.2666666666666675</v>
      </c>
      <c r="DA200" s="188">
        <f t="shared" si="543"/>
        <v>7.1111111111111116</v>
      </c>
      <c r="DB200" s="172">
        <f t="shared" si="544"/>
        <v>281.25</v>
      </c>
      <c r="DC200" s="379">
        <f t="shared" si="545"/>
        <v>87.890624999999986</v>
      </c>
      <c r="DE200" s="188">
        <f t="shared" si="546"/>
        <v>1</v>
      </c>
      <c r="DF200" s="150">
        <f t="shared" si="547"/>
        <v>2.2222222222222219</v>
      </c>
      <c r="DG200" s="150">
        <f t="shared" si="548"/>
        <v>0.31249999999999994</v>
      </c>
      <c r="DH200" s="150"/>
      <c r="DI200" s="150">
        <f t="shared" si="549"/>
        <v>2.2222222222222219</v>
      </c>
      <c r="DJ200" s="314">
        <f t="shared" si="550"/>
        <v>972.00000000000011</v>
      </c>
      <c r="DK200" s="456">
        <f t="shared" si="551"/>
        <v>0.31249999999999994</v>
      </c>
      <c r="DM200" s="150">
        <f t="shared" si="552"/>
        <v>1.6664761795905927</v>
      </c>
      <c r="DN200" s="150">
        <f t="shared" si="553"/>
        <v>3.2</v>
      </c>
      <c r="DO200" s="150">
        <f t="shared" si="554"/>
        <v>2.8296296296296299</v>
      </c>
      <c r="DQ200" s="314">
        <f t="shared" si="555"/>
        <v>1080</v>
      </c>
      <c r="DR200" s="144">
        <f t="shared" si="556"/>
        <v>87.890624999999986</v>
      </c>
      <c r="DT200">
        <f t="shared" si="591"/>
        <v>1080</v>
      </c>
      <c r="DU200">
        <f t="shared" si="592"/>
        <v>87.890624999999986</v>
      </c>
      <c r="DW200" s="5">
        <f t="shared" si="557"/>
        <v>11.37777777777778</v>
      </c>
      <c r="DX200" s="5">
        <f t="shared" si="558"/>
        <v>4.2666666666666675</v>
      </c>
      <c r="DY200" s="5">
        <f t="shared" si="559"/>
        <v>7.1111111111111125</v>
      </c>
      <c r="DZ200" s="5"/>
      <c r="EA200" s="150">
        <f t="shared" si="560"/>
        <v>0.375</v>
      </c>
      <c r="EB200" s="150">
        <f t="shared" si="561"/>
        <v>5.3999999999999995</v>
      </c>
      <c r="EC200" s="150">
        <f t="shared" si="562"/>
        <v>1</v>
      </c>
      <c r="ED200" s="150">
        <f t="shared" si="563"/>
        <v>5.3999999999999995</v>
      </c>
      <c r="EE200" s="144">
        <f t="shared" si="564"/>
        <v>92.160000000000039</v>
      </c>
      <c r="EF200" s="5">
        <f t="shared" si="565"/>
        <v>1.7777777777777781</v>
      </c>
      <c r="EH200" s="150">
        <f t="shared" si="566"/>
        <v>1.1313708498984762</v>
      </c>
      <c r="EI200" s="150">
        <f t="shared" si="567"/>
        <v>1.4605934866804431</v>
      </c>
      <c r="EK200" s="456">
        <f t="shared" si="568"/>
        <v>2.5600000000000012E-2</v>
      </c>
      <c r="EL200" s="456">
        <f t="shared" si="569"/>
        <v>8.1000000000000003E-2</v>
      </c>
      <c r="EM200" s="456">
        <f t="shared" si="570"/>
        <v>1.0986328124999998E-2</v>
      </c>
      <c r="EN200" s="456">
        <f t="shared" si="571"/>
        <v>1.8224999999999999E-3</v>
      </c>
      <c r="EO200">
        <f t="shared" si="572"/>
        <v>4.0499999999999998E-3</v>
      </c>
      <c r="EP200" s="144">
        <f t="shared" si="573"/>
        <v>15.036328124999997</v>
      </c>
      <c r="EQ200" s="144"/>
      <c r="ER200" s="144">
        <f t="shared" si="593"/>
        <v>123.45882812500001</v>
      </c>
      <c r="ES200" s="456">
        <f t="shared" si="574"/>
        <v>0.75600000000000001</v>
      </c>
      <c r="EV200" s="144">
        <f t="shared" si="494"/>
        <v>756</v>
      </c>
      <c r="EW200" s="456">
        <f t="shared" si="575"/>
        <v>3.8400000000000011E-2</v>
      </c>
      <c r="EX200" s="456">
        <f t="shared" si="576"/>
        <v>6.4000000000000015E-2</v>
      </c>
      <c r="EY200" s="456">
        <f t="shared" si="577"/>
        <v>6.6328676578668005E-2</v>
      </c>
      <c r="EZ200" s="456"/>
      <c r="FA200" s="456">
        <f t="shared" si="578"/>
        <v>9.0000000000000008E-4</v>
      </c>
      <c r="FB200" s="144">
        <f t="shared" si="579"/>
        <v>169.62867657866803</v>
      </c>
      <c r="FC200" s="150">
        <f t="shared" si="580"/>
        <v>1.0490875047036679</v>
      </c>
      <c r="FD200" s="5">
        <f t="shared" si="581"/>
        <v>5.4</v>
      </c>
      <c r="FE200" s="150">
        <f t="shared" si="582"/>
        <v>0.83732776087492822</v>
      </c>
      <c r="FF200" s="5">
        <f t="shared" si="583"/>
        <v>83.732776087492823</v>
      </c>
      <c r="FI200" s="59">
        <f t="shared" si="584"/>
        <v>-50</v>
      </c>
      <c r="FJ200">
        <f t="shared" si="585"/>
        <v>-50</v>
      </c>
      <c r="FL200">
        <f t="shared" si="586"/>
        <v>0.625</v>
      </c>
    </row>
    <row r="201" spans="5:168">
      <c r="E201" s="147">
        <v>91</v>
      </c>
      <c r="F201" s="188">
        <f t="shared" si="587"/>
        <v>1.0920000000000001</v>
      </c>
      <c r="G201" s="188"/>
      <c r="H201" s="188">
        <f t="shared" si="495"/>
        <v>5.4600000000000009</v>
      </c>
      <c r="I201" s="465">
        <f t="shared" si="496"/>
        <v>8.9120282458718769</v>
      </c>
      <c r="J201" s="149">
        <f t="shared" si="497"/>
        <v>5.4527830524768746</v>
      </c>
      <c r="K201" s="149">
        <f t="shared" si="498"/>
        <v>14.364811298348751</v>
      </c>
      <c r="L201" s="379"/>
      <c r="M201" s="188">
        <f t="shared" si="499"/>
        <v>0.379577232970008</v>
      </c>
      <c r="N201" s="149">
        <f t="shared" si="500"/>
        <v>8.495064088290837</v>
      </c>
      <c r="O201" s="149">
        <f t="shared" si="599"/>
        <v>5.4600000000000009</v>
      </c>
      <c r="P201" s="188">
        <f t="shared" si="501"/>
        <v>1.6990128176581674</v>
      </c>
      <c r="Q201" s="188">
        <f t="shared" si="502"/>
        <v>5</v>
      </c>
      <c r="R201" s="188"/>
      <c r="S201" s="149">
        <f t="shared" si="503"/>
        <v>11.783558778860916</v>
      </c>
      <c r="T201" s="149">
        <f t="shared" si="504"/>
        <v>5</v>
      </c>
      <c r="U201" s="188">
        <f t="shared" si="505"/>
        <v>3.520180296501632</v>
      </c>
      <c r="V201" s="188">
        <f t="shared" si="506"/>
        <v>4.7399045865442018</v>
      </c>
      <c r="W201" s="188">
        <f t="shared" si="507"/>
        <v>7.7468997301903455</v>
      </c>
      <c r="X201" s="172">
        <f t="shared" si="508"/>
        <v>281.91202546387007</v>
      </c>
      <c r="Y201" s="379">
        <f t="shared" si="509"/>
        <v>78.822055975195312</v>
      </c>
      <c r="AA201" s="188">
        <f t="shared" si="510"/>
        <v>0.99999999999999978</v>
      </c>
      <c r="AB201" s="150">
        <f t="shared" si="511"/>
        <v>2.2007110652511863</v>
      </c>
      <c r="AC201" s="150">
        <f t="shared" si="512"/>
        <v>0.31020345693285645</v>
      </c>
      <c r="AD201" s="150"/>
      <c r="AE201" s="150">
        <f t="shared" si="513"/>
        <v>2.2007110652511868</v>
      </c>
      <c r="AF201" s="314">
        <f t="shared" si="514"/>
        <v>992.40651555079114</v>
      </c>
      <c r="AG201" s="456">
        <f t="shared" si="515"/>
        <v>0.31020345693285661</v>
      </c>
      <c r="AI201" s="150">
        <f t="shared" si="516"/>
        <v>1.68387861417858</v>
      </c>
      <c r="AJ201" s="150">
        <f t="shared" si="517"/>
        <v>3.520180296501632</v>
      </c>
      <c r="AK201" s="150">
        <f t="shared" si="518"/>
        <v>3.0668002196308386</v>
      </c>
      <c r="AM201" s="314">
        <f t="shared" si="519"/>
        <v>1092</v>
      </c>
      <c r="AN201" s="144">
        <f t="shared" si="520"/>
        <v>78.822055975195312</v>
      </c>
      <c r="AP201">
        <f t="shared" si="521"/>
        <v>1092</v>
      </c>
      <c r="AQ201">
        <f t="shared" si="522"/>
        <v>78.822055975195312</v>
      </c>
      <c r="AS201" s="5">
        <f t="shared" si="600"/>
        <v>12.686804316734548</v>
      </c>
      <c r="AT201" s="5">
        <f t="shared" si="523"/>
        <v>4.7399045865442018</v>
      </c>
      <c r="AU201" s="5">
        <f t="shared" si="478"/>
        <v>7.9468997301903466</v>
      </c>
      <c r="AV201" s="5"/>
      <c r="AW201" s="150">
        <f t="shared" si="479"/>
        <v>0.37360902463767204</v>
      </c>
      <c r="AX201" s="150">
        <f t="shared" si="596"/>
        <v>5.8604211165453552</v>
      </c>
      <c r="AY201" s="150">
        <f t="shared" si="597"/>
        <v>1.1025045846884531</v>
      </c>
      <c r="AZ201" s="150">
        <f t="shared" si="601"/>
        <v>5.3155526044378298</v>
      </c>
      <c r="BA201" s="144">
        <f t="shared" si="594"/>
        <v>103.51951617012537</v>
      </c>
      <c r="BB201" s="5">
        <f t="shared" si="595"/>
        <v>2.0286287686035407</v>
      </c>
      <c r="BD201" s="150">
        <f t="shared" si="602"/>
        <v>1.2422613101695235</v>
      </c>
      <c r="BE201" s="150">
        <f t="shared" si="598"/>
        <v>1.6085220785601106</v>
      </c>
      <c r="BG201" s="456">
        <f t="shared" si="480"/>
        <v>3.0864263254882021E-2</v>
      </c>
      <c r="BH201" s="456">
        <f t="shared" si="524"/>
        <v>7.4733249060863552E-2</v>
      </c>
      <c r="BI201" s="456">
        <f t="shared" si="525"/>
        <v>1.7561609731215868E-2</v>
      </c>
      <c r="BJ201" s="456">
        <f t="shared" si="481"/>
        <v>1.6264758128647465E-3</v>
      </c>
      <c r="BK201">
        <f t="shared" si="482"/>
        <v>4.0104127106423441E-3</v>
      </c>
      <c r="BL201" s="144">
        <f t="shared" si="588"/>
        <v>21.572022441858213</v>
      </c>
      <c r="BM201" s="456">
        <f t="shared" si="526"/>
        <v>0.11641102185222239</v>
      </c>
      <c r="BN201" s="144">
        <f t="shared" si="527"/>
        <v>116.41102185222239</v>
      </c>
      <c r="BO201" s="456">
        <f t="shared" si="483"/>
        <v>0.76439999999999997</v>
      </c>
      <c r="BR201" s="144">
        <f t="shared" si="484"/>
        <v>764.4</v>
      </c>
      <c r="BS201" s="456">
        <f t="shared" si="485"/>
        <v>4.6296394882323032E-2</v>
      </c>
      <c r="BT201" s="456">
        <f t="shared" si="486"/>
        <v>7.7620298316460168E-2</v>
      </c>
      <c r="BU201" s="456">
        <f t="shared" si="487"/>
        <v>6.4121204288521694E-2</v>
      </c>
      <c r="BV201" s="456"/>
      <c r="BW201" s="456">
        <f t="shared" si="488"/>
        <v>9.767368527575592E-4</v>
      </c>
      <c r="BX201" s="144">
        <f t="shared" si="489"/>
        <v>189.01463434006246</v>
      </c>
      <c r="BY201" s="150">
        <f t="shared" si="490"/>
        <v>1.0822106449105311</v>
      </c>
      <c r="BZ201" s="5">
        <f t="shared" si="491"/>
        <v>5.4600000000000009</v>
      </c>
      <c r="CA201" s="150">
        <f t="shared" si="492"/>
        <v>0.83458028124599914</v>
      </c>
      <c r="CB201" s="5">
        <f t="shared" si="493"/>
        <v>83.45802812459992</v>
      </c>
      <c r="CE201" s="59">
        <f t="shared" si="528"/>
        <v>-50</v>
      </c>
      <c r="CF201">
        <f t="shared" si="529"/>
        <v>-50</v>
      </c>
      <c r="CG201" s="150">
        <f t="shared" si="530"/>
        <v>0.62065376030219777</v>
      </c>
      <c r="CI201" s="147">
        <v>91</v>
      </c>
      <c r="CJ201" s="188">
        <f t="shared" si="589"/>
        <v>1.0920000000000001</v>
      </c>
      <c r="CK201" s="188"/>
      <c r="CL201" s="188">
        <f t="shared" si="531"/>
        <v>5.4600000000000009</v>
      </c>
      <c r="CM201" s="465">
        <f t="shared" si="532"/>
        <v>9</v>
      </c>
      <c r="CN201" s="379">
        <f t="shared" si="533"/>
        <v>5.4</v>
      </c>
      <c r="CO201" s="379">
        <f t="shared" si="534"/>
        <v>14.4</v>
      </c>
      <c r="CP201" s="379"/>
      <c r="CQ201" s="188">
        <f t="shared" si="535"/>
        <v>0.375</v>
      </c>
      <c r="CR201" s="149">
        <f t="shared" si="590"/>
        <v>8.4754687499999992</v>
      </c>
      <c r="CS201" s="149">
        <f t="shared" si="536"/>
        <v>5.4600000000000009</v>
      </c>
      <c r="CT201" s="188">
        <f t="shared" si="537"/>
        <v>1.6950937499999998</v>
      </c>
      <c r="CU201" s="188">
        <f t="shared" si="538"/>
        <v>5</v>
      </c>
      <c r="CV201" s="188"/>
      <c r="CW201" s="149">
        <f t="shared" si="539"/>
        <v>11.897146448271739</v>
      </c>
      <c r="CX201" s="149">
        <f t="shared" si="540"/>
        <v>5</v>
      </c>
      <c r="CY201" s="188">
        <f t="shared" si="541"/>
        <v>3.235555555555556</v>
      </c>
      <c r="CZ201" s="188">
        <f t="shared" si="542"/>
        <v>4.3140740740740746</v>
      </c>
      <c r="DA201" s="188">
        <f t="shared" si="543"/>
        <v>7.1901234567901238</v>
      </c>
      <c r="DB201" s="172">
        <f t="shared" si="544"/>
        <v>281.25</v>
      </c>
      <c r="DC201" s="379">
        <f t="shared" si="545"/>
        <v>86.924793956043956</v>
      </c>
      <c r="DE201" s="188">
        <f t="shared" si="546"/>
        <v>1</v>
      </c>
      <c r="DF201" s="150">
        <f t="shared" si="547"/>
        <v>2.2222222222222219</v>
      </c>
      <c r="DG201" s="150">
        <f t="shared" si="548"/>
        <v>0.31249999999999994</v>
      </c>
      <c r="DH201" s="150"/>
      <c r="DI201" s="150">
        <f t="shared" si="549"/>
        <v>2.2222222222222219</v>
      </c>
      <c r="DJ201" s="314">
        <f t="shared" si="550"/>
        <v>982.80000000000007</v>
      </c>
      <c r="DK201" s="456">
        <f t="shared" si="551"/>
        <v>0.31249999999999994</v>
      </c>
      <c r="DM201" s="150">
        <f t="shared" si="552"/>
        <v>1.6757088052522731</v>
      </c>
      <c r="DN201" s="150">
        <f t="shared" si="553"/>
        <v>3.235555555555556</v>
      </c>
      <c r="DO201" s="150">
        <f t="shared" si="554"/>
        <v>2.855967078189301</v>
      </c>
      <c r="DQ201" s="314">
        <f t="shared" si="555"/>
        <v>1092</v>
      </c>
      <c r="DR201" s="144">
        <f t="shared" si="556"/>
        <v>86.924793956043956</v>
      </c>
      <c r="DT201">
        <f t="shared" si="591"/>
        <v>1092</v>
      </c>
      <c r="DU201">
        <f t="shared" si="592"/>
        <v>86.924793956043956</v>
      </c>
      <c r="DW201" s="5">
        <f t="shared" si="557"/>
        <v>11.504197530864197</v>
      </c>
      <c r="DX201" s="5">
        <f t="shared" si="558"/>
        <v>4.3140740740740746</v>
      </c>
      <c r="DY201" s="5">
        <f t="shared" si="559"/>
        <v>7.190123456790122</v>
      </c>
      <c r="DZ201" s="5"/>
      <c r="EA201" s="150">
        <f t="shared" si="560"/>
        <v>0.37500000000000006</v>
      </c>
      <c r="EB201" s="150">
        <f t="shared" si="561"/>
        <v>5.4600000000000017</v>
      </c>
      <c r="EC201" s="150">
        <f t="shared" si="562"/>
        <v>1.0111111111111113</v>
      </c>
      <c r="ED201" s="150">
        <f t="shared" si="563"/>
        <v>5.4</v>
      </c>
      <c r="EE201" s="144">
        <f t="shared" si="564"/>
        <v>94.219377777777794</v>
      </c>
      <c r="EF201" s="5">
        <f t="shared" si="565"/>
        <v>1.817503429355281</v>
      </c>
      <c r="EH201" s="150">
        <f t="shared" si="566"/>
        <v>1.1439416371195705</v>
      </c>
      <c r="EI201" s="150">
        <f t="shared" si="567"/>
        <v>1.4768223031991148</v>
      </c>
      <c r="EK201" s="456">
        <f t="shared" si="568"/>
        <v>2.6172049382716063E-2</v>
      </c>
      <c r="EL201" s="456">
        <f t="shared" si="569"/>
        <v>8.1000000000000016E-2</v>
      </c>
      <c r="EM201" s="456">
        <f t="shared" si="570"/>
        <v>1.0865599244505494E-2</v>
      </c>
      <c r="EN201" s="456">
        <f t="shared" si="571"/>
        <v>1.8024725274725275E-3</v>
      </c>
      <c r="EO201">
        <f t="shared" si="572"/>
        <v>4.0499999999999998E-3</v>
      </c>
      <c r="EP201" s="144">
        <f t="shared" si="573"/>
        <v>14.915599244505493</v>
      </c>
      <c r="EQ201" s="144"/>
      <c r="ER201" s="144">
        <f t="shared" si="593"/>
        <v>123.89012115469409</v>
      </c>
      <c r="ES201" s="456">
        <f t="shared" si="574"/>
        <v>0.76439999999999997</v>
      </c>
      <c r="EV201" s="144">
        <f t="shared" si="494"/>
        <v>764.4</v>
      </c>
      <c r="EW201" s="456">
        <f t="shared" si="575"/>
        <v>3.9258074074074091E-2</v>
      </c>
      <c r="EX201" s="456">
        <f t="shared" si="576"/>
        <v>6.543012345679014E-2</v>
      </c>
      <c r="EY201" s="456">
        <f t="shared" si="577"/>
        <v>6.6328676578668117E-2</v>
      </c>
      <c r="EZ201" s="456"/>
      <c r="FA201" s="456">
        <f t="shared" si="578"/>
        <v>9.1000000000000022E-4</v>
      </c>
      <c r="FB201" s="144">
        <f t="shared" si="579"/>
        <v>171.92687410953232</v>
      </c>
      <c r="FC201" s="150">
        <f t="shared" si="580"/>
        <v>1.0602169952642264</v>
      </c>
      <c r="FD201" s="5">
        <f t="shared" si="581"/>
        <v>5.4600000000000009</v>
      </c>
      <c r="FE201" s="150">
        <f t="shared" si="582"/>
        <v>0.83739544312186476</v>
      </c>
      <c r="FF201" s="5">
        <f t="shared" si="583"/>
        <v>83.739544312186482</v>
      </c>
      <c r="FI201" s="59">
        <f t="shared" si="584"/>
        <v>-50</v>
      </c>
      <c r="FJ201">
        <f t="shared" si="585"/>
        <v>-50</v>
      </c>
      <c r="FL201">
        <f t="shared" si="586"/>
        <v>0.625</v>
      </c>
    </row>
    <row r="202" spans="5:168">
      <c r="E202" s="147">
        <v>92</v>
      </c>
      <c r="F202" s="188">
        <f t="shared" si="587"/>
        <v>1.1040000000000001</v>
      </c>
      <c r="G202" s="188"/>
      <c r="H202" s="188">
        <f t="shared" si="495"/>
        <v>5.5200000000000005</v>
      </c>
      <c r="I202" s="465">
        <f t="shared" si="496"/>
        <v>8.9110682924326632</v>
      </c>
      <c r="J202" s="149">
        <f t="shared" si="497"/>
        <v>5.4533590245404024</v>
      </c>
      <c r="K202" s="149">
        <f t="shared" si="498"/>
        <v>14.364427316973066</v>
      </c>
      <c r="L202" s="379"/>
      <c r="M202" s="188">
        <f t="shared" si="499"/>
        <v>0.37962747920744727</v>
      </c>
      <c r="N202" s="149">
        <f t="shared" si="500"/>
        <v>8.4952734541742014</v>
      </c>
      <c r="O202" s="149">
        <f t="shared" si="599"/>
        <v>5.5200000000000005</v>
      </c>
      <c r="P202" s="188">
        <f t="shared" si="501"/>
        <v>1.6990546908348403</v>
      </c>
      <c r="Q202" s="188">
        <f t="shared" si="502"/>
        <v>5</v>
      </c>
      <c r="R202" s="188"/>
      <c r="S202" s="149">
        <f t="shared" si="503"/>
        <v>11.565864263808129</v>
      </c>
      <c r="T202" s="149">
        <f t="shared" si="504"/>
        <v>5</v>
      </c>
      <c r="U202" s="188">
        <f t="shared" si="505"/>
        <v>3.5591518418307517</v>
      </c>
      <c r="V202" s="188">
        <f t="shared" si="506"/>
        <v>4.792895834749519</v>
      </c>
      <c r="W202" s="188">
        <f t="shared" si="507"/>
        <v>7.8318375719941731</v>
      </c>
      <c r="X202" s="172">
        <f t="shared" si="508"/>
        <v>281.91897025956814</v>
      </c>
      <c r="Y202" s="379">
        <f t="shared" si="509"/>
        <v>77.974330403949381</v>
      </c>
      <c r="AA202" s="188">
        <f t="shared" si="510"/>
        <v>1</v>
      </c>
      <c r="AB202" s="150">
        <f t="shared" si="511"/>
        <v>2.2004786308767441</v>
      </c>
      <c r="AC202" s="150">
        <f t="shared" si="512"/>
        <v>0.31017833484747803</v>
      </c>
      <c r="AD202" s="150"/>
      <c r="AE202" s="150">
        <f t="shared" si="513"/>
        <v>2.2004786308767441</v>
      </c>
      <c r="AF202" s="314">
        <f t="shared" si="514"/>
        <v>1003.418060515434</v>
      </c>
      <c r="AG202" s="456">
        <f t="shared" si="515"/>
        <v>0.31017833484747803</v>
      </c>
      <c r="AI202" s="150">
        <f t="shared" si="516"/>
        <v>1.6931948335409635</v>
      </c>
      <c r="AJ202" s="150">
        <f t="shared" si="517"/>
        <v>3.5591518418307517</v>
      </c>
      <c r="AK202" s="150">
        <f t="shared" si="518"/>
        <v>3.0956680309857418</v>
      </c>
      <c r="AM202" s="314">
        <f t="shared" si="519"/>
        <v>1104</v>
      </c>
      <c r="AN202" s="144">
        <f t="shared" si="520"/>
        <v>77.974330403949381</v>
      </c>
      <c r="AP202">
        <f t="shared" si="521"/>
        <v>1104</v>
      </c>
      <c r="AQ202">
        <f t="shared" si="522"/>
        <v>77.974330403949381</v>
      </c>
      <c r="AS202" s="5">
        <f t="shared" si="600"/>
        <v>12.824733406743691</v>
      </c>
      <c r="AT202" s="5">
        <f t="shared" si="523"/>
        <v>4.792895834749519</v>
      </c>
      <c r="AU202" s="5">
        <f t="shared" si="478"/>
        <v>8.0318375719941724</v>
      </c>
      <c r="AV202" s="5"/>
      <c r="AW202" s="150">
        <f t="shared" si="479"/>
        <v>0.37372284341047179</v>
      </c>
      <c r="AX202" s="150">
        <f t="shared" si="596"/>
        <v>5.9264679107697571</v>
      </c>
      <c r="AY202" s="150">
        <f t="shared" si="597"/>
        <v>1.1145077476860727</v>
      </c>
      <c r="AZ202" s="150">
        <f t="shared" si="601"/>
        <v>5.3175654660761369</v>
      </c>
      <c r="BA202" s="144">
        <f t="shared" si="594"/>
        <v>105.82714003126938</v>
      </c>
      <c r="BB202" s="5">
        <f t="shared" si="595"/>
        <v>2.0730652946823649</v>
      </c>
      <c r="BD202" s="150">
        <f t="shared" si="602"/>
        <v>1.2562055600609554</v>
      </c>
      <c r="BE202" s="150">
        <f t="shared" si="598"/>
        <v>1.6261820937216775</v>
      </c>
      <c r="BG202" s="456">
        <f t="shared" si="480"/>
        <v>3.1561048182561169E-2</v>
      </c>
      <c r="BH202" s="456">
        <f t="shared" si="524"/>
        <v>7.4745965940262615E-2</v>
      </c>
      <c r="BI202" s="456">
        <f t="shared" si="525"/>
        <v>1.7370864582157537E-2</v>
      </c>
      <c r="BJ202" s="456">
        <f t="shared" si="481"/>
        <v>1.6088971645687618E-3</v>
      </c>
      <c r="BK202">
        <f t="shared" si="482"/>
        <v>4.0099807315946987E-3</v>
      </c>
      <c r="BL202" s="144">
        <f t="shared" si="588"/>
        <v>21.380845313752236</v>
      </c>
      <c r="BM202" s="456">
        <f t="shared" si="526"/>
        <v>0.11731714442323714</v>
      </c>
      <c r="BN202" s="144">
        <f t="shared" si="527"/>
        <v>117.31714442323714</v>
      </c>
      <c r="BO202" s="456">
        <f t="shared" si="483"/>
        <v>0.77280000000000004</v>
      </c>
      <c r="BR202" s="144">
        <f t="shared" si="484"/>
        <v>772.80000000000007</v>
      </c>
      <c r="BS202" s="456">
        <f t="shared" si="485"/>
        <v>4.7341572273841753E-2</v>
      </c>
      <c r="BT202" s="456">
        <f t="shared" si="486"/>
        <v>7.9334046058230565E-2</v>
      </c>
      <c r="BU202" s="456">
        <f t="shared" si="487"/>
        <v>6.4152772543162082E-2</v>
      </c>
      <c r="BV202" s="456"/>
      <c r="BW202" s="456">
        <f t="shared" si="488"/>
        <v>9.877446517949594E-4</v>
      </c>
      <c r="BX202" s="144">
        <f t="shared" si="489"/>
        <v>191.81613552702936</v>
      </c>
      <c r="BY202" s="150">
        <f t="shared" si="490"/>
        <v>1.0939128921281742</v>
      </c>
      <c r="BZ202" s="5">
        <f t="shared" si="491"/>
        <v>5.5200000000000005</v>
      </c>
      <c r="CA202" s="150">
        <f t="shared" si="492"/>
        <v>0.83460427889364242</v>
      </c>
      <c r="CB202" s="5">
        <f t="shared" si="493"/>
        <v>83.46042788936424</v>
      </c>
      <c r="CE202" s="59">
        <f t="shared" si="528"/>
        <v>-50</v>
      </c>
      <c r="CF202">
        <f t="shared" si="529"/>
        <v>-50</v>
      </c>
      <c r="CG202" s="150">
        <f t="shared" si="530"/>
        <v>0.62070100203804346</v>
      </c>
      <c r="CI202" s="147">
        <v>92</v>
      </c>
      <c r="CJ202" s="188">
        <f t="shared" si="589"/>
        <v>1.1040000000000001</v>
      </c>
      <c r="CK202" s="188"/>
      <c r="CL202" s="188">
        <f t="shared" si="531"/>
        <v>5.5200000000000005</v>
      </c>
      <c r="CM202" s="465">
        <f t="shared" si="532"/>
        <v>9</v>
      </c>
      <c r="CN202" s="379">
        <f t="shared" si="533"/>
        <v>5.4</v>
      </c>
      <c r="CO202" s="379">
        <f t="shared" si="534"/>
        <v>14.4</v>
      </c>
      <c r="CP202" s="379"/>
      <c r="CQ202" s="188">
        <f t="shared" si="535"/>
        <v>0.375</v>
      </c>
      <c r="CR202" s="149">
        <f t="shared" si="590"/>
        <v>8.4754687499999992</v>
      </c>
      <c r="CS202" s="149">
        <f t="shared" si="536"/>
        <v>5.5200000000000005</v>
      </c>
      <c r="CT202" s="188">
        <f t="shared" si="537"/>
        <v>1.6950937499999998</v>
      </c>
      <c r="CU202" s="188">
        <f t="shared" si="538"/>
        <v>5</v>
      </c>
      <c r="CV202" s="188"/>
      <c r="CW202" s="149">
        <f t="shared" si="539"/>
        <v>11.678485397525812</v>
      </c>
      <c r="CX202" s="149">
        <f t="shared" si="540"/>
        <v>5</v>
      </c>
      <c r="CY202" s="188">
        <f t="shared" si="541"/>
        <v>3.2711111111111113</v>
      </c>
      <c r="CZ202" s="188">
        <f t="shared" si="542"/>
        <v>4.3614814814814817</v>
      </c>
      <c r="DA202" s="188">
        <f t="shared" si="543"/>
        <v>7.2691358024691368</v>
      </c>
      <c r="DB202" s="172">
        <f t="shared" si="544"/>
        <v>281.25</v>
      </c>
      <c r="DC202" s="379">
        <f t="shared" si="545"/>
        <v>85.979959239130423</v>
      </c>
      <c r="DE202" s="188">
        <f t="shared" si="546"/>
        <v>1</v>
      </c>
      <c r="DF202" s="150">
        <f t="shared" si="547"/>
        <v>2.2222222222222219</v>
      </c>
      <c r="DG202" s="150">
        <f t="shared" si="548"/>
        <v>0.31249999999999994</v>
      </c>
      <c r="DH202" s="150"/>
      <c r="DI202" s="150">
        <f t="shared" si="549"/>
        <v>2.2222222222222219</v>
      </c>
      <c r="DJ202" s="314">
        <f t="shared" si="550"/>
        <v>993.60000000000014</v>
      </c>
      <c r="DK202" s="456">
        <f t="shared" si="551"/>
        <v>0.31249999999999994</v>
      </c>
      <c r="DM202" s="150">
        <f t="shared" si="552"/>
        <v>1.6848908400419131</v>
      </c>
      <c r="DN202" s="150">
        <f t="shared" si="553"/>
        <v>3.2711111111111113</v>
      </c>
      <c r="DO202" s="150">
        <f t="shared" si="554"/>
        <v>2.8823045267489711</v>
      </c>
      <c r="DQ202" s="314">
        <f t="shared" si="555"/>
        <v>1104</v>
      </c>
      <c r="DR202" s="144">
        <f t="shared" si="556"/>
        <v>85.979959239130423</v>
      </c>
      <c r="DT202">
        <f t="shared" si="591"/>
        <v>1104</v>
      </c>
      <c r="DU202">
        <f t="shared" si="592"/>
        <v>85.979959239130423</v>
      </c>
      <c r="DW202" s="5">
        <f t="shared" si="557"/>
        <v>11.630617283950619</v>
      </c>
      <c r="DX202" s="5">
        <f t="shared" si="558"/>
        <v>4.3614814814814817</v>
      </c>
      <c r="DY202" s="5">
        <f t="shared" si="559"/>
        <v>7.2691358024691368</v>
      </c>
      <c r="DZ202" s="5"/>
      <c r="EA202" s="150">
        <f t="shared" si="560"/>
        <v>0.375</v>
      </c>
      <c r="EB202" s="150">
        <f t="shared" si="561"/>
        <v>5.52</v>
      </c>
      <c r="EC202" s="150">
        <f t="shared" si="562"/>
        <v>1.0222222222222224</v>
      </c>
      <c r="ED202" s="150">
        <f t="shared" si="563"/>
        <v>5.3999999999999986</v>
      </c>
      <c r="EE202" s="144">
        <f t="shared" si="564"/>
        <v>96.301511111111125</v>
      </c>
      <c r="EF202" s="5">
        <f t="shared" si="565"/>
        <v>1.8576680384087794</v>
      </c>
      <c r="EH202" s="150">
        <f t="shared" si="566"/>
        <v>1.1565124243406646</v>
      </c>
      <c r="EI202" s="150">
        <f t="shared" si="567"/>
        <v>1.4930511197177863</v>
      </c>
      <c r="EK202" s="456">
        <f t="shared" si="568"/>
        <v>2.6750419753086431E-2</v>
      </c>
      <c r="EL202" s="456">
        <f t="shared" si="569"/>
        <v>8.1000000000000003E-2</v>
      </c>
      <c r="EM202" s="456">
        <f t="shared" si="570"/>
        <v>1.0747494904891302E-2</v>
      </c>
      <c r="EN202" s="456">
        <f t="shared" si="571"/>
        <v>1.7828804347826085E-3</v>
      </c>
      <c r="EO202">
        <f t="shared" si="572"/>
        <v>4.0499999999999998E-3</v>
      </c>
      <c r="EP202" s="144">
        <f t="shared" si="573"/>
        <v>14.797494904891302</v>
      </c>
      <c r="EQ202" s="144"/>
      <c r="ER202" s="144">
        <f t="shared" si="593"/>
        <v>124.33079509276035</v>
      </c>
      <c r="ES202" s="456">
        <f t="shared" si="574"/>
        <v>0.77280000000000004</v>
      </c>
      <c r="EV202" s="144">
        <f t="shared" si="494"/>
        <v>772.80000000000007</v>
      </c>
      <c r="EW202" s="456">
        <f t="shared" si="575"/>
        <v>4.0125629629629643E-2</v>
      </c>
      <c r="EX202" s="456">
        <f t="shared" si="576"/>
        <v>6.687604938271606E-2</v>
      </c>
      <c r="EY202" s="456">
        <f t="shared" si="577"/>
        <v>6.632867657866795E-2</v>
      </c>
      <c r="EZ202" s="456"/>
      <c r="FA202" s="456">
        <f t="shared" si="578"/>
        <v>9.2000000000000003E-4</v>
      </c>
      <c r="FB202" s="144">
        <f t="shared" si="579"/>
        <v>174.25035559101366</v>
      </c>
      <c r="FC202" s="150">
        <f t="shared" si="580"/>
        <v>1.071381150683774</v>
      </c>
      <c r="FD202" s="5">
        <f t="shared" si="581"/>
        <v>5.5200000000000005</v>
      </c>
      <c r="FE202" s="150">
        <f t="shared" si="582"/>
        <v>0.8374572602932191</v>
      </c>
      <c r="FF202" s="5">
        <f t="shared" si="583"/>
        <v>83.745726029321915</v>
      </c>
      <c r="FI202" s="59">
        <f t="shared" si="584"/>
        <v>-50</v>
      </c>
      <c r="FJ202">
        <f t="shared" si="585"/>
        <v>-50</v>
      </c>
      <c r="FL202">
        <f t="shared" si="586"/>
        <v>0.625</v>
      </c>
    </row>
    <row r="203" spans="5:168">
      <c r="E203" s="147">
        <v>93</v>
      </c>
      <c r="F203" s="188">
        <f t="shared" si="587"/>
        <v>1.1160000000000001</v>
      </c>
      <c r="G203" s="188"/>
      <c r="H203" s="188">
        <f t="shared" si="495"/>
        <v>5.58</v>
      </c>
      <c r="I203" s="465">
        <f t="shared" si="496"/>
        <v>8.9101083379852835</v>
      </c>
      <c r="J203" s="149">
        <f t="shared" si="497"/>
        <v>5.4539349972088305</v>
      </c>
      <c r="K203" s="149">
        <f t="shared" si="498"/>
        <v>14.364043335194115</v>
      </c>
      <c r="L203" s="379"/>
      <c r="M203" s="188">
        <f t="shared" si="499"/>
        <v>0.37967772815778605</v>
      </c>
      <c r="N203" s="149">
        <f t="shared" si="500"/>
        <v>8.495482637543315</v>
      </c>
      <c r="O203" s="149">
        <f t="shared" si="599"/>
        <v>5.58</v>
      </c>
      <c r="P203" s="188">
        <f t="shared" si="501"/>
        <v>1.6990965275086629</v>
      </c>
      <c r="Q203" s="188">
        <f t="shared" si="502"/>
        <v>5</v>
      </c>
      <c r="R203" s="188"/>
      <c r="S203" s="149">
        <f t="shared" si="503"/>
        <v>11.353055748281744</v>
      </c>
      <c r="T203" s="149">
        <f t="shared" si="504"/>
        <v>5</v>
      </c>
      <c r="U203" s="188">
        <f t="shared" si="505"/>
        <v>3.5981297163029073</v>
      </c>
      <c r="V203" s="188">
        <f t="shared" si="506"/>
        <v>4.8459070257947072</v>
      </c>
      <c r="W203" s="188">
        <f t="shared" si="507"/>
        <v>7.9167713985832142</v>
      </c>
      <c r="X203" s="172">
        <f t="shared" si="508"/>
        <v>281.92590901845017</v>
      </c>
      <c r="Y203" s="379">
        <f t="shared" si="509"/>
        <v>77.144550474952482</v>
      </c>
      <c r="AA203" s="188">
        <f t="shared" si="510"/>
        <v>1</v>
      </c>
      <c r="AB203" s="150">
        <f t="shared" si="511"/>
        <v>2.2002462453515235</v>
      </c>
      <c r="AC203" s="150">
        <f t="shared" si="512"/>
        <v>0.31015321139258006</v>
      </c>
      <c r="AD203" s="150"/>
      <c r="AE203" s="150">
        <f t="shared" si="513"/>
        <v>2.2002462453515235</v>
      </c>
      <c r="AF203" s="314">
        <f t="shared" si="514"/>
        <v>1014.4319094808425</v>
      </c>
      <c r="AG203" s="456">
        <f t="shared" si="515"/>
        <v>0.31015321139258012</v>
      </c>
      <c r="AI203" s="150">
        <f t="shared" si="516"/>
        <v>1.7024620066923604</v>
      </c>
      <c r="AJ203" s="150">
        <f t="shared" si="517"/>
        <v>3.5981297163029073</v>
      </c>
      <c r="AK203" s="150">
        <f t="shared" si="518"/>
        <v>3.1245405305947465</v>
      </c>
      <c r="AM203" s="314">
        <f t="shared" si="519"/>
        <v>1116</v>
      </c>
      <c r="AN203" s="144">
        <f t="shared" si="520"/>
        <v>77.144550474952482</v>
      </c>
      <c r="AP203">
        <f t="shared" si="521"/>
        <v>1116</v>
      </c>
      <c r="AQ203">
        <f t="shared" si="522"/>
        <v>77.144550474952482</v>
      </c>
      <c r="AS203" s="5">
        <f t="shared" si="600"/>
        <v>12.96267842437792</v>
      </c>
      <c r="AT203" s="5">
        <f t="shared" si="523"/>
        <v>4.8459070257947072</v>
      </c>
      <c r="AU203" s="5">
        <f t="shared" si="478"/>
        <v>8.1167713985832126</v>
      </c>
      <c r="AV203" s="5"/>
      <c r="AW203" s="150">
        <f t="shared" si="479"/>
        <v>0.37383531914834667</v>
      </c>
      <c r="AX203" s="150">
        <f t="shared" si="596"/>
        <v>5.9925288731969824</v>
      </c>
      <c r="AY203" s="150">
        <f t="shared" si="597"/>
        <v>1.1265108727358299</v>
      </c>
      <c r="AZ203" s="150">
        <f t="shared" si="601"/>
        <v>5.3195481892186294</v>
      </c>
      <c r="BA203" s="144">
        <f t="shared" si="594"/>
        <v>108.16064481573788</v>
      </c>
      <c r="BB203" s="5">
        <f t="shared" si="595"/>
        <v>2.1179869857758775</v>
      </c>
      <c r="BD203" s="150">
        <f t="shared" si="602"/>
        <v>1.2701539226256289</v>
      </c>
      <c r="BE203" s="150">
        <f t="shared" si="598"/>
        <v>1.6438435138274998</v>
      </c>
      <c r="BG203" s="456">
        <f t="shared" si="480"/>
        <v>3.2265819743225441E-2</v>
      </c>
      <c r="BH203" s="456">
        <f t="shared" si="524"/>
        <v>7.4758408542077076E-2</v>
      </c>
      <c r="BI203" s="456">
        <f t="shared" si="525"/>
        <v>1.7184157560425014E-2</v>
      </c>
      <c r="BJ203" s="456">
        <f t="shared" si="481"/>
        <v>1.591690653586788E-3</v>
      </c>
      <c r="BK203">
        <f t="shared" si="482"/>
        <v>4.0095487520933771E-3</v>
      </c>
      <c r="BL203" s="144">
        <f t="shared" si="588"/>
        <v>21.193706312518394</v>
      </c>
      <c r="BM203" s="456">
        <f t="shared" si="526"/>
        <v>0.11823411541732003</v>
      </c>
      <c r="BN203" s="144">
        <f t="shared" si="527"/>
        <v>118.23411541732003</v>
      </c>
      <c r="BO203" s="456">
        <f t="shared" si="483"/>
        <v>0.78120000000000001</v>
      </c>
      <c r="BR203" s="144">
        <f t="shared" si="484"/>
        <v>781.2</v>
      </c>
      <c r="BS203" s="456">
        <f t="shared" si="485"/>
        <v>4.8398729614838154E-2</v>
      </c>
      <c r="BT203" s="456">
        <f t="shared" si="486"/>
        <v>8.1066644938582247E-2</v>
      </c>
      <c r="BU203" s="456">
        <f t="shared" si="487"/>
        <v>6.4183763110490774E-2</v>
      </c>
      <c r="BV203" s="456"/>
      <c r="BW203" s="456">
        <f t="shared" si="488"/>
        <v>9.9875481219949703E-4</v>
      </c>
      <c r="BX203" s="144">
        <f t="shared" si="489"/>
        <v>194.64789247611066</v>
      </c>
      <c r="BY203" s="150">
        <f t="shared" si="490"/>
        <v>1.1056575177275183</v>
      </c>
      <c r="BZ203" s="5">
        <f t="shared" si="491"/>
        <v>5.58</v>
      </c>
      <c r="CA203" s="150">
        <f t="shared" si="492"/>
        <v>0.83462247134320222</v>
      </c>
      <c r="CB203" s="5">
        <f t="shared" si="493"/>
        <v>83.462247134320222</v>
      </c>
      <c r="CE203" s="59">
        <f t="shared" si="528"/>
        <v>-50</v>
      </c>
      <c r="CF203">
        <f t="shared" si="529"/>
        <v>-50</v>
      </c>
      <c r="CG203" s="150">
        <f t="shared" si="530"/>
        <v>0.62074722782258063</v>
      </c>
      <c r="CI203" s="147">
        <v>93</v>
      </c>
      <c r="CJ203" s="188">
        <f t="shared" si="589"/>
        <v>1.1160000000000001</v>
      </c>
      <c r="CK203" s="188"/>
      <c r="CL203" s="188">
        <f t="shared" si="531"/>
        <v>5.58</v>
      </c>
      <c r="CM203" s="465">
        <f t="shared" si="532"/>
        <v>9</v>
      </c>
      <c r="CN203" s="379">
        <f t="shared" si="533"/>
        <v>5.4</v>
      </c>
      <c r="CO203" s="379">
        <f t="shared" si="534"/>
        <v>14.4</v>
      </c>
      <c r="CP203" s="379"/>
      <c r="CQ203" s="188">
        <f t="shared" si="535"/>
        <v>0.375</v>
      </c>
      <c r="CR203" s="149">
        <f t="shared" si="590"/>
        <v>8.4754687499999992</v>
      </c>
      <c r="CS203" s="149">
        <f t="shared" si="536"/>
        <v>5.58</v>
      </c>
      <c r="CT203" s="188">
        <f t="shared" si="537"/>
        <v>1.6950937499999998</v>
      </c>
      <c r="CU203" s="188">
        <f t="shared" si="538"/>
        <v>5</v>
      </c>
      <c r="CV203" s="188"/>
      <c r="CW203" s="149">
        <f t="shared" si="539"/>
        <v>11.464711111027324</v>
      </c>
      <c r="CX203" s="149">
        <f t="shared" si="540"/>
        <v>5</v>
      </c>
      <c r="CY203" s="188">
        <f t="shared" si="541"/>
        <v>3.3066666666666666</v>
      </c>
      <c r="CZ203" s="188">
        <f t="shared" si="542"/>
        <v>4.4088888888888889</v>
      </c>
      <c r="DA203" s="188">
        <f t="shared" si="543"/>
        <v>7.3481481481481472</v>
      </c>
      <c r="DB203" s="172">
        <f t="shared" si="544"/>
        <v>281.25</v>
      </c>
      <c r="DC203" s="379">
        <f t="shared" si="545"/>
        <v>85.055443548387089</v>
      </c>
      <c r="DE203" s="188">
        <f t="shared" si="546"/>
        <v>1</v>
      </c>
      <c r="DF203" s="150">
        <f t="shared" si="547"/>
        <v>2.2222222222222219</v>
      </c>
      <c r="DG203" s="150">
        <f t="shared" si="548"/>
        <v>0.31249999999999994</v>
      </c>
      <c r="DH203" s="150"/>
      <c r="DI203" s="150">
        <f t="shared" si="549"/>
        <v>2.2222222222222219</v>
      </c>
      <c r="DJ203" s="314">
        <f t="shared" si="550"/>
        <v>1004.4000000000001</v>
      </c>
      <c r="DK203" s="456">
        <f t="shared" si="551"/>
        <v>0.31249999999999994</v>
      </c>
      <c r="DM203" s="150">
        <f t="shared" si="552"/>
        <v>1.6940231066057767</v>
      </c>
      <c r="DN203" s="150">
        <f t="shared" si="553"/>
        <v>3.3066666666666666</v>
      </c>
      <c r="DO203" s="150">
        <f t="shared" si="554"/>
        <v>2.9086419753086421</v>
      </c>
      <c r="DQ203" s="314">
        <f t="shared" si="555"/>
        <v>1116</v>
      </c>
      <c r="DR203" s="144">
        <f t="shared" si="556"/>
        <v>85.055443548387089</v>
      </c>
      <c r="DT203">
        <f t="shared" si="591"/>
        <v>1116</v>
      </c>
      <c r="DU203">
        <f t="shared" si="592"/>
        <v>85.055443548387089</v>
      </c>
      <c r="DW203" s="5">
        <f t="shared" si="557"/>
        <v>11.757037037037039</v>
      </c>
      <c r="DX203" s="5">
        <f t="shared" si="558"/>
        <v>4.4088888888888889</v>
      </c>
      <c r="DY203" s="5">
        <f t="shared" si="559"/>
        <v>7.3481481481481499</v>
      </c>
      <c r="DZ203" s="5"/>
      <c r="EA203" s="150">
        <f t="shared" si="560"/>
        <v>0.37499999999999994</v>
      </c>
      <c r="EB203" s="150">
        <f t="shared" si="561"/>
        <v>5.58</v>
      </c>
      <c r="EC203" s="150">
        <f t="shared" si="562"/>
        <v>1.0333333333333332</v>
      </c>
      <c r="ED203" s="150">
        <f t="shared" si="563"/>
        <v>5.4</v>
      </c>
      <c r="EE203" s="144">
        <f t="shared" si="564"/>
        <v>98.406400000000005</v>
      </c>
      <c r="EF203" s="5">
        <f t="shared" si="565"/>
        <v>1.8982716049382717</v>
      </c>
      <c r="EH203" s="150">
        <f t="shared" si="566"/>
        <v>1.1690832115617584</v>
      </c>
      <c r="EI203" s="150">
        <f t="shared" si="567"/>
        <v>1.5092799362364577</v>
      </c>
      <c r="EK203" s="456">
        <f t="shared" si="568"/>
        <v>2.7335111111111105E-2</v>
      </c>
      <c r="EL203" s="456">
        <f t="shared" si="569"/>
        <v>8.0999999999999989E-2</v>
      </c>
      <c r="EM203" s="456">
        <f t="shared" si="570"/>
        <v>1.0631930443548385E-2</v>
      </c>
      <c r="EN203" s="456">
        <f t="shared" si="571"/>
        <v>1.7637096774193548E-3</v>
      </c>
      <c r="EO203">
        <f t="shared" si="572"/>
        <v>4.0499999999999998E-3</v>
      </c>
      <c r="EP203" s="144">
        <f t="shared" si="573"/>
        <v>14.681930443548385</v>
      </c>
      <c r="EQ203" s="144"/>
      <c r="ER203" s="144">
        <f t="shared" si="593"/>
        <v>124.78075123207884</v>
      </c>
      <c r="ES203" s="456">
        <f t="shared" si="574"/>
        <v>0.78120000000000001</v>
      </c>
      <c r="EV203" s="144">
        <f t="shared" si="494"/>
        <v>781.2</v>
      </c>
      <c r="EW203" s="456">
        <f t="shared" si="575"/>
        <v>4.1002666666666659E-2</v>
      </c>
      <c r="EX203" s="456">
        <f t="shared" si="576"/>
        <v>6.8337777777777775E-2</v>
      </c>
      <c r="EY203" s="456">
        <f t="shared" si="577"/>
        <v>6.6328676578668158E-2</v>
      </c>
      <c r="EZ203" s="456"/>
      <c r="FA203" s="456">
        <f t="shared" si="578"/>
        <v>9.2999999999999995E-4</v>
      </c>
      <c r="FB203" s="144">
        <f t="shared" si="579"/>
        <v>176.59912102311259</v>
      </c>
      <c r="FC203" s="150">
        <f t="shared" si="580"/>
        <v>1.0825798722551916</v>
      </c>
      <c r="FD203" s="5">
        <f t="shared" si="581"/>
        <v>5.58</v>
      </c>
      <c r="FE203" s="150">
        <f t="shared" si="582"/>
        <v>0.83751341176961336</v>
      </c>
      <c r="FF203" s="5">
        <f t="shared" si="583"/>
        <v>83.751341176961333</v>
      </c>
      <c r="FI203" s="59">
        <f t="shared" si="584"/>
        <v>-50</v>
      </c>
      <c r="FJ203">
        <f t="shared" si="585"/>
        <v>-50</v>
      </c>
      <c r="FL203">
        <f t="shared" si="586"/>
        <v>0.625</v>
      </c>
    </row>
    <row r="204" spans="5:168">
      <c r="E204" s="147">
        <v>94</v>
      </c>
      <c r="F204" s="188">
        <f t="shared" si="587"/>
        <v>1.1279999999999999</v>
      </c>
      <c r="G204" s="188"/>
      <c r="H204" s="188">
        <f t="shared" si="495"/>
        <v>5.64</v>
      </c>
      <c r="I204" s="465">
        <f>VIN_min-F204*(Rdcr_pri+RON/1000)/CG204/Nps</f>
        <v>8.9091483825621278</v>
      </c>
      <c r="J204" s="149">
        <f t="shared" si="497"/>
        <v>5.4545109704627235</v>
      </c>
      <c r="K204" s="149">
        <f t="shared" si="498"/>
        <v>14.36365935302485</v>
      </c>
      <c r="L204" s="379"/>
      <c r="M204" s="188">
        <f t="shared" si="499"/>
        <v>0.37972797982039602</v>
      </c>
      <c r="N204" s="149">
        <f t="shared" si="500"/>
        <v>8.495691638395007</v>
      </c>
      <c r="O204" s="149">
        <f t="shared" si="599"/>
        <v>5.64</v>
      </c>
      <c r="P204" s="188">
        <f t="shared" si="501"/>
        <v>1.6991383276790013</v>
      </c>
      <c r="Q204" s="188">
        <f t="shared" si="502"/>
        <v>5</v>
      </c>
      <c r="R204" s="188"/>
      <c r="S204" s="149">
        <f>(SQRT(Isw_max^2*Nps^2*I204^2+4*Isw_max*F204/Efficiency*(Nps^2*Vfwd1*I204-Nps*I204^2)+4*(F204/Efficiency)^2*Nps^2*Vfwd1^2+8*(F204/Efficiency)^2*Nps*Vfwd1*I204+4*(F204/Efficiency)^2*I204^2)-2*0*F204/Efficiency*I204-2*F204/Efficiency*Nps*Vfwd1+Isw_max*Nps*I204)/(4*F204/Efficiency*Nps)</f>
        <v>15.59955486216468</v>
      </c>
      <c r="T204" s="149">
        <f t="shared" si="504"/>
        <v>5</v>
      </c>
      <c r="U204" s="188">
        <f t="shared" si="505"/>
        <v>3.637113921964044</v>
      </c>
      <c r="V204" s="188">
        <f t="shared" si="506"/>
        <v>4.8989381688821778</v>
      </c>
      <c r="W204" s="188">
        <f t="shared" si="507"/>
        <v>8.0017012157307956</v>
      </c>
      <c r="X204" s="172">
        <f t="shared" si="508"/>
        <v>281.93284173977861</v>
      </c>
      <c r="Y204" s="379">
        <f t="shared" si="509"/>
        <v>76.332152243998493</v>
      </c>
      <c r="AA204" s="188">
        <f t="shared" si="510"/>
        <v>1</v>
      </c>
      <c r="AB204" s="150">
        <f t="shared" si="511"/>
        <v>2.2000139086679664</v>
      </c>
      <c r="AC204" s="150">
        <f t="shared" si="512"/>
        <v>0.31012808656889879</v>
      </c>
      <c r="AD204" s="150"/>
      <c r="AE204" s="150">
        <f t="shared" si="513"/>
        <v>2.2000139086679664</v>
      </c>
      <c r="AF204" s="314">
        <f t="shared" si="514"/>
        <v>1025.448062446992</v>
      </c>
      <c r="AG204" s="456">
        <f t="shared" si="515"/>
        <v>0.31012808656889879</v>
      </c>
      <c r="AI204" s="150">
        <f t="shared" si="516"/>
        <v>1.7116809302528919</v>
      </c>
      <c r="AJ204" s="150">
        <f t="shared" si="517"/>
        <v>3.637113921964044</v>
      </c>
      <c r="AK204" s="150">
        <f t="shared" si="518"/>
        <v>3.153417719973366</v>
      </c>
      <c r="AM204" s="314">
        <f t="shared" si="519"/>
        <v>1128</v>
      </c>
      <c r="AN204" s="144">
        <f t="shared" si="520"/>
        <v>76.332152243998493</v>
      </c>
      <c r="AP204">
        <f t="shared" si="521"/>
        <v>1128</v>
      </c>
      <c r="AQ204">
        <f t="shared" si="522"/>
        <v>76.332152243998493</v>
      </c>
      <c r="AS204" s="5">
        <f t="shared" si="600"/>
        <v>13.10063938461297</v>
      </c>
      <c r="AT204" s="5">
        <f t="shared" si="523"/>
        <v>4.8989381688821778</v>
      </c>
      <c r="AU204" s="5">
        <f t="shared" si="478"/>
        <v>8.2017012157307931</v>
      </c>
      <c r="AV204" s="5"/>
      <c r="AW204" s="150">
        <f t="shared" si="479"/>
        <v>0.37394649414104963</v>
      </c>
      <c r="AX204" s="150">
        <f t="shared" si="596"/>
        <v>6.0586039931220412</v>
      </c>
      <c r="AY204" s="150">
        <f t="shared" si="597"/>
        <v>1.1385139610269932</v>
      </c>
      <c r="AZ204" s="150">
        <f t="shared" si="601"/>
        <v>5.3215017123346433</v>
      </c>
      <c r="BA204" s="144">
        <f t="shared" si="594"/>
        <v>110.52004508998191</v>
      </c>
      <c r="BB204" s="5">
        <f t="shared" si="595"/>
        <v>2.1633939664415451</v>
      </c>
      <c r="BD204" s="150">
        <f t="shared" si="602"/>
        <v>1.2841063981541478</v>
      </c>
      <c r="BE204" s="150">
        <f t="shared" si="598"/>
        <v>1.661506340243035</v>
      </c>
      <c r="BG204" s="456">
        <f t="shared" si="480"/>
        <v>3.2978584835608379E-2</v>
      </c>
      <c r="BH204" s="456">
        <f t="shared" si="524"/>
        <v>7.4770585431209347E-2</v>
      </c>
      <c r="BI204" s="456">
        <f t="shared" si="525"/>
        <v>1.7001361767552629E-2</v>
      </c>
      <c r="BJ204" s="456">
        <f t="shared" si="481"/>
        <v>1.5748445854639741E-3</v>
      </c>
      <c r="BK204">
        <f t="shared" si="482"/>
        <v>4.0091167721529571E-3</v>
      </c>
      <c r="BL204" s="144">
        <f t="shared" si="588"/>
        <v>21.010478539705584</v>
      </c>
      <c r="BM204" s="456">
        <f t="shared" si="526"/>
        <v>0.1191619514619463</v>
      </c>
      <c r="BN204" s="144">
        <f t="shared" si="527"/>
        <v>119.1619514619463</v>
      </c>
      <c r="BO204" s="456">
        <f t="shared" si="483"/>
        <v>0.78959999999999986</v>
      </c>
      <c r="BR204" s="144">
        <f t="shared" si="484"/>
        <v>789.59999999999991</v>
      </c>
      <c r="BS204" s="456">
        <f t="shared" si="485"/>
        <v>4.9467877253412562E-2</v>
      </c>
      <c r="BT204" s="456">
        <f t="shared" si="486"/>
        <v>8.2818099560034109E-2</v>
      </c>
      <c r="BU204" s="456">
        <f t="shared" si="487"/>
        <v>6.4214193823107474E-2</v>
      </c>
      <c r="BV204" s="456"/>
      <c r="BW204" s="456">
        <f t="shared" si="488"/>
        <v>1.009767332187007E-3</v>
      </c>
      <c r="BX204" s="144">
        <f t="shared" si="489"/>
        <v>197.50993796874113</v>
      </c>
      <c r="BY204" s="150">
        <f t="shared" si="490"/>
        <v>1.1174444313607281</v>
      </c>
      <c r="BZ204" s="5">
        <f t="shared" si="491"/>
        <v>5.64</v>
      </c>
      <c r="CA204" s="150">
        <f t="shared" si="492"/>
        <v>0.83463505431509533</v>
      </c>
      <c r="CB204" s="5">
        <f t="shared" si="493"/>
        <v>83.463505431509532</v>
      </c>
      <c r="CE204" s="59">
        <f t="shared" si="528"/>
        <v>-50</v>
      </c>
      <c r="CF204">
        <f t="shared" si="529"/>
        <v>-50</v>
      </c>
      <c r="CG204" s="150">
        <f t="shared" si="530"/>
        <v>0.62079247007978722</v>
      </c>
      <c r="CI204" s="147">
        <v>94</v>
      </c>
      <c r="CJ204" s="188">
        <f t="shared" si="589"/>
        <v>1.1279999999999999</v>
      </c>
      <c r="CK204" s="188"/>
      <c r="CL204" s="188">
        <f t="shared" si="531"/>
        <v>5.64</v>
      </c>
      <c r="CM204" s="465">
        <f t="shared" si="532"/>
        <v>9</v>
      </c>
      <c r="CN204" s="379">
        <f t="shared" si="533"/>
        <v>5.4</v>
      </c>
      <c r="CO204" s="379">
        <f t="shared" si="534"/>
        <v>14.4</v>
      </c>
      <c r="CP204" s="379"/>
      <c r="CQ204" s="188">
        <f t="shared" si="535"/>
        <v>0.375</v>
      </c>
      <c r="CR204" s="149">
        <f t="shared" si="590"/>
        <v>8.4754687499999992</v>
      </c>
      <c r="CS204" s="149">
        <f t="shared" si="536"/>
        <v>5.64</v>
      </c>
      <c r="CT204" s="188">
        <f t="shared" si="537"/>
        <v>1.6950937499999998</v>
      </c>
      <c r="CU204" s="188">
        <f t="shared" si="538"/>
        <v>5</v>
      </c>
      <c r="CV204" s="188"/>
      <c r="CW204" s="149">
        <f t="shared" si="539"/>
        <v>11.255671036755217</v>
      </c>
      <c r="CX204" s="149">
        <f t="shared" si="540"/>
        <v>5</v>
      </c>
      <c r="CY204" s="188">
        <f t="shared" si="541"/>
        <v>3.342222222222222</v>
      </c>
      <c r="CZ204" s="188">
        <f t="shared" si="542"/>
        <v>4.4562962962962969</v>
      </c>
      <c r="DA204" s="188">
        <f t="shared" si="543"/>
        <v>7.4271604938271603</v>
      </c>
      <c r="DB204" s="172">
        <f t="shared" si="544"/>
        <v>281.25</v>
      </c>
      <c r="DC204" s="379">
        <f t="shared" si="545"/>
        <v>84.150598404255319</v>
      </c>
      <c r="DE204" s="188">
        <f t="shared" si="546"/>
        <v>1</v>
      </c>
      <c r="DF204" s="150">
        <f t="shared" si="547"/>
        <v>2.2222222222222219</v>
      </c>
      <c r="DG204" s="150">
        <f t="shared" si="548"/>
        <v>0.31249999999999994</v>
      </c>
      <c r="DH204" s="150"/>
      <c r="DI204" s="150">
        <f t="shared" si="549"/>
        <v>2.2222222222222219</v>
      </c>
      <c r="DJ204" s="314">
        <f t="shared" si="550"/>
        <v>1015.2</v>
      </c>
      <c r="DK204" s="456">
        <f t="shared" si="551"/>
        <v>0.31249999999999994</v>
      </c>
      <c r="DM204" s="150">
        <f t="shared" si="552"/>
        <v>1.7031064055341429</v>
      </c>
      <c r="DN204" s="150">
        <f t="shared" si="553"/>
        <v>3.342222222222222</v>
      </c>
      <c r="DO204" s="150">
        <f t="shared" si="554"/>
        <v>2.9349794238683122</v>
      </c>
      <c r="DQ204" s="314">
        <f t="shared" si="555"/>
        <v>1128</v>
      </c>
      <c r="DR204" s="144">
        <f t="shared" si="556"/>
        <v>84.150598404255319</v>
      </c>
      <c r="DT204">
        <f t="shared" si="591"/>
        <v>1128</v>
      </c>
      <c r="DU204">
        <f t="shared" si="592"/>
        <v>84.150598404255319</v>
      </c>
      <c r="DW204" s="5">
        <f t="shared" si="557"/>
        <v>11.883456790123457</v>
      </c>
      <c r="DX204" s="5">
        <f t="shared" si="558"/>
        <v>4.4562962962962969</v>
      </c>
      <c r="DY204" s="5">
        <f t="shared" si="559"/>
        <v>7.4271604938271603</v>
      </c>
      <c r="DZ204" s="5"/>
      <c r="EA204" s="150">
        <f t="shared" si="560"/>
        <v>0.37500000000000006</v>
      </c>
      <c r="EB204" s="150">
        <f t="shared" si="561"/>
        <v>5.6399999999999979</v>
      </c>
      <c r="EC204" s="150">
        <f t="shared" si="562"/>
        <v>1.0444444444444443</v>
      </c>
      <c r="ED204" s="150">
        <f t="shared" si="563"/>
        <v>5.3999999999999986</v>
      </c>
      <c r="EE204" s="144">
        <f t="shared" si="564"/>
        <v>100.53404444444445</v>
      </c>
      <c r="EF204" s="5">
        <f t="shared" si="565"/>
        <v>1.9393141289437581</v>
      </c>
      <c r="EH204" s="150">
        <f t="shared" si="566"/>
        <v>1.1816539987828527</v>
      </c>
      <c r="EI204" s="150">
        <f t="shared" si="567"/>
        <v>1.5255087527551292</v>
      </c>
      <c r="EK204" s="456">
        <f t="shared" si="568"/>
        <v>2.7926123456790124E-2</v>
      </c>
      <c r="EL204" s="456">
        <f t="shared" si="569"/>
        <v>8.1000000000000003E-2</v>
      </c>
      <c r="EM204" s="456">
        <f t="shared" si="570"/>
        <v>1.0518824800531915E-2</v>
      </c>
      <c r="EN204" s="456">
        <f t="shared" si="571"/>
        <v>1.7449468085106385E-3</v>
      </c>
      <c r="EO204">
        <f t="shared" si="572"/>
        <v>4.0499999999999998E-3</v>
      </c>
      <c r="EP204" s="144">
        <f t="shared" si="573"/>
        <v>14.568824800531914</v>
      </c>
      <c r="EQ204" s="144"/>
      <c r="ER204" s="144">
        <f t="shared" si="593"/>
        <v>125.23989506583268</v>
      </c>
      <c r="ES204" s="456">
        <f t="shared" si="574"/>
        <v>0.78959999999999986</v>
      </c>
      <c r="EV204" s="144">
        <f t="shared" si="494"/>
        <v>789.59999999999991</v>
      </c>
      <c r="EW204" s="456">
        <f t="shared" si="575"/>
        <v>4.1889185185185182E-2</v>
      </c>
      <c r="EX204" s="456">
        <f t="shared" si="576"/>
        <v>6.9815308641975299E-2</v>
      </c>
      <c r="EY204" s="456">
        <f t="shared" si="577"/>
        <v>6.6328676578668033E-2</v>
      </c>
      <c r="EZ204" s="456"/>
      <c r="FA204" s="456">
        <f t="shared" si="578"/>
        <v>9.3999999999999976E-4</v>
      </c>
      <c r="FB204" s="144">
        <f t="shared" si="579"/>
        <v>178.97317040582848</v>
      </c>
      <c r="FC204" s="150">
        <f t="shared" si="580"/>
        <v>1.0938130654716609</v>
      </c>
      <c r="FD204" s="5">
        <f t="shared" si="581"/>
        <v>5.64</v>
      </c>
      <c r="FE204" s="150">
        <f t="shared" si="582"/>
        <v>0.83756408815678252</v>
      </c>
      <c r="FF204" s="5">
        <f t="shared" si="583"/>
        <v>83.756408815678256</v>
      </c>
      <c r="FI204" s="59">
        <f t="shared" si="584"/>
        <v>-50</v>
      </c>
      <c r="FJ204">
        <f t="shared" si="585"/>
        <v>-50</v>
      </c>
      <c r="FL204">
        <f t="shared" si="586"/>
        <v>0.625</v>
      </c>
    </row>
    <row r="205" spans="5:168">
      <c r="E205" s="147">
        <v>95</v>
      </c>
      <c r="F205" s="188">
        <f t="shared" si="587"/>
        <v>1.1399999999999999</v>
      </c>
      <c r="G205" s="188"/>
      <c r="H205" s="188">
        <f t="shared" si="495"/>
        <v>5.6999999999999993</v>
      </c>
      <c r="I205" s="465">
        <f t="shared" si="496"/>
        <v>8.9081884261942221</v>
      </c>
      <c r="J205" s="149">
        <f t="shared" si="497"/>
        <v>5.455086944283468</v>
      </c>
      <c r="K205" s="149">
        <f t="shared" si="498"/>
        <v>14.363275370477691</v>
      </c>
      <c r="L205" s="379"/>
      <c r="M205" s="188">
        <f t="shared" si="499"/>
        <v>0.37977823419468471</v>
      </c>
      <c r="N205" s="149">
        <f t="shared" si="500"/>
        <v>8.4959004567256251</v>
      </c>
      <c r="O205" s="149">
        <f t="shared" si="599"/>
        <v>5.6999999999999993</v>
      </c>
      <c r="P205" s="188">
        <f t="shared" si="501"/>
        <v>1.6991800913451249</v>
      </c>
      <c r="Q205" s="188">
        <f t="shared" si="502"/>
        <v>5</v>
      </c>
      <c r="R205" s="188"/>
      <c r="S205" s="149">
        <f t="shared" si="503"/>
        <v>10.941492959224895</v>
      </c>
      <c r="T205" s="149">
        <f t="shared" si="504"/>
        <v>5</v>
      </c>
      <c r="U205" s="188">
        <f t="shared" si="505"/>
        <v>3.6761044608609903</v>
      </c>
      <c r="V205" s="188">
        <f t="shared" si="506"/>
        <v>4.9519892732194997</v>
      </c>
      <c r="W205" s="188">
        <f t="shared" si="507"/>
        <v>8.0866270292097457</v>
      </c>
      <c r="X205" s="172">
        <f t="shared" si="508"/>
        <v>281.93976842282643</v>
      </c>
      <c r="Y205" s="379">
        <f t="shared" si="509"/>
        <v>75.536595151300148</v>
      </c>
      <c r="AA205" s="188">
        <f t="shared" si="510"/>
        <v>1</v>
      </c>
      <c r="AB205" s="150">
        <f t="shared" si="511"/>
        <v>2.1997816208181837</v>
      </c>
      <c r="AC205" s="150">
        <f t="shared" si="512"/>
        <v>0.31010296037713425</v>
      </c>
      <c r="AD205" s="150"/>
      <c r="AE205" s="150">
        <f t="shared" si="513"/>
        <v>2.1997816208181837</v>
      </c>
      <c r="AF205" s="314">
        <f t="shared" si="514"/>
        <v>1036.4665194138588</v>
      </c>
      <c r="AG205" s="456">
        <f t="shared" si="515"/>
        <v>0.31010296037713425</v>
      </c>
      <c r="AI205" s="150">
        <f t="shared" si="516"/>
        <v>1.7208523796685831</v>
      </c>
      <c r="AJ205" s="150">
        <f t="shared" si="517"/>
        <v>3.6761044608609903</v>
      </c>
      <c r="AK205" s="150">
        <f t="shared" si="518"/>
        <v>3.1822996006377702</v>
      </c>
      <c r="AM205" s="314">
        <f t="shared" si="519"/>
        <v>1140</v>
      </c>
      <c r="AN205" s="144">
        <f t="shared" si="520"/>
        <v>75.536595151300148</v>
      </c>
      <c r="AP205">
        <f t="shared" si="521"/>
        <v>1140</v>
      </c>
      <c r="AQ205">
        <f t="shared" si="522"/>
        <v>75.536595151300148</v>
      </c>
      <c r="AS205" s="5">
        <f t="shared" si="600"/>
        <v>13.238616302429245</v>
      </c>
      <c r="AT205" s="5">
        <f t="shared" si="523"/>
        <v>4.9519892732194997</v>
      </c>
      <c r="AU205" s="5">
        <f t="shared" si="478"/>
        <v>8.286627029209745</v>
      </c>
      <c r="AV205" s="5"/>
      <c r="AW205" s="150">
        <f t="shared" si="479"/>
        <v>0.37405640892476238</v>
      </c>
      <c r="AX205" s="150">
        <f t="shared" si="596"/>
        <v>6.1246932602838609</v>
      </c>
      <c r="AY205" s="150">
        <f t="shared" si="597"/>
        <v>1.1505170136995142</v>
      </c>
      <c r="AZ205" s="150">
        <f t="shared" si="601"/>
        <v>5.3234269353303754</v>
      </c>
      <c r="BA205" s="144">
        <f t="shared" si="594"/>
        <v>112.90535542940459</v>
      </c>
      <c r="BB205" s="5">
        <f t="shared" si="595"/>
        <v>2.2092863613552001</v>
      </c>
      <c r="BD205" s="150">
        <f t="shared" si="602"/>
        <v>1.2980629869729707</v>
      </c>
      <c r="BE205" s="150">
        <f t="shared" si="598"/>
        <v>1.6791705742930048</v>
      </c>
      <c r="BG205" s="456">
        <f t="shared" si="480"/>
        <v>3.369935036298382E-2</v>
      </c>
      <c r="BH205" s="456">
        <f t="shared" si="524"/>
        <v>7.4782504817411069E-2</v>
      </c>
      <c r="BI205" s="456">
        <f t="shared" si="525"/>
        <v>1.6822355567023262E-2</v>
      </c>
      <c r="BJ205" s="456">
        <f t="shared" si="481"/>
        <v>1.5583477506657172E-3</v>
      </c>
      <c r="BK205">
        <f t="shared" si="482"/>
        <v>4.0086847917873997E-3</v>
      </c>
      <c r="BL205" s="144">
        <f t="shared" si="588"/>
        <v>20.831040358810665</v>
      </c>
      <c r="BM205" s="456">
        <f t="shared" si="526"/>
        <v>0.12010066946355191</v>
      </c>
      <c r="BN205" s="144">
        <f t="shared" si="527"/>
        <v>120.10066946355191</v>
      </c>
      <c r="BO205" s="456">
        <f t="shared" si="483"/>
        <v>0.79799999999999993</v>
      </c>
      <c r="BR205" s="144">
        <f t="shared" si="484"/>
        <v>797.99999999999989</v>
      </c>
      <c r="BS205" s="456">
        <f t="shared" si="485"/>
        <v>5.0549025544475719E-2</v>
      </c>
      <c r="BT205" s="456">
        <f t="shared" si="486"/>
        <v>8.4588414527144981E-2</v>
      </c>
      <c r="BU205" s="456">
        <f t="shared" si="487"/>
        <v>6.4244081782858939E-2</v>
      </c>
      <c r="BV205" s="456"/>
      <c r="BW205" s="456">
        <f t="shared" si="488"/>
        <v>1.0207822100473101E-3</v>
      </c>
      <c r="BX205" s="144">
        <f t="shared" si="489"/>
        <v>200.40230406452696</v>
      </c>
      <c r="BY205" s="150">
        <f t="shared" si="490"/>
        <v>1.129273547354398</v>
      </c>
      <c r="BZ205" s="5">
        <f t="shared" si="491"/>
        <v>5.6999999999999993</v>
      </c>
      <c r="CA205" s="150">
        <f t="shared" si="492"/>
        <v>0.83464221494072843</v>
      </c>
      <c r="CB205" s="5">
        <f t="shared" si="493"/>
        <v>83.464221494072845</v>
      </c>
      <c r="CE205" s="59">
        <f t="shared" si="528"/>
        <v>-50</v>
      </c>
      <c r="CF205">
        <f t="shared" si="529"/>
        <v>-50</v>
      </c>
      <c r="CG205" s="150">
        <f t="shared" si="530"/>
        <v>0.62083675986842091</v>
      </c>
      <c r="CI205" s="147">
        <v>95</v>
      </c>
      <c r="CJ205" s="188">
        <f t="shared" si="589"/>
        <v>1.1399999999999999</v>
      </c>
      <c r="CK205" s="188"/>
      <c r="CL205" s="188">
        <f t="shared" si="531"/>
        <v>5.6999999999999993</v>
      </c>
      <c r="CM205" s="465">
        <f t="shared" si="532"/>
        <v>9</v>
      </c>
      <c r="CN205" s="379">
        <f t="shared" si="533"/>
        <v>5.4</v>
      </c>
      <c r="CO205" s="379">
        <f t="shared" si="534"/>
        <v>14.4</v>
      </c>
      <c r="CP205" s="379"/>
      <c r="CQ205" s="188">
        <f t="shared" si="535"/>
        <v>0.375</v>
      </c>
      <c r="CR205" s="149">
        <f t="shared" si="590"/>
        <v>8.4754687499999992</v>
      </c>
      <c r="CS205" s="149">
        <f t="shared" si="536"/>
        <v>5.6999999999999993</v>
      </c>
      <c r="CT205" s="188">
        <f t="shared" si="537"/>
        <v>1.6950937499999998</v>
      </c>
      <c r="CU205" s="188">
        <f t="shared" si="538"/>
        <v>5</v>
      </c>
      <c r="CV205" s="188"/>
      <c r="CW205" s="149">
        <f t="shared" si="539"/>
        <v>11.051219113026869</v>
      </c>
      <c r="CX205" s="149">
        <f t="shared" si="540"/>
        <v>5</v>
      </c>
      <c r="CY205" s="188">
        <f t="shared" si="541"/>
        <v>3.3777777777777773</v>
      </c>
      <c r="CZ205" s="188">
        <f t="shared" si="542"/>
        <v>4.5037037037037031</v>
      </c>
      <c r="DA205" s="188">
        <f t="shared" si="543"/>
        <v>7.5061728395061715</v>
      </c>
      <c r="DB205" s="172">
        <f t="shared" si="544"/>
        <v>281.25</v>
      </c>
      <c r="DC205" s="379">
        <f t="shared" si="545"/>
        <v>83.264802631578974</v>
      </c>
      <c r="DE205" s="188">
        <f t="shared" si="546"/>
        <v>1</v>
      </c>
      <c r="DF205" s="150">
        <f t="shared" si="547"/>
        <v>2.2222222222222219</v>
      </c>
      <c r="DG205" s="150">
        <f t="shared" si="548"/>
        <v>0.31249999999999994</v>
      </c>
      <c r="DH205" s="150"/>
      <c r="DI205" s="150">
        <f t="shared" si="549"/>
        <v>2.2222222222222219</v>
      </c>
      <c r="DJ205" s="314">
        <f t="shared" si="550"/>
        <v>1026</v>
      </c>
      <c r="DK205" s="456">
        <f t="shared" si="551"/>
        <v>0.31249999999999994</v>
      </c>
      <c r="DM205" s="150">
        <f t="shared" si="552"/>
        <v>1.7121415161804154</v>
      </c>
      <c r="DN205" s="150">
        <f t="shared" si="553"/>
        <v>3.3777777777777773</v>
      </c>
      <c r="DO205" s="150">
        <f t="shared" si="554"/>
        <v>2.9613168724279832</v>
      </c>
      <c r="DQ205" s="314">
        <f t="shared" si="555"/>
        <v>1140</v>
      </c>
      <c r="DR205" s="144">
        <f t="shared" si="556"/>
        <v>83.264802631578974</v>
      </c>
      <c r="DT205">
        <f t="shared" si="591"/>
        <v>1140</v>
      </c>
      <c r="DU205">
        <f t="shared" si="592"/>
        <v>83.264802631578974</v>
      </c>
      <c r="DW205" s="5">
        <f t="shared" si="557"/>
        <v>12.009876543209872</v>
      </c>
      <c r="DX205" s="5">
        <f t="shared" si="558"/>
        <v>4.5037037037037031</v>
      </c>
      <c r="DY205" s="5">
        <f t="shared" si="559"/>
        <v>7.5061728395061689</v>
      </c>
      <c r="DZ205" s="5"/>
      <c r="EA205" s="150">
        <f t="shared" si="560"/>
        <v>0.37500000000000011</v>
      </c>
      <c r="EB205" s="150">
        <f t="shared" si="561"/>
        <v>5.7</v>
      </c>
      <c r="EC205" s="150">
        <f t="shared" si="562"/>
        <v>1.0555555555555551</v>
      </c>
      <c r="ED205" s="150">
        <f t="shared" si="563"/>
        <v>5.4000000000000021</v>
      </c>
      <c r="EE205" s="144">
        <f t="shared" si="564"/>
        <v>102.68444444444442</v>
      </c>
      <c r="EF205" s="5">
        <f t="shared" si="565"/>
        <v>1.9807956104252387</v>
      </c>
      <c r="EH205" s="150">
        <f t="shared" si="566"/>
        <v>1.1942247860039468</v>
      </c>
      <c r="EI205" s="150">
        <f t="shared" si="567"/>
        <v>1.5417375692738007</v>
      </c>
      <c r="EK205" s="456">
        <f t="shared" si="568"/>
        <v>2.8523456790123448E-2</v>
      </c>
      <c r="EL205" s="456">
        <f t="shared" si="569"/>
        <v>8.1000000000000016E-2</v>
      </c>
      <c r="EM205" s="456">
        <f t="shared" si="570"/>
        <v>1.0408100328947371E-2</v>
      </c>
      <c r="EN205" s="456">
        <f t="shared" si="571"/>
        <v>1.7265789473684217E-3</v>
      </c>
      <c r="EO205">
        <f t="shared" si="572"/>
        <v>4.0499999999999998E-3</v>
      </c>
      <c r="EP205" s="144">
        <f t="shared" si="573"/>
        <v>14.458100328947371</v>
      </c>
      <c r="EQ205" s="144"/>
      <c r="ER205" s="144">
        <f t="shared" si="593"/>
        <v>125.70813606643927</v>
      </c>
      <c r="ES205" s="456">
        <f t="shared" si="574"/>
        <v>0.79799999999999993</v>
      </c>
      <c r="EV205" s="144">
        <f t="shared" si="494"/>
        <v>797.99999999999989</v>
      </c>
      <c r="EW205" s="456">
        <f t="shared" si="575"/>
        <v>4.2785185185185169E-2</v>
      </c>
      <c r="EX205" s="456">
        <f t="shared" si="576"/>
        <v>7.1308641975308618E-2</v>
      </c>
      <c r="EY205" s="456">
        <f t="shared" si="577"/>
        <v>6.6328676578668186E-2</v>
      </c>
      <c r="EZ205" s="456"/>
      <c r="FA205" s="456">
        <f t="shared" si="578"/>
        <v>9.5E-4</v>
      </c>
      <c r="FB205" s="144">
        <f t="shared" si="579"/>
        <v>181.37250373916197</v>
      </c>
      <c r="FC205" s="150">
        <f t="shared" si="580"/>
        <v>1.105080639805601</v>
      </c>
      <c r="FD205" s="5">
        <f t="shared" si="581"/>
        <v>5.6999999999999993</v>
      </c>
      <c r="FE205" s="150">
        <f t="shared" si="582"/>
        <v>0.83760947176120903</v>
      </c>
      <c r="FF205" s="5">
        <f t="shared" si="583"/>
        <v>83.760947176120908</v>
      </c>
      <c r="FI205" s="59">
        <f t="shared" si="584"/>
        <v>-50</v>
      </c>
      <c r="FJ205">
        <f t="shared" si="585"/>
        <v>-50</v>
      </c>
      <c r="FL205">
        <f t="shared" si="586"/>
        <v>0.62499999999999989</v>
      </c>
    </row>
    <row r="206" spans="5:168">
      <c r="E206" s="147">
        <v>96</v>
      </c>
      <c r="F206" s="188">
        <f t="shared" si="587"/>
        <v>1.1519999999999999</v>
      </c>
      <c r="G206" s="188"/>
      <c r="H206" s="188">
        <f>F206*Vout</f>
        <v>5.76</v>
      </c>
      <c r="I206" s="465">
        <f t="shared" si="496"/>
        <v>8.9072284689112813</v>
      </c>
      <c r="J206" s="149">
        <f t="shared" si="497"/>
        <v>5.4556629186532319</v>
      </c>
      <c r="K206" s="149">
        <f t="shared" si="498"/>
        <v>14.362891387564513</v>
      </c>
      <c r="L206" s="379"/>
      <c r="M206" s="188">
        <f t="shared" si="499"/>
        <v>0.37982849128009366</v>
      </c>
      <c r="N206" s="149">
        <f>M206*I206*(Isw_max+VIN_min/Lmag*ILIM_delay)*0.5*Efficiency</f>
        <v>8.4961090925310554</v>
      </c>
      <c r="O206" s="149">
        <f t="shared" si="599"/>
        <v>5.76</v>
      </c>
      <c r="P206" s="188">
        <f>N206/Vout</f>
        <v>1.6992218185062111</v>
      </c>
      <c r="Q206" s="188">
        <f t="shared" si="502"/>
        <v>5</v>
      </c>
      <c r="R206" s="188"/>
      <c r="S206" s="149">
        <f t="shared" si="503"/>
        <v>10.742452692877606</v>
      </c>
      <c r="T206" s="149">
        <f>MIN(Vout, S206)</f>
        <v>5</v>
      </c>
      <c r="U206" s="188">
        <f t="shared" si="505"/>
        <v>3.7151013350414588</v>
      </c>
      <c r="V206" s="188">
        <f>L*U206/I206*1000000</f>
        <v>5.0050603480194118</v>
      </c>
      <c r="W206" s="188">
        <f t="shared" si="507"/>
        <v>8.1715488447923921</v>
      </c>
      <c r="X206" s="172">
        <f t="shared" si="508"/>
        <v>281.94668906687667</v>
      </c>
      <c r="Y206" s="379">
        <f t="shared" si="509"/>
        <v>74.757360821856906</v>
      </c>
      <c r="AA206" s="188">
        <f t="shared" si="510"/>
        <v>1</v>
      </c>
      <c r="AB206" s="150">
        <f>L*AA206/J206*1000000</f>
        <v>2.1995493817939695</v>
      </c>
      <c r="AC206" s="150">
        <f>0.5*AB206*AA206*Nps*X206/1000</f>
        <v>0.31007783281795259</v>
      </c>
      <c r="AD206" s="150"/>
      <c r="AE206" s="150">
        <f t="shared" si="513"/>
        <v>2.1995493817939695</v>
      </c>
      <c r="AF206" s="314">
        <f>MAX(12000,F206/(0.5*AE206/1000000*Isw_min*Nps))/1000</f>
        <v>1047.4872803814205</v>
      </c>
      <c r="AG206" s="456">
        <f t="shared" si="515"/>
        <v>0.31007783281795254</v>
      </c>
      <c r="AI206" s="150">
        <f t="shared" si="516"/>
        <v>1.7299771099901216</v>
      </c>
      <c r="AJ206" s="150">
        <f>MAX(IF(F206&gt;AC206,U206,AI206),Isw_min)</f>
        <v>3.7151013350414588</v>
      </c>
      <c r="AK206" s="150">
        <f>IF(F206&gt;AG206, (AJ206-Isw_min)/1.08*0.8+1.2, AF206*0.2/350+1)</f>
        <v>3.2111861741047845</v>
      </c>
      <c r="AM206" s="314">
        <f t="shared" si="519"/>
        <v>1152</v>
      </c>
      <c r="AN206" s="144">
        <f t="shared" si="520"/>
        <v>74.757360821856906</v>
      </c>
      <c r="AP206">
        <f t="shared" si="521"/>
        <v>1152</v>
      </c>
      <c r="AQ206">
        <f t="shared" si="522"/>
        <v>74.757360821856906</v>
      </c>
      <c r="AS206" s="5">
        <f t="shared" si="600"/>
        <v>13.376609192811802</v>
      </c>
      <c r="AT206" s="5">
        <f t="shared" si="523"/>
        <v>5.0050603480194118</v>
      </c>
      <c r="AU206" s="5">
        <f t="shared" si="478"/>
        <v>8.3715488447923896</v>
      </c>
      <c r="AV206" s="5"/>
      <c r="AW206" s="150">
        <f t="shared" si="479"/>
        <v>0.37416510237205586</v>
      </c>
      <c r="AX206" s="150">
        <f t="shared" si="596"/>
        <v>6.1907966648425115</v>
      </c>
      <c r="AY206" s="150">
        <f t="shared" si="597"/>
        <v>1.1625200318465552</v>
      </c>
      <c r="AZ206" s="150">
        <f t="shared" si="601"/>
        <v>5.3253247215095341</v>
      </c>
      <c r="BA206" s="144">
        <f t="shared" si="594"/>
        <v>115.31659041836724</v>
      </c>
      <c r="BB206" s="5">
        <f t="shared" si="595"/>
        <v>2.2556642953110995</v>
      </c>
      <c r="BD206" s="150">
        <f t="shared" si="602"/>
        <v>1.3120236894425952</v>
      </c>
      <c r="BE206" s="150">
        <f t="shared" si="598"/>
        <v>1.6968362172634843</v>
      </c>
      <c r="BG206" s="456">
        <f t="shared" si="480"/>
        <v>3.4428123233171189E-2</v>
      </c>
      <c r="BH206" s="456">
        <f t="shared" si="524"/>
        <v>7.4794174573502348E-2</v>
      </c>
      <c r="BI206" s="456">
        <f t="shared" si="525"/>
        <v>1.6647022314327919E-2</v>
      </c>
      <c r="BJ206" s="456">
        <f t="shared" si="481"/>
        <v>1.542189399701013E-3</v>
      </c>
      <c r="BK206">
        <f t="shared" si="482"/>
        <v>4.0082528110100763E-3</v>
      </c>
      <c r="BL206" s="144">
        <f t="shared" si="588"/>
        <v>20.655275125337994</v>
      </c>
      <c r="BM206" s="456">
        <f t="shared" si="526"/>
        <v>0.12105028660157503</v>
      </c>
      <c r="BN206" s="144">
        <f t="shared" si="527"/>
        <v>121.05028660157504</v>
      </c>
      <c r="BO206" s="456">
        <f t="shared" si="483"/>
        <v>0.80639999999999989</v>
      </c>
      <c r="BR206" s="144">
        <f t="shared" si="484"/>
        <v>806.39999999999986</v>
      </c>
      <c r="BS206" s="456">
        <f t="shared" si="485"/>
        <v>5.164218484975678E-2</v>
      </c>
      <c r="BT206" s="456">
        <f t="shared" si="486"/>
        <v>8.637759444651151E-2</v>
      </c>
      <c r="BU206" s="456">
        <f t="shared" si="487"/>
        <v>6.4273443397885002E-2</v>
      </c>
      <c r="BV206" s="456"/>
      <c r="BW206" s="456">
        <f t="shared" si="488"/>
        <v>1.0317994441404186E-3</v>
      </c>
      <c r="BX206" s="144">
        <f t="shared" si="489"/>
        <v>203.32502213829369</v>
      </c>
      <c r="BY206" s="150">
        <f t="shared" si="490"/>
        <v>1.1411447844700062</v>
      </c>
      <c r="BZ206" s="5">
        <f t="shared" si="491"/>
        <v>5.76</v>
      </c>
      <c r="CA206" s="150">
        <f t="shared" si="492"/>
        <v>0.83464413222600664</v>
      </c>
      <c r="CB206" s="5">
        <f t="shared" si="493"/>
        <v>83.464413222600669</v>
      </c>
      <c r="CE206" s="59">
        <f t="shared" si="528"/>
        <v>-50</v>
      </c>
      <c r="CF206">
        <f t="shared" si="529"/>
        <v>-50</v>
      </c>
      <c r="CG206" s="150">
        <f t="shared" si="530"/>
        <v>0.620880126953125</v>
      </c>
      <c r="CI206" s="147">
        <v>96</v>
      </c>
      <c r="CJ206" s="188">
        <f t="shared" si="589"/>
        <v>1.1519999999999999</v>
      </c>
      <c r="CK206" s="188"/>
      <c r="CL206" s="188">
        <f t="shared" si="531"/>
        <v>5.76</v>
      </c>
      <c r="CM206" s="465">
        <f t="shared" si="532"/>
        <v>9</v>
      </c>
      <c r="CN206" s="379">
        <f t="shared" si="533"/>
        <v>5.4</v>
      </c>
      <c r="CO206" s="379">
        <f t="shared" si="534"/>
        <v>14.4</v>
      </c>
      <c r="CP206" s="379"/>
      <c r="CQ206" s="188">
        <f t="shared" si="535"/>
        <v>0.375</v>
      </c>
      <c r="CR206" s="149">
        <f t="shared" si="590"/>
        <v>8.4754687499999992</v>
      </c>
      <c r="CS206" s="149">
        <f t="shared" si="536"/>
        <v>5.76</v>
      </c>
      <c r="CT206" s="188">
        <f t="shared" si="537"/>
        <v>1.6950937499999998</v>
      </c>
      <c r="CU206" s="188">
        <f t="shared" si="538"/>
        <v>5</v>
      </c>
      <c r="CV206" s="188"/>
      <c r="CW206" s="149">
        <f t="shared" si="539"/>
        <v>10.85121543146203</v>
      </c>
      <c r="CX206" s="149">
        <f t="shared" si="540"/>
        <v>5</v>
      </c>
      <c r="CY206" s="188">
        <f t="shared" si="541"/>
        <v>3.4133333333333331</v>
      </c>
      <c r="CZ206" s="188">
        <f t="shared" si="542"/>
        <v>4.5511111111111111</v>
      </c>
      <c r="DA206" s="188">
        <f t="shared" si="543"/>
        <v>7.5851851851851846</v>
      </c>
      <c r="DB206" s="172">
        <f t="shared" si="544"/>
        <v>281.25</v>
      </c>
      <c r="DC206" s="379">
        <f t="shared" si="545"/>
        <v>82.3974609375</v>
      </c>
      <c r="DE206" s="188">
        <f t="shared" si="546"/>
        <v>1</v>
      </c>
      <c r="DF206" s="150">
        <f t="shared" si="547"/>
        <v>2.2222222222222219</v>
      </c>
      <c r="DG206" s="150">
        <f t="shared" si="548"/>
        <v>0.31249999999999994</v>
      </c>
      <c r="DH206" s="150"/>
      <c r="DI206" s="150">
        <f t="shared" si="549"/>
        <v>2.2222222222222219</v>
      </c>
      <c r="DJ206" s="314">
        <f t="shared" si="550"/>
        <v>1036.8</v>
      </c>
      <c r="DK206" s="456">
        <f t="shared" si="551"/>
        <v>0.31249999999999994</v>
      </c>
      <c r="DM206" s="150">
        <f t="shared" si="552"/>
        <v>1.721129197441527</v>
      </c>
      <c r="DN206" s="150">
        <f t="shared" si="553"/>
        <v>3.4133333333333331</v>
      </c>
      <c r="DO206" s="150">
        <f t="shared" si="554"/>
        <v>2.9876543209876543</v>
      </c>
      <c r="DQ206" s="314">
        <f t="shared" si="555"/>
        <v>1152</v>
      </c>
      <c r="DR206" s="144">
        <f t="shared" si="556"/>
        <v>82.3974609375</v>
      </c>
      <c r="DT206">
        <f t="shared" si="591"/>
        <v>1152</v>
      </c>
      <c r="DU206">
        <f t="shared" si="592"/>
        <v>82.3974609375</v>
      </c>
      <c r="DW206" s="5">
        <f t="shared" si="557"/>
        <v>12.136296296296296</v>
      </c>
      <c r="DX206" s="5">
        <f t="shared" si="558"/>
        <v>4.5511111111111111</v>
      </c>
      <c r="DY206" s="5">
        <f t="shared" si="559"/>
        <v>7.5851851851851846</v>
      </c>
      <c r="DZ206" s="5"/>
      <c r="EA206" s="150">
        <f t="shared" si="560"/>
        <v>0.375</v>
      </c>
      <c r="EB206" s="150">
        <f t="shared" si="561"/>
        <v>5.76</v>
      </c>
      <c r="EC206" s="150">
        <f t="shared" si="562"/>
        <v>1.0666666666666667</v>
      </c>
      <c r="ED206" s="150">
        <f t="shared" si="563"/>
        <v>5.3999999999999995</v>
      </c>
      <c r="EE206" s="144">
        <f t="shared" si="564"/>
        <v>104.85759999999999</v>
      </c>
      <c r="EF206" s="5">
        <f t="shared" si="565"/>
        <v>2.0227160493827157</v>
      </c>
      <c r="EH206" s="150">
        <f t="shared" si="566"/>
        <v>1.2067955732250411</v>
      </c>
      <c r="EI206" s="150">
        <f t="shared" si="567"/>
        <v>1.5579663857924724</v>
      </c>
      <c r="EK206" s="456">
        <f t="shared" si="568"/>
        <v>2.9127111111111107E-2</v>
      </c>
      <c r="EL206" s="456">
        <f t="shared" si="569"/>
        <v>8.1000000000000003E-2</v>
      </c>
      <c r="EM206" s="456">
        <f t="shared" si="570"/>
        <v>1.0299682617187498E-2</v>
      </c>
      <c r="EN206" s="456">
        <f t="shared" si="571"/>
        <v>1.70859375E-3</v>
      </c>
      <c r="EO206">
        <f t="shared" si="572"/>
        <v>4.0499999999999998E-3</v>
      </c>
      <c r="EP206" s="144">
        <f t="shared" si="573"/>
        <v>14.349682617187497</v>
      </c>
      <c r="EQ206" s="144"/>
      <c r="ER206" s="144">
        <f t="shared" si="593"/>
        <v>126.18538747829861</v>
      </c>
      <c r="ES206" s="456">
        <f t="shared" si="574"/>
        <v>0.80639999999999989</v>
      </c>
      <c r="EV206" s="144">
        <f t="shared" si="494"/>
        <v>806.39999999999986</v>
      </c>
      <c r="EW206" s="456">
        <f t="shared" si="575"/>
        <v>4.3690666666666662E-2</v>
      </c>
      <c r="EX206" s="456">
        <f t="shared" si="576"/>
        <v>7.2817777777777759E-2</v>
      </c>
      <c r="EY206" s="456">
        <f t="shared" si="577"/>
        <v>6.6328676578668019E-2</v>
      </c>
      <c r="EZ206" s="456"/>
      <c r="FA206" s="456">
        <f t="shared" si="578"/>
        <v>9.5999999999999992E-4</v>
      </c>
      <c r="FB206" s="144">
        <f t="shared" si="579"/>
        <v>183.79712102311242</v>
      </c>
      <c r="FC206" s="150">
        <f t="shared" si="580"/>
        <v>1.116382508501411</v>
      </c>
      <c r="FD206" s="5">
        <f t="shared" si="581"/>
        <v>5.76</v>
      </c>
      <c r="FE206" s="150">
        <f t="shared" si="582"/>
        <v>0.83764973703525003</v>
      </c>
      <c r="FF206" s="5">
        <f t="shared" si="583"/>
        <v>83.764973703525001</v>
      </c>
      <c r="FI206" s="59">
        <f t="shared" si="584"/>
        <v>-50</v>
      </c>
      <c r="FJ206">
        <f t="shared" si="585"/>
        <v>-50</v>
      </c>
      <c r="FL206">
        <f t="shared" si="586"/>
        <v>0.625</v>
      </c>
    </row>
    <row r="207" spans="5:168">
      <c r="E207" s="147">
        <v>97</v>
      </c>
      <c r="F207" s="188">
        <f>IF(PLOT_TYPE=1, E207/100*Iout_max, min_I*EXP(N207*rr/100))</f>
        <v>1.1639999999999999</v>
      </c>
      <c r="G207" s="188"/>
      <c r="H207" s="188">
        <f>F207*Vout</f>
        <v>5.8199999999999994</v>
      </c>
      <c r="I207" s="465">
        <f t="shared" si="496"/>
        <v>8.9062685107417909</v>
      </c>
      <c r="J207" s="149">
        <f t="shared" si="497"/>
        <v>5.4562388935549251</v>
      </c>
      <c r="K207" s="149">
        <f t="shared" si="498"/>
        <v>14.362507404296716</v>
      </c>
      <c r="L207" s="379"/>
      <c r="M207" s="188">
        <f t="shared" si="499"/>
        <v>0.37987875107609631</v>
      </c>
      <c r="N207" s="149">
        <f>M207*I207*(Isw_max+VIN_min/Lmag*ILIM_delay)*0.5*Efficiency</f>
        <v>8.4963175458067397</v>
      </c>
      <c r="O207" s="149">
        <f t="shared" si="599"/>
        <v>5.8199999999999994</v>
      </c>
      <c r="P207" s="188">
        <f>N207/Vout</f>
        <v>1.6992635091613479</v>
      </c>
      <c r="Q207" s="188">
        <f t="shared" si="502"/>
        <v>5</v>
      </c>
      <c r="R207" s="188"/>
      <c r="S207" s="149">
        <f t="shared" si="503"/>
        <v>10.547725787156017</v>
      </c>
      <c r="T207" s="149">
        <f>MIN(Vout, S207)</f>
        <v>5</v>
      </c>
      <c r="U207" s="188">
        <f t="shared" si="505"/>
        <v>3.7541045465540464</v>
      </c>
      <c r="V207" s="188">
        <f>L*U207/I207*1000000</f>
        <v>5.058151402499818</v>
      </c>
      <c r="W207" s="188">
        <f t="shared" si="507"/>
        <v>8.2564666682505603</v>
      </c>
      <c r="X207" s="172">
        <f t="shared" si="508"/>
        <v>281.95360367122225</v>
      </c>
      <c r="Y207" s="379">
        <f t="shared" si="509"/>
        <v>73.993951938922734</v>
      </c>
      <c r="AA207" s="188">
        <f t="shared" si="510"/>
        <v>1</v>
      </c>
      <c r="AB207" s="150">
        <f>L*AA207/J207*1000000</f>
        <v>2.1993171915868208</v>
      </c>
      <c r="AC207" s="150">
        <f>0.5*AB207*AA207*Nps*X207/1000</f>
        <v>0.31005270389198802</v>
      </c>
      <c r="AD207" s="150"/>
      <c r="AE207" s="150">
        <f t="shared" si="513"/>
        <v>2.1993171915868208</v>
      </c>
      <c r="AF207" s="314">
        <f>MAX(12000,F207/(0.5*AE207/1000000*Isw_min*Nps))/1000</f>
        <v>1058.5103453496554</v>
      </c>
      <c r="AG207" s="456">
        <f t="shared" si="515"/>
        <v>0.31005270389198802</v>
      </c>
      <c r="AI207" s="150">
        <f t="shared" si="516"/>
        <v>1.7390558566151884</v>
      </c>
      <c r="AJ207" s="150">
        <f>MAX(IF(F207&gt;AC207,U207,AI207),Isw_min)</f>
        <v>3.7541045465540464</v>
      </c>
      <c r="AK207" s="150">
        <f>IF(F207&gt;AG207, (AJ207-Isw_min)/1.08*0.8+1.2, AF207*0.2/350+1)</f>
        <v>3.2400774418918861</v>
      </c>
      <c r="AM207" s="314">
        <f t="shared" si="519"/>
        <v>1164</v>
      </c>
      <c r="AN207" s="144">
        <f t="shared" si="520"/>
        <v>73.993951938922734</v>
      </c>
      <c r="AP207">
        <f t="shared" si="521"/>
        <v>1164</v>
      </c>
      <c r="AQ207">
        <f t="shared" si="522"/>
        <v>73.993951938922734</v>
      </c>
      <c r="AS207" s="5">
        <f t="shared" si="600"/>
        <v>13.514618070750375</v>
      </c>
      <c r="AT207" s="5">
        <f t="shared" si="523"/>
        <v>5.058151402499818</v>
      </c>
      <c r="AU207" s="5">
        <f t="shared" si="478"/>
        <v>8.456466668250556</v>
      </c>
      <c r="AV207" s="5"/>
      <c r="AW207" s="150">
        <f t="shared" si="479"/>
        <v>0.37427261177636617</v>
      </c>
      <c r="AX207" s="150">
        <f t="shared" si="596"/>
        <v>6.2569141973578191</v>
      </c>
      <c r="AY207" s="150">
        <f t="shared" si="597"/>
        <v>1.1745230165168663</v>
      </c>
      <c r="AZ207" s="150">
        <f t="shared" si="601"/>
        <v>5.3271958994155382</v>
      </c>
      <c r="BA207" s="144">
        <f t="shared" si="594"/>
        <v>117.75376465019576</v>
      </c>
      <c r="BB207" s="5">
        <f t="shared" si="595"/>
        <v>2.3025278932219839</v>
      </c>
      <c r="BD207" s="150">
        <f t="shared" si="602"/>
        <v>1.3259885059558496</v>
      </c>
      <c r="BE207" s="150">
        <f t="shared" si="598"/>
        <v>1.7145032704038685</v>
      </c>
      <c r="BG207" s="456">
        <f t="shared" si="480"/>
        <v>3.5164910358540524E-2</v>
      </c>
      <c r="BH207" s="456">
        <f t="shared" si="524"/>
        <v>7.480560225248109E-2</v>
      </c>
      <c r="BI207" s="456">
        <f t="shared" si="525"/>
        <v>1.6475250103474223E-2</v>
      </c>
      <c r="BJ207" s="456">
        <f t="shared" si="481"/>
        <v>1.5263592197616916E-3</v>
      </c>
      <c r="BK207">
        <f t="shared" si="482"/>
        <v>4.0078208298338054E-3</v>
      </c>
      <c r="BL207" s="144">
        <f t="shared" si="588"/>
        <v>20.483070933308028</v>
      </c>
      <c r="BM207" s="456">
        <f t="shared" si="526"/>
        <v>0.12201082032290912</v>
      </c>
      <c r="BN207" s="144">
        <f t="shared" si="527"/>
        <v>122.01082032290913</v>
      </c>
      <c r="BO207" s="456">
        <f t="shared" si="483"/>
        <v>0.81479999999999986</v>
      </c>
      <c r="BR207" s="144">
        <f t="shared" si="484"/>
        <v>814.79999999999984</v>
      </c>
      <c r="BS207" s="456">
        <f t="shared" si="485"/>
        <v>5.2747365537810786E-2</v>
      </c>
      <c r="BT207" s="456">
        <f t="shared" si="486"/>
        <v>8.8185643926766824E-2</v>
      </c>
      <c r="BU207" s="456">
        <f t="shared" si="487"/>
        <v>6.4302294417434597E-2</v>
      </c>
      <c r="BV207" s="456"/>
      <c r="BW207" s="456">
        <f t="shared" si="488"/>
        <v>1.04281903289297E-3</v>
      </c>
      <c r="BX207" s="144">
        <f t="shared" si="489"/>
        <v>206.27812291490517</v>
      </c>
      <c r="BY207" s="150">
        <f t="shared" si="490"/>
        <v>1.1530580656789964</v>
      </c>
      <c r="BZ207" s="5">
        <f t="shared" si="491"/>
        <v>5.8199999999999994</v>
      </c>
      <c r="CA207" s="150">
        <f t="shared" si="492"/>
        <v>0.83464097748528954</v>
      </c>
      <c r="CB207" s="5">
        <f t="shared" si="493"/>
        <v>83.464097748528957</v>
      </c>
      <c r="CE207" s="59">
        <f t="shared" si="528"/>
        <v>-50</v>
      </c>
      <c r="CF207">
        <f t="shared" si="529"/>
        <v>-50</v>
      </c>
      <c r="CG207" s="150">
        <f t="shared" si="530"/>
        <v>0.62092259987113407</v>
      </c>
      <c r="CI207" s="147">
        <v>97</v>
      </c>
      <c r="CJ207" s="188">
        <f t="shared" si="589"/>
        <v>1.1639999999999999</v>
      </c>
      <c r="CK207" s="188"/>
      <c r="CL207" s="188">
        <f t="shared" si="531"/>
        <v>5.8199999999999994</v>
      </c>
      <c r="CM207" s="465">
        <f t="shared" si="532"/>
        <v>9</v>
      </c>
      <c r="CN207" s="379">
        <f t="shared" si="533"/>
        <v>5.4</v>
      </c>
      <c r="CO207" s="379">
        <f t="shared" si="534"/>
        <v>14.4</v>
      </c>
      <c r="CP207" s="379"/>
      <c r="CQ207" s="188">
        <f t="shared" si="535"/>
        <v>0.375</v>
      </c>
      <c r="CR207" s="149">
        <f t="shared" si="590"/>
        <v>8.4754687499999992</v>
      </c>
      <c r="CS207" s="149">
        <f t="shared" si="536"/>
        <v>5.8199999999999994</v>
      </c>
      <c r="CT207" s="188">
        <f t="shared" si="537"/>
        <v>1.6950937499999998</v>
      </c>
      <c r="CU207" s="188">
        <f t="shared" si="538"/>
        <v>5</v>
      </c>
      <c r="CV207" s="188"/>
      <c r="CW207" s="149">
        <f t="shared" si="539"/>
        <v>10.65552592077918</v>
      </c>
      <c r="CX207" s="149">
        <f t="shared" si="540"/>
        <v>5</v>
      </c>
      <c r="CY207" s="188">
        <f t="shared" si="541"/>
        <v>3.4488888888888884</v>
      </c>
      <c r="CZ207" s="188">
        <f t="shared" si="542"/>
        <v>4.5985185185185173</v>
      </c>
      <c r="DA207" s="188">
        <f t="shared" si="543"/>
        <v>7.6641975308641968</v>
      </c>
      <c r="DB207" s="172">
        <f t="shared" si="544"/>
        <v>281.25</v>
      </c>
      <c r="DC207" s="379">
        <f t="shared" si="545"/>
        <v>81.548002577319608</v>
      </c>
      <c r="DE207" s="188">
        <f t="shared" si="546"/>
        <v>1</v>
      </c>
      <c r="DF207" s="150">
        <f t="shared" si="547"/>
        <v>2.2222222222222219</v>
      </c>
      <c r="DG207" s="150">
        <f t="shared" si="548"/>
        <v>0.31249999999999994</v>
      </c>
      <c r="DH207" s="150"/>
      <c r="DI207" s="150">
        <f t="shared" si="549"/>
        <v>2.2222222222222219</v>
      </c>
      <c r="DJ207" s="314">
        <f t="shared" si="550"/>
        <v>1047.5999999999999</v>
      </c>
      <c r="DK207" s="456">
        <f t="shared" si="551"/>
        <v>0.31249999999999994</v>
      </c>
      <c r="DM207" s="150">
        <f t="shared" si="552"/>
        <v>1.7300701885018588</v>
      </c>
      <c r="DN207" s="150">
        <f t="shared" si="553"/>
        <v>3.4488888888888884</v>
      </c>
      <c r="DO207" s="150">
        <f t="shared" si="554"/>
        <v>3.0139917695473248</v>
      </c>
      <c r="DQ207" s="314">
        <f t="shared" si="555"/>
        <v>1164</v>
      </c>
      <c r="DR207" s="144">
        <f t="shared" si="556"/>
        <v>81.548002577319608</v>
      </c>
      <c r="DT207">
        <f t="shared" si="591"/>
        <v>1164</v>
      </c>
      <c r="DU207">
        <f t="shared" si="592"/>
        <v>81.548002577319608</v>
      </c>
      <c r="DW207" s="5">
        <f t="shared" si="557"/>
        <v>12.262716049382712</v>
      </c>
      <c r="DX207" s="5">
        <f t="shared" si="558"/>
        <v>4.5985185185185173</v>
      </c>
      <c r="DY207" s="5">
        <f t="shared" si="559"/>
        <v>7.664197530864195</v>
      </c>
      <c r="DZ207" s="5"/>
      <c r="EA207" s="150">
        <f t="shared" si="560"/>
        <v>0.375</v>
      </c>
      <c r="EB207" s="150">
        <f t="shared" si="561"/>
        <v>5.8199999999999994</v>
      </c>
      <c r="EC207" s="150">
        <f t="shared" si="562"/>
        <v>1.0777777777777777</v>
      </c>
      <c r="ED207" s="150">
        <f t="shared" si="563"/>
        <v>5.3999999999999995</v>
      </c>
      <c r="EE207" s="144">
        <f t="shared" si="564"/>
        <v>107.05351111111108</v>
      </c>
      <c r="EF207" s="5">
        <f t="shared" si="565"/>
        <v>2.0650754458161855</v>
      </c>
      <c r="EH207" s="150">
        <f t="shared" si="566"/>
        <v>1.2193663604461351</v>
      </c>
      <c r="EI207" s="150">
        <f t="shared" si="567"/>
        <v>1.5741952023111441</v>
      </c>
      <c r="EK207" s="456">
        <f t="shared" si="568"/>
        <v>2.9737086419753079E-2</v>
      </c>
      <c r="EL207" s="456">
        <f t="shared" si="569"/>
        <v>8.1000000000000016E-2</v>
      </c>
      <c r="EM207" s="456">
        <f t="shared" si="570"/>
        <v>1.019350032216495E-2</v>
      </c>
      <c r="EN207" s="456">
        <f t="shared" si="571"/>
        <v>1.6909793814432995E-3</v>
      </c>
      <c r="EO207">
        <f t="shared" si="572"/>
        <v>4.0499999999999998E-3</v>
      </c>
      <c r="EP207" s="144">
        <f t="shared" si="573"/>
        <v>14.24350032216495</v>
      </c>
      <c r="EQ207" s="144"/>
      <c r="ER207" s="144">
        <f t="shared" si="593"/>
        <v>126.67156612336136</v>
      </c>
      <c r="ES207" s="456">
        <f t="shared" si="574"/>
        <v>0.81479999999999986</v>
      </c>
      <c r="EV207" s="144">
        <f t="shared" si="494"/>
        <v>814.79999999999984</v>
      </c>
      <c r="EW207" s="456">
        <f t="shared" si="575"/>
        <v>4.4605629629629613E-2</v>
      </c>
      <c r="EX207" s="456">
        <f t="shared" si="576"/>
        <v>7.4342716049382709E-2</v>
      </c>
      <c r="EY207" s="456">
        <f t="shared" si="577"/>
        <v>6.6328676578668172E-2</v>
      </c>
      <c r="EZ207" s="456"/>
      <c r="FA207" s="456">
        <f t="shared" si="578"/>
        <v>9.7000000000000005E-4</v>
      </c>
      <c r="FB207" s="144">
        <f t="shared" si="579"/>
        <v>186.2470222576805</v>
      </c>
      <c r="FC207" s="150">
        <f t="shared" si="580"/>
        <v>1.1277185883810417</v>
      </c>
      <c r="FD207" s="5">
        <f t="shared" si="581"/>
        <v>5.8199999999999994</v>
      </c>
      <c r="FE207" s="150">
        <f t="shared" si="582"/>
        <v>0.83768505099400947</v>
      </c>
      <c r="FF207" s="5">
        <f t="shared" si="583"/>
        <v>83.768505099400954</v>
      </c>
      <c r="FI207" s="59">
        <f t="shared" si="584"/>
        <v>-50</v>
      </c>
      <c r="FJ207">
        <f t="shared" si="585"/>
        <v>-50</v>
      </c>
      <c r="FL207">
        <f t="shared" si="586"/>
        <v>0.625</v>
      </c>
    </row>
    <row r="208" spans="5:168">
      <c r="E208" s="147">
        <v>98</v>
      </c>
      <c r="F208" s="188">
        <f>IF(PLOT_TYPE=1, E208/100*Iout_max, min_I*EXP(N208*rr/100))</f>
        <v>1.1759999999999999</v>
      </c>
      <c r="G208" s="188"/>
      <c r="H208" s="188">
        <f>F208*Vout</f>
        <v>5.88</v>
      </c>
      <c r="I208" s="465">
        <f t="shared" si="496"/>
        <v>8.9053085517130715</v>
      </c>
      <c r="J208" s="149">
        <f t="shared" si="497"/>
        <v>5.4568148689721578</v>
      </c>
      <c r="K208" s="149">
        <f t="shared" si="498"/>
        <v>14.362123420685229</v>
      </c>
      <c r="L208" s="379"/>
      <c r="M208" s="188">
        <f t="shared" si="499"/>
        <v>0.37992901358219683</v>
      </c>
      <c r="N208" s="149">
        <f>M208*I208*(Isw_max+VIN_min/Lmag*ILIM_delay)*0.5*Efficiency</f>
        <v>8.4965258165477184</v>
      </c>
      <c r="O208" s="149">
        <f t="shared" si="599"/>
        <v>5.88</v>
      </c>
      <c r="P208" s="188">
        <f>N208/Vout</f>
        <v>1.6993051633095437</v>
      </c>
      <c r="Q208" s="188">
        <f t="shared" si="502"/>
        <v>5</v>
      </c>
      <c r="R208" s="188"/>
      <c r="S208" s="149">
        <f t="shared" si="503"/>
        <v>10.357183696237163</v>
      </c>
      <c r="T208" s="149">
        <f>MIN(Vout, S208)</f>
        <v>5</v>
      </c>
      <c r="U208" s="188">
        <f t="shared" si="505"/>
        <v>3.7931140974482314</v>
      </c>
      <c r="V208" s="188">
        <f>L*U208/I208*1000000</f>
        <v>5.1112624458837894</v>
      </c>
      <c r="W208" s="188">
        <f t="shared" si="507"/>
        <v>8.3413805053555716</v>
      </c>
      <c r="X208" s="172">
        <f t="shared" si="508"/>
        <v>281.96051223516497</v>
      </c>
      <c r="Y208" s="379">
        <f t="shared" si="509"/>
        <v>73.245891185429556</v>
      </c>
      <c r="AA208" s="188">
        <f t="shared" si="510"/>
        <v>0.99999999999999978</v>
      </c>
      <c r="AB208" s="150">
        <f>L*AA208/J208*1000000</f>
        <v>2.1990850501879518</v>
      </c>
      <c r="AC208" s="150">
        <f>0.5*AB208*AA208*Nps*X208/1000</f>
        <v>0.31002757359984412</v>
      </c>
      <c r="AD208" s="150"/>
      <c r="AE208" s="150">
        <f t="shared" si="513"/>
        <v>2.1990850501879522</v>
      </c>
      <c r="AF208" s="314">
        <f>MAX(12000,F208/(0.5*AE208/1000000*Isw_min*Nps))/1000</f>
        <v>1069.5357143185427</v>
      </c>
      <c r="AG208" s="456">
        <f t="shared" si="515"/>
        <v>0.31002757359984429</v>
      </c>
      <c r="AI208" s="150">
        <f t="shared" si="516"/>
        <v>1.7480893359964211</v>
      </c>
      <c r="AJ208" s="150">
        <f>MAX(IF(F208&gt;AC208,U208,AI208),Isw_min)</f>
        <v>3.7931140974482314</v>
      </c>
      <c r="AK208" s="150">
        <f>IF(F208&gt;AG208, (AJ208-Isw_min)/1.08*0.8+1.2, AF208*0.2/350+1)</f>
        <v>3.2689734055172082</v>
      </c>
      <c r="AM208" s="314">
        <f t="shared" si="519"/>
        <v>1176</v>
      </c>
      <c r="AN208" s="144">
        <f t="shared" si="520"/>
        <v>73.245891185429556</v>
      </c>
      <c r="AP208">
        <f t="shared" si="521"/>
        <v>1176</v>
      </c>
      <c r="AQ208">
        <f t="shared" si="522"/>
        <v>73.245891185429556</v>
      </c>
      <c r="AS208" s="5">
        <f t="shared" si="600"/>
        <v>13.652642951239359</v>
      </c>
      <c r="AT208" s="5">
        <f t="shared" si="523"/>
        <v>5.1112624458837894</v>
      </c>
      <c r="AU208" s="5">
        <f t="shared" si="478"/>
        <v>8.5413805053555691</v>
      </c>
      <c r="AV208" s="5"/>
      <c r="AW208" s="150">
        <f t="shared" si="479"/>
        <v>0.37437897293137656</v>
      </c>
      <c r="AX208" s="150">
        <f t="shared" si="596"/>
        <v>6.3230458487692696</v>
      </c>
      <c r="AY208" s="150">
        <f t="shared" si="597"/>
        <v>1.1865259687170187</v>
      </c>
      <c r="AZ208" s="150">
        <f t="shared" si="601"/>
        <v>5.3290412645635818</v>
      </c>
      <c r="BA208" s="144">
        <f t="shared" si="594"/>
        <v>120.21689272718673</v>
      </c>
      <c r="BB208" s="5">
        <f t="shared" si="595"/>
        <v>2.3498772801191303</v>
      </c>
      <c r="BD208" s="150">
        <f t="shared" si="602"/>
        <v>1.3399574369362914</v>
      </c>
      <c r="BE208" s="150">
        <f t="shared" si="598"/>
        <v>1.7321717349287169</v>
      </c>
      <c r="BG208" s="456">
        <f t="shared" si="480"/>
        <v>3.5909718656017511E-2</v>
      </c>
      <c r="BH208" s="456">
        <f t="shared" si="524"/>
        <v>7.4816795103600106E-2</v>
      </c>
      <c r="BI208" s="456">
        <f t="shared" si="525"/>
        <v>1.6306931528786272E-2</v>
      </c>
      <c r="BJ208" s="456">
        <f t="shared" si="481"/>
        <v>1.5108473127708243E-3</v>
      </c>
      <c r="BK208">
        <f t="shared" si="482"/>
        <v>4.0073888482708821E-3</v>
      </c>
      <c r="BL208" s="144">
        <f t="shared" si="588"/>
        <v>20.314320377057154</v>
      </c>
      <c r="BM208" s="456">
        <f t="shared" si="526"/>
        <v>0.12298228833673887</v>
      </c>
      <c r="BN208" s="144">
        <f t="shared" si="527"/>
        <v>122.98228833673886</v>
      </c>
      <c r="BO208" s="456">
        <f t="shared" si="483"/>
        <v>0.82319999999999993</v>
      </c>
      <c r="BR208" s="144">
        <f t="shared" si="484"/>
        <v>823.19999999999993</v>
      </c>
      <c r="BS208" s="456">
        <f t="shared" si="485"/>
        <v>5.386457798402626E-2</v>
      </c>
      <c r="BT208" s="456">
        <f t="shared" si="486"/>
        <v>9.0012567578578825E-2</v>
      </c>
      <c r="BU208" s="456">
        <f t="shared" si="487"/>
        <v>6.4330649964605302E-2</v>
      </c>
      <c r="BV208" s="456"/>
      <c r="BW208" s="456">
        <f t="shared" si="488"/>
        <v>1.0538409747948784E-3</v>
      </c>
      <c r="BX208" s="144">
        <f t="shared" si="489"/>
        <v>209.26163650200527</v>
      </c>
      <c r="BY208" s="150">
        <f t="shared" si="490"/>
        <v>1.1650133179514508</v>
      </c>
      <c r="BZ208" s="5">
        <f t="shared" si="491"/>
        <v>5.88</v>
      </c>
      <c r="CA208" s="150">
        <f t="shared" si="492"/>
        <v>0.83463291474795764</v>
      </c>
      <c r="CB208" s="5">
        <f t="shared" si="493"/>
        <v>83.463291474795767</v>
      </c>
      <c r="CE208" s="59">
        <f t="shared" si="528"/>
        <v>-50</v>
      </c>
      <c r="CF208">
        <f t="shared" si="529"/>
        <v>-50</v>
      </c>
      <c r="CG208" s="150">
        <f t="shared" si="530"/>
        <v>0.62096420599489799</v>
      </c>
      <c r="CI208" s="147">
        <v>98</v>
      </c>
      <c r="CJ208" s="188">
        <f t="shared" si="589"/>
        <v>1.1759999999999999</v>
      </c>
      <c r="CK208" s="188"/>
      <c r="CL208" s="188">
        <f t="shared" si="531"/>
        <v>5.88</v>
      </c>
      <c r="CM208" s="465">
        <f t="shared" si="532"/>
        <v>9</v>
      </c>
      <c r="CN208" s="379">
        <f t="shared" si="533"/>
        <v>5.4</v>
      </c>
      <c r="CO208" s="379">
        <f t="shared" si="534"/>
        <v>14.4</v>
      </c>
      <c r="CP208" s="379"/>
      <c r="CQ208" s="188">
        <f t="shared" si="535"/>
        <v>0.375</v>
      </c>
      <c r="CR208" s="149">
        <f t="shared" si="590"/>
        <v>8.4754687499999992</v>
      </c>
      <c r="CS208" s="149">
        <f t="shared" si="536"/>
        <v>5.88</v>
      </c>
      <c r="CT208" s="188">
        <f t="shared" si="537"/>
        <v>1.6950937499999998</v>
      </c>
      <c r="CU208" s="188">
        <f t="shared" si="538"/>
        <v>5</v>
      </c>
      <c r="CV208" s="188"/>
      <c r="CW208" s="149">
        <f t="shared" si="539"/>
        <v>10.464022049933602</v>
      </c>
      <c r="CX208" s="149">
        <f t="shared" si="540"/>
        <v>5</v>
      </c>
      <c r="CY208" s="188">
        <f t="shared" si="541"/>
        <v>3.4844444444444442</v>
      </c>
      <c r="CZ208" s="188">
        <f t="shared" si="542"/>
        <v>4.6459259259259262</v>
      </c>
      <c r="DA208" s="188">
        <f t="shared" si="543"/>
        <v>7.7432098765432098</v>
      </c>
      <c r="DB208" s="172">
        <f t="shared" si="544"/>
        <v>281.25</v>
      </c>
      <c r="DC208" s="379">
        <f t="shared" si="545"/>
        <v>80.715880102040813</v>
      </c>
      <c r="DE208" s="188">
        <f t="shared" si="546"/>
        <v>1</v>
      </c>
      <c r="DF208" s="150">
        <f t="shared" si="547"/>
        <v>2.2222222222222219</v>
      </c>
      <c r="DG208" s="150">
        <f t="shared" si="548"/>
        <v>0.31249999999999994</v>
      </c>
      <c r="DH208" s="150"/>
      <c r="DI208" s="150">
        <f t="shared" si="549"/>
        <v>2.2222222222222219</v>
      </c>
      <c r="DJ208" s="314">
        <f t="shared" si="550"/>
        <v>1058.4000000000001</v>
      </c>
      <c r="DK208" s="456">
        <f t="shared" si="551"/>
        <v>0.31249999999999994</v>
      </c>
      <c r="DM208" s="150">
        <f t="shared" si="552"/>
        <v>1.7389652095427326</v>
      </c>
      <c r="DN208" s="150">
        <f t="shared" si="553"/>
        <v>3.4844444444444442</v>
      </c>
      <c r="DO208" s="150">
        <f t="shared" si="554"/>
        <v>3.0403292181069959</v>
      </c>
      <c r="DQ208" s="314">
        <f t="shared" si="555"/>
        <v>1176</v>
      </c>
      <c r="DR208" s="144">
        <f t="shared" si="556"/>
        <v>80.715880102040813</v>
      </c>
      <c r="DT208">
        <f t="shared" si="591"/>
        <v>1176</v>
      </c>
      <c r="DU208">
        <f t="shared" si="592"/>
        <v>80.715880102040813</v>
      </c>
      <c r="DW208" s="5">
        <f t="shared" si="557"/>
        <v>12.389135802469138</v>
      </c>
      <c r="DX208" s="5">
        <f t="shared" si="558"/>
        <v>4.6459259259259262</v>
      </c>
      <c r="DY208" s="5">
        <f t="shared" si="559"/>
        <v>7.7432098765432116</v>
      </c>
      <c r="DZ208" s="5"/>
      <c r="EA208" s="150">
        <f t="shared" si="560"/>
        <v>0.37499999999999994</v>
      </c>
      <c r="EB208" s="150">
        <f t="shared" si="561"/>
        <v>5.88</v>
      </c>
      <c r="EC208" s="150">
        <f t="shared" si="562"/>
        <v>1.0888888888888888</v>
      </c>
      <c r="ED208" s="150">
        <f t="shared" si="563"/>
        <v>5.4</v>
      </c>
      <c r="EE208" s="144">
        <f t="shared" si="564"/>
        <v>109.27217777777777</v>
      </c>
      <c r="EF208" s="5">
        <f t="shared" si="565"/>
        <v>2.1078737997256516</v>
      </c>
      <c r="EH208" s="150">
        <f t="shared" si="566"/>
        <v>1.2319371476672292</v>
      </c>
      <c r="EI208" s="150">
        <f t="shared" si="567"/>
        <v>1.5904240188298158</v>
      </c>
      <c r="EK208" s="456">
        <f t="shared" si="568"/>
        <v>3.0353382716049367E-2</v>
      </c>
      <c r="EL208" s="456">
        <f t="shared" si="569"/>
        <v>8.0999999999999989E-2</v>
      </c>
      <c r="EM208" s="456">
        <f t="shared" si="570"/>
        <v>1.0089485012755101E-2</v>
      </c>
      <c r="EN208" s="456">
        <f t="shared" si="571"/>
        <v>1.6737244897959186E-3</v>
      </c>
      <c r="EO208">
        <f t="shared" si="572"/>
        <v>4.0499999999999998E-3</v>
      </c>
      <c r="EP208" s="144">
        <f t="shared" si="573"/>
        <v>14.139485012755101</v>
      </c>
      <c r="EQ208" s="144"/>
      <c r="ER208" s="144">
        <f t="shared" si="593"/>
        <v>127.16659221860039</v>
      </c>
      <c r="ES208" s="456">
        <f t="shared" si="574"/>
        <v>0.82319999999999993</v>
      </c>
      <c r="EV208" s="144">
        <f t="shared" si="494"/>
        <v>823.19999999999993</v>
      </c>
      <c r="EW208" s="456">
        <f t="shared" si="575"/>
        <v>4.5530074074074049E-2</v>
      </c>
      <c r="EX208" s="456">
        <f t="shared" si="576"/>
        <v>7.5883456790123455E-2</v>
      </c>
      <c r="EY208" s="456">
        <f t="shared" si="577"/>
        <v>6.6328676578668089E-2</v>
      </c>
      <c r="EZ208" s="456"/>
      <c r="FA208" s="456">
        <f t="shared" si="578"/>
        <v>9.7999999999999997E-4</v>
      </c>
      <c r="FB208" s="144">
        <f t="shared" si="579"/>
        <v>188.7222074428656</v>
      </c>
      <c r="FC208" s="150">
        <f t="shared" si="580"/>
        <v>1.139088799661466</v>
      </c>
      <c r="FD208" s="5">
        <f t="shared" si="581"/>
        <v>5.88</v>
      </c>
      <c r="FE208" s="150">
        <f t="shared" si="582"/>
        <v>0.83771557360602067</v>
      </c>
      <c r="FF208" s="5">
        <f t="shared" si="583"/>
        <v>83.77155736060206</v>
      </c>
      <c r="FI208" s="59">
        <f t="shared" si="584"/>
        <v>-50</v>
      </c>
      <c r="FJ208">
        <f t="shared" si="585"/>
        <v>-50</v>
      </c>
      <c r="FL208">
        <f t="shared" si="586"/>
        <v>0.625</v>
      </c>
    </row>
    <row r="209" spans="5:168">
      <c r="E209" s="147">
        <v>99</v>
      </c>
      <c r="F209" s="188">
        <f>IF(PLOT_TYPE=1, E209/100*Iout_max, min_I*EXP(N209*rr/100))</f>
        <v>1.1879999999999999</v>
      </c>
      <c r="G209" s="188"/>
      <c r="H209" s="188">
        <f>F209*Vout</f>
        <v>5.9399999999999995</v>
      </c>
      <c r="I209" s="465">
        <f t="shared" si="496"/>
        <v>8.9043485918513223</v>
      </c>
      <c r="J209" s="149">
        <f t="shared" si="497"/>
        <v>5.4573908448892068</v>
      </c>
      <c r="K209" s="149">
        <f t="shared" si="498"/>
        <v>14.361739436740528</v>
      </c>
      <c r="L209" s="379"/>
      <c r="M209" s="188">
        <f t="shared" si="499"/>
        <v>0.37997927879792837</v>
      </c>
      <c r="N209" s="149">
        <f>M209*I209*(Isw_max+VIN_min/Lmag*ILIM_delay)*0.5*Efficiency</f>
        <v>8.496733904748627</v>
      </c>
      <c r="O209" s="149">
        <f t="shared" si="599"/>
        <v>5.9399999999999995</v>
      </c>
      <c r="P209" s="188">
        <f>N209/Vout</f>
        <v>1.6993467809497254</v>
      </c>
      <c r="Q209" s="188">
        <f t="shared" si="502"/>
        <v>5</v>
      </c>
      <c r="R209" s="188"/>
      <c r="S209" s="149">
        <f t="shared" si="503"/>
        <v>10.170703134249996</v>
      </c>
      <c r="T209" s="149">
        <f>MIN(Vout, S209)</f>
        <v>5</v>
      </c>
      <c r="U209" s="188">
        <f t="shared" si="505"/>
        <v>3.8321299897743821</v>
      </c>
      <c r="V209" s="188">
        <f>L*U209/I209*1000000</f>
        <v>5.1643934873995798</v>
      </c>
      <c r="W209" s="188">
        <f t="shared" si="507"/>
        <v>8.4262903618782623</v>
      </c>
      <c r="X209" s="172">
        <f t="shared" si="508"/>
        <v>281.96741475801508</v>
      </c>
      <c r="Y209" s="379">
        <f t="shared" si="509"/>
        <v>72.512720248631155</v>
      </c>
      <c r="AA209" s="188">
        <f t="shared" si="510"/>
        <v>1</v>
      </c>
      <c r="AB209" s="150">
        <f>L*AA209/J209*1000000</f>
        <v>2.1988529575883105</v>
      </c>
      <c r="AC209" s="150">
        <f>0.5*AB209*AA209*Nps*X209/1000</f>
        <v>0.31000244194209564</v>
      </c>
      <c r="AD209" s="150"/>
      <c r="AE209" s="150">
        <f t="shared" si="513"/>
        <v>2.1988529575883105</v>
      </c>
      <c r="AF209" s="314">
        <f>MAX(12000,F209/(0.5*AE209/1000000*Isw_min*Nps))/1000</f>
        <v>1080.5633872880628</v>
      </c>
      <c r="AG209" s="456">
        <f t="shared" si="515"/>
        <v>0.31000244194209564</v>
      </c>
      <c r="AI209" s="150">
        <f t="shared" si="516"/>
        <v>1.7570782463169305</v>
      </c>
      <c r="AJ209" s="150">
        <f>MAX(IF(F209&gt;AC209,U209,AI209),Isw_min)</f>
        <v>3.8321299897743821</v>
      </c>
      <c r="AK209" s="150">
        <f>IF(F209&gt;AG209, (AJ209-Isw_min)/1.08*0.8+1.2, AF209*0.2/350+1)</f>
        <v>3.2978740664995421</v>
      </c>
      <c r="AM209" s="314">
        <f t="shared" si="519"/>
        <v>1188</v>
      </c>
      <c r="AN209" s="144">
        <f t="shared" si="520"/>
        <v>72.512720248631155</v>
      </c>
      <c r="AP209">
        <f t="shared" si="521"/>
        <v>1188</v>
      </c>
      <c r="AQ209">
        <f t="shared" si="522"/>
        <v>72.512720248631155</v>
      </c>
      <c r="AS209" s="5">
        <f t="shared" si="600"/>
        <v>13.790683849277842</v>
      </c>
      <c r="AT209" s="5">
        <f t="shared" si="523"/>
        <v>5.1643934873995798</v>
      </c>
      <c r="AU209" s="5">
        <f t="shared" si="478"/>
        <v>8.6262903618782616</v>
      </c>
      <c r="AV209" s="5"/>
      <c r="AW209" s="150">
        <f t="shared" si="479"/>
        <v>0.37448422020565836</v>
      </c>
      <c r="AX209" s="150">
        <f t="shared" si="596"/>
        <v>6.3891916103771198</v>
      </c>
      <c r="AY209" s="150">
        <f t="shared" si="597"/>
        <v>1.1985288894135024</v>
      </c>
      <c r="AZ209" s="150">
        <f t="shared" si="601"/>
        <v>5.3308615810701543</v>
      </c>
      <c r="BA209" s="144">
        <f t="shared" si="594"/>
        <v>122.70598926061402</v>
      </c>
      <c r="BB209" s="5">
        <f t="shared" si="595"/>
        <v>2.3977125811524136</v>
      </c>
      <c r="BD209" s="150">
        <f t="shared" si="602"/>
        <v>1.3539304828367016</v>
      </c>
      <c r="BE209" s="150">
        <f t="shared" si="598"/>
        <v>1.7498416120194931</v>
      </c>
      <c r="BG209" s="456">
        <f t="shared" si="480"/>
        <v>3.6662555047088478E-2</v>
      </c>
      <c r="BH209" s="456">
        <f t="shared" si="524"/>
        <v>7.4827760087484013E-2</v>
      </c>
      <c r="BI209" s="456">
        <f t="shared" si="525"/>
        <v>1.6141963460930192E-2</v>
      </c>
      <c r="BJ209" s="456">
        <f t="shared" si="481"/>
        <v>1.4956441747421326E-3</v>
      </c>
      <c r="BK209">
        <f t="shared" si="482"/>
        <v>4.0069568663330946E-3</v>
      </c>
      <c r="BL209" s="144">
        <f t="shared" si="588"/>
        <v>20.148920327263287</v>
      </c>
      <c r="BM209" s="456">
        <f t="shared" si="526"/>
        <v>0.12396470860973273</v>
      </c>
      <c r="BN209" s="144">
        <f t="shared" si="527"/>
        <v>123.96470860973272</v>
      </c>
      <c r="BO209" s="456">
        <f t="shared" si="483"/>
        <v>0.83159999999999989</v>
      </c>
      <c r="BR209" s="144">
        <f t="shared" si="484"/>
        <v>831.59999999999991</v>
      </c>
      <c r="BS209" s="456">
        <f t="shared" si="485"/>
        <v>5.4993832570632714E-2</v>
      </c>
      <c r="BT209" s="456">
        <f t="shared" si="486"/>
        <v>9.1858370014649332E-2</v>
      </c>
      <c r="BU209" s="456">
        <f t="shared" si="487"/>
        <v>6.4358524567150327E-2</v>
      </c>
      <c r="BV209" s="456"/>
      <c r="BW209" s="456">
        <f t="shared" si="488"/>
        <v>1.0648652683961867E-3</v>
      </c>
      <c r="BX209" s="144">
        <f t="shared" si="489"/>
        <v>212.27559242082856</v>
      </c>
      <c r="BY209" s="150">
        <f t="shared" si="490"/>
        <v>1.1770104720574064</v>
      </c>
      <c r="BZ209" s="5">
        <f t="shared" si="491"/>
        <v>5.9399999999999995</v>
      </c>
      <c r="CA209" s="150">
        <f t="shared" si="492"/>
        <v>0.83462010113957963</v>
      </c>
      <c r="CB209" s="5">
        <f t="shared" si="493"/>
        <v>83.462010113957959</v>
      </c>
      <c r="CE209" s="59">
        <f t="shared" si="528"/>
        <v>-50</v>
      </c>
      <c r="CF209">
        <f t="shared" si="529"/>
        <v>-50</v>
      </c>
      <c r="CG209" s="150">
        <f t="shared" si="530"/>
        <v>0.62100497159090906</v>
      </c>
      <c r="CI209" s="147">
        <v>99</v>
      </c>
      <c r="CJ209" s="188">
        <f t="shared" si="589"/>
        <v>1.1879999999999999</v>
      </c>
      <c r="CK209" s="188"/>
      <c r="CL209" s="188">
        <f t="shared" si="531"/>
        <v>5.9399999999999995</v>
      </c>
      <c r="CM209" s="465">
        <f t="shared" si="532"/>
        <v>9</v>
      </c>
      <c r="CN209" s="379">
        <f t="shared" si="533"/>
        <v>5.4</v>
      </c>
      <c r="CO209" s="379">
        <f t="shared" si="534"/>
        <v>14.4</v>
      </c>
      <c r="CP209" s="379"/>
      <c r="CQ209" s="188">
        <f t="shared" si="535"/>
        <v>0.375</v>
      </c>
      <c r="CR209" s="149">
        <f t="shared" si="590"/>
        <v>8.4754687499999992</v>
      </c>
      <c r="CS209" s="149">
        <f t="shared" si="536"/>
        <v>5.9399999999999995</v>
      </c>
      <c r="CT209" s="188">
        <f t="shared" si="537"/>
        <v>1.6950937499999998</v>
      </c>
      <c r="CU209" s="188">
        <f t="shared" si="538"/>
        <v>5</v>
      </c>
      <c r="CV209" s="188"/>
      <c r="CW209" s="149">
        <f t="shared" si="539"/>
        <v>10.276580549226688</v>
      </c>
      <c r="CX209" s="149">
        <f t="shared" si="540"/>
        <v>5</v>
      </c>
      <c r="CY209" s="188">
        <f t="shared" si="541"/>
        <v>3.5199999999999996</v>
      </c>
      <c r="CZ209" s="188">
        <f t="shared" si="542"/>
        <v>4.6933333333333334</v>
      </c>
      <c r="DA209" s="188">
        <f t="shared" si="543"/>
        <v>7.8222222222222202</v>
      </c>
      <c r="DB209" s="172">
        <f t="shared" si="544"/>
        <v>281.25</v>
      </c>
      <c r="DC209" s="379">
        <f t="shared" si="545"/>
        <v>79.900568181818187</v>
      </c>
      <c r="DE209" s="188">
        <f t="shared" si="546"/>
        <v>1</v>
      </c>
      <c r="DF209" s="150">
        <f t="shared" si="547"/>
        <v>2.2222222222222219</v>
      </c>
      <c r="DG209" s="150">
        <f t="shared" si="548"/>
        <v>0.31249999999999994</v>
      </c>
      <c r="DH209" s="150"/>
      <c r="DI209" s="150">
        <f t="shared" si="549"/>
        <v>2.2222222222222219</v>
      </c>
      <c r="DJ209" s="314">
        <f t="shared" si="550"/>
        <v>1069.2</v>
      </c>
      <c r="DK209" s="456">
        <f t="shared" si="551"/>
        <v>0.31249999999999994</v>
      </c>
      <c r="DM209" s="150">
        <f t="shared" si="552"/>
        <v>1.7478149624194042</v>
      </c>
      <c r="DN209" s="150">
        <f t="shared" si="553"/>
        <v>3.5199999999999996</v>
      </c>
      <c r="DO209" s="150">
        <f t="shared" si="554"/>
        <v>3.0666666666666664</v>
      </c>
      <c r="DQ209" s="314">
        <f t="shared" si="555"/>
        <v>1188</v>
      </c>
      <c r="DR209" s="144">
        <f t="shared" si="556"/>
        <v>79.900568181818187</v>
      </c>
      <c r="DT209">
        <f t="shared" si="591"/>
        <v>1188</v>
      </c>
      <c r="DU209">
        <f t="shared" si="592"/>
        <v>79.900568181818187</v>
      </c>
      <c r="DW209" s="5">
        <f t="shared" si="557"/>
        <v>12.515555555555554</v>
      </c>
      <c r="DX209" s="5">
        <f t="shared" si="558"/>
        <v>4.6933333333333334</v>
      </c>
      <c r="DY209" s="5">
        <f t="shared" si="559"/>
        <v>7.8222222222222211</v>
      </c>
      <c r="DZ209" s="5"/>
      <c r="EA209" s="150">
        <f t="shared" si="560"/>
        <v>0.37500000000000006</v>
      </c>
      <c r="EB209" s="150">
        <f t="shared" si="561"/>
        <v>5.9399999999999995</v>
      </c>
      <c r="EC209" s="150">
        <f t="shared" si="562"/>
        <v>1.0999999999999999</v>
      </c>
      <c r="ED209" s="150">
        <f t="shared" si="563"/>
        <v>5.4</v>
      </c>
      <c r="EE209" s="144">
        <f t="shared" si="564"/>
        <v>111.51360000000001</v>
      </c>
      <c r="EF209" s="5">
        <f t="shared" si="565"/>
        <v>2.1511111111111103</v>
      </c>
      <c r="EH209" s="150">
        <f t="shared" si="566"/>
        <v>1.2445079348883237</v>
      </c>
      <c r="EI209" s="150">
        <f t="shared" si="567"/>
        <v>1.6066528353484872</v>
      </c>
      <c r="EK209" s="456">
        <f t="shared" si="568"/>
        <v>3.0976000000000004E-2</v>
      </c>
      <c r="EL209" s="456">
        <f t="shared" si="569"/>
        <v>8.1000000000000003E-2</v>
      </c>
      <c r="EM209" s="456">
        <f t="shared" si="570"/>
        <v>9.9875710227272721E-3</v>
      </c>
      <c r="EN209" s="456">
        <f t="shared" si="571"/>
        <v>1.656818181818182E-3</v>
      </c>
      <c r="EO209">
        <f t="shared" si="572"/>
        <v>4.0499999999999998E-3</v>
      </c>
      <c r="EP209" s="144">
        <f t="shared" si="573"/>
        <v>14.037571022727272</v>
      </c>
      <c r="EQ209" s="144"/>
      <c r="ER209" s="144">
        <f t="shared" si="593"/>
        <v>127.67038920454546</v>
      </c>
      <c r="ES209" s="456">
        <f t="shared" si="574"/>
        <v>0.83159999999999989</v>
      </c>
      <c r="EV209" s="144">
        <f t="shared" si="494"/>
        <v>831.59999999999991</v>
      </c>
      <c r="EW209" s="456">
        <f t="shared" si="575"/>
        <v>4.6464000000000005E-2</v>
      </c>
      <c r="EX209" s="456">
        <f t="shared" si="576"/>
        <v>7.7439999999999995E-2</v>
      </c>
      <c r="EY209" s="456">
        <f t="shared" si="577"/>
        <v>6.6328676578667978E-2</v>
      </c>
      <c r="EZ209" s="456"/>
      <c r="FA209" s="456">
        <f t="shared" si="578"/>
        <v>9.8999999999999999E-4</v>
      </c>
      <c r="FB209" s="144">
        <f t="shared" si="579"/>
        <v>191.22267657866797</v>
      </c>
      <c r="FC209" s="150">
        <f t="shared" si="580"/>
        <v>1.1504930657832133</v>
      </c>
      <c r="FD209" s="5">
        <f t="shared" si="581"/>
        <v>5.9399999999999995</v>
      </c>
      <c r="FE209" s="150">
        <f t="shared" si="582"/>
        <v>0.83774145815963352</v>
      </c>
      <c r="FF209" s="5">
        <f t="shared" si="583"/>
        <v>83.774145815963351</v>
      </c>
      <c r="FI209" s="59">
        <f t="shared" si="584"/>
        <v>-50</v>
      </c>
      <c r="FJ209">
        <f t="shared" si="585"/>
        <v>-50</v>
      </c>
      <c r="FL209">
        <f t="shared" si="586"/>
        <v>0.625</v>
      </c>
    </row>
    <row r="210" spans="5:168">
      <c r="E210" s="147">
        <v>100</v>
      </c>
      <c r="F210" s="188">
        <f>IF(PLOT_TYPE=1, E210/100*Iout_max, min_I*EXP(N210*rr/100))</f>
        <v>1.2</v>
      </c>
      <c r="G210" s="188"/>
      <c r="H210" s="188">
        <f>F210*Vout</f>
        <v>6</v>
      </c>
      <c r="I210" s="465">
        <f t="shared" si="496"/>
        <v>8.9033886311816968</v>
      </c>
      <c r="J210" s="149">
        <f t="shared" si="497"/>
        <v>5.4579668212909827</v>
      </c>
      <c r="K210" s="149">
        <f t="shared" si="498"/>
        <v>14.361355452472679</v>
      </c>
      <c r="L210" s="379"/>
      <c r="M210" s="188">
        <f>(Vout+Vfwd1+F210/FL210*Rdcr_sec)*Nps/((Vout+Vfwd1+F210/FL210*Rdcr_sec)*Nps+I210)</f>
        <v>0.38002954672285122</v>
      </c>
      <c r="N210" s="149">
        <f>M210*I210*(Isw_max+VIN_min/Lmag*ILIM_delay)*0.5*Efficiency</f>
        <v>8.4969418104037278</v>
      </c>
      <c r="O210" s="149">
        <f t="shared" si="599"/>
        <v>6</v>
      </c>
      <c r="P210" s="188">
        <f>N210/Vout</f>
        <v>1.6993883620807455</v>
      </c>
      <c r="Q210" s="188">
        <f t="shared" si="502"/>
        <v>5</v>
      </c>
      <c r="R210" s="188"/>
      <c r="S210" s="149">
        <f t="shared" si="503"/>
        <v>9.9881658130723636</v>
      </c>
      <c r="T210" s="149">
        <f>MIN(Vout, S210)</f>
        <v>5</v>
      </c>
      <c r="U210" s="188">
        <f>MIN(2*(Vout+Vfwd1+F210/FL210*Rdcr_sec)*F210/(I210*M210), Isw_max)</f>
        <v>3.8711522255837494</v>
      </c>
      <c r="V210" s="188">
        <f>L*U210/I210*1000000</f>
        <v>5.2175445362806139</v>
      </c>
      <c r="W210" s="188">
        <f t="shared" si="507"/>
        <v>8.5111962435889605</v>
      </c>
      <c r="X210" s="172">
        <f t="shared" si="508"/>
        <v>281.97431123909138</v>
      </c>
      <c r="Y210" s="379">
        <f>MIN(1/(V210+W210+0.2)*1000, 350)</f>
        <v>71.793998883606463</v>
      </c>
      <c r="AA210" s="188">
        <f t="shared" si="510"/>
        <v>0.99999999999999978</v>
      </c>
      <c r="AB210" s="150">
        <f>L*AA210/J210*1000000</f>
        <v>2.1986209137785884</v>
      </c>
      <c r="AC210" s="150">
        <f>0.5*AB210*AA210*Nps*X210/1000</f>
        <v>0.30997730891928948</v>
      </c>
      <c r="AD210" s="150"/>
      <c r="AE210" s="150">
        <f t="shared" si="513"/>
        <v>2.1986209137785888</v>
      </c>
      <c r="AF210" s="314">
        <f>MAX(12000,F210/(0.5*AE210/1000000*Isw_min*Nps))/1000</f>
        <v>1091.5933642581965</v>
      </c>
      <c r="AG210" s="456">
        <f t="shared" si="515"/>
        <v>0.30997730891928965</v>
      </c>
      <c r="AI210" s="150">
        <f t="shared" si="516"/>
        <v>1.7660232681351757</v>
      </c>
      <c r="AJ210" s="150">
        <f>MAX(IF(F210&gt;AC210,U210,AI210),Isw_min)</f>
        <v>3.8711522255837494</v>
      </c>
      <c r="AK210" s="150">
        <f>IF(F210&gt;AG210, (AJ210-Isw_min)/1.08*0.8+1.2, AF210*0.2/350+1)</f>
        <v>3.3267794263583328</v>
      </c>
      <c r="AM210" s="314">
        <f t="shared" si="519"/>
        <v>1200</v>
      </c>
      <c r="AN210" s="144">
        <f t="shared" si="520"/>
        <v>71.793998883606463</v>
      </c>
      <c r="AP210">
        <f t="shared" si="521"/>
        <v>1200</v>
      </c>
      <c r="AQ210">
        <f t="shared" si="522"/>
        <v>71.793998883606463</v>
      </c>
      <c r="AS210" s="5">
        <f t="shared" si="600"/>
        <v>13.928740779869573</v>
      </c>
      <c r="AT210" s="5">
        <f t="shared" si="523"/>
        <v>5.2175445362806139</v>
      </c>
      <c r="AU210" s="5">
        <f t="shared" si="478"/>
        <v>8.7111962435889581</v>
      </c>
      <c r="AV210" s="5"/>
      <c r="AW210" s="150">
        <f t="shared" si="479"/>
        <v>0.37458838661289739</v>
      </c>
      <c r="AX210" s="150">
        <f t="shared" si="596"/>
        <v>6.4553514738246172</v>
      </c>
      <c r="AY210" s="150">
        <f t="shared" si="597"/>
        <v>1.2105317795347028</v>
      </c>
      <c r="AZ210" s="150">
        <f t="shared" si="601"/>
        <v>5.3326575831870251</v>
      </c>
      <c r="BA210" s="144">
        <f t="shared" si="594"/>
        <v>125.22106887073473</v>
      </c>
      <c r="BB210" s="5">
        <f t="shared" si="595"/>
        <v>2.4460339215903599</v>
      </c>
      <c r="BD210" s="150">
        <f t="shared" si="602"/>
        <v>1.3679076441376654</v>
      </c>
      <c r="BE210" s="150">
        <f t="shared" si="598"/>
        <v>1.7675129028261947</v>
      </c>
      <c r="BG210" s="456">
        <f t="shared" si="480"/>
        <v>3.7423426457805158E-2</v>
      </c>
      <c r="BH210" s="456">
        <f t="shared" si="524"/>
        <v>7.4838503890352445E-2</v>
      </c>
      <c r="BI210" s="456">
        <f t="shared" si="525"/>
        <v>1.5980246836184327E-2</v>
      </c>
      <c r="BJ210" s="456">
        <f t="shared" si="481"/>
        <v>1.4807406763599634E-3</v>
      </c>
      <c r="BK210">
        <f t="shared" si="482"/>
        <v>4.0065248840317636E-3</v>
      </c>
      <c r="BL210" s="144">
        <f t="shared" si="588"/>
        <v>19.986771720216087</v>
      </c>
      <c r="BM210" s="456">
        <f t="shared" si="526"/>
        <v>0.12495809936156826</v>
      </c>
      <c r="BN210" s="144">
        <f t="shared" si="527"/>
        <v>124.95809936156826</v>
      </c>
      <c r="BO210" s="456">
        <f t="shared" si="483"/>
        <v>0.84</v>
      </c>
      <c r="BR210" s="144">
        <f t="shared" si="484"/>
        <v>840</v>
      </c>
      <c r="BS210" s="456">
        <f t="shared" si="485"/>
        <v>5.6135139686707733E-2</v>
      </c>
      <c r="BT210" s="456">
        <f t="shared" si="486"/>
        <v>9.3723055849712439E-2</v>
      </c>
      <c r="BU210" s="456">
        <f t="shared" si="487"/>
        <v>6.4385932186485237E-2</v>
      </c>
      <c r="BV210" s="456"/>
      <c r="BW210" s="456">
        <f t="shared" si="488"/>
        <v>1.075891912304103E-3</v>
      </c>
      <c r="BX210" s="144">
        <f t="shared" si="489"/>
        <v>215.32001963520952</v>
      </c>
      <c r="BY210" s="150">
        <f t="shared" si="490"/>
        <v>1.1890494623799432</v>
      </c>
      <c r="BZ210" s="5">
        <f t="shared" si="491"/>
        <v>6</v>
      </c>
      <c r="CA210" s="150">
        <f t="shared" si="492"/>
        <v>0.83460268723950237</v>
      </c>
      <c r="CB210" s="5">
        <f t="shared" si="493"/>
        <v>83.460268723950236</v>
      </c>
      <c r="CE210" s="59">
        <f t="shared" si="528"/>
        <v>-50</v>
      </c>
      <c r="CF210">
        <f t="shared" si="529"/>
        <v>-50</v>
      </c>
      <c r="CG210" s="150">
        <f t="shared" si="530"/>
        <v>0.62104492187500004</v>
      </c>
      <c r="CI210" s="147">
        <v>100</v>
      </c>
      <c r="CJ210" s="188">
        <f t="shared" si="589"/>
        <v>1.2</v>
      </c>
      <c r="CK210" s="188"/>
      <c r="CL210" s="188">
        <f t="shared" si="531"/>
        <v>6</v>
      </c>
      <c r="CM210" s="465">
        <f t="shared" si="532"/>
        <v>9</v>
      </c>
      <c r="CN210" s="379">
        <f t="shared" si="533"/>
        <v>5.4</v>
      </c>
      <c r="CO210" s="379">
        <f t="shared" si="534"/>
        <v>14.4</v>
      </c>
      <c r="CP210" s="379"/>
      <c r="CQ210" s="188">
        <f t="shared" si="535"/>
        <v>0.375</v>
      </c>
      <c r="CR210" s="149">
        <f t="shared" si="590"/>
        <v>8.4754687499999992</v>
      </c>
      <c r="CS210" s="149">
        <f t="shared" si="536"/>
        <v>6</v>
      </c>
      <c r="CT210" s="188">
        <f t="shared" si="537"/>
        <v>1.6950937499999998</v>
      </c>
      <c r="CU210" s="188">
        <f t="shared" si="538"/>
        <v>5</v>
      </c>
      <c r="CV210" s="188"/>
      <c r="CW210" s="149">
        <f t="shared" si="539"/>
        <v>10.093083148125359</v>
      </c>
      <c r="CX210" s="149">
        <f t="shared" si="540"/>
        <v>5</v>
      </c>
      <c r="CY210" s="188">
        <f t="shared" si="541"/>
        <v>3.5555555555555554</v>
      </c>
      <c r="CZ210" s="188">
        <f t="shared" si="542"/>
        <v>4.7407407407407405</v>
      </c>
      <c r="DA210" s="188">
        <f t="shared" si="543"/>
        <v>7.9012345679012332</v>
      </c>
      <c r="DB210" s="172">
        <f t="shared" si="544"/>
        <v>281.25</v>
      </c>
      <c r="DC210" s="379">
        <f t="shared" si="545"/>
        <v>79.1015625</v>
      </c>
      <c r="DE210" s="188">
        <f t="shared" si="546"/>
        <v>1</v>
      </c>
      <c r="DF210" s="150">
        <f t="shared" si="547"/>
        <v>2.2222222222222219</v>
      </c>
      <c r="DG210" s="150">
        <f t="shared" si="548"/>
        <v>0.31249999999999994</v>
      </c>
      <c r="DH210" s="150"/>
      <c r="DI210" s="150">
        <f t="shared" si="549"/>
        <v>2.2222222222222219</v>
      </c>
      <c r="DJ210" s="314">
        <f t="shared" si="550"/>
        <v>1080</v>
      </c>
      <c r="DK210" s="456">
        <f t="shared" si="551"/>
        <v>0.31249999999999994</v>
      </c>
      <c r="DM210" s="150">
        <f t="shared" si="552"/>
        <v>1.7566201313073597</v>
      </c>
      <c r="DN210" s="150">
        <f t="shared" si="553"/>
        <v>3.5555555555555554</v>
      </c>
      <c r="DO210" s="150">
        <f t="shared" si="554"/>
        <v>3.0930041152263374</v>
      </c>
      <c r="DQ210" s="314">
        <f t="shared" si="555"/>
        <v>1200</v>
      </c>
      <c r="DR210" s="144">
        <f t="shared" si="556"/>
        <v>79.1015625</v>
      </c>
      <c r="DT210">
        <f>IF(CL210&gt;CR210, " ",DQ210)</f>
        <v>1200</v>
      </c>
      <c r="DU210">
        <f>IF(CL210&gt;CR210, " ",DR210)</f>
        <v>79.1015625</v>
      </c>
      <c r="DW210" s="5">
        <f t="shared" si="557"/>
        <v>12.641975308641975</v>
      </c>
      <c r="DX210" s="5">
        <f t="shared" si="558"/>
        <v>4.7407407407407405</v>
      </c>
      <c r="DY210" s="5">
        <f t="shared" si="559"/>
        <v>7.9012345679012341</v>
      </c>
      <c r="DZ210" s="5"/>
      <c r="EA210" s="150">
        <f t="shared" si="560"/>
        <v>0.375</v>
      </c>
      <c r="EB210" s="150">
        <f t="shared" si="561"/>
        <v>6</v>
      </c>
      <c r="EC210" s="150">
        <f t="shared" si="562"/>
        <v>1.1111111111111112</v>
      </c>
      <c r="ED210" s="150">
        <f t="shared" si="563"/>
        <v>5.3999999999999995</v>
      </c>
      <c r="EE210" s="144">
        <f t="shared" si="564"/>
        <v>113.77777777777777</v>
      </c>
      <c r="EF210" s="5">
        <f t="shared" si="565"/>
        <v>2.1947873799725643</v>
      </c>
      <c r="EH210" s="150">
        <f t="shared" si="566"/>
        <v>1.2570787221094177</v>
      </c>
      <c r="EI210" s="150">
        <f t="shared" si="567"/>
        <v>1.6228816518671589</v>
      </c>
      <c r="EK210" s="456">
        <f t="shared" si="568"/>
        <v>3.1604938271604932E-2</v>
      </c>
      <c r="EL210" s="456">
        <f t="shared" si="569"/>
        <v>8.0999999999999989E-2</v>
      </c>
      <c r="EM210" s="456">
        <f t="shared" si="570"/>
        <v>9.8876953125E-3</v>
      </c>
      <c r="EN210" s="456">
        <f t="shared" si="571"/>
        <v>1.64025E-3</v>
      </c>
      <c r="EO210">
        <f t="shared" si="572"/>
        <v>4.0499999999999998E-3</v>
      </c>
      <c r="EP210" s="144">
        <f t="shared" si="573"/>
        <v>13.937695312499999</v>
      </c>
      <c r="EQ210" s="144"/>
      <c r="ER210" s="144">
        <f t="shared" si="593"/>
        <v>128.18288358410493</v>
      </c>
      <c r="ES210" s="456">
        <f t="shared" si="574"/>
        <v>0.84</v>
      </c>
      <c r="EV210" s="144">
        <f t="shared" si="494"/>
        <v>840</v>
      </c>
      <c r="EW210" s="456">
        <f t="shared" si="575"/>
        <v>4.7407407407407398E-2</v>
      </c>
      <c r="EX210" s="456">
        <f t="shared" si="576"/>
        <v>7.9012345679012358E-2</v>
      </c>
      <c r="EY210" s="456">
        <f t="shared" si="577"/>
        <v>6.6328676578668089E-2</v>
      </c>
      <c r="EZ210" s="456"/>
      <c r="FA210" s="456">
        <f t="shared" si="578"/>
        <v>1E-3</v>
      </c>
      <c r="FB210" s="144">
        <f t="shared" si="579"/>
        <v>193.74842966508785</v>
      </c>
      <c r="FC210" s="150">
        <f t="shared" si="580"/>
        <v>1.1619313132491926</v>
      </c>
      <c r="FD210" s="5">
        <f t="shared" si="581"/>
        <v>6</v>
      </c>
      <c r="FE210" s="150">
        <f t="shared" si="582"/>
        <v>0.83776285160684494</v>
      </c>
      <c r="FF210" s="5">
        <f t="shared" si="583"/>
        <v>83.776285160684495</v>
      </c>
      <c r="FI210" s="59">
        <f t="shared" si="584"/>
        <v>-50</v>
      </c>
      <c r="FJ210">
        <f t="shared" si="585"/>
        <v>-50</v>
      </c>
      <c r="FL210">
        <f t="shared" si="586"/>
        <v>0.625</v>
      </c>
    </row>
    <row r="211" spans="5:168">
      <c r="E211" s="147"/>
      <c r="F211" s="188"/>
      <c r="G211" s="188"/>
      <c r="H211" s="188"/>
      <c r="I211" s="465"/>
      <c r="J211" s="379"/>
      <c r="K211" s="379"/>
      <c r="L211" s="379"/>
      <c r="M211" s="188"/>
      <c r="N211" s="149"/>
      <c r="O211" s="149"/>
      <c r="P211" s="188"/>
      <c r="Q211" s="188"/>
      <c r="R211" s="188"/>
      <c r="S211" s="149"/>
      <c r="T211" s="149"/>
      <c r="U211" s="188"/>
      <c r="V211" s="188"/>
      <c r="W211" s="188"/>
      <c r="X211" s="172"/>
      <c r="Y211" s="379"/>
      <c r="AA211" s="188"/>
      <c r="AB211" s="150"/>
      <c r="AC211" s="150"/>
      <c r="AD211" s="150"/>
      <c r="AE211" s="150"/>
      <c r="AF211" s="314"/>
      <c r="AG211" s="456"/>
      <c r="AI211" s="150"/>
      <c r="AJ211" s="150"/>
      <c r="AK211" s="150"/>
      <c r="AM211" s="314"/>
      <c r="AN211" s="144"/>
      <c r="AS211" s="5"/>
      <c r="AT211" s="5"/>
      <c r="AU211" s="5"/>
      <c r="AV211" s="5"/>
      <c r="AW211" s="150"/>
      <c r="AX211" s="150"/>
      <c r="BA211" s="144"/>
      <c r="BB211" s="5"/>
      <c r="CE211" s="59"/>
      <c r="CF211" s="458">
        <f>MAX(CF110:CF210)</f>
        <v>-50</v>
      </c>
      <c r="CH211" s="59"/>
      <c r="CI211" s="147"/>
      <c r="CJ211" s="188"/>
      <c r="CK211" s="188"/>
      <c r="CL211" s="188"/>
      <c r="CM211" s="465"/>
      <c r="CN211" s="379"/>
      <c r="CO211" s="379"/>
      <c r="CP211" s="379"/>
      <c r="CQ211" s="188"/>
      <c r="CR211" s="149"/>
      <c r="CS211" s="149"/>
      <c r="CT211" s="188"/>
      <c r="CU211" s="188"/>
      <c r="CV211" s="188"/>
      <c r="CW211" s="149"/>
      <c r="CX211" s="149"/>
      <c r="CY211" s="188"/>
      <c r="CZ211" s="188"/>
      <c r="DA211" s="188"/>
      <c r="DB211" s="172"/>
      <c r="DC211" s="379"/>
      <c r="DE211" s="188"/>
      <c r="DF211" s="150"/>
      <c r="DG211" s="150"/>
      <c r="DH211" s="150"/>
      <c r="DI211" s="150"/>
      <c r="DJ211" s="314"/>
      <c r="DK211" s="456"/>
      <c r="DM211" s="150"/>
      <c r="DN211" s="150"/>
      <c r="DO211" s="150"/>
      <c r="DQ211" s="314"/>
      <c r="DR211" s="144"/>
      <c r="DW211" s="5"/>
      <c r="DX211" s="5"/>
      <c r="DY211" s="5"/>
      <c r="DZ211" s="5"/>
      <c r="EA211" s="150"/>
      <c r="EB211" s="150"/>
      <c r="EE211" s="144"/>
      <c r="EF211" s="5"/>
      <c r="FI211" s="59"/>
    </row>
    <row r="212" spans="5:168">
      <c r="E212" s="147">
        <v>110</v>
      </c>
      <c r="F212" s="188">
        <f>Ioutmax_Vinmin</f>
        <v>1.6950940906287801</v>
      </c>
      <c r="G212" s="188"/>
      <c r="H212" s="188">
        <f>F212*Vout</f>
        <v>8.4754704531439007</v>
      </c>
      <c r="I212" s="465">
        <f>VIN_min-F212*(Rdcr_pri+RON/1000)/CG212/Nps</f>
        <v>8.8635288663571146</v>
      </c>
      <c r="J212" s="149">
        <f>(T212+Vfwd1+F212/CG212*Rdcr_sec)*Nps</f>
        <v>5.3621278650815389</v>
      </c>
      <c r="K212" s="149">
        <f>(Vout+Vfwd1+F212/CG212*Rdcr_sec)*Nps++I212</f>
        <v>14.345411546542847</v>
      </c>
      <c r="L212" s="379"/>
      <c r="M212" s="188">
        <f>(Vout+Vfwd1+F212/FL212*Rdcr_sec)*Nps/((Vout+Vfwd1+F212/FL212*Rdcr_sec)*Nps+I212)</f>
        <v>0.38211260063863156</v>
      </c>
      <c r="N212" s="149">
        <f>M212*I212*(Isw_max+VIN_min/Lmag*ILIM_delay)*0.5*Efficiency</f>
        <v>8.5052674081402895</v>
      </c>
      <c r="O212" s="149">
        <f>T212*F212</f>
        <v>8.272474773736441</v>
      </c>
      <c r="P212" s="188">
        <f>N212/Vout</f>
        <v>1.7010534816280578</v>
      </c>
      <c r="Q212" s="188">
        <f>MIN(Vout,N212/F212)</f>
        <v>5</v>
      </c>
      <c r="R212" s="188"/>
      <c r="S212" s="149">
        <f>(SQRT(Isw_max^2*Nps^2*I212^2+4*Isw_max*F212/Efficiency*(Nps^2*Vfwd1*I212-Nps*I212^2)+4*(F212/Efficiency)^2*Nps^2*Vfwd1^2+8*(F212/Efficiency)^2*Nps*Vfwd1*I212+4*(F212/Efficiency)^2*I212^2)-2*F212/Efficiency*I212-2*F212/Efficiency*Nps*Vfwd1+Isw_max*Nps*I212)/(4*F212/Efficiency*Nps)</f>
        <v>4.8802451848958066</v>
      </c>
      <c r="T212" s="149">
        <f>MIN(Vout, S212)</f>
        <v>4.8802451848958066</v>
      </c>
      <c r="U212" s="188">
        <f>MIN(2*(Vout+Vfwd1+F212/FL212*Rdcr_sec)*F212/(I212*M212), Isw_max)</f>
        <v>5</v>
      </c>
      <c r="V212" s="188">
        <f>L*U212/I212*1000000</f>
        <v>6.7693128667679092</v>
      </c>
      <c r="W212" s="188">
        <f>L*U212/J212*1000000</f>
        <v>11.189587699078045</v>
      </c>
      <c r="X212" s="172">
        <f>IF(1/((350000*L)*(1/I212+1/J212))&gt;Isw_min, 350, 0.001/((Isw_min*L)*(1/I212+1/J212)))</f>
        <v>278.41347980449018</v>
      </c>
      <c r="Y212" s="379">
        <f>MIN(1/(V212+W212+0.2)*1000, 350)</f>
        <v>55.069413281597193</v>
      </c>
      <c r="AA212" s="188">
        <f>1/((X212*1000*L)*(1/I212+1/J212))</f>
        <v>1</v>
      </c>
      <c r="AB212" s="150">
        <f>L*AA212/J212*1000000</f>
        <v>2.237917539815609</v>
      </c>
      <c r="AC212" s="150">
        <f>0.5*AB212*AA212*Nps*X212/1000</f>
        <v>0.31153320488778369</v>
      </c>
      <c r="AD212" s="150"/>
      <c r="AE212" s="150">
        <f>L*Isw_min/J212*1000000</f>
        <v>2.237917539815609</v>
      </c>
      <c r="AF212" s="314">
        <f>MAX(12000,F212/(0.5*AE212/1000000*Isw_min*Nps))/1000</f>
        <v>1514.8852095492723</v>
      </c>
      <c r="AG212" s="456">
        <f>0.5*AE212/1000000*Isw_min*Nps*X212*1000</f>
        <v>0.31153320488778369</v>
      </c>
      <c r="AI212" s="150">
        <f>SQRT(F212/(0.5*L/J212*Fsw_DCM*Nps))</f>
        <v>2.0804430912320249</v>
      </c>
      <c r="AJ212" s="150">
        <f>MAX(IF(F212&gt;AC212,U212,AI212),Isw_min)</f>
        <v>5</v>
      </c>
      <c r="AK212" s="150">
        <f>IF(F212&gt;AG212, (AJ212-Isw_min)/1.08*0.8+1.2, AF212*0.2/350+1)</f>
        <v>4.162962962962963</v>
      </c>
      <c r="AM212" s="314">
        <f>F212*1000</f>
        <v>1695.0940906287801</v>
      </c>
      <c r="AN212" s="144">
        <f>IF(F212&gt;AG212, Y212, AF212)</f>
        <v>55.069413281597193</v>
      </c>
      <c r="AP212">
        <f>IF(H212&gt;N212, "",AM212)</f>
        <v>1695.0940906287801</v>
      </c>
      <c r="AQ212">
        <f>IF(H212&gt;N212, "",AN212)</f>
        <v>55.069413281597193</v>
      </c>
      <c r="AS212" s="5">
        <f>1/AN212*1000</f>
        <v>18.158900565845954</v>
      </c>
      <c r="AT212" s="5">
        <f>L*AJ212/I212*1000000</f>
        <v>6.7693128667679092</v>
      </c>
      <c r="AU212" s="5">
        <f>AS212-AT212</f>
        <v>11.389587699078046</v>
      </c>
      <c r="AV212" s="5"/>
      <c r="AW212" s="150">
        <f>AT212/AS212</f>
        <v>0.37278208789247547</v>
      </c>
      <c r="AX212" s="150">
        <f>0.5*L*AJ212^2*AN212*1000</f>
        <v>8.2604119922395789</v>
      </c>
      <c r="AY212" s="150">
        <f>AJ212*Nps/2*(1-AW212)</f>
        <v>1.5680447802688113</v>
      </c>
      <c r="AZ212" s="150">
        <f>AX212/AY212</f>
        <v>5.267969445887565</v>
      </c>
      <c r="BA212" s="144">
        <f>F212*AT212/Vout_ripple*1000</f>
        <v>229.49244476151301</v>
      </c>
      <c r="BB212" s="5">
        <f>H212/Efficiency/I212*AU212/Vinripple1</f>
        <v>4.5378894546650628</v>
      </c>
      <c r="BD212" s="150">
        <f>AJ212*SQRT(AW212/3)</f>
        <v>1.762531531378648</v>
      </c>
      <c r="BE212" s="150">
        <f>AJ212*Nps*SQRT((1-AW212)/3)</f>
        <v>2.2862230718434655</v>
      </c>
      <c r="BG212" s="456">
        <f>Rdson*BD212^2</f>
        <v>6.213034798207924E-2</v>
      </c>
      <c r="BH212" s="456">
        <f>0.5*K212*AJ212*AN212*1000*Tfall</f>
        <v>7.4061880982921657E-2</v>
      </c>
      <c r="BI212" s="456">
        <f>Qg*Vdd*AN212*1000*0+Qg*I212*AN212*1000</f>
        <v>1.2202733356869664E-2</v>
      </c>
      <c r="BJ212" s="456">
        <f>0.5*(Coss+Csw)*K212^2*AN212*1000</f>
        <v>1.1332780401184922E-3</v>
      </c>
      <c r="BK212">
        <f>I212*IQ</f>
        <v>3.9885879898607013E-3</v>
      </c>
      <c r="BL212" s="144">
        <f>(BK212+BI212)*1000</f>
        <v>16.191321346730366</v>
      </c>
      <c r="BM212" s="456">
        <f>(BH212+BI212*0+BJ212+BK212*0+BG212*(1+RdsonTC*(Ta-25)))/(1-BG212*RdsonTC*ThetaJA)</f>
        <v>0.15640964686336101</v>
      </c>
      <c r="BN212" s="144">
        <f>BM212*1000</f>
        <v>156.40964686336102</v>
      </c>
      <c r="BO212" s="456">
        <f>Vfwd2*F212</f>
        <v>1.1865658634401459</v>
      </c>
      <c r="BR212" s="144">
        <f>SUM(BO212:BQ212)*1000</f>
        <v>1186.5658634401459</v>
      </c>
      <c r="BS212" s="456">
        <f>Rdcr_pri*BD212^2</f>
        <v>9.3195521973118853E-2</v>
      </c>
      <c r="BT212" s="456">
        <f>Rdcr_sec*BE212^2</f>
        <v>0.15680447802688113</v>
      </c>
      <c r="BU212" s="456">
        <f>AJ212^2.5*AN212^2.5*k_core</f>
        <v>6.2902968180621743E-2</v>
      </c>
      <c r="BV212" s="456"/>
      <c r="BW212" s="456">
        <f>0.5*Lleak*0.000000001*AJ212^2*AN212*1000</f>
        <v>1.3767353320399299E-3</v>
      </c>
      <c r="BX212" s="144">
        <f>SUM(BS212:BW212)*1000</f>
        <v>314.27970351266168</v>
      </c>
      <c r="BY212" s="150">
        <f>SUM(BG212:BK212,BO212:BQ212,BS212:BW212)</f>
        <v>1.6543623953046573</v>
      </c>
      <c r="BZ212" s="5">
        <f>MIN(H212,O212)</f>
        <v>8.272474773736441</v>
      </c>
      <c r="CA212" s="150">
        <f>BZ212/(BZ212+BY212)</f>
        <v>0.83334446136941487</v>
      </c>
      <c r="CB212" s="5">
        <f>CA212*100</f>
        <v>83.33444613694148</v>
      </c>
      <c r="CE212" s="59">
        <f>IF(ABS(F212-Ioutmax_Vinmin)&lt;Iout/200, AN212, -50)</f>
        <v>55.069413281597193</v>
      </c>
      <c r="CF212">
        <f>IF(ABS(F212-Ioutmax_Vinmin)&lt;Iout/200, N212*CA212, -50)</f>
        <v>7.0878174870395085</v>
      </c>
      <c r="CG212" s="150">
        <f>MIN(SQRT(2*DU212*1000*Ls1_*CL212)/CU212,1-EA212-0.00000005*DU212*1000)</f>
        <v>0.62104492187500004</v>
      </c>
      <c r="CI212" s="147">
        <v>100</v>
      </c>
      <c r="CJ212" s="188">
        <f>IF(PLOT_TYPE=1, CI212/100*Iout_max, min_I*EXP(CR212*rr/100))</f>
        <v>1.2</v>
      </c>
      <c r="CK212" s="188"/>
      <c r="CL212" s="188">
        <f>CJ212*Vout</f>
        <v>6</v>
      </c>
      <c r="CM212" s="465">
        <f t="shared" si="532"/>
        <v>9</v>
      </c>
      <c r="CN212" s="379">
        <f>(CX212+Vfwd1)*Nps</f>
        <v>5.4</v>
      </c>
      <c r="CO212" s="379">
        <f>(Vout+Vfwd1)*Nps+CM212</f>
        <v>14.4</v>
      </c>
      <c r="CP212" s="379"/>
      <c r="CQ212" s="188">
        <f>(Vout+Vfwd1)*Nps/((Vout+Vfwd1)*Nps+CM212)</f>
        <v>0.375</v>
      </c>
      <c r="CR212" s="149">
        <f>CQ212*CM212*(Isw_max+VIN_min/Lmag*ILIM_delay)*0.5*Efficiency</f>
        <v>8.4754687499999992</v>
      </c>
      <c r="CS212" s="149">
        <f>CX212*CJ212</f>
        <v>6</v>
      </c>
      <c r="CT212" s="188">
        <f>CR212/Vout</f>
        <v>1.6950937499999998</v>
      </c>
      <c r="CU212" s="188">
        <f>MIN(Vout,CR212/CJ212)</f>
        <v>5</v>
      </c>
      <c r="CV212" s="188"/>
      <c r="CW212" s="149">
        <f>(SQRT(Isw_max^2*Nps^2*CM212^2+4*Isw_max*CJ212/Efficiency*(Nps^2*Vfwd1*CM212-Nps*CM212^2)+4*(CJ212/Efficiency)^2*Nps^2*Vfwd1^2+8*(CJ212/Efficiency)^2*Nps*Vfwd1*CM212+4*(CJ212/Efficiency)^2*CM212^2)-2*CJ212/Efficiency*CM212-2*CJ212/Efficiency*Nps*Vfwd1+Isw_max*Nps*CM212)/(4*CJ212/Efficiency*Nps)</f>
        <v>10.093083148125359</v>
      </c>
      <c r="CX212" s="149">
        <f>MIN(Vout, CW212)</f>
        <v>5</v>
      </c>
      <c r="CY212" s="188">
        <f>MIN(2*Vout*CJ212/(Efficiency*CM212*CQ212), Isw_max)</f>
        <v>3.5555555555555554</v>
      </c>
      <c r="CZ212" s="188">
        <f>L*CY212/CM212*1000000</f>
        <v>4.7407407407407405</v>
      </c>
      <c r="DA212" s="188">
        <f>L*CY212/CN212*1000000</f>
        <v>7.9012345679012332</v>
      </c>
      <c r="DB212" s="172">
        <f>IF(1/((350000*L)*(1/CM212+1/CN212))&gt;Isw_min, 350, 0.001/((Isw_min*L)*(1/CM212+1/CN212)))</f>
        <v>281.25</v>
      </c>
      <c r="DC212" s="379">
        <f>MIN(1/(CZ212+DA212)*1000, 350)</f>
        <v>79.1015625</v>
      </c>
      <c r="DE212" s="188">
        <f>1/((DB212*1000*L)*(1/CM212+1/CN212))</f>
        <v>1</v>
      </c>
      <c r="DF212" s="150">
        <f>L*DE212/CN212*1000000</f>
        <v>2.2222222222222219</v>
      </c>
      <c r="DG212" s="150">
        <f>0.5*DF212*DE212*Nps*DB212/1000</f>
        <v>0.31249999999999994</v>
      </c>
      <c r="DH212" s="150"/>
      <c r="DI212" s="150">
        <f>L*Isw_min/CN212*1000000</f>
        <v>2.2222222222222219</v>
      </c>
      <c r="DJ212" s="314">
        <f>MAX(12000,CJ212/(0.5*DI212/1000000*Isw_min*Nps))/1000</f>
        <v>1080</v>
      </c>
      <c r="DK212" s="456">
        <f>0.5*DI212/1000000*Isw_min*Nps*DB212*1000</f>
        <v>0.31249999999999994</v>
      </c>
      <c r="DM212" s="150">
        <f>SQRT(CJ212/(0.5*L/CN212*Fsw_DCM*Nps))</f>
        <v>1.7566201313073597</v>
      </c>
      <c r="DN212" s="150">
        <f>MAX(IF(CJ212&gt;DG212,CY212,DM212),Isw_min)</f>
        <v>3.5555555555555554</v>
      </c>
      <c r="DO212" s="150">
        <f>IF(CJ212&gt;DK212, (DN212-Isw_min)/1.08*0.8+1.2, DJ212*0.2/350+1)</f>
        <v>3.0930041152263374</v>
      </c>
      <c r="DQ212" s="314">
        <f>CJ212*1000</f>
        <v>1200</v>
      </c>
      <c r="DR212" s="144">
        <f>IF(CJ212&gt;DK212, DC212, DJ212)</f>
        <v>79.1015625</v>
      </c>
      <c r="DT212">
        <f>IF(CL212&gt;CR212, " ",DQ212)</f>
        <v>1200</v>
      </c>
      <c r="DU212">
        <f>IF(CL212&gt;CR212, " ",DR212)</f>
        <v>79.1015625</v>
      </c>
      <c r="DW212" s="5">
        <f>1/DR212*1000</f>
        <v>12.641975308641975</v>
      </c>
      <c r="DX212" s="5">
        <f>L*DN212/CM212*1000000</f>
        <v>4.7407407407407405</v>
      </c>
      <c r="DY212" s="5">
        <f>DW212-DX212</f>
        <v>7.9012345679012341</v>
      </c>
      <c r="DZ212" s="5"/>
      <c r="EA212" s="150">
        <f>DX212/DW212</f>
        <v>0.375</v>
      </c>
      <c r="EB212" s="150">
        <f>0.5*L*DN212^2*DR212*1000</f>
        <v>6</v>
      </c>
      <c r="EC212" s="150">
        <f>DN212*Nps/2*(1-EA212)</f>
        <v>1.1111111111111112</v>
      </c>
      <c r="ED212" s="150">
        <f>EB212/EC212</f>
        <v>5.3999999999999995</v>
      </c>
      <c r="EE212" s="144">
        <f>CJ212*DX212/Vout_ripple*1000</f>
        <v>113.77777777777777</v>
      </c>
      <c r="EF212" s="5">
        <f>CL212/Efficiency/CM212*DY212/Vinripple1</f>
        <v>2.1947873799725643</v>
      </c>
      <c r="EH212" s="150">
        <f>DN212*SQRT(EA212/3)</f>
        <v>1.2570787221094177</v>
      </c>
      <c r="EI212" s="150">
        <f>DN212*Nps*SQRT((1-EA212)/3)</f>
        <v>1.6228816518671589</v>
      </c>
      <c r="EK212" s="456">
        <f>Rdson*EH212^2</f>
        <v>3.1604938271604932E-2</v>
      </c>
      <c r="EL212" s="456">
        <f>0.5*CO212*DN212*DR212*1000*Trise</f>
        <v>8.0999999999999989E-2</v>
      </c>
      <c r="EM212" s="456">
        <f>Qg*Vdd*DR212*1000</f>
        <v>9.8876953125E-3</v>
      </c>
      <c r="EN212" s="456">
        <f>0.5*(Coss+Csw)*CO212^2*DR212*1000</f>
        <v>1.64025E-3</v>
      </c>
      <c r="EO212">
        <f>CM212*IQ</f>
        <v>4.0499999999999998E-3</v>
      </c>
      <c r="EP212" s="144">
        <f>(EO212+EM212)*1000</f>
        <v>13.937695312499999</v>
      </c>
      <c r="EQ212" s="144"/>
      <c r="ER212" s="144">
        <f>SUM(EK212:EO212)*1000</f>
        <v>128.18288358410493</v>
      </c>
      <c r="ES212" s="456">
        <f>Vfwd2*CJ212</f>
        <v>0.84</v>
      </c>
      <c r="EV212" s="144">
        <f>SUM(ES212:EU212)*1000</f>
        <v>840</v>
      </c>
      <c r="EW212" s="456">
        <f>Rdcr_pri*EH212^2</f>
        <v>4.7407407407407398E-2</v>
      </c>
      <c r="EX212" s="456">
        <f>Rdcr_sec*EI212^2</f>
        <v>7.9012345679012358E-2</v>
      </c>
      <c r="EY212" s="456">
        <f>DN212^2.5*DR212^2.5*k_core</f>
        <v>6.6328676578668089E-2</v>
      </c>
      <c r="EZ212" s="456"/>
      <c r="FA212" s="456">
        <f>0.5*Lleak*0.000000001*DN212^2*DR212*1000</f>
        <v>1E-3</v>
      </c>
      <c r="FB212" s="144">
        <f>SUM(EW212:FA212)*1000</f>
        <v>193.74842966508785</v>
      </c>
      <c r="FC212" s="150">
        <f>SUM(EK212:EO212,ES212:EU212,EW212:FA212)</f>
        <v>1.1619313132491926</v>
      </c>
      <c r="FD212" s="5">
        <f>MIN(CL212,CS212)</f>
        <v>6</v>
      </c>
      <c r="FE212" s="150">
        <f>FD212/(FD212+FC212)</f>
        <v>0.83776285160684494</v>
      </c>
      <c r="FF212" s="5">
        <f>FE212*100</f>
        <v>83.776285160684495</v>
      </c>
      <c r="FI212" s="59">
        <f>IF(ABS(CJ212-Ioutmax_Vinmin)&lt;Iout/200, DR212, -50)</f>
        <v>-50</v>
      </c>
      <c r="FJ212">
        <f>IF(ABS(CJ212-Ioutmax_Vinmin)&lt;Iout/200, CR212*FE212, -50)</f>
        <v>-50</v>
      </c>
      <c r="FL212">
        <f>MIN(SQRT(2*L*DR212*1000*CJ212*(CX212+Vfwd1))/(Nps*(CX212+Vfwd1)), 1-EA212)</f>
        <v>0.625</v>
      </c>
    </row>
    <row r="213" spans="5:168">
      <c r="H213" s="188"/>
      <c r="I213" s="465"/>
      <c r="J213" s="379"/>
      <c r="K213" s="379"/>
      <c r="L213" s="379"/>
      <c r="M213" s="188"/>
      <c r="N213" s="149"/>
      <c r="O213" s="149"/>
      <c r="P213" s="188"/>
      <c r="Q213" s="188"/>
      <c r="R213" s="188"/>
      <c r="S213" s="149"/>
      <c r="T213" s="149"/>
      <c r="U213" s="188"/>
      <c r="V213" s="188"/>
      <c r="W213" s="188"/>
      <c r="X213" s="172"/>
      <c r="Y213" s="379"/>
      <c r="AA213" s="188"/>
      <c r="AB213" s="150"/>
      <c r="AC213" s="150"/>
      <c r="AD213" s="150"/>
      <c r="AE213" s="150"/>
      <c r="AF213" s="314"/>
      <c r="AI213" s="150"/>
      <c r="AJ213" s="150"/>
      <c r="AK213" s="150"/>
      <c r="AM213" s="314"/>
      <c r="AN213" s="144"/>
      <c r="AS213" s="5"/>
      <c r="AT213" s="5"/>
      <c r="AU213" s="5"/>
      <c r="AV213" s="5"/>
      <c r="AW213" s="150"/>
      <c r="AX213" s="150"/>
      <c r="BA213" s="144"/>
      <c r="BB213" s="5"/>
      <c r="CE213" s="59"/>
      <c r="CL213" s="188"/>
      <c r="CM213" s="465"/>
      <c r="CN213" s="379"/>
      <c r="CO213" s="379"/>
      <c r="CP213" s="379"/>
      <c r="CQ213" s="188"/>
      <c r="CR213" s="149"/>
      <c r="CS213" s="149"/>
      <c r="CT213" s="188"/>
      <c r="CU213" s="188"/>
      <c r="CV213" s="188"/>
      <c r="CW213" s="149"/>
      <c r="CX213" s="149"/>
      <c r="CY213" s="188"/>
      <c r="CZ213" s="188"/>
      <c r="DA213" s="188"/>
      <c r="DB213" s="172"/>
      <c r="DC213" s="379"/>
      <c r="DE213" s="188"/>
      <c r="DF213" s="150"/>
      <c r="DG213" s="150"/>
      <c r="DH213" s="150"/>
      <c r="DI213" s="150"/>
      <c r="DJ213" s="314"/>
      <c r="DM213" s="150"/>
      <c r="DN213" s="150"/>
      <c r="DO213" s="150"/>
      <c r="DQ213" s="314"/>
      <c r="DR213" s="144"/>
      <c r="DW213" s="5"/>
      <c r="DX213" s="5"/>
      <c r="DY213" s="5"/>
      <c r="DZ213" s="5"/>
      <c r="EA213" s="150"/>
      <c r="EB213" s="150"/>
      <c r="EE213" s="144"/>
      <c r="EF213" s="5"/>
      <c r="FI213" s="59"/>
    </row>
    <row r="214" spans="5:168">
      <c r="E214" s="159" t="s">
        <v>435</v>
      </c>
      <c r="H214" s="188"/>
      <c r="I214" s="465"/>
      <c r="J214" s="379"/>
      <c r="K214" s="379"/>
      <c r="L214" s="379"/>
      <c r="M214" s="188"/>
      <c r="N214" s="149"/>
      <c r="O214" s="149"/>
      <c r="P214" s="188"/>
      <c r="Q214" s="188"/>
      <c r="R214" s="188"/>
      <c r="S214" s="149"/>
      <c r="T214" s="149"/>
      <c r="U214" s="188"/>
      <c r="V214" s="188"/>
      <c r="W214" s="188"/>
      <c r="X214" s="172"/>
      <c r="Y214" s="379"/>
      <c r="AA214" s="188"/>
      <c r="AB214" s="150"/>
      <c r="AC214" s="150"/>
      <c r="AD214" s="150"/>
      <c r="AE214" s="150"/>
      <c r="AF214" s="314"/>
      <c r="AI214" s="150"/>
      <c r="AJ214" s="150"/>
      <c r="AK214" s="150"/>
      <c r="AM214" s="314"/>
      <c r="AN214" s="144"/>
      <c r="AS214" s="5"/>
      <c r="AT214" s="5"/>
      <c r="AU214" s="5"/>
      <c r="AV214" s="5"/>
      <c r="AW214" s="150"/>
      <c r="AX214" s="150"/>
      <c r="BA214" s="144"/>
      <c r="BB214" s="5"/>
      <c r="CE214" s="59"/>
      <c r="CI214" s="159" t="s">
        <v>435</v>
      </c>
      <c r="CL214" s="188"/>
      <c r="CM214" s="465"/>
      <c r="CN214" s="379"/>
      <c r="CO214" s="379"/>
      <c r="CP214" s="379"/>
      <c r="CQ214" s="188"/>
      <c r="CR214" s="149"/>
      <c r="CS214" s="149"/>
      <c r="CT214" s="188"/>
      <c r="CU214" s="188"/>
      <c r="CV214" s="188"/>
      <c r="CW214" s="149"/>
      <c r="CX214" s="149"/>
      <c r="CY214" s="188"/>
      <c r="CZ214" s="188"/>
      <c r="DA214" s="188"/>
      <c r="DB214" s="172"/>
      <c r="DC214" s="379"/>
      <c r="DE214" s="188"/>
      <c r="DF214" s="150"/>
      <c r="DG214" s="150"/>
      <c r="DH214" s="150"/>
      <c r="DI214" s="150"/>
      <c r="DJ214" s="314"/>
      <c r="DM214" s="150"/>
      <c r="DN214" s="150"/>
      <c r="DO214" s="150"/>
      <c r="DQ214" s="314"/>
      <c r="DR214" s="144"/>
      <c r="DW214" s="5"/>
      <c r="DX214" s="5"/>
      <c r="DY214" s="5"/>
      <c r="DZ214" s="5"/>
      <c r="EA214" s="150"/>
      <c r="EB214" s="150"/>
      <c r="EE214" s="144"/>
      <c r="EF214" s="5"/>
      <c r="FI214" s="59"/>
    </row>
    <row r="215" spans="5:168" ht="45" customHeight="1" thickBot="1">
      <c r="E215" s="211" t="s">
        <v>25</v>
      </c>
      <c r="F215" s="380" t="s">
        <v>194</v>
      </c>
      <c r="G215" s="230"/>
      <c r="H215" s="455" t="s">
        <v>223</v>
      </c>
      <c r="I215" s="212" t="s">
        <v>412</v>
      </c>
      <c r="J215" s="213" t="s">
        <v>418</v>
      </c>
      <c r="K215" s="455" t="s">
        <v>413</v>
      </c>
      <c r="L215" s="455"/>
      <c r="M215" s="214" t="s">
        <v>48</v>
      </c>
      <c r="N215" s="455" t="s">
        <v>402</v>
      </c>
      <c r="O215" s="455" t="s">
        <v>656</v>
      </c>
      <c r="P215" s="455" t="s">
        <v>403</v>
      </c>
      <c r="Q215" s="455" t="s">
        <v>433</v>
      </c>
      <c r="R215" s="455" t="s">
        <v>654</v>
      </c>
      <c r="S215" s="455" t="s">
        <v>657</v>
      </c>
      <c r="T215" s="455" t="s">
        <v>655</v>
      </c>
      <c r="U215" s="455" t="s">
        <v>414</v>
      </c>
      <c r="V215" s="455" t="s">
        <v>466</v>
      </c>
      <c r="W215" s="455" t="s">
        <v>465</v>
      </c>
      <c r="X215" s="469" t="s">
        <v>420</v>
      </c>
      <c r="Y215" s="466" t="s">
        <v>425</v>
      </c>
      <c r="AA215" s="215" t="s">
        <v>417</v>
      </c>
      <c r="AB215" s="215" t="s">
        <v>464</v>
      </c>
      <c r="AC215" s="215" t="s">
        <v>423</v>
      </c>
      <c r="AD215" s="468"/>
      <c r="AE215" s="215" t="s">
        <v>463</v>
      </c>
      <c r="AF215" s="215" t="s">
        <v>681</v>
      </c>
      <c r="AG215" s="215" t="s">
        <v>427</v>
      </c>
      <c r="AH215" s="468"/>
      <c r="AI215" s="215" t="s">
        <v>429</v>
      </c>
      <c r="AJ215" s="470" t="s">
        <v>430</v>
      </c>
      <c r="AK215" s="470" t="s">
        <v>431</v>
      </c>
      <c r="AM215" s="467" t="s">
        <v>275</v>
      </c>
      <c r="AN215" s="467" t="s">
        <v>432</v>
      </c>
      <c r="AP215" s="215" t="s">
        <v>275</v>
      </c>
      <c r="AQ215" s="215" t="s">
        <v>432</v>
      </c>
      <c r="AR215" s="471"/>
      <c r="AS215" s="215" t="s">
        <v>467</v>
      </c>
      <c r="AT215" s="215" t="s">
        <v>461</v>
      </c>
      <c r="AU215" s="215" t="s">
        <v>462</v>
      </c>
      <c r="AV215" s="215" t="s">
        <v>653</v>
      </c>
      <c r="AW215" s="215" t="s">
        <v>48</v>
      </c>
      <c r="AX215" s="471" t="s">
        <v>651</v>
      </c>
      <c r="AY215" s="468" t="s">
        <v>650</v>
      </c>
      <c r="AZ215" s="468" t="s">
        <v>652</v>
      </c>
      <c r="BA215" s="215" t="s">
        <v>481</v>
      </c>
      <c r="BB215" s="215" t="s">
        <v>514</v>
      </c>
      <c r="BC215" s="468"/>
      <c r="BD215" s="479" t="s">
        <v>456</v>
      </c>
      <c r="BE215" s="215" t="s">
        <v>457</v>
      </c>
      <c r="BF215" s="468"/>
      <c r="BG215" s="479" t="s">
        <v>474</v>
      </c>
      <c r="BH215" s="215" t="s">
        <v>475</v>
      </c>
      <c r="BI215" s="215" t="s">
        <v>473</v>
      </c>
      <c r="BJ215" s="215" t="s">
        <v>469</v>
      </c>
      <c r="BK215" s="215" t="s">
        <v>478</v>
      </c>
      <c r="BL215" s="215" t="s">
        <v>777</v>
      </c>
      <c r="BM215" s="215" t="s">
        <v>776</v>
      </c>
      <c r="BN215" s="215" t="s">
        <v>491</v>
      </c>
      <c r="BO215" s="479" t="s">
        <v>476</v>
      </c>
      <c r="BP215" s="215" t="s">
        <v>477</v>
      </c>
      <c r="BQ215" s="215" t="s">
        <v>483</v>
      </c>
      <c r="BR215" s="215" t="s">
        <v>487</v>
      </c>
      <c r="BS215" s="479" t="s">
        <v>458</v>
      </c>
      <c r="BT215" s="215" t="s">
        <v>459</v>
      </c>
      <c r="BU215" s="215" t="s">
        <v>468</v>
      </c>
      <c r="BV215" s="215" t="s">
        <v>666</v>
      </c>
      <c r="BW215" s="215" t="s">
        <v>484</v>
      </c>
      <c r="BX215" s="215" t="s">
        <v>667</v>
      </c>
      <c r="BY215" s="479" t="s">
        <v>482</v>
      </c>
      <c r="BZ215" s="215" t="s">
        <v>223</v>
      </c>
      <c r="CA215" s="215" t="s">
        <v>47</v>
      </c>
      <c r="CB215" s="215" t="s">
        <v>485</v>
      </c>
      <c r="CC215" s="215"/>
      <c r="CE215" s="490" t="s">
        <v>664</v>
      </c>
      <c r="CF215" s="490" t="s">
        <v>665</v>
      </c>
      <c r="CG215" s="667" t="s">
        <v>828</v>
      </c>
      <c r="CI215" s="211" t="s">
        <v>25</v>
      </c>
      <c r="CJ215" s="380" t="s">
        <v>194</v>
      </c>
      <c r="CK215" s="230"/>
      <c r="CL215" s="455" t="s">
        <v>223</v>
      </c>
      <c r="CM215" s="212" t="s">
        <v>412</v>
      </c>
      <c r="CN215" s="213" t="s">
        <v>418</v>
      </c>
      <c r="CO215" s="455" t="s">
        <v>413</v>
      </c>
      <c r="CP215" s="455"/>
      <c r="CQ215" s="214" t="s">
        <v>48</v>
      </c>
      <c r="CR215" s="455" t="s">
        <v>402</v>
      </c>
      <c r="CS215" s="455" t="s">
        <v>656</v>
      </c>
      <c r="CT215" s="455" t="s">
        <v>403</v>
      </c>
      <c r="CU215" s="455" t="s">
        <v>433</v>
      </c>
      <c r="CV215" s="455" t="s">
        <v>654</v>
      </c>
      <c r="CW215" s="455" t="s">
        <v>657</v>
      </c>
      <c r="CX215" s="455" t="s">
        <v>655</v>
      </c>
      <c r="CY215" s="455" t="s">
        <v>414</v>
      </c>
      <c r="CZ215" s="455" t="s">
        <v>466</v>
      </c>
      <c r="DA215" s="455" t="s">
        <v>465</v>
      </c>
      <c r="DB215" s="469" t="s">
        <v>420</v>
      </c>
      <c r="DC215" s="466" t="s">
        <v>425</v>
      </c>
      <c r="DE215" s="215" t="s">
        <v>417</v>
      </c>
      <c r="DF215" s="215" t="s">
        <v>464</v>
      </c>
      <c r="DG215" s="215" t="s">
        <v>423</v>
      </c>
      <c r="DH215" s="468"/>
      <c r="DI215" s="215" t="s">
        <v>463</v>
      </c>
      <c r="DJ215" s="215" t="s">
        <v>681</v>
      </c>
      <c r="DK215" s="215" t="s">
        <v>427</v>
      </c>
      <c r="DL215" s="468"/>
      <c r="DM215" s="215" t="s">
        <v>429</v>
      </c>
      <c r="DN215" s="470" t="s">
        <v>430</v>
      </c>
      <c r="DO215" s="470" t="s">
        <v>431</v>
      </c>
      <c r="DQ215" s="467" t="s">
        <v>275</v>
      </c>
      <c r="DR215" s="467" t="s">
        <v>432</v>
      </c>
      <c r="DT215" s="215" t="s">
        <v>275</v>
      </c>
      <c r="DU215" s="215" t="s">
        <v>432</v>
      </c>
      <c r="DV215" s="471"/>
      <c r="DW215" s="215" t="s">
        <v>467</v>
      </c>
      <c r="DX215" s="215" t="s">
        <v>461</v>
      </c>
      <c r="DY215" s="215" t="s">
        <v>462</v>
      </c>
      <c r="DZ215" s="215" t="s">
        <v>653</v>
      </c>
      <c r="EA215" s="215" t="s">
        <v>48</v>
      </c>
      <c r="EB215" s="471" t="s">
        <v>651</v>
      </c>
      <c r="EC215" s="468" t="s">
        <v>650</v>
      </c>
      <c r="ED215" s="468" t="s">
        <v>652</v>
      </c>
      <c r="EE215" s="215" t="s">
        <v>481</v>
      </c>
      <c r="EF215" s="215" t="s">
        <v>514</v>
      </c>
      <c r="EG215" s="468"/>
      <c r="EH215" s="479" t="s">
        <v>456</v>
      </c>
      <c r="EI215" s="215" t="s">
        <v>457</v>
      </c>
      <c r="EJ215" s="468"/>
      <c r="EK215" s="479" t="s">
        <v>474</v>
      </c>
      <c r="EL215" s="215" t="s">
        <v>475</v>
      </c>
      <c r="EM215" s="215" t="s">
        <v>473</v>
      </c>
      <c r="EN215" s="215" t="s">
        <v>469</v>
      </c>
      <c r="EO215" s="215" t="s">
        <v>478</v>
      </c>
      <c r="EP215" s="215" t="s">
        <v>777</v>
      </c>
      <c r="EQ215" s="215" t="s">
        <v>776</v>
      </c>
      <c r="ER215" s="215" t="s">
        <v>491</v>
      </c>
      <c r="ES215" s="479" t="s">
        <v>476</v>
      </c>
      <c r="ET215" s="215" t="s">
        <v>477</v>
      </c>
      <c r="EU215" s="215" t="s">
        <v>483</v>
      </c>
      <c r="EV215" s="215" t="s">
        <v>487</v>
      </c>
      <c r="EW215" s="479" t="s">
        <v>458</v>
      </c>
      <c r="EX215" s="215" t="s">
        <v>459</v>
      </c>
      <c r="EY215" s="215" t="s">
        <v>468</v>
      </c>
      <c r="EZ215" s="215" t="s">
        <v>666</v>
      </c>
      <c r="FA215" s="215" t="s">
        <v>484</v>
      </c>
      <c r="FB215" s="215" t="s">
        <v>667</v>
      </c>
      <c r="FC215" s="479" t="s">
        <v>482</v>
      </c>
      <c r="FD215" s="215" t="s">
        <v>223</v>
      </c>
      <c r="FE215" s="215" t="s">
        <v>47</v>
      </c>
      <c r="FF215" s="215" t="s">
        <v>485</v>
      </c>
      <c r="FG215" s="215"/>
      <c r="FI215" s="490" t="s">
        <v>664</v>
      </c>
      <c r="FJ215" s="490" t="s">
        <v>665</v>
      </c>
      <c r="FL215" t="s">
        <v>825</v>
      </c>
    </row>
    <row r="216" spans="5:168">
      <c r="E216" s="147">
        <v>0.1</v>
      </c>
      <c r="F216" s="188">
        <v>1.0000000000000001E-9</v>
      </c>
      <c r="G216" s="188"/>
      <c r="H216" s="188">
        <f t="shared" ref="H216:H247" si="603">F216*Vout</f>
        <v>5.0000000000000001E-9</v>
      </c>
      <c r="I216" s="465">
        <f t="shared" ref="I216:I247" si="604">VIN_max-F216*(Rdcr_pri+RON/1000)/CG216/Nps</f>
        <v>59.999993411921544</v>
      </c>
      <c r="J216" s="149">
        <f t="shared" ref="J216:J247" si="605">(T216+Vfwd1+F216/CG216*Rdcr_sec)*Nps</f>
        <v>5.4000039528470758</v>
      </c>
      <c r="K216" s="149">
        <f t="shared" ref="K216:K247" si="606">(Vout+Vfwd1+F216/CG216*Rdcr_sec)*Nps+I216</f>
        <v>65.399997364768623</v>
      </c>
      <c r="L216" s="379"/>
      <c r="M216" s="188">
        <f t="shared" ref="M216:M247" si="607">(Vout+Vfwd1+F216/FL216*Rdcr_sec)*Nps/((Vout+Vfwd1+F216/FL216*Rdcr_sec)*Nps+I216)</f>
        <v>8.2568873282922617E-2</v>
      </c>
      <c r="N216" s="149">
        <f t="shared" ref="N216:N247" si="608">M216*I216*(Isw_max+VIN_max/Lmag*ILIM_delay)*0.5*Efficiency</f>
        <v>12.75688952148824</v>
      </c>
      <c r="O216" s="149">
        <f t="shared" si="599"/>
        <v>5.0000000000000001E-9</v>
      </c>
      <c r="P216" s="188">
        <f t="shared" ref="P216:P247" si="609">N216/Vout</f>
        <v>2.5513779042976479</v>
      </c>
      <c r="Q216" s="188">
        <f t="shared" ref="Q216:Q247" si="610">MIN(Vout,N216/F216)</f>
        <v>5</v>
      </c>
      <c r="R216" s="188"/>
      <c r="S216" s="149">
        <f t="shared" ref="S216:S247" si="611">(SQRT(Isw_max^2*Nps^2*I216^2+4*Isw_max*F216/Efficiency*(Nps^2*Vfwd1*I216-Nps*I216^2)+4*(F216/Efficiency)^2*Nps^2*Vfwd1^2+8*(F216/Efficiency)^2*Nps*Vfwd1*I216+4*(F216/Efficiency)^2*I216^2)-2*F216/Efficiency*I216-2*F216/Efficiency*Nps*Vfwd1+Isw_max*Nps*I216)/(4*F216/Efficiency*Nps)</f>
        <v>149999983469.80383</v>
      </c>
      <c r="T216" s="149">
        <f t="shared" ref="T216:T247" si="612">MIN(Vout, S216)</f>
        <v>5</v>
      </c>
      <c r="U216" s="188">
        <f t="shared" ref="U216:U247" si="613">MIN(2*(Vout+Vfwd1+F216/FL216*Rdcr_sec)*F216/(I216*M216), Isw_max)</f>
        <v>2.1800001566948921E-9</v>
      </c>
      <c r="V216" s="188">
        <f t="shared" ref="V216:V247" si="614">L*U216/I216*1000000</f>
        <v>4.3600007921235726E-10</v>
      </c>
      <c r="W216" s="188">
        <f t="shared" ref="W216:W247" si="615">L*U216/J216*1000000</f>
        <v>4.8444412464820913E-9</v>
      </c>
      <c r="X216" s="172">
        <f t="shared" ref="X216:X247" si="616">IF(1/((350000*L)*(1/I216+1/J216))&gt;Isw_min, 350, 0.001/((Isw_min*L)*(1/I216+1/J216)))</f>
        <v>350</v>
      </c>
      <c r="Y216" s="379">
        <f>MIN(1/(V216+W216+0.2)*1000, 350)</f>
        <v>350</v>
      </c>
      <c r="AA216" s="188">
        <f t="shared" ref="AA216:AA247" si="617">1/((X216*1000*L)*(1/I216+1/J216))</f>
        <v>1.1795551720200168</v>
      </c>
      <c r="AB216" s="150">
        <f t="shared" ref="AB216:AB247" si="618">L*AA216/J216*1000000</f>
        <v>2.6212317968355108</v>
      </c>
      <c r="AC216" s="150">
        <f t="shared" ref="AC216:AC247" si="619">0.5*AB216*AA216*Nps*X216/1000</f>
        <v>0.54108031652861355</v>
      </c>
      <c r="AD216" s="150"/>
      <c r="AE216" s="150">
        <f t="shared" ref="AE216:AE247" si="620">L*Isw_min/J216*1000000</f>
        <v>2.2222205955373737</v>
      </c>
      <c r="AF216" s="314">
        <f t="shared" ref="AF216:AF247" si="621">MAX(12000,F216/(0.5*AE216/1000000*Isw_min*Nps))/1000</f>
        <v>12</v>
      </c>
      <c r="AG216" s="456">
        <f t="shared" ref="AG216:AG247" si="622">0.5*AE216/1000000*Isw_min*Nps*X216*1000</f>
        <v>0.38888860421904042</v>
      </c>
      <c r="AI216" s="150">
        <f t="shared" ref="AI216:AI247" si="623">SQRT(F216/(0.5*L/J216*Fsw_DCM*Nps))</f>
        <v>5.0709273843516065E-5</v>
      </c>
      <c r="AJ216" s="150">
        <f t="shared" ref="AJ216:AJ247" si="624">MAX(IF(F216&gt;AC216,U216,AI216),Isw_min)</f>
        <v>1</v>
      </c>
      <c r="AK216" s="150">
        <f t="shared" ref="AK216:AK247" si="625">IF(F216&gt;AG216, (AJ216-Isw_min)/1.08*0.8+1.2, AF216*0.2/350+1)</f>
        <v>1.0068571428571429</v>
      </c>
      <c r="AM216" s="314">
        <f t="shared" ref="AM216:AM247" si="626">F216*1000</f>
        <v>1.0000000000000002E-6</v>
      </c>
      <c r="AN216" s="144">
        <f t="shared" ref="AN216:AN247" si="627">IF(F216&gt;AG216, Y216, AF216)</f>
        <v>12</v>
      </c>
      <c r="AP216">
        <f t="shared" ref="AP216:AP247" si="628">IF(H216&gt;N216, "",AM216)</f>
        <v>1.0000000000000002E-6</v>
      </c>
      <c r="AQ216">
        <f t="shared" ref="AQ216:AQ247" si="629">IF(H216&gt;N216, "",AN216)</f>
        <v>12</v>
      </c>
      <c r="AS216" s="5">
        <f t="shared" si="600"/>
        <v>83.333333333333329</v>
      </c>
      <c r="AT216" s="5">
        <f t="shared" ref="AT216:AT247" si="630">L*AJ216/I216*1000000</f>
        <v>0.20000002196026392</v>
      </c>
      <c r="AU216" s="5">
        <f t="shared" si="478"/>
        <v>83.133333311373065</v>
      </c>
      <c r="AV216" s="5"/>
      <c r="AW216" s="150">
        <f t="shared" si="479"/>
        <v>2.4000002635231671E-3</v>
      </c>
      <c r="AX216" s="150">
        <f t="shared" ref="AX216:AX279" si="631">0.5*L*AJ216^2*AN216*1000</f>
        <v>7.2000000000000008E-2</v>
      </c>
      <c r="AY216" s="150">
        <f t="shared" ref="AY216:AY279" si="632">AJ216*Nps/2*(1-AW216)</f>
        <v>0.49879999986823842</v>
      </c>
      <c r="AZ216" s="150">
        <f t="shared" ref="AZ216:AZ279" si="633">AX216/AY216</f>
        <v>0.14434643147357523</v>
      </c>
      <c r="BA216" s="144">
        <f t="shared" si="594"/>
        <v>4.0000004392052785E-9</v>
      </c>
      <c r="BB216" s="5">
        <f t="shared" si="595"/>
        <v>2.8865743902612069E-9</v>
      </c>
      <c r="BD216" s="150">
        <f>AJ216*SQRT(AW216/3)</f>
        <v>2.8284272800287013E-2</v>
      </c>
      <c r="BE216" s="150">
        <f>AJ216*Nps*SQRT((1-AW216)/3)</f>
        <v>0.57665703259866019</v>
      </c>
      <c r="BG216" s="456">
        <f>Rdson*BD216^2</f>
        <v>1.6000001756821115E-5</v>
      </c>
      <c r="BH216" s="456">
        <f t="shared" ref="BH216:BH247" si="634">0.5*K216*AJ216*AN216*1000*Tfall</f>
        <v>1.4714999407072939E-2</v>
      </c>
      <c r="BI216" s="456">
        <f t="shared" ref="BI216:BI247" si="635">Qg*Vdd*AN216*1000*0+Qg*I216*AN216*1000</f>
        <v>1.7999998023576463E-2</v>
      </c>
      <c r="BJ216" s="456">
        <f>0.5*(Coss+Csw)*K216^2*AN216*1000</f>
        <v>5.1325915863740905E-3</v>
      </c>
      <c r="BK216">
        <f>I216*IQ</f>
        <v>2.6999997035364695E-2</v>
      </c>
      <c r="BL216" s="144">
        <f>(BK216+BI216)*1000</f>
        <v>44.99999505894116</v>
      </c>
      <c r="BM216" s="456">
        <f t="shared" ref="BM216:BM247" si="636">(BH216+BI216*0+BJ216+BK216*0+BG216*(1+RdsonTC*(Ta-25)))/(1-BG216*RdsonTC*ThetaJA)</f>
        <v>1.9867986525824066E-2</v>
      </c>
      <c r="BN216" s="144">
        <f>BM216*1000</f>
        <v>19.867986525824065</v>
      </c>
      <c r="BO216" s="456">
        <f t="shared" ref="BO216:BO279" si="637">Vfwd2*F216</f>
        <v>6.9999999999999996E-10</v>
      </c>
      <c r="BR216" s="144">
        <f>SUM(BO216:BQ216)*1000</f>
        <v>6.9999999999999997E-7</v>
      </c>
      <c r="BS216" s="456">
        <f>Rdcr_pri*BD216^2</f>
        <v>2.400000263523167E-5</v>
      </c>
      <c r="BT216" s="456">
        <f>Rdcr_sec*BE216^2</f>
        <v>9.9759999973647664E-3</v>
      </c>
      <c r="BU216" s="456">
        <f>AJ216^2.5*AN216^2.5*k_core</f>
        <v>2.494153162899183E-5</v>
      </c>
      <c r="BV216" s="456"/>
      <c r="BW216" s="456">
        <f>0.5*Lleak*0.000000001*AJ216^2*AN216*1000</f>
        <v>1.2000000000000002E-5</v>
      </c>
      <c r="BX216" s="144">
        <f>SUM(BS216:BW216)*1000</f>
        <v>10.03694153162899</v>
      </c>
      <c r="BY216" s="150">
        <f>SUM(BG216:BK216,BO216:BQ216,BS216:BW216)</f>
        <v>7.4900528285773996E-2</v>
      </c>
      <c r="BZ216" s="5">
        <f>MIN(H216,O216)</f>
        <v>5.0000000000000001E-9</v>
      </c>
      <c r="CA216" s="150">
        <f>BZ216/(BZ216+BY216)</f>
        <v>6.6755198937277262E-8</v>
      </c>
      <c r="CB216" s="5">
        <f>CA216*100</f>
        <v>6.6755198937277266E-6</v>
      </c>
      <c r="CE216" s="59">
        <f t="shared" ref="CE216:CE247" si="638">IF(ABS(F216-Ioutmax_Vinmax)&lt;Iout/200, AN216, -50)</f>
        <v>-50</v>
      </c>
      <c r="CF216">
        <f t="shared" ref="CF216:CF247" si="639">IF(ABS(F216-Ioutmax_Vinmin)&lt;Iout/200, N216*CA216, -50)</f>
        <v>-50</v>
      </c>
      <c r="CG216" s="150">
        <f t="shared" ref="CG216:CG247" si="640">MIN(SQRT(2*DU216*1000*Ls1_*CL216)/CU216,1-EA216-0.00000005*DU216*1000)</f>
        <v>7.5894663844041118E-6</v>
      </c>
      <c r="CI216" s="147">
        <v>0.1</v>
      </c>
      <c r="CJ216" s="188">
        <v>1.0000000000000001E-9</v>
      </c>
      <c r="CK216" s="188"/>
      <c r="CL216" s="188">
        <f t="shared" ref="CL216:CL279" si="641">CJ216*Vout</f>
        <v>5.0000000000000001E-9</v>
      </c>
      <c r="CM216" s="465">
        <f t="shared" ref="CM216:CM279" si="642">VIN_max</f>
        <v>60</v>
      </c>
      <c r="CN216" s="379">
        <f t="shared" ref="CN216:CN279" si="643">(CX216+Vfwd1)*Nps</f>
        <v>5.4</v>
      </c>
      <c r="CO216" s="379">
        <f t="shared" ref="CO216:CO279" si="644">(Vout+Vfwd1)*Nps+CM216</f>
        <v>65.400000000000006</v>
      </c>
      <c r="CP216" s="379"/>
      <c r="CQ216" s="188">
        <f t="shared" ref="CQ216:CQ279" si="645">(Vout+Vfwd1)*Nps/((Vout+Vfwd1)*Nps+CM216)</f>
        <v>8.2568807339449546E-2</v>
      </c>
      <c r="CR216" s="149">
        <f t="shared" ref="CR216:CR279" si="646">CQ216*CM216*(Isw_max+VIN_max/Lmag*ILIM_delay)*0.5*Efficiency</f>
        <v>12.756880733944957</v>
      </c>
      <c r="CS216" s="149">
        <f t="shared" ref="CS216:CS279" si="647">CX216*CJ216</f>
        <v>5.0000000000000001E-9</v>
      </c>
      <c r="CT216" s="188">
        <f t="shared" ref="CT216:CT279" si="648">CR216/Vout</f>
        <v>2.5513761467889915</v>
      </c>
      <c r="CU216" s="188">
        <f t="shared" ref="CU216:CU279" si="649">MIN(Vout,CR216/CJ216)</f>
        <v>5</v>
      </c>
      <c r="CV216" s="188"/>
      <c r="CW216" s="149">
        <f t="shared" ref="CW216:CW279" si="650">(SQRT(Isw_max^2*Nps^2*CM216^2+4*Isw_max*CJ216/Efficiency*(Nps^2*Vfwd1*CM216-Nps*CM216^2)+4*(CJ216/Efficiency)^2*Nps^2*Vfwd1^2+8*(CJ216/Efficiency)^2*Nps*Vfwd1*CM216+4*(CJ216/Efficiency)^2*CM216^2)-2*CJ216/Efficiency*CM216-2*CJ216/Efficiency*Nps*Vfwd1+Isw_max*Nps*CM216)/(4*CJ216/Efficiency*Nps)</f>
        <v>149999999940</v>
      </c>
      <c r="CX216" s="149">
        <f t="shared" ref="CX216:CX279" si="651">MIN(Vout, CW216)</f>
        <v>5</v>
      </c>
      <c r="CY216" s="188">
        <f t="shared" ref="CY216:CY279" si="652">MIN(2*Vout*CJ216/(Efficiency*CM216*CQ216), Isw_max)</f>
        <v>2.0185185185185185E-9</v>
      </c>
      <c r="CZ216" s="188">
        <f t="shared" ref="CZ216:CZ279" si="653">L*CY216/CM216*1000000</f>
        <v>4.0370370370370368E-10</v>
      </c>
      <c r="DA216" s="188">
        <f t="shared" ref="DA216:DA279" si="654">L*CY216/CN216*1000000</f>
        <v>4.4855967078189298E-9</v>
      </c>
      <c r="DB216" s="172">
        <f t="shared" ref="DB216:DB279" si="655">IF(1/((350000*L)*(1/CM216+1/CN216))&gt;Isw_min, 350, 0.001/((Isw_min*L)*(1/CM216+1/CN216)))</f>
        <v>350</v>
      </c>
      <c r="DC216" s="379">
        <f t="shared" ref="DC216:DC279" si="656">MIN(1/(CZ216+DA216)*1000, 350)</f>
        <v>350</v>
      </c>
      <c r="DE216" s="188">
        <f t="shared" ref="DE216:DE279" si="657">1/((DB216*1000*L)*(1/CM216+1/CN216))</f>
        <v>1.179554390563565</v>
      </c>
      <c r="DF216" s="150">
        <f t="shared" ref="DF216:DF279" si="658">L*DE216/CN216*1000000</f>
        <v>2.6212319790301444</v>
      </c>
      <c r="DG216" s="150">
        <f t="shared" ref="DG216:DG279" si="659">0.5*DF216*DE216*Nps*DB216/1000</f>
        <v>0.54107999567136011</v>
      </c>
      <c r="DH216" s="150"/>
      <c r="DI216" s="150">
        <f t="shared" ref="DI216:DI279" si="660">L*Isw_min/CN216*1000000</f>
        <v>2.2222222222222219</v>
      </c>
      <c r="DJ216" s="314">
        <f t="shared" ref="DJ216:DJ279" si="661">MAX(12000,CJ216/(0.5*DI216/1000000*Isw_min*Nps))/1000</f>
        <v>12</v>
      </c>
      <c r="DK216" s="456">
        <f t="shared" ref="DK216:DK279" si="662">0.5*DI216/1000000*Isw_min*Nps*DB216*1000</f>
        <v>0.38888888888888884</v>
      </c>
      <c r="DM216" s="150">
        <f t="shared" ref="DM216:DM279" si="663">SQRT(CJ216/(0.5*L/CN216*Fsw_DCM*Nps))</f>
        <v>5.0709255283710998E-5</v>
      </c>
      <c r="DN216" s="150">
        <f t="shared" ref="DN216:DN279" si="664">MAX(IF(CJ216&gt;DG216,CY216,DM216),Isw_min)</f>
        <v>1</v>
      </c>
      <c r="DO216" s="150">
        <f t="shared" ref="DO216:DO279" si="665">IF(CJ216&gt;DK216, (DN216-Isw_min)/1.08*0.8+1.2, DJ216*0.2/350+1)</f>
        <v>1.0068571428571429</v>
      </c>
      <c r="DQ216" s="314">
        <f t="shared" ref="DQ216:DQ279" si="666">CJ216*1000</f>
        <v>1.0000000000000002E-6</v>
      </c>
      <c r="DR216" s="144">
        <f t="shared" ref="DR216:DR279" si="667">IF(CJ216&gt;DK216, DC216, DJ216)</f>
        <v>12</v>
      </c>
      <c r="DT216">
        <f t="shared" ref="DT216:DT279" si="668">IF(CL216&gt;CR216, "",DQ216)</f>
        <v>1.0000000000000002E-6</v>
      </c>
      <c r="DU216">
        <f t="shared" ref="DU216:DU279" si="669">IF(CL216&gt;CR216, "",DR216)</f>
        <v>12</v>
      </c>
      <c r="DW216" s="5">
        <f t="shared" ref="DW216:DW280" si="670">1/DR216*1000</f>
        <v>83.333333333333329</v>
      </c>
      <c r="DX216" s="5">
        <f t="shared" ref="DX216:DX279" si="671">L*DN216/CM216*1000000</f>
        <v>0.2</v>
      </c>
      <c r="DY216" s="5">
        <f t="shared" ref="DY216:DY279" si="672">DW216-DX216</f>
        <v>83.133333333333326</v>
      </c>
      <c r="DZ216" s="5"/>
      <c r="EA216" s="150">
        <f t="shared" ref="EA216:EA279" si="673">DX216/DW216</f>
        <v>2.4000000000000002E-3</v>
      </c>
      <c r="EB216" s="150">
        <f>0.5*L*DN216^2*DR216*1000</f>
        <v>7.2000000000000008E-2</v>
      </c>
      <c r="EC216" s="150">
        <f>DN216*Nps/2*(1-EA216)</f>
        <v>0.49880000000000002</v>
      </c>
      <c r="ED216" s="150">
        <f>EB216/EC216</f>
        <v>0.14434643143544507</v>
      </c>
      <c r="EE216" s="144">
        <f t="shared" ref="EE216:EE279" si="674">CJ216*DX216/Vout_ripple*1000</f>
        <v>4.0000000000000011E-9</v>
      </c>
      <c r="EF216" s="5">
        <f t="shared" ref="EF216:EF279" si="675">CL216/Efficiency/CM216*DY216/Vinripple1</f>
        <v>2.886574074074073E-9</v>
      </c>
      <c r="EH216" s="150">
        <f>DN216*SQRT(EA216/3)</f>
        <v>2.8284271247461901E-2</v>
      </c>
      <c r="EI216" s="150">
        <f>DN216*Nps*SQRT((1-EA216)/3)</f>
        <v>0.57665703267482427</v>
      </c>
      <c r="EK216" s="456">
        <f>Rdson*EH216^2</f>
        <v>1.6000000000000003E-5</v>
      </c>
      <c r="EL216" s="456">
        <f>0.5*CO216*DN216*DR216*1000*Trise</f>
        <v>1.5696000000000002E-2</v>
      </c>
      <c r="EM216" s="456">
        <f>Qg*Vdd*DR216*1000</f>
        <v>1.5E-3</v>
      </c>
      <c r="EN216" s="456">
        <f>0.5*(Coss+Csw)*CO216^2*DR216*1000</f>
        <v>5.1325920000000001E-3</v>
      </c>
      <c r="EO216">
        <f>CM216*IQ</f>
        <v>2.7E-2</v>
      </c>
      <c r="EP216" s="144">
        <f>(EO216+EM216)*1000</f>
        <v>28.5</v>
      </c>
      <c r="EQ216" s="144"/>
      <c r="ER216" s="144">
        <f>SUM(EK216:EO216)*1000</f>
        <v>49.344592000000006</v>
      </c>
      <c r="ES216" s="456">
        <f>Vfwd2*CJ216</f>
        <v>6.9999999999999996E-10</v>
      </c>
      <c r="EV216" s="144">
        <f>SUM(ES216:EU216)*1000</f>
        <v>6.9999999999999997E-7</v>
      </c>
      <c r="EW216" s="456">
        <f>Rdcr_pri*EH216^2</f>
        <v>2.4000000000000001E-5</v>
      </c>
      <c r="EX216" s="456">
        <f>Rdcr_sec*EI216^2</f>
        <v>9.9760000000000005E-3</v>
      </c>
      <c r="EY216" s="456">
        <f>DN216^2.5*DR216^2.5*k_core</f>
        <v>2.494153162899183E-5</v>
      </c>
      <c r="EZ216" s="456"/>
      <c r="FA216" s="456">
        <f>0.5*Lleak*0.000000001*DN216^2*DR216*1000</f>
        <v>1.2000000000000002E-5</v>
      </c>
      <c r="FB216" s="144">
        <f>SUM(EW216:FA216)*1000</f>
        <v>10.036941531628992</v>
      </c>
      <c r="FC216" s="150">
        <f>SUM(EK216:EO216,ES216:EU216,EW216:FA216)</f>
        <v>5.9381534231629E-2</v>
      </c>
      <c r="FD216" s="5">
        <f>MIN(CL216,CS216)</f>
        <v>5.0000000000000001E-9</v>
      </c>
      <c r="FE216" s="150">
        <f>FD216/(FD216+FC216)</f>
        <v>8.420125285901648E-8</v>
      </c>
      <c r="FF216" s="5">
        <f>FE216*100</f>
        <v>8.4201252859016473E-6</v>
      </c>
      <c r="FI216" s="59">
        <f t="shared" ref="FI216:FI279" si="676">IF(ABS(CJ216-Ioutmax_Vinmax)&lt;Iout/200, DR216, -50)</f>
        <v>-50</v>
      </c>
      <c r="FJ216">
        <f t="shared" ref="FJ216:FJ279" si="677">IF(ABS(CJ216-Ioutmax_Vinmin)&lt;Iout/200, CR216*FE216, -50)</f>
        <v>-50</v>
      </c>
      <c r="FL216">
        <f t="shared" ref="FL216:FL247" si="678">MIN(SQRT(2*L*DR216*1000*CJ216*(CX216+Vfwd1))/(Nps*(CX216+Vfwd1)), 1-EA216)</f>
        <v>7.3029674334022154E-6</v>
      </c>
    </row>
    <row r="217" spans="5:168">
      <c r="E217" s="147">
        <v>1</v>
      </c>
      <c r="F217" s="188">
        <f t="shared" ref="F217:F248" si="679">IF(PLOT_TYPE=1, E217/100*Iout_max, min_I*EXP(N217*rr/100))</f>
        <v>1.2E-2</v>
      </c>
      <c r="G217" s="188"/>
      <c r="H217" s="188">
        <f t="shared" si="603"/>
        <v>0.06</v>
      </c>
      <c r="I217" s="465">
        <f t="shared" si="604"/>
        <v>59.977178226770619</v>
      </c>
      <c r="J217" s="149">
        <f t="shared" si="605"/>
        <v>5.4136930639376297</v>
      </c>
      <c r="K217" s="149">
        <f t="shared" si="606"/>
        <v>65.390871290708247</v>
      </c>
      <c r="L217" s="379"/>
      <c r="M217" s="188">
        <f t="shared" si="607"/>
        <v>8.279727223550945E-2</v>
      </c>
      <c r="N217" s="149">
        <f t="shared" si="608"/>
        <v>12.787312890415963</v>
      </c>
      <c r="O217" s="149">
        <f t="shared" si="599"/>
        <v>0.06</v>
      </c>
      <c r="P217" s="188">
        <f t="shared" si="609"/>
        <v>2.5574625780831926</v>
      </c>
      <c r="Q217" s="188">
        <f t="shared" si="610"/>
        <v>5</v>
      </c>
      <c r="R217" s="188"/>
      <c r="S217" s="149">
        <f t="shared" si="611"/>
        <v>12435.270214881868</v>
      </c>
      <c r="T217" s="149">
        <f t="shared" si="612"/>
        <v>5</v>
      </c>
      <c r="U217" s="188">
        <f t="shared" si="613"/>
        <v>2.6166516162130806E-2</v>
      </c>
      <c r="V217" s="188">
        <f t="shared" si="614"/>
        <v>5.235294544174097E-3</v>
      </c>
      <c r="W217" s="188">
        <f t="shared" si="615"/>
        <v>5.8000738172101732E-2</v>
      </c>
      <c r="X217" s="172">
        <f t="shared" si="616"/>
        <v>350</v>
      </c>
      <c r="Y217" s="379">
        <f t="shared" ref="Y217:Y280" si="680">MIN(1/(V217+W217+0.2)*1000, 350)</f>
        <v>350</v>
      </c>
      <c r="AA217" s="188">
        <f t="shared" si="617"/>
        <v>1.1822606754029159</v>
      </c>
      <c r="AB217" s="150">
        <f t="shared" si="618"/>
        <v>2.6206007502235518</v>
      </c>
      <c r="AC217" s="150">
        <f t="shared" si="619"/>
        <v>0.54219081226111987</v>
      </c>
      <c r="AD217" s="150"/>
      <c r="AE217" s="150">
        <f t="shared" si="620"/>
        <v>2.216601469325238</v>
      </c>
      <c r="AF217" s="314">
        <f t="shared" si="621"/>
        <v>12</v>
      </c>
      <c r="AG217" s="456">
        <f t="shared" si="622"/>
        <v>0.38790525713191665</v>
      </c>
      <c r="AI217" s="150">
        <f t="shared" si="623"/>
        <v>0.17588458982181032</v>
      </c>
      <c r="AJ217" s="150">
        <f t="shared" si="624"/>
        <v>1</v>
      </c>
      <c r="AK217" s="150">
        <f t="shared" si="625"/>
        <v>1.0068571428571429</v>
      </c>
      <c r="AM217" s="314">
        <f t="shared" si="626"/>
        <v>12</v>
      </c>
      <c r="AN217" s="144">
        <f t="shared" si="627"/>
        <v>12</v>
      </c>
      <c r="AP217">
        <f t="shared" si="628"/>
        <v>12</v>
      </c>
      <c r="AQ217">
        <f t="shared" si="629"/>
        <v>12</v>
      </c>
      <c r="AS217" s="5">
        <f t="shared" si="600"/>
        <v>83.333333333333329</v>
      </c>
      <c r="AT217" s="5">
        <f t="shared" si="630"/>
        <v>0.20007610152362654</v>
      </c>
      <c r="AU217" s="5">
        <f t="shared" si="478"/>
        <v>83.133257231809708</v>
      </c>
      <c r="AV217" s="5"/>
      <c r="AW217" s="150">
        <f t="shared" si="479"/>
        <v>2.4009132182835186E-3</v>
      </c>
      <c r="AX217" s="150">
        <f t="shared" si="631"/>
        <v>7.2000000000000008E-2</v>
      </c>
      <c r="AY217" s="150">
        <f t="shared" si="632"/>
        <v>0.49879954339085825</v>
      </c>
      <c r="AZ217" s="150">
        <f t="shared" si="633"/>
        <v>0.14434656357249501</v>
      </c>
      <c r="BA217" s="144">
        <f t="shared" si="594"/>
        <v>4.8018264365670374E-2</v>
      </c>
      <c r="BB217" s="5">
        <f t="shared" si="595"/>
        <v>3.4652037528961073E-2</v>
      </c>
      <c r="BD217" s="150">
        <f t="shared" ref="BD217:BD280" si="681">AJ217*SQRT(AW217/3)</f>
        <v>2.8289651926004782E-2</v>
      </c>
      <c r="BE217" s="150">
        <f t="shared" ref="BE217:BE280" si="682">AJ217*Nps*SQRT((1-AW217)/3)</f>
        <v>0.57665676873443428</v>
      </c>
      <c r="BG217" s="456">
        <f t="shared" ref="BG217:BG280" si="683">Rdson*BD217^2</f>
        <v>1.6006088121890121E-5</v>
      </c>
      <c r="BH217" s="456">
        <f t="shared" si="634"/>
        <v>1.4712946040409356E-2</v>
      </c>
      <c r="BI217" s="456">
        <f t="shared" si="635"/>
        <v>1.7993153468031181E-2</v>
      </c>
      <c r="BJ217" s="456">
        <f t="shared" ref="BJ217:BJ280" si="684">0.5*(Coss+Csw)*K217^2*AN217*1000</f>
        <v>5.1311592577895672E-3</v>
      </c>
      <c r="BK217">
        <f t="shared" ref="BK217:BK280" si="685">I217*IQ</f>
        <v>2.6989730202046779E-2</v>
      </c>
      <c r="BL217" s="144">
        <f t="shared" ref="BL217:BL280" si="686">(BK217+BI217)*1000</f>
        <v>44.98288367007796</v>
      </c>
      <c r="BM217" s="456">
        <f t="shared" si="636"/>
        <v>1.986450857576429E-2</v>
      </c>
      <c r="BN217" s="144">
        <f t="shared" ref="BN217:BN280" si="687">BM217*1000</f>
        <v>19.86450857576429</v>
      </c>
      <c r="BO217" s="456">
        <f t="shared" si="637"/>
        <v>8.3999999999999995E-3</v>
      </c>
      <c r="BR217" s="144">
        <f t="shared" ref="BR217:BR280" si="688">SUM(BO217:BQ217)*1000</f>
        <v>8.4</v>
      </c>
      <c r="BS217" s="456">
        <f t="shared" ref="BS217:BS280" si="689">Rdcr_pri*BD217^2</f>
        <v>2.400913218283518E-5</v>
      </c>
      <c r="BT217" s="456">
        <f t="shared" ref="BT217:BT280" si="690">Rdcr_sec*BE217^2</f>
        <v>9.9759908678171642E-3</v>
      </c>
      <c r="BU217" s="456">
        <f t="shared" ref="BU217:BU280" si="691">AJ217^2.5*AN217^2.5*k_core</f>
        <v>2.494153162899183E-5</v>
      </c>
      <c r="BV217" s="456"/>
      <c r="BW217" s="456">
        <f t="shared" ref="BW217:BW280" si="692">0.5*Lleak*0.000000001*AJ217^2*AN217*1000</f>
        <v>1.2000000000000002E-5</v>
      </c>
      <c r="BX217" s="144">
        <f t="shared" ref="BX217:BX280" si="693">SUM(BS217:BW217)*1000</f>
        <v>10.036941531628992</v>
      </c>
      <c r="BY217" s="150">
        <f t="shared" ref="BY217:BY280" si="694">SUM(BG217:BK217,BO217:BQ217,BS217:BW217)</f>
        <v>8.3279936588027764E-2</v>
      </c>
      <c r="BZ217" s="5">
        <f t="shared" ref="BZ217:BZ280" si="695">MIN(H217,O217)</f>
        <v>0.06</v>
      </c>
      <c r="CA217" s="150">
        <f t="shared" ref="CA217:CA280" si="696">BZ217/(BZ217+BY217)</f>
        <v>0.418760654344214</v>
      </c>
      <c r="CB217" s="5">
        <f t="shared" ref="CB217:CB280" si="697">CA217*100</f>
        <v>41.876065434421399</v>
      </c>
      <c r="CE217" s="59">
        <f t="shared" si="638"/>
        <v>-50</v>
      </c>
      <c r="CF217">
        <f t="shared" si="639"/>
        <v>-50</v>
      </c>
      <c r="CG217" s="150">
        <f t="shared" si="640"/>
        <v>2.6290682760247975E-2</v>
      </c>
      <c r="CI217" s="147">
        <v>1</v>
      </c>
      <c r="CJ217" s="188">
        <f t="shared" ref="CJ217:CJ280" si="698">IF(PLOT_TYPE=1, CI217/100*Iout_max, min_I*EXP(CR217*rr/100))</f>
        <v>1.2E-2</v>
      </c>
      <c r="CK217" s="188"/>
      <c r="CL217" s="188">
        <f t="shared" si="641"/>
        <v>0.06</v>
      </c>
      <c r="CM217" s="465">
        <f t="shared" si="642"/>
        <v>60</v>
      </c>
      <c r="CN217" s="379">
        <f t="shared" si="643"/>
        <v>5.4</v>
      </c>
      <c r="CO217" s="379">
        <f t="shared" si="644"/>
        <v>65.400000000000006</v>
      </c>
      <c r="CP217" s="379"/>
      <c r="CQ217" s="188">
        <f t="shared" si="645"/>
        <v>8.2568807339449546E-2</v>
      </c>
      <c r="CR217" s="149">
        <f t="shared" si="646"/>
        <v>12.756880733944957</v>
      </c>
      <c r="CS217" s="149">
        <f t="shared" si="647"/>
        <v>0.06</v>
      </c>
      <c r="CT217" s="188">
        <f t="shared" si="648"/>
        <v>2.5513761467889915</v>
      </c>
      <c r="CU217" s="188">
        <f t="shared" si="649"/>
        <v>5</v>
      </c>
      <c r="CV217" s="188"/>
      <c r="CW217" s="149">
        <f t="shared" si="650"/>
        <v>12440.001929198117</v>
      </c>
      <c r="CX217" s="149">
        <f t="shared" si="651"/>
        <v>5</v>
      </c>
      <c r="CY217" s="188">
        <f t="shared" si="652"/>
        <v>2.4222222222222218E-2</v>
      </c>
      <c r="CZ217" s="188">
        <f t="shared" si="653"/>
        <v>4.8444444444444438E-3</v>
      </c>
      <c r="DA217" s="188">
        <f t="shared" si="654"/>
        <v>5.3827160493827152E-2</v>
      </c>
      <c r="DB217" s="172">
        <f t="shared" si="655"/>
        <v>350</v>
      </c>
      <c r="DC217" s="379">
        <f t="shared" si="656"/>
        <v>350</v>
      </c>
      <c r="DE217" s="188">
        <f t="shared" si="657"/>
        <v>1.179554390563565</v>
      </c>
      <c r="DF217" s="150">
        <f t="shared" si="658"/>
        <v>2.6212319790301444</v>
      </c>
      <c r="DG217" s="150">
        <f t="shared" si="659"/>
        <v>0.54107999567136011</v>
      </c>
      <c r="DH217" s="150"/>
      <c r="DI217" s="150">
        <f t="shared" si="660"/>
        <v>2.2222222222222219</v>
      </c>
      <c r="DJ217" s="314">
        <f t="shared" si="661"/>
        <v>12</v>
      </c>
      <c r="DK217" s="456">
        <f t="shared" si="662"/>
        <v>0.38888888888888884</v>
      </c>
      <c r="DM217" s="150">
        <f t="shared" si="663"/>
        <v>0.17566201313073598</v>
      </c>
      <c r="DN217" s="150">
        <f t="shared" si="664"/>
        <v>1</v>
      </c>
      <c r="DO217" s="150">
        <f t="shared" si="665"/>
        <v>1.0068571428571429</v>
      </c>
      <c r="DQ217" s="314">
        <f t="shared" si="666"/>
        <v>12</v>
      </c>
      <c r="DR217" s="144">
        <f t="shared" si="667"/>
        <v>12</v>
      </c>
      <c r="DT217">
        <f t="shared" si="668"/>
        <v>12</v>
      </c>
      <c r="DU217">
        <f t="shared" si="669"/>
        <v>12</v>
      </c>
      <c r="DW217" s="5">
        <f t="shared" si="670"/>
        <v>83.333333333333329</v>
      </c>
      <c r="DX217" s="5">
        <f t="shared" si="671"/>
        <v>0.2</v>
      </c>
      <c r="DY217" s="5">
        <f t="shared" si="672"/>
        <v>83.133333333333326</v>
      </c>
      <c r="DZ217" s="5"/>
      <c r="EA217" s="150">
        <f t="shared" si="673"/>
        <v>2.4000000000000002E-3</v>
      </c>
      <c r="EB217" s="150">
        <f t="shared" ref="EB217:EB280" si="699">0.5*L*DN217^2*DR217*1000</f>
        <v>7.2000000000000008E-2</v>
      </c>
      <c r="EC217" s="150">
        <f t="shared" ref="EC217:EC280" si="700">DN217*Nps/2*(1-EA217)</f>
        <v>0.49880000000000002</v>
      </c>
      <c r="ED217" s="150">
        <f t="shared" ref="ED217:ED280" si="701">EB217/EC217</f>
        <v>0.14434643143544507</v>
      </c>
      <c r="EE217" s="144">
        <f t="shared" si="674"/>
        <v>4.8000000000000001E-2</v>
      </c>
      <c r="EF217" s="5">
        <f t="shared" si="675"/>
        <v>3.4638888888888879E-2</v>
      </c>
      <c r="EH217" s="150">
        <f t="shared" ref="EH217:EH280" si="702">DN217*SQRT(EA217/3)</f>
        <v>2.8284271247461901E-2</v>
      </c>
      <c r="EI217" s="150">
        <f t="shared" ref="EI217:EI280" si="703">DN217*Nps*SQRT((1-EA217)/3)</f>
        <v>0.57665703267482427</v>
      </c>
      <c r="EK217" s="456">
        <f t="shared" ref="EK217:EK280" si="704">Rdson*EH217^2</f>
        <v>1.6000000000000003E-5</v>
      </c>
      <c r="EL217" s="456">
        <f t="shared" ref="EL217:EL280" si="705">0.5*CO217*DN217*DR217*1000*Trise</f>
        <v>1.5696000000000002E-2</v>
      </c>
      <c r="EM217" s="456">
        <f t="shared" ref="EM217:EM280" si="706">Qg*Vdd*DR217*1000</f>
        <v>1.5E-3</v>
      </c>
      <c r="EN217" s="456">
        <f t="shared" ref="EN217:EN280" si="707">0.5*(Coss+Csw)*CO217^2*DR217*1000</f>
        <v>5.1325920000000001E-3</v>
      </c>
      <c r="EO217">
        <f t="shared" ref="EO217:EO280" si="708">CM217*IQ</f>
        <v>2.7E-2</v>
      </c>
      <c r="EP217" s="144">
        <f t="shared" ref="EP217:EP280" si="709">(EO217+EM217)*1000</f>
        <v>28.5</v>
      </c>
      <c r="EQ217" s="144"/>
      <c r="ER217" s="144">
        <f t="shared" ref="ER217:ER280" si="710">SUM(EK217:EO217)*1000</f>
        <v>49.344592000000006</v>
      </c>
      <c r="ES217" s="456">
        <f t="shared" ref="ES217:ES280" si="711">Vfwd2*CJ217</f>
        <v>8.3999999999999995E-3</v>
      </c>
      <c r="EV217" s="144">
        <f t="shared" ref="EV217:EV280" si="712">SUM(ES217:EU217)*1000</f>
        <v>8.4</v>
      </c>
      <c r="EW217" s="456">
        <f t="shared" ref="EW217:EW280" si="713">Rdcr_pri*EH217^2</f>
        <v>2.4000000000000001E-5</v>
      </c>
      <c r="EX217" s="456">
        <f t="shared" ref="EX217:EX280" si="714">Rdcr_sec*EI217^2</f>
        <v>9.9760000000000005E-3</v>
      </c>
      <c r="EY217" s="456">
        <f t="shared" ref="EY217:EY280" si="715">DN217^2.5*DR217^2.5*k_core</f>
        <v>2.494153162899183E-5</v>
      </c>
      <c r="EZ217" s="456"/>
      <c r="FA217" s="456">
        <f t="shared" ref="FA217:FA280" si="716">0.5*Lleak*0.000000001*DN217^2*DR217*1000</f>
        <v>1.2000000000000002E-5</v>
      </c>
      <c r="FB217" s="144">
        <f t="shared" ref="FB217:FB280" si="717">SUM(EW217:FA217)*1000</f>
        <v>10.036941531628992</v>
      </c>
      <c r="FC217" s="150">
        <f t="shared" ref="FC217:FC280" si="718">SUM(EK217:EO217,ES217:EU217,EW217:FA217)</f>
        <v>6.7781533531628996E-2</v>
      </c>
      <c r="FD217" s="5">
        <f t="shared" ref="FD217:FD280" si="719">MIN(CL217,CS217)</f>
        <v>0.06</v>
      </c>
      <c r="FE217" s="150">
        <f t="shared" ref="FE217:FE280" si="720">FD217/(FD217+FC217)</f>
        <v>0.46955141593404465</v>
      </c>
      <c r="FF217" s="5">
        <f t="shared" ref="FF217:FF280" si="721">FE217*100</f>
        <v>46.955141593404463</v>
      </c>
      <c r="FI217" s="59">
        <f t="shared" si="676"/>
        <v>-50</v>
      </c>
      <c r="FJ217">
        <f t="shared" si="677"/>
        <v>-50</v>
      </c>
      <c r="FL217">
        <f t="shared" si="678"/>
        <v>2.5298221281347032E-2</v>
      </c>
    </row>
    <row r="218" spans="5:168">
      <c r="E218" s="147">
        <v>2</v>
      </c>
      <c r="F218" s="188">
        <f t="shared" si="679"/>
        <v>2.4E-2</v>
      </c>
      <c r="G218" s="188"/>
      <c r="H218" s="188">
        <f t="shared" si="603"/>
        <v>0.12</v>
      </c>
      <c r="I218" s="465">
        <f t="shared" si="604"/>
        <v>59.975943738783762</v>
      </c>
      <c r="J218" s="149">
        <f t="shared" si="605"/>
        <v>5.4144337567297409</v>
      </c>
      <c r="K218" s="149">
        <f t="shared" si="606"/>
        <v>65.390377495513505</v>
      </c>
      <c r="L218" s="379"/>
      <c r="M218" s="188">
        <f t="shared" si="607"/>
        <v>8.28096321966421E-2</v>
      </c>
      <c r="N218" s="149">
        <f t="shared" si="608"/>
        <v>12.788958542262097</v>
      </c>
      <c r="O218" s="149">
        <f t="shared" si="599"/>
        <v>0.12</v>
      </c>
      <c r="P218" s="188">
        <f t="shared" si="609"/>
        <v>2.5577917084524193</v>
      </c>
      <c r="Q218" s="188">
        <f t="shared" si="610"/>
        <v>5</v>
      </c>
      <c r="R218" s="188"/>
      <c r="S218" s="149">
        <f t="shared" si="611"/>
        <v>6187.5220726861216</v>
      </c>
      <c r="T218" s="149">
        <f t="shared" si="612"/>
        <v>5</v>
      </c>
      <c r="U218" s="188">
        <f t="shared" si="613"/>
        <v>5.2333737558712581E-2</v>
      </c>
      <c r="V218" s="188">
        <f t="shared" si="614"/>
        <v>1.0470945708494927E-2</v>
      </c>
      <c r="W218" s="188">
        <f t="shared" si="615"/>
        <v>0.11598717038951439</v>
      </c>
      <c r="X218" s="172">
        <f t="shared" si="616"/>
        <v>350</v>
      </c>
      <c r="Y218" s="379">
        <f t="shared" si="680"/>
        <v>350</v>
      </c>
      <c r="AA218" s="188">
        <f t="shared" si="617"/>
        <v>1.1824070219231924</v>
      </c>
      <c r="AB218" s="150">
        <f t="shared" si="618"/>
        <v>2.6205666004210642</v>
      </c>
      <c r="AC218" s="150">
        <f t="shared" si="619"/>
        <v>0.54225086120716959</v>
      </c>
      <c r="AD218" s="150"/>
      <c r="AE218" s="150">
        <f t="shared" si="620"/>
        <v>2.216298238958947</v>
      </c>
      <c r="AF218" s="314">
        <f t="shared" si="621"/>
        <v>21.657735026918967</v>
      </c>
      <c r="AG218" s="456">
        <f t="shared" si="622"/>
        <v>0.38785219181781572</v>
      </c>
      <c r="AI218" s="150">
        <f t="shared" si="623"/>
        <v>0.24875538774879669</v>
      </c>
      <c r="AJ218" s="150">
        <f t="shared" si="624"/>
        <v>1</v>
      </c>
      <c r="AK218" s="150">
        <f t="shared" si="625"/>
        <v>1.0123758485868108</v>
      </c>
      <c r="AM218" s="314">
        <f t="shared" si="626"/>
        <v>24</v>
      </c>
      <c r="AN218" s="144">
        <f t="shared" si="627"/>
        <v>21.657735026918967</v>
      </c>
      <c r="AP218">
        <f t="shared" si="628"/>
        <v>24</v>
      </c>
      <c r="AQ218">
        <f t="shared" si="629"/>
        <v>21.657735026918967</v>
      </c>
      <c r="AS218" s="5">
        <f t="shared" si="600"/>
        <v>46.172879978311386</v>
      </c>
      <c r="AT218" s="5">
        <f t="shared" si="630"/>
        <v>0.20008021970048862</v>
      </c>
      <c r="AU218" s="5">
        <f t="shared" si="478"/>
        <v>45.972799758610897</v>
      </c>
      <c r="AV218" s="5"/>
      <c r="AW218" s="150">
        <f t="shared" si="479"/>
        <v>4.3332843824009145E-3</v>
      </c>
      <c r="AX218" s="150">
        <f t="shared" si="631"/>
        <v>0.12994641016151381</v>
      </c>
      <c r="AY218" s="150">
        <f t="shared" si="632"/>
        <v>0.49783335780879956</v>
      </c>
      <c r="AZ218" s="150">
        <f t="shared" si="633"/>
        <v>0.26102391116069346</v>
      </c>
      <c r="BA218" s="144">
        <f t="shared" si="594"/>
        <v>9.6038505456234532E-2</v>
      </c>
      <c r="BB218" s="5">
        <f t="shared" si="595"/>
        <v>3.8326032816455989E-2</v>
      </c>
      <c r="BD218" s="150">
        <f t="shared" si="681"/>
        <v>3.8005632838659209E-2</v>
      </c>
      <c r="BE218" s="150">
        <f t="shared" si="682"/>
        <v>0.57609799965445674</v>
      </c>
      <c r="BG218" s="456">
        <f t="shared" si="683"/>
        <v>2.8888562549339426E-5</v>
      </c>
      <c r="BH218" s="456">
        <f t="shared" si="634"/>
        <v>2.6553890045775682E-2</v>
      </c>
      <c r="BI218" s="456">
        <f t="shared" si="635"/>
        <v>3.2473577437099464E-2</v>
      </c>
      <c r="BJ218" s="456">
        <f t="shared" si="684"/>
        <v>9.2606341016940302E-3</v>
      </c>
      <c r="BK218">
        <f t="shared" si="685"/>
        <v>2.6989174682452693E-2</v>
      </c>
      <c r="BL218" s="144">
        <f t="shared" si="686"/>
        <v>59.462752119552157</v>
      </c>
      <c r="BM218" s="456">
        <f t="shared" si="636"/>
        <v>3.5851458703540055E-2</v>
      </c>
      <c r="BN218" s="144">
        <f t="shared" si="687"/>
        <v>35.851458703540054</v>
      </c>
      <c r="BO218" s="456">
        <f t="shared" si="637"/>
        <v>1.6799999999999999E-2</v>
      </c>
      <c r="BR218" s="144">
        <f t="shared" si="688"/>
        <v>16.8</v>
      </c>
      <c r="BS218" s="456">
        <f t="shared" si="689"/>
        <v>4.3332843824009132E-5</v>
      </c>
      <c r="BT218" s="456">
        <f t="shared" si="690"/>
        <v>9.9566671561759929E-3</v>
      </c>
      <c r="BU218" s="456">
        <f t="shared" si="691"/>
        <v>1.0914468564065116E-4</v>
      </c>
      <c r="BV218" s="456"/>
      <c r="BW218" s="456">
        <f t="shared" si="692"/>
        <v>2.1657735026918968E-5</v>
      </c>
      <c r="BX218" s="144">
        <f t="shared" si="693"/>
        <v>10.130802420667571</v>
      </c>
      <c r="BY218" s="150">
        <f t="shared" si="694"/>
        <v>0.12223696725023878</v>
      </c>
      <c r="BZ218" s="5">
        <f t="shared" si="695"/>
        <v>0.12</v>
      </c>
      <c r="CA218" s="150">
        <f t="shared" si="696"/>
        <v>0.49538268812635866</v>
      </c>
      <c r="CB218" s="5">
        <f t="shared" si="697"/>
        <v>49.538268812635863</v>
      </c>
      <c r="CE218" s="59">
        <f t="shared" si="638"/>
        <v>-50</v>
      </c>
      <c r="CF218">
        <f t="shared" si="639"/>
        <v>-50</v>
      </c>
      <c r="CG218" s="150">
        <f t="shared" si="640"/>
        <v>4.9883063257983667E-2</v>
      </c>
      <c r="CI218" s="147">
        <v>2</v>
      </c>
      <c r="CJ218" s="188">
        <f t="shared" si="698"/>
        <v>2.4E-2</v>
      </c>
      <c r="CK218" s="188"/>
      <c r="CL218" s="188">
        <f t="shared" si="641"/>
        <v>0.12</v>
      </c>
      <c r="CM218" s="465">
        <f t="shared" si="642"/>
        <v>60</v>
      </c>
      <c r="CN218" s="379">
        <f t="shared" si="643"/>
        <v>5.4</v>
      </c>
      <c r="CO218" s="379">
        <f t="shared" si="644"/>
        <v>65.400000000000006</v>
      </c>
      <c r="CP218" s="379"/>
      <c r="CQ218" s="188">
        <f t="shared" si="645"/>
        <v>8.2568807339449546E-2</v>
      </c>
      <c r="CR218" s="149">
        <f t="shared" si="646"/>
        <v>12.756880733944957</v>
      </c>
      <c r="CS218" s="149">
        <f t="shared" si="647"/>
        <v>0.12</v>
      </c>
      <c r="CT218" s="188">
        <f t="shared" si="648"/>
        <v>2.5513761467889915</v>
      </c>
      <c r="CU218" s="188">
        <f t="shared" si="649"/>
        <v>5</v>
      </c>
      <c r="CV218" s="188"/>
      <c r="CW218" s="149">
        <f t="shared" si="650"/>
        <v>6190.0038769683651</v>
      </c>
      <c r="CX218" s="149">
        <f t="shared" si="651"/>
        <v>5</v>
      </c>
      <c r="CY218" s="188">
        <f t="shared" si="652"/>
        <v>4.8444444444444436E-2</v>
      </c>
      <c r="CZ218" s="188">
        <f t="shared" si="653"/>
        <v>9.6888888888888875E-3</v>
      </c>
      <c r="DA218" s="188">
        <f t="shared" si="654"/>
        <v>0.1076543209876543</v>
      </c>
      <c r="DB218" s="172">
        <f t="shared" si="655"/>
        <v>350</v>
      </c>
      <c r="DC218" s="379">
        <f t="shared" si="656"/>
        <v>350</v>
      </c>
      <c r="DE218" s="188">
        <f t="shared" si="657"/>
        <v>1.179554390563565</v>
      </c>
      <c r="DF218" s="150">
        <f t="shared" si="658"/>
        <v>2.6212319790301444</v>
      </c>
      <c r="DG218" s="150">
        <f t="shared" si="659"/>
        <v>0.54107999567136011</v>
      </c>
      <c r="DH218" s="150"/>
      <c r="DI218" s="150">
        <f t="shared" si="660"/>
        <v>2.2222222222222219</v>
      </c>
      <c r="DJ218" s="314">
        <f t="shared" si="661"/>
        <v>21.600000000000005</v>
      </c>
      <c r="DK218" s="456">
        <f t="shared" si="662"/>
        <v>0.38888888888888884</v>
      </c>
      <c r="DM218" s="150">
        <f t="shared" si="663"/>
        <v>0.24842360136324754</v>
      </c>
      <c r="DN218" s="150">
        <f t="shared" si="664"/>
        <v>1</v>
      </c>
      <c r="DO218" s="150">
        <f t="shared" si="665"/>
        <v>1.0123428571428572</v>
      </c>
      <c r="DQ218" s="314">
        <f t="shared" si="666"/>
        <v>24</v>
      </c>
      <c r="DR218" s="144">
        <f t="shared" si="667"/>
        <v>21.600000000000005</v>
      </c>
      <c r="DT218">
        <f t="shared" si="668"/>
        <v>24</v>
      </c>
      <c r="DU218">
        <f t="shared" si="669"/>
        <v>21.600000000000005</v>
      </c>
      <c r="DW218" s="5">
        <f t="shared" si="670"/>
        <v>46.296296296296283</v>
      </c>
      <c r="DX218" s="5">
        <f t="shared" si="671"/>
        <v>0.2</v>
      </c>
      <c r="DY218" s="5">
        <f t="shared" si="672"/>
        <v>46.096296296296281</v>
      </c>
      <c r="DZ218" s="5"/>
      <c r="EA218" s="150">
        <f t="shared" si="673"/>
        <v>4.3200000000000018E-3</v>
      </c>
      <c r="EB218" s="150">
        <f t="shared" si="699"/>
        <v>0.12960000000000002</v>
      </c>
      <c r="EC218" s="150">
        <f t="shared" si="700"/>
        <v>0.49784</v>
      </c>
      <c r="ED218" s="150">
        <f t="shared" si="701"/>
        <v>0.26032460228185766</v>
      </c>
      <c r="EE218" s="144">
        <f t="shared" si="674"/>
        <v>9.6000000000000002E-2</v>
      </c>
      <c r="EF218" s="5">
        <f t="shared" si="675"/>
        <v>3.8413580246913562E-2</v>
      </c>
      <c r="EH218" s="150">
        <f t="shared" si="702"/>
        <v>3.7947331922020558E-2</v>
      </c>
      <c r="EI218" s="150">
        <f t="shared" si="703"/>
        <v>0.57610184284840937</v>
      </c>
      <c r="EK218" s="456">
        <f t="shared" si="704"/>
        <v>2.8800000000000012E-5</v>
      </c>
      <c r="EL218" s="456">
        <f t="shared" si="705"/>
        <v>2.8252800000000008E-2</v>
      </c>
      <c r="EM218" s="456">
        <f t="shared" si="706"/>
        <v>2.7000000000000006E-3</v>
      </c>
      <c r="EN218" s="456">
        <f t="shared" si="707"/>
        <v>9.2386656000000046E-3</v>
      </c>
      <c r="EO218">
        <f t="shared" si="708"/>
        <v>2.7E-2</v>
      </c>
      <c r="EP218" s="144">
        <f t="shared" si="709"/>
        <v>29.7</v>
      </c>
      <c r="EQ218" s="144"/>
      <c r="ER218" s="144">
        <f t="shared" si="710"/>
        <v>67.220265600000005</v>
      </c>
      <c r="ES218" s="456">
        <f t="shared" si="711"/>
        <v>1.6799999999999999E-2</v>
      </c>
      <c r="EV218" s="144">
        <f t="shared" si="712"/>
        <v>16.8</v>
      </c>
      <c r="EW218" s="456">
        <f t="shared" si="713"/>
        <v>4.3200000000000013E-5</v>
      </c>
      <c r="EX218" s="456">
        <f t="shared" si="714"/>
        <v>9.9568E-3</v>
      </c>
      <c r="EY218" s="456">
        <f t="shared" si="715"/>
        <v>1.0841874660039202E-4</v>
      </c>
      <c r="EZ218" s="456"/>
      <c r="FA218" s="456">
        <f t="shared" si="716"/>
        <v>2.1600000000000003E-5</v>
      </c>
      <c r="FB218" s="144">
        <f t="shared" si="717"/>
        <v>10.130018746600392</v>
      </c>
      <c r="FC218" s="150">
        <f t="shared" si="718"/>
        <v>9.4150284346600388E-2</v>
      </c>
      <c r="FD218" s="5">
        <f t="shared" si="719"/>
        <v>0.12</v>
      </c>
      <c r="FE218" s="150">
        <f t="shared" si="720"/>
        <v>0.56035414739763334</v>
      </c>
      <c r="FF218" s="5">
        <f t="shared" si="721"/>
        <v>56.035414739763333</v>
      </c>
      <c r="FI218" s="59">
        <f t="shared" si="676"/>
        <v>-50</v>
      </c>
      <c r="FJ218">
        <f t="shared" si="677"/>
        <v>-50</v>
      </c>
      <c r="FL218">
        <f t="shared" si="678"/>
        <v>4.8000000000000008E-2</v>
      </c>
    </row>
    <row r="219" spans="5:168">
      <c r="E219" s="147">
        <v>3</v>
      </c>
      <c r="F219" s="188">
        <f t="shared" si="679"/>
        <v>3.5999999999999997E-2</v>
      </c>
      <c r="G219" s="188"/>
      <c r="H219" s="188">
        <f t="shared" si="603"/>
        <v>0.18</v>
      </c>
      <c r="I219" s="465">
        <f t="shared" si="604"/>
        <v>59.975943738783762</v>
      </c>
      <c r="J219" s="149">
        <f t="shared" si="605"/>
        <v>5.4144337567297409</v>
      </c>
      <c r="K219" s="149">
        <f t="shared" si="606"/>
        <v>65.390377495513505</v>
      </c>
      <c r="L219" s="379"/>
      <c r="M219" s="188">
        <f t="shared" si="607"/>
        <v>8.28096321966421E-2</v>
      </c>
      <c r="N219" s="149">
        <f t="shared" si="608"/>
        <v>12.788958542262097</v>
      </c>
      <c r="O219" s="149">
        <f t="shared" si="599"/>
        <v>0.18</v>
      </c>
      <c r="P219" s="188">
        <f t="shared" si="609"/>
        <v>2.5577917084524193</v>
      </c>
      <c r="Q219" s="188">
        <f t="shared" si="610"/>
        <v>5</v>
      </c>
      <c r="R219" s="188"/>
      <c r="S219" s="149">
        <f t="shared" si="611"/>
        <v>4105.0259928104288</v>
      </c>
      <c r="T219" s="149">
        <f t="shared" si="612"/>
        <v>5</v>
      </c>
      <c r="U219" s="188">
        <f t="shared" si="613"/>
        <v>7.8500606338068865E-2</v>
      </c>
      <c r="V219" s="188">
        <f t="shared" si="614"/>
        <v>1.5706418562742387E-2</v>
      </c>
      <c r="W219" s="188">
        <f t="shared" si="615"/>
        <v>0.17398075558427159</v>
      </c>
      <c r="X219" s="172">
        <f t="shared" si="616"/>
        <v>350</v>
      </c>
      <c r="Y219" s="379">
        <f t="shared" si="680"/>
        <v>350</v>
      </c>
      <c r="AA219" s="188">
        <f t="shared" si="617"/>
        <v>1.1824070219231924</v>
      </c>
      <c r="AB219" s="150">
        <f t="shared" si="618"/>
        <v>2.6205666004210642</v>
      </c>
      <c r="AC219" s="150">
        <f t="shared" si="619"/>
        <v>0.54225086120716959</v>
      </c>
      <c r="AD219" s="150"/>
      <c r="AE219" s="150">
        <f t="shared" si="620"/>
        <v>2.216298238958947</v>
      </c>
      <c r="AF219" s="314">
        <f t="shared" si="621"/>
        <v>32.486602540378442</v>
      </c>
      <c r="AG219" s="456">
        <f t="shared" si="622"/>
        <v>0.38785219181781572</v>
      </c>
      <c r="AI219" s="150">
        <f t="shared" si="623"/>
        <v>0.30466188537636485</v>
      </c>
      <c r="AJ219" s="150">
        <f t="shared" si="624"/>
        <v>1</v>
      </c>
      <c r="AK219" s="150">
        <f t="shared" si="625"/>
        <v>1.0185637728802162</v>
      </c>
      <c r="AM219" s="314">
        <f t="shared" si="626"/>
        <v>36</v>
      </c>
      <c r="AN219" s="144">
        <f t="shared" si="627"/>
        <v>32.486602540378442</v>
      </c>
      <c r="AP219">
        <f t="shared" si="628"/>
        <v>36</v>
      </c>
      <c r="AQ219">
        <f t="shared" si="629"/>
        <v>32.486602540378442</v>
      </c>
      <c r="AS219" s="5">
        <f t="shared" si="600"/>
        <v>30.781919985540931</v>
      </c>
      <c r="AT219" s="5">
        <f t="shared" si="630"/>
        <v>0.20008021970048862</v>
      </c>
      <c r="AU219" s="5">
        <f t="shared" si="478"/>
        <v>30.581839765840442</v>
      </c>
      <c r="AV219" s="5"/>
      <c r="AW219" s="150">
        <f t="shared" si="479"/>
        <v>6.4999265736013709E-3</v>
      </c>
      <c r="AX219" s="150">
        <f t="shared" si="631"/>
        <v>0.19491961524227064</v>
      </c>
      <c r="AY219" s="150">
        <f t="shared" si="632"/>
        <v>0.49675003671319934</v>
      </c>
      <c r="AZ219" s="150">
        <f t="shared" si="633"/>
        <v>0.39238973494995083</v>
      </c>
      <c r="BA219" s="144">
        <f t="shared" si="594"/>
        <v>0.14405775818435179</v>
      </c>
      <c r="BB219" s="5">
        <f t="shared" si="595"/>
        <v>3.8242632619965591E-2</v>
      </c>
      <c r="BD219" s="150">
        <f t="shared" si="681"/>
        <v>4.6547203903139628E-2</v>
      </c>
      <c r="BE219" s="150">
        <f t="shared" si="682"/>
        <v>0.57547084299913309</v>
      </c>
      <c r="BG219" s="456">
        <f t="shared" si="683"/>
        <v>4.3332843824009139E-5</v>
      </c>
      <c r="BH219" s="456">
        <f t="shared" si="634"/>
        <v>3.9830835068663514E-2</v>
      </c>
      <c r="BI219" s="456">
        <f t="shared" si="635"/>
        <v>4.8710366155649179E-2</v>
      </c>
      <c r="BJ219" s="456">
        <f t="shared" si="684"/>
        <v>1.3890951152541041E-2</v>
      </c>
      <c r="BK219">
        <f t="shared" si="685"/>
        <v>2.6989174682452693E-2</v>
      </c>
      <c r="BL219" s="144">
        <f t="shared" si="686"/>
        <v>75.699540838101882</v>
      </c>
      <c r="BM219" s="456">
        <f t="shared" si="636"/>
        <v>5.3777372618434821E-2</v>
      </c>
      <c r="BN219" s="144">
        <f t="shared" si="687"/>
        <v>53.777372618434818</v>
      </c>
      <c r="BO219" s="456">
        <f t="shared" si="637"/>
        <v>2.5199999999999997E-2</v>
      </c>
      <c r="BR219" s="144">
        <f t="shared" si="688"/>
        <v>25.199999999999996</v>
      </c>
      <c r="BS219" s="456">
        <f t="shared" si="689"/>
        <v>6.4999265736013698E-5</v>
      </c>
      <c r="BT219" s="456">
        <f t="shared" si="690"/>
        <v>9.9350007342639858E-3</v>
      </c>
      <c r="BU219" s="456">
        <f t="shared" si="691"/>
        <v>3.0076738645057793E-4</v>
      </c>
      <c r="BV219" s="456"/>
      <c r="BW219" s="456">
        <f t="shared" si="692"/>
        <v>3.2486602540378445E-5</v>
      </c>
      <c r="BX219" s="144">
        <f t="shared" si="693"/>
        <v>10.333253988990958</v>
      </c>
      <c r="BY219" s="150">
        <f t="shared" si="694"/>
        <v>0.1649979138921214</v>
      </c>
      <c r="BZ219" s="5">
        <f t="shared" si="695"/>
        <v>0.18</v>
      </c>
      <c r="CA219" s="150">
        <f t="shared" si="696"/>
        <v>0.52174228524838218</v>
      </c>
      <c r="CB219" s="5">
        <f t="shared" si="697"/>
        <v>52.17422852483822</v>
      </c>
      <c r="CE219" s="59">
        <f t="shared" si="638"/>
        <v>-50</v>
      </c>
      <c r="CF219">
        <f t="shared" si="639"/>
        <v>-50</v>
      </c>
      <c r="CG219" s="150">
        <f t="shared" si="640"/>
        <v>7.4824594886975501E-2</v>
      </c>
      <c r="CI219" s="147">
        <v>3</v>
      </c>
      <c r="CJ219" s="188">
        <f t="shared" si="698"/>
        <v>3.5999999999999997E-2</v>
      </c>
      <c r="CK219" s="188"/>
      <c r="CL219" s="188">
        <f t="shared" si="641"/>
        <v>0.18</v>
      </c>
      <c r="CM219" s="465">
        <f t="shared" si="642"/>
        <v>60</v>
      </c>
      <c r="CN219" s="379">
        <f t="shared" si="643"/>
        <v>5.4</v>
      </c>
      <c r="CO219" s="379">
        <f t="shared" si="644"/>
        <v>65.400000000000006</v>
      </c>
      <c r="CP219" s="379"/>
      <c r="CQ219" s="188">
        <f t="shared" si="645"/>
        <v>8.2568807339449546E-2</v>
      </c>
      <c r="CR219" s="149">
        <f t="shared" si="646"/>
        <v>12.756880733944957</v>
      </c>
      <c r="CS219" s="149">
        <f t="shared" si="647"/>
        <v>0.18</v>
      </c>
      <c r="CT219" s="188">
        <f t="shared" si="648"/>
        <v>2.5513761467889915</v>
      </c>
      <c r="CU219" s="188">
        <f t="shared" si="649"/>
        <v>5</v>
      </c>
      <c r="CV219" s="188"/>
      <c r="CW219" s="149">
        <f t="shared" si="650"/>
        <v>4106.6725102450164</v>
      </c>
      <c r="CX219" s="149">
        <f t="shared" si="651"/>
        <v>5</v>
      </c>
      <c r="CY219" s="188">
        <f t="shared" si="652"/>
        <v>7.2666666666666657E-2</v>
      </c>
      <c r="CZ219" s="188">
        <f t="shared" si="653"/>
        <v>1.453333333333333E-2</v>
      </c>
      <c r="DA219" s="188">
        <f t="shared" si="654"/>
        <v>0.16148148148148145</v>
      </c>
      <c r="DB219" s="172">
        <f t="shared" si="655"/>
        <v>350</v>
      </c>
      <c r="DC219" s="379">
        <f t="shared" si="656"/>
        <v>350</v>
      </c>
      <c r="DE219" s="188">
        <f t="shared" si="657"/>
        <v>1.179554390563565</v>
      </c>
      <c r="DF219" s="150">
        <f t="shared" si="658"/>
        <v>2.6212319790301444</v>
      </c>
      <c r="DG219" s="150">
        <f t="shared" si="659"/>
        <v>0.54107999567136011</v>
      </c>
      <c r="DH219" s="150"/>
      <c r="DI219" s="150">
        <f t="shared" si="660"/>
        <v>2.2222222222222219</v>
      </c>
      <c r="DJ219" s="314">
        <f t="shared" si="661"/>
        <v>32.4</v>
      </c>
      <c r="DK219" s="456">
        <f t="shared" si="662"/>
        <v>0.38888888888888884</v>
      </c>
      <c r="DM219" s="150">
        <f t="shared" si="663"/>
        <v>0.30425553170226599</v>
      </c>
      <c r="DN219" s="150">
        <f t="shared" si="664"/>
        <v>1</v>
      </c>
      <c r="DO219" s="150">
        <f t="shared" si="665"/>
        <v>1.0185142857142857</v>
      </c>
      <c r="DQ219" s="314">
        <f t="shared" si="666"/>
        <v>36</v>
      </c>
      <c r="DR219" s="144">
        <f t="shared" si="667"/>
        <v>32.4</v>
      </c>
      <c r="DT219">
        <f t="shared" si="668"/>
        <v>36</v>
      </c>
      <c r="DU219">
        <f t="shared" si="669"/>
        <v>32.4</v>
      </c>
      <c r="DW219" s="5">
        <f t="shared" si="670"/>
        <v>30.8641975308642</v>
      </c>
      <c r="DX219" s="5">
        <f t="shared" si="671"/>
        <v>0.2</v>
      </c>
      <c r="DY219" s="5">
        <f t="shared" si="672"/>
        <v>30.6641975308642</v>
      </c>
      <c r="DZ219" s="5"/>
      <c r="EA219" s="150">
        <f t="shared" si="673"/>
        <v>6.4799999999999996E-3</v>
      </c>
      <c r="EB219" s="150">
        <f t="shared" si="699"/>
        <v>0.19440000000000002</v>
      </c>
      <c r="EC219" s="150">
        <f t="shared" si="700"/>
        <v>0.49675999999999998</v>
      </c>
      <c r="ED219" s="150">
        <f t="shared" si="701"/>
        <v>0.39133585634914247</v>
      </c>
      <c r="EE219" s="144">
        <f t="shared" si="674"/>
        <v>0.14400000000000002</v>
      </c>
      <c r="EF219" s="5">
        <f t="shared" si="675"/>
        <v>3.8330246913580245E-2</v>
      </c>
      <c r="EH219" s="150">
        <f t="shared" si="702"/>
        <v>4.6475800154489003E-2</v>
      </c>
      <c r="EI219" s="150">
        <f t="shared" si="703"/>
        <v>0.57547661406292894</v>
      </c>
      <c r="EK219" s="456">
        <f t="shared" si="704"/>
        <v>4.32E-5</v>
      </c>
      <c r="EL219" s="456">
        <f t="shared" si="705"/>
        <v>4.2379199999999999E-2</v>
      </c>
      <c r="EM219" s="456">
        <f t="shared" si="706"/>
        <v>4.0499999999999989E-3</v>
      </c>
      <c r="EN219" s="456">
        <f t="shared" si="707"/>
        <v>1.3857998400000002E-2</v>
      </c>
      <c r="EO219">
        <f t="shared" si="708"/>
        <v>2.7E-2</v>
      </c>
      <c r="EP219" s="144">
        <f t="shared" si="709"/>
        <v>31.049999999999997</v>
      </c>
      <c r="EQ219" s="144"/>
      <c r="ER219" s="144">
        <f t="shared" si="710"/>
        <v>87.330398399999993</v>
      </c>
      <c r="ES219" s="456">
        <f t="shared" si="711"/>
        <v>2.5199999999999997E-2</v>
      </c>
      <c r="EV219" s="144">
        <f t="shared" si="712"/>
        <v>25.199999999999996</v>
      </c>
      <c r="EW219" s="456">
        <f t="shared" si="713"/>
        <v>6.4800000000000003E-5</v>
      </c>
      <c r="EX219" s="456">
        <f t="shared" si="714"/>
        <v>9.9351999999999982E-3</v>
      </c>
      <c r="EY219" s="456">
        <f t="shared" si="715"/>
        <v>2.9876693368845186E-4</v>
      </c>
      <c r="EZ219" s="456"/>
      <c r="FA219" s="456">
        <f t="shared" si="716"/>
        <v>3.2400000000000001E-5</v>
      </c>
      <c r="FB219" s="144">
        <f t="shared" si="717"/>
        <v>10.331166933688451</v>
      </c>
      <c r="FC219" s="150">
        <f t="shared" si="718"/>
        <v>0.12286156533368844</v>
      </c>
      <c r="FD219" s="5">
        <f t="shared" si="719"/>
        <v>0.18</v>
      </c>
      <c r="FE219" s="150">
        <f t="shared" si="720"/>
        <v>0.59433094391385921</v>
      </c>
      <c r="FF219" s="5">
        <f t="shared" si="721"/>
        <v>59.433094391385922</v>
      </c>
      <c r="FI219" s="59">
        <f t="shared" si="676"/>
        <v>-50</v>
      </c>
      <c r="FJ219">
        <f t="shared" si="677"/>
        <v>-50</v>
      </c>
      <c r="FL219">
        <f t="shared" si="678"/>
        <v>7.2000000000000008E-2</v>
      </c>
    </row>
    <row r="220" spans="5:168">
      <c r="E220" s="147">
        <v>4</v>
      </c>
      <c r="F220" s="188">
        <f t="shared" si="679"/>
        <v>4.8000000000000001E-2</v>
      </c>
      <c r="G220" s="188"/>
      <c r="H220" s="188">
        <f t="shared" si="603"/>
        <v>0.24</v>
      </c>
      <c r="I220" s="465">
        <f t="shared" si="604"/>
        <v>59.975943738783762</v>
      </c>
      <c r="J220" s="149">
        <f t="shared" si="605"/>
        <v>5.4144337567297409</v>
      </c>
      <c r="K220" s="149">
        <f t="shared" si="606"/>
        <v>65.390377495513505</v>
      </c>
      <c r="L220" s="379"/>
      <c r="M220" s="188">
        <f t="shared" si="607"/>
        <v>8.28096321966421E-2</v>
      </c>
      <c r="N220" s="149">
        <f t="shared" si="608"/>
        <v>12.788958542262097</v>
      </c>
      <c r="O220" s="149">
        <f t="shared" si="599"/>
        <v>0.24</v>
      </c>
      <c r="P220" s="188">
        <f t="shared" si="609"/>
        <v>2.5577917084524193</v>
      </c>
      <c r="Q220" s="188">
        <f t="shared" si="610"/>
        <v>5</v>
      </c>
      <c r="R220" s="188"/>
      <c r="S220" s="149">
        <f t="shared" si="611"/>
        <v>3063.7789552899285</v>
      </c>
      <c r="T220" s="149">
        <f t="shared" si="612"/>
        <v>5</v>
      </c>
      <c r="U220" s="188">
        <f t="shared" si="613"/>
        <v>0.10466747511742516</v>
      </c>
      <c r="V220" s="188">
        <f t="shared" si="614"/>
        <v>2.0941891416989853E-2</v>
      </c>
      <c r="W220" s="188">
        <f t="shared" si="615"/>
        <v>0.23197434077902879</v>
      </c>
      <c r="X220" s="172">
        <f t="shared" si="616"/>
        <v>350</v>
      </c>
      <c r="Y220" s="379">
        <f t="shared" si="680"/>
        <v>350</v>
      </c>
      <c r="AA220" s="188">
        <f t="shared" si="617"/>
        <v>1.1824070219231924</v>
      </c>
      <c r="AB220" s="150">
        <f t="shared" si="618"/>
        <v>2.6205666004210642</v>
      </c>
      <c r="AC220" s="150">
        <f t="shared" si="619"/>
        <v>0.54225086120716959</v>
      </c>
      <c r="AD220" s="150"/>
      <c r="AE220" s="150">
        <f t="shared" si="620"/>
        <v>2.216298238958947</v>
      </c>
      <c r="AF220" s="314">
        <f t="shared" si="621"/>
        <v>43.315470053837934</v>
      </c>
      <c r="AG220" s="456">
        <f t="shared" si="622"/>
        <v>0.38785219181781572</v>
      </c>
      <c r="AI220" s="150">
        <f t="shared" si="623"/>
        <v>0.3517932430677263</v>
      </c>
      <c r="AJ220" s="150">
        <f t="shared" si="624"/>
        <v>1</v>
      </c>
      <c r="AK220" s="150">
        <f t="shared" si="625"/>
        <v>1.0247516971736217</v>
      </c>
      <c r="AM220" s="314">
        <f t="shared" si="626"/>
        <v>48</v>
      </c>
      <c r="AN220" s="144">
        <f t="shared" si="627"/>
        <v>43.315470053837934</v>
      </c>
      <c r="AP220">
        <f t="shared" si="628"/>
        <v>48</v>
      </c>
      <c r="AQ220">
        <f t="shared" si="629"/>
        <v>43.315470053837934</v>
      </c>
      <c r="AS220" s="5">
        <f t="shared" si="600"/>
        <v>23.086439989155693</v>
      </c>
      <c r="AT220" s="5">
        <f t="shared" si="630"/>
        <v>0.20008021970048862</v>
      </c>
      <c r="AU220" s="5">
        <f t="shared" si="478"/>
        <v>22.886359769455204</v>
      </c>
      <c r="AV220" s="5"/>
      <c r="AW220" s="150">
        <f t="shared" si="479"/>
        <v>8.666568764801829E-3</v>
      </c>
      <c r="AX220" s="150">
        <f t="shared" si="631"/>
        <v>0.25989282032302763</v>
      </c>
      <c r="AY220" s="150">
        <f t="shared" si="632"/>
        <v>0.49566671561759906</v>
      </c>
      <c r="AZ220" s="150">
        <f t="shared" si="633"/>
        <v>0.52432978074632675</v>
      </c>
      <c r="BA220" s="144">
        <f t="shared" si="594"/>
        <v>0.19207701091246906</v>
      </c>
      <c r="BB220" s="5">
        <f t="shared" si="595"/>
        <v>3.8159232423475173E-2</v>
      </c>
      <c r="BD220" s="150">
        <f t="shared" si="681"/>
        <v>5.3748081407004128E-2</v>
      </c>
      <c r="BE220" s="150">
        <f t="shared" si="682"/>
        <v>0.57484300211309813</v>
      </c>
      <c r="BG220" s="456">
        <f t="shared" si="683"/>
        <v>5.7777125098678858E-5</v>
      </c>
      <c r="BH220" s="456">
        <f t="shared" si="634"/>
        <v>5.3107780091551364E-2</v>
      </c>
      <c r="BI220" s="456">
        <f t="shared" si="635"/>
        <v>6.4947154874198929E-2</v>
      </c>
      <c r="BJ220" s="456">
        <f t="shared" si="684"/>
        <v>1.852126820338806E-2</v>
      </c>
      <c r="BK220">
        <f t="shared" si="685"/>
        <v>2.6989174682452693E-2</v>
      </c>
      <c r="BL220" s="144">
        <f t="shared" si="686"/>
        <v>91.936329556651629</v>
      </c>
      <c r="BM220" s="456">
        <f t="shared" si="636"/>
        <v>7.1703409577101904E-2</v>
      </c>
      <c r="BN220" s="144">
        <f t="shared" si="687"/>
        <v>71.703409577101908</v>
      </c>
      <c r="BO220" s="456">
        <f t="shared" si="637"/>
        <v>3.3599999999999998E-2</v>
      </c>
      <c r="BR220" s="144">
        <f t="shared" si="688"/>
        <v>33.6</v>
      </c>
      <c r="BS220" s="456">
        <f t="shared" si="689"/>
        <v>8.6665687648018278E-5</v>
      </c>
      <c r="BT220" s="456">
        <f t="shared" si="690"/>
        <v>9.9133343123519804E-3</v>
      </c>
      <c r="BU220" s="456">
        <f t="shared" si="691"/>
        <v>6.1741557877582757E-4</v>
      </c>
      <c r="BV220" s="456"/>
      <c r="BW220" s="456">
        <f t="shared" si="692"/>
        <v>4.3315470053837936E-5</v>
      </c>
      <c r="BX220" s="144">
        <f t="shared" si="693"/>
        <v>10.660731048829664</v>
      </c>
      <c r="BY220" s="150">
        <f t="shared" si="694"/>
        <v>0.20788388602551935</v>
      </c>
      <c r="BZ220" s="5">
        <f t="shared" si="695"/>
        <v>0.24</v>
      </c>
      <c r="CA220" s="150">
        <f t="shared" si="696"/>
        <v>0.53585316973499109</v>
      </c>
      <c r="CB220" s="5">
        <f t="shared" si="697"/>
        <v>53.585316973499111</v>
      </c>
      <c r="CE220" s="59">
        <f t="shared" si="638"/>
        <v>-50</v>
      </c>
      <c r="CF220">
        <f t="shared" si="639"/>
        <v>-50</v>
      </c>
      <c r="CG220" s="150">
        <f t="shared" si="640"/>
        <v>9.9766126515967335E-2</v>
      </c>
      <c r="CI220" s="147">
        <v>4</v>
      </c>
      <c r="CJ220" s="188">
        <f t="shared" si="698"/>
        <v>4.8000000000000001E-2</v>
      </c>
      <c r="CK220" s="188"/>
      <c r="CL220" s="188">
        <f t="shared" si="641"/>
        <v>0.24</v>
      </c>
      <c r="CM220" s="465">
        <f t="shared" si="642"/>
        <v>60</v>
      </c>
      <c r="CN220" s="379">
        <f t="shared" si="643"/>
        <v>5.4</v>
      </c>
      <c r="CO220" s="379">
        <f t="shared" si="644"/>
        <v>65.400000000000006</v>
      </c>
      <c r="CP220" s="379"/>
      <c r="CQ220" s="188">
        <f t="shared" si="645"/>
        <v>8.2568807339449546E-2</v>
      </c>
      <c r="CR220" s="149">
        <f t="shared" si="646"/>
        <v>12.756880733944957</v>
      </c>
      <c r="CS220" s="149">
        <f t="shared" si="647"/>
        <v>0.24</v>
      </c>
      <c r="CT220" s="188">
        <f t="shared" si="648"/>
        <v>2.5513761467889915</v>
      </c>
      <c r="CU220" s="188">
        <f t="shared" si="649"/>
        <v>5</v>
      </c>
      <c r="CV220" s="188"/>
      <c r="CW220" s="149">
        <f t="shared" si="650"/>
        <v>3065.0078293008096</v>
      </c>
      <c r="CX220" s="149">
        <f t="shared" si="651"/>
        <v>5</v>
      </c>
      <c r="CY220" s="188">
        <f t="shared" si="652"/>
        <v>9.6888888888888872E-2</v>
      </c>
      <c r="CZ220" s="188">
        <f t="shared" si="653"/>
        <v>1.9377777777777775E-2</v>
      </c>
      <c r="DA220" s="188">
        <f t="shared" si="654"/>
        <v>0.21530864197530861</v>
      </c>
      <c r="DB220" s="172">
        <f t="shared" si="655"/>
        <v>350</v>
      </c>
      <c r="DC220" s="379">
        <f t="shared" si="656"/>
        <v>350</v>
      </c>
      <c r="DE220" s="188">
        <f t="shared" si="657"/>
        <v>1.179554390563565</v>
      </c>
      <c r="DF220" s="150">
        <f t="shared" si="658"/>
        <v>2.6212319790301444</v>
      </c>
      <c r="DG220" s="150">
        <f t="shared" si="659"/>
        <v>0.54107999567136011</v>
      </c>
      <c r="DH220" s="150"/>
      <c r="DI220" s="150">
        <f t="shared" si="660"/>
        <v>2.2222222222222219</v>
      </c>
      <c r="DJ220" s="314">
        <f t="shared" si="661"/>
        <v>43.20000000000001</v>
      </c>
      <c r="DK220" s="456">
        <f t="shared" si="662"/>
        <v>0.38888888888888884</v>
      </c>
      <c r="DM220" s="150">
        <f t="shared" si="663"/>
        <v>0.35132402626147197</v>
      </c>
      <c r="DN220" s="150">
        <f t="shared" si="664"/>
        <v>1</v>
      </c>
      <c r="DO220" s="150">
        <f t="shared" si="665"/>
        <v>1.0246857142857142</v>
      </c>
      <c r="DQ220" s="314">
        <f t="shared" si="666"/>
        <v>48</v>
      </c>
      <c r="DR220" s="144">
        <f t="shared" si="667"/>
        <v>43.20000000000001</v>
      </c>
      <c r="DT220">
        <f t="shared" si="668"/>
        <v>48</v>
      </c>
      <c r="DU220">
        <f t="shared" si="669"/>
        <v>43.20000000000001</v>
      </c>
      <c r="DW220" s="5">
        <f t="shared" si="670"/>
        <v>23.148148148148142</v>
      </c>
      <c r="DX220" s="5">
        <f t="shared" si="671"/>
        <v>0.2</v>
      </c>
      <c r="DY220" s="5">
        <f t="shared" si="672"/>
        <v>22.948148148148142</v>
      </c>
      <c r="DZ220" s="5"/>
      <c r="EA220" s="150">
        <f t="shared" si="673"/>
        <v>8.6400000000000036E-3</v>
      </c>
      <c r="EB220" s="150">
        <f t="shared" si="699"/>
        <v>0.25920000000000004</v>
      </c>
      <c r="EC220" s="150">
        <f t="shared" si="700"/>
        <v>0.49568000000000001</v>
      </c>
      <c r="ED220" s="150">
        <f t="shared" si="701"/>
        <v>0.5229180116204003</v>
      </c>
      <c r="EE220" s="144">
        <f t="shared" si="674"/>
        <v>0.192</v>
      </c>
      <c r="EF220" s="5">
        <f t="shared" si="675"/>
        <v>3.82469135802469E-2</v>
      </c>
      <c r="EH220" s="150">
        <f t="shared" si="702"/>
        <v>5.3665631459994964E-2</v>
      </c>
      <c r="EI220" s="150">
        <f t="shared" si="703"/>
        <v>0.57485070525601112</v>
      </c>
      <c r="EK220" s="456">
        <f t="shared" si="704"/>
        <v>5.7600000000000024E-5</v>
      </c>
      <c r="EL220" s="456">
        <f t="shared" si="705"/>
        <v>5.6505600000000017E-2</v>
      </c>
      <c r="EM220" s="456">
        <f t="shared" si="706"/>
        <v>5.4000000000000012E-3</v>
      </c>
      <c r="EN220" s="456">
        <f t="shared" si="707"/>
        <v>1.8477331200000009E-2</v>
      </c>
      <c r="EO220">
        <f t="shared" si="708"/>
        <v>2.7E-2</v>
      </c>
      <c r="EP220" s="144">
        <f t="shared" si="709"/>
        <v>32.4</v>
      </c>
      <c r="EQ220" s="144"/>
      <c r="ER220" s="144">
        <f t="shared" si="710"/>
        <v>107.44053120000002</v>
      </c>
      <c r="ES220" s="456">
        <f t="shared" si="711"/>
        <v>3.3599999999999998E-2</v>
      </c>
      <c r="EV220" s="144">
        <f t="shared" si="712"/>
        <v>33.6</v>
      </c>
      <c r="EW220" s="456">
        <f t="shared" si="713"/>
        <v>8.6400000000000027E-5</v>
      </c>
      <c r="EX220" s="456">
        <f t="shared" si="714"/>
        <v>9.9136000000000016E-3</v>
      </c>
      <c r="EY220" s="456">
        <f t="shared" si="715"/>
        <v>6.1330904743106475E-4</v>
      </c>
      <c r="EZ220" s="456"/>
      <c r="FA220" s="456">
        <f t="shared" si="716"/>
        <v>4.3200000000000007E-5</v>
      </c>
      <c r="FB220" s="144">
        <f t="shared" si="717"/>
        <v>10.656509047431067</v>
      </c>
      <c r="FC220" s="150">
        <f t="shared" si="718"/>
        <v>0.15169704024743105</v>
      </c>
      <c r="FD220" s="5">
        <f t="shared" si="719"/>
        <v>0.24</v>
      </c>
      <c r="FE220" s="150">
        <f t="shared" si="720"/>
        <v>0.61271844139642828</v>
      </c>
      <c r="FF220" s="5">
        <f t="shared" si="721"/>
        <v>61.27184413964283</v>
      </c>
      <c r="FI220" s="59">
        <f t="shared" si="676"/>
        <v>-50</v>
      </c>
      <c r="FJ220">
        <f t="shared" si="677"/>
        <v>-50</v>
      </c>
      <c r="FL220">
        <f t="shared" si="678"/>
        <v>9.6000000000000016E-2</v>
      </c>
    </row>
    <row r="221" spans="5:168">
      <c r="E221" s="147">
        <v>5</v>
      </c>
      <c r="F221" s="188">
        <f t="shared" si="679"/>
        <v>0.06</v>
      </c>
      <c r="G221" s="188"/>
      <c r="H221" s="188">
        <f t="shared" si="603"/>
        <v>0.3</v>
      </c>
      <c r="I221" s="465">
        <f t="shared" si="604"/>
        <v>59.975943738783762</v>
      </c>
      <c r="J221" s="149">
        <f t="shared" si="605"/>
        <v>5.4144337567297409</v>
      </c>
      <c r="K221" s="149">
        <f t="shared" si="606"/>
        <v>65.390377495513505</v>
      </c>
      <c r="L221" s="379"/>
      <c r="M221" s="188">
        <f t="shared" si="607"/>
        <v>8.28096321966421E-2</v>
      </c>
      <c r="N221" s="149">
        <f t="shared" si="608"/>
        <v>12.788958542262097</v>
      </c>
      <c r="O221" s="149">
        <f t="shared" si="599"/>
        <v>0.3</v>
      </c>
      <c r="P221" s="188">
        <f t="shared" si="609"/>
        <v>2.5577917084524193</v>
      </c>
      <c r="Q221" s="188">
        <f t="shared" si="610"/>
        <v>5</v>
      </c>
      <c r="R221" s="188"/>
      <c r="S221" s="149">
        <f t="shared" si="611"/>
        <v>2439.031546456948</v>
      </c>
      <c r="T221" s="149">
        <f t="shared" si="612"/>
        <v>5</v>
      </c>
      <c r="U221" s="188">
        <f t="shared" si="613"/>
        <v>0.13083434389678145</v>
      </c>
      <c r="V221" s="188">
        <f t="shared" si="614"/>
        <v>2.6177364271237315E-2</v>
      </c>
      <c r="W221" s="188">
        <f t="shared" si="615"/>
        <v>0.28996792597378596</v>
      </c>
      <c r="X221" s="172">
        <f t="shared" si="616"/>
        <v>350</v>
      </c>
      <c r="Y221" s="379">
        <f t="shared" si="680"/>
        <v>350</v>
      </c>
      <c r="AA221" s="188">
        <f t="shared" si="617"/>
        <v>1.1824070219231924</v>
      </c>
      <c r="AB221" s="150">
        <f t="shared" si="618"/>
        <v>2.6205666004210642</v>
      </c>
      <c r="AC221" s="150">
        <f t="shared" si="619"/>
        <v>0.54225086120716959</v>
      </c>
      <c r="AD221" s="150"/>
      <c r="AE221" s="150">
        <f t="shared" si="620"/>
        <v>2.216298238958947</v>
      </c>
      <c r="AF221" s="314">
        <f t="shared" si="621"/>
        <v>54.144337567297406</v>
      </c>
      <c r="AG221" s="456">
        <f t="shared" si="622"/>
        <v>0.38785219181781572</v>
      </c>
      <c r="AI221" s="150">
        <f t="shared" si="623"/>
        <v>0.39331680276227138</v>
      </c>
      <c r="AJ221" s="150">
        <f t="shared" si="624"/>
        <v>1</v>
      </c>
      <c r="AK221" s="150">
        <f t="shared" si="625"/>
        <v>1.030939621467027</v>
      </c>
      <c r="AM221" s="314">
        <f t="shared" si="626"/>
        <v>60</v>
      </c>
      <c r="AN221" s="144">
        <f t="shared" si="627"/>
        <v>54.144337567297406</v>
      </c>
      <c r="AP221">
        <f t="shared" si="628"/>
        <v>60</v>
      </c>
      <c r="AQ221">
        <f t="shared" si="629"/>
        <v>54.144337567297406</v>
      </c>
      <c r="AS221" s="5">
        <f t="shared" si="600"/>
        <v>18.469151991324559</v>
      </c>
      <c r="AT221" s="5">
        <f t="shared" si="630"/>
        <v>0.20008021970048862</v>
      </c>
      <c r="AU221" s="5">
        <f t="shared" si="478"/>
        <v>18.26907177162407</v>
      </c>
      <c r="AV221" s="5"/>
      <c r="AW221" s="150">
        <f t="shared" si="479"/>
        <v>1.0833210956002284E-2</v>
      </c>
      <c r="AX221" s="150">
        <f t="shared" si="631"/>
        <v>0.32486602540378445</v>
      </c>
      <c r="AY221" s="150">
        <f t="shared" si="632"/>
        <v>0.49458339452199884</v>
      </c>
      <c r="AZ221" s="150">
        <f t="shared" si="633"/>
        <v>0.65684782182741597</v>
      </c>
      <c r="BA221" s="144">
        <f t="shared" si="594"/>
        <v>0.24009626364058634</v>
      </c>
      <c r="BB221" s="5">
        <f t="shared" si="595"/>
        <v>3.8075832226984768E-2</v>
      </c>
      <c r="BD221" s="150">
        <f t="shared" si="681"/>
        <v>6.0092181843126882E-2</v>
      </c>
      <c r="BE221" s="150">
        <f t="shared" si="682"/>
        <v>0.57421447475195708</v>
      </c>
      <c r="BG221" s="456">
        <f t="shared" si="683"/>
        <v>7.2221406373348558E-5</v>
      </c>
      <c r="BH221" s="456">
        <f t="shared" si="634"/>
        <v>6.63847251144392E-2</v>
      </c>
      <c r="BI221" s="456">
        <f t="shared" si="635"/>
        <v>8.1183943592748636E-2</v>
      </c>
      <c r="BJ221" s="456">
        <f t="shared" si="684"/>
        <v>2.3151585254235073E-2</v>
      </c>
      <c r="BK221">
        <f t="shared" si="685"/>
        <v>2.6989174682452693E-2</v>
      </c>
      <c r="BL221" s="144">
        <f t="shared" si="686"/>
        <v>108.17311827520133</v>
      </c>
      <c r="BM221" s="456">
        <f t="shared" si="636"/>
        <v>8.962956958080813E-2</v>
      </c>
      <c r="BN221" s="144">
        <f t="shared" si="687"/>
        <v>89.629569580808123</v>
      </c>
      <c r="BO221" s="456">
        <f t="shared" si="637"/>
        <v>4.1999999999999996E-2</v>
      </c>
      <c r="BR221" s="144">
        <f t="shared" si="688"/>
        <v>41.999999999999993</v>
      </c>
      <c r="BS221" s="456">
        <f t="shared" si="689"/>
        <v>1.0833210956002284E-4</v>
      </c>
      <c r="BT221" s="456">
        <f t="shared" si="690"/>
        <v>9.8916678904399785E-3</v>
      </c>
      <c r="BU221" s="456">
        <f t="shared" si="691"/>
        <v>1.0785806285235362E-3</v>
      </c>
      <c r="BV221" s="456"/>
      <c r="BW221" s="456">
        <f t="shared" si="692"/>
        <v>5.4144337567297407E-5</v>
      </c>
      <c r="BX221" s="144">
        <f t="shared" si="693"/>
        <v>11.132724966090835</v>
      </c>
      <c r="BY221" s="150">
        <f t="shared" si="694"/>
        <v>0.25091437501633979</v>
      </c>
      <c r="BZ221" s="5">
        <f t="shared" si="695"/>
        <v>0.3</v>
      </c>
      <c r="CA221" s="150">
        <f t="shared" si="696"/>
        <v>0.54454923233960295</v>
      </c>
      <c r="CB221" s="5">
        <f t="shared" si="697"/>
        <v>54.454923233960294</v>
      </c>
      <c r="CE221" s="59">
        <f t="shared" si="638"/>
        <v>-50</v>
      </c>
      <c r="CF221">
        <f t="shared" si="639"/>
        <v>-50</v>
      </c>
      <c r="CG221" s="150">
        <f t="shared" si="640"/>
        <v>0.12470765814495917</v>
      </c>
      <c r="CI221" s="147">
        <v>5</v>
      </c>
      <c r="CJ221" s="188">
        <f t="shared" si="698"/>
        <v>0.06</v>
      </c>
      <c r="CK221" s="188"/>
      <c r="CL221" s="188">
        <f t="shared" si="641"/>
        <v>0.3</v>
      </c>
      <c r="CM221" s="465">
        <f t="shared" si="642"/>
        <v>60</v>
      </c>
      <c r="CN221" s="379">
        <f t="shared" si="643"/>
        <v>5.4</v>
      </c>
      <c r="CO221" s="379">
        <f t="shared" si="644"/>
        <v>65.400000000000006</v>
      </c>
      <c r="CP221" s="379"/>
      <c r="CQ221" s="188">
        <f t="shared" si="645"/>
        <v>8.2568807339449546E-2</v>
      </c>
      <c r="CR221" s="149">
        <f t="shared" si="646"/>
        <v>12.756880733944957</v>
      </c>
      <c r="CS221" s="149">
        <f t="shared" si="647"/>
        <v>0.3</v>
      </c>
      <c r="CT221" s="188">
        <f t="shared" si="648"/>
        <v>2.5513761467889915</v>
      </c>
      <c r="CU221" s="188">
        <f t="shared" si="649"/>
        <v>5</v>
      </c>
      <c r="CV221" s="188"/>
      <c r="CW221" s="149">
        <f t="shared" si="650"/>
        <v>2440.0098344137373</v>
      </c>
      <c r="CX221" s="149">
        <f t="shared" si="651"/>
        <v>5</v>
      </c>
      <c r="CY221" s="188">
        <f t="shared" si="652"/>
        <v>0.1211111111111111</v>
      </c>
      <c r="CZ221" s="188">
        <f t="shared" si="653"/>
        <v>2.4222222222222221E-2</v>
      </c>
      <c r="DA221" s="188">
        <f t="shared" si="654"/>
        <v>0.26913580246913577</v>
      </c>
      <c r="DB221" s="172">
        <f t="shared" si="655"/>
        <v>350</v>
      </c>
      <c r="DC221" s="379">
        <f t="shared" si="656"/>
        <v>350</v>
      </c>
      <c r="DE221" s="188">
        <f t="shared" si="657"/>
        <v>1.179554390563565</v>
      </c>
      <c r="DF221" s="150">
        <f t="shared" si="658"/>
        <v>2.6212319790301444</v>
      </c>
      <c r="DG221" s="150">
        <f t="shared" si="659"/>
        <v>0.54107999567136011</v>
      </c>
      <c r="DH221" s="150"/>
      <c r="DI221" s="150">
        <f t="shared" si="660"/>
        <v>2.2222222222222219</v>
      </c>
      <c r="DJ221" s="314">
        <f t="shared" si="661"/>
        <v>54</v>
      </c>
      <c r="DK221" s="456">
        <f t="shared" si="662"/>
        <v>0.38888888888888884</v>
      </c>
      <c r="DM221" s="150">
        <f t="shared" si="663"/>
        <v>0.3927922024247863</v>
      </c>
      <c r="DN221" s="150">
        <f t="shared" si="664"/>
        <v>1</v>
      </c>
      <c r="DO221" s="150">
        <f t="shared" si="665"/>
        <v>1.0308571428571429</v>
      </c>
      <c r="DQ221" s="314">
        <f t="shared" si="666"/>
        <v>60</v>
      </c>
      <c r="DR221" s="144">
        <f t="shared" si="667"/>
        <v>54</v>
      </c>
      <c r="DT221">
        <f t="shared" si="668"/>
        <v>60</v>
      </c>
      <c r="DU221">
        <f t="shared" si="669"/>
        <v>54</v>
      </c>
      <c r="DW221" s="5">
        <f t="shared" si="670"/>
        <v>18.518518518518519</v>
      </c>
      <c r="DX221" s="5">
        <f t="shared" si="671"/>
        <v>0.2</v>
      </c>
      <c r="DY221" s="5">
        <f t="shared" si="672"/>
        <v>18.31851851851852</v>
      </c>
      <c r="DZ221" s="5"/>
      <c r="EA221" s="150">
        <f t="shared" si="673"/>
        <v>1.0800000000000001E-2</v>
      </c>
      <c r="EB221" s="150">
        <f t="shared" si="699"/>
        <v>0.32400000000000001</v>
      </c>
      <c r="EC221" s="150">
        <f t="shared" si="700"/>
        <v>0.49459999999999998</v>
      </c>
      <c r="ED221" s="150">
        <f t="shared" si="701"/>
        <v>0.65507480792559647</v>
      </c>
      <c r="EE221" s="144">
        <f t="shared" si="674"/>
        <v>0.24000000000000002</v>
      </c>
      <c r="EF221" s="5">
        <f t="shared" si="675"/>
        <v>3.8163580246913575E-2</v>
      </c>
      <c r="EH221" s="150">
        <f t="shared" si="702"/>
        <v>6.0000000000000005E-2</v>
      </c>
      <c r="EI221" s="150">
        <f t="shared" si="703"/>
        <v>0.57422411420396946</v>
      </c>
      <c r="EK221" s="456">
        <f t="shared" si="704"/>
        <v>7.2000000000000015E-5</v>
      </c>
      <c r="EL221" s="456">
        <f t="shared" si="705"/>
        <v>7.0632000000000014E-2</v>
      </c>
      <c r="EM221" s="456">
        <f t="shared" si="706"/>
        <v>6.7499999999999999E-3</v>
      </c>
      <c r="EN221" s="456">
        <f t="shared" si="707"/>
        <v>2.3096664000000003E-2</v>
      </c>
      <c r="EO221">
        <f t="shared" si="708"/>
        <v>2.7E-2</v>
      </c>
      <c r="EP221" s="144">
        <f t="shared" si="709"/>
        <v>33.75</v>
      </c>
      <c r="EQ221" s="144"/>
      <c r="ER221" s="144">
        <f t="shared" si="710"/>
        <v>127.55066400000004</v>
      </c>
      <c r="ES221" s="456">
        <f t="shared" si="711"/>
        <v>4.1999999999999996E-2</v>
      </c>
      <c r="EV221" s="144">
        <f t="shared" si="712"/>
        <v>41.999999999999993</v>
      </c>
      <c r="EW221" s="456">
        <f t="shared" si="713"/>
        <v>1.0800000000000002E-4</v>
      </c>
      <c r="EX221" s="456">
        <f t="shared" si="714"/>
        <v>9.8920000000000015E-3</v>
      </c>
      <c r="EY221" s="456">
        <f t="shared" si="715"/>
        <v>1.0714068134933634E-3</v>
      </c>
      <c r="EZ221" s="456"/>
      <c r="FA221" s="456">
        <f t="shared" si="716"/>
        <v>5.3999999999999998E-5</v>
      </c>
      <c r="FB221" s="144">
        <f t="shared" si="717"/>
        <v>11.125406813493365</v>
      </c>
      <c r="FC221" s="150">
        <f t="shared" si="718"/>
        <v>0.18067607081349338</v>
      </c>
      <c r="FD221" s="5">
        <f t="shared" si="719"/>
        <v>0.3</v>
      </c>
      <c r="FE221" s="150">
        <f t="shared" si="720"/>
        <v>0.62412093760415766</v>
      </c>
      <c r="FF221" s="5">
        <f t="shared" si="721"/>
        <v>62.412093760415765</v>
      </c>
      <c r="FI221" s="59">
        <f t="shared" si="676"/>
        <v>-50</v>
      </c>
      <c r="FJ221">
        <f t="shared" si="677"/>
        <v>-50</v>
      </c>
      <c r="FL221">
        <f t="shared" si="678"/>
        <v>0.12</v>
      </c>
    </row>
    <row r="222" spans="5:168">
      <c r="E222" s="147">
        <v>6</v>
      </c>
      <c r="F222" s="188">
        <f t="shared" si="679"/>
        <v>7.1999999999999995E-2</v>
      </c>
      <c r="G222" s="188"/>
      <c r="H222" s="188">
        <f t="shared" si="603"/>
        <v>0.36</v>
      </c>
      <c r="I222" s="465">
        <f t="shared" si="604"/>
        <v>59.975943738783762</v>
      </c>
      <c r="J222" s="149">
        <f t="shared" si="605"/>
        <v>5.4144337567297409</v>
      </c>
      <c r="K222" s="149">
        <f t="shared" si="606"/>
        <v>65.390377495513505</v>
      </c>
      <c r="L222" s="379"/>
      <c r="M222" s="188">
        <f t="shared" si="607"/>
        <v>8.28096321966421E-2</v>
      </c>
      <c r="N222" s="149">
        <f t="shared" si="608"/>
        <v>12.788958542262097</v>
      </c>
      <c r="O222" s="149">
        <f t="shared" si="599"/>
        <v>0.36</v>
      </c>
      <c r="P222" s="188">
        <f t="shared" si="609"/>
        <v>2.5577917084524193</v>
      </c>
      <c r="Q222" s="188">
        <f t="shared" si="610"/>
        <v>5</v>
      </c>
      <c r="R222" s="188"/>
      <c r="S222" s="149">
        <f t="shared" si="611"/>
        <v>2022.5339619462961</v>
      </c>
      <c r="T222" s="149">
        <f t="shared" si="612"/>
        <v>5</v>
      </c>
      <c r="U222" s="188">
        <f t="shared" si="613"/>
        <v>0.15700121267613773</v>
      </c>
      <c r="V222" s="188">
        <f t="shared" si="614"/>
        <v>3.1412837125484774E-2</v>
      </c>
      <c r="W222" s="188">
        <f t="shared" si="615"/>
        <v>0.34796151116854318</v>
      </c>
      <c r="X222" s="172">
        <f t="shared" si="616"/>
        <v>350</v>
      </c>
      <c r="Y222" s="379">
        <f t="shared" si="680"/>
        <v>350</v>
      </c>
      <c r="AA222" s="188">
        <f t="shared" si="617"/>
        <v>1.1824070219231924</v>
      </c>
      <c r="AB222" s="150">
        <f t="shared" si="618"/>
        <v>2.6205666004210642</v>
      </c>
      <c r="AC222" s="150">
        <f t="shared" si="619"/>
        <v>0.54225086120716959</v>
      </c>
      <c r="AD222" s="150"/>
      <c r="AE222" s="150">
        <f t="shared" si="620"/>
        <v>2.216298238958947</v>
      </c>
      <c r="AF222" s="314">
        <f t="shared" si="621"/>
        <v>64.973205080756884</v>
      </c>
      <c r="AG222" s="456">
        <f t="shared" si="622"/>
        <v>0.38785219181781572</v>
      </c>
      <c r="AI222" s="150">
        <f t="shared" si="623"/>
        <v>0.43085697023741248</v>
      </c>
      <c r="AJ222" s="150">
        <f t="shared" si="624"/>
        <v>1</v>
      </c>
      <c r="AK222" s="150">
        <f t="shared" si="625"/>
        <v>1.0371275457604325</v>
      </c>
      <c r="AM222" s="314">
        <f t="shared" si="626"/>
        <v>72</v>
      </c>
      <c r="AN222" s="144">
        <f>IF(F222&gt;AG222, Y222, AF222)</f>
        <v>64.973205080756884</v>
      </c>
      <c r="AP222">
        <f t="shared" si="628"/>
        <v>72</v>
      </c>
      <c r="AQ222">
        <f t="shared" si="629"/>
        <v>64.973205080756884</v>
      </c>
      <c r="AS222" s="5">
        <f t="shared" si="600"/>
        <v>15.390959992770465</v>
      </c>
      <c r="AT222" s="5">
        <f t="shared" si="630"/>
        <v>0.20008021970048862</v>
      </c>
      <c r="AU222" s="5">
        <f t="shared" si="478"/>
        <v>15.190879773069977</v>
      </c>
      <c r="AV222" s="5"/>
      <c r="AW222" s="150">
        <f t="shared" si="479"/>
        <v>1.2999853147202742E-2</v>
      </c>
      <c r="AX222" s="150">
        <f t="shared" si="631"/>
        <v>0.38983923048454128</v>
      </c>
      <c r="AY222" s="150">
        <f t="shared" si="632"/>
        <v>0.49350007342639862</v>
      </c>
      <c r="AZ222" s="150">
        <f t="shared" si="633"/>
        <v>0.789947664602896</v>
      </c>
      <c r="BA222" s="144">
        <f t="shared" si="594"/>
        <v>0.28811551636870358</v>
      </c>
      <c r="BB222" s="5">
        <f t="shared" si="595"/>
        <v>3.7992432030494364E-2</v>
      </c>
      <c r="BD222" s="150">
        <f t="shared" si="681"/>
        <v>6.5827687050365929E-2</v>
      </c>
      <c r="BE222" s="150">
        <f t="shared" si="682"/>
        <v>0.57358525865901788</v>
      </c>
      <c r="BG222" s="456">
        <f t="shared" si="683"/>
        <v>8.6665687648018291E-5</v>
      </c>
      <c r="BH222" s="456">
        <f t="shared" si="634"/>
        <v>7.9661670137327029E-2</v>
      </c>
      <c r="BI222" s="456">
        <f t="shared" si="635"/>
        <v>9.7420732311298358E-2</v>
      </c>
      <c r="BJ222" s="456">
        <f t="shared" si="684"/>
        <v>2.7781902305082082E-2</v>
      </c>
      <c r="BK222">
        <f t="shared" si="685"/>
        <v>2.6989174682452693E-2</v>
      </c>
      <c r="BL222" s="144">
        <f t="shared" si="686"/>
        <v>124.40990699375105</v>
      </c>
      <c r="BM222" s="456">
        <f t="shared" si="636"/>
        <v>0.10755585263082038</v>
      </c>
      <c r="BN222" s="144">
        <f t="shared" si="687"/>
        <v>107.55585263082038</v>
      </c>
      <c r="BO222" s="456">
        <f t="shared" si="637"/>
        <v>5.0399999999999993E-2</v>
      </c>
      <c r="BR222" s="144">
        <f t="shared" si="688"/>
        <v>50.399999999999991</v>
      </c>
      <c r="BS222" s="456">
        <f t="shared" si="689"/>
        <v>1.2999853147202742E-4</v>
      </c>
      <c r="BT222" s="456">
        <f t="shared" si="690"/>
        <v>9.8700014685279731E-3</v>
      </c>
      <c r="BU222" s="456">
        <f t="shared" si="691"/>
        <v>1.7013972681516674E-3</v>
      </c>
      <c r="BV222" s="456"/>
      <c r="BW222" s="456">
        <f t="shared" si="692"/>
        <v>6.4973205080756891E-5</v>
      </c>
      <c r="BX222" s="144">
        <f t="shared" si="693"/>
        <v>11.766370473232426</v>
      </c>
      <c r="BY222" s="150">
        <f t="shared" si="694"/>
        <v>0.2941065155970406</v>
      </c>
      <c r="BZ222" s="5">
        <f t="shared" si="695"/>
        <v>0.36</v>
      </c>
      <c r="CA222" s="150">
        <f t="shared" si="696"/>
        <v>0.55036907814839198</v>
      </c>
      <c r="CB222" s="5">
        <f t="shared" si="697"/>
        <v>55.036907814839196</v>
      </c>
      <c r="CE222" s="59">
        <f t="shared" si="638"/>
        <v>-50</v>
      </c>
      <c r="CF222">
        <f t="shared" si="639"/>
        <v>-50</v>
      </c>
      <c r="CG222" s="150">
        <f t="shared" si="640"/>
        <v>0.149649189773951</v>
      </c>
      <c r="CI222" s="147">
        <v>6</v>
      </c>
      <c r="CJ222" s="188">
        <f t="shared" si="698"/>
        <v>7.1999999999999995E-2</v>
      </c>
      <c r="CK222" s="188"/>
      <c r="CL222" s="188">
        <f t="shared" si="641"/>
        <v>0.36</v>
      </c>
      <c r="CM222" s="465">
        <f t="shared" si="642"/>
        <v>60</v>
      </c>
      <c r="CN222" s="379">
        <f t="shared" si="643"/>
        <v>5.4</v>
      </c>
      <c r="CO222" s="379">
        <f t="shared" si="644"/>
        <v>65.400000000000006</v>
      </c>
      <c r="CP222" s="379"/>
      <c r="CQ222" s="188">
        <f t="shared" si="645"/>
        <v>8.2568807339449546E-2</v>
      </c>
      <c r="CR222" s="149">
        <f t="shared" si="646"/>
        <v>12.756880733944957</v>
      </c>
      <c r="CS222" s="149">
        <f t="shared" si="647"/>
        <v>0.36</v>
      </c>
      <c r="CT222" s="188">
        <f t="shared" si="648"/>
        <v>2.5513761467889915</v>
      </c>
      <c r="CU222" s="188">
        <f t="shared" si="649"/>
        <v>5</v>
      </c>
      <c r="CV222" s="188"/>
      <c r="CW222" s="149">
        <f t="shared" si="650"/>
        <v>2023.3451925338341</v>
      </c>
      <c r="CX222" s="149">
        <f t="shared" si="651"/>
        <v>5</v>
      </c>
      <c r="CY222" s="188">
        <f t="shared" si="652"/>
        <v>0.14533333333333331</v>
      </c>
      <c r="CZ222" s="188">
        <f t="shared" si="653"/>
        <v>2.9066666666666661E-2</v>
      </c>
      <c r="DA222" s="188">
        <f t="shared" si="654"/>
        <v>0.3229629629629629</v>
      </c>
      <c r="DB222" s="172">
        <f t="shared" si="655"/>
        <v>350</v>
      </c>
      <c r="DC222" s="379">
        <f t="shared" si="656"/>
        <v>350</v>
      </c>
      <c r="DE222" s="188">
        <f t="shared" si="657"/>
        <v>1.179554390563565</v>
      </c>
      <c r="DF222" s="150">
        <f t="shared" si="658"/>
        <v>2.6212319790301444</v>
      </c>
      <c r="DG222" s="150">
        <f t="shared" si="659"/>
        <v>0.54107999567136011</v>
      </c>
      <c r="DH222" s="150"/>
      <c r="DI222" s="150">
        <f t="shared" si="660"/>
        <v>2.2222222222222219</v>
      </c>
      <c r="DJ222" s="314">
        <f t="shared" si="661"/>
        <v>64.8</v>
      </c>
      <c r="DK222" s="456">
        <f t="shared" si="662"/>
        <v>0.38888888888888884</v>
      </c>
      <c r="DM222" s="150">
        <f t="shared" si="663"/>
        <v>0.43028229936038176</v>
      </c>
      <c r="DN222" s="150">
        <f t="shared" si="664"/>
        <v>1</v>
      </c>
      <c r="DO222" s="150">
        <f t="shared" si="665"/>
        <v>1.0370285714285714</v>
      </c>
      <c r="DQ222" s="314">
        <f t="shared" si="666"/>
        <v>72</v>
      </c>
      <c r="DR222" s="144">
        <f t="shared" si="667"/>
        <v>64.8</v>
      </c>
      <c r="DT222">
        <f t="shared" si="668"/>
        <v>72</v>
      </c>
      <c r="DU222">
        <f t="shared" si="669"/>
        <v>64.8</v>
      </c>
      <c r="DW222" s="5">
        <f t="shared" si="670"/>
        <v>15.4320987654321</v>
      </c>
      <c r="DX222" s="5">
        <f t="shared" si="671"/>
        <v>0.2</v>
      </c>
      <c r="DY222" s="5">
        <f t="shared" si="672"/>
        <v>15.232098765432101</v>
      </c>
      <c r="DZ222" s="5"/>
      <c r="EA222" s="150">
        <f t="shared" si="673"/>
        <v>1.2959999999999999E-2</v>
      </c>
      <c r="EB222" s="150">
        <f t="shared" si="699"/>
        <v>0.38880000000000003</v>
      </c>
      <c r="EC222" s="150">
        <f t="shared" si="700"/>
        <v>0.49352000000000001</v>
      </c>
      <c r="ED222" s="150">
        <f t="shared" si="701"/>
        <v>0.78781001783109095</v>
      </c>
      <c r="EE222" s="144">
        <f t="shared" si="674"/>
        <v>0.28800000000000003</v>
      </c>
      <c r="EF222" s="5">
        <f t="shared" si="675"/>
        <v>3.8080246913580251E-2</v>
      </c>
      <c r="EH222" s="150">
        <f t="shared" si="702"/>
        <v>6.5726706900619936E-2</v>
      </c>
      <c r="EI222" s="150">
        <f t="shared" si="703"/>
        <v>0.57359683867097222</v>
      </c>
      <c r="EK222" s="456">
        <f t="shared" si="704"/>
        <v>8.6399999999999999E-5</v>
      </c>
      <c r="EL222" s="456">
        <f t="shared" si="705"/>
        <v>8.4758399999999998E-2</v>
      </c>
      <c r="EM222" s="456">
        <f t="shared" si="706"/>
        <v>8.0999999999999978E-3</v>
      </c>
      <c r="EN222" s="456">
        <f t="shared" si="707"/>
        <v>2.7715996800000003E-2</v>
      </c>
      <c r="EO222">
        <f t="shared" si="708"/>
        <v>2.7E-2</v>
      </c>
      <c r="EP222" s="144">
        <f t="shared" si="709"/>
        <v>35.1</v>
      </c>
      <c r="EQ222" s="144"/>
      <c r="ER222" s="144">
        <f t="shared" si="710"/>
        <v>147.66079679999999</v>
      </c>
      <c r="ES222" s="456">
        <f t="shared" si="711"/>
        <v>5.0399999999999993E-2</v>
      </c>
      <c r="EV222" s="144">
        <f t="shared" si="712"/>
        <v>50.399999999999991</v>
      </c>
      <c r="EW222" s="456">
        <f t="shared" si="713"/>
        <v>1.2960000000000001E-4</v>
      </c>
      <c r="EX222" s="456">
        <f t="shared" si="714"/>
        <v>9.8703999999999997E-3</v>
      </c>
      <c r="EY222" s="456">
        <f t="shared" si="715"/>
        <v>1.6900809984433261E-3</v>
      </c>
      <c r="EZ222" s="456"/>
      <c r="FA222" s="456">
        <f t="shared" si="716"/>
        <v>6.4800000000000003E-5</v>
      </c>
      <c r="FB222" s="144">
        <f t="shared" si="717"/>
        <v>11.754880998443326</v>
      </c>
      <c r="FC222" s="150">
        <f t="shared" si="718"/>
        <v>0.20981567779844335</v>
      </c>
      <c r="FD222" s="5">
        <f t="shared" si="719"/>
        <v>0.36</v>
      </c>
      <c r="FE222" s="150">
        <f t="shared" si="720"/>
        <v>0.63178324856014245</v>
      </c>
      <c r="FF222" s="5">
        <f t="shared" si="721"/>
        <v>63.178324856014243</v>
      </c>
      <c r="FI222" s="59">
        <f t="shared" si="676"/>
        <v>-50</v>
      </c>
      <c r="FJ222">
        <f t="shared" si="677"/>
        <v>-50</v>
      </c>
      <c r="FL222">
        <f t="shared" si="678"/>
        <v>0.14400000000000002</v>
      </c>
    </row>
    <row r="223" spans="5:168">
      <c r="E223" s="147">
        <v>7</v>
      </c>
      <c r="F223" s="188">
        <f t="shared" si="679"/>
        <v>8.4000000000000005E-2</v>
      </c>
      <c r="G223" s="188"/>
      <c r="H223" s="188">
        <f t="shared" si="603"/>
        <v>0.42000000000000004</v>
      </c>
      <c r="I223" s="465">
        <f t="shared" si="604"/>
        <v>59.975943738783762</v>
      </c>
      <c r="J223" s="149">
        <f t="shared" si="605"/>
        <v>5.4144337567297409</v>
      </c>
      <c r="K223" s="149">
        <f t="shared" si="606"/>
        <v>65.390377495513505</v>
      </c>
      <c r="L223" s="379"/>
      <c r="M223" s="188">
        <f t="shared" si="607"/>
        <v>8.28096321966421E-2</v>
      </c>
      <c r="N223" s="149">
        <f t="shared" si="608"/>
        <v>12.788958542262097</v>
      </c>
      <c r="O223" s="149">
        <f t="shared" si="599"/>
        <v>0.42000000000000004</v>
      </c>
      <c r="P223" s="188">
        <f t="shared" si="609"/>
        <v>2.5577917084524193</v>
      </c>
      <c r="Q223" s="188">
        <f t="shared" si="610"/>
        <v>5</v>
      </c>
      <c r="R223" s="188"/>
      <c r="S223" s="149">
        <f t="shared" si="611"/>
        <v>1725.0362857688947</v>
      </c>
      <c r="T223" s="149">
        <f t="shared" si="612"/>
        <v>5</v>
      </c>
      <c r="U223" s="188">
        <f t="shared" si="613"/>
        <v>0.18316808145549404</v>
      </c>
      <c r="V223" s="188">
        <f t="shared" si="614"/>
        <v>3.6648309979732244E-2</v>
      </c>
      <c r="W223" s="188">
        <f t="shared" si="615"/>
        <v>0.40595509636330046</v>
      </c>
      <c r="X223" s="172">
        <f t="shared" si="616"/>
        <v>350</v>
      </c>
      <c r="Y223" s="379">
        <f t="shared" si="680"/>
        <v>350</v>
      </c>
      <c r="AA223" s="188">
        <f t="shared" si="617"/>
        <v>1.1824070219231924</v>
      </c>
      <c r="AB223" s="150">
        <f t="shared" si="618"/>
        <v>2.6205666004210642</v>
      </c>
      <c r="AC223" s="150">
        <f t="shared" si="619"/>
        <v>0.54225086120716959</v>
      </c>
      <c r="AD223" s="150"/>
      <c r="AE223" s="150">
        <f t="shared" si="620"/>
        <v>2.216298238958947</v>
      </c>
      <c r="AF223" s="314">
        <f t="shared" si="621"/>
        <v>75.802072594216384</v>
      </c>
      <c r="AG223" s="456">
        <f t="shared" si="622"/>
        <v>0.38785219181781572</v>
      </c>
      <c r="AI223" s="150">
        <f t="shared" si="623"/>
        <v>0.46537871703505057</v>
      </c>
      <c r="AJ223" s="150">
        <f t="shared" si="624"/>
        <v>1</v>
      </c>
      <c r="AK223" s="150">
        <f t="shared" si="625"/>
        <v>1.0433154700538378</v>
      </c>
      <c r="AM223" s="314">
        <f t="shared" si="626"/>
        <v>84</v>
      </c>
      <c r="AN223" s="144">
        <f t="shared" si="627"/>
        <v>75.802072594216384</v>
      </c>
      <c r="AP223">
        <f t="shared" si="628"/>
        <v>84</v>
      </c>
      <c r="AQ223">
        <f t="shared" si="629"/>
        <v>75.802072594216384</v>
      </c>
      <c r="AS223" s="5">
        <f t="shared" si="600"/>
        <v>13.192251422374682</v>
      </c>
      <c r="AT223" s="5">
        <f t="shared" si="630"/>
        <v>0.20008021970048862</v>
      </c>
      <c r="AU223" s="5">
        <f t="shared" si="478"/>
        <v>12.992171202674193</v>
      </c>
      <c r="AV223" s="5"/>
      <c r="AW223" s="150">
        <f t="shared" si="479"/>
        <v>1.5166495338403202E-2</v>
      </c>
      <c r="AX223" s="150">
        <f t="shared" si="631"/>
        <v>0.45481243556529832</v>
      </c>
      <c r="AY223" s="150">
        <f t="shared" si="632"/>
        <v>0.4924167523307984</v>
      </c>
      <c r="AZ223" s="150">
        <f t="shared" si="633"/>
        <v>0.92363314897898108</v>
      </c>
      <c r="BA223" s="144">
        <f t="shared" si="594"/>
        <v>0.33613476909682088</v>
      </c>
      <c r="BB223" s="5">
        <f t="shared" si="595"/>
        <v>3.7909031834003952E-2</v>
      </c>
      <c r="BD223" s="150">
        <f t="shared" si="681"/>
        <v>7.1102028424893757E-2</v>
      </c>
      <c r="BE223" s="150">
        <f t="shared" si="682"/>
        <v>0.57295535156519739</v>
      </c>
      <c r="BG223" s="456">
        <f t="shared" si="683"/>
        <v>1.01109968922688E-4</v>
      </c>
      <c r="BH223" s="456">
        <f t="shared" si="634"/>
        <v>9.2938615160214899E-2</v>
      </c>
      <c r="BI223" s="456">
        <f t="shared" si="635"/>
        <v>0.11365752102984811</v>
      </c>
      <c r="BJ223" s="456">
        <f t="shared" si="684"/>
        <v>3.2412219355929105E-2</v>
      </c>
      <c r="BK223">
        <f t="shared" si="685"/>
        <v>2.6989174682452693E-2</v>
      </c>
      <c r="BL223" s="144">
        <f t="shared" si="686"/>
        <v>140.64669571230078</v>
      </c>
      <c r="BM223" s="456">
        <f t="shared" si="636"/>
        <v>0.12548225872840565</v>
      </c>
      <c r="BN223" s="144">
        <f t="shared" si="687"/>
        <v>125.48225872840565</v>
      </c>
      <c r="BO223" s="456">
        <f t="shared" si="637"/>
        <v>5.8799999999999998E-2</v>
      </c>
      <c r="BR223" s="144">
        <f t="shared" si="688"/>
        <v>58.8</v>
      </c>
      <c r="BS223" s="456">
        <f t="shared" si="689"/>
        <v>1.5166495338403199E-4</v>
      </c>
      <c r="BT223" s="456">
        <f t="shared" si="690"/>
        <v>9.8483350466159678E-3</v>
      </c>
      <c r="BU223" s="456">
        <f t="shared" si="691"/>
        <v>2.5013398679335792E-3</v>
      </c>
      <c r="BV223" s="456"/>
      <c r="BW223" s="456">
        <f t="shared" si="692"/>
        <v>7.5802072594216395E-5</v>
      </c>
      <c r="BX223" s="144">
        <f t="shared" si="693"/>
        <v>12.577141940527797</v>
      </c>
      <c r="BY223" s="150">
        <f t="shared" si="694"/>
        <v>0.33747578213789536</v>
      </c>
      <c r="BZ223" s="5">
        <f t="shared" si="695"/>
        <v>0.42000000000000004</v>
      </c>
      <c r="CA223" s="150">
        <f t="shared" si="696"/>
        <v>0.5544731724816262</v>
      </c>
      <c r="CB223" s="5">
        <f t="shared" si="697"/>
        <v>55.447317248162619</v>
      </c>
      <c r="CE223" s="59">
        <f t="shared" si="638"/>
        <v>-50</v>
      </c>
      <c r="CF223">
        <f t="shared" si="639"/>
        <v>-50</v>
      </c>
      <c r="CG223" s="150">
        <f t="shared" si="640"/>
        <v>0.17459072140294288</v>
      </c>
      <c r="CI223" s="147">
        <v>7</v>
      </c>
      <c r="CJ223" s="188">
        <f t="shared" si="698"/>
        <v>8.4000000000000005E-2</v>
      </c>
      <c r="CK223" s="188"/>
      <c r="CL223" s="188">
        <f t="shared" si="641"/>
        <v>0.42000000000000004</v>
      </c>
      <c r="CM223" s="465">
        <f t="shared" si="642"/>
        <v>60</v>
      </c>
      <c r="CN223" s="379">
        <f t="shared" si="643"/>
        <v>5.4</v>
      </c>
      <c r="CO223" s="379">
        <f t="shared" si="644"/>
        <v>65.400000000000006</v>
      </c>
      <c r="CP223" s="379"/>
      <c r="CQ223" s="188">
        <f t="shared" si="645"/>
        <v>8.2568807339449546E-2</v>
      </c>
      <c r="CR223" s="149">
        <f t="shared" si="646"/>
        <v>12.756880733944957</v>
      </c>
      <c r="CS223" s="149">
        <f t="shared" si="647"/>
        <v>0.42000000000000004</v>
      </c>
      <c r="CT223" s="188">
        <f t="shared" si="648"/>
        <v>2.5513761467889915</v>
      </c>
      <c r="CU223" s="188">
        <f t="shared" si="649"/>
        <v>5</v>
      </c>
      <c r="CV223" s="188"/>
      <c r="CW223" s="149">
        <f t="shared" si="650"/>
        <v>1725.7281896642612</v>
      </c>
      <c r="CX223" s="149">
        <f t="shared" si="651"/>
        <v>5</v>
      </c>
      <c r="CY223" s="188">
        <f t="shared" si="652"/>
        <v>0.16955555555555554</v>
      </c>
      <c r="CZ223" s="188">
        <f t="shared" si="653"/>
        <v>3.3911111111111107E-2</v>
      </c>
      <c r="DA223" s="188">
        <f t="shared" si="654"/>
        <v>0.37679012345679003</v>
      </c>
      <c r="DB223" s="172">
        <f t="shared" si="655"/>
        <v>350</v>
      </c>
      <c r="DC223" s="379">
        <f t="shared" si="656"/>
        <v>350</v>
      </c>
      <c r="DE223" s="188">
        <f t="shared" si="657"/>
        <v>1.179554390563565</v>
      </c>
      <c r="DF223" s="150">
        <f t="shared" si="658"/>
        <v>2.6212319790301444</v>
      </c>
      <c r="DG223" s="150">
        <f t="shared" si="659"/>
        <v>0.54107999567136011</v>
      </c>
      <c r="DH223" s="150"/>
      <c r="DI223" s="150">
        <f t="shared" si="660"/>
        <v>2.2222222222222219</v>
      </c>
      <c r="DJ223" s="314">
        <f t="shared" si="661"/>
        <v>75.600000000000009</v>
      </c>
      <c r="DK223" s="456">
        <f t="shared" si="662"/>
        <v>0.38888888888888884</v>
      </c>
      <c r="DM223" s="150">
        <f t="shared" si="663"/>
        <v>0.46475800154489011</v>
      </c>
      <c r="DN223" s="150">
        <f t="shared" si="664"/>
        <v>1</v>
      </c>
      <c r="DO223" s="150">
        <f t="shared" si="665"/>
        <v>1.0431999999999999</v>
      </c>
      <c r="DQ223" s="314">
        <f t="shared" si="666"/>
        <v>84</v>
      </c>
      <c r="DR223" s="144">
        <f t="shared" si="667"/>
        <v>75.600000000000009</v>
      </c>
      <c r="DT223">
        <f t="shared" si="668"/>
        <v>84</v>
      </c>
      <c r="DU223">
        <f t="shared" si="669"/>
        <v>75.600000000000009</v>
      </c>
      <c r="DW223" s="5">
        <f t="shared" si="670"/>
        <v>13.227513227513226</v>
      </c>
      <c r="DX223" s="5">
        <f t="shared" si="671"/>
        <v>0.2</v>
      </c>
      <c r="DY223" s="5">
        <f t="shared" si="672"/>
        <v>13.027513227513227</v>
      </c>
      <c r="DZ223" s="5"/>
      <c r="EA223" s="150">
        <f t="shared" si="673"/>
        <v>1.5120000000000003E-2</v>
      </c>
      <c r="EB223" s="150">
        <f t="shared" si="699"/>
        <v>0.45360000000000006</v>
      </c>
      <c r="EC223" s="150">
        <f t="shared" si="700"/>
        <v>0.49243999999999999</v>
      </c>
      <c r="ED223" s="150">
        <f t="shared" si="701"/>
        <v>0.92112744699861926</v>
      </c>
      <c r="EE223" s="144">
        <f t="shared" si="674"/>
        <v>0.33600000000000002</v>
      </c>
      <c r="EF223" s="5">
        <f t="shared" si="675"/>
        <v>3.7996913580246913E-2</v>
      </c>
      <c r="EH223" s="150">
        <f t="shared" si="702"/>
        <v>7.0992957397195397E-2</v>
      </c>
      <c r="EI223" s="150">
        <f t="shared" si="703"/>
        <v>0.57296887640894889</v>
      </c>
      <c r="EK223" s="456">
        <f t="shared" si="704"/>
        <v>1.0080000000000001E-4</v>
      </c>
      <c r="EL223" s="456">
        <f t="shared" si="705"/>
        <v>9.8884800000000023E-2</v>
      </c>
      <c r="EM223" s="456">
        <f t="shared" si="706"/>
        <v>9.4500000000000018E-3</v>
      </c>
      <c r="EN223" s="456">
        <f t="shared" si="707"/>
        <v>3.2335329600000011E-2</v>
      </c>
      <c r="EO223">
        <f t="shared" si="708"/>
        <v>2.7E-2</v>
      </c>
      <c r="EP223" s="144">
        <f t="shared" si="709"/>
        <v>36.450000000000003</v>
      </c>
      <c r="EQ223" s="144"/>
      <c r="ER223" s="144">
        <f t="shared" si="710"/>
        <v>167.77092960000004</v>
      </c>
      <c r="ES223" s="456">
        <f t="shared" si="711"/>
        <v>5.8799999999999998E-2</v>
      </c>
      <c r="EV223" s="144">
        <f t="shared" si="712"/>
        <v>58.8</v>
      </c>
      <c r="EW223" s="456">
        <f t="shared" si="713"/>
        <v>1.5119999999999999E-4</v>
      </c>
      <c r="EX223" s="456">
        <f t="shared" si="714"/>
        <v>9.8487999999999996E-3</v>
      </c>
      <c r="EY223" s="456">
        <f t="shared" si="715"/>
        <v>2.4847030500030403E-3</v>
      </c>
      <c r="EZ223" s="456"/>
      <c r="FA223" s="456">
        <f t="shared" si="716"/>
        <v>7.5600000000000022E-5</v>
      </c>
      <c r="FB223" s="144">
        <f t="shared" si="717"/>
        <v>12.560303050003039</v>
      </c>
      <c r="FC223" s="150">
        <f t="shared" si="718"/>
        <v>0.23913123265000305</v>
      </c>
      <c r="FD223" s="5">
        <f t="shared" si="719"/>
        <v>0.42000000000000004</v>
      </c>
      <c r="FE223" s="150">
        <f t="shared" si="720"/>
        <v>0.63720239490307828</v>
      </c>
      <c r="FF223" s="5">
        <f t="shared" si="721"/>
        <v>63.720239490307826</v>
      </c>
      <c r="FI223" s="59">
        <f t="shared" si="676"/>
        <v>-50</v>
      </c>
      <c r="FJ223">
        <f t="shared" si="677"/>
        <v>-50</v>
      </c>
      <c r="FL223">
        <f t="shared" si="678"/>
        <v>0.16800000000000001</v>
      </c>
    </row>
    <row r="224" spans="5:168">
      <c r="E224" s="147">
        <v>8</v>
      </c>
      <c r="F224" s="188">
        <f t="shared" si="679"/>
        <v>9.6000000000000002E-2</v>
      </c>
      <c r="G224" s="188"/>
      <c r="H224" s="188">
        <f t="shared" si="603"/>
        <v>0.48</v>
      </c>
      <c r="I224" s="465">
        <f t="shared" si="604"/>
        <v>59.975943738783762</v>
      </c>
      <c r="J224" s="149">
        <f t="shared" si="605"/>
        <v>5.4144337567297409</v>
      </c>
      <c r="K224" s="149">
        <f t="shared" si="606"/>
        <v>65.390377495513505</v>
      </c>
      <c r="L224" s="379"/>
      <c r="M224" s="188">
        <f t="shared" si="607"/>
        <v>8.28096321966421E-2</v>
      </c>
      <c r="N224" s="149">
        <f t="shared" si="608"/>
        <v>12.788958542262097</v>
      </c>
      <c r="O224" s="149">
        <f t="shared" si="599"/>
        <v>0.48</v>
      </c>
      <c r="P224" s="188">
        <f t="shared" si="609"/>
        <v>2.5577917084524193</v>
      </c>
      <c r="Q224" s="188">
        <f t="shared" si="610"/>
        <v>5</v>
      </c>
      <c r="R224" s="188"/>
      <c r="S224" s="149">
        <f t="shared" si="611"/>
        <v>1501.9135600802827</v>
      </c>
      <c r="T224" s="149">
        <f t="shared" si="612"/>
        <v>5</v>
      </c>
      <c r="U224" s="188">
        <f t="shared" si="613"/>
        <v>0.20933495023485033</v>
      </c>
      <c r="V224" s="188">
        <f t="shared" si="614"/>
        <v>4.1883782833979706E-2</v>
      </c>
      <c r="W224" s="188">
        <f t="shared" si="615"/>
        <v>0.46394868155805757</v>
      </c>
      <c r="X224" s="172">
        <f t="shared" si="616"/>
        <v>350</v>
      </c>
      <c r="Y224" s="379">
        <f t="shared" si="680"/>
        <v>350</v>
      </c>
      <c r="AA224" s="188">
        <f t="shared" si="617"/>
        <v>1.1824070219231924</v>
      </c>
      <c r="AB224" s="150">
        <f t="shared" si="618"/>
        <v>2.6205666004210642</v>
      </c>
      <c r="AC224" s="150">
        <f t="shared" si="619"/>
        <v>0.54225086120716959</v>
      </c>
      <c r="AD224" s="150"/>
      <c r="AE224" s="150">
        <f t="shared" si="620"/>
        <v>2.216298238958947</v>
      </c>
      <c r="AF224" s="314">
        <f t="shared" si="621"/>
        <v>86.630940107675869</v>
      </c>
      <c r="AG224" s="456">
        <f t="shared" si="622"/>
        <v>0.38785219181781572</v>
      </c>
      <c r="AI224" s="150">
        <f t="shared" si="623"/>
        <v>0.49751077549759337</v>
      </c>
      <c r="AJ224" s="150">
        <f t="shared" si="624"/>
        <v>1</v>
      </c>
      <c r="AK224" s="150">
        <f t="shared" si="625"/>
        <v>1.0495033943472434</v>
      </c>
      <c r="AM224" s="314">
        <f t="shared" si="626"/>
        <v>96</v>
      </c>
      <c r="AN224" s="144">
        <f t="shared" si="627"/>
        <v>86.630940107675869</v>
      </c>
      <c r="AP224">
        <f t="shared" si="628"/>
        <v>96</v>
      </c>
      <c r="AQ224">
        <f t="shared" si="629"/>
        <v>86.630940107675869</v>
      </c>
      <c r="AS224" s="5">
        <f t="shared" si="600"/>
        <v>11.543219994577846</v>
      </c>
      <c r="AT224" s="5">
        <f t="shared" si="630"/>
        <v>0.20008021970048862</v>
      </c>
      <c r="AU224" s="5">
        <f t="shared" si="478"/>
        <v>11.343139774877358</v>
      </c>
      <c r="AV224" s="5"/>
      <c r="AW224" s="150">
        <f t="shared" si="479"/>
        <v>1.7333137529603658E-2</v>
      </c>
      <c r="AX224" s="150">
        <f t="shared" si="631"/>
        <v>0.51978564064605526</v>
      </c>
      <c r="AY224" s="150">
        <f t="shared" si="632"/>
        <v>0.49133343123519818</v>
      </c>
      <c r="AZ224" s="150">
        <f t="shared" si="633"/>
        <v>1.057908148727696</v>
      </c>
      <c r="BA224" s="144">
        <f t="shared" si="594"/>
        <v>0.38415402182493813</v>
      </c>
      <c r="BB224" s="5">
        <f t="shared" si="595"/>
        <v>3.782563163751354E-2</v>
      </c>
      <c r="BD224" s="150">
        <f t="shared" si="681"/>
        <v>7.6011265677318418E-2</v>
      </c>
      <c r="BE224" s="150">
        <f t="shared" si="682"/>
        <v>0.57232475118892545</v>
      </c>
      <c r="BG224" s="456">
        <f t="shared" si="683"/>
        <v>1.155542501973577E-4</v>
      </c>
      <c r="BH224" s="456">
        <f t="shared" si="634"/>
        <v>0.10621556018310273</v>
      </c>
      <c r="BI224" s="456">
        <f t="shared" si="635"/>
        <v>0.12989430974839786</v>
      </c>
      <c r="BJ224" s="456">
        <f t="shared" si="684"/>
        <v>3.7042536406776121E-2</v>
      </c>
      <c r="BK224">
        <f t="shared" si="685"/>
        <v>2.6989174682452693E-2</v>
      </c>
      <c r="BL224" s="144">
        <f t="shared" si="686"/>
        <v>156.88348443085053</v>
      </c>
      <c r="BM224" s="456">
        <f t="shared" si="636"/>
        <v>0.14340878787483069</v>
      </c>
      <c r="BN224" s="144">
        <f t="shared" si="687"/>
        <v>143.40878787483069</v>
      </c>
      <c r="BO224" s="456">
        <f t="shared" si="637"/>
        <v>6.7199999999999996E-2</v>
      </c>
      <c r="BR224" s="144">
        <f t="shared" si="688"/>
        <v>67.2</v>
      </c>
      <c r="BS224" s="456">
        <f t="shared" si="689"/>
        <v>1.7333137529603653E-4</v>
      </c>
      <c r="BT224" s="456">
        <f t="shared" si="690"/>
        <v>9.8266686247039624E-3</v>
      </c>
      <c r="BU224" s="456">
        <f t="shared" si="691"/>
        <v>3.4926299405008423E-3</v>
      </c>
      <c r="BV224" s="456"/>
      <c r="BW224" s="456">
        <f t="shared" si="692"/>
        <v>8.6630940107675872E-5</v>
      </c>
      <c r="BX224" s="144">
        <f t="shared" si="693"/>
        <v>13.579260880608517</v>
      </c>
      <c r="BY224" s="150">
        <f t="shared" si="694"/>
        <v>0.38103639615153528</v>
      </c>
      <c r="BZ224" s="5">
        <f t="shared" si="695"/>
        <v>0.48</v>
      </c>
      <c r="CA224" s="150">
        <f t="shared" si="696"/>
        <v>0.55746772394917898</v>
      </c>
      <c r="CB224" s="5">
        <f t="shared" si="697"/>
        <v>55.746772394917897</v>
      </c>
      <c r="CE224" s="59">
        <f t="shared" si="638"/>
        <v>-50</v>
      </c>
      <c r="CF224">
        <f t="shared" si="639"/>
        <v>-50</v>
      </c>
      <c r="CG224" s="150">
        <f t="shared" si="640"/>
        <v>0.19953225303193467</v>
      </c>
      <c r="CI224" s="147">
        <v>8</v>
      </c>
      <c r="CJ224" s="188">
        <f t="shared" si="698"/>
        <v>9.6000000000000002E-2</v>
      </c>
      <c r="CK224" s="188"/>
      <c r="CL224" s="188">
        <f t="shared" si="641"/>
        <v>0.48</v>
      </c>
      <c r="CM224" s="465">
        <f t="shared" si="642"/>
        <v>60</v>
      </c>
      <c r="CN224" s="379">
        <f t="shared" si="643"/>
        <v>5.4</v>
      </c>
      <c r="CO224" s="379">
        <f t="shared" si="644"/>
        <v>65.400000000000006</v>
      </c>
      <c r="CP224" s="379"/>
      <c r="CQ224" s="188">
        <f t="shared" si="645"/>
        <v>8.2568807339449546E-2</v>
      </c>
      <c r="CR224" s="149">
        <f t="shared" si="646"/>
        <v>12.756880733944957</v>
      </c>
      <c r="CS224" s="149">
        <f t="shared" si="647"/>
        <v>0.48</v>
      </c>
      <c r="CT224" s="188">
        <f t="shared" si="648"/>
        <v>2.5513761467889915</v>
      </c>
      <c r="CU224" s="188">
        <f t="shared" si="649"/>
        <v>5</v>
      </c>
      <c r="CV224" s="188"/>
      <c r="CW224" s="149">
        <f t="shared" si="650"/>
        <v>1502.5159689566785</v>
      </c>
      <c r="CX224" s="149">
        <f t="shared" si="651"/>
        <v>5</v>
      </c>
      <c r="CY224" s="188">
        <f t="shared" si="652"/>
        <v>0.19377777777777774</v>
      </c>
      <c r="CZ224" s="188">
        <f t="shared" si="653"/>
        <v>3.875555555555555E-2</v>
      </c>
      <c r="DA224" s="188">
        <f t="shared" si="654"/>
        <v>0.43061728395061721</v>
      </c>
      <c r="DB224" s="172">
        <f t="shared" si="655"/>
        <v>350</v>
      </c>
      <c r="DC224" s="379">
        <f t="shared" si="656"/>
        <v>350</v>
      </c>
      <c r="DE224" s="188">
        <f t="shared" si="657"/>
        <v>1.179554390563565</v>
      </c>
      <c r="DF224" s="150">
        <f t="shared" si="658"/>
        <v>2.6212319790301444</v>
      </c>
      <c r="DG224" s="150">
        <f t="shared" si="659"/>
        <v>0.54107999567136011</v>
      </c>
      <c r="DH224" s="150"/>
      <c r="DI224" s="150">
        <f t="shared" si="660"/>
        <v>2.2222222222222219</v>
      </c>
      <c r="DJ224" s="314">
        <f t="shared" si="661"/>
        <v>86.40000000000002</v>
      </c>
      <c r="DK224" s="456">
        <f t="shared" si="662"/>
        <v>0.38888888888888884</v>
      </c>
      <c r="DM224" s="150">
        <f t="shared" si="663"/>
        <v>0.49684720272649507</v>
      </c>
      <c r="DN224" s="150">
        <f t="shared" si="664"/>
        <v>1</v>
      </c>
      <c r="DO224" s="150">
        <f t="shared" si="665"/>
        <v>1.0493714285714286</v>
      </c>
      <c r="DQ224" s="314">
        <f t="shared" si="666"/>
        <v>96</v>
      </c>
      <c r="DR224" s="144">
        <f t="shared" si="667"/>
        <v>86.40000000000002</v>
      </c>
      <c r="DT224">
        <f t="shared" si="668"/>
        <v>96</v>
      </c>
      <c r="DU224">
        <f t="shared" si="669"/>
        <v>86.40000000000002</v>
      </c>
      <c r="DW224" s="5">
        <f t="shared" si="670"/>
        <v>11.574074074074071</v>
      </c>
      <c r="DX224" s="5">
        <f t="shared" si="671"/>
        <v>0.2</v>
      </c>
      <c r="DY224" s="5">
        <f t="shared" si="672"/>
        <v>11.374074074074072</v>
      </c>
      <c r="DZ224" s="5"/>
      <c r="EA224" s="150">
        <f t="shared" si="673"/>
        <v>1.7280000000000007E-2</v>
      </c>
      <c r="EB224" s="150">
        <f t="shared" si="699"/>
        <v>0.51840000000000008</v>
      </c>
      <c r="EC224" s="150">
        <f t="shared" si="700"/>
        <v>0.49136000000000002</v>
      </c>
      <c r="ED224" s="150">
        <f t="shared" si="701"/>
        <v>1.055030934549007</v>
      </c>
      <c r="EE224" s="144">
        <f t="shared" si="674"/>
        <v>0.38400000000000001</v>
      </c>
      <c r="EF224" s="5">
        <f t="shared" si="675"/>
        <v>3.7913580246913568E-2</v>
      </c>
      <c r="EH224" s="150">
        <f t="shared" si="702"/>
        <v>7.5894663844041116E-2</v>
      </c>
      <c r="EI224" s="150">
        <f t="shared" si="703"/>
        <v>0.57234022515749605</v>
      </c>
      <c r="EK224" s="456">
        <f t="shared" si="704"/>
        <v>1.1520000000000005E-4</v>
      </c>
      <c r="EL224" s="456">
        <f t="shared" si="705"/>
        <v>0.11301120000000003</v>
      </c>
      <c r="EM224" s="456">
        <f t="shared" si="706"/>
        <v>1.0800000000000002E-2</v>
      </c>
      <c r="EN224" s="456">
        <f t="shared" si="707"/>
        <v>3.6954662400000018E-2</v>
      </c>
      <c r="EO224">
        <f t="shared" si="708"/>
        <v>2.7E-2</v>
      </c>
      <c r="EP224" s="144">
        <f t="shared" si="709"/>
        <v>37.799999999999997</v>
      </c>
      <c r="EQ224" s="144"/>
      <c r="ER224" s="144">
        <f t="shared" si="710"/>
        <v>187.88106240000005</v>
      </c>
      <c r="ES224" s="456">
        <f t="shared" si="711"/>
        <v>6.7199999999999996E-2</v>
      </c>
      <c r="EV224" s="144">
        <f t="shared" si="712"/>
        <v>67.2</v>
      </c>
      <c r="EW224" s="456">
        <f t="shared" si="713"/>
        <v>1.7280000000000005E-4</v>
      </c>
      <c r="EX224" s="456">
        <f t="shared" si="714"/>
        <v>9.8271999999999977E-3</v>
      </c>
      <c r="EY224" s="456">
        <f t="shared" si="715"/>
        <v>3.4693998912125462E-3</v>
      </c>
      <c r="EZ224" s="456"/>
      <c r="FA224" s="456">
        <f t="shared" si="716"/>
        <v>8.6400000000000013E-5</v>
      </c>
      <c r="FB224" s="144">
        <f t="shared" si="717"/>
        <v>13.555799891212546</v>
      </c>
      <c r="FC224" s="150">
        <f t="shared" si="718"/>
        <v>0.26863686229121253</v>
      </c>
      <c r="FD224" s="5">
        <f t="shared" si="719"/>
        <v>0.48</v>
      </c>
      <c r="FE224" s="150">
        <f t="shared" si="720"/>
        <v>0.64116532884976296</v>
      </c>
      <c r="FF224" s="5">
        <f t="shared" si="721"/>
        <v>64.116532884976294</v>
      </c>
      <c r="FI224" s="59">
        <f t="shared" si="676"/>
        <v>-50</v>
      </c>
      <c r="FJ224">
        <f t="shared" si="677"/>
        <v>-50</v>
      </c>
      <c r="FL224">
        <f t="shared" si="678"/>
        <v>0.19200000000000003</v>
      </c>
    </row>
    <row r="225" spans="5:168">
      <c r="E225" s="147">
        <v>9</v>
      </c>
      <c r="F225" s="188">
        <f t="shared" si="679"/>
        <v>0.108</v>
      </c>
      <c r="G225" s="188"/>
      <c r="H225" s="188">
        <f t="shared" si="603"/>
        <v>0.54</v>
      </c>
      <c r="I225" s="465">
        <f t="shared" si="604"/>
        <v>59.975943738783762</v>
      </c>
      <c r="J225" s="149">
        <f t="shared" si="605"/>
        <v>5.4144337567297409</v>
      </c>
      <c r="K225" s="149">
        <f t="shared" si="606"/>
        <v>65.390377495513505</v>
      </c>
      <c r="L225" s="379"/>
      <c r="M225" s="188">
        <f t="shared" si="607"/>
        <v>8.28096321966421E-2</v>
      </c>
      <c r="N225" s="149">
        <f t="shared" si="608"/>
        <v>12.788958542262097</v>
      </c>
      <c r="O225" s="149">
        <f t="shared" si="599"/>
        <v>0.54</v>
      </c>
      <c r="P225" s="188">
        <f t="shared" si="609"/>
        <v>2.5577917084524193</v>
      </c>
      <c r="Q225" s="188">
        <f t="shared" si="610"/>
        <v>5</v>
      </c>
      <c r="R225" s="188"/>
      <c r="S225" s="149">
        <f t="shared" si="611"/>
        <v>1328.3741417702095</v>
      </c>
      <c r="T225" s="149">
        <f t="shared" si="612"/>
        <v>5</v>
      </c>
      <c r="U225" s="188">
        <f t="shared" si="613"/>
        <v>0.23550181901420664</v>
      </c>
      <c r="V225" s="188">
        <f t="shared" si="614"/>
        <v>4.7119255688227175E-2</v>
      </c>
      <c r="W225" s="188">
        <f t="shared" si="615"/>
        <v>0.52194226675281485</v>
      </c>
      <c r="X225" s="172">
        <f t="shared" si="616"/>
        <v>350</v>
      </c>
      <c r="Y225" s="379">
        <f t="shared" si="680"/>
        <v>350</v>
      </c>
      <c r="AA225" s="188">
        <f t="shared" si="617"/>
        <v>1.1824070219231924</v>
      </c>
      <c r="AB225" s="150">
        <f t="shared" si="618"/>
        <v>2.6205666004210642</v>
      </c>
      <c r="AC225" s="150">
        <f t="shared" si="619"/>
        <v>0.54225086120716959</v>
      </c>
      <c r="AD225" s="150"/>
      <c r="AE225" s="150">
        <f t="shared" si="620"/>
        <v>2.216298238958947</v>
      </c>
      <c r="AF225" s="314">
        <f t="shared" si="621"/>
        <v>97.459807621135354</v>
      </c>
      <c r="AG225" s="456">
        <f t="shared" si="622"/>
        <v>0.38785219181781572</v>
      </c>
      <c r="AI225" s="150">
        <f t="shared" si="623"/>
        <v>0.52768986460158951</v>
      </c>
      <c r="AJ225" s="150">
        <f t="shared" si="624"/>
        <v>1</v>
      </c>
      <c r="AK225" s="150">
        <f t="shared" si="625"/>
        <v>1.0556913186406487</v>
      </c>
      <c r="AM225" s="314">
        <f t="shared" si="626"/>
        <v>108</v>
      </c>
      <c r="AN225" s="144">
        <f t="shared" si="627"/>
        <v>97.459807621135354</v>
      </c>
      <c r="AP225">
        <f t="shared" si="628"/>
        <v>108</v>
      </c>
      <c r="AQ225">
        <f t="shared" si="629"/>
        <v>97.459807621135354</v>
      </c>
      <c r="AS225" s="5">
        <f t="shared" si="600"/>
        <v>10.260639995180307</v>
      </c>
      <c r="AT225" s="5">
        <f t="shared" si="630"/>
        <v>0.20008021970048862</v>
      </c>
      <c r="AU225" s="5">
        <f t="shared" si="478"/>
        <v>10.060559775479819</v>
      </c>
      <c r="AV225" s="5"/>
      <c r="AW225" s="150">
        <f t="shared" si="479"/>
        <v>1.9499779720804116E-2</v>
      </c>
      <c r="AX225" s="150">
        <f t="shared" si="631"/>
        <v>0.58475884572681214</v>
      </c>
      <c r="AY225" s="150">
        <f t="shared" si="632"/>
        <v>0.49025011013959796</v>
      </c>
      <c r="AZ225" s="150">
        <f t="shared" si="633"/>
        <v>1.1927765718610506</v>
      </c>
      <c r="BA225" s="144">
        <f t="shared" si="594"/>
        <v>0.43217327455305543</v>
      </c>
      <c r="BB225" s="5">
        <f t="shared" si="595"/>
        <v>3.7742231441023136E-2</v>
      </c>
      <c r="BD225" s="150">
        <f t="shared" si="681"/>
        <v>8.0622122110506192E-2</v>
      </c>
      <c r="BE225" s="150">
        <f t="shared" si="682"/>
        <v>0.57169345523604864</v>
      </c>
      <c r="BG225" s="456">
        <f t="shared" si="683"/>
        <v>1.2999853147202745E-4</v>
      </c>
      <c r="BH225" s="456">
        <f t="shared" si="634"/>
        <v>0.11949250520599058</v>
      </c>
      <c r="BI225" s="456">
        <f t="shared" si="635"/>
        <v>0.14613109846694758</v>
      </c>
      <c r="BJ225" s="456">
        <f t="shared" si="684"/>
        <v>4.1672853457623137E-2</v>
      </c>
      <c r="BK225">
        <f t="shared" si="685"/>
        <v>2.6989174682452693E-2</v>
      </c>
      <c r="BL225" s="144">
        <f t="shared" si="686"/>
        <v>173.12027314940025</v>
      </c>
      <c r="BM225" s="456">
        <f t="shared" si="636"/>
        <v>0.16133544007136261</v>
      </c>
      <c r="BN225" s="144">
        <f t="shared" si="687"/>
        <v>161.3354400713626</v>
      </c>
      <c r="BO225" s="456">
        <f t="shared" si="637"/>
        <v>7.5600000000000001E-2</v>
      </c>
      <c r="BR225" s="144">
        <f t="shared" si="688"/>
        <v>75.599999999999994</v>
      </c>
      <c r="BS225" s="456">
        <f t="shared" si="689"/>
        <v>1.9499779720804115E-4</v>
      </c>
      <c r="BT225" s="456">
        <f t="shared" si="690"/>
        <v>9.805002202791957E-3</v>
      </c>
      <c r="BU225" s="456">
        <f t="shared" si="691"/>
        <v>4.6884995513289344E-3</v>
      </c>
      <c r="BV225" s="456"/>
      <c r="BW225" s="456">
        <f t="shared" si="692"/>
        <v>9.7459807621135363E-5</v>
      </c>
      <c r="BX225" s="144">
        <f t="shared" si="693"/>
        <v>14.78595935895007</v>
      </c>
      <c r="BY225" s="150">
        <f t="shared" si="694"/>
        <v>0.42480158970343612</v>
      </c>
      <c r="BZ225" s="5">
        <f t="shared" si="695"/>
        <v>0.54</v>
      </c>
      <c r="CA225" s="150">
        <f t="shared" si="696"/>
        <v>0.55970057031724729</v>
      </c>
      <c r="CB225" s="5">
        <f t="shared" si="697"/>
        <v>55.970057031724728</v>
      </c>
      <c r="CE225" s="59">
        <f t="shared" si="638"/>
        <v>-50</v>
      </c>
      <c r="CF225">
        <f t="shared" si="639"/>
        <v>-50</v>
      </c>
      <c r="CG225" s="150">
        <f t="shared" si="640"/>
        <v>0.22447378466092652</v>
      </c>
      <c r="CI225" s="147">
        <v>9</v>
      </c>
      <c r="CJ225" s="188">
        <f t="shared" si="698"/>
        <v>0.108</v>
      </c>
      <c r="CK225" s="188"/>
      <c r="CL225" s="188">
        <f t="shared" si="641"/>
        <v>0.54</v>
      </c>
      <c r="CM225" s="465">
        <f t="shared" si="642"/>
        <v>60</v>
      </c>
      <c r="CN225" s="379">
        <f t="shared" si="643"/>
        <v>5.4</v>
      </c>
      <c r="CO225" s="379">
        <f t="shared" si="644"/>
        <v>65.400000000000006</v>
      </c>
      <c r="CP225" s="379"/>
      <c r="CQ225" s="188">
        <f t="shared" si="645"/>
        <v>8.2568807339449546E-2</v>
      </c>
      <c r="CR225" s="149">
        <f t="shared" si="646"/>
        <v>12.756880733944957</v>
      </c>
      <c r="CS225" s="149">
        <f t="shared" si="647"/>
        <v>0.54</v>
      </c>
      <c r="CT225" s="188">
        <f t="shared" si="648"/>
        <v>2.5513761467889915</v>
      </c>
      <c r="CU225" s="188">
        <f t="shared" si="649"/>
        <v>5</v>
      </c>
      <c r="CV225" s="188"/>
      <c r="CW225" s="149">
        <f t="shared" si="650"/>
        <v>1328.9069434097948</v>
      </c>
      <c r="CX225" s="149">
        <f t="shared" si="651"/>
        <v>5</v>
      </c>
      <c r="CY225" s="188">
        <f t="shared" si="652"/>
        <v>0.218</v>
      </c>
      <c r="CZ225" s="188">
        <f t="shared" si="653"/>
        <v>4.36E-2</v>
      </c>
      <c r="DA225" s="188">
        <f t="shared" si="654"/>
        <v>0.48444444444444434</v>
      </c>
      <c r="DB225" s="172">
        <f t="shared" si="655"/>
        <v>350</v>
      </c>
      <c r="DC225" s="379">
        <f t="shared" si="656"/>
        <v>350</v>
      </c>
      <c r="DE225" s="188">
        <f t="shared" si="657"/>
        <v>1.179554390563565</v>
      </c>
      <c r="DF225" s="150">
        <f t="shared" si="658"/>
        <v>2.6212319790301444</v>
      </c>
      <c r="DG225" s="150">
        <f t="shared" si="659"/>
        <v>0.54107999567136011</v>
      </c>
      <c r="DH225" s="150"/>
      <c r="DI225" s="150">
        <f t="shared" si="660"/>
        <v>2.2222222222222219</v>
      </c>
      <c r="DJ225" s="314">
        <f t="shared" si="661"/>
        <v>97.2</v>
      </c>
      <c r="DK225" s="456">
        <f t="shared" si="662"/>
        <v>0.38888888888888884</v>
      </c>
      <c r="DM225" s="150">
        <f t="shared" si="663"/>
        <v>0.52698603939220789</v>
      </c>
      <c r="DN225" s="150">
        <f t="shared" si="664"/>
        <v>1</v>
      </c>
      <c r="DO225" s="150">
        <f t="shared" si="665"/>
        <v>1.0555428571428571</v>
      </c>
      <c r="DQ225" s="314">
        <f t="shared" si="666"/>
        <v>108</v>
      </c>
      <c r="DR225" s="144">
        <f t="shared" si="667"/>
        <v>97.2</v>
      </c>
      <c r="DT225">
        <f t="shared" si="668"/>
        <v>108</v>
      </c>
      <c r="DU225">
        <f t="shared" si="669"/>
        <v>97.2</v>
      </c>
      <c r="DW225" s="5">
        <f t="shared" si="670"/>
        <v>10.2880658436214</v>
      </c>
      <c r="DX225" s="5">
        <f t="shared" si="671"/>
        <v>0.2</v>
      </c>
      <c r="DY225" s="5">
        <f t="shared" si="672"/>
        <v>10.088065843621401</v>
      </c>
      <c r="DZ225" s="5"/>
      <c r="EA225" s="150">
        <f t="shared" si="673"/>
        <v>1.9439999999999999E-2</v>
      </c>
      <c r="EB225" s="150">
        <f t="shared" si="699"/>
        <v>0.58320000000000005</v>
      </c>
      <c r="EC225" s="150">
        <f t="shared" si="700"/>
        <v>0.49027999999999999</v>
      </c>
      <c r="ED225" s="150">
        <f t="shared" si="701"/>
        <v>1.1895243534306927</v>
      </c>
      <c r="EE225" s="144">
        <f t="shared" si="674"/>
        <v>0.43200000000000005</v>
      </c>
      <c r="EF225" s="5">
        <f t="shared" si="675"/>
        <v>3.7830246913580251E-2</v>
      </c>
      <c r="EH225" s="150">
        <f t="shared" si="702"/>
        <v>8.0498447189992425E-2</v>
      </c>
      <c r="EI225" s="150">
        <f t="shared" si="703"/>
        <v>0.57171088264378289</v>
      </c>
      <c r="EK225" s="456">
        <f t="shared" si="704"/>
        <v>1.2960000000000001E-4</v>
      </c>
      <c r="EL225" s="456">
        <f t="shared" si="705"/>
        <v>0.12713760000000002</v>
      </c>
      <c r="EM225" s="456">
        <f t="shared" si="706"/>
        <v>1.2150000000000001E-2</v>
      </c>
      <c r="EN225" s="456">
        <f t="shared" si="707"/>
        <v>4.1573995200000005E-2</v>
      </c>
      <c r="EO225">
        <f t="shared" si="708"/>
        <v>2.7E-2</v>
      </c>
      <c r="EP225" s="144">
        <f t="shared" si="709"/>
        <v>39.150000000000006</v>
      </c>
      <c r="EQ225" s="144"/>
      <c r="ER225" s="144">
        <f t="shared" si="710"/>
        <v>207.99119519999999</v>
      </c>
      <c r="ES225" s="456">
        <f t="shared" si="711"/>
        <v>7.5600000000000001E-2</v>
      </c>
      <c r="EV225" s="144">
        <f t="shared" si="712"/>
        <v>75.599999999999994</v>
      </c>
      <c r="EW225" s="456">
        <f t="shared" si="713"/>
        <v>1.9439999999999998E-4</v>
      </c>
      <c r="EX225" s="456">
        <f t="shared" si="714"/>
        <v>9.8055999999999977E-3</v>
      </c>
      <c r="EY225" s="456">
        <f t="shared" si="715"/>
        <v>4.6573155789296486E-3</v>
      </c>
      <c r="EZ225" s="456"/>
      <c r="FA225" s="456">
        <f t="shared" si="716"/>
        <v>9.7200000000000004E-5</v>
      </c>
      <c r="FB225" s="144">
        <f t="shared" si="717"/>
        <v>14.754515578929649</v>
      </c>
      <c r="FC225" s="150">
        <f t="shared" si="718"/>
        <v>0.29834571077892963</v>
      </c>
      <c r="FD225" s="5">
        <f t="shared" si="719"/>
        <v>0.54</v>
      </c>
      <c r="FE225" s="150">
        <f t="shared" si="720"/>
        <v>0.64412567877072036</v>
      </c>
      <c r="FF225" s="5">
        <f t="shared" si="721"/>
        <v>64.412567877072036</v>
      </c>
      <c r="FI225" s="59">
        <f t="shared" si="676"/>
        <v>-50</v>
      </c>
      <c r="FJ225">
        <f t="shared" si="677"/>
        <v>-50</v>
      </c>
      <c r="FL225">
        <f t="shared" si="678"/>
        <v>0.216</v>
      </c>
    </row>
    <row r="226" spans="5:168">
      <c r="E226" s="147">
        <v>10</v>
      </c>
      <c r="F226" s="188">
        <f t="shared" si="679"/>
        <v>0.12</v>
      </c>
      <c r="G226" s="188"/>
      <c r="H226" s="188">
        <f t="shared" si="603"/>
        <v>0.6</v>
      </c>
      <c r="I226" s="465">
        <f t="shared" si="604"/>
        <v>59.975943738783762</v>
      </c>
      <c r="J226" s="149">
        <f t="shared" si="605"/>
        <v>5.4144337567297409</v>
      </c>
      <c r="K226" s="149">
        <f t="shared" si="606"/>
        <v>65.390377495513505</v>
      </c>
      <c r="L226" s="379"/>
      <c r="M226" s="188">
        <f t="shared" si="607"/>
        <v>8.28096321966421E-2</v>
      </c>
      <c r="N226" s="149">
        <f t="shared" si="608"/>
        <v>12.788958542262097</v>
      </c>
      <c r="O226" s="149">
        <f t="shared" si="599"/>
        <v>0.6</v>
      </c>
      <c r="P226" s="188">
        <f t="shared" si="609"/>
        <v>2.5577917084524193</v>
      </c>
      <c r="Q226" s="188">
        <f t="shared" si="610"/>
        <v>5</v>
      </c>
      <c r="R226" s="188"/>
      <c r="S226" s="149">
        <f t="shared" si="611"/>
        <v>1189.5430450985614</v>
      </c>
      <c r="T226" s="149">
        <f t="shared" si="612"/>
        <v>5</v>
      </c>
      <c r="U226" s="188">
        <f t="shared" si="613"/>
        <v>0.26166868779356289</v>
      </c>
      <c r="V226" s="188">
        <f t="shared" si="614"/>
        <v>5.2354728542474631E-2</v>
      </c>
      <c r="W226" s="188">
        <f t="shared" si="615"/>
        <v>0.57993585194757191</v>
      </c>
      <c r="X226" s="172">
        <f t="shared" si="616"/>
        <v>350</v>
      </c>
      <c r="Y226" s="379">
        <f t="shared" si="680"/>
        <v>350</v>
      </c>
      <c r="AA226" s="188">
        <f t="shared" si="617"/>
        <v>1.1824070219231924</v>
      </c>
      <c r="AB226" s="150">
        <f t="shared" si="618"/>
        <v>2.6205666004210642</v>
      </c>
      <c r="AC226" s="150">
        <f t="shared" si="619"/>
        <v>0.54225086120716959</v>
      </c>
      <c r="AD226" s="150"/>
      <c r="AE226" s="150">
        <f t="shared" si="620"/>
        <v>2.216298238958947</v>
      </c>
      <c r="AF226" s="314">
        <f t="shared" si="621"/>
        <v>108.28867513459481</v>
      </c>
      <c r="AG226" s="456">
        <f t="shared" si="622"/>
        <v>0.38785219181781572</v>
      </c>
      <c r="AI226" s="150">
        <f t="shared" si="623"/>
        <v>0.55623395677562781</v>
      </c>
      <c r="AJ226" s="150">
        <f t="shared" si="624"/>
        <v>1</v>
      </c>
      <c r="AK226" s="150">
        <f t="shared" si="625"/>
        <v>1.0618792429340542</v>
      </c>
      <c r="AM226" s="314">
        <f t="shared" si="626"/>
        <v>120</v>
      </c>
      <c r="AN226" s="144">
        <f t="shared" si="627"/>
        <v>108.28867513459481</v>
      </c>
      <c r="AP226">
        <f t="shared" si="628"/>
        <v>120</v>
      </c>
      <c r="AQ226">
        <f t="shared" si="629"/>
        <v>108.28867513459481</v>
      </c>
      <c r="AS226" s="5">
        <f t="shared" si="600"/>
        <v>9.2345759956622793</v>
      </c>
      <c r="AT226" s="5">
        <f t="shared" si="630"/>
        <v>0.20008021970048862</v>
      </c>
      <c r="AU226" s="5">
        <f t="shared" si="478"/>
        <v>9.0344957759617905</v>
      </c>
      <c r="AV226" s="5"/>
      <c r="AW226" s="150">
        <f t="shared" si="479"/>
        <v>2.1666421912004567E-2</v>
      </c>
      <c r="AX226" s="150">
        <f t="shared" si="631"/>
        <v>0.64973205080756891</v>
      </c>
      <c r="AY226" s="150">
        <f t="shared" si="632"/>
        <v>0.48916678904399774</v>
      </c>
      <c r="AZ226" s="150">
        <f t="shared" si="633"/>
        <v>1.3282423610101814</v>
      </c>
      <c r="BA226" s="144">
        <f t="shared" si="594"/>
        <v>0.48019252728117268</v>
      </c>
      <c r="BB226" s="5">
        <f t="shared" si="595"/>
        <v>3.7658831244532738E-2</v>
      </c>
      <c r="BD226" s="150">
        <f t="shared" si="681"/>
        <v>8.4983178555140287E-2</v>
      </c>
      <c r="BE226" s="150">
        <f t="shared" si="682"/>
        <v>0.57106146139973279</v>
      </c>
      <c r="BG226" s="456">
        <f t="shared" si="683"/>
        <v>1.4444281274669712E-4</v>
      </c>
      <c r="BH226" s="456">
        <f t="shared" si="634"/>
        <v>0.1327694502288784</v>
      </c>
      <c r="BI226" s="456">
        <f t="shared" si="635"/>
        <v>0.16236788718549727</v>
      </c>
      <c r="BJ226" s="456">
        <f t="shared" si="684"/>
        <v>4.6303170508470146E-2</v>
      </c>
      <c r="BK226">
        <f t="shared" si="685"/>
        <v>2.6989174682452693E-2</v>
      </c>
      <c r="BL226" s="144">
        <f t="shared" si="686"/>
        <v>189.35706186794997</v>
      </c>
      <c r="BM226" s="456">
        <f t="shared" si="636"/>
        <v>0.17926221531926817</v>
      </c>
      <c r="BN226" s="144">
        <f t="shared" si="687"/>
        <v>179.26221531926817</v>
      </c>
      <c r="BO226" s="456">
        <f t="shared" si="637"/>
        <v>8.3999999999999991E-2</v>
      </c>
      <c r="BR226" s="144">
        <f t="shared" si="688"/>
        <v>83.999999999999986</v>
      </c>
      <c r="BS226" s="456">
        <f t="shared" si="689"/>
        <v>2.1666421912004569E-4</v>
      </c>
      <c r="BT226" s="456">
        <f t="shared" si="690"/>
        <v>9.7833357808799551E-3</v>
      </c>
      <c r="BU226" s="456">
        <f t="shared" si="691"/>
        <v>6.1013734118835344E-3</v>
      </c>
      <c r="BV226" s="456"/>
      <c r="BW226" s="456">
        <f t="shared" si="692"/>
        <v>1.0828867513459481E-4</v>
      </c>
      <c r="BX226" s="144">
        <f t="shared" si="693"/>
        <v>16.209662087018131</v>
      </c>
      <c r="BY226" s="150">
        <f t="shared" si="694"/>
        <v>0.46878378750506333</v>
      </c>
      <c r="BZ226" s="5">
        <f t="shared" si="695"/>
        <v>0.6</v>
      </c>
      <c r="CA226" s="150">
        <f t="shared" si="696"/>
        <v>0.56138576110012106</v>
      </c>
      <c r="CB226" s="5">
        <f t="shared" si="697"/>
        <v>56.138576110012103</v>
      </c>
      <c r="CE226" s="59">
        <f t="shared" si="638"/>
        <v>-50</v>
      </c>
      <c r="CF226">
        <f t="shared" si="639"/>
        <v>-50</v>
      </c>
      <c r="CG226" s="150">
        <f t="shared" si="640"/>
        <v>0.24941531628991834</v>
      </c>
      <c r="CI226" s="147">
        <v>10</v>
      </c>
      <c r="CJ226" s="188">
        <f t="shared" si="698"/>
        <v>0.12</v>
      </c>
      <c r="CK226" s="188"/>
      <c r="CL226" s="188">
        <f t="shared" si="641"/>
        <v>0.6</v>
      </c>
      <c r="CM226" s="465">
        <f t="shared" si="642"/>
        <v>60</v>
      </c>
      <c r="CN226" s="379">
        <f t="shared" si="643"/>
        <v>5.4</v>
      </c>
      <c r="CO226" s="379">
        <f t="shared" si="644"/>
        <v>65.400000000000006</v>
      </c>
      <c r="CP226" s="379"/>
      <c r="CQ226" s="188">
        <f t="shared" si="645"/>
        <v>8.2568807339449546E-2</v>
      </c>
      <c r="CR226" s="149">
        <f t="shared" si="646"/>
        <v>12.756880733944957</v>
      </c>
      <c r="CS226" s="149">
        <f t="shared" si="647"/>
        <v>0.6</v>
      </c>
      <c r="CT226" s="188">
        <f t="shared" si="648"/>
        <v>2.5513761467889915</v>
      </c>
      <c r="CU226" s="188">
        <f t="shared" si="649"/>
        <v>5</v>
      </c>
      <c r="CV226" s="188"/>
      <c r="CW226" s="149">
        <f t="shared" si="650"/>
        <v>1190.0201609488713</v>
      </c>
      <c r="CX226" s="149">
        <f t="shared" si="651"/>
        <v>5</v>
      </c>
      <c r="CY226" s="188">
        <f t="shared" si="652"/>
        <v>0.2422222222222222</v>
      </c>
      <c r="CZ226" s="188">
        <f t="shared" si="653"/>
        <v>4.8444444444444443E-2</v>
      </c>
      <c r="DA226" s="188">
        <f t="shared" si="654"/>
        <v>0.53827160493827153</v>
      </c>
      <c r="DB226" s="172">
        <f t="shared" si="655"/>
        <v>350</v>
      </c>
      <c r="DC226" s="379">
        <f t="shared" si="656"/>
        <v>350</v>
      </c>
      <c r="DE226" s="188">
        <f t="shared" si="657"/>
        <v>1.179554390563565</v>
      </c>
      <c r="DF226" s="150">
        <f t="shared" si="658"/>
        <v>2.6212319790301444</v>
      </c>
      <c r="DG226" s="150">
        <f t="shared" si="659"/>
        <v>0.54107999567136011</v>
      </c>
      <c r="DH226" s="150"/>
      <c r="DI226" s="150">
        <f t="shared" si="660"/>
        <v>2.2222222222222219</v>
      </c>
      <c r="DJ226" s="314">
        <f t="shared" si="661"/>
        <v>108</v>
      </c>
      <c r="DK226" s="456">
        <f t="shared" si="662"/>
        <v>0.38888888888888884</v>
      </c>
      <c r="DM226" s="150">
        <f t="shared" si="663"/>
        <v>0.5554920598635309</v>
      </c>
      <c r="DN226" s="150">
        <f t="shared" si="664"/>
        <v>1</v>
      </c>
      <c r="DO226" s="150">
        <f t="shared" si="665"/>
        <v>1.0617142857142858</v>
      </c>
      <c r="DQ226" s="314">
        <f t="shared" si="666"/>
        <v>120</v>
      </c>
      <c r="DR226" s="144">
        <f t="shared" si="667"/>
        <v>108</v>
      </c>
      <c r="DT226">
        <f t="shared" si="668"/>
        <v>120</v>
      </c>
      <c r="DU226">
        <f t="shared" si="669"/>
        <v>108</v>
      </c>
      <c r="DW226" s="5">
        <f t="shared" si="670"/>
        <v>9.2592592592592595</v>
      </c>
      <c r="DX226" s="5">
        <f t="shared" si="671"/>
        <v>0.2</v>
      </c>
      <c r="DY226" s="5">
        <f t="shared" si="672"/>
        <v>9.0592592592592602</v>
      </c>
      <c r="DZ226" s="5"/>
      <c r="EA226" s="150">
        <f t="shared" si="673"/>
        <v>2.1600000000000001E-2</v>
      </c>
      <c r="EB226" s="150">
        <f t="shared" si="699"/>
        <v>0.64800000000000002</v>
      </c>
      <c r="EC226" s="150">
        <f t="shared" si="700"/>
        <v>0.48920000000000002</v>
      </c>
      <c r="ED226" s="150">
        <f t="shared" si="701"/>
        <v>1.3246116107931316</v>
      </c>
      <c r="EE226" s="144">
        <f t="shared" si="674"/>
        <v>0.48000000000000004</v>
      </c>
      <c r="EF226" s="5">
        <f t="shared" si="675"/>
        <v>3.7746913580246913E-2</v>
      </c>
      <c r="EH226" s="150">
        <f t="shared" si="702"/>
        <v>8.4852813742385708E-2</v>
      </c>
      <c r="EI226" s="150">
        <f t="shared" si="703"/>
        <v>0.57108084658245484</v>
      </c>
      <c r="EK226" s="456">
        <f t="shared" si="704"/>
        <v>1.44E-4</v>
      </c>
      <c r="EL226" s="456">
        <f t="shared" si="705"/>
        <v>0.14126400000000003</v>
      </c>
      <c r="EM226" s="456">
        <f t="shared" si="706"/>
        <v>1.35E-2</v>
      </c>
      <c r="EN226" s="456">
        <f t="shared" si="707"/>
        <v>4.6193328000000006E-2</v>
      </c>
      <c r="EO226">
        <f t="shared" si="708"/>
        <v>2.7E-2</v>
      </c>
      <c r="EP226" s="144">
        <f t="shared" si="709"/>
        <v>40.5</v>
      </c>
      <c r="EQ226" s="144"/>
      <c r="ER226" s="144">
        <f t="shared" si="710"/>
        <v>228.10132800000005</v>
      </c>
      <c r="ES226" s="456">
        <f t="shared" si="711"/>
        <v>8.3999999999999991E-2</v>
      </c>
      <c r="EV226" s="144">
        <f t="shared" si="712"/>
        <v>83.999999999999986</v>
      </c>
      <c r="EW226" s="456">
        <f t="shared" si="713"/>
        <v>2.1600000000000002E-4</v>
      </c>
      <c r="EX226" s="456">
        <f t="shared" si="714"/>
        <v>9.7839999999999993E-3</v>
      </c>
      <c r="EY226" s="456">
        <f t="shared" si="715"/>
        <v>6.0607921858450188E-3</v>
      </c>
      <c r="EZ226" s="456"/>
      <c r="FA226" s="456">
        <f t="shared" si="716"/>
        <v>1.08E-4</v>
      </c>
      <c r="FB226" s="144">
        <f t="shared" si="717"/>
        <v>16.168792185845017</v>
      </c>
      <c r="FC226" s="150">
        <f t="shared" si="718"/>
        <v>0.32827012018584506</v>
      </c>
      <c r="FD226" s="5">
        <f t="shared" si="719"/>
        <v>0.6</v>
      </c>
      <c r="FE226" s="150">
        <f t="shared" si="720"/>
        <v>0.64636358205721045</v>
      </c>
      <c r="FF226" s="5">
        <f t="shared" si="721"/>
        <v>64.636358205721052</v>
      </c>
      <c r="FI226" s="59">
        <f t="shared" si="676"/>
        <v>-50</v>
      </c>
      <c r="FJ226">
        <f t="shared" si="677"/>
        <v>-50</v>
      </c>
      <c r="FL226">
        <f t="shared" si="678"/>
        <v>0.24</v>
      </c>
    </row>
    <row r="227" spans="5:168">
      <c r="E227" s="147">
        <v>11</v>
      </c>
      <c r="F227" s="188">
        <f t="shared" si="679"/>
        <v>0.13200000000000001</v>
      </c>
      <c r="G227" s="188"/>
      <c r="H227" s="188">
        <f t="shared" si="603"/>
        <v>0.66</v>
      </c>
      <c r="I227" s="465">
        <f t="shared" si="604"/>
        <v>59.975943738783762</v>
      </c>
      <c r="J227" s="149">
        <f t="shared" si="605"/>
        <v>5.4144337567297409</v>
      </c>
      <c r="K227" s="149">
        <f t="shared" si="606"/>
        <v>65.390377495513505</v>
      </c>
      <c r="L227" s="379"/>
      <c r="M227" s="188">
        <f t="shared" si="607"/>
        <v>8.28096321966421E-2</v>
      </c>
      <c r="N227" s="149">
        <f t="shared" si="608"/>
        <v>12.788958542262097</v>
      </c>
      <c r="O227" s="149">
        <f t="shared" si="599"/>
        <v>0.66</v>
      </c>
      <c r="P227" s="188">
        <f t="shared" si="609"/>
        <v>2.5577917084524193</v>
      </c>
      <c r="Q227" s="188">
        <f t="shared" si="610"/>
        <v>5</v>
      </c>
      <c r="R227" s="188"/>
      <c r="S227" s="149">
        <f t="shared" si="611"/>
        <v>1075.9543701663174</v>
      </c>
      <c r="T227" s="149">
        <f t="shared" si="612"/>
        <v>5</v>
      </c>
      <c r="U227" s="188">
        <f t="shared" si="613"/>
        <v>0.28783555657291926</v>
      </c>
      <c r="V227" s="188">
        <f t="shared" si="614"/>
        <v>5.7590201396722107E-2</v>
      </c>
      <c r="W227" s="188">
        <f t="shared" si="615"/>
        <v>0.6379294371423293</v>
      </c>
      <c r="X227" s="172">
        <f t="shared" si="616"/>
        <v>350</v>
      </c>
      <c r="Y227" s="379">
        <f t="shared" si="680"/>
        <v>350</v>
      </c>
      <c r="AA227" s="188">
        <f t="shared" si="617"/>
        <v>1.1824070219231924</v>
      </c>
      <c r="AB227" s="150">
        <f t="shared" si="618"/>
        <v>2.6205666004210642</v>
      </c>
      <c r="AC227" s="150">
        <f t="shared" si="619"/>
        <v>0.54225086120716959</v>
      </c>
      <c r="AD227" s="150"/>
      <c r="AE227" s="150">
        <f t="shared" si="620"/>
        <v>2.216298238958947</v>
      </c>
      <c r="AF227" s="314">
        <f t="shared" si="621"/>
        <v>119.11754264805431</v>
      </c>
      <c r="AG227" s="456">
        <f t="shared" si="622"/>
        <v>0.38785219181781572</v>
      </c>
      <c r="AI227" s="150">
        <f t="shared" si="623"/>
        <v>0.58338309551897205</v>
      </c>
      <c r="AJ227" s="150">
        <f t="shared" si="624"/>
        <v>1</v>
      </c>
      <c r="AK227" s="150">
        <f t="shared" si="625"/>
        <v>1.0680671672274595</v>
      </c>
      <c r="AM227" s="314">
        <f t="shared" si="626"/>
        <v>132</v>
      </c>
      <c r="AN227" s="144">
        <f t="shared" si="627"/>
        <v>119.11754264805431</v>
      </c>
      <c r="AP227">
        <f t="shared" si="628"/>
        <v>132</v>
      </c>
      <c r="AQ227">
        <f t="shared" si="629"/>
        <v>119.11754264805431</v>
      </c>
      <c r="AS227" s="5">
        <f t="shared" si="600"/>
        <v>8.395069086965707</v>
      </c>
      <c r="AT227" s="5">
        <f t="shared" si="630"/>
        <v>0.20008021970048862</v>
      </c>
      <c r="AU227" s="5">
        <f t="shared" si="478"/>
        <v>8.1949888672652182</v>
      </c>
      <c r="AV227" s="5"/>
      <c r="AW227" s="150">
        <f t="shared" si="479"/>
        <v>2.3833064103205029E-2</v>
      </c>
      <c r="AX227" s="150">
        <f t="shared" si="631"/>
        <v>0.7147052558883259</v>
      </c>
      <c r="AY227" s="150">
        <f t="shared" si="632"/>
        <v>0.48808346794839746</v>
      </c>
      <c r="AZ227" s="150">
        <f t="shared" si="633"/>
        <v>1.4643094938095464</v>
      </c>
      <c r="BA227" s="144">
        <f t="shared" si="594"/>
        <v>0.52821178000929003</v>
      </c>
      <c r="BB227" s="5">
        <f t="shared" si="595"/>
        <v>3.757543104804232E-2</v>
      </c>
      <c r="BD227" s="150">
        <f t="shared" si="681"/>
        <v>8.9131109614255022E-2</v>
      </c>
      <c r="BE227" s="150">
        <f t="shared" si="682"/>
        <v>0.57042876736036463</v>
      </c>
      <c r="BG227" s="456">
        <f t="shared" si="683"/>
        <v>1.5888709402136689E-4</v>
      </c>
      <c r="BH227" s="456">
        <f t="shared" si="634"/>
        <v>0.14604639525176624</v>
      </c>
      <c r="BI227" s="456">
        <f t="shared" si="635"/>
        <v>0.17860467590404702</v>
      </c>
      <c r="BJ227" s="456">
        <f t="shared" si="684"/>
        <v>5.0933487559317162E-2</v>
      </c>
      <c r="BK227">
        <f t="shared" si="685"/>
        <v>2.6989174682452693E-2</v>
      </c>
      <c r="BL227" s="144">
        <f t="shared" si="686"/>
        <v>205.59385058649971</v>
      </c>
      <c r="BM227" s="456">
        <f t="shared" si="636"/>
        <v>0.19718911361981456</v>
      </c>
      <c r="BN227" s="144">
        <f t="shared" si="687"/>
        <v>197.18911361981455</v>
      </c>
      <c r="BO227" s="456">
        <f t="shared" si="637"/>
        <v>9.2399999999999996E-2</v>
      </c>
      <c r="BR227" s="144">
        <f t="shared" si="688"/>
        <v>92.399999999999991</v>
      </c>
      <c r="BS227" s="456">
        <f t="shared" si="689"/>
        <v>2.3833064103205033E-4</v>
      </c>
      <c r="BT227" s="456">
        <f t="shared" si="690"/>
        <v>9.7616693589679497E-3</v>
      </c>
      <c r="BU227" s="456">
        <f t="shared" si="691"/>
        <v>7.7430010486519924E-3</v>
      </c>
      <c r="BV227" s="456"/>
      <c r="BW227" s="456">
        <f t="shared" si="692"/>
        <v>1.1911754264805432E-4</v>
      </c>
      <c r="BX227" s="144">
        <f t="shared" si="693"/>
        <v>17.862118591300046</v>
      </c>
      <c r="BY227" s="150">
        <f t="shared" si="694"/>
        <v>0.51299473908290449</v>
      </c>
      <c r="BZ227" s="5">
        <f t="shared" si="695"/>
        <v>0.66</v>
      </c>
      <c r="CA227" s="150">
        <f t="shared" si="696"/>
        <v>0.56266237009384645</v>
      </c>
      <c r="CB227" s="5">
        <f t="shared" si="697"/>
        <v>56.266237009384646</v>
      </c>
      <c r="CE227" s="59">
        <f t="shared" si="638"/>
        <v>-50</v>
      </c>
      <c r="CF227">
        <f t="shared" si="639"/>
        <v>-50</v>
      </c>
      <c r="CG227" s="150">
        <f t="shared" si="640"/>
        <v>0.27435684791891018</v>
      </c>
      <c r="CI227" s="147">
        <v>11</v>
      </c>
      <c r="CJ227" s="188">
        <f t="shared" si="698"/>
        <v>0.13200000000000001</v>
      </c>
      <c r="CK227" s="188"/>
      <c r="CL227" s="188">
        <f t="shared" si="641"/>
        <v>0.66</v>
      </c>
      <c r="CM227" s="465">
        <f t="shared" si="642"/>
        <v>60</v>
      </c>
      <c r="CN227" s="379">
        <f t="shared" si="643"/>
        <v>5.4</v>
      </c>
      <c r="CO227" s="379">
        <f t="shared" si="644"/>
        <v>65.400000000000006</v>
      </c>
      <c r="CP227" s="379"/>
      <c r="CQ227" s="188">
        <f t="shared" si="645"/>
        <v>8.2568807339449546E-2</v>
      </c>
      <c r="CR227" s="149">
        <f t="shared" si="646"/>
        <v>12.756880733944957</v>
      </c>
      <c r="CS227" s="149">
        <f t="shared" si="647"/>
        <v>0.66</v>
      </c>
      <c r="CT227" s="188">
        <f t="shared" si="648"/>
        <v>2.5513761467889915</v>
      </c>
      <c r="CU227" s="188">
        <f t="shared" si="649"/>
        <v>5</v>
      </c>
      <c r="CV227" s="188"/>
      <c r="CW227" s="149">
        <f t="shared" si="650"/>
        <v>1076.3859249164902</v>
      </c>
      <c r="CX227" s="149">
        <f t="shared" si="651"/>
        <v>5</v>
      </c>
      <c r="CY227" s="188">
        <f t="shared" si="652"/>
        <v>0.26644444444444443</v>
      </c>
      <c r="CZ227" s="188">
        <f t="shared" si="653"/>
        <v>5.3288888888888886E-2</v>
      </c>
      <c r="DA227" s="188">
        <f t="shared" si="654"/>
        <v>0.59209876543209872</v>
      </c>
      <c r="DB227" s="172">
        <f t="shared" si="655"/>
        <v>350</v>
      </c>
      <c r="DC227" s="379">
        <f t="shared" si="656"/>
        <v>350</v>
      </c>
      <c r="DE227" s="188">
        <f t="shared" si="657"/>
        <v>1.179554390563565</v>
      </c>
      <c r="DF227" s="150">
        <f t="shared" si="658"/>
        <v>2.6212319790301444</v>
      </c>
      <c r="DG227" s="150">
        <f t="shared" si="659"/>
        <v>0.54107999567136011</v>
      </c>
      <c r="DH227" s="150"/>
      <c r="DI227" s="150">
        <f t="shared" si="660"/>
        <v>2.2222222222222219</v>
      </c>
      <c r="DJ227" s="314">
        <f t="shared" si="661"/>
        <v>118.80000000000001</v>
      </c>
      <c r="DK227" s="456">
        <f t="shared" si="662"/>
        <v>0.38888888888888884</v>
      </c>
      <c r="DM227" s="150">
        <f t="shared" si="663"/>
        <v>0.58260498747313472</v>
      </c>
      <c r="DN227" s="150">
        <f t="shared" si="664"/>
        <v>1</v>
      </c>
      <c r="DO227" s="150">
        <f t="shared" si="665"/>
        <v>1.0678857142857143</v>
      </c>
      <c r="DQ227" s="314">
        <f t="shared" si="666"/>
        <v>132</v>
      </c>
      <c r="DR227" s="144">
        <f t="shared" si="667"/>
        <v>118.80000000000001</v>
      </c>
      <c r="DT227">
        <f t="shared" si="668"/>
        <v>132</v>
      </c>
      <c r="DU227">
        <f t="shared" si="669"/>
        <v>118.80000000000001</v>
      </c>
      <c r="DW227" s="5">
        <f t="shared" si="670"/>
        <v>8.4175084175084169</v>
      </c>
      <c r="DX227" s="5">
        <f t="shared" si="671"/>
        <v>0.2</v>
      </c>
      <c r="DY227" s="5">
        <f t="shared" si="672"/>
        <v>8.2175084175084177</v>
      </c>
      <c r="DZ227" s="5"/>
      <c r="EA227" s="150">
        <f t="shared" si="673"/>
        <v>2.3760000000000003E-2</v>
      </c>
      <c r="EB227" s="150">
        <f t="shared" si="699"/>
        <v>0.7128000000000001</v>
      </c>
      <c r="EC227" s="150">
        <f t="shared" si="700"/>
        <v>0.48812</v>
      </c>
      <c r="ED227" s="150">
        <f t="shared" si="701"/>
        <v>1.4602966483651563</v>
      </c>
      <c r="EE227" s="144">
        <f t="shared" si="674"/>
        <v>0.52800000000000002</v>
      </c>
      <c r="EF227" s="5">
        <f t="shared" si="675"/>
        <v>3.7663580246913582E-2</v>
      </c>
      <c r="EH227" s="150">
        <f t="shared" si="702"/>
        <v>8.8994381845147963E-2</v>
      </c>
      <c r="EI227" s="150">
        <f t="shared" si="703"/>
        <v>0.57045011467553697</v>
      </c>
      <c r="EK227" s="456">
        <f t="shared" si="704"/>
        <v>1.5840000000000003E-4</v>
      </c>
      <c r="EL227" s="456">
        <f t="shared" si="705"/>
        <v>0.15539040000000001</v>
      </c>
      <c r="EM227" s="456">
        <f t="shared" si="706"/>
        <v>1.485E-2</v>
      </c>
      <c r="EN227" s="456">
        <f t="shared" si="707"/>
        <v>5.0812660800000013E-2</v>
      </c>
      <c r="EO227">
        <f t="shared" si="708"/>
        <v>2.7E-2</v>
      </c>
      <c r="EP227" s="144">
        <f t="shared" si="709"/>
        <v>41.85</v>
      </c>
      <c r="EQ227" s="144"/>
      <c r="ER227" s="144">
        <f t="shared" si="710"/>
        <v>248.21146080000003</v>
      </c>
      <c r="ES227" s="456">
        <f t="shared" si="711"/>
        <v>9.2399999999999996E-2</v>
      </c>
      <c r="EV227" s="144">
        <f t="shared" si="712"/>
        <v>92.399999999999991</v>
      </c>
      <c r="EW227" s="456">
        <f t="shared" si="713"/>
        <v>2.3760000000000003E-4</v>
      </c>
      <c r="EX227" s="456">
        <f t="shared" si="714"/>
        <v>9.7623999999999975E-3</v>
      </c>
      <c r="EY227" s="456">
        <f t="shared" si="715"/>
        <v>7.6915010904360717E-3</v>
      </c>
      <c r="EZ227" s="456"/>
      <c r="FA227" s="456">
        <f t="shared" si="716"/>
        <v>1.1880000000000001E-4</v>
      </c>
      <c r="FB227" s="144">
        <f t="shared" si="717"/>
        <v>17.810301090436067</v>
      </c>
      <c r="FC227" s="150">
        <f t="shared" si="718"/>
        <v>0.35842176189043612</v>
      </c>
      <c r="FD227" s="5">
        <f t="shared" si="719"/>
        <v>0.66</v>
      </c>
      <c r="FE227" s="150">
        <f t="shared" si="720"/>
        <v>0.64806156417443506</v>
      </c>
      <c r="FF227" s="5">
        <f t="shared" si="721"/>
        <v>64.806156417443503</v>
      </c>
      <c r="FI227" s="59">
        <f t="shared" si="676"/>
        <v>-50</v>
      </c>
      <c r="FJ227">
        <f t="shared" si="677"/>
        <v>-50</v>
      </c>
      <c r="FL227">
        <f t="shared" si="678"/>
        <v>0.26400000000000001</v>
      </c>
    </row>
    <row r="228" spans="5:168">
      <c r="E228" s="147">
        <v>12</v>
      </c>
      <c r="F228" s="188">
        <f t="shared" si="679"/>
        <v>0.14399999999999999</v>
      </c>
      <c r="G228" s="188"/>
      <c r="H228" s="188">
        <f t="shared" si="603"/>
        <v>0.72</v>
      </c>
      <c r="I228" s="465">
        <f t="shared" si="604"/>
        <v>59.975943738783762</v>
      </c>
      <c r="J228" s="149">
        <f t="shared" si="605"/>
        <v>5.4144337567297409</v>
      </c>
      <c r="K228" s="149">
        <f t="shared" si="606"/>
        <v>65.390377495513505</v>
      </c>
      <c r="L228" s="379"/>
      <c r="M228" s="188">
        <f t="shared" si="607"/>
        <v>8.28096321966421E-2</v>
      </c>
      <c r="N228" s="149">
        <f t="shared" si="608"/>
        <v>12.788958542262097</v>
      </c>
      <c r="O228" s="149">
        <f t="shared" si="599"/>
        <v>0.72</v>
      </c>
      <c r="P228" s="188">
        <f t="shared" si="609"/>
        <v>2.5577917084524193</v>
      </c>
      <c r="Q228" s="188">
        <f t="shared" si="610"/>
        <v>5</v>
      </c>
      <c r="R228" s="188"/>
      <c r="S228" s="149">
        <f t="shared" si="611"/>
        <v>981.29751715110251</v>
      </c>
      <c r="T228" s="149">
        <f t="shared" si="612"/>
        <v>5</v>
      </c>
      <c r="U228" s="188">
        <f t="shared" si="613"/>
        <v>0.31400242535227546</v>
      </c>
      <c r="V228" s="188">
        <f t="shared" si="614"/>
        <v>6.2825674250969549E-2</v>
      </c>
      <c r="W228" s="188">
        <f t="shared" si="615"/>
        <v>0.69592302233708636</v>
      </c>
      <c r="X228" s="172">
        <f t="shared" si="616"/>
        <v>350</v>
      </c>
      <c r="Y228" s="379">
        <f t="shared" si="680"/>
        <v>350</v>
      </c>
      <c r="AA228" s="188">
        <f t="shared" si="617"/>
        <v>1.1824070219231924</v>
      </c>
      <c r="AB228" s="150">
        <f t="shared" si="618"/>
        <v>2.6205666004210642</v>
      </c>
      <c r="AC228" s="150">
        <f t="shared" si="619"/>
        <v>0.54225086120716959</v>
      </c>
      <c r="AD228" s="150"/>
      <c r="AE228" s="150">
        <f t="shared" si="620"/>
        <v>2.216298238958947</v>
      </c>
      <c r="AF228" s="314">
        <f t="shared" si="621"/>
        <v>129.94641016151377</v>
      </c>
      <c r="AG228" s="456">
        <f t="shared" si="622"/>
        <v>0.38785219181781572</v>
      </c>
      <c r="AI228" s="150">
        <f t="shared" si="623"/>
        <v>0.6093237707527297</v>
      </c>
      <c r="AJ228" s="150">
        <f t="shared" si="624"/>
        <v>1</v>
      </c>
      <c r="AK228" s="150">
        <f t="shared" si="625"/>
        <v>1.0742550915208651</v>
      </c>
      <c r="AM228" s="314">
        <f t="shared" si="626"/>
        <v>144</v>
      </c>
      <c r="AN228" s="144">
        <f t="shared" si="627"/>
        <v>129.94641016151377</v>
      </c>
      <c r="AP228">
        <f t="shared" si="628"/>
        <v>144</v>
      </c>
      <c r="AQ228">
        <f t="shared" si="629"/>
        <v>129.94641016151377</v>
      </c>
      <c r="AS228" s="5">
        <f t="shared" si="600"/>
        <v>7.6954799963852327</v>
      </c>
      <c r="AT228" s="5">
        <f t="shared" si="630"/>
        <v>0.20008021970048862</v>
      </c>
      <c r="AU228" s="5">
        <f t="shared" si="478"/>
        <v>7.495399776684744</v>
      </c>
      <c r="AV228" s="5"/>
      <c r="AW228" s="150">
        <f t="shared" si="479"/>
        <v>2.5999706294405484E-2</v>
      </c>
      <c r="AX228" s="150">
        <f t="shared" si="631"/>
        <v>0.77967846096908255</v>
      </c>
      <c r="AY228" s="150">
        <f t="shared" si="632"/>
        <v>0.48700014685279724</v>
      </c>
      <c r="AZ228" s="150">
        <f t="shared" si="633"/>
        <v>1.6009819832862422</v>
      </c>
      <c r="BA228" s="144">
        <f t="shared" si="594"/>
        <v>0.57623103273740717</v>
      </c>
      <c r="BB228" s="5">
        <f t="shared" si="595"/>
        <v>3.7492030851551915E-2</v>
      </c>
      <c r="BD228" s="150">
        <f t="shared" si="681"/>
        <v>9.3094407806279256E-2</v>
      </c>
      <c r="BE228" s="150">
        <f t="shared" si="682"/>
        <v>0.56979537078545273</v>
      </c>
      <c r="BG228" s="456">
        <f t="shared" si="683"/>
        <v>1.7333137529603656E-4</v>
      </c>
      <c r="BH228" s="456">
        <f t="shared" si="634"/>
        <v>0.15932334027465406</v>
      </c>
      <c r="BI228" s="456">
        <f t="shared" si="635"/>
        <v>0.19484146462259672</v>
      </c>
      <c r="BJ228" s="456">
        <f t="shared" si="684"/>
        <v>5.5563804610164164E-2</v>
      </c>
      <c r="BK228">
        <f t="shared" si="685"/>
        <v>2.6989174682452693E-2</v>
      </c>
      <c r="BL228" s="144">
        <f t="shared" si="686"/>
        <v>221.8306393050494</v>
      </c>
      <c r="BM228" s="456">
        <f t="shared" si="636"/>
        <v>0.21511613497426857</v>
      </c>
      <c r="BN228" s="144">
        <f t="shared" si="687"/>
        <v>215.11613497426856</v>
      </c>
      <c r="BO228" s="456">
        <f t="shared" si="637"/>
        <v>0.10079999999999999</v>
      </c>
      <c r="BR228" s="144">
        <f t="shared" si="688"/>
        <v>100.79999999999998</v>
      </c>
      <c r="BS228" s="456">
        <f t="shared" si="689"/>
        <v>2.5999706294405479E-4</v>
      </c>
      <c r="BT228" s="456">
        <f t="shared" si="690"/>
        <v>9.7400029370559461E-3</v>
      </c>
      <c r="BU228" s="456">
        <f t="shared" si="691"/>
        <v>9.62455636641848E-3</v>
      </c>
      <c r="BV228" s="456"/>
      <c r="BW228" s="456">
        <f t="shared" si="692"/>
        <v>1.2994641016151378E-4</v>
      </c>
      <c r="BX228" s="144">
        <f t="shared" si="693"/>
        <v>19.754502776579994</v>
      </c>
      <c r="BY228" s="150">
        <f t="shared" si="694"/>
        <v>0.55744561834174366</v>
      </c>
      <c r="BZ228" s="5">
        <f t="shared" si="695"/>
        <v>0.72</v>
      </c>
      <c r="CA228" s="150">
        <f t="shared" si="696"/>
        <v>0.56362477561638535</v>
      </c>
      <c r="CB228" s="5">
        <f t="shared" si="697"/>
        <v>56.362477561638535</v>
      </c>
      <c r="CE228" s="59">
        <f t="shared" si="638"/>
        <v>-50</v>
      </c>
      <c r="CF228">
        <f t="shared" si="639"/>
        <v>-50</v>
      </c>
      <c r="CG228" s="150">
        <f t="shared" si="640"/>
        <v>0.299298379547902</v>
      </c>
      <c r="CI228" s="147">
        <v>12</v>
      </c>
      <c r="CJ228" s="188">
        <f t="shared" si="698"/>
        <v>0.14399999999999999</v>
      </c>
      <c r="CK228" s="188"/>
      <c r="CL228" s="188">
        <f t="shared" si="641"/>
        <v>0.72</v>
      </c>
      <c r="CM228" s="465">
        <f t="shared" si="642"/>
        <v>60</v>
      </c>
      <c r="CN228" s="379">
        <f t="shared" si="643"/>
        <v>5.4</v>
      </c>
      <c r="CO228" s="379">
        <f t="shared" si="644"/>
        <v>65.400000000000006</v>
      </c>
      <c r="CP228" s="379"/>
      <c r="CQ228" s="188">
        <f t="shared" si="645"/>
        <v>8.2568807339449546E-2</v>
      </c>
      <c r="CR228" s="149">
        <f t="shared" si="646"/>
        <v>12.756880733944957</v>
      </c>
      <c r="CS228" s="149">
        <f t="shared" si="647"/>
        <v>0.72</v>
      </c>
      <c r="CT228" s="188">
        <f t="shared" si="648"/>
        <v>2.5513761467889915</v>
      </c>
      <c r="CU228" s="188">
        <f t="shared" si="649"/>
        <v>5</v>
      </c>
      <c r="CV228" s="188"/>
      <c r="CW228" s="149">
        <f t="shared" si="650"/>
        <v>981.6911043180155</v>
      </c>
      <c r="CX228" s="149">
        <f t="shared" si="651"/>
        <v>5</v>
      </c>
      <c r="CY228" s="188">
        <f t="shared" si="652"/>
        <v>0.29066666666666663</v>
      </c>
      <c r="CZ228" s="188">
        <f t="shared" si="653"/>
        <v>5.8133333333333322E-2</v>
      </c>
      <c r="DA228" s="188">
        <f t="shared" si="654"/>
        <v>0.64592592592592579</v>
      </c>
      <c r="DB228" s="172">
        <f t="shared" si="655"/>
        <v>350</v>
      </c>
      <c r="DC228" s="379">
        <f t="shared" si="656"/>
        <v>350</v>
      </c>
      <c r="DE228" s="188">
        <f t="shared" si="657"/>
        <v>1.179554390563565</v>
      </c>
      <c r="DF228" s="150">
        <f t="shared" si="658"/>
        <v>2.6212319790301444</v>
      </c>
      <c r="DG228" s="150">
        <f t="shared" si="659"/>
        <v>0.54107999567136011</v>
      </c>
      <c r="DH228" s="150"/>
      <c r="DI228" s="150">
        <f t="shared" si="660"/>
        <v>2.2222222222222219</v>
      </c>
      <c r="DJ228" s="314">
        <f t="shared" si="661"/>
        <v>129.6</v>
      </c>
      <c r="DK228" s="456">
        <f t="shared" si="662"/>
        <v>0.38888888888888884</v>
      </c>
      <c r="DM228" s="150">
        <f t="shared" si="663"/>
        <v>0.60851106340453198</v>
      </c>
      <c r="DN228" s="150">
        <f t="shared" si="664"/>
        <v>1</v>
      </c>
      <c r="DO228" s="150">
        <f t="shared" si="665"/>
        <v>1.0740571428571428</v>
      </c>
      <c r="DQ228" s="314">
        <f t="shared" si="666"/>
        <v>144</v>
      </c>
      <c r="DR228" s="144">
        <f t="shared" si="667"/>
        <v>129.6</v>
      </c>
      <c r="DT228">
        <f t="shared" si="668"/>
        <v>144</v>
      </c>
      <c r="DU228">
        <f t="shared" si="669"/>
        <v>129.6</v>
      </c>
      <c r="DW228" s="5">
        <f t="shared" si="670"/>
        <v>7.7160493827160499</v>
      </c>
      <c r="DX228" s="5">
        <f t="shared" si="671"/>
        <v>0.2</v>
      </c>
      <c r="DY228" s="5">
        <f t="shared" si="672"/>
        <v>7.5160493827160497</v>
      </c>
      <c r="DZ228" s="5"/>
      <c r="EA228" s="150">
        <f t="shared" si="673"/>
        <v>2.5919999999999999E-2</v>
      </c>
      <c r="EB228" s="150">
        <f t="shared" si="699"/>
        <v>0.77760000000000007</v>
      </c>
      <c r="EC228" s="150">
        <f t="shared" si="700"/>
        <v>0.48704000000000003</v>
      </c>
      <c r="ED228" s="150">
        <f t="shared" si="701"/>
        <v>1.5965834428383705</v>
      </c>
      <c r="EE228" s="144">
        <f t="shared" si="674"/>
        <v>0.57600000000000007</v>
      </c>
      <c r="EF228" s="5">
        <f t="shared" si="675"/>
        <v>3.7580246913580244E-2</v>
      </c>
      <c r="EH228" s="150">
        <f t="shared" si="702"/>
        <v>9.2951600308978005E-2</v>
      </c>
      <c r="EI228" s="150">
        <f t="shared" si="703"/>
        <v>0.56981868461233642</v>
      </c>
      <c r="EK228" s="456">
        <f t="shared" si="704"/>
        <v>1.728E-4</v>
      </c>
      <c r="EL228" s="456">
        <f t="shared" si="705"/>
        <v>0.1695168</v>
      </c>
      <c r="EM228" s="456">
        <f t="shared" si="706"/>
        <v>1.6199999999999996E-2</v>
      </c>
      <c r="EN228" s="456">
        <f t="shared" si="707"/>
        <v>5.5431993600000007E-2</v>
      </c>
      <c r="EO228">
        <f t="shared" si="708"/>
        <v>2.7E-2</v>
      </c>
      <c r="EP228" s="144">
        <f t="shared" si="709"/>
        <v>43.199999999999996</v>
      </c>
      <c r="EQ228" s="144"/>
      <c r="ER228" s="144">
        <f t="shared" si="710"/>
        <v>268.32159360000003</v>
      </c>
      <c r="ES228" s="456">
        <f t="shared" si="711"/>
        <v>0.10079999999999999</v>
      </c>
      <c r="EV228" s="144">
        <f t="shared" si="712"/>
        <v>100.79999999999998</v>
      </c>
      <c r="EW228" s="456">
        <f t="shared" si="713"/>
        <v>2.5920000000000001E-4</v>
      </c>
      <c r="EX228" s="456">
        <f t="shared" si="714"/>
        <v>9.7407999999999991E-3</v>
      </c>
      <c r="EY228" s="456">
        <f t="shared" si="715"/>
        <v>9.5605418780304648E-3</v>
      </c>
      <c r="EZ228" s="456"/>
      <c r="FA228" s="456">
        <f t="shared" si="716"/>
        <v>1.2960000000000001E-4</v>
      </c>
      <c r="FB228" s="144">
        <f t="shared" si="717"/>
        <v>19.690141878030463</v>
      </c>
      <c r="FC228" s="150">
        <f t="shared" si="718"/>
        <v>0.3888117354780305</v>
      </c>
      <c r="FD228" s="5">
        <f t="shared" si="719"/>
        <v>0.72</v>
      </c>
      <c r="FE228" s="150">
        <f t="shared" si="720"/>
        <v>0.64934377673193899</v>
      </c>
      <c r="FF228" s="5">
        <f t="shared" si="721"/>
        <v>64.934377673193893</v>
      </c>
      <c r="FI228" s="59">
        <f t="shared" si="676"/>
        <v>-50</v>
      </c>
      <c r="FJ228">
        <f t="shared" si="677"/>
        <v>-50</v>
      </c>
      <c r="FL228">
        <f t="shared" si="678"/>
        <v>0.28800000000000003</v>
      </c>
    </row>
    <row r="229" spans="5:168">
      <c r="E229" s="147">
        <v>13</v>
      </c>
      <c r="F229" s="188">
        <f t="shared" si="679"/>
        <v>0.156</v>
      </c>
      <c r="G229" s="188"/>
      <c r="H229" s="188">
        <f t="shared" si="603"/>
        <v>0.78</v>
      </c>
      <c r="I229" s="465">
        <f t="shared" si="604"/>
        <v>59.975943738783762</v>
      </c>
      <c r="J229" s="149">
        <f t="shared" si="605"/>
        <v>5.4144337567297409</v>
      </c>
      <c r="K229" s="149">
        <f t="shared" si="606"/>
        <v>65.390377495513505</v>
      </c>
      <c r="L229" s="379"/>
      <c r="M229" s="188">
        <f t="shared" si="607"/>
        <v>8.28096321966421E-2</v>
      </c>
      <c r="N229" s="149">
        <f t="shared" si="608"/>
        <v>12.788958542262097</v>
      </c>
      <c r="O229" s="149">
        <f t="shared" si="599"/>
        <v>0.78</v>
      </c>
      <c r="P229" s="188">
        <f t="shared" si="609"/>
        <v>2.5577917084524193</v>
      </c>
      <c r="Q229" s="188">
        <f t="shared" si="610"/>
        <v>5</v>
      </c>
      <c r="R229" s="188"/>
      <c r="S229" s="149">
        <f t="shared" si="611"/>
        <v>901.20360935717736</v>
      </c>
      <c r="T229" s="149">
        <f t="shared" si="612"/>
        <v>5</v>
      </c>
      <c r="U229" s="188">
        <f t="shared" si="613"/>
        <v>0.34016929413163183</v>
      </c>
      <c r="V229" s="188">
        <f t="shared" si="614"/>
        <v>6.8061147105217018E-2</v>
      </c>
      <c r="W229" s="188">
        <f t="shared" si="615"/>
        <v>0.75391660753184364</v>
      </c>
      <c r="X229" s="172">
        <f t="shared" si="616"/>
        <v>350</v>
      </c>
      <c r="Y229" s="379">
        <f t="shared" si="680"/>
        <v>350</v>
      </c>
      <c r="AA229" s="188">
        <f t="shared" si="617"/>
        <v>1.1824070219231924</v>
      </c>
      <c r="AB229" s="150">
        <f t="shared" si="618"/>
        <v>2.6205666004210642</v>
      </c>
      <c r="AC229" s="150">
        <f t="shared" si="619"/>
        <v>0.54225086120716959</v>
      </c>
      <c r="AD229" s="150"/>
      <c r="AE229" s="150">
        <f t="shared" si="620"/>
        <v>2.216298238958947</v>
      </c>
      <c r="AF229" s="314">
        <f t="shared" si="621"/>
        <v>140.77527767497327</v>
      </c>
      <c r="AG229" s="456">
        <f t="shared" si="622"/>
        <v>0.38785219181781572</v>
      </c>
      <c r="AI229" s="150">
        <f t="shared" si="623"/>
        <v>0.63420428812122698</v>
      </c>
      <c r="AJ229" s="150">
        <f t="shared" si="624"/>
        <v>1</v>
      </c>
      <c r="AK229" s="150">
        <f t="shared" si="625"/>
        <v>1.0804430158142704</v>
      </c>
      <c r="AM229" s="314">
        <f t="shared" si="626"/>
        <v>156</v>
      </c>
      <c r="AN229" s="144">
        <f t="shared" si="627"/>
        <v>140.77527767497327</v>
      </c>
      <c r="AP229">
        <f t="shared" si="628"/>
        <v>156</v>
      </c>
      <c r="AQ229">
        <f t="shared" si="629"/>
        <v>140.77527767497327</v>
      </c>
      <c r="AS229" s="5">
        <f t="shared" si="600"/>
        <v>7.1035199966632909</v>
      </c>
      <c r="AT229" s="5">
        <f t="shared" si="630"/>
        <v>0.20008021970048862</v>
      </c>
      <c r="AU229" s="5">
        <f t="shared" si="478"/>
        <v>6.9034397769628022</v>
      </c>
      <c r="AV229" s="5"/>
      <c r="AW229" s="150">
        <f t="shared" si="479"/>
        <v>2.8166348485605942E-2</v>
      </c>
      <c r="AX229" s="150">
        <f t="shared" si="631"/>
        <v>0.84465166604983966</v>
      </c>
      <c r="AY229" s="150">
        <f t="shared" si="632"/>
        <v>0.48591682575719702</v>
      </c>
      <c r="AZ229" s="150">
        <f t="shared" si="633"/>
        <v>1.7382638782545374</v>
      </c>
      <c r="BA229" s="144">
        <f t="shared" si="594"/>
        <v>0.62425028546552452</v>
      </c>
      <c r="BB229" s="5">
        <f t="shared" si="595"/>
        <v>3.7408630655061503E-2</v>
      </c>
      <c r="BD229" s="150">
        <f t="shared" si="681"/>
        <v>9.6895731735383031E-2</v>
      </c>
      <c r="BE229" s="150">
        <f t="shared" si="682"/>
        <v>0.56916126932952671</v>
      </c>
      <c r="BG229" s="456">
        <f t="shared" si="683"/>
        <v>1.877756565707063E-4</v>
      </c>
      <c r="BH229" s="456">
        <f t="shared" si="634"/>
        <v>0.17260028529754193</v>
      </c>
      <c r="BI229" s="456">
        <f t="shared" si="635"/>
        <v>0.21107825334114647</v>
      </c>
      <c r="BJ229" s="456">
        <f t="shared" si="684"/>
        <v>6.0194121661011186E-2</v>
      </c>
      <c r="BK229">
        <f t="shared" si="685"/>
        <v>2.6989174682452693E-2</v>
      </c>
      <c r="BL229" s="144">
        <f t="shared" si="686"/>
        <v>238.06742802359915</v>
      </c>
      <c r="BM229" s="456">
        <f t="shared" si="636"/>
        <v>0.23304327938389738</v>
      </c>
      <c r="BN229" s="144">
        <f t="shared" si="687"/>
        <v>233.04327938389739</v>
      </c>
      <c r="BO229" s="456">
        <f t="shared" si="637"/>
        <v>0.10919999999999999</v>
      </c>
      <c r="BR229" s="144">
        <f t="shared" si="688"/>
        <v>109.19999999999999</v>
      </c>
      <c r="BS229" s="456">
        <f t="shared" si="689"/>
        <v>2.8166348485605947E-4</v>
      </c>
      <c r="BT229" s="456">
        <f t="shared" si="690"/>
        <v>9.7183365151439407E-3</v>
      </c>
      <c r="BU229" s="456">
        <f t="shared" si="691"/>
        <v>1.1756714879855055E-2</v>
      </c>
      <c r="BV229" s="456"/>
      <c r="BW229" s="456">
        <f t="shared" si="692"/>
        <v>1.4077527767497329E-4</v>
      </c>
      <c r="BX229" s="144">
        <f t="shared" si="693"/>
        <v>21.897490157530026</v>
      </c>
      <c r="BY229" s="150">
        <f t="shared" si="694"/>
        <v>0.602147100796253</v>
      </c>
      <c r="BZ229" s="5">
        <f t="shared" si="695"/>
        <v>0.78</v>
      </c>
      <c r="CA229" s="150">
        <f t="shared" si="696"/>
        <v>0.56433935255563117</v>
      </c>
      <c r="CB229" s="5">
        <f t="shared" si="697"/>
        <v>56.433935255563114</v>
      </c>
      <c r="CE229" s="59">
        <f t="shared" si="638"/>
        <v>-50</v>
      </c>
      <c r="CF229">
        <f t="shared" si="639"/>
        <v>-50</v>
      </c>
      <c r="CG229" s="150">
        <f t="shared" si="640"/>
        <v>0.32423991117689382</v>
      </c>
      <c r="CI229" s="147">
        <v>13</v>
      </c>
      <c r="CJ229" s="188">
        <f t="shared" si="698"/>
        <v>0.156</v>
      </c>
      <c r="CK229" s="188"/>
      <c r="CL229" s="188">
        <f t="shared" si="641"/>
        <v>0.78</v>
      </c>
      <c r="CM229" s="465">
        <f t="shared" si="642"/>
        <v>60</v>
      </c>
      <c r="CN229" s="379">
        <f t="shared" si="643"/>
        <v>5.4</v>
      </c>
      <c r="CO229" s="379">
        <f t="shared" si="644"/>
        <v>65.400000000000006</v>
      </c>
      <c r="CP229" s="379"/>
      <c r="CQ229" s="188">
        <f t="shared" si="645"/>
        <v>8.2568807339449546E-2</v>
      </c>
      <c r="CR229" s="149">
        <f t="shared" si="646"/>
        <v>12.756880733944957</v>
      </c>
      <c r="CS229" s="149">
        <f t="shared" si="647"/>
        <v>0.78</v>
      </c>
      <c r="CT229" s="188">
        <f t="shared" si="648"/>
        <v>2.5513761467889915</v>
      </c>
      <c r="CU229" s="188">
        <f t="shared" si="649"/>
        <v>5</v>
      </c>
      <c r="CV229" s="188"/>
      <c r="CW229" s="149">
        <f t="shared" si="650"/>
        <v>901.56507010767939</v>
      </c>
      <c r="CX229" s="149">
        <f t="shared" si="651"/>
        <v>5</v>
      </c>
      <c r="CY229" s="188">
        <f t="shared" si="652"/>
        <v>0.31488888888888888</v>
      </c>
      <c r="CZ229" s="188">
        <f t="shared" si="653"/>
        <v>6.2977777777777785E-2</v>
      </c>
      <c r="DA229" s="188">
        <f t="shared" si="654"/>
        <v>0.69975308641975298</v>
      </c>
      <c r="DB229" s="172">
        <f t="shared" si="655"/>
        <v>350</v>
      </c>
      <c r="DC229" s="379">
        <f t="shared" si="656"/>
        <v>350</v>
      </c>
      <c r="DE229" s="188">
        <f t="shared" si="657"/>
        <v>1.179554390563565</v>
      </c>
      <c r="DF229" s="150">
        <f t="shared" si="658"/>
        <v>2.6212319790301444</v>
      </c>
      <c r="DG229" s="150">
        <f t="shared" si="659"/>
        <v>0.54107999567136011</v>
      </c>
      <c r="DH229" s="150"/>
      <c r="DI229" s="150">
        <f t="shared" si="660"/>
        <v>2.2222222222222219</v>
      </c>
      <c r="DJ229" s="314">
        <f t="shared" si="661"/>
        <v>140.4</v>
      </c>
      <c r="DK229" s="456">
        <f t="shared" si="662"/>
        <v>0.38888888888888884</v>
      </c>
      <c r="DM229" s="150">
        <f t="shared" si="663"/>
        <v>0.63335839549409712</v>
      </c>
      <c r="DN229" s="150">
        <f t="shared" si="664"/>
        <v>1</v>
      </c>
      <c r="DO229" s="150">
        <f t="shared" si="665"/>
        <v>1.0802285714285715</v>
      </c>
      <c r="DQ229" s="314">
        <f t="shared" si="666"/>
        <v>156</v>
      </c>
      <c r="DR229" s="144">
        <f t="shared" si="667"/>
        <v>140.4</v>
      </c>
      <c r="DT229">
        <f t="shared" si="668"/>
        <v>156</v>
      </c>
      <c r="DU229">
        <f t="shared" si="669"/>
        <v>140.4</v>
      </c>
      <c r="DW229" s="5">
        <f t="shared" si="670"/>
        <v>7.1225071225071224</v>
      </c>
      <c r="DX229" s="5">
        <f t="shared" si="671"/>
        <v>0.2</v>
      </c>
      <c r="DY229" s="5">
        <f t="shared" si="672"/>
        <v>6.9225071225071222</v>
      </c>
      <c r="DZ229" s="5"/>
      <c r="EA229" s="150">
        <f t="shared" si="673"/>
        <v>2.8080000000000001E-2</v>
      </c>
      <c r="EB229" s="150">
        <f t="shared" si="699"/>
        <v>0.84240000000000004</v>
      </c>
      <c r="EC229" s="150">
        <f t="shared" si="700"/>
        <v>0.48596</v>
      </c>
      <c r="ED229" s="150">
        <f t="shared" si="701"/>
        <v>1.7334760062556589</v>
      </c>
      <c r="EE229" s="144">
        <f t="shared" si="674"/>
        <v>0.624</v>
      </c>
      <c r="EF229" s="5">
        <f t="shared" si="675"/>
        <v>3.7496913580246913E-2</v>
      </c>
      <c r="EH229" s="150">
        <f t="shared" si="702"/>
        <v>9.6747092979582602E-2</v>
      </c>
      <c r="EI229" s="150">
        <f t="shared" si="703"/>
        <v>0.56918655406934315</v>
      </c>
      <c r="EK229" s="456">
        <f t="shared" si="704"/>
        <v>1.8720000000000005E-4</v>
      </c>
      <c r="EL229" s="456">
        <f t="shared" si="705"/>
        <v>0.18364320000000003</v>
      </c>
      <c r="EM229" s="456">
        <f t="shared" si="706"/>
        <v>1.755E-2</v>
      </c>
      <c r="EN229" s="456">
        <f t="shared" si="707"/>
        <v>6.0051326400000007E-2</v>
      </c>
      <c r="EO229">
        <f t="shared" si="708"/>
        <v>2.7E-2</v>
      </c>
      <c r="EP229" s="144">
        <f t="shared" si="709"/>
        <v>44.55</v>
      </c>
      <c r="EQ229" s="144"/>
      <c r="ER229" s="144">
        <f t="shared" si="710"/>
        <v>288.43172640000012</v>
      </c>
      <c r="ES229" s="456">
        <f t="shared" si="711"/>
        <v>0.10919999999999999</v>
      </c>
      <c r="EV229" s="144">
        <f t="shared" si="712"/>
        <v>109.19999999999999</v>
      </c>
      <c r="EW229" s="456">
        <f t="shared" si="713"/>
        <v>2.8080000000000005E-4</v>
      </c>
      <c r="EX229" s="456">
        <f t="shared" si="714"/>
        <v>9.7191999999999973E-3</v>
      </c>
      <c r="EY229" s="456">
        <f t="shared" si="715"/>
        <v>1.1678519058717404E-2</v>
      </c>
      <c r="EZ229" s="456"/>
      <c r="FA229" s="456">
        <f t="shared" si="716"/>
        <v>1.4040000000000002E-4</v>
      </c>
      <c r="FB229" s="144">
        <f t="shared" si="717"/>
        <v>21.818919058717398</v>
      </c>
      <c r="FC229" s="150">
        <f t="shared" si="718"/>
        <v>0.41945064545871752</v>
      </c>
      <c r="FD229" s="5">
        <f t="shared" si="719"/>
        <v>0.78</v>
      </c>
      <c r="FE229" s="150">
        <f t="shared" si="720"/>
        <v>0.65029770333042514</v>
      </c>
      <c r="FF229" s="5">
        <f t="shared" si="721"/>
        <v>65.029770333042507</v>
      </c>
      <c r="FI229" s="59">
        <f t="shared" si="676"/>
        <v>-50</v>
      </c>
      <c r="FJ229">
        <f t="shared" si="677"/>
        <v>-50</v>
      </c>
      <c r="FL229">
        <f t="shared" si="678"/>
        <v>0.312</v>
      </c>
    </row>
    <row r="230" spans="5:168">
      <c r="E230" s="147">
        <v>14</v>
      </c>
      <c r="F230" s="188">
        <f t="shared" si="679"/>
        <v>0.16800000000000001</v>
      </c>
      <c r="G230" s="188"/>
      <c r="H230" s="188">
        <f t="shared" si="603"/>
        <v>0.84000000000000008</v>
      </c>
      <c r="I230" s="465">
        <f t="shared" si="604"/>
        <v>59.975943738783762</v>
      </c>
      <c r="J230" s="149">
        <f t="shared" si="605"/>
        <v>5.4144337567297409</v>
      </c>
      <c r="K230" s="149">
        <f t="shared" si="606"/>
        <v>65.390377495513505</v>
      </c>
      <c r="L230" s="379"/>
      <c r="M230" s="188">
        <f t="shared" si="607"/>
        <v>8.28096321966421E-2</v>
      </c>
      <c r="N230" s="149">
        <f t="shared" si="608"/>
        <v>12.788958542262097</v>
      </c>
      <c r="O230" s="149">
        <f t="shared" si="599"/>
        <v>0.84000000000000008</v>
      </c>
      <c r="P230" s="188">
        <f t="shared" si="609"/>
        <v>2.5577917084524193</v>
      </c>
      <c r="Q230" s="188">
        <f t="shared" si="610"/>
        <v>5</v>
      </c>
      <c r="R230" s="188"/>
      <c r="S230" s="149">
        <f t="shared" si="611"/>
        <v>832.55202067264338</v>
      </c>
      <c r="T230" s="149">
        <f t="shared" si="612"/>
        <v>5</v>
      </c>
      <c r="U230" s="188">
        <f t="shared" si="613"/>
        <v>0.36633616291098808</v>
      </c>
      <c r="V230" s="188">
        <f t="shared" si="614"/>
        <v>7.3296619959464487E-2</v>
      </c>
      <c r="W230" s="188">
        <f t="shared" si="615"/>
        <v>0.81191019272660092</v>
      </c>
      <c r="X230" s="172">
        <f t="shared" si="616"/>
        <v>350</v>
      </c>
      <c r="Y230" s="379">
        <f t="shared" si="680"/>
        <v>350</v>
      </c>
      <c r="AA230" s="188">
        <f t="shared" si="617"/>
        <v>1.1824070219231924</v>
      </c>
      <c r="AB230" s="150">
        <f t="shared" si="618"/>
        <v>2.6205666004210642</v>
      </c>
      <c r="AC230" s="150">
        <f t="shared" si="619"/>
        <v>0.54225086120716959</v>
      </c>
      <c r="AD230" s="150"/>
      <c r="AE230" s="150">
        <f t="shared" si="620"/>
        <v>2.216298238958947</v>
      </c>
      <c r="AF230" s="314">
        <f t="shared" si="621"/>
        <v>151.60414518843277</v>
      </c>
      <c r="AG230" s="456">
        <f t="shared" si="622"/>
        <v>0.38785219181781572</v>
      </c>
      <c r="AI230" s="150">
        <f t="shared" si="623"/>
        <v>0.65814489327075942</v>
      </c>
      <c r="AJ230" s="150">
        <f t="shared" si="624"/>
        <v>1</v>
      </c>
      <c r="AK230" s="150">
        <f t="shared" si="625"/>
        <v>1.0866309401076759</v>
      </c>
      <c r="AM230" s="314">
        <f t="shared" si="626"/>
        <v>168</v>
      </c>
      <c r="AN230" s="144">
        <f t="shared" si="627"/>
        <v>151.60414518843277</v>
      </c>
      <c r="AP230">
        <f t="shared" si="628"/>
        <v>168</v>
      </c>
      <c r="AQ230">
        <f t="shared" si="629"/>
        <v>151.60414518843277</v>
      </c>
      <c r="AS230" s="5">
        <f t="shared" si="600"/>
        <v>6.5961257111873408</v>
      </c>
      <c r="AT230" s="5">
        <f t="shared" si="630"/>
        <v>0.20008021970048862</v>
      </c>
      <c r="AU230" s="5">
        <f t="shared" si="478"/>
        <v>6.3960454914868521</v>
      </c>
      <c r="AV230" s="5"/>
      <c r="AW230" s="150">
        <f t="shared" si="479"/>
        <v>3.0332990676806403E-2</v>
      </c>
      <c r="AX230" s="150">
        <f t="shared" si="631"/>
        <v>0.90962487113059665</v>
      </c>
      <c r="AY230" s="150">
        <f t="shared" si="632"/>
        <v>0.4848335046615968</v>
      </c>
      <c r="AZ230" s="150">
        <f t="shared" si="633"/>
        <v>1.8761592637156852</v>
      </c>
      <c r="BA230" s="144">
        <f t="shared" si="594"/>
        <v>0.67226953819364177</v>
      </c>
      <c r="BB230" s="5">
        <f t="shared" si="595"/>
        <v>3.7325230458571099E-2</v>
      </c>
      <c r="BD230" s="150">
        <f t="shared" si="681"/>
        <v>0.10055345291072207</v>
      </c>
      <c r="BE230" s="150">
        <f t="shared" si="682"/>
        <v>0.56852646063403633</v>
      </c>
      <c r="BG230" s="456">
        <f t="shared" si="683"/>
        <v>2.0221993784537602E-4</v>
      </c>
      <c r="BH230" s="456">
        <f t="shared" si="634"/>
        <v>0.1858772303204298</v>
      </c>
      <c r="BI230" s="456">
        <f t="shared" si="635"/>
        <v>0.22731504205969622</v>
      </c>
      <c r="BJ230" s="456">
        <f t="shared" si="684"/>
        <v>6.4824438711858209E-2</v>
      </c>
      <c r="BK230">
        <f t="shared" si="685"/>
        <v>2.6989174682452693E-2</v>
      </c>
      <c r="BL230" s="144">
        <f t="shared" si="686"/>
        <v>254.30421674214892</v>
      </c>
      <c r="BM230" s="456">
        <f t="shared" si="636"/>
        <v>0.25097054684996795</v>
      </c>
      <c r="BN230" s="144">
        <f t="shared" si="687"/>
        <v>250.97054684996795</v>
      </c>
      <c r="BO230" s="456">
        <f t="shared" si="637"/>
        <v>0.1176</v>
      </c>
      <c r="BR230" s="144">
        <f t="shared" si="688"/>
        <v>117.6</v>
      </c>
      <c r="BS230" s="456">
        <f t="shared" si="689"/>
        <v>3.0332990676806403E-4</v>
      </c>
      <c r="BT230" s="456">
        <f t="shared" si="690"/>
        <v>9.6966700932319336E-3</v>
      </c>
      <c r="BU230" s="456">
        <f t="shared" si="691"/>
        <v>1.4149715061344791E-2</v>
      </c>
      <c r="BV230" s="456"/>
      <c r="BW230" s="456">
        <f t="shared" si="692"/>
        <v>1.5160414518843279E-4</v>
      </c>
      <c r="BX230" s="144">
        <f t="shared" si="693"/>
        <v>24.301319206533222</v>
      </c>
      <c r="BY230" s="150">
        <f t="shared" si="694"/>
        <v>0.64710942491881562</v>
      </c>
      <c r="BZ230" s="5">
        <f t="shared" si="695"/>
        <v>0.84000000000000008</v>
      </c>
      <c r="CA230" s="150">
        <f t="shared" si="696"/>
        <v>0.56485419695719929</v>
      </c>
      <c r="CB230" s="5">
        <f t="shared" si="697"/>
        <v>56.485419695719926</v>
      </c>
      <c r="CE230" s="59">
        <f t="shared" si="638"/>
        <v>-50</v>
      </c>
      <c r="CF230">
        <f t="shared" si="639"/>
        <v>-50</v>
      </c>
      <c r="CG230" s="150">
        <f t="shared" si="640"/>
        <v>0.34918144280588576</v>
      </c>
      <c r="CI230" s="147">
        <v>14</v>
      </c>
      <c r="CJ230" s="188">
        <f t="shared" si="698"/>
        <v>0.16800000000000001</v>
      </c>
      <c r="CK230" s="188"/>
      <c r="CL230" s="188">
        <f t="shared" si="641"/>
        <v>0.84000000000000008</v>
      </c>
      <c r="CM230" s="465">
        <f t="shared" si="642"/>
        <v>60</v>
      </c>
      <c r="CN230" s="379">
        <f t="shared" si="643"/>
        <v>5.4</v>
      </c>
      <c r="CO230" s="379">
        <f t="shared" si="644"/>
        <v>65.400000000000006</v>
      </c>
      <c r="CP230" s="379"/>
      <c r="CQ230" s="188">
        <f t="shared" si="645"/>
        <v>8.2568807339449546E-2</v>
      </c>
      <c r="CR230" s="149">
        <f t="shared" si="646"/>
        <v>12.756880733944957</v>
      </c>
      <c r="CS230" s="149">
        <f t="shared" si="647"/>
        <v>0.84000000000000008</v>
      </c>
      <c r="CT230" s="188">
        <f t="shared" si="648"/>
        <v>2.5513761467889915</v>
      </c>
      <c r="CU230" s="188">
        <f t="shared" si="649"/>
        <v>5</v>
      </c>
      <c r="CV230" s="188"/>
      <c r="CW230" s="149">
        <f t="shared" si="650"/>
        <v>832.88594449499419</v>
      </c>
      <c r="CX230" s="149">
        <f t="shared" si="651"/>
        <v>5</v>
      </c>
      <c r="CY230" s="188">
        <f t="shared" si="652"/>
        <v>0.33911111111111109</v>
      </c>
      <c r="CZ230" s="188">
        <f t="shared" si="653"/>
        <v>6.7822222222222214E-2</v>
      </c>
      <c r="DA230" s="188">
        <f t="shared" si="654"/>
        <v>0.75358024691358005</v>
      </c>
      <c r="DB230" s="172">
        <f t="shared" si="655"/>
        <v>350</v>
      </c>
      <c r="DC230" s="379">
        <f t="shared" si="656"/>
        <v>350</v>
      </c>
      <c r="DE230" s="188">
        <f t="shared" si="657"/>
        <v>1.179554390563565</v>
      </c>
      <c r="DF230" s="150">
        <f t="shared" si="658"/>
        <v>2.6212319790301444</v>
      </c>
      <c r="DG230" s="150">
        <f t="shared" si="659"/>
        <v>0.54107999567136011</v>
      </c>
      <c r="DH230" s="150"/>
      <c r="DI230" s="150">
        <f t="shared" si="660"/>
        <v>2.2222222222222219</v>
      </c>
      <c r="DJ230" s="314">
        <f t="shared" si="661"/>
        <v>151.20000000000002</v>
      </c>
      <c r="DK230" s="456">
        <f t="shared" si="662"/>
        <v>0.38888888888888884</v>
      </c>
      <c r="DM230" s="150">
        <f t="shared" si="663"/>
        <v>0.65726706900619947</v>
      </c>
      <c r="DN230" s="150">
        <f t="shared" si="664"/>
        <v>1</v>
      </c>
      <c r="DO230" s="150">
        <f t="shared" si="665"/>
        <v>1.0864</v>
      </c>
      <c r="DQ230" s="314">
        <f t="shared" si="666"/>
        <v>168</v>
      </c>
      <c r="DR230" s="144">
        <f t="shared" si="667"/>
        <v>151.20000000000002</v>
      </c>
      <c r="DT230">
        <f t="shared" si="668"/>
        <v>168</v>
      </c>
      <c r="DU230">
        <f t="shared" si="669"/>
        <v>151.20000000000002</v>
      </c>
      <c r="DW230" s="5">
        <f t="shared" si="670"/>
        <v>6.6137566137566131</v>
      </c>
      <c r="DX230" s="5">
        <f t="shared" si="671"/>
        <v>0.2</v>
      </c>
      <c r="DY230" s="5">
        <f t="shared" si="672"/>
        <v>6.4137566137566129</v>
      </c>
      <c r="DZ230" s="5"/>
      <c r="EA230" s="150">
        <f t="shared" si="673"/>
        <v>3.0240000000000006E-2</v>
      </c>
      <c r="EB230" s="150">
        <f t="shared" si="699"/>
        <v>0.90720000000000012</v>
      </c>
      <c r="EC230" s="150">
        <f t="shared" si="700"/>
        <v>0.48487999999999998</v>
      </c>
      <c r="ED230" s="150">
        <f t="shared" si="701"/>
        <v>1.8709783864048841</v>
      </c>
      <c r="EE230" s="144">
        <f t="shared" si="674"/>
        <v>0.67200000000000004</v>
      </c>
      <c r="EF230" s="5">
        <f t="shared" si="675"/>
        <v>3.7413580246913575E-2</v>
      </c>
      <c r="EH230" s="150">
        <f t="shared" si="702"/>
        <v>0.10039920318408907</v>
      </c>
      <c r="EI230" s="150">
        <f t="shared" si="703"/>
        <v>0.56855372071013077</v>
      </c>
      <c r="EK230" s="456">
        <f t="shared" si="704"/>
        <v>2.0160000000000002E-4</v>
      </c>
      <c r="EL230" s="456">
        <f t="shared" si="705"/>
        <v>0.19776960000000005</v>
      </c>
      <c r="EM230" s="456">
        <f t="shared" si="706"/>
        <v>1.8900000000000004E-2</v>
      </c>
      <c r="EN230" s="456">
        <f t="shared" si="707"/>
        <v>6.4670659200000022E-2</v>
      </c>
      <c r="EO230">
        <f t="shared" si="708"/>
        <v>2.7E-2</v>
      </c>
      <c r="EP230" s="144">
        <f t="shared" si="709"/>
        <v>45.900000000000006</v>
      </c>
      <c r="EQ230" s="144"/>
      <c r="ER230" s="144">
        <f t="shared" si="710"/>
        <v>308.54185920000009</v>
      </c>
      <c r="ES230" s="456">
        <f t="shared" si="711"/>
        <v>0.1176</v>
      </c>
      <c r="EV230" s="144">
        <f t="shared" si="712"/>
        <v>117.6</v>
      </c>
      <c r="EW230" s="456">
        <f t="shared" si="713"/>
        <v>3.0239999999999998E-4</v>
      </c>
      <c r="EX230" s="456">
        <f t="shared" si="714"/>
        <v>9.6976000000000007E-3</v>
      </c>
      <c r="EY230" s="456">
        <f t="shared" si="715"/>
        <v>1.4055603007136366E-2</v>
      </c>
      <c r="EZ230" s="456"/>
      <c r="FA230" s="456">
        <f t="shared" si="716"/>
        <v>1.5120000000000004E-4</v>
      </c>
      <c r="FB230" s="144">
        <f t="shared" si="717"/>
        <v>24.206803007136365</v>
      </c>
      <c r="FC230" s="150">
        <f t="shared" si="718"/>
        <v>0.45034866220713643</v>
      </c>
      <c r="FD230" s="5">
        <f t="shared" si="719"/>
        <v>0.84000000000000008</v>
      </c>
      <c r="FE230" s="150">
        <f t="shared" si="720"/>
        <v>0.65098684146592078</v>
      </c>
      <c r="FF230" s="5">
        <f t="shared" si="721"/>
        <v>65.098684146592078</v>
      </c>
      <c r="FI230" s="59">
        <f t="shared" si="676"/>
        <v>-50</v>
      </c>
      <c r="FJ230">
        <f t="shared" si="677"/>
        <v>-50</v>
      </c>
      <c r="FL230">
        <f t="shared" si="678"/>
        <v>0.33600000000000002</v>
      </c>
    </row>
    <row r="231" spans="5:168">
      <c r="E231" s="147">
        <v>15</v>
      </c>
      <c r="F231" s="188">
        <f t="shared" si="679"/>
        <v>0.18</v>
      </c>
      <c r="G231" s="188"/>
      <c r="H231" s="188">
        <f t="shared" si="603"/>
        <v>0.89999999999999991</v>
      </c>
      <c r="I231" s="465">
        <f t="shared" si="604"/>
        <v>59.975943738783762</v>
      </c>
      <c r="J231" s="149">
        <f t="shared" si="605"/>
        <v>5.4144337567297409</v>
      </c>
      <c r="K231" s="149">
        <f t="shared" si="606"/>
        <v>65.390377495513505</v>
      </c>
      <c r="L231" s="379"/>
      <c r="M231" s="188">
        <f t="shared" si="607"/>
        <v>8.28096321966421E-2</v>
      </c>
      <c r="N231" s="149">
        <f t="shared" si="608"/>
        <v>12.788958542262097</v>
      </c>
      <c r="O231" s="149">
        <f t="shared" si="599"/>
        <v>0.89999999999999991</v>
      </c>
      <c r="P231" s="188">
        <f t="shared" si="609"/>
        <v>2.5577917084524193</v>
      </c>
      <c r="Q231" s="188">
        <f t="shared" si="610"/>
        <v>5</v>
      </c>
      <c r="R231" s="188"/>
      <c r="S231" s="149">
        <f t="shared" si="611"/>
        <v>773.05429204383563</v>
      </c>
      <c r="T231" s="149">
        <f t="shared" si="612"/>
        <v>5</v>
      </c>
      <c r="U231" s="188">
        <f t="shared" si="613"/>
        <v>0.39250303169034439</v>
      </c>
      <c r="V231" s="188">
        <f t="shared" si="614"/>
        <v>7.8532092813711957E-2</v>
      </c>
      <c r="W231" s="188">
        <f t="shared" si="615"/>
        <v>0.86990377792135809</v>
      </c>
      <c r="X231" s="172">
        <f t="shared" si="616"/>
        <v>350</v>
      </c>
      <c r="Y231" s="379">
        <f t="shared" si="680"/>
        <v>350</v>
      </c>
      <c r="AA231" s="188">
        <f t="shared" si="617"/>
        <v>1.1824070219231924</v>
      </c>
      <c r="AB231" s="150">
        <f t="shared" si="618"/>
        <v>2.6205666004210642</v>
      </c>
      <c r="AC231" s="150">
        <f t="shared" si="619"/>
        <v>0.54225086120716959</v>
      </c>
      <c r="AD231" s="150"/>
      <c r="AE231" s="150">
        <f t="shared" si="620"/>
        <v>2.216298238958947</v>
      </c>
      <c r="AF231" s="314">
        <f t="shared" si="621"/>
        <v>162.43301270189224</v>
      </c>
      <c r="AG231" s="456">
        <f t="shared" si="622"/>
        <v>0.38785219181781572</v>
      </c>
      <c r="AI231" s="150">
        <f t="shared" si="623"/>
        <v>0.68124468585480091</v>
      </c>
      <c r="AJ231" s="150">
        <f t="shared" si="624"/>
        <v>1</v>
      </c>
      <c r="AK231" s="150">
        <f t="shared" si="625"/>
        <v>1.0928188644010812</v>
      </c>
      <c r="AM231" s="314">
        <f t="shared" si="626"/>
        <v>180</v>
      </c>
      <c r="AN231" s="144">
        <f t="shared" si="627"/>
        <v>162.43301270189224</v>
      </c>
      <c r="AP231">
        <f t="shared" si="628"/>
        <v>180</v>
      </c>
      <c r="AQ231">
        <f t="shared" si="629"/>
        <v>162.43301270189224</v>
      </c>
      <c r="AS231" s="5">
        <f t="shared" si="600"/>
        <v>6.1563839971081853</v>
      </c>
      <c r="AT231" s="5">
        <f t="shared" si="630"/>
        <v>0.20008021970048862</v>
      </c>
      <c r="AU231" s="5">
        <f t="shared" si="478"/>
        <v>5.9563037774076966</v>
      </c>
      <c r="AV231" s="5"/>
      <c r="AW231" s="150">
        <f t="shared" si="479"/>
        <v>3.2499632868006854E-2</v>
      </c>
      <c r="AX231" s="150">
        <f t="shared" si="631"/>
        <v>0.97459807621135341</v>
      </c>
      <c r="AY231" s="150">
        <f t="shared" si="632"/>
        <v>0.48375018356599658</v>
      </c>
      <c r="AZ231" s="150">
        <f t="shared" si="633"/>
        <v>2.0146722612631152</v>
      </c>
      <c r="BA231" s="144">
        <f t="shared" si="594"/>
        <v>0.72028879092175901</v>
      </c>
      <c r="BB231" s="5">
        <f t="shared" si="595"/>
        <v>3.724183026208068E-2</v>
      </c>
      <c r="BD231" s="150">
        <f t="shared" si="681"/>
        <v>0.10408271208996375</v>
      </c>
      <c r="BE231" s="150">
        <f t="shared" si="682"/>
        <v>0.56789094232724913</v>
      </c>
      <c r="BG231" s="456">
        <f t="shared" si="683"/>
        <v>2.1666421912004574E-4</v>
      </c>
      <c r="BH231" s="456">
        <f t="shared" si="634"/>
        <v>0.19915417534331761</v>
      </c>
      <c r="BI231" s="456">
        <f t="shared" si="635"/>
        <v>0.24355183077824591</v>
      </c>
      <c r="BJ231" s="456">
        <f t="shared" si="684"/>
        <v>6.9454755762705211E-2</v>
      </c>
      <c r="BK231">
        <f t="shared" si="685"/>
        <v>2.6989174682452693E-2</v>
      </c>
      <c r="BL231" s="144">
        <f t="shared" si="686"/>
        <v>270.54100546069861</v>
      </c>
      <c r="BM231" s="456">
        <f t="shared" si="636"/>
        <v>0.26889793737374712</v>
      </c>
      <c r="BN231" s="144">
        <f t="shared" si="687"/>
        <v>268.89793737374714</v>
      </c>
      <c r="BO231" s="456">
        <f t="shared" si="637"/>
        <v>0.126</v>
      </c>
      <c r="BR231" s="144">
        <f t="shared" si="688"/>
        <v>126</v>
      </c>
      <c r="BS231" s="456">
        <f t="shared" si="689"/>
        <v>3.249963286800686E-4</v>
      </c>
      <c r="BT231" s="456">
        <f t="shared" si="690"/>
        <v>9.6750036713199299E-3</v>
      </c>
      <c r="BU231" s="456">
        <f t="shared" si="691"/>
        <v>1.6813408037961032E-2</v>
      </c>
      <c r="BV231" s="456"/>
      <c r="BW231" s="456">
        <f t="shared" si="692"/>
        <v>1.6243301270189224E-4</v>
      </c>
      <c r="BX231" s="144">
        <f t="shared" si="693"/>
        <v>26.975841050662922</v>
      </c>
      <c r="BY231" s="150">
        <f t="shared" si="694"/>
        <v>0.6923424418365044</v>
      </c>
      <c r="BZ231" s="5">
        <f t="shared" si="695"/>
        <v>0.89999999999999991</v>
      </c>
      <c r="CA231" s="150">
        <f t="shared" si="696"/>
        <v>0.56520505662211606</v>
      </c>
      <c r="CB231" s="5">
        <f t="shared" si="697"/>
        <v>56.520505662211605</v>
      </c>
      <c r="CE231" s="59">
        <f t="shared" si="638"/>
        <v>-50</v>
      </c>
      <c r="CF231">
        <f t="shared" si="639"/>
        <v>-50</v>
      </c>
      <c r="CG231" s="150">
        <f t="shared" si="640"/>
        <v>0.37412297443487746</v>
      </c>
      <c r="CI231" s="147">
        <v>15</v>
      </c>
      <c r="CJ231" s="188">
        <f t="shared" si="698"/>
        <v>0.18</v>
      </c>
      <c r="CK231" s="188"/>
      <c r="CL231" s="188">
        <f t="shared" si="641"/>
        <v>0.89999999999999991</v>
      </c>
      <c r="CM231" s="465">
        <f t="shared" si="642"/>
        <v>60</v>
      </c>
      <c r="CN231" s="379">
        <f t="shared" si="643"/>
        <v>5.4</v>
      </c>
      <c r="CO231" s="379">
        <f t="shared" si="644"/>
        <v>65.400000000000006</v>
      </c>
      <c r="CP231" s="379"/>
      <c r="CQ231" s="188">
        <f t="shared" si="645"/>
        <v>8.2568807339449546E-2</v>
      </c>
      <c r="CR231" s="149">
        <f t="shared" si="646"/>
        <v>12.756880733944957</v>
      </c>
      <c r="CS231" s="149">
        <f t="shared" si="647"/>
        <v>0.89999999999999991</v>
      </c>
      <c r="CT231" s="188">
        <f t="shared" si="648"/>
        <v>2.5513761467889915</v>
      </c>
      <c r="CU231" s="188">
        <f t="shared" si="649"/>
        <v>5</v>
      </c>
      <c r="CV231" s="188"/>
      <c r="CW231" s="149">
        <f t="shared" si="650"/>
        <v>773.36435052866364</v>
      </c>
      <c r="CX231" s="149">
        <f t="shared" si="651"/>
        <v>5</v>
      </c>
      <c r="CY231" s="188">
        <f t="shared" si="652"/>
        <v>0.36333333333333329</v>
      </c>
      <c r="CZ231" s="188">
        <f t="shared" si="653"/>
        <v>7.2666666666666671E-2</v>
      </c>
      <c r="DA231" s="188">
        <f t="shared" si="654"/>
        <v>0.80740740740740735</v>
      </c>
      <c r="DB231" s="172">
        <f t="shared" si="655"/>
        <v>350</v>
      </c>
      <c r="DC231" s="379">
        <f t="shared" si="656"/>
        <v>350</v>
      </c>
      <c r="DE231" s="188">
        <f t="shared" si="657"/>
        <v>1.179554390563565</v>
      </c>
      <c r="DF231" s="150">
        <f t="shared" si="658"/>
        <v>2.6212319790301444</v>
      </c>
      <c r="DG231" s="150">
        <f t="shared" si="659"/>
        <v>0.54107999567136011</v>
      </c>
      <c r="DH231" s="150"/>
      <c r="DI231" s="150">
        <f t="shared" si="660"/>
        <v>2.2222222222222219</v>
      </c>
      <c r="DJ231" s="314">
        <f t="shared" si="661"/>
        <v>162</v>
      </c>
      <c r="DK231" s="456">
        <f t="shared" si="662"/>
        <v>0.38888888888888884</v>
      </c>
      <c r="DM231" s="150">
        <f t="shared" si="663"/>
        <v>0.68033605141660902</v>
      </c>
      <c r="DN231" s="150">
        <f t="shared" si="664"/>
        <v>1</v>
      </c>
      <c r="DO231" s="150">
        <f t="shared" si="665"/>
        <v>1.0925714285714285</v>
      </c>
      <c r="DQ231" s="314">
        <f t="shared" si="666"/>
        <v>180</v>
      </c>
      <c r="DR231" s="144">
        <f t="shared" si="667"/>
        <v>162</v>
      </c>
      <c r="DT231">
        <f t="shared" si="668"/>
        <v>180</v>
      </c>
      <c r="DU231">
        <f t="shared" si="669"/>
        <v>162</v>
      </c>
      <c r="DW231" s="5">
        <f t="shared" si="670"/>
        <v>6.1728395061728394</v>
      </c>
      <c r="DX231" s="5">
        <f t="shared" si="671"/>
        <v>0.2</v>
      </c>
      <c r="DY231" s="5">
        <f t="shared" si="672"/>
        <v>5.9728395061728392</v>
      </c>
      <c r="DZ231" s="5"/>
      <c r="EA231" s="150">
        <f t="shared" si="673"/>
        <v>3.2400000000000005E-2</v>
      </c>
      <c r="EB231" s="150">
        <f t="shared" si="699"/>
        <v>0.97199999999999998</v>
      </c>
      <c r="EC231" s="150">
        <f t="shared" si="700"/>
        <v>0.48380000000000001</v>
      </c>
      <c r="ED231" s="150">
        <f t="shared" si="701"/>
        <v>2.0090946672178585</v>
      </c>
      <c r="EE231" s="144">
        <f t="shared" si="674"/>
        <v>0.72</v>
      </c>
      <c r="EF231" s="5">
        <f t="shared" si="675"/>
        <v>3.733024691358023E-2</v>
      </c>
      <c r="EH231" s="150">
        <f t="shared" si="702"/>
        <v>0.10392304845413265</v>
      </c>
      <c r="EI231" s="150">
        <f t="shared" si="703"/>
        <v>0.56792018218525508</v>
      </c>
      <c r="EK231" s="456">
        <f t="shared" si="704"/>
        <v>2.1600000000000005E-4</v>
      </c>
      <c r="EL231" s="456">
        <f t="shared" si="705"/>
        <v>0.21189600000000003</v>
      </c>
      <c r="EM231" s="456">
        <f t="shared" si="706"/>
        <v>2.0249999999999997E-2</v>
      </c>
      <c r="EN231" s="456">
        <f t="shared" si="707"/>
        <v>6.9289992000000009E-2</v>
      </c>
      <c r="EO231">
        <f t="shared" si="708"/>
        <v>2.7E-2</v>
      </c>
      <c r="EP231" s="144">
        <f t="shared" si="709"/>
        <v>47.25</v>
      </c>
      <c r="EQ231" s="144"/>
      <c r="ER231" s="144">
        <f t="shared" si="710"/>
        <v>328.65199200000006</v>
      </c>
      <c r="ES231" s="456">
        <f t="shared" si="711"/>
        <v>0.126</v>
      </c>
      <c r="EV231" s="144">
        <f t="shared" si="712"/>
        <v>126</v>
      </c>
      <c r="EW231" s="456">
        <f t="shared" si="713"/>
        <v>3.2400000000000007E-4</v>
      </c>
      <c r="EX231" s="456">
        <f t="shared" si="714"/>
        <v>9.6760000000000006E-3</v>
      </c>
      <c r="EY231" s="456">
        <f t="shared" si="715"/>
        <v>1.6701579328913758E-2</v>
      </c>
      <c r="EZ231" s="456"/>
      <c r="FA231" s="456">
        <f t="shared" si="716"/>
        <v>1.6200000000000003E-4</v>
      </c>
      <c r="FB231" s="144">
        <f t="shared" si="717"/>
        <v>26.863579328913758</v>
      </c>
      <c r="FC231" s="150">
        <f t="shared" si="718"/>
        <v>0.48151557132891382</v>
      </c>
      <c r="FD231" s="5">
        <f t="shared" si="719"/>
        <v>0.89999999999999991</v>
      </c>
      <c r="FE231" s="150">
        <f t="shared" si="720"/>
        <v>0.65145845524872936</v>
      </c>
      <c r="FF231" s="5">
        <f t="shared" si="721"/>
        <v>65.145845524872939</v>
      </c>
      <c r="FI231" s="59">
        <f t="shared" si="676"/>
        <v>-50</v>
      </c>
      <c r="FJ231">
        <f t="shared" si="677"/>
        <v>-50</v>
      </c>
      <c r="FL231">
        <f t="shared" si="678"/>
        <v>0.36</v>
      </c>
    </row>
    <row r="232" spans="5:168">
      <c r="E232" s="147">
        <v>16</v>
      </c>
      <c r="F232" s="188">
        <f t="shared" si="679"/>
        <v>0.192</v>
      </c>
      <c r="G232" s="188"/>
      <c r="H232" s="188">
        <f t="shared" si="603"/>
        <v>0.96</v>
      </c>
      <c r="I232" s="465">
        <f t="shared" si="604"/>
        <v>59.975943738783762</v>
      </c>
      <c r="J232" s="149">
        <f t="shared" si="605"/>
        <v>5.4144337567297409</v>
      </c>
      <c r="K232" s="149">
        <f t="shared" si="606"/>
        <v>65.390377495513505</v>
      </c>
      <c r="L232" s="379"/>
      <c r="M232" s="188">
        <f t="shared" si="607"/>
        <v>8.28096321966421E-2</v>
      </c>
      <c r="N232" s="149">
        <f t="shared" si="608"/>
        <v>12.788958542262097</v>
      </c>
      <c r="O232" s="149">
        <f t="shared" si="599"/>
        <v>0.96</v>
      </c>
      <c r="P232" s="188">
        <f t="shared" si="609"/>
        <v>2.5577917084524193</v>
      </c>
      <c r="Q232" s="188">
        <f t="shared" si="610"/>
        <v>5</v>
      </c>
      <c r="R232" s="188"/>
      <c r="S232" s="149">
        <f t="shared" si="611"/>
        <v>720.99407927188372</v>
      </c>
      <c r="T232" s="149">
        <f t="shared" si="612"/>
        <v>5</v>
      </c>
      <c r="U232" s="188">
        <f t="shared" si="613"/>
        <v>0.41866990046970065</v>
      </c>
      <c r="V232" s="188">
        <f t="shared" si="614"/>
        <v>8.3767565667959412E-2</v>
      </c>
      <c r="W232" s="188">
        <f t="shared" si="615"/>
        <v>0.92789736311611515</v>
      </c>
      <c r="X232" s="172">
        <f t="shared" si="616"/>
        <v>350</v>
      </c>
      <c r="Y232" s="379">
        <f t="shared" si="680"/>
        <v>350</v>
      </c>
      <c r="AA232" s="188">
        <f t="shared" si="617"/>
        <v>1.1824070219231924</v>
      </c>
      <c r="AB232" s="150">
        <f t="shared" si="618"/>
        <v>2.6205666004210642</v>
      </c>
      <c r="AC232" s="150">
        <f t="shared" si="619"/>
        <v>0.54225086120716959</v>
      </c>
      <c r="AD232" s="150"/>
      <c r="AE232" s="150">
        <f t="shared" si="620"/>
        <v>2.216298238958947</v>
      </c>
      <c r="AF232" s="314">
        <f t="shared" si="621"/>
        <v>173.26188021535174</v>
      </c>
      <c r="AG232" s="456">
        <f t="shared" si="622"/>
        <v>0.38785219181781572</v>
      </c>
      <c r="AI232" s="150">
        <f t="shared" si="623"/>
        <v>0.7035864861354526</v>
      </c>
      <c r="AJ232" s="150">
        <f t="shared" si="624"/>
        <v>1</v>
      </c>
      <c r="AK232" s="150">
        <f t="shared" si="625"/>
        <v>1.0990067886944868</v>
      </c>
      <c r="AM232" s="314">
        <f t="shared" si="626"/>
        <v>192</v>
      </c>
      <c r="AN232" s="144">
        <f t="shared" si="627"/>
        <v>173.26188021535174</v>
      </c>
      <c r="AP232">
        <f t="shared" si="628"/>
        <v>192</v>
      </c>
      <c r="AQ232">
        <f t="shared" si="629"/>
        <v>173.26188021535174</v>
      </c>
      <c r="AS232" s="5">
        <f t="shared" si="600"/>
        <v>5.7716099972889232</v>
      </c>
      <c r="AT232" s="5">
        <f t="shared" si="630"/>
        <v>0.20008021970048862</v>
      </c>
      <c r="AU232" s="5">
        <f t="shared" si="478"/>
        <v>5.5715297775884345</v>
      </c>
      <c r="AV232" s="5"/>
      <c r="AW232" s="150">
        <f t="shared" si="479"/>
        <v>3.4666275059207316E-2</v>
      </c>
      <c r="AX232" s="150">
        <f t="shared" si="631"/>
        <v>1.0395712812921105</v>
      </c>
      <c r="AY232" s="150">
        <f t="shared" si="632"/>
        <v>0.48266686247039636</v>
      </c>
      <c r="AZ232" s="150">
        <f t="shared" si="633"/>
        <v>2.1538070294930822</v>
      </c>
      <c r="BA232" s="144">
        <f t="shared" si="594"/>
        <v>0.76830804364987626</v>
      </c>
      <c r="BB232" s="5">
        <f t="shared" si="595"/>
        <v>3.7158430065590276E-2</v>
      </c>
      <c r="BD232" s="150">
        <f t="shared" si="681"/>
        <v>0.10749616281400826</v>
      </c>
      <c r="BE232" s="150">
        <f t="shared" si="682"/>
        <v>0.56725471202414668</v>
      </c>
      <c r="BG232" s="456">
        <f t="shared" si="683"/>
        <v>2.3110850039471543E-4</v>
      </c>
      <c r="BH232" s="456">
        <f t="shared" si="634"/>
        <v>0.21243112036620546</v>
      </c>
      <c r="BI232" s="456">
        <f t="shared" si="635"/>
        <v>0.25978861949679571</v>
      </c>
      <c r="BJ232" s="456">
        <f t="shared" si="684"/>
        <v>7.4085072813552241E-2</v>
      </c>
      <c r="BK232">
        <f t="shared" si="685"/>
        <v>2.6989174682452693E-2</v>
      </c>
      <c r="BL232" s="144">
        <f t="shared" si="686"/>
        <v>286.77779417924842</v>
      </c>
      <c r="BM232" s="456">
        <f t="shared" si="636"/>
        <v>0.2868254509565023</v>
      </c>
      <c r="BN232" s="144">
        <f t="shared" si="687"/>
        <v>286.82545095650232</v>
      </c>
      <c r="BO232" s="456">
        <f t="shared" si="637"/>
        <v>0.13439999999999999</v>
      </c>
      <c r="BR232" s="144">
        <f t="shared" si="688"/>
        <v>134.4</v>
      </c>
      <c r="BS232" s="456">
        <f t="shared" si="689"/>
        <v>3.4666275059207311E-4</v>
      </c>
      <c r="BT232" s="456">
        <f t="shared" si="690"/>
        <v>9.653337249407928E-3</v>
      </c>
      <c r="BU232" s="456">
        <f t="shared" si="691"/>
        <v>1.9757298520826493E-2</v>
      </c>
      <c r="BV232" s="456"/>
      <c r="BW232" s="456">
        <f t="shared" si="692"/>
        <v>1.7326188021535174E-4</v>
      </c>
      <c r="BX232" s="144">
        <f t="shared" si="693"/>
        <v>29.930560401041848</v>
      </c>
      <c r="BY232" s="150">
        <f t="shared" si="694"/>
        <v>0.73785565626044269</v>
      </c>
      <c r="BZ232" s="5">
        <f t="shared" si="695"/>
        <v>0.96</v>
      </c>
      <c r="CA232" s="150">
        <f t="shared" si="696"/>
        <v>0.56541908993277856</v>
      </c>
      <c r="CB232" s="5">
        <f t="shared" si="697"/>
        <v>56.541908993277858</v>
      </c>
      <c r="CE232" s="59">
        <f t="shared" si="638"/>
        <v>-50</v>
      </c>
      <c r="CF232">
        <f t="shared" si="639"/>
        <v>-50</v>
      </c>
      <c r="CG232" s="150">
        <f t="shared" si="640"/>
        <v>0.39906450606386934</v>
      </c>
      <c r="CI232" s="147">
        <v>16</v>
      </c>
      <c r="CJ232" s="188">
        <f t="shared" si="698"/>
        <v>0.192</v>
      </c>
      <c r="CK232" s="188"/>
      <c r="CL232" s="188">
        <f t="shared" si="641"/>
        <v>0.96</v>
      </c>
      <c r="CM232" s="465">
        <f t="shared" si="642"/>
        <v>60</v>
      </c>
      <c r="CN232" s="379">
        <f t="shared" si="643"/>
        <v>5.4</v>
      </c>
      <c r="CO232" s="379">
        <f t="shared" si="644"/>
        <v>65.400000000000006</v>
      </c>
      <c r="CP232" s="379"/>
      <c r="CQ232" s="188">
        <f t="shared" si="645"/>
        <v>8.2568807339449546E-2</v>
      </c>
      <c r="CR232" s="149">
        <f t="shared" si="646"/>
        <v>12.756880733944957</v>
      </c>
      <c r="CS232" s="149">
        <f t="shared" si="647"/>
        <v>0.96</v>
      </c>
      <c r="CT232" s="188">
        <f t="shared" si="648"/>
        <v>2.5513761467889915</v>
      </c>
      <c r="CU232" s="188">
        <f t="shared" si="649"/>
        <v>5</v>
      </c>
      <c r="CV232" s="188"/>
      <c r="CW232" s="149">
        <f t="shared" si="650"/>
        <v>721.28325558659446</v>
      </c>
      <c r="CX232" s="149">
        <f t="shared" si="651"/>
        <v>5</v>
      </c>
      <c r="CY232" s="188">
        <f t="shared" si="652"/>
        <v>0.38755555555555549</v>
      </c>
      <c r="CZ232" s="188">
        <f t="shared" si="653"/>
        <v>7.75111111111111E-2</v>
      </c>
      <c r="DA232" s="188">
        <f t="shared" si="654"/>
        <v>0.86123456790123443</v>
      </c>
      <c r="DB232" s="172">
        <f t="shared" si="655"/>
        <v>350</v>
      </c>
      <c r="DC232" s="379">
        <f t="shared" si="656"/>
        <v>350</v>
      </c>
      <c r="DE232" s="188">
        <f t="shared" si="657"/>
        <v>1.179554390563565</v>
      </c>
      <c r="DF232" s="150">
        <f t="shared" si="658"/>
        <v>2.6212319790301444</v>
      </c>
      <c r="DG232" s="150">
        <f t="shared" si="659"/>
        <v>0.54107999567136011</v>
      </c>
      <c r="DH232" s="150"/>
      <c r="DI232" s="150">
        <f t="shared" si="660"/>
        <v>2.2222222222222219</v>
      </c>
      <c r="DJ232" s="314">
        <f t="shared" si="661"/>
        <v>172.80000000000004</v>
      </c>
      <c r="DK232" s="456">
        <f t="shared" si="662"/>
        <v>0.38888888888888884</v>
      </c>
      <c r="DM232" s="150">
        <f t="shared" si="663"/>
        <v>0.70264805252294393</v>
      </c>
      <c r="DN232" s="150">
        <f t="shared" si="664"/>
        <v>1</v>
      </c>
      <c r="DO232" s="150">
        <f t="shared" si="665"/>
        <v>1.0987428571428572</v>
      </c>
      <c r="DQ232" s="314">
        <f t="shared" si="666"/>
        <v>192</v>
      </c>
      <c r="DR232" s="144">
        <f t="shared" si="667"/>
        <v>172.80000000000004</v>
      </c>
      <c r="DT232">
        <f t="shared" si="668"/>
        <v>192</v>
      </c>
      <c r="DU232">
        <f t="shared" si="669"/>
        <v>172.80000000000004</v>
      </c>
      <c r="DW232" s="5">
        <f t="shared" si="670"/>
        <v>5.7870370370370354</v>
      </c>
      <c r="DX232" s="5">
        <f t="shared" si="671"/>
        <v>0.2</v>
      </c>
      <c r="DY232" s="5">
        <f t="shared" si="672"/>
        <v>5.5870370370370352</v>
      </c>
      <c r="DZ232" s="5"/>
      <c r="EA232" s="150">
        <f t="shared" si="673"/>
        <v>3.4560000000000014E-2</v>
      </c>
      <c r="EB232" s="150">
        <f t="shared" si="699"/>
        <v>1.0368000000000002</v>
      </c>
      <c r="EC232" s="150">
        <f t="shared" si="700"/>
        <v>0.48271999999999998</v>
      </c>
      <c r="ED232" s="150">
        <f t="shared" si="701"/>
        <v>2.1478289691746775</v>
      </c>
      <c r="EE232" s="144">
        <f t="shared" si="674"/>
        <v>0.76800000000000002</v>
      </c>
      <c r="EF232" s="5">
        <f t="shared" si="675"/>
        <v>3.7246913580246899E-2</v>
      </c>
      <c r="EH232" s="150">
        <f t="shared" si="702"/>
        <v>0.10733126291998993</v>
      </c>
      <c r="EI232" s="150">
        <f t="shared" si="703"/>
        <v>0.56728593613215317</v>
      </c>
      <c r="EK232" s="456">
        <f t="shared" si="704"/>
        <v>2.304000000000001E-4</v>
      </c>
      <c r="EL232" s="456">
        <f t="shared" si="705"/>
        <v>0.22602240000000007</v>
      </c>
      <c r="EM232" s="456">
        <f t="shared" si="706"/>
        <v>2.1600000000000005E-2</v>
      </c>
      <c r="EN232" s="456">
        <f t="shared" si="707"/>
        <v>7.3909324800000037E-2</v>
      </c>
      <c r="EO232">
        <f t="shared" si="708"/>
        <v>2.7E-2</v>
      </c>
      <c r="EP232" s="144">
        <f t="shared" si="709"/>
        <v>48.6</v>
      </c>
      <c r="EQ232" s="144"/>
      <c r="ER232" s="144">
        <f t="shared" si="710"/>
        <v>348.76212480000015</v>
      </c>
      <c r="ES232" s="456">
        <f t="shared" si="711"/>
        <v>0.13439999999999999</v>
      </c>
      <c r="EV232" s="144">
        <f t="shared" si="712"/>
        <v>134.4</v>
      </c>
      <c r="EW232" s="456">
        <f t="shared" si="713"/>
        <v>3.4560000000000011E-4</v>
      </c>
      <c r="EX232" s="456">
        <f t="shared" si="714"/>
        <v>9.6544000000000005E-3</v>
      </c>
      <c r="EY232" s="456">
        <f t="shared" si="715"/>
        <v>1.9625889517794079E-2</v>
      </c>
      <c r="EZ232" s="456"/>
      <c r="FA232" s="456">
        <f t="shared" si="716"/>
        <v>1.7280000000000003E-4</v>
      </c>
      <c r="FB232" s="144">
        <f t="shared" si="717"/>
        <v>29.798689517794081</v>
      </c>
      <c r="FC232" s="150">
        <f t="shared" si="718"/>
        <v>0.51296081431779417</v>
      </c>
      <c r="FD232" s="5">
        <f t="shared" si="719"/>
        <v>0.96</v>
      </c>
      <c r="FE232" s="150">
        <f t="shared" si="720"/>
        <v>0.65174849912394084</v>
      </c>
      <c r="FF232" s="5">
        <f t="shared" si="721"/>
        <v>65.17484991239408</v>
      </c>
      <c r="FI232" s="59">
        <f t="shared" si="676"/>
        <v>-50</v>
      </c>
      <c r="FJ232">
        <f t="shared" si="677"/>
        <v>-50</v>
      </c>
      <c r="FL232">
        <f t="shared" si="678"/>
        <v>0.38400000000000006</v>
      </c>
    </row>
    <row r="233" spans="5:168">
      <c r="E233" s="147">
        <v>17</v>
      </c>
      <c r="F233" s="188">
        <f t="shared" si="679"/>
        <v>0.20400000000000001</v>
      </c>
      <c r="G233" s="188"/>
      <c r="H233" s="188">
        <f t="shared" si="603"/>
        <v>1.02</v>
      </c>
      <c r="I233" s="465">
        <f t="shared" si="604"/>
        <v>59.975943738783762</v>
      </c>
      <c r="J233" s="149">
        <f t="shared" si="605"/>
        <v>5.4144337567297409</v>
      </c>
      <c r="K233" s="149">
        <f t="shared" si="606"/>
        <v>65.390377495513505</v>
      </c>
      <c r="L233" s="379"/>
      <c r="M233" s="188">
        <f t="shared" si="607"/>
        <v>8.28096321966421E-2</v>
      </c>
      <c r="N233" s="149">
        <f t="shared" si="608"/>
        <v>12.788958542262097</v>
      </c>
      <c r="O233" s="149">
        <f t="shared" si="599"/>
        <v>1.02</v>
      </c>
      <c r="P233" s="188">
        <f t="shared" si="609"/>
        <v>2.5577917084524193</v>
      </c>
      <c r="Q233" s="188">
        <f t="shared" si="610"/>
        <v>5</v>
      </c>
      <c r="R233" s="188"/>
      <c r="S233" s="149">
        <f t="shared" si="611"/>
        <v>675.05888393996224</v>
      </c>
      <c r="T233" s="149">
        <f t="shared" si="612"/>
        <v>5</v>
      </c>
      <c r="U233" s="188">
        <f t="shared" si="613"/>
        <v>0.44483676924905702</v>
      </c>
      <c r="V233" s="188">
        <f t="shared" si="614"/>
        <v>8.9003038522206881E-2</v>
      </c>
      <c r="W233" s="188">
        <f t="shared" si="615"/>
        <v>0.98589094831087243</v>
      </c>
      <c r="X233" s="172">
        <f t="shared" si="616"/>
        <v>350</v>
      </c>
      <c r="Y233" s="379">
        <f t="shared" si="680"/>
        <v>350</v>
      </c>
      <c r="AA233" s="188">
        <f t="shared" si="617"/>
        <v>1.1824070219231924</v>
      </c>
      <c r="AB233" s="150">
        <f t="shared" si="618"/>
        <v>2.6205666004210642</v>
      </c>
      <c r="AC233" s="150">
        <f t="shared" si="619"/>
        <v>0.54225086120716959</v>
      </c>
      <c r="AD233" s="150"/>
      <c r="AE233" s="150">
        <f t="shared" si="620"/>
        <v>2.216298238958947</v>
      </c>
      <c r="AF233" s="314">
        <f t="shared" si="621"/>
        <v>184.09074772881124</v>
      </c>
      <c r="AG233" s="456">
        <f t="shared" si="622"/>
        <v>0.38785219181781572</v>
      </c>
      <c r="AI233" s="150">
        <f t="shared" si="623"/>
        <v>0.72524034977341179</v>
      </c>
      <c r="AJ233" s="150">
        <f t="shared" si="624"/>
        <v>1</v>
      </c>
      <c r="AK233" s="150">
        <f t="shared" si="625"/>
        <v>1.1051947129878921</v>
      </c>
      <c r="AM233" s="314">
        <f t="shared" si="626"/>
        <v>204.00000000000003</v>
      </c>
      <c r="AN233" s="144">
        <f t="shared" si="627"/>
        <v>184.09074772881124</v>
      </c>
      <c r="AP233">
        <f t="shared" si="628"/>
        <v>204.00000000000003</v>
      </c>
      <c r="AQ233">
        <f t="shared" si="629"/>
        <v>184.09074772881124</v>
      </c>
      <c r="AS233" s="5">
        <f t="shared" si="600"/>
        <v>5.4321035268601632</v>
      </c>
      <c r="AT233" s="5">
        <f t="shared" si="630"/>
        <v>0.20008021970048862</v>
      </c>
      <c r="AU233" s="5">
        <f t="shared" si="478"/>
        <v>5.2320233071596745</v>
      </c>
      <c r="AV233" s="5"/>
      <c r="AW233" s="150">
        <f t="shared" si="479"/>
        <v>3.6832917250407778E-2</v>
      </c>
      <c r="AX233" s="150">
        <f t="shared" si="631"/>
        <v>1.1045444863728673</v>
      </c>
      <c r="AY233" s="150">
        <f t="shared" si="632"/>
        <v>0.48158354137479609</v>
      </c>
      <c r="AZ233" s="150">
        <f t="shared" si="633"/>
        <v>2.2935677644208505</v>
      </c>
      <c r="BA233" s="144">
        <f t="shared" si="594"/>
        <v>0.81632729637799362</v>
      </c>
      <c r="BB233" s="5">
        <f t="shared" si="595"/>
        <v>3.7075029869099878E-2</v>
      </c>
      <c r="BD233" s="150">
        <f t="shared" si="681"/>
        <v>0.11080450840768737</v>
      </c>
      <c r="BE233" s="150">
        <f t="shared" si="682"/>
        <v>0.5666177673263203</v>
      </c>
      <c r="BG233" s="456">
        <f t="shared" si="683"/>
        <v>2.4555278166938521E-4</v>
      </c>
      <c r="BH233" s="456">
        <f t="shared" si="634"/>
        <v>0.22570806538909333</v>
      </c>
      <c r="BI233" s="456">
        <f t="shared" si="635"/>
        <v>0.27602540821534544</v>
      </c>
      <c r="BJ233" s="456">
        <f t="shared" si="684"/>
        <v>7.8715389864399257E-2</v>
      </c>
      <c r="BK233">
        <f t="shared" si="685"/>
        <v>2.6989174682452693E-2</v>
      </c>
      <c r="BL233" s="144">
        <f t="shared" si="686"/>
        <v>303.01458289779816</v>
      </c>
      <c r="BM233" s="456">
        <f t="shared" si="636"/>
        <v>0.30475308759950037</v>
      </c>
      <c r="BN233" s="144">
        <f t="shared" si="687"/>
        <v>304.75308759950036</v>
      </c>
      <c r="BO233" s="456">
        <f t="shared" si="637"/>
        <v>0.14280000000000001</v>
      </c>
      <c r="BR233" s="144">
        <f t="shared" si="688"/>
        <v>142.80000000000001</v>
      </c>
      <c r="BS233" s="456">
        <f t="shared" si="689"/>
        <v>3.6832917250407784E-4</v>
      </c>
      <c r="BT233" s="456">
        <f t="shared" si="690"/>
        <v>9.6316708274959209E-3</v>
      </c>
      <c r="BU233" s="456">
        <f t="shared" si="691"/>
        <v>2.2990578992194956E-2</v>
      </c>
      <c r="BV233" s="456"/>
      <c r="BW233" s="456">
        <f t="shared" si="692"/>
        <v>1.8409074772881125E-4</v>
      </c>
      <c r="BX233" s="144">
        <f t="shared" si="693"/>
        <v>33.174669739923772</v>
      </c>
      <c r="BY233" s="150">
        <f t="shared" si="694"/>
        <v>0.78365826067288391</v>
      </c>
      <c r="BZ233" s="5">
        <f t="shared" si="695"/>
        <v>1.02</v>
      </c>
      <c r="CA233" s="150">
        <f t="shared" si="696"/>
        <v>0.56551732788863918</v>
      </c>
      <c r="CB233" s="5">
        <f t="shared" si="697"/>
        <v>56.551732788863916</v>
      </c>
      <c r="CE233" s="59">
        <f t="shared" si="638"/>
        <v>-50</v>
      </c>
      <c r="CF233">
        <f t="shared" si="639"/>
        <v>-50</v>
      </c>
      <c r="CG233" s="150">
        <f t="shared" si="640"/>
        <v>0.42400603769286116</v>
      </c>
      <c r="CI233" s="147">
        <v>17</v>
      </c>
      <c r="CJ233" s="188">
        <f t="shared" si="698"/>
        <v>0.20400000000000001</v>
      </c>
      <c r="CK233" s="188"/>
      <c r="CL233" s="188">
        <f t="shared" si="641"/>
        <v>1.02</v>
      </c>
      <c r="CM233" s="465">
        <f t="shared" si="642"/>
        <v>60</v>
      </c>
      <c r="CN233" s="379">
        <f t="shared" si="643"/>
        <v>5.4</v>
      </c>
      <c r="CO233" s="379">
        <f t="shared" si="644"/>
        <v>65.400000000000006</v>
      </c>
      <c r="CP233" s="379"/>
      <c r="CQ233" s="188">
        <f t="shared" si="645"/>
        <v>8.2568807339449546E-2</v>
      </c>
      <c r="CR233" s="149">
        <f t="shared" si="646"/>
        <v>12.756880733944957</v>
      </c>
      <c r="CS233" s="149">
        <f t="shared" si="647"/>
        <v>1.02</v>
      </c>
      <c r="CT233" s="188">
        <f t="shared" si="648"/>
        <v>2.5513761467889915</v>
      </c>
      <c r="CU233" s="188">
        <f t="shared" si="649"/>
        <v>5</v>
      </c>
      <c r="CV233" s="188"/>
      <c r="CW233" s="149">
        <f t="shared" si="650"/>
        <v>675.3296348106752</v>
      </c>
      <c r="CX233" s="149">
        <f t="shared" si="651"/>
        <v>5</v>
      </c>
      <c r="CY233" s="188">
        <f t="shared" si="652"/>
        <v>0.41177777777777774</v>
      </c>
      <c r="CZ233" s="188">
        <f t="shared" si="653"/>
        <v>8.2355555555555557E-2</v>
      </c>
      <c r="DA233" s="188">
        <f t="shared" si="654"/>
        <v>0.91506172839506161</v>
      </c>
      <c r="DB233" s="172">
        <f t="shared" si="655"/>
        <v>350</v>
      </c>
      <c r="DC233" s="379">
        <f t="shared" si="656"/>
        <v>350</v>
      </c>
      <c r="DE233" s="188">
        <f t="shared" si="657"/>
        <v>1.179554390563565</v>
      </c>
      <c r="DF233" s="150">
        <f t="shared" si="658"/>
        <v>2.6212319790301444</v>
      </c>
      <c r="DG233" s="150">
        <f t="shared" si="659"/>
        <v>0.54107999567136011</v>
      </c>
      <c r="DH233" s="150"/>
      <c r="DI233" s="150">
        <f t="shared" si="660"/>
        <v>2.2222222222222219</v>
      </c>
      <c r="DJ233" s="314">
        <f t="shared" si="661"/>
        <v>183.60000000000002</v>
      </c>
      <c r="DK233" s="456">
        <f t="shared" si="662"/>
        <v>0.38888888888888884</v>
      </c>
      <c r="DM233" s="150">
        <f t="shared" si="663"/>
        <v>0.72427303454666092</v>
      </c>
      <c r="DN233" s="150">
        <f t="shared" si="664"/>
        <v>1</v>
      </c>
      <c r="DO233" s="150">
        <f t="shared" si="665"/>
        <v>1.1049142857142857</v>
      </c>
      <c r="DQ233" s="314">
        <f t="shared" si="666"/>
        <v>204.00000000000003</v>
      </c>
      <c r="DR233" s="144">
        <f t="shared" si="667"/>
        <v>183.60000000000002</v>
      </c>
      <c r="DT233">
        <f t="shared" si="668"/>
        <v>204.00000000000003</v>
      </c>
      <c r="DU233">
        <f t="shared" si="669"/>
        <v>183.60000000000002</v>
      </c>
      <c r="DW233" s="5">
        <f t="shared" si="670"/>
        <v>5.4466230936819162</v>
      </c>
      <c r="DX233" s="5">
        <f t="shared" si="671"/>
        <v>0.2</v>
      </c>
      <c r="DY233" s="5">
        <f t="shared" si="672"/>
        <v>5.246623093681916</v>
      </c>
      <c r="DZ233" s="5"/>
      <c r="EA233" s="150">
        <f t="shared" si="673"/>
        <v>3.672000000000001E-2</v>
      </c>
      <c r="EB233" s="150">
        <f t="shared" si="699"/>
        <v>1.1016000000000001</v>
      </c>
      <c r="EC233" s="150">
        <f t="shared" si="700"/>
        <v>0.48164000000000001</v>
      </c>
      <c r="ED233" s="150">
        <f t="shared" si="701"/>
        <v>2.2871854497134794</v>
      </c>
      <c r="EE233" s="144">
        <f t="shared" si="674"/>
        <v>0.81600000000000006</v>
      </c>
      <c r="EF233" s="5">
        <f t="shared" si="675"/>
        <v>3.7163580246913568E-2</v>
      </c>
      <c r="EH233" s="150">
        <f t="shared" si="702"/>
        <v>0.11063453348751466</v>
      </c>
      <c r="EI233" s="150">
        <f t="shared" si="703"/>
        <v>0.56665098017503979</v>
      </c>
      <c r="EK233" s="456">
        <f t="shared" si="704"/>
        <v>2.4480000000000004E-4</v>
      </c>
      <c r="EL233" s="456">
        <f t="shared" si="705"/>
        <v>0.24014880000000005</v>
      </c>
      <c r="EM233" s="456">
        <f t="shared" si="706"/>
        <v>2.2950000000000002E-2</v>
      </c>
      <c r="EN233" s="456">
        <f t="shared" si="707"/>
        <v>7.8528657600000024E-2</v>
      </c>
      <c r="EO233">
        <f t="shared" si="708"/>
        <v>2.7E-2</v>
      </c>
      <c r="EP233" s="144">
        <f t="shared" si="709"/>
        <v>49.95</v>
      </c>
      <c r="EQ233" s="144"/>
      <c r="ER233" s="144">
        <f t="shared" si="710"/>
        <v>368.87225760000007</v>
      </c>
      <c r="ES233" s="456">
        <f t="shared" si="711"/>
        <v>0.14280000000000001</v>
      </c>
      <c r="EV233" s="144">
        <f t="shared" si="712"/>
        <v>142.80000000000001</v>
      </c>
      <c r="EW233" s="456">
        <f t="shared" si="713"/>
        <v>3.6720000000000009E-4</v>
      </c>
      <c r="EX233" s="456">
        <f t="shared" si="714"/>
        <v>9.6328000000000004E-3</v>
      </c>
      <c r="EY233" s="456">
        <f t="shared" si="715"/>
        <v>2.28376649153379E-2</v>
      </c>
      <c r="EZ233" s="456"/>
      <c r="FA233" s="456">
        <f t="shared" si="716"/>
        <v>1.8360000000000002E-4</v>
      </c>
      <c r="FB233" s="144">
        <f t="shared" si="717"/>
        <v>33.021264915337895</v>
      </c>
      <c r="FC233" s="150">
        <f t="shared" si="718"/>
        <v>0.54469352251533798</v>
      </c>
      <c r="FD233" s="5">
        <f t="shared" si="719"/>
        <v>1.02</v>
      </c>
      <c r="FE233" s="150">
        <f t="shared" si="720"/>
        <v>0.65188484858062767</v>
      </c>
      <c r="FF233" s="5">
        <f t="shared" si="721"/>
        <v>65.188484858062765</v>
      </c>
      <c r="FI233" s="59">
        <f t="shared" si="676"/>
        <v>-50</v>
      </c>
      <c r="FJ233">
        <f t="shared" si="677"/>
        <v>-50</v>
      </c>
      <c r="FL233">
        <f t="shared" si="678"/>
        <v>0.40800000000000003</v>
      </c>
    </row>
    <row r="234" spans="5:168">
      <c r="E234" s="147">
        <v>18</v>
      </c>
      <c r="F234" s="188">
        <f t="shared" si="679"/>
        <v>0.216</v>
      </c>
      <c r="G234" s="188"/>
      <c r="H234" s="188">
        <f t="shared" si="603"/>
        <v>1.08</v>
      </c>
      <c r="I234" s="465">
        <f t="shared" si="604"/>
        <v>59.975943738783762</v>
      </c>
      <c r="J234" s="149">
        <f t="shared" si="605"/>
        <v>5.4144337567297409</v>
      </c>
      <c r="K234" s="149">
        <f t="shared" si="606"/>
        <v>65.390377495513505</v>
      </c>
      <c r="L234" s="379"/>
      <c r="M234" s="188">
        <f t="shared" si="607"/>
        <v>8.28096321966421E-2</v>
      </c>
      <c r="N234" s="149">
        <f t="shared" si="608"/>
        <v>12.788958542262097</v>
      </c>
      <c r="O234" s="149">
        <f t="shared" si="599"/>
        <v>1.08</v>
      </c>
      <c r="P234" s="188">
        <f t="shared" si="609"/>
        <v>2.5577917084524193</v>
      </c>
      <c r="Q234" s="188">
        <f t="shared" si="610"/>
        <v>5</v>
      </c>
      <c r="R234" s="188"/>
      <c r="S234" s="149">
        <f t="shared" si="611"/>
        <v>634.22787403152267</v>
      </c>
      <c r="T234" s="149">
        <f t="shared" si="612"/>
        <v>5</v>
      </c>
      <c r="U234" s="188">
        <f t="shared" si="613"/>
        <v>0.47100363802841327</v>
      </c>
      <c r="V234" s="188">
        <f t="shared" si="614"/>
        <v>9.4238511376454351E-2</v>
      </c>
      <c r="W234" s="188">
        <f t="shared" si="615"/>
        <v>1.0438845335056297</v>
      </c>
      <c r="X234" s="172">
        <f t="shared" si="616"/>
        <v>350</v>
      </c>
      <c r="Y234" s="379">
        <f t="shared" si="680"/>
        <v>350</v>
      </c>
      <c r="AA234" s="188">
        <f t="shared" si="617"/>
        <v>1.1824070219231924</v>
      </c>
      <c r="AB234" s="150">
        <f t="shared" si="618"/>
        <v>2.6205666004210642</v>
      </c>
      <c r="AC234" s="150">
        <f t="shared" si="619"/>
        <v>0.54225086120716959</v>
      </c>
      <c r="AD234" s="150"/>
      <c r="AE234" s="150">
        <f t="shared" si="620"/>
        <v>2.216298238958947</v>
      </c>
      <c r="AF234" s="314">
        <f t="shared" si="621"/>
        <v>194.91961524227071</v>
      </c>
      <c r="AG234" s="456">
        <f t="shared" si="622"/>
        <v>0.38785219181781572</v>
      </c>
      <c r="AI234" s="150">
        <f t="shared" si="623"/>
        <v>0.74626616324639006</v>
      </c>
      <c r="AJ234" s="150">
        <f t="shared" si="624"/>
        <v>1</v>
      </c>
      <c r="AK234" s="150">
        <f t="shared" si="625"/>
        <v>1.1113826372812976</v>
      </c>
      <c r="AM234" s="314">
        <f t="shared" si="626"/>
        <v>216</v>
      </c>
      <c r="AN234" s="144">
        <f t="shared" si="627"/>
        <v>194.91961524227071</v>
      </c>
      <c r="AP234">
        <f t="shared" si="628"/>
        <v>216</v>
      </c>
      <c r="AQ234">
        <f t="shared" si="629"/>
        <v>194.91961524227071</v>
      </c>
      <c r="AS234" s="5">
        <f t="shared" si="600"/>
        <v>5.1303199975901537</v>
      </c>
      <c r="AT234" s="5">
        <f t="shared" si="630"/>
        <v>0.20008021970048862</v>
      </c>
      <c r="AU234" s="5">
        <f t="shared" ref="AU234:AU297" si="722">AS234-AT234</f>
        <v>4.9302397778896649</v>
      </c>
      <c r="AV234" s="5"/>
      <c r="AW234" s="150">
        <f t="shared" ref="AW234:AW297" si="723">AT234/AS234</f>
        <v>3.8999559441608232E-2</v>
      </c>
      <c r="AX234" s="150">
        <f t="shared" si="631"/>
        <v>1.1695176914536243</v>
      </c>
      <c r="AY234" s="150">
        <f t="shared" si="632"/>
        <v>0.48050022027919587</v>
      </c>
      <c r="AZ234" s="150">
        <f t="shared" si="633"/>
        <v>2.4339586999025165</v>
      </c>
      <c r="BA234" s="144">
        <f t="shared" si="594"/>
        <v>0.86434654910611086</v>
      </c>
      <c r="BB234" s="5">
        <f t="shared" si="595"/>
        <v>3.6991629672609459E-2</v>
      </c>
      <c r="BD234" s="150">
        <f t="shared" si="681"/>
        <v>0.11401689851597764</v>
      </c>
      <c r="BE234" s="150">
        <f t="shared" si="682"/>
        <v>0.56598010582186598</v>
      </c>
      <c r="BG234" s="456">
        <f t="shared" si="683"/>
        <v>2.599970629440549E-4</v>
      </c>
      <c r="BH234" s="456">
        <f t="shared" si="634"/>
        <v>0.23898501041198117</v>
      </c>
      <c r="BI234" s="456">
        <f t="shared" si="635"/>
        <v>0.29226219693389516</v>
      </c>
      <c r="BJ234" s="456">
        <f t="shared" si="684"/>
        <v>8.3345706915246273E-2</v>
      </c>
      <c r="BK234">
        <f t="shared" si="685"/>
        <v>2.6989174682452693E-2</v>
      </c>
      <c r="BL234" s="144">
        <f t="shared" si="686"/>
        <v>319.25137161634785</v>
      </c>
      <c r="BM234" s="456">
        <f t="shared" si="636"/>
        <v>0.32268084730400842</v>
      </c>
      <c r="BN234" s="144">
        <f t="shared" si="687"/>
        <v>322.68084730400841</v>
      </c>
      <c r="BO234" s="456">
        <f t="shared" si="637"/>
        <v>0.1512</v>
      </c>
      <c r="BR234" s="144">
        <f t="shared" si="688"/>
        <v>151.19999999999999</v>
      </c>
      <c r="BS234" s="456">
        <f t="shared" si="689"/>
        <v>3.8999559441608235E-4</v>
      </c>
      <c r="BT234" s="456">
        <f t="shared" si="690"/>
        <v>9.6100044055839173E-3</v>
      </c>
      <c r="BU234" s="456">
        <f t="shared" si="691"/>
        <v>2.6522158610678231E-2</v>
      </c>
      <c r="BV234" s="456"/>
      <c r="BW234" s="456">
        <f t="shared" si="692"/>
        <v>1.9491961524227073E-4</v>
      </c>
      <c r="BX234" s="144">
        <f t="shared" si="693"/>
        <v>36.717078225920496</v>
      </c>
      <c r="BY234" s="150">
        <f t="shared" si="694"/>
        <v>0.82975916423243978</v>
      </c>
      <c r="BZ234" s="5">
        <f t="shared" si="695"/>
        <v>1.08</v>
      </c>
      <c r="CA234" s="150">
        <f t="shared" si="696"/>
        <v>0.56551633327758788</v>
      </c>
      <c r="CB234" s="5">
        <f t="shared" si="697"/>
        <v>56.551633327758786</v>
      </c>
      <c r="CE234" s="59">
        <f t="shared" si="638"/>
        <v>-50</v>
      </c>
      <c r="CF234">
        <f t="shared" si="639"/>
        <v>-50</v>
      </c>
      <c r="CG234" s="150">
        <f t="shared" si="640"/>
        <v>0.44894756932185303</v>
      </c>
      <c r="CI234" s="147">
        <v>18</v>
      </c>
      <c r="CJ234" s="188">
        <f t="shared" si="698"/>
        <v>0.216</v>
      </c>
      <c r="CK234" s="188"/>
      <c r="CL234" s="188">
        <f t="shared" si="641"/>
        <v>1.08</v>
      </c>
      <c r="CM234" s="465">
        <f t="shared" si="642"/>
        <v>60</v>
      </c>
      <c r="CN234" s="379">
        <f t="shared" si="643"/>
        <v>5.4</v>
      </c>
      <c r="CO234" s="379">
        <f t="shared" si="644"/>
        <v>65.400000000000006</v>
      </c>
      <c r="CP234" s="379"/>
      <c r="CQ234" s="188">
        <f t="shared" si="645"/>
        <v>8.2568807339449546E-2</v>
      </c>
      <c r="CR234" s="149">
        <f t="shared" si="646"/>
        <v>12.756880733944957</v>
      </c>
      <c r="CS234" s="149">
        <f t="shared" si="647"/>
        <v>1.08</v>
      </c>
      <c r="CT234" s="188">
        <f t="shared" si="648"/>
        <v>2.5513761467889915</v>
      </c>
      <c r="CU234" s="188">
        <f t="shared" si="649"/>
        <v>5</v>
      </c>
      <c r="CV234" s="188"/>
      <c r="CW234" s="149">
        <f t="shared" si="650"/>
        <v>634.48224673002358</v>
      </c>
      <c r="CX234" s="149">
        <f t="shared" si="651"/>
        <v>5</v>
      </c>
      <c r="CY234" s="188">
        <f t="shared" si="652"/>
        <v>0.436</v>
      </c>
      <c r="CZ234" s="188">
        <f t="shared" si="653"/>
        <v>8.72E-2</v>
      </c>
      <c r="DA234" s="188">
        <f t="shared" si="654"/>
        <v>0.96888888888888869</v>
      </c>
      <c r="DB234" s="172">
        <f t="shared" si="655"/>
        <v>350</v>
      </c>
      <c r="DC234" s="379">
        <f t="shared" si="656"/>
        <v>350</v>
      </c>
      <c r="DE234" s="188">
        <f t="shared" si="657"/>
        <v>1.179554390563565</v>
      </c>
      <c r="DF234" s="150">
        <f t="shared" si="658"/>
        <v>2.6212319790301444</v>
      </c>
      <c r="DG234" s="150">
        <f t="shared" si="659"/>
        <v>0.54107999567136011</v>
      </c>
      <c r="DH234" s="150"/>
      <c r="DI234" s="150">
        <f t="shared" si="660"/>
        <v>2.2222222222222219</v>
      </c>
      <c r="DJ234" s="314">
        <f t="shared" si="661"/>
        <v>194.4</v>
      </c>
      <c r="DK234" s="456">
        <f t="shared" si="662"/>
        <v>0.38888888888888884</v>
      </c>
      <c r="DM234" s="150">
        <f t="shared" si="663"/>
        <v>0.74527080408974256</v>
      </c>
      <c r="DN234" s="150">
        <f t="shared" si="664"/>
        <v>1</v>
      </c>
      <c r="DO234" s="150">
        <f t="shared" si="665"/>
        <v>1.1110857142857142</v>
      </c>
      <c r="DQ234" s="314">
        <f t="shared" si="666"/>
        <v>216</v>
      </c>
      <c r="DR234" s="144">
        <f t="shared" si="667"/>
        <v>194.4</v>
      </c>
      <c r="DT234">
        <f t="shared" si="668"/>
        <v>216</v>
      </c>
      <c r="DU234">
        <f t="shared" si="669"/>
        <v>194.4</v>
      </c>
      <c r="DW234" s="5">
        <f t="shared" si="670"/>
        <v>5.1440329218106999</v>
      </c>
      <c r="DX234" s="5">
        <f t="shared" si="671"/>
        <v>0.2</v>
      </c>
      <c r="DY234" s="5">
        <f t="shared" si="672"/>
        <v>4.9440329218106998</v>
      </c>
      <c r="DZ234" s="5"/>
      <c r="EA234" s="150">
        <f t="shared" si="673"/>
        <v>3.8879999999999998E-2</v>
      </c>
      <c r="EB234" s="150">
        <f t="shared" si="699"/>
        <v>1.1664000000000001</v>
      </c>
      <c r="EC234" s="150">
        <f t="shared" si="700"/>
        <v>0.48055999999999999</v>
      </c>
      <c r="ED234" s="150">
        <f t="shared" si="701"/>
        <v>2.4271683036457468</v>
      </c>
      <c r="EE234" s="144">
        <f t="shared" si="674"/>
        <v>0.8640000000000001</v>
      </c>
      <c r="EF234" s="5">
        <f t="shared" si="675"/>
        <v>3.708024691358025E-2</v>
      </c>
      <c r="EH234" s="150">
        <f t="shared" si="702"/>
        <v>0.11384199576606165</v>
      </c>
      <c r="EI234" s="150">
        <f t="shared" si="703"/>
        <v>0.56601531192480414</v>
      </c>
      <c r="EK234" s="456">
        <f t="shared" si="704"/>
        <v>2.5919999999999996E-4</v>
      </c>
      <c r="EL234" s="456">
        <f t="shared" si="705"/>
        <v>0.25427520000000003</v>
      </c>
      <c r="EM234" s="456">
        <f t="shared" si="706"/>
        <v>2.4300000000000002E-2</v>
      </c>
      <c r="EN234" s="456">
        <f t="shared" si="707"/>
        <v>8.314799040000001E-2</v>
      </c>
      <c r="EO234">
        <f t="shared" si="708"/>
        <v>2.7E-2</v>
      </c>
      <c r="EP234" s="144">
        <f t="shared" si="709"/>
        <v>51.3</v>
      </c>
      <c r="EQ234" s="144"/>
      <c r="ER234" s="144">
        <f t="shared" si="710"/>
        <v>388.98239040000004</v>
      </c>
      <c r="ES234" s="456">
        <f t="shared" si="711"/>
        <v>0.1512</v>
      </c>
      <c r="EV234" s="144">
        <f t="shared" si="712"/>
        <v>151.19999999999999</v>
      </c>
      <c r="EW234" s="456">
        <f t="shared" si="713"/>
        <v>3.8879999999999991E-4</v>
      </c>
      <c r="EX234" s="456">
        <f t="shared" si="714"/>
        <v>9.6112000000000003E-3</v>
      </c>
      <c r="EY234" s="456">
        <f t="shared" si="715"/>
        <v>2.6345755423895226E-2</v>
      </c>
      <c r="EZ234" s="456"/>
      <c r="FA234" s="456">
        <f t="shared" si="716"/>
        <v>1.9440000000000001E-4</v>
      </c>
      <c r="FB234" s="144">
        <f t="shared" si="717"/>
        <v>36.540155423895222</v>
      </c>
      <c r="FC234" s="150">
        <f t="shared" si="718"/>
        <v>0.57672254582389537</v>
      </c>
      <c r="FD234" s="5">
        <f t="shared" si="719"/>
        <v>1.08</v>
      </c>
      <c r="FE234" s="150">
        <f t="shared" si="720"/>
        <v>0.65188948066310726</v>
      </c>
      <c r="FF234" s="5">
        <f t="shared" si="721"/>
        <v>65.188948066310729</v>
      </c>
      <c r="FI234" s="59">
        <f t="shared" si="676"/>
        <v>-50</v>
      </c>
      <c r="FJ234">
        <f t="shared" si="677"/>
        <v>-50</v>
      </c>
      <c r="FL234">
        <f t="shared" si="678"/>
        <v>0.432</v>
      </c>
    </row>
    <row r="235" spans="5:168">
      <c r="E235" s="147">
        <v>19</v>
      </c>
      <c r="F235" s="188">
        <f t="shared" si="679"/>
        <v>0.22799999999999998</v>
      </c>
      <c r="G235" s="188"/>
      <c r="H235" s="188">
        <f t="shared" si="603"/>
        <v>1.1399999999999999</v>
      </c>
      <c r="I235" s="465">
        <f t="shared" si="604"/>
        <v>59.975943738783762</v>
      </c>
      <c r="J235" s="149">
        <f t="shared" si="605"/>
        <v>5.4144337567297409</v>
      </c>
      <c r="K235" s="149">
        <f t="shared" si="606"/>
        <v>65.390377495513505</v>
      </c>
      <c r="L235" s="379"/>
      <c r="M235" s="188">
        <f t="shared" si="607"/>
        <v>8.28096321966421E-2</v>
      </c>
      <c r="N235" s="149">
        <f t="shared" si="608"/>
        <v>12.788958542262097</v>
      </c>
      <c r="O235" s="149">
        <f t="shared" si="599"/>
        <v>1.1399999999999999</v>
      </c>
      <c r="P235" s="188">
        <f t="shared" si="609"/>
        <v>2.5577917084524193</v>
      </c>
      <c r="Q235" s="188">
        <f t="shared" si="610"/>
        <v>5</v>
      </c>
      <c r="R235" s="188"/>
      <c r="S235" s="149">
        <f t="shared" si="611"/>
        <v>597.69512961651174</v>
      </c>
      <c r="T235" s="149">
        <f t="shared" si="612"/>
        <v>5</v>
      </c>
      <c r="U235" s="188">
        <f t="shared" si="613"/>
        <v>0.49717050680776947</v>
      </c>
      <c r="V235" s="188">
        <f t="shared" si="614"/>
        <v>9.9473984230701792E-2</v>
      </c>
      <c r="W235" s="188">
        <f t="shared" si="615"/>
        <v>1.1018781187003865</v>
      </c>
      <c r="X235" s="172">
        <f t="shared" si="616"/>
        <v>350</v>
      </c>
      <c r="Y235" s="379">
        <f t="shared" si="680"/>
        <v>350</v>
      </c>
      <c r="AA235" s="188">
        <f t="shared" si="617"/>
        <v>1.1824070219231924</v>
      </c>
      <c r="AB235" s="150">
        <f t="shared" si="618"/>
        <v>2.6205666004210642</v>
      </c>
      <c r="AC235" s="150">
        <f t="shared" si="619"/>
        <v>0.54225086120716959</v>
      </c>
      <c r="AD235" s="150"/>
      <c r="AE235" s="150">
        <f t="shared" si="620"/>
        <v>2.216298238958947</v>
      </c>
      <c r="AF235" s="314">
        <f t="shared" si="621"/>
        <v>205.74848275573015</v>
      </c>
      <c r="AG235" s="456">
        <f t="shared" si="622"/>
        <v>0.38785219181781572</v>
      </c>
      <c r="AI235" s="150">
        <f t="shared" si="623"/>
        <v>0.7667155977763298</v>
      </c>
      <c r="AJ235" s="150">
        <f t="shared" si="624"/>
        <v>1</v>
      </c>
      <c r="AK235" s="150">
        <f t="shared" si="625"/>
        <v>1.1175705615747029</v>
      </c>
      <c r="AM235" s="314">
        <f t="shared" si="626"/>
        <v>227.99999999999997</v>
      </c>
      <c r="AN235" s="144">
        <f t="shared" si="627"/>
        <v>205.74848275573015</v>
      </c>
      <c r="AP235">
        <f t="shared" si="628"/>
        <v>227.99999999999997</v>
      </c>
      <c r="AQ235">
        <f t="shared" si="629"/>
        <v>205.74848275573015</v>
      </c>
      <c r="AS235" s="5">
        <f t="shared" si="600"/>
        <v>4.8603031556117253</v>
      </c>
      <c r="AT235" s="5">
        <f t="shared" si="630"/>
        <v>0.20008021970048862</v>
      </c>
      <c r="AU235" s="5">
        <f t="shared" si="722"/>
        <v>4.6602229359112366</v>
      </c>
      <c r="AV235" s="5"/>
      <c r="AW235" s="150">
        <f t="shared" si="723"/>
        <v>4.1166201632808687E-2</v>
      </c>
      <c r="AX235" s="150">
        <f t="shared" si="631"/>
        <v>1.234490896534381</v>
      </c>
      <c r="AY235" s="150">
        <f t="shared" si="632"/>
        <v>0.47941689918359565</v>
      </c>
      <c r="AZ235" s="150">
        <f t="shared" si="633"/>
        <v>2.5749841080625426</v>
      </c>
      <c r="BA235" s="144">
        <f t="shared" si="594"/>
        <v>0.912365801834228</v>
      </c>
      <c r="BB235" s="5">
        <f t="shared" si="595"/>
        <v>3.6908229476119055E-2</v>
      </c>
      <c r="BD235" s="150">
        <f t="shared" si="681"/>
        <v>0.1171412276311642</v>
      </c>
      <c r="BE235" s="150">
        <f t="shared" si="682"/>
        <v>0.56534172508527714</v>
      </c>
      <c r="BG235" s="456">
        <f t="shared" si="683"/>
        <v>2.7444134421872454E-4</v>
      </c>
      <c r="BH235" s="456">
        <f t="shared" si="634"/>
        <v>0.25226195543486901</v>
      </c>
      <c r="BI235" s="456">
        <f t="shared" si="635"/>
        <v>0.30849898565244482</v>
      </c>
      <c r="BJ235" s="456">
        <f t="shared" si="684"/>
        <v>8.7976023966093275E-2</v>
      </c>
      <c r="BK235">
        <f t="shared" si="685"/>
        <v>2.6989174682452693E-2</v>
      </c>
      <c r="BL235" s="144">
        <f t="shared" si="686"/>
        <v>335.48816033489754</v>
      </c>
      <c r="BM235" s="456">
        <f t="shared" si="636"/>
        <v>0.3406087300712935</v>
      </c>
      <c r="BN235" s="144">
        <f t="shared" si="687"/>
        <v>340.60873007129351</v>
      </c>
      <c r="BO235" s="456">
        <f t="shared" si="637"/>
        <v>0.15959999999999996</v>
      </c>
      <c r="BR235" s="144">
        <f t="shared" si="688"/>
        <v>159.59999999999997</v>
      </c>
      <c r="BS235" s="456">
        <f t="shared" si="689"/>
        <v>4.1166201632808681E-4</v>
      </c>
      <c r="BT235" s="456">
        <f t="shared" si="690"/>
        <v>9.5883379836719119E-3</v>
      </c>
      <c r="BU235" s="456">
        <f t="shared" si="691"/>
        <v>3.0360687911643529E-2</v>
      </c>
      <c r="BV235" s="456"/>
      <c r="BW235" s="456">
        <f t="shared" si="692"/>
        <v>2.0574848275573015E-4</v>
      </c>
      <c r="BX235" s="144">
        <f t="shared" si="693"/>
        <v>40.566436394399261</v>
      </c>
      <c r="BY235" s="150">
        <f t="shared" si="694"/>
        <v>0.87616701747447778</v>
      </c>
      <c r="BZ235" s="5">
        <f t="shared" si="695"/>
        <v>1.1399999999999999</v>
      </c>
      <c r="CA235" s="150">
        <f t="shared" si="696"/>
        <v>0.56542934693376956</v>
      </c>
      <c r="CB235" s="5">
        <f t="shared" si="697"/>
        <v>56.542934693376957</v>
      </c>
      <c r="CE235" s="59">
        <f t="shared" si="638"/>
        <v>-50</v>
      </c>
      <c r="CF235">
        <f t="shared" si="639"/>
        <v>-50</v>
      </c>
      <c r="CG235" s="150">
        <f t="shared" si="640"/>
        <v>0.4738891009508448</v>
      </c>
      <c r="CI235" s="147">
        <v>19</v>
      </c>
      <c r="CJ235" s="188">
        <f t="shared" si="698"/>
        <v>0.22799999999999998</v>
      </c>
      <c r="CK235" s="188"/>
      <c r="CL235" s="188">
        <f t="shared" si="641"/>
        <v>1.1399999999999999</v>
      </c>
      <c r="CM235" s="465">
        <f t="shared" si="642"/>
        <v>60</v>
      </c>
      <c r="CN235" s="379">
        <f t="shared" si="643"/>
        <v>5.4</v>
      </c>
      <c r="CO235" s="379">
        <f t="shared" si="644"/>
        <v>65.400000000000006</v>
      </c>
      <c r="CP235" s="379"/>
      <c r="CQ235" s="188">
        <f t="shared" si="645"/>
        <v>8.2568807339449546E-2</v>
      </c>
      <c r="CR235" s="149">
        <f t="shared" si="646"/>
        <v>12.756880733944957</v>
      </c>
      <c r="CS235" s="149">
        <f t="shared" si="647"/>
        <v>1.1399999999999999</v>
      </c>
      <c r="CT235" s="188">
        <f t="shared" si="648"/>
        <v>2.5513761467889915</v>
      </c>
      <c r="CU235" s="188">
        <f t="shared" si="649"/>
        <v>5</v>
      </c>
      <c r="CV235" s="188"/>
      <c r="CW235" s="149">
        <f t="shared" si="650"/>
        <v>597.93484816116643</v>
      </c>
      <c r="CX235" s="149">
        <f t="shared" si="651"/>
        <v>5</v>
      </c>
      <c r="CY235" s="188">
        <f t="shared" si="652"/>
        <v>0.46022222222222214</v>
      </c>
      <c r="CZ235" s="188">
        <f t="shared" si="653"/>
        <v>9.2044444444444443E-2</v>
      </c>
      <c r="DA235" s="188">
        <f t="shared" si="654"/>
        <v>1.0227160493827159</v>
      </c>
      <c r="DB235" s="172">
        <f t="shared" si="655"/>
        <v>350</v>
      </c>
      <c r="DC235" s="379">
        <f t="shared" si="656"/>
        <v>350</v>
      </c>
      <c r="DE235" s="188">
        <f t="shared" si="657"/>
        <v>1.179554390563565</v>
      </c>
      <c r="DF235" s="150">
        <f t="shared" si="658"/>
        <v>2.6212319790301444</v>
      </c>
      <c r="DG235" s="150">
        <f t="shared" si="659"/>
        <v>0.54107999567136011</v>
      </c>
      <c r="DH235" s="150"/>
      <c r="DI235" s="150">
        <f t="shared" si="660"/>
        <v>2.2222222222222219</v>
      </c>
      <c r="DJ235" s="314">
        <f t="shared" si="661"/>
        <v>205.2</v>
      </c>
      <c r="DK235" s="456">
        <f t="shared" si="662"/>
        <v>0.38888888888888884</v>
      </c>
      <c r="DM235" s="150">
        <f t="shared" si="663"/>
        <v>0.76569296345579296</v>
      </c>
      <c r="DN235" s="150">
        <f t="shared" si="664"/>
        <v>1</v>
      </c>
      <c r="DO235" s="150">
        <f t="shared" si="665"/>
        <v>1.1172571428571429</v>
      </c>
      <c r="DQ235" s="314">
        <f t="shared" si="666"/>
        <v>227.99999999999997</v>
      </c>
      <c r="DR235" s="144">
        <f t="shared" si="667"/>
        <v>205.2</v>
      </c>
      <c r="DT235">
        <f t="shared" si="668"/>
        <v>227.99999999999997</v>
      </c>
      <c r="DU235">
        <f t="shared" si="669"/>
        <v>205.2</v>
      </c>
      <c r="DW235" s="5">
        <f t="shared" si="670"/>
        <v>4.8732943469785583</v>
      </c>
      <c r="DX235" s="5">
        <f t="shared" si="671"/>
        <v>0.2</v>
      </c>
      <c r="DY235" s="5">
        <f t="shared" si="672"/>
        <v>4.6732943469785582</v>
      </c>
      <c r="DZ235" s="5"/>
      <c r="EA235" s="150">
        <f t="shared" si="673"/>
        <v>4.1039999999999993E-2</v>
      </c>
      <c r="EB235" s="150">
        <f t="shared" si="699"/>
        <v>1.2312000000000001</v>
      </c>
      <c r="EC235" s="150">
        <f t="shared" si="700"/>
        <v>0.47948000000000002</v>
      </c>
      <c r="ED235" s="150">
        <f t="shared" si="701"/>
        <v>2.5677817635772087</v>
      </c>
      <c r="EE235" s="144">
        <f t="shared" si="674"/>
        <v>0.91200000000000003</v>
      </c>
      <c r="EF235" s="5">
        <f t="shared" si="675"/>
        <v>3.6996913580246912E-2</v>
      </c>
      <c r="EH235" s="150">
        <f t="shared" si="702"/>
        <v>0.11696153213770756</v>
      </c>
      <c r="EI235" s="150">
        <f t="shared" si="703"/>
        <v>0.56537892897890474</v>
      </c>
      <c r="EK235" s="456">
        <f t="shared" si="704"/>
        <v>2.7359999999999998E-4</v>
      </c>
      <c r="EL235" s="456">
        <f t="shared" si="705"/>
        <v>0.26840160000000002</v>
      </c>
      <c r="EM235" s="456">
        <f t="shared" si="706"/>
        <v>2.5649999999999996E-2</v>
      </c>
      <c r="EN235" s="456">
        <f t="shared" si="707"/>
        <v>8.7767323200000011E-2</v>
      </c>
      <c r="EO235">
        <f t="shared" si="708"/>
        <v>2.7E-2</v>
      </c>
      <c r="EP235" s="144">
        <f t="shared" si="709"/>
        <v>52.65</v>
      </c>
      <c r="EQ235" s="144"/>
      <c r="ER235" s="144">
        <f t="shared" si="710"/>
        <v>409.09252320000007</v>
      </c>
      <c r="ES235" s="456">
        <f t="shared" si="711"/>
        <v>0.15959999999999996</v>
      </c>
      <c r="EV235" s="144">
        <f t="shared" si="712"/>
        <v>159.59999999999997</v>
      </c>
      <c r="EW235" s="456">
        <f t="shared" si="713"/>
        <v>4.1039999999999989E-4</v>
      </c>
      <c r="EX235" s="456">
        <f t="shared" si="714"/>
        <v>9.5896000000000019E-3</v>
      </c>
      <c r="EY235" s="456">
        <f t="shared" si="715"/>
        <v>3.0158754042717027E-2</v>
      </c>
      <c r="EZ235" s="456"/>
      <c r="FA235" s="456">
        <f t="shared" si="716"/>
        <v>2.052E-4</v>
      </c>
      <c r="FB235" s="144">
        <f t="shared" si="717"/>
        <v>40.363954042717033</v>
      </c>
      <c r="FC235" s="150">
        <f t="shared" si="718"/>
        <v>0.60905647724271705</v>
      </c>
      <c r="FD235" s="5">
        <f t="shared" si="719"/>
        <v>1.1399999999999999</v>
      </c>
      <c r="FE235" s="150">
        <f t="shared" si="720"/>
        <v>0.65177998242637758</v>
      </c>
      <c r="FF235" s="5">
        <f t="shared" si="721"/>
        <v>65.177998242637756</v>
      </c>
      <c r="FI235" s="59">
        <f t="shared" si="676"/>
        <v>-50</v>
      </c>
      <c r="FJ235">
        <f t="shared" si="677"/>
        <v>-50</v>
      </c>
      <c r="FL235">
        <f t="shared" si="678"/>
        <v>0.45600000000000002</v>
      </c>
    </row>
    <row r="236" spans="5:168">
      <c r="E236" s="147">
        <v>20</v>
      </c>
      <c r="F236" s="188">
        <f t="shared" si="679"/>
        <v>0.24</v>
      </c>
      <c r="G236" s="188"/>
      <c r="H236" s="188">
        <f t="shared" si="603"/>
        <v>1.2</v>
      </c>
      <c r="I236" s="465">
        <f t="shared" si="604"/>
        <v>59.975943738783762</v>
      </c>
      <c r="J236" s="149">
        <f t="shared" si="605"/>
        <v>5.4144337567297409</v>
      </c>
      <c r="K236" s="149">
        <f t="shared" si="606"/>
        <v>65.390377495513505</v>
      </c>
      <c r="L236" s="379"/>
      <c r="M236" s="188">
        <f t="shared" si="607"/>
        <v>8.28096321966421E-2</v>
      </c>
      <c r="N236" s="149">
        <f t="shared" si="608"/>
        <v>12.788958542262097</v>
      </c>
      <c r="O236" s="149">
        <f t="shared" si="599"/>
        <v>1.2</v>
      </c>
      <c r="P236" s="188">
        <f t="shared" si="609"/>
        <v>2.5577917084524193</v>
      </c>
      <c r="Q236" s="188">
        <f t="shared" si="610"/>
        <v>5</v>
      </c>
      <c r="R236" s="188"/>
      <c r="S236" s="149">
        <f t="shared" si="611"/>
        <v>564.81591483178568</v>
      </c>
      <c r="T236" s="149">
        <f t="shared" si="612"/>
        <v>5</v>
      </c>
      <c r="U236" s="188">
        <f t="shared" si="613"/>
        <v>0.52333737558712579</v>
      </c>
      <c r="V236" s="188">
        <f t="shared" si="614"/>
        <v>0.10470945708494926</v>
      </c>
      <c r="W236" s="188">
        <f t="shared" si="615"/>
        <v>1.1598717038951438</v>
      </c>
      <c r="X236" s="172">
        <f t="shared" si="616"/>
        <v>350</v>
      </c>
      <c r="Y236" s="379">
        <f t="shared" si="680"/>
        <v>350</v>
      </c>
      <c r="AA236" s="188">
        <f t="shared" si="617"/>
        <v>1.1824070219231924</v>
      </c>
      <c r="AB236" s="150">
        <f t="shared" si="618"/>
        <v>2.6205666004210642</v>
      </c>
      <c r="AC236" s="150">
        <f t="shared" si="619"/>
        <v>0.54225086120716959</v>
      </c>
      <c r="AD236" s="150"/>
      <c r="AE236" s="150">
        <f t="shared" si="620"/>
        <v>2.216298238958947</v>
      </c>
      <c r="AF236" s="314">
        <f t="shared" si="621"/>
        <v>216.57735026918962</v>
      </c>
      <c r="AG236" s="456">
        <f t="shared" si="622"/>
        <v>0.38785219181781572</v>
      </c>
      <c r="AI236" s="150">
        <f t="shared" si="623"/>
        <v>0.78663360552454276</v>
      </c>
      <c r="AJ236" s="150">
        <f t="shared" si="624"/>
        <v>1</v>
      </c>
      <c r="AK236" s="150">
        <f t="shared" si="625"/>
        <v>1.1237584858681084</v>
      </c>
      <c r="AM236" s="314">
        <f t="shared" si="626"/>
        <v>240</v>
      </c>
      <c r="AN236" s="144">
        <f t="shared" si="627"/>
        <v>216.57735026918962</v>
      </c>
      <c r="AP236">
        <f t="shared" si="628"/>
        <v>240</v>
      </c>
      <c r="AQ236">
        <f t="shared" si="629"/>
        <v>216.57735026918962</v>
      </c>
      <c r="AS236" s="5">
        <f t="shared" si="600"/>
        <v>4.6172879978311396</v>
      </c>
      <c r="AT236" s="5">
        <f t="shared" si="630"/>
        <v>0.20008021970048862</v>
      </c>
      <c r="AU236" s="5">
        <f t="shared" si="722"/>
        <v>4.4172077781306509</v>
      </c>
      <c r="AV236" s="5"/>
      <c r="AW236" s="150">
        <f t="shared" si="723"/>
        <v>4.3332843824009135E-2</v>
      </c>
      <c r="AX236" s="150">
        <f t="shared" si="631"/>
        <v>1.2994641016151378</v>
      </c>
      <c r="AY236" s="150">
        <f t="shared" si="632"/>
        <v>0.47833357808799543</v>
      </c>
      <c r="AZ236" s="150">
        <f t="shared" si="633"/>
        <v>2.7166482997271104</v>
      </c>
      <c r="BA236" s="144">
        <f t="shared" si="594"/>
        <v>0.96038505456234535</v>
      </c>
      <c r="BB236" s="5">
        <f t="shared" si="595"/>
        <v>3.6824829279628657E-2</v>
      </c>
      <c r="BD236" s="150">
        <f t="shared" si="681"/>
        <v>0.12018436368625376</v>
      </c>
      <c r="BE236" s="150">
        <f t="shared" si="682"/>
        <v>0.56470262267733773</v>
      </c>
      <c r="BG236" s="456">
        <f t="shared" si="683"/>
        <v>2.8888562549339423E-4</v>
      </c>
      <c r="BH236" s="456">
        <f t="shared" si="634"/>
        <v>0.2655389004577568</v>
      </c>
      <c r="BI236" s="456">
        <f t="shared" si="635"/>
        <v>0.32473577437099455</v>
      </c>
      <c r="BJ236" s="456">
        <f t="shared" si="684"/>
        <v>9.2606341016940291E-2</v>
      </c>
      <c r="BK236">
        <f t="shared" si="685"/>
        <v>2.6989174682452693E-2</v>
      </c>
      <c r="BL236" s="144">
        <f t="shared" si="686"/>
        <v>351.72494905344723</v>
      </c>
      <c r="BM236" s="456">
        <f t="shared" si="636"/>
        <v>0.35853673590262281</v>
      </c>
      <c r="BN236" s="144">
        <f t="shared" si="687"/>
        <v>358.53673590262281</v>
      </c>
      <c r="BO236" s="456">
        <f t="shared" si="637"/>
        <v>0.16799999999999998</v>
      </c>
      <c r="BR236" s="144">
        <f t="shared" si="688"/>
        <v>167.99999999999997</v>
      </c>
      <c r="BS236" s="456">
        <f t="shared" si="689"/>
        <v>4.3332843824009137E-4</v>
      </c>
      <c r="BT236" s="456">
        <f t="shared" si="690"/>
        <v>9.56667156175991E-3</v>
      </c>
      <c r="BU236" s="456">
        <f t="shared" si="691"/>
        <v>3.4514580112753108E-2</v>
      </c>
      <c r="BV236" s="456"/>
      <c r="BW236" s="456">
        <f t="shared" si="692"/>
        <v>2.1657735026918963E-4</v>
      </c>
      <c r="BX236" s="144">
        <f t="shared" si="693"/>
        <v>44.731157463022299</v>
      </c>
      <c r="BY236" s="150">
        <f t="shared" si="694"/>
        <v>0.92289023361666001</v>
      </c>
      <c r="BZ236" s="5">
        <f t="shared" si="695"/>
        <v>1.2</v>
      </c>
      <c r="CA236" s="150">
        <f t="shared" si="696"/>
        <v>0.56526709718552948</v>
      </c>
      <c r="CB236" s="5">
        <f t="shared" si="697"/>
        <v>56.526709718552951</v>
      </c>
      <c r="CE236" s="59">
        <f t="shared" si="638"/>
        <v>-50</v>
      </c>
      <c r="CF236">
        <f t="shared" si="639"/>
        <v>-50</v>
      </c>
      <c r="CG236" s="150">
        <f t="shared" si="640"/>
        <v>0.49883063257983667</v>
      </c>
      <c r="CI236" s="147">
        <v>20</v>
      </c>
      <c r="CJ236" s="188">
        <f t="shared" si="698"/>
        <v>0.24</v>
      </c>
      <c r="CK236" s="188"/>
      <c r="CL236" s="188">
        <f t="shared" si="641"/>
        <v>1.2</v>
      </c>
      <c r="CM236" s="465">
        <f t="shared" si="642"/>
        <v>60</v>
      </c>
      <c r="CN236" s="379">
        <f t="shared" si="643"/>
        <v>5.4</v>
      </c>
      <c r="CO236" s="379">
        <f t="shared" si="644"/>
        <v>65.400000000000006</v>
      </c>
      <c r="CP236" s="379"/>
      <c r="CQ236" s="188">
        <f t="shared" si="645"/>
        <v>8.2568807339449546E-2</v>
      </c>
      <c r="CR236" s="149">
        <f t="shared" si="646"/>
        <v>12.756880733944957</v>
      </c>
      <c r="CS236" s="149">
        <f t="shared" si="647"/>
        <v>1.2</v>
      </c>
      <c r="CT236" s="188">
        <f t="shared" si="648"/>
        <v>2.5513761467889915</v>
      </c>
      <c r="CU236" s="188">
        <f t="shared" si="649"/>
        <v>5</v>
      </c>
      <c r="CV236" s="188"/>
      <c r="CW236" s="149">
        <f t="shared" si="650"/>
        <v>565.04244463822556</v>
      </c>
      <c r="CX236" s="149">
        <f t="shared" si="651"/>
        <v>5</v>
      </c>
      <c r="CY236" s="188">
        <f t="shared" si="652"/>
        <v>0.4844444444444444</v>
      </c>
      <c r="CZ236" s="188">
        <f t="shared" si="653"/>
        <v>9.6888888888888886E-2</v>
      </c>
      <c r="DA236" s="188">
        <f t="shared" si="654"/>
        <v>1.0765432098765431</v>
      </c>
      <c r="DB236" s="172">
        <f t="shared" si="655"/>
        <v>350</v>
      </c>
      <c r="DC236" s="379">
        <f t="shared" si="656"/>
        <v>350</v>
      </c>
      <c r="DE236" s="188">
        <f t="shared" si="657"/>
        <v>1.179554390563565</v>
      </c>
      <c r="DF236" s="150">
        <f t="shared" si="658"/>
        <v>2.6212319790301444</v>
      </c>
      <c r="DG236" s="150">
        <f t="shared" si="659"/>
        <v>0.54107999567136011</v>
      </c>
      <c r="DH236" s="150"/>
      <c r="DI236" s="150">
        <f t="shared" si="660"/>
        <v>2.2222222222222219</v>
      </c>
      <c r="DJ236" s="314">
        <f t="shared" si="661"/>
        <v>216</v>
      </c>
      <c r="DK236" s="456">
        <f t="shared" si="662"/>
        <v>0.38888888888888884</v>
      </c>
      <c r="DM236" s="150">
        <f t="shared" si="663"/>
        <v>0.78558440484957259</v>
      </c>
      <c r="DN236" s="150">
        <f t="shared" si="664"/>
        <v>1</v>
      </c>
      <c r="DO236" s="150">
        <f t="shared" si="665"/>
        <v>1.1234285714285714</v>
      </c>
      <c r="DQ236" s="314">
        <f t="shared" si="666"/>
        <v>240</v>
      </c>
      <c r="DR236" s="144">
        <f t="shared" si="667"/>
        <v>216</v>
      </c>
      <c r="DT236">
        <f t="shared" si="668"/>
        <v>240</v>
      </c>
      <c r="DU236">
        <f t="shared" si="669"/>
        <v>216</v>
      </c>
      <c r="DW236" s="5">
        <f t="shared" si="670"/>
        <v>4.6296296296296298</v>
      </c>
      <c r="DX236" s="5">
        <f t="shared" si="671"/>
        <v>0.2</v>
      </c>
      <c r="DY236" s="5">
        <f t="shared" si="672"/>
        <v>4.4296296296296296</v>
      </c>
      <c r="DZ236" s="5"/>
      <c r="EA236" s="150">
        <f t="shared" si="673"/>
        <v>4.3200000000000002E-2</v>
      </c>
      <c r="EB236" s="150">
        <f t="shared" si="699"/>
        <v>1.296</v>
      </c>
      <c r="EC236" s="150">
        <f t="shared" si="700"/>
        <v>0.47839999999999999</v>
      </c>
      <c r="ED236" s="150">
        <f t="shared" si="701"/>
        <v>2.7090301003344481</v>
      </c>
      <c r="EE236" s="144">
        <f t="shared" si="674"/>
        <v>0.96000000000000008</v>
      </c>
      <c r="EF236" s="5">
        <f t="shared" si="675"/>
        <v>3.6913580246913574E-2</v>
      </c>
      <c r="EH236" s="150">
        <f t="shared" si="702"/>
        <v>0.12000000000000001</v>
      </c>
      <c r="EI236" s="150">
        <f t="shared" si="703"/>
        <v>0.56474182892126323</v>
      </c>
      <c r="EK236" s="456">
        <f t="shared" si="704"/>
        <v>2.8800000000000006E-4</v>
      </c>
      <c r="EL236" s="456">
        <f t="shared" si="705"/>
        <v>0.28252800000000006</v>
      </c>
      <c r="EM236" s="456">
        <f t="shared" si="706"/>
        <v>2.7E-2</v>
      </c>
      <c r="EN236" s="456">
        <f t="shared" si="707"/>
        <v>9.2386656000000011E-2</v>
      </c>
      <c r="EO236">
        <f t="shared" si="708"/>
        <v>2.7E-2</v>
      </c>
      <c r="EP236" s="144">
        <f t="shared" si="709"/>
        <v>54</v>
      </c>
      <c r="EQ236" s="144"/>
      <c r="ER236" s="144">
        <f t="shared" si="710"/>
        <v>429.2026560000001</v>
      </c>
      <c r="ES236" s="456">
        <f t="shared" si="711"/>
        <v>0.16799999999999998</v>
      </c>
      <c r="EV236" s="144">
        <f t="shared" si="712"/>
        <v>167.99999999999997</v>
      </c>
      <c r="EW236" s="456">
        <f t="shared" si="713"/>
        <v>4.3200000000000009E-4</v>
      </c>
      <c r="EX236" s="456">
        <f t="shared" si="714"/>
        <v>9.5680000000000001E-3</v>
      </c>
      <c r="EY236" s="456">
        <f t="shared" si="715"/>
        <v>3.428501803178758E-2</v>
      </c>
      <c r="EZ236" s="456"/>
      <c r="FA236" s="456">
        <f t="shared" si="716"/>
        <v>2.1599999999999999E-4</v>
      </c>
      <c r="FB236" s="144">
        <f t="shared" si="717"/>
        <v>44.501018031787581</v>
      </c>
      <c r="FC236" s="150">
        <f t="shared" si="718"/>
        <v>0.64170367403178774</v>
      </c>
      <c r="FD236" s="5">
        <f t="shared" si="719"/>
        <v>1.2</v>
      </c>
      <c r="FE236" s="150">
        <f t="shared" si="720"/>
        <v>0.65157061742348898</v>
      </c>
      <c r="FF236" s="5">
        <f t="shared" si="721"/>
        <v>65.157061742348901</v>
      </c>
      <c r="FI236" s="59">
        <f t="shared" si="676"/>
        <v>-50</v>
      </c>
      <c r="FJ236">
        <f t="shared" si="677"/>
        <v>-50</v>
      </c>
      <c r="FL236">
        <f t="shared" si="678"/>
        <v>0.48</v>
      </c>
    </row>
    <row r="237" spans="5:168">
      <c r="E237" s="147">
        <v>21</v>
      </c>
      <c r="F237" s="188">
        <f t="shared" si="679"/>
        <v>0.252</v>
      </c>
      <c r="G237" s="188"/>
      <c r="H237" s="188">
        <f t="shared" si="603"/>
        <v>1.26</v>
      </c>
      <c r="I237" s="465">
        <f t="shared" si="604"/>
        <v>59.975943738783762</v>
      </c>
      <c r="J237" s="149">
        <f t="shared" si="605"/>
        <v>5.4144337567297409</v>
      </c>
      <c r="K237" s="149">
        <f t="shared" si="606"/>
        <v>65.390377495513505</v>
      </c>
      <c r="L237" s="379"/>
      <c r="M237" s="188">
        <f t="shared" si="607"/>
        <v>8.28096321966421E-2</v>
      </c>
      <c r="N237" s="149">
        <f t="shared" si="608"/>
        <v>12.788958542262097</v>
      </c>
      <c r="O237" s="149">
        <f t="shared" si="599"/>
        <v>1.26</v>
      </c>
      <c r="P237" s="188">
        <f t="shared" si="609"/>
        <v>2.5577917084524193</v>
      </c>
      <c r="Q237" s="188">
        <f t="shared" si="610"/>
        <v>5</v>
      </c>
      <c r="R237" s="188"/>
      <c r="S237" s="149">
        <f t="shared" si="611"/>
        <v>535.06830072432467</v>
      </c>
      <c r="T237" s="149">
        <f t="shared" si="612"/>
        <v>5</v>
      </c>
      <c r="U237" s="188">
        <f t="shared" si="613"/>
        <v>0.54950424436648215</v>
      </c>
      <c r="V237" s="188">
        <f t="shared" si="614"/>
        <v>0.10994492993919674</v>
      </c>
      <c r="W237" s="188">
        <f t="shared" si="615"/>
        <v>1.2178652890899011</v>
      </c>
      <c r="X237" s="172">
        <f t="shared" si="616"/>
        <v>350</v>
      </c>
      <c r="Y237" s="379">
        <f t="shared" si="680"/>
        <v>350</v>
      </c>
      <c r="AA237" s="188">
        <f t="shared" si="617"/>
        <v>1.1824070219231924</v>
      </c>
      <c r="AB237" s="150">
        <f t="shared" si="618"/>
        <v>2.6205666004210642</v>
      </c>
      <c r="AC237" s="150">
        <f t="shared" si="619"/>
        <v>0.54225086120716959</v>
      </c>
      <c r="AD237" s="150"/>
      <c r="AE237" s="150">
        <f t="shared" si="620"/>
        <v>2.216298238958947</v>
      </c>
      <c r="AF237" s="314">
        <f t="shared" si="621"/>
        <v>227.40621778264912</v>
      </c>
      <c r="AG237" s="456">
        <f t="shared" si="622"/>
        <v>0.38785219181781572</v>
      </c>
      <c r="AI237" s="150">
        <f t="shared" si="623"/>
        <v>0.80605958266592737</v>
      </c>
      <c r="AJ237" s="150">
        <f t="shared" si="624"/>
        <v>1</v>
      </c>
      <c r="AK237" s="150">
        <f t="shared" si="625"/>
        <v>1.1299464101615138</v>
      </c>
      <c r="AM237" s="314">
        <f t="shared" si="626"/>
        <v>252</v>
      </c>
      <c r="AN237" s="144">
        <f t="shared" si="627"/>
        <v>227.40621778264912</v>
      </c>
      <c r="AP237">
        <f t="shared" si="628"/>
        <v>252</v>
      </c>
      <c r="AQ237">
        <f t="shared" si="629"/>
        <v>227.40621778264912</v>
      </c>
      <c r="AS237" s="5">
        <f t="shared" si="600"/>
        <v>4.3974171407915614</v>
      </c>
      <c r="AT237" s="5">
        <f t="shared" si="630"/>
        <v>0.20008021970048862</v>
      </c>
      <c r="AU237" s="5">
        <f t="shared" si="722"/>
        <v>4.1973369210910727</v>
      </c>
      <c r="AV237" s="5"/>
      <c r="AW237" s="150">
        <f t="shared" si="723"/>
        <v>4.5499486015209596E-2</v>
      </c>
      <c r="AX237" s="150">
        <f t="shared" si="631"/>
        <v>1.3644373066958948</v>
      </c>
      <c r="AY237" s="150">
        <f t="shared" si="632"/>
        <v>0.47725025699239521</v>
      </c>
      <c r="AZ237" s="150">
        <f t="shared" si="633"/>
        <v>2.858955624863365</v>
      </c>
      <c r="BA237" s="144">
        <f t="shared" si="594"/>
        <v>1.0084043072904627</v>
      </c>
      <c r="BB237" s="5">
        <f t="shared" si="595"/>
        <v>3.6741429083138245E-2</v>
      </c>
      <c r="BD237" s="150">
        <f t="shared" si="681"/>
        <v>0.1231523257531225</v>
      </c>
      <c r="BE237" s="150">
        <f t="shared" si="682"/>
        <v>0.56406279614501265</v>
      </c>
      <c r="BG237" s="456">
        <f t="shared" si="683"/>
        <v>3.0332990676806398E-4</v>
      </c>
      <c r="BH237" s="456">
        <f t="shared" si="634"/>
        <v>0.27881584548064464</v>
      </c>
      <c r="BI237" s="456">
        <f t="shared" si="635"/>
        <v>0.34097256308954427</v>
      </c>
      <c r="BJ237" s="456">
        <f t="shared" si="684"/>
        <v>9.7236658067787307E-2</v>
      </c>
      <c r="BK237">
        <f t="shared" si="685"/>
        <v>2.6989174682452693E-2</v>
      </c>
      <c r="BL237" s="144">
        <f t="shared" si="686"/>
        <v>367.96173777199698</v>
      </c>
      <c r="BM237" s="456">
        <f t="shared" si="636"/>
        <v>0.37646486479926361</v>
      </c>
      <c r="BN237" s="144">
        <f t="shared" si="687"/>
        <v>376.46486479926364</v>
      </c>
      <c r="BO237" s="456">
        <f t="shared" si="637"/>
        <v>0.1764</v>
      </c>
      <c r="BR237" s="144">
        <f t="shared" si="688"/>
        <v>176.4</v>
      </c>
      <c r="BS237" s="456">
        <f t="shared" si="689"/>
        <v>4.5499486015209599E-4</v>
      </c>
      <c r="BT237" s="456">
        <f t="shared" si="690"/>
        <v>9.5450051398479029E-3</v>
      </c>
      <c r="BU237" s="456">
        <f t="shared" si="691"/>
        <v>3.8992029644327235E-2</v>
      </c>
      <c r="BV237" s="456"/>
      <c r="BW237" s="456">
        <f t="shared" si="692"/>
        <v>2.2740621778264913E-4</v>
      </c>
      <c r="BX237" s="144">
        <f t="shared" si="693"/>
        <v>49.21943586210989</v>
      </c>
      <c r="BY237" s="150">
        <f t="shared" si="694"/>
        <v>0.96993700708930686</v>
      </c>
      <c r="BZ237" s="5">
        <f t="shared" si="695"/>
        <v>1.26</v>
      </c>
      <c r="CA237" s="150">
        <f t="shared" si="696"/>
        <v>0.56503838269613427</v>
      </c>
      <c r="CB237" s="5">
        <f t="shared" si="697"/>
        <v>56.503838269613425</v>
      </c>
      <c r="CE237" s="59">
        <f t="shared" si="638"/>
        <v>-50</v>
      </c>
      <c r="CF237">
        <f t="shared" si="639"/>
        <v>-50</v>
      </c>
      <c r="CG237" s="150">
        <f t="shared" si="640"/>
        <v>0.52377216420882855</v>
      </c>
      <c r="CI237" s="147">
        <v>21</v>
      </c>
      <c r="CJ237" s="188">
        <f t="shared" si="698"/>
        <v>0.252</v>
      </c>
      <c r="CK237" s="188"/>
      <c r="CL237" s="188">
        <f t="shared" si="641"/>
        <v>1.26</v>
      </c>
      <c r="CM237" s="465">
        <f t="shared" si="642"/>
        <v>60</v>
      </c>
      <c r="CN237" s="379">
        <f t="shared" si="643"/>
        <v>5.4</v>
      </c>
      <c r="CO237" s="379">
        <f t="shared" si="644"/>
        <v>65.400000000000006</v>
      </c>
      <c r="CP237" s="379"/>
      <c r="CQ237" s="188">
        <f t="shared" si="645"/>
        <v>8.2568807339449546E-2</v>
      </c>
      <c r="CR237" s="149">
        <f t="shared" si="646"/>
        <v>12.756880733944957</v>
      </c>
      <c r="CS237" s="149">
        <f t="shared" si="647"/>
        <v>1.26</v>
      </c>
      <c r="CT237" s="188">
        <f t="shared" si="648"/>
        <v>2.5513761467889915</v>
      </c>
      <c r="CU237" s="188">
        <f t="shared" si="649"/>
        <v>5</v>
      </c>
      <c r="CV237" s="188"/>
      <c r="CW237" s="149">
        <f t="shared" si="650"/>
        <v>535.28289786311029</v>
      </c>
      <c r="CX237" s="149">
        <f t="shared" si="651"/>
        <v>5</v>
      </c>
      <c r="CY237" s="188">
        <f t="shared" si="652"/>
        <v>0.5086666666666666</v>
      </c>
      <c r="CZ237" s="188">
        <f t="shared" si="653"/>
        <v>0.10173333333333333</v>
      </c>
      <c r="DA237" s="188">
        <f t="shared" si="654"/>
        <v>1.13037037037037</v>
      </c>
      <c r="DB237" s="172">
        <f t="shared" si="655"/>
        <v>350</v>
      </c>
      <c r="DC237" s="379">
        <f t="shared" si="656"/>
        <v>350</v>
      </c>
      <c r="DE237" s="188">
        <f t="shared" si="657"/>
        <v>1.179554390563565</v>
      </c>
      <c r="DF237" s="150">
        <f t="shared" si="658"/>
        <v>2.6212319790301444</v>
      </c>
      <c r="DG237" s="150">
        <f t="shared" si="659"/>
        <v>0.54107999567136011</v>
      </c>
      <c r="DH237" s="150"/>
      <c r="DI237" s="150">
        <f t="shared" si="660"/>
        <v>2.2222222222222219</v>
      </c>
      <c r="DJ237" s="314">
        <f t="shared" si="661"/>
        <v>226.80000000000004</v>
      </c>
      <c r="DK237" s="456">
        <f t="shared" si="662"/>
        <v>0.38888888888888884</v>
      </c>
      <c r="DM237" s="150">
        <f t="shared" si="663"/>
        <v>0.80498447189992439</v>
      </c>
      <c r="DN237" s="150">
        <f t="shared" si="664"/>
        <v>1</v>
      </c>
      <c r="DO237" s="150">
        <f t="shared" si="665"/>
        <v>1.1295999999999999</v>
      </c>
      <c r="DQ237" s="314">
        <f t="shared" si="666"/>
        <v>252</v>
      </c>
      <c r="DR237" s="144">
        <f t="shared" si="667"/>
        <v>226.80000000000004</v>
      </c>
      <c r="DT237">
        <f t="shared" si="668"/>
        <v>252</v>
      </c>
      <c r="DU237">
        <f t="shared" si="669"/>
        <v>226.80000000000004</v>
      </c>
      <c r="DW237" s="5">
        <f t="shared" si="670"/>
        <v>4.4091710758377411</v>
      </c>
      <c r="DX237" s="5">
        <f t="shared" si="671"/>
        <v>0.2</v>
      </c>
      <c r="DY237" s="5">
        <f t="shared" si="672"/>
        <v>4.209171075837741</v>
      </c>
      <c r="DZ237" s="5"/>
      <c r="EA237" s="150">
        <f t="shared" si="673"/>
        <v>4.5360000000000018E-2</v>
      </c>
      <c r="EB237" s="150">
        <f t="shared" si="699"/>
        <v>1.3608000000000002</v>
      </c>
      <c r="EC237" s="150">
        <f t="shared" si="700"/>
        <v>0.47731999999999997</v>
      </c>
      <c r="ED237" s="150">
        <f t="shared" si="701"/>
        <v>2.8509176233973021</v>
      </c>
      <c r="EE237" s="144">
        <f t="shared" si="674"/>
        <v>1.008</v>
      </c>
      <c r="EF237" s="5">
        <f t="shared" si="675"/>
        <v>3.6830246913580229E-2</v>
      </c>
      <c r="EH237" s="150">
        <f t="shared" si="702"/>
        <v>0.1229634091915152</v>
      </c>
      <c r="EI237" s="150">
        <f t="shared" si="703"/>
        <v>0.56410400932215798</v>
      </c>
      <c r="EK237" s="456">
        <f t="shared" si="704"/>
        <v>3.0240000000000009E-4</v>
      </c>
      <c r="EL237" s="456">
        <f t="shared" si="705"/>
        <v>0.2966544000000001</v>
      </c>
      <c r="EM237" s="456">
        <f t="shared" si="706"/>
        <v>2.8350000000000004E-2</v>
      </c>
      <c r="EN237" s="456">
        <f t="shared" si="707"/>
        <v>9.700598880000004E-2</v>
      </c>
      <c r="EO237">
        <f t="shared" si="708"/>
        <v>2.7E-2</v>
      </c>
      <c r="EP237" s="144">
        <f t="shared" si="709"/>
        <v>55.35</v>
      </c>
      <c r="EQ237" s="144"/>
      <c r="ER237" s="144">
        <f t="shared" si="710"/>
        <v>449.31278880000013</v>
      </c>
      <c r="ES237" s="456">
        <f t="shared" si="711"/>
        <v>0.1764</v>
      </c>
      <c r="EV237" s="144">
        <f t="shared" si="712"/>
        <v>176.4</v>
      </c>
      <c r="EW237" s="456">
        <f t="shared" si="713"/>
        <v>4.5360000000000013E-4</v>
      </c>
      <c r="EX237" s="456">
        <f t="shared" si="714"/>
        <v>9.5463999999999983E-3</v>
      </c>
      <c r="EY237" s="456">
        <f t="shared" si="715"/>
        <v>3.8732687318939536E-2</v>
      </c>
      <c r="EZ237" s="456"/>
      <c r="FA237" s="456">
        <f t="shared" si="716"/>
        <v>2.2680000000000004E-4</v>
      </c>
      <c r="FB237" s="144">
        <f t="shared" si="717"/>
        <v>48.959487318939537</v>
      </c>
      <c r="FC237" s="150">
        <f t="shared" si="718"/>
        <v>0.67467227611893965</v>
      </c>
      <c r="FD237" s="5">
        <f t="shared" si="719"/>
        <v>1.26</v>
      </c>
      <c r="FE237" s="150">
        <f t="shared" si="720"/>
        <v>0.65127309444245007</v>
      </c>
      <c r="FF237" s="5">
        <f t="shared" si="721"/>
        <v>65.127309444245014</v>
      </c>
      <c r="FI237" s="59">
        <f t="shared" si="676"/>
        <v>-50</v>
      </c>
      <c r="FJ237">
        <f t="shared" si="677"/>
        <v>-50</v>
      </c>
      <c r="FL237">
        <f t="shared" si="678"/>
        <v>0.504</v>
      </c>
    </row>
    <row r="238" spans="5:168">
      <c r="E238" s="147">
        <v>22</v>
      </c>
      <c r="F238" s="188">
        <f t="shared" si="679"/>
        <v>0.26400000000000001</v>
      </c>
      <c r="G238" s="188"/>
      <c r="H238" s="188">
        <f t="shared" si="603"/>
        <v>1.32</v>
      </c>
      <c r="I238" s="465">
        <f t="shared" si="604"/>
        <v>59.975943738783762</v>
      </c>
      <c r="J238" s="149">
        <f t="shared" si="605"/>
        <v>5.4144337567297409</v>
      </c>
      <c r="K238" s="149">
        <f t="shared" si="606"/>
        <v>65.390377495513505</v>
      </c>
      <c r="L238" s="379"/>
      <c r="M238" s="188">
        <f t="shared" si="607"/>
        <v>8.28096321966421E-2</v>
      </c>
      <c r="N238" s="149">
        <f t="shared" si="608"/>
        <v>12.788958542262097</v>
      </c>
      <c r="O238" s="149">
        <f t="shared" si="599"/>
        <v>1.32</v>
      </c>
      <c r="P238" s="188">
        <f t="shared" si="609"/>
        <v>2.5577917084524193</v>
      </c>
      <c r="Q238" s="188">
        <f t="shared" si="610"/>
        <v>5</v>
      </c>
      <c r="R238" s="188"/>
      <c r="S238" s="149">
        <f t="shared" si="611"/>
        <v>508.02525459180924</v>
      </c>
      <c r="T238" s="149">
        <f t="shared" si="612"/>
        <v>5</v>
      </c>
      <c r="U238" s="188">
        <f t="shared" si="613"/>
        <v>0.57567111314583852</v>
      </c>
      <c r="V238" s="188">
        <f t="shared" si="614"/>
        <v>0.11518040279344421</v>
      </c>
      <c r="W238" s="188">
        <f t="shared" si="615"/>
        <v>1.2758588742846586</v>
      </c>
      <c r="X238" s="172">
        <f t="shared" si="616"/>
        <v>350</v>
      </c>
      <c r="Y238" s="379">
        <f t="shared" si="680"/>
        <v>350</v>
      </c>
      <c r="AA238" s="188">
        <f t="shared" si="617"/>
        <v>1.1824070219231924</v>
      </c>
      <c r="AB238" s="150">
        <f t="shared" si="618"/>
        <v>2.6205666004210642</v>
      </c>
      <c r="AC238" s="150">
        <f t="shared" si="619"/>
        <v>0.54225086120716959</v>
      </c>
      <c r="AD238" s="150"/>
      <c r="AE238" s="150">
        <f t="shared" si="620"/>
        <v>2.216298238958947</v>
      </c>
      <c r="AF238" s="314">
        <f t="shared" si="621"/>
        <v>238.23508529610862</v>
      </c>
      <c r="AG238" s="456">
        <f t="shared" si="622"/>
        <v>0.38785219181781572</v>
      </c>
      <c r="AI238" s="150">
        <f t="shared" si="623"/>
        <v>0.82502828574212905</v>
      </c>
      <c r="AJ238" s="150">
        <f t="shared" si="624"/>
        <v>1</v>
      </c>
      <c r="AK238" s="150">
        <f t="shared" si="625"/>
        <v>1.1361343344549193</v>
      </c>
      <c r="AM238" s="314">
        <f t="shared" si="626"/>
        <v>264</v>
      </c>
      <c r="AN238" s="144">
        <f t="shared" si="627"/>
        <v>238.23508529610862</v>
      </c>
      <c r="AP238">
        <f t="shared" si="628"/>
        <v>264</v>
      </c>
      <c r="AQ238">
        <f t="shared" si="629"/>
        <v>238.23508529610862</v>
      </c>
      <c r="AS238" s="5">
        <f t="shared" si="600"/>
        <v>4.1975345434828535</v>
      </c>
      <c r="AT238" s="5">
        <f t="shared" si="630"/>
        <v>0.20008021970048862</v>
      </c>
      <c r="AU238" s="5">
        <f t="shared" si="722"/>
        <v>3.9974543237823648</v>
      </c>
      <c r="AV238" s="5"/>
      <c r="AW238" s="150">
        <f t="shared" si="723"/>
        <v>4.7666128206410058E-2</v>
      </c>
      <c r="AX238" s="150">
        <f t="shared" si="631"/>
        <v>1.4294105117766518</v>
      </c>
      <c r="AY238" s="150">
        <f t="shared" si="632"/>
        <v>0.47616693589679498</v>
      </c>
      <c r="AZ238" s="150">
        <f t="shared" si="633"/>
        <v>3.0019104730246622</v>
      </c>
      <c r="BA238" s="144">
        <f t="shared" si="594"/>
        <v>1.0564235600185801</v>
      </c>
      <c r="BB238" s="5">
        <f t="shared" si="595"/>
        <v>3.6658028886647834E-2</v>
      </c>
      <c r="BD238" s="150">
        <f t="shared" si="681"/>
        <v>0.12605042404584241</v>
      </c>
      <c r="BE238" s="150">
        <f t="shared" si="682"/>
        <v>0.56342224302133892</v>
      </c>
      <c r="BG238" s="456">
        <f t="shared" si="683"/>
        <v>3.1777418804273372E-4</v>
      </c>
      <c r="BH238" s="456">
        <f t="shared" si="634"/>
        <v>0.29209279050353248</v>
      </c>
      <c r="BI238" s="456">
        <f t="shared" si="635"/>
        <v>0.35720935180809404</v>
      </c>
      <c r="BJ238" s="456">
        <f t="shared" si="684"/>
        <v>0.10186697511863432</v>
      </c>
      <c r="BK238">
        <f t="shared" si="685"/>
        <v>2.6989174682452693E-2</v>
      </c>
      <c r="BL238" s="144">
        <f t="shared" si="686"/>
        <v>384.19852649054678</v>
      </c>
      <c r="BM238" s="456">
        <f t="shared" si="636"/>
        <v>0.39439311676248295</v>
      </c>
      <c r="BN238" s="144">
        <f t="shared" si="687"/>
        <v>394.39311676248298</v>
      </c>
      <c r="BO238" s="456">
        <f t="shared" si="637"/>
        <v>0.18479999999999999</v>
      </c>
      <c r="BR238" s="144">
        <f t="shared" si="688"/>
        <v>184.79999999999998</v>
      </c>
      <c r="BS238" s="456">
        <f t="shared" si="689"/>
        <v>4.7666128206410056E-4</v>
      </c>
      <c r="BT238" s="456">
        <f t="shared" si="690"/>
        <v>9.5233387179359009E-3</v>
      </c>
      <c r="BU238" s="456">
        <f t="shared" si="691"/>
        <v>4.3801028385891033E-2</v>
      </c>
      <c r="BV238" s="456"/>
      <c r="BW238" s="456">
        <f t="shared" si="692"/>
        <v>2.3823508529610863E-4</v>
      </c>
      <c r="BX238" s="144">
        <f t="shared" si="693"/>
        <v>54.039263471187141</v>
      </c>
      <c r="BY238" s="150">
        <f t="shared" si="694"/>
        <v>1.0173153297719433</v>
      </c>
      <c r="BZ238" s="5">
        <f t="shared" si="695"/>
        <v>1.32</v>
      </c>
      <c r="CA238" s="150">
        <f t="shared" si="696"/>
        <v>0.56475049950953571</v>
      </c>
      <c r="CB238" s="5">
        <f t="shared" si="697"/>
        <v>56.475049950953569</v>
      </c>
      <c r="CE238" s="59">
        <f t="shared" si="638"/>
        <v>-50</v>
      </c>
      <c r="CF238">
        <f t="shared" si="639"/>
        <v>-50</v>
      </c>
      <c r="CG238" s="150">
        <f t="shared" si="640"/>
        <v>0.54871369583782037</v>
      </c>
      <c r="CI238" s="147">
        <v>22</v>
      </c>
      <c r="CJ238" s="188">
        <f t="shared" si="698"/>
        <v>0.26400000000000001</v>
      </c>
      <c r="CK238" s="188"/>
      <c r="CL238" s="188">
        <f t="shared" si="641"/>
        <v>1.32</v>
      </c>
      <c r="CM238" s="465">
        <f t="shared" si="642"/>
        <v>60</v>
      </c>
      <c r="CN238" s="379">
        <f t="shared" si="643"/>
        <v>5.4</v>
      </c>
      <c r="CO238" s="379">
        <f t="shared" si="644"/>
        <v>65.400000000000006</v>
      </c>
      <c r="CP238" s="379"/>
      <c r="CQ238" s="188">
        <f t="shared" si="645"/>
        <v>8.2568807339449546E-2</v>
      </c>
      <c r="CR238" s="149">
        <f t="shared" si="646"/>
        <v>12.756880733944957</v>
      </c>
      <c r="CS238" s="149">
        <f t="shared" si="647"/>
        <v>1.32</v>
      </c>
      <c r="CT238" s="188">
        <f t="shared" si="648"/>
        <v>2.5513761467889915</v>
      </c>
      <c r="CU238" s="188">
        <f t="shared" si="649"/>
        <v>5</v>
      </c>
      <c r="CV238" s="188"/>
      <c r="CW238" s="149">
        <f t="shared" si="650"/>
        <v>508.22900385117299</v>
      </c>
      <c r="CX238" s="149">
        <f t="shared" si="651"/>
        <v>5</v>
      </c>
      <c r="CY238" s="188">
        <f t="shared" si="652"/>
        <v>0.53288888888888886</v>
      </c>
      <c r="CZ238" s="188">
        <f t="shared" si="653"/>
        <v>0.10657777777777777</v>
      </c>
      <c r="DA238" s="188">
        <f t="shared" si="654"/>
        <v>1.1841975308641974</v>
      </c>
      <c r="DB238" s="172">
        <f t="shared" si="655"/>
        <v>350</v>
      </c>
      <c r="DC238" s="379">
        <f t="shared" si="656"/>
        <v>350</v>
      </c>
      <c r="DE238" s="188">
        <f t="shared" si="657"/>
        <v>1.179554390563565</v>
      </c>
      <c r="DF238" s="150">
        <f t="shared" si="658"/>
        <v>2.6212319790301444</v>
      </c>
      <c r="DG238" s="150">
        <f t="shared" si="659"/>
        <v>0.54107999567136011</v>
      </c>
      <c r="DH238" s="150"/>
      <c r="DI238" s="150">
        <f t="shared" si="660"/>
        <v>2.2222222222222219</v>
      </c>
      <c r="DJ238" s="314">
        <f t="shared" si="661"/>
        <v>237.60000000000002</v>
      </c>
      <c r="DK238" s="456">
        <f t="shared" si="662"/>
        <v>0.38888888888888884</v>
      </c>
      <c r="DM238" s="150">
        <f t="shared" si="663"/>
        <v>0.82392787479071428</v>
      </c>
      <c r="DN238" s="150">
        <f t="shared" si="664"/>
        <v>1</v>
      </c>
      <c r="DO238" s="150">
        <f t="shared" si="665"/>
        <v>1.1357714285714287</v>
      </c>
      <c r="DQ238" s="314">
        <f t="shared" si="666"/>
        <v>264</v>
      </c>
      <c r="DR238" s="144">
        <f t="shared" si="667"/>
        <v>237.60000000000002</v>
      </c>
      <c r="DT238">
        <f t="shared" si="668"/>
        <v>264</v>
      </c>
      <c r="DU238">
        <f t="shared" si="669"/>
        <v>237.60000000000002</v>
      </c>
      <c r="DW238" s="5">
        <f t="shared" si="670"/>
        <v>4.2087542087542085</v>
      </c>
      <c r="DX238" s="5">
        <f t="shared" si="671"/>
        <v>0.2</v>
      </c>
      <c r="DY238" s="5">
        <f t="shared" si="672"/>
        <v>4.0087542087542083</v>
      </c>
      <c r="DZ238" s="5"/>
      <c r="EA238" s="150">
        <f t="shared" si="673"/>
        <v>4.7520000000000007E-2</v>
      </c>
      <c r="EB238" s="150">
        <f t="shared" si="699"/>
        <v>1.4256000000000002</v>
      </c>
      <c r="EC238" s="150">
        <f t="shared" si="700"/>
        <v>0.47624</v>
      </c>
      <c r="ED238" s="150">
        <f t="shared" si="701"/>
        <v>2.9934486813371413</v>
      </c>
      <c r="EE238" s="144">
        <f t="shared" si="674"/>
        <v>1.056</v>
      </c>
      <c r="EF238" s="5">
        <f t="shared" si="675"/>
        <v>3.6746913580246905E-2</v>
      </c>
      <c r="EH238" s="150">
        <f t="shared" si="702"/>
        <v>0.12585706178041819</v>
      </c>
      <c r="EI238" s="150">
        <f t="shared" si="703"/>
        <v>0.56346546773811557</v>
      </c>
      <c r="EK238" s="456">
        <f t="shared" si="704"/>
        <v>3.1680000000000006E-4</v>
      </c>
      <c r="EL238" s="456">
        <f t="shared" si="705"/>
        <v>0.31078080000000002</v>
      </c>
      <c r="EM238" s="456">
        <f t="shared" si="706"/>
        <v>2.9700000000000001E-2</v>
      </c>
      <c r="EN238" s="456">
        <f t="shared" si="707"/>
        <v>0.10162532160000003</v>
      </c>
      <c r="EO238">
        <f t="shared" si="708"/>
        <v>2.7E-2</v>
      </c>
      <c r="EP238" s="144">
        <f t="shared" si="709"/>
        <v>56.7</v>
      </c>
      <c r="EQ238" s="144"/>
      <c r="ER238" s="144">
        <f t="shared" si="710"/>
        <v>469.42292160000011</v>
      </c>
      <c r="ES238" s="456">
        <f t="shared" si="711"/>
        <v>0.18479999999999999</v>
      </c>
      <c r="EV238" s="144">
        <f t="shared" si="712"/>
        <v>184.79999999999998</v>
      </c>
      <c r="EW238" s="456">
        <f t="shared" si="713"/>
        <v>4.7520000000000006E-4</v>
      </c>
      <c r="EX238" s="456">
        <f t="shared" si="714"/>
        <v>9.5247999999999999E-3</v>
      </c>
      <c r="EY238" s="456">
        <f t="shared" si="715"/>
        <v>4.3509700628408546E-2</v>
      </c>
      <c r="EZ238" s="456"/>
      <c r="FA238" s="456">
        <f t="shared" si="716"/>
        <v>2.3760000000000003E-4</v>
      </c>
      <c r="FB238" s="144">
        <f t="shared" si="717"/>
        <v>53.747300628408546</v>
      </c>
      <c r="FC238" s="150">
        <f t="shared" si="718"/>
        <v>0.70797022222840855</v>
      </c>
      <c r="FD238" s="5">
        <f t="shared" si="719"/>
        <v>1.32</v>
      </c>
      <c r="FE238" s="150">
        <f t="shared" si="720"/>
        <v>0.65089713129492366</v>
      </c>
      <c r="FF238" s="5">
        <f t="shared" si="721"/>
        <v>65.089713129492367</v>
      </c>
      <c r="FI238" s="59">
        <f t="shared" si="676"/>
        <v>-50</v>
      </c>
      <c r="FJ238">
        <f t="shared" si="677"/>
        <v>-50</v>
      </c>
      <c r="FL238">
        <f t="shared" si="678"/>
        <v>0.52800000000000002</v>
      </c>
    </row>
    <row r="239" spans="5:168">
      <c r="E239" s="147">
        <v>23</v>
      </c>
      <c r="F239" s="188">
        <f t="shared" si="679"/>
        <v>0.27600000000000002</v>
      </c>
      <c r="G239" s="188"/>
      <c r="H239" s="188">
        <f t="shared" si="603"/>
        <v>1.3800000000000001</v>
      </c>
      <c r="I239" s="465">
        <f t="shared" si="604"/>
        <v>59.975943738783762</v>
      </c>
      <c r="J239" s="149">
        <f t="shared" si="605"/>
        <v>5.4144337567297409</v>
      </c>
      <c r="K239" s="149">
        <f t="shared" si="606"/>
        <v>65.390377495513505</v>
      </c>
      <c r="L239" s="379"/>
      <c r="M239" s="188">
        <f t="shared" si="607"/>
        <v>8.28096321966421E-2</v>
      </c>
      <c r="N239" s="149">
        <f t="shared" si="608"/>
        <v>12.788958542262097</v>
      </c>
      <c r="O239" s="149">
        <f t="shared" si="599"/>
        <v>1.3800000000000001</v>
      </c>
      <c r="P239" s="188">
        <f t="shared" si="609"/>
        <v>2.5577917084524193</v>
      </c>
      <c r="Q239" s="188">
        <f t="shared" si="610"/>
        <v>5</v>
      </c>
      <c r="R239" s="188"/>
      <c r="S239" s="149">
        <f t="shared" si="611"/>
        <v>483.33401036484696</v>
      </c>
      <c r="T239" s="149">
        <f t="shared" si="612"/>
        <v>5</v>
      </c>
      <c r="U239" s="188">
        <f t="shared" si="613"/>
        <v>0.60183798192519478</v>
      </c>
      <c r="V239" s="188">
        <f t="shared" si="614"/>
        <v>0.12041587564769167</v>
      </c>
      <c r="W239" s="188">
        <f t="shared" si="615"/>
        <v>1.3338524594794159</v>
      </c>
      <c r="X239" s="172">
        <f t="shared" si="616"/>
        <v>350</v>
      </c>
      <c r="Y239" s="379">
        <f t="shared" si="680"/>
        <v>350</v>
      </c>
      <c r="AA239" s="188">
        <f t="shared" si="617"/>
        <v>1.1824070219231924</v>
      </c>
      <c r="AB239" s="150">
        <f t="shared" si="618"/>
        <v>2.6205666004210642</v>
      </c>
      <c r="AC239" s="150">
        <f t="shared" si="619"/>
        <v>0.54225086120716959</v>
      </c>
      <c r="AD239" s="150"/>
      <c r="AE239" s="150">
        <f t="shared" si="620"/>
        <v>2.216298238958947</v>
      </c>
      <c r="AF239" s="314">
        <f t="shared" si="621"/>
        <v>249.06395280956812</v>
      </c>
      <c r="AG239" s="456">
        <f t="shared" si="622"/>
        <v>0.38785219181781572</v>
      </c>
      <c r="AI239" s="150">
        <f t="shared" si="623"/>
        <v>0.8435705623963079</v>
      </c>
      <c r="AJ239" s="150">
        <f t="shared" si="624"/>
        <v>1</v>
      </c>
      <c r="AK239" s="150">
        <f t="shared" si="625"/>
        <v>1.1423222587483246</v>
      </c>
      <c r="AM239" s="314">
        <f t="shared" si="626"/>
        <v>276</v>
      </c>
      <c r="AN239" s="144">
        <f t="shared" si="627"/>
        <v>249.06395280956812</v>
      </c>
      <c r="AP239">
        <f t="shared" si="628"/>
        <v>276</v>
      </c>
      <c r="AQ239">
        <f t="shared" si="629"/>
        <v>249.06395280956812</v>
      </c>
      <c r="AS239" s="5">
        <f t="shared" si="600"/>
        <v>4.0150330415922939</v>
      </c>
      <c r="AT239" s="5">
        <f t="shared" si="630"/>
        <v>0.20008021970048862</v>
      </c>
      <c r="AU239" s="5">
        <f t="shared" si="722"/>
        <v>3.8149528218918052</v>
      </c>
      <c r="AV239" s="5"/>
      <c r="AW239" s="150">
        <f t="shared" si="723"/>
        <v>4.9832770397610526E-2</v>
      </c>
      <c r="AX239" s="150">
        <f t="shared" si="631"/>
        <v>1.4943837168574086</v>
      </c>
      <c r="AY239" s="150">
        <f t="shared" si="632"/>
        <v>0.47508361480119476</v>
      </c>
      <c r="AZ239" s="150">
        <f t="shared" si="633"/>
        <v>3.145517273801905</v>
      </c>
      <c r="BA239" s="144">
        <f t="shared" si="594"/>
        <v>1.1044428127466972</v>
      </c>
      <c r="BB239" s="5">
        <f t="shared" si="595"/>
        <v>3.6574628690157422E-2</v>
      </c>
      <c r="BD239" s="150">
        <f t="shared" si="681"/>
        <v>0.12888337156464436</v>
      </c>
      <c r="BE239" s="150">
        <f t="shared" si="682"/>
        <v>0.56278096082531359</v>
      </c>
      <c r="BG239" s="456">
        <f t="shared" si="683"/>
        <v>3.3221846931740358E-4</v>
      </c>
      <c r="BH239" s="456">
        <f t="shared" si="634"/>
        <v>0.30536973552642038</v>
      </c>
      <c r="BI239" s="456">
        <f t="shared" si="635"/>
        <v>0.37344614052664382</v>
      </c>
      <c r="BJ239" s="456">
        <f t="shared" si="684"/>
        <v>0.10649729216948135</v>
      </c>
      <c r="BK239">
        <f t="shared" si="685"/>
        <v>2.6989174682452693E-2</v>
      </c>
      <c r="BL239" s="144">
        <f t="shared" si="686"/>
        <v>400.43531520909653</v>
      </c>
      <c r="BM239" s="456">
        <f t="shared" si="636"/>
        <v>0.41232149179354799</v>
      </c>
      <c r="BN239" s="144">
        <f t="shared" si="687"/>
        <v>412.32149179354798</v>
      </c>
      <c r="BO239" s="456">
        <f t="shared" si="637"/>
        <v>0.19320000000000001</v>
      </c>
      <c r="BR239" s="144">
        <f t="shared" si="688"/>
        <v>193.20000000000002</v>
      </c>
      <c r="BS239" s="456">
        <f t="shared" si="689"/>
        <v>4.983277039761054E-4</v>
      </c>
      <c r="BT239" s="456">
        <f t="shared" si="690"/>
        <v>9.5016722960238938E-3</v>
      </c>
      <c r="BU239" s="456">
        <f t="shared" si="691"/>
        <v>4.8949379987918352E-2</v>
      </c>
      <c r="BV239" s="456"/>
      <c r="BW239" s="456">
        <f t="shared" si="692"/>
        <v>2.4906395280956811E-4</v>
      </c>
      <c r="BX239" s="144">
        <f t="shared" si="693"/>
        <v>59.19844394072792</v>
      </c>
      <c r="BY239" s="150">
        <f t="shared" si="694"/>
        <v>1.0650330053150436</v>
      </c>
      <c r="BZ239" s="5">
        <f t="shared" si="695"/>
        <v>1.3800000000000001</v>
      </c>
      <c r="CA239" s="150">
        <f t="shared" si="696"/>
        <v>0.56440955888944588</v>
      </c>
      <c r="CB239" s="5">
        <f t="shared" si="697"/>
        <v>56.440955888944586</v>
      </c>
      <c r="CE239" s="59">
        <f t="shared" si="638"/>
        <v>-50</v>
      </c>
      <c r="CF239">
        <f t="shared" si="639"/>
        <v>-50</v>
      </c>
      <c r="CG239" s="150">
        <f t="shared" si="640"/>
        <v>0.57365522746681219</v>
      </c>
      <c r="CI239" s="147">
        <v>23</v>
      </c>
      <c r="CJ239" s="188">
        <f t="shared" si="698"/>
        <v>0.27600000000000002</v>
      </c>
      <c r="CK239" s="188"/>
      <c r="CL239" s="188">
        <f t="shared" si="641"/>
        <v>1.3800000000000001</v>
      </c>
      <c r="CM239" s="465">
        <f t="shared" si="642"/>
        <v>60</v>
      </c>
      <c r="CN239" s="379">
        <f t="shared" si="643"/>
        <v>5.4</v>
      </c>
      <c r="CO239" s="379">
        <f t="shared" si="644"/>
        <v>65.400000000000006</v>
      </c>
      <c r="CP239" s="379"/>
      <c r="CQ239" s="188">
        <f t="shared" si="645"/>
        <v>8.2568807339449546E-2</v>
      </c>
      <c r="CR239" s="149">
        <f t="shared" si="646"/>
        <v>12.756880733944957</v>
      </c>
      <c r="CS239" s="149">
        <f t="shared" si="647"/>
        <v>1.3800000000000001</v>
      </c>
      <c r="CT239" s="188">
        <f t="shared" si="648"/>
        <v>2.5513761467889915</v>
      </c>
      <c r="CU239" s="188">
        <f t="shared" si="649"/>
        <v>5</v>
      </c>
      <c r="CV239" s="188"/>
      <c r="CW239" s="149">
        <f t="shared" si="650"/>
        <v>483.52785503892341</v>
      </c>
      <c r="CX239" s="149">
        <f t="shared" si="651"/>
        <v>5</v>
      </c>
      <c r="CY239" s="188">
        <f t="shared" si="652"/>
        <v>0.55711111111111111</v>
      </c>
      <c r="CZ239" s="188">
        <f t="shared" si="653"/>
        <v>0.11142222222222223</v>
      </c>
      <c r="DA239" s="188">
        <f t="shared" si="654"/>
        <v>1.2380246913580246</v>
      </c>
      <c r="DB239" s="172">
        <f t="shared" si="655"/>
        <v>350</v>
      </c>
      <c r="DC239" s="379">
        <f t="shared" si="656"/>
        <v>350</v>
      </c>
      <c r="DE239" s="188">
        <f t="shared" si="657"/>
        <v>1.179554390563565</v>
      </c>
      <c r="DF239" s="150">
        <f t="shared" si="658"/>
        <v>2.6212319790301444</v>
      </c>
      <c r="DG239" s="150">
        <f t="shared" si="659"/>
        <v>0.54107999567136011</v>
      </c>
      <c r="DH239" s="150"/>
      <c r="DI239" s="150">
        <f t="shared" si="660"/>
        <v>2.2222222222222219</v>
      </c>
      <c r="DJ239" s="314">
        <f t="shared" si="661"/>
        <v>248.40000000000003</v>
      </c>
      <c r="DK239" s="456">
        <f t="shared" si="662"/>
        <v>0.38888888888888884</v>
      </c>
      <c r="DM239" s="150">
        <f t="shared" si="663"/>
        <v>0.84244542002095657</v>
      </c>
      <c r="DN239" s="150">
        <f t="shared" si="664"/>
        <v>1</v>
      </c>
      <c r="DO239" s="150">
        <f t="shared" si="665"/>
        <v>1.1419428571428571</v>
      </c>
      <c r="DQ239" s="314">
        <f t="shared" si="666"/>
        <v>276</v>
      </c>
      <c r="DR239" s="144">
        <f t="shared" si="667"/>
        <v>248.40000000000003</v>
      </c>
      <c r="DT239">
        <f t="shared" si="668"/>
        <v>276</v>
      </c>
      <c r="DU239">
        <f t="shared" si="669"/>
        <v>248.40000000000003</v>
      </c>
      <c r="DW239" s="5">
        <f t="shared" si="670"/>
        <v>4.0257648953301119</v>
      </c>
      <c r="DX239" s="5">
        <f t="shared" si="671"/>
        <v>0.2</v>
      </c>
      <c r="DY239" s="5">
        <f t="shared" si="672"/>
        <v>3.8257648953301118</v>
      </c>
      <c r="DZ239" s="5"/>
      <c r="EA239" s="150">
        <f t="shared" si="673"/>
        <v>4.9680000000000009E-2</v>
      </c>
      <c r="EB239" s="150">
        <f t="shared" si="699"/>
        <v>1.4904000000000002</v>
      </c>
      <c r="EC239" s="150">
        <f t="shared" si="700"/>
        <v>0.47515999999999997</v>
      </c>
      <c r="ED239" s="150">
        <f t="shared" si="701"/>
        <v>3.1366276622611338</v>
      </c>
      <c r="EE239" s="144">
        <f t="shared" si="674"/>
        <v>1.1040000000000001</v>
      </c>
      <c r="EF239" s="5">
        <f t="shared" si="675"/>
        <v>3.6663580246913567E-2</v>
      </c>
      <c r="EH239" s="150">
        <f t="shared" si="702"/>
        <v>0.12868566353716332</v>
      </c>
      <c r="EI239" s="150">
        <f t="shared" si="703"/>
        <v>0.56282620171180131</v>
      </c>
      <c r="EK239" s="456">
        <f t="shared" si="704"/>
        <v>3.3120000000000014E-4</v>
      </c>
      <c r="EL239" s="456">
        <f t="shared" si="705"/>
        <v>0.32490720000000006</v>
      </c>
      <c r="EM239" s="456">
        <f t="shared" si="706"/>
        <v>3.1050000000000001E-2</v>
      </c>
      <c r="EN239" s="456">
        <f t="shared" si="707"/>
        <v>0.10624465440000003</v>
      </c>
      <c r="EO239">
        <f t="shared" si="708"/>
        <v>2.7E-2</v>
      </c>
      <c r="EP239" s="144">
        <f t="shared" si="709"/>
        <v>58.050000000000004</v>
      </c>
      <c r="EQ239" s="144"/>
      <c r="ER239" s="144">
        <f t="shared" si="710"/>
        <v>489.53305440000014</v>
      </c>
      <c r="ES239" s="456">
        <f t="shared" si="711"/>
        <v>0.19320000000000001</v>
      </c>
      <c r="EV239" s="144">
        <f t="shared" si="712"/>
        <v>193.20000000000002</v>
      </c>
      <c r="EW239" s="456">
        <f t="shared" si="713"/>
        <v>4.9680000000000015E-4</v>
      </c>
      <c r="EX239" s="456">
        <f t="shared" si="714"/>
        <v>9.5031999999999964E-3</v>
      </c>
      <c r="EY239" s="456">
        <f t="shared" si="715"/>
        <v>4.8623809707321199E-2</v>
      </c>
      <c r="EZ239" s="456"/>
      <c r="FA239" s="456">
        <f t="shared" si="716"/>
        <v>2.4840000000000002E-4</v>
      </c>
      <c r="FB239" s="144">
        <f t="shared" si="717"/>
        <v>58.872209707321197</v>
      </c>
      <c r="FC239" s="150">
        <f t="shared" si="718"/>
        <v>0.7416052641073213</v>
      </c>
      <c r="FD239" s="5">
        <f t="shared" si="719"/>
        <v>1.3800000000000001</v>
      </c>
      <c r="FE239" s="150">
        <f t="shared" si="720"/>
        <v>0.65045087479109531</v>
      </c>
      <c r="FF239" s="5">
        <f t="shared" si="721"/>
        <v>65.045087479109526</v>
      </c>
      <c r="FI239" s="59">
        <f t="shared" si="676"/>
        <v>-50</v>
      </c>
      <c r="FJ239">
        <f t="shared" si="677"/>
        <v>-50</v>
      </c>
      <c r="FL239">
        <f t="shared" si="678"/>
        <v>0.55200000000000005</v>
      </c>
    </row>
    <row r="240" spans="5:168">
      <c r="E240" s="147">
        <v>24</v>
      </c>
      <c r="F240" s="188">
        <f t="shared" si="679"/>
        <v>0.28799999999999998</v>
      </c>
      <c r="G240" s="188"/>
      <c r="H240" s="188">
        <f t="shared" si="603"/>
        <v>1.44</v>
      </c>
      <c r="I240" s="465">
        <f t="shared" si="604"/>
        <v>59.975943738783762</v>
      </c>
      <c r="J240" s="149">
        <f t="shared" si="605"/>
        <v>5.4144337567297409</v>
      </c>
      <c r="K240" s="149">
        <f t="shared" si="606"/>
        <v>65.390377495513505</v>
      </c>
      <c r="L240" s="379"/>
      <c r="M240" s="188">
        <f t="shared" si="607"/>
        <v>8.28096321966421E-2</v>
      </c>
      <c r="N240" s="149">
        <f t="shared" si="608"/>
        <v>12.788958542262097</v>
      </c>
      <c r="O240" s="149">
        <f t="shared" si="599"/>
        <v>1.44</v>
      </c>
      <c r="P240" s="188">
        <f t="shared" si="609"/>
        <v>2.5577917084524193</v>
      </c>
      <c r="Q240" s="188">
        <f t="shared" si="610"/>
        <v>5</v>
      </c>
      <c r="R240" s="188"/>
      <c r="S240" s="149">
        <f t="shared" si="611"/>
        <v>460.70059639369833</v>
      </c>
      <c r="T240" s="149">
        <f t="shared" si="612"/>
        <v>5</v>
      </c>
      <c r="U240" s="188">
        <f t="shared" si="613"/>
        <v>0.62800485070455092</v>
      </c>
      <c r="V240" s="188">
        <f t="shared" si="614"/>
        <v>0.1256513485019391</v>
      </c>
      <c r="W240" s="188">
        <f t="shared" si="615"/>
        <v>1.3918460446741727</v>
      </c>
      <c r="X240" s="172">
        <f t="shared" si="616"/>
        <v>350</v>
      </c>
      <c r="Y240" s="379">
        <f t="shared" si="680"/>
        <v>350</v>
      </c>
      <c r="AA240" s="188">
        <f t="shared" si="617"/>
        <v>1.1824070219231924</v>
      </c>
      <c r="AB240" s="150">
        <f t="shared" si="618"/>
        <v>2.6205666004210642</v>
      </c>
      <c r="AC240" s="150">
        <f t="shared" si="619"/>
        <v>0.54225086120716959</v>
      </c>
      <c r="AD240" s="150"/>
      <c r="AE240" s="150">
        <f t="shared" si="620"/>
        <v>2.216298238958947</v>
      </c>
      <c r="AF240" s="314">
        <f t="shared" si="621"/>
        <v>259.89282032302754</v>
      </c>
      <c r="AG240" s="456">
        <f t="shared" si="622"/>
        <v>0.38785219181781572</v>
      </c>
      <c r="AI240" s="150">
        <f t="shared" si="623"/>
        <v>0.86171394047482497</v>
      </c>
      <c r="AJ240" s="150">
        <f t="shared" si="624"/>
        <v>1</v>
      </c>
      <c r="AK240" s="150">
        <f t="shared" si="625"/>
        <v>1.1485101830417301</v>
      </c>
      <c r="AM240" s="314">
        <f t="shared" si="626"/>
        <v>288</v>
      </c>
      <c r="AN240" s="144">
        <f t="shared" si="627"/>
        <v>259.89282032302754</v>
      </c>
      <c r="AP240">
        <f t="shared" si="628"/>
        <v>288</v>
      </c>
      <c r="AQ240">
        <f t="shared" si="629"/>
        <v>259.89282032302754</v>
      </c>
      <c r="AS240" s="5">
        <f t="shared" si="600"/>
        <v>3.8477399981926164</v>
      </c>
      <c r="AT240" s="5">
        <f t="shared" si="630"/>
        <v>0.20008021970048862</v>
      </c>
      <c r="AU240" s="5">
        <f t="shared" si="722"/>
        <v>3.6476597784921276</v>
      </c>
      <c r="AV240" s="5"/>
      <c r="AW240" s="150">
        <f t="shared" si="723"/>
        <v>5.1999412588810967E-2</v>
      </c>
      <c r="AX240" s="150">
        <f t="shared" si="631"/>
        <v>1.5593569219381651</v>
      </c>
      <c r="AY240" s="150">
        <f t="shared" si="632"/>
        <v>0.47400029370559449</v>
      </c>
      <c r="AZ240" s="150">
        <f t="shared" si="633"/>
        <v>3.2897804972810727</v>
      </c>
      <c r="BA240" s="144">
        <f t="shared" si="594"/>
        <v>1.1524620654748143</v>
      </c>
      <c r="BB240" s="5">
        <f t="shared" si="595"/>
        <v>3.6491228493667018E-2</v>
      </c>
      <c r="BD240" s="150">
        <f t="shared" si="681"/>
        <v>0.13165537410073186</v>
      </c>
      <c r="BE240" s="150">
        <f t="shared" si="682"/>
        <v>0.56213894706178269</v>
      </c>
      <c r="BG240" s="456">
        <f t="shared" si="683"/>
        <v>3.4666275059207316E-4</v>
      </c>
      <c r="BH240" s="456">
        <f t="shared" si="634"/>
        <v>0.31864668054930811</v>
      </c>
      <c r="BI240" s="456">
        <f t="shared" si="635"/>
        <v>0.38968292924519343</v>
      </c>
      <c r="BJ240" s="456">
        <f t="shared" si="684"/>
        <v>0.11112760922032833</v>
      </c>
      <c r="BK240">
        <f t="shared" si="685"/>
        <v>2.6989174682452693E-2</v>
      </c>
      <c r="BL240" s="144">
        <f t="shared" si="686"/>
        <v>416.67210392764616</v>
      </c>
      <c r="BM240" s="456">
        <f t="shared" si="636"/>
        <v>0.43024998989372587</v>
      </c>
      <c r="BN240" s="144">
        <f t="shared" si="687"/>
        <v>430.24998989372585</v>
      </c>
      <c r="BO240" s="456">
        <f t="shared" si="637"/>
        <v>0.20159999999999997</v>
      </c>
      <c r="BR240" s="144">
        <f t="shared" si="688"/>
        <v>201.59999999999997</v>
      </c>
      <c r="BS240" s="456">
        <f t="shared" si="689"/>
        <v>5.1999412588810969E-4</v>
      </c>
      <c r="BT240" s="456">
        <f t="shared" si="690"/>
        <v>9.4800058741118919E-3</v>
      </c>
      <c r="BU240" s="456">
        <f t="shared" si="691"/>
        <v>5.4444712580853385E-2</v>
      </c>
      <c r="BV240" s="456"/>
      <c r="BW240" s="456">
        <f t="shared" si="692"/>
        <v>2.5989282032302756E-4</v>
      </c>
      <c r="BX240" s="144">
        <f t="shared" si="693"/>
        <v>64.704605401176408</v>
      </c>
      <c r="BY240" s="150">
        <f t="shared" si="694"/>
        <v>1.1130976618490511</v>
      </c>
      <c r="BZ240" s="5">
        <f t="shared" si="695"/>
        <v>1.44</v>
      </c>
      <c r="CA240" s="150">
        <f t="shared" si="696"/>
        <v>0.5640207272592529</v>
      </c>
      <c r="CB240" s="5">
        <f t="shared" si="697"/>
        <v>56.402072725925287</v>
      </c>
      <c r="CE240" s="59">
        <f t="shared" si="638"/>
        <v>-50</v>
      </c>
      <c r="CF240">
        <f t="shared" si="639"/>
        <v>-50</v>
      </c>
      <c r="CG240" s="150">
        <f t="shared" si="640"/>
        <v>0.59859675909580401</v>
      </c>
      <c r="CI240" s="147">
        <v>24</v>
      </c>
      <c r="CJ240" s="188">
        <f t="shared" si="698"/>
        <v>0.28799999999999998</v>
      </c>
      <c r="CK240" s="188"/>
      <c r="CL240" s="188">
        <f t="shared" si="641"/>
        <v>1.44</v>
      </c>
      <c r="CM240" s="465">
        <f t="shared" si="642"/>
        <v>60</v>
      </c>
      <c r="CN240" s="379">
        <f t="shared" si="643"/>
        <v>5.4</v>
      </c>
      <c r="CO240" s="379">
        <f t="shared" si="644"/>
        <v>65.400000000000006</v>
      </c>
      <c r="CP240" s="379"/>
      <c r="CQ240" s="188">
        <f t="shared" si="645"/>
        <v>8.2568807339449546E-2</v>
      </c>
      <c r="CR240" s="149">
        <f t="shared" si="646"/>
        <v>12.756880733944957</v>
      </c>
      <c r="CS240" s="149">
        <f t="shared" si="647"/>
        <v>1.44</v>
      </c>
      <c r="CT240" s="188">
        <f t="shared" si="648"/>
        <v>2.5513761467889915</v>
      </c>
      <c r="CU240" s="188">
        <f t="shared" si="649"/>
        <v>5</v>
      </c>
      <c r="CV240" s="188"/>
      <c r="CW240" s="149">
        <f t="shared" si="650"/>
        <v>460.88536186487607</v>
      </c>
      <c r="CX240" s="149">
        <f t="shared" si="651"/>
        <v>5</v>
      </c>
      <c r="CY240" s="188">
        <f t="shared" si="652"/>
        <v>0.58133333333333326</v>
      </c>
      <c r="CZ240" s="188">
        <f t="shared" si="653"/>
        <v>0.11626666666666664</v>
      </c>
      <c r="DA240" s="188">
        <f t="shared" si="654"/>
        <v>1.2918518518518516</v>
      </c>
      <c r="DB240" s="172">
        <f t="shared" si="655"/>
        <v>350</v>
      </c>
      <c r="DC240" s="379">
        <f t="shared" si="656"/>
        <v>350</v>
      </c>
      <c r="DE240" s="188">
        <f t="shared" si="657"/>
        <v>1.179554390563565</v>
      </c>
      <c r="DF240" s="150">
        <f t="shared" si="658"/>
        <v>2.6212319790301444</v>
      </c>
      <c r="DG240" s="150">
        <f t="shared" si="659"/>
        <v>0.54107999567136011</v>
      </c>
      <c r="DH240" s="150"/>
      <c r="DI240" s="150">
        <f t="shared" si="660"/>
        <v>2.2222222222222219</v>
      </c>
      <c r="DJ240" s="314">
        <f t="shared" si="661"/>
        <v>259.2</v>
      </c>
      <c r="DK240" s="456">
        <f t="shared" si="662"/>
        <v>0.38888888888888884</v>
      </c>
      <c r="DM240" s="150">
        <f t="shared" si="663"/>
        <v>0.86056459872076352</v>
      </c>
      <c r="DN240" s="150">
        <f t="shared" si="664"/>
        <v>1</v>
      </c>
      <c r="DO240" s="150">
        <f t="shared" si="665"/>
        <v>1.1481142857142856</v>
      </c>
      <c r="DQ240" s="314">
        <f t="shared" si="666"/>
        <v>288</v>
      </c>
      <c r="DR240" s="144">
        <f t="shared" si="667"/>
        <v>259.2</v>
      </c>
      <c r="DT240">
        <f t="shared" si="668"/>
        <v>288</v>
      </c>
      <c r="DU240">
        <f t="shared" si="669"/>
        <v>259.2</v>
      </c>
      <c r="DW240" s="5">
        <f t="shared" si="670"/>
        <v>3.8580246913580249</v>
      </c>
      <c r="DX240" s="5">
        <f t="shared" si="671"/>
        <v>0.2</v>
      </c>
      <c r="DY240" s="5">
        <f t="shared" si="672"/>
        <v>3.6580246913580248</v>
      </c>
      <c r="DZ240" s="5"/>
      <c r="EA240" s="150">
        <f t="shared" si="673"/>
        <v>5.1839999999999997E-2</v>
      </c>
      <c r="EB240" s="150">
        <f t="shared" si="699"/>
        <v>1.5552000000000001</v>
      </c>
      <c r="EC240" s="150">
        <f t="shared" si="700"/>
        <v>0.47408</v>
      </c>
      <c r="ED240" s="150">
        <f t="shared" si="701"/>
        <v>3.2804589942625721</v>
      </c>
      <c r="EE240" s="144">
        <f t="shared" si="674"/>
        <v>1.1520000000000001</v>
      </c>
      <c r="EF240" s="5">
        <f t="shared" si="675"/>
        <v>3.6580246913580243E-2</v>
      </c>
      <c r="EH240" s="150">
        <f t="shared" si="702"/>
        <v>0.13145341380123987</v>
      </c>
      <c r="EI240" s="150">
        <f t="shared" si="703"/>
        <v>0.56218620877190983</v>
      </c>
      <c r="EK240" s="456">
        <f t="shared" si="704"/>
        <v>3.456E-4</v>
      </c>
      <c r="EL240" s="456">
        <f t="shared" si="705"/>
        <v>0.33903359999999999</v>
      </c>
      <c r="EM240" s="456">
        <f t="shared" si="706"/>
        <v>3.2399999999999991E-2</v>
      </c>
      <c r="EN240" s="456">
        <f t="shared" si="707"/>
        <v>0.11086398720000001</v>
      </c>
      <c r="EO240">
        <f t="shared" si="708"/>
        <v>2.7E-2</v>
      </c>
      <c r="EP240" s="144">
        <f t="shared" si="709"/>
        <v>59.399999999999991</v>
      </c>
      <c r="EQ240" s="144"/>
      <c r="ER240" s="144">
        <f t="shared" si="710"/>
        <v>509.6431872</v>
      </c>
      <c r="ES240" s="456">
        <f t="shared" si="711"/>
        <v>0.20159999999999997</v>
      </c>
      <c r="EV240" s="144">
        <f t="shared" si="712"/>
        <v>201.59999999999997</v>
      </c>
      <c r="EW240" s="456">
        <f t="shared" si="713"/>
        <v>5.1840000000000002E-4</v>
      </c>
      <c r="EX240" s="456">
        <f t="shared" si="714"/>
        <v>9.4816000000000015E-3</v>
      </c>
      <c r="EY240" s="456">
        <f t="shared" si="715"/>
        <v>5.408259195018647E-2</v>
      </c>
      <c r="EZ240" s="456"/>
      <c r="FA240" s="456">
        <f t="shared" si="716"/>
        <v>2.5920000000000001E-4</v>
      </c>
      <c r="FB240" s="144">
        <f t="shared" si="717"/>
        <v>64.341791950186476</v>
      </c>
      <c r="FC240" s="150">
        <f t="shared" si="718"/>
        <v>0.77558497915018654</v>
      </c>
      <c r="FD240" s="5">
        <f t="shared" si="719"/>
        <v>1.44</v>
      </c>
      <c r="FE240" s="150">
        <f t="shared" si="720"/>
        <v>0.64994121803097293</v>
      </c>
      <c r="FF240" s="5">
        <f t="shared" si="721"/>
        <v>64.9941218030973</v>
      </c>
      <c r="FI240" s="59">
        <f t="shared" si="676"/>
        <v>-50</v>
      </c>
      <c r="FJ240">
        <f t="shared" si="677"/>
        <v>-50</v>
      </c>
      <c r="FL240">
        <f t="shared" si="678"/>
        <v>0.57600000000000007</v>
      </c>
    </row>
    <row r="241" spans="5:168">
      <c r="E241" s="147">
        <v>25</v>
      </c>
      <c r="F241" s="188">
        <f t="shared" si="679"/>
        <v>0.3</v>
      </c>
      <c r="G241" s="188"/>
      <c r="H241" s="188">
        <f t="shared" si="603"/>
        <v>1.5</v>
      </c>
      <c r="I241" s="465">
        <f t="shared" si="604"/>
        <v>59.975943738783762</v>
      </c>
      <c r="J241" s="149">
        <f t="shared" si="605"/>
        <v>5.4144337567297409</v>
      </c>
      <c r="K241" s="149">
        <f t="shared" si="606"/>
        <v>65.390377495513505</v>
      </c>
      <c r="L241" s="379"/>
      <c r="M241" s="188">
        <f t="shared" si="607"/>
        <v>8.28096321966421E-2</v>
      </c>
      <c r="N241" s="149">
        <f t="shared" si="608"/>
        <v>12.788958542262097</v>
      </c>
      <c r="O241" s="149">
        <f t="shared" si="599"/>
        <v>1.5</v>
      </c>
      <c r="P241" s="188">
        <f t="shared" si="609"/>
        <v>2.5577917084524193</v>
      </c>
      <c r="Q241" s="188">
        <f t="shared" si="610"/>
        <v>5</v>
      </c>
      <c r="R241" s="188"/>
      <c r="S241" s="149">
        <f t="shared" si="611"/>
        <v>439.87807656624807</v>
      </c>
      <c r="T241" s="149">
        <f t="shared" si="612"/>
        <v>5</v>
      </c>
      <c r="U241" s="188">
        <f t="shared" si="613"/>
        <v>0.65417171948390729</v>
      </c>
      <c r="V241" s="188">
        <f t="shared" si="614"/>
        <v>0.13088682135618657</v>
      </c>
      <c r="W241" s="188">
        <f t="shared" si="615"/>
        <v>1.44983962986893</v>
      </c>
      <c r="X241" s="172">
        <f t="shared" si="616"/>
        <v>350</v>
      </c>
      <c r="Y241" s="379">
        <f t="shared" si="680"/>
        <v>350</v>
      </c>
      <c r="AA241" s="188">
        <f t="shared" si="617"/>
        <v>1.1824070219231924</v>
      </c>
      <c r="AB241" s="150">
        <f t="shared" si="618"/>
        <v>2.6205666004210642</v>
      </c>
      <c r="AC241" s="150">
        <f t="shared" si="619"/>
        <v>0.54225086120716959</v>
      </c>
      <c r="AD241" s="150"/>
      <c r="AE241" s="150">
        <f t="shared" si="620"/>
        <v>2.216298238958947</v>
      </c>
      <c r="AF241" s="314">
        <f t="shared" si="621"/>
        <v>270.72168783648709</v>
      </c>
      <c r="AG241" s="456">
        <f t="shared" si="622"/>
        <v>0.38785219181781572</v>
      </c>
      <c r="AI241" s="150">
        <f t="shared" si="623"/>
        <v>0.87948310766931581</v>
      </c>
      <c r="AJ241" s="150">
        <f t="shared" si="624"/>
        <v>1</v>
      </c>
      <c r="AK241" s="150">
        <f t="shared" si="625"/>
        <v>1.1546981073351354</v>
      </c>
      <c r="AM241" s="314">
        <f t="shared" si="626"/>
        <v>300</v>
      </c>
      <c r="AN241" s="144">
        <f t="shared" si="627"/>
        <v>270.72168783648709</v>
      </c>
      <c r="AP241">
        <f t="shared" si="628"/>
        <v>300</v>
      </c>
      <c r="AQ241">
        <f t="shared" si="629"/>
        <v>270.72168783648709</v>
      </c>
      <c r="AS241" s="5">
        <f t="shared" si="600"/>
        <v>3.693830398264911</v>
      </c>
      <c r="AT241" s="5">
        <f t="shared" si="630"/>
        <v>0.20008021970048862</v>
      </c>
      <c r="AU241" s="5">
        <f t="shared" si="722"/>
        <v>3.4937501785644223</v>
      </c>
      <c r="AV241" s="5"/>
      <c r="AW241" s="150">
        <f t="shared" si="723"/>
        <v>5.4166054780011436E-2</v>
      </c>
      <c r="AX241" s="150">
        <f t="shared" si="631"/>
        <v>1.6243301270189225</v>
      </c>
      <c r="AY241" s="150">
        <f t="shared" si="632"/>
        <v>0.47291697260999427</v>
      </c>
      <c r="AZ241" s="150">
        <f t="shared" si="633"/>
        <v>3.4347046545070334</v>
      </c>
      <c r="BA241" s="144">
        <f t="shared" si="594"/>
        <v>1.2004813182029317</v>
      </c>
      <c r="BB241" s="5">
        <f t="shared" si="595"/>
        <v>3.6407828297176606E-2</v>
      </c>
      <c r="BD241" s="150">
        <f t="shared" si="681"/>
        <v>0.13437020351751033</v>
      </c>
      <c r="BE241" s="150">
        <f t="shared" si="682"/>
        <v>0.56149619922132699</v>
      </c>
      <c r="BG241" s="456">
        <f t="shared" si="683"/>
        <v>3.6110703186674297E-4</v>
      </c>
      <c r="BH241" s="456">
        <f t="shared" si="634"/>
        <v>0.33192362557219601</v>
      </c>
      <c r="BI241" s="456">
        <f t="shared" si="635"/>
        <v>0.40591971796374327</v>
      </c>
      <c r="BJ241" s="456">
        <f t="shared" si="684"/>
        <v>0.11575792627117538</v>
      </c>
      <c r="BK241">
        <f t="shared" si="685"/>
        <v>2.6989174682452693E-2</v>
      </c>
      <c r="BL241" s="144">
        <f t="shared" si="686"/>
        <v>432.90889264619597</v>
      </c>
      <c r="BM241" s="456">
        <f t="shared" si="636"/>
        <v>0.44817861106428397</v>
      </c>
      <c r="BN241" s="144">
        <f t="shared" si="687"/>
        <v>448.17861106428398</v>
      </c>
      <c r="BO241" s="456">
        <f t="shared" si="637"/>
        <v>0.21</v>
      </c>
      <c r="BR241" s="144">
        <f t="shared" si="688"/>
        <v>210</v>
      </c>
      <c r="BS241" s="456">
        <f t="shared" si="689"/>
        <v>5.4166054780011442E-4</v>
      </c>
      <c r="BT241" s="456">
        <f t="shared" si="690"/>
        <v>9.4583394521998831E-3</v>
      </c>
      <c r="BU241" s="456">
        <f t="shared" si="691"/>
        <v>6.0294490114826987E-2</v>
      </c>
      <c r="BV241" s="456"/>
      <c r="BW241" s="456">
        <f t="shared" si="692"/>
        <v>2.7072168783648712E-4</v>
      </c>
      <c r="BX241" s="144">
        <f t="shared" si="693"/>
        <v>70.56521180266347</v>
      </c>
      <c r="BY241" s="150">
        <f t="shared" si="694"/>
        <v>1.1615167633240977</v>
      </c>
      <c r="BZ241" s="5">
        <f t="shared" si="695"/>
        <v>1.5</v>
      </c>
      <c r="CA241" s="150">
        <f t="shared" si="696"/>
        <v>0.5635884096880821</v>
      </c>
      <c r="CB241" s="5">
        <f t="shared" si="697"/>
        <v>56.358840968808209</v>
      </c>
      <c r="CE241" s="59">
        <f t="shared" si="638"/>
        <v>-50</v>
      </c>
      <c r="CF241">
        <f t="shared" si="639"/>
        <v>-50</v>
      </c>
      <c r="CG241" s="150">
        <f t="shared" si="640"/>
        <v>0.62353829072479583</v>
      </c>
      <c r="CI241" s="147">
        <v>25</v>
      </c>
      <c r="CJ241" s="188">
        <f t="shared" si="698"/>
        <v>0.3</v>
      </c>
      <c r="CK241" s="188"/>
      <c r="CL241" s="188">
        <f t="shared" si="641"/>
        <v>1.5</v>
      </c>
      <c r="CM241" s="465">
        <f t="shared" si="642"/>
        <v>60</v>
      </c>
      <c r="CN241" s="379">
        <f t="shared" si="643"/>
        <v>5.4</v>
      </c>
      <c r="CO241" s="379">
        <f t="shared" si="644"/>
        <v>65.400000000000006</v>
      </c>
      <c r="CP241" s="379"/>
      <c r="CQ241" s="188">
        <f t="shared" si="645"/>
        <v>8.2568807339449546E-2</v>
      </c>
      <c r="CR241" s="149">
        <f t="shared" si="646"/>
        <v>12.756880733944957</v>
      </c>
      <c r="CS241" s="149">
        <f t="shared" si="647"/>
        <v>1.5</v>
      </c>
      <c r="CT241" s="188">
        <f t="shared" si="648"/>
        <v>2.5513761467889915</v>
      </c>
      <c r="CU241" s="188">
        <f t="shared" si="649"/>
        <v>5</v>
      </c>
      <c r="CV241" s="188"/>
      <c r="CW241" s="149">
        <f t="shared" si="650"/>
        <v>440.05448917104957</v>
      </c>
      <c r="CX241" s="149">
        <f t="shared" si="651"/>
        <v>5</v>
      </c>
      <c r="CY241" s="188">
        <f t="shared" si="652"/>
        <v>0.60555555555555551</v>
      </c>
      <c r="CZ241" s="188">
        <f t="shared" si="653"/>
        <v>0.12111111111111109</v>
      </c>
      <c r="DA241" s="188">
        <f t="shared" si="654"/>
        <v>1.3456790123456788</v>
      </c>
      <c r="DB241" s="172">
        <f t="shared" si="655"/>
        <v>350</v>
      </c>
      <c r="DC241" s="379">
        <f t="shared" si="656"/>
        <v>350</v>
      </c>
      <c r="DE241" s="188">
        <f t="shared" si="657"/>
        <v>1.179554390563565</v>
      </c>
      <c r="DF241" s="150">
        <f t="shared" si="658"/>
        <v>2.6212319790301444</v>
      </c>
      <c r="DG241" s="150">
        <f t="shared" si="659"/>
        <v>0.54107999567136011</v>
      </c>
      <c r="DH241" s="150"/>
      <c r="DI241" s="150">
        <f t="shared" si="660"/>
        <v>2.2222222222222219</v>
      </c>
      <c r="DJ241" s="314">
        <f t="shared" si="661"/>
        <v>270</v>
      </c>
      <c r="DK241" s="456">
        <f t="shared" si="662"/>
        <v>0.38888888888888884</v>
      </c>
      <c r="DM241" s="150">
        <f t="shared" si="663"/>
        <v>0.87831006565367986</v>
      </c>
      <c r="DN241" s="150">
        <f t="shared" si="664"/>
        <v>1</v>
      </c>
      <c r="DO241" s="150">
        <f t="shared" si="665"/>
        <v>1.1542857142857144</v>
      </c>
      <c r="DQ241" s="314">
        <f t="shared" si="666"/>
        <v>300</v>
      </c>
      <c r="DR241" s="144">
        <f t="shared" si="667"/>
        <v>270</v>
      </c>
      <c r="DT241">
        <f t="shared" si="668"/>
        <v>300</v>
      </c>
      <c r="DU241">
        <f t="shared" si="669"/>
        <v>270</v>
      </c>
      <c r="DW241" s="5">
        <f t="shared" si="670"/>
        <v>3.7037037037037037</v>
      </c>
      <c r="DX241" s="5">
        <f t="shared" si="671"/>
        <v>0.2</v>
      </c>
      <c r="DY241" s="5">
        <f t="shared" si="672"/>
        <v>3.5037037037037035</v>
      </c>
      <c r="DZ241" s="5"/>
      <c r="EA241" s="150">
        <f t="shared" si="673"/>
        <v>5.3999999999999999E-2</v>
      </c>
      <c r="EB241" s="150">
        <f t="shared" si="699"/>
        <v>1.62</v>
      </c>
      <c r="EC241" s="150">
        <f t="shared" si="700"/>
        <v>0.47299999999999998</v>
      </c>
      <c r="ED241" s="150">
        <f t="shared" si="701"/>
        <v>3.424947145877379</v>
      </c>
      <c r="EE241" s="144">
        <f t="shared" si="674"/>
        <v>1.2</v>
      </c>
      <c r="EF241" s="5">
        <f t="shared" si="675"/>
        <v>3.6496913580246912E-2</v>
      </c>
      <c r="EH241" s="150">
        <f t="shared" si="702"/>
        <v>0.13416407864998739</v>
      </c>
      <c r="EI241" s="150">
        <f t="shared" si="703"/>
        <v>0.56154548643305224</v>
      </c>
      <c r="EK241" s="456">
        <f t="shared" si="704"/>
        <v>3.6000000000000002E-4</v>
      </c>
      <c r="EL241" s="456">
        <f t="shared" si="705"/>
        <v>0.35316000000000003</v>
      </c>
      <c r="EM241" s="456">
        <f t="shared" si="706"/>
        <v>3.3750000000000002E-2</v>
      </c>
      <c r="EN241" s="456">
        <f t="shared" si="707"/>
        <v>0.11548332000000001</v>
      </c>
      <c r="EO241">
        <f t="shared" si="708"/>
        <v>2.7E-2</v>
      </c>
      <c r="EP241" s="144">
        <f t="shared" si="709"/>
        <v>60.75</v>
      </c>
      <c r="EQ241" s="144"/>
      <c r="ER241" s="144">
        <f t="shared" si="710"/>
        <v>529.75332000000003</v>
      </c>
      <c r="ES241" s="456">
        <f t="shared" si="711"/>
        <v>0.21</v>
      </c>
      <c r="EV241" s="144">
        <f t="shared" si="712"/>
        <v>210</v>
      </c>
      <c r="EW241" s="456">
        <f t="shared" si="713"/>
        <v>5.4000000000000001E-4</v>
      </c>
      <c r="EX241" s="456">
        <f t="shared" si="714"/>
        <v>9.4599999999999962E-3</v>
      </c>
      <c r="EY241" s="456">
        <f t="shared" si="715"/>
        <v>5.9893461663189984E-2</v>
      </c>
      <c r="EZ241" s="456"/>
      <c r="FA241" s="456">
        <f t="shared" si="716"/>
        <v>2.7E-4</v>
      </c>
      <c r="FB241" s="144">
        <f t="shared" si="717"/>
        <v>70.163461663189992</v>
      </c>
      <c r="FC241" s="150">
        <f t="shared" si="718"/>
        <v>0.80991678166319003</v>
      </c>
      <c r="FD241" s="5">
        <f t="shared" si="719"/>
        <v>1.5</v>
      </c>
      <c r="FE241" s="150">
        <f t="shared" si="720"/>
        <v>0.64937404321551684</v>
      </c>
      <c r="FF241" s="5">
        <f t="shared" si="721"/>
        <v>64.937404321551682</v>
      </c>
      <c r="FI241" s="59">
        <f t="shared" si="676"/>
        <v>-50</v>
      </c>
      <c r="FJ241">
        <f t="shared" si="677"/>
        <v>-50</v>
      </c>
      <c r="FL241">
        <f t="shared" si="678"/>
        <v>0.6</v>
      </c>
    </row>
    <row r="242" spans="5:168">
      <c r="E242" s="147">
        <v>26</v>
      </c>
      <c r="F242" s="188">
        <f t="shared" si="679"/>
        <v>0.312</v>
      </c>
      <c r="G242" s="188"/>
      <c r="H242" s="188">
        <f t="shared" si="603"/>
        <v>1.56</v>
      </c>
      <c r="I242" s="465">
        <f t="shared" si="604"/>
        <v>59.975943738783762</v>
      </c>
      <c r="J242" s="149">
        <f t="shared" si="605"/>
        <v>5.4144337567297409</v>
      </c>
      <c r="K242" s="149">
        <f t="shared" si="606"/>
        <v>65.390377495513505</v>
      </c>
      <c r="L242" s="379"/>
      <c r="M242" s="188">
        <f t="shared" si="607"/>
        <v>8.28096321966421E-2</v>
      </c>
      <c r="N242" s="149">
        <f t="shared" si="608"/>
        <v>12.788958542262097</v>
      </c>
      <c r="O242" s="149">
        <f t="shared" si="599"/>
        <v>1.56</v>
      </c>
      <c r="P242" s="188">
        <f t="shared" si="609"/>
        <v>2.5577917084524193</v>
      </c>
      <c r="Q242" s="188">
        <f t="shared" si="610"/>
        <v>5</v>
      </c>
      <c r="R242" s="188"/>
      <c r="S242" s="149">
        <f t="shared" si="611"/>
        <v>420.6575050141945</v>
      </c>
      <c r="T242" s="149">
        <f t="shared" si="612"/>
        <v>5</v>
      </c>
      <c r="U242" s="188">
        <f t="shared" si="613"/>
        <v>0.68033858826326365</v>
      </c>
      <c r="V242" s="188">
        <f t="shared" si="614"/>
        <v>0.13612229421043404</v>
      </c>
      <c r="W242" s="188">
        <f t="shared" si="615"/>
        <v>1.5078332150636873</v>
      </c>
      <c r="X242" s="172">
        <f t="shared" si="616"/>
        <v>350</v>
      </c>
      <c r="Y242" s="379">
        <f t="shared" si="680"/>
        <v>350</v>
      </c>
      <c r="AA242" s="188">
        <f t="shared" si="617"/>
        <v>1.1824070219231924</v>
      </c>
      <c r="AB242" s="150">
        <f t="shared" si="618"/>
        <v>2.6205666004210642</v>
      </c>
      <c r="AC242" s="150">
        <f t="shared" si="619"/>
        <v>0.54225086120716959</v>
      </c>
      <c r="AD242" s="150"/>
      <c r="AE242" s="150">
        <f t="shared" si="620"/>
        <v>2.216298238958947</v>
      </c>
      <c r="AF242" s="314">
        <f t="shared" si="621"/>
        <v>281.55055534994653</v>
      </c>
      <c r="AG242" s="456">
        <f t="shared" si="622"/>
        <v>0.38785219181781572</v>
      </c>
      <c r="AI242" s="150">
        <f t="shared" si="623"/>
        <v>0.89690030557621314</v>
      </c>
      <c r="AJ242" s="150">
        <f t="shared" si="624"/>
        <v>1</v>
      </c>
      <c r="AK242" s="150">
        <f t="shared" si="625"/>
        <v>1.160886031628541</v>
      </c>
      <c r="AM242" s="314">
        <f t="shared" si="626"/>
        <v>312</v>
      </c>
      <c r="AN242" s="144">
        <f t="shared" si="627"/>
        <v>281.55055534994653</v>
      </c>
      <c r="AP242">
        <f t="shared" si="628"/>
        <v>312</v>
      </c>
      <c r="AQ242">
        <f t="shared" si="629"/>
        <v>281.55055534994653</v>
      </c>
      <c r="AS242" s="5">
        <f t="shared" si="600"/>
        <v>3.5517599983316455</v>
      </c>
      <c r="AT242" s="5">
        <f t="shared" si="630"/>
        <v>0.20008021970048862</v>
      </c>
      <c r="AU242" s="5">
        <f t="shared" si="722"/>
        <v>3.3516797786311567</v>
      </c>
      <c r="AV242" s="5"/>
      <c r="AW242" s="150">
        <f t="shared" si="723"/>
        <v>5.6332696971211883E-2</v>
      </c>
      <c r="AX242" s="150">
        <f t="shared" si="631"/>
        <v>1.6893033320996793</v>
      </c>
      <c r="AY242" s="150">
        <f t="shared" si="632"/>
        <v>0.47183365151439405</v>
      </c>
      <c r="AZ242" s="150">
        <f t="shared" si="633"/>
        <v>3.5802942979537447</v>
      </c>
      <c r="BA242" s="144">
        <f t="shared" si="594"/>
        <v>1.248500570931049</v>
      </c>
      <c r="BB242" s="5">
        <f t="shared" si="595"/>
        <v>3.6324428100686201E-2</v>
      </c>
      <c r="BD242" s="150">
        <f t="shared" si="681"/>
        <v>0.1370312579562438</v>
      </c>
      <c r="BE242" s="150">
        <f t="shared" si="682"/>
        <v>0.56085271478014853</v>
      </c>
      <c r="BG242" s="456">
        <f t="shared" si="683"/>
        <v>3.755513131414126E-4</v>
      </c>
      <c r="BH242" s="456">
        <f t="shared" si="634"/>
        <v>0.34520057059508386</v>
      </c>
      <c r="BI242" s="456">
        <f t="shared" si="635"/>
        <v>0.42215650668229293</v>
      </c>
      <c r="BJ242" s="456">
        <f t="shared" si="684"/>
        <v>0.12038824332202237</v>
      </c>
      <c r="BK242">
        <f t="shared" si="685"/>
        <v>2.6989174682452693E-2</v>
      </c>
      <c r="BL242" s="144">
        <f t="shared" si="686"/>
        <v>449.14568136474566</v>
      </c>
      <c r="BM242" s="456">
        <f t="shared" si="636"/>
        <v>0.46610735530648945</v>
      </c>
      <c r="BN242" s="144">
        <f t="shared" si="687"/>
        <v>466.10735530648947</v>
      </c>
      <c r="BO242" s="456">
        <f t="shared" si="637"/>
        <v>0.21839999999999998</v>
      </c>
      <c r="BR242" s="144">
        <f t="shared" si="688"/>
        <v>218.39999999999998</v>
      </c>
      <c r="BS242" s="456">
        <f t="shared" si="689"/>
        <v>5.6332696971211893E-4</v>
      </c>
      <c r="BT242" s="456">
        <f t="shared" si="690"/>
        <v>9.4366730302878794E-3</v>
      </c>
      <c r="BU242" s="456">
        <f t="shared" si="691"/>
        <v>6.6506022528178318E-2</v>
      </c>
      <c r="BV242" s="456"/>
      <c r="BW242" s="456">
        <f t="shared" si="692"/>
        <v>2.8155055534994657E-4</v>
      </c>
      <c r="BX242" s="144">
        <f t="shared" si="693"/>
        <v>76.787573083528272</v>
      </c>
      <c r="BY242" s="150">
        <f t="shared" si="694"/>
        <v>1.2102976196785216</v>
      </c>
      <c r="BZ242" s="5">
        <f t="shared" si="695"/>
        <v>1.56</v>
      </c>
      <c r="CA242" s="150">
        <f t="shared" si="696"/>
        <v>0.5631163918702099</v>
      </c>
      <c r="CB242" s="5">
        <f t="shared" si="697"/>
        <v>56.311639187020987</v>
      </c>
      <c r="CE242" s="59">
        <f t="shared" si="638"/>
        <v>-50</v>
      </c>
      <c r="CF242">
        <f t="shared" si="639"/>
        <v>-50</v>
      </c>
      <c r="CG242" s="150">
        <f t="shared" si="640"/>
        <v>0.64847982235378765</v>
      </c>
      <c r="CI242" s="147">
        <v>26</v>
      </c>
      <c r="CJ242" s="188">
        <f t="shared" si="698"/>
        <v>0.312</v>
      </c>
      <c r="CK242" s="188"/>
      <c r="CL242" s="188">
        <f t="shared" si="641"/>
        <v>1.56</v>
      </c>
      <c r="CM242" s="465">
        <f t="shared" si="642"/>
        <v>60</v>
      </c>
      <c r="CN242" s="379">
        <f t="shared" si="643"/>
        <v>5.4</v>
      </c>
      <c r="CO242" s="379">
        <f t="shared" si="644"/>
        <v>65.400000000000006</v>
      </c>
      <c r="CP242" s="379"/>
      <c r="CQ242" s="188">
        <f t="shared" si="645"/>
        <v>8.2568807339449546E-2</v>
      </c>
      <c r="CR242" s="149">
        <f t="shared" si="646"/>
        <v>12.756880733944957</v>
      </c>
      <c r="CS242" s="149">
        <f t="shared" si="647"/>
        <v>1.56</v>
      </c>
      <c r="CT242" s="188">
        <f t="shared" si="648"/>
        <v>2.5513761467889915</v>
      </c>
      <c r="CU242" s="188">
        <f t="shared" si="649"/>
        <v>5</v>
      </c>
      <c r="CV242" s="188"/>
      <c r="CW242" s="149">
        <f t="shared" si="650"/>
        <v>420.82620728110288</v>
      </c>
      <c r="CX242" s="149">
        <f t="shared" si="651"/>
        <v>5</v>
      </c>
      <c r="CY242" s="188">
        <f t="shared" si="652"/>
        <v>0.62977777777777777</v>
      </c>
      <c r="CZ242" s="188">
        <f t="shared" si="653"/>
        <v>0.12595555555555557</v>
      </c>
      <c r="DA242" s="188">
        <f t="shared" si="654"/>
        <v>1.399506172839506</v>
      </c>
      <c r="DB242" s="172">
        <f t="shared" si="655"/>
        <v>350</v>
      </c>
      <c r="DC242" s="379">
        <f t="shared" si="656"/>
        <v>350</v>
      </c>
      <c r="DE242" s="188">
        <f t="shared" si="657"/>
        <v>1.179554390563565</v>
      </c>
      <c r="DF242" s="150">
        <f t="shared" si="658"/>
        <v>2.6212319790301444</v>
      </c>
      <c r="DG242" s="150">
        <f t="shared" si="659"/>
        <v>0.54107999567136011</v>
      </c>
      <c r="DH242" s="150"/>
      <c r="DI242" s="150">
        <f t="shared" si="660"/>
        <v>2.2222222222222219</v>
      </c>
      <c r="DJ242" s="314">
        <f t="shared" si="661"/>
        <v>280.8</v>
      </c>
      <c r="DK242" s="456">
        <f t="shared" si="662"/>
        <v>0.38888888888888884</v>
      </c>
      <c r="DM242" s="150">
        <f t="shared" si="663"/>
        <v>0.89570403275061472</v>
      </c>
      <c r="DN242" s="150">
        <f t="shared" si="664"/>
        <v>1</v>
      </c>
      <c r="DO242" s="150">
        <f t="shared" si="665"/>
        <v>1.1604571428571429</v>
      </c>
      <c r="DQ242" s="314">
        <f t="shared" si="666"/>
        <v>312</v>
      </c>
      <c r="DR242" s="144">
        <f t="shared" si="667"/>
        <v>280.8</v>
      </c>
      <c r="DT242">
        <f t="shared" si="668"/>
        <v>312</v>
      </c>
      <c r="DU242">
        <f t="shared" si="669"/>
        <v>280.8</v>
      </c>
      <c r="DW242" s="5">
        <f t="shared" si="670"/>
        <v>3.5612535612535612</v>
      </c>
      <c r="DX242" s="5">
        <f t="shared" si="671"/>
        <v>0.2</v>
      </c>
      <c r="DY242" s="5">
        <f t="shared" si="672"/>
        <v>3.361253561253561</v>
      </c>
      <c r="DZ242" s="5"/>
      <c r="EA242" s="150">
        <f t="shared" si="673"/>
        <v>5.6160000000000002E-2</v>
      </c>
      <c r="EB242" s="150">
        <f t="shared" si="699"/>
        <v>1.6848000000000001</v>
      </c>
      <c r="EC242" s="150">
        <f t="shared" si="700"/>
        <v>0.47192000000000001</v>
      </c>
      <c r="ED242" s="150">
        <f t="shared" si="701"/>
        <v>3.5700966265468725</v>
      </c>
      <c r="EE242" s="144">
        <f t="shared" si="674"/>
        <v>1.248</v>
      </c>
      <c r="EF242" s="5">
        <f t="shared" si="675"/>
        <v>3.6413580246913574E-2</v>
      </c>
      <c r="EH242" s="150">
        <f t="shared" si="702"/>
        <v>0.13682105101189657</v>
      </c>
      <c r="EI242" s="150">
        <f t="shared" si="703"/>
        <v>0.56090403219564522</v>
      </c>
      <c r="EK242" s="456">
        <f t="shared" si="704"/>
        <v>3.744000000000001E-4</v>
      </c>
      <c r="EL242" s="456">
        <f t="shared" si="705"/>
        <v>0.36728640000000007</v>
      </c>
      <c r="EM242" s="456">
        <f t="shared" si="706"/>
        <v>3.5099999999999999E-2</v>
      </c>
      <c r="EN242" s="456">
        <f t="shared" si="707"/>
        <v>0.12010265280000001</v>
      </c>
      <c r="EO242">
        <f t="shared" si="708"/>
        <v>2.7E-2</v>
      </c>
      <c r="EP242" s="144">
        <f t="shared" si="709"/>
        <v>62.1</v>
      </c>
      <c r="EQ242" s="144"/>
      <c r="ER242" s="144">
        <f t="shared" si="710"/>
        <v>549.86345280000012</v>
      </c>
      <c r="ES242" s="456">
        <f t="shared" si="711"/>
        <v>0.21839999999999998</v>
      </c>
      <c r="EV242" s="144">
        <f t="shared" si="712"/>
        <v>218.39999999999998</v>
      </c>
      <c r="EW242" s="456">
        <f t="shared" si="713"/>
        <v>5.616000000000001E-4</v>
      </c>
      <c r="EX242" s="456">
        <f t="shared" si="714"/>
        <v>9.4384000000000013E-3</v>
      </c>
      <c r="EY242" s="456">
        <f t="shared" si="715"/>
        <v>6.6063680165083266E-2</v>
      </c>
      <c r="EZ242" s="456"/>
      <c r="FA242" s="456">
        <f t="shared" si="716"/>
        <v>2.8080000000000005E-4</v>
      </c>
      <c r="FB242" s="144">
        <f t="shared" si="717"/>
        <v>76.344480165083269</v>
      </c>
      <c r="FC242" s="150">
        <f t="shared" si="718"/>
        <v>0.8446079329650833</v>
      </c>
      <c r="FD242" s="5">
        <f t="shared" si="719"/>
        <v>1.56</v>
      </c>
      <c r="FE242" s="150">
        <f t="shared" si="720"/>
        <v>0.64875440965396347</v>
      </c>
      <c r="FF242" s="5">
        <f t="shared" si="721"/>
        <v>64.875440965396351</v>
      </c>
      <c r="FI242" s="59">
        <f t="shared" si="676"/>
        <v>-50</v>
      </c>
      <c r="FJ242">
        <f t="shared" si="677"/>
        <v>-50</v>
      </c>
      <c r="FL242">
        <f t="shared" si="678"/>
        <v>0.624</v>
      </c>
    </row>
    <row r="243" spans="5:168">
      <c r="E243" s="147">
        <v>27</v>
      </c>
      <c r="F243" s="188">
        <f t="shared" si="679"/>
        <v>0.32400000000000001</v>
      </c>
      <c r="G243" s="188"/>
      <c r="H243" s="188">
        <f t="shared" si="603"/>
        <v>1.62</v>
      </c>
      <c r="I243" s="465">
        <f t="shared" si="604"/>
        <v>59.975943738783762</v>
      </c>
      <c r="J243" s="149">
        <f t="shared" si="605"/>
        <v>5.4144337567297409</v>
      </c>
      <c r="K243" s="149">
        <f t="shared" si="606"/>
        <v>65.390377495513505</v>
      </c>
      <c r="L243" s="379"/>
      <c r="M243" s="188">
        <f t="shared" si="607"/>
        <v>8.28096321966421E-2</v>
      </c>
      <c r="N243" s="149">
        <f t="shared" si="608"/>
        <v>12.788958542262097</v>
      </c>
      <c r="O243" s="149">
        <f t="shared" si="599"/>
        <v>1.62</v>
      </c>
      <c r="P243" s="188">
        <f t="shared" si="609"/>
        <v>2.5577917084524193</v>
      </c>
      <c r="Q243" s="188">
        <f t="shared" si="610"/>
        <v>5</v>
      </c>
      <c r="R243" s="188"/>
      <c r="S243" s="149">
        <f t="shared" si="611"/>
        <v>402.86089088458772</v>
      </c>
      <c r="T243" s="149">
        <f t="shared" si="612"/>
        <v>5</v>
      </c>
      <c r="U243" s="188">
        <f t="shared" si="613"/>
        <v>0.70650545704261991</v>
      </c>
      <c r="V243" s="188">
        <f t="shared" si="614"/>
        <v>0.14135776706468151</v>
      </c>
      <c r="W243" s="188">
        <f t="shared" si="615"/>
        <v>1.5658268002584443</v>
      </c>
      <c r="X243" s="172">
        <f t="shared" si="616"/>
        <v>350</v>
      </c>
      <c r="Y243" s="379">
        <f t="shared" si="680"/>
        <v>350</v>
      </c>
      <c r="AA243" s="188">
        <f t="shared" si="617"/>
        <v>1.1824070219231924</v>
      </c>
      <c r="AB243" s="150">
        <f t="shared" si="618"/>
        <v>2.6205666004210642</v>
      </c>
      <c r="AC243" s="150">
        <f t="shared" si="619"/>
        <v>0.54225086120716959</v>
      </c>
      <c r="AD243" s="150"/>
      <c r="AE243" s="150">
        <f t="shared" si="620"/>
        <v>2.216298238958947</v>
      </c>
      <c r="AF243" s="314">
        <f t="shared" si="621"/>
        <v>292.37942286340603</v>
      </c>
      <c r="AG243" s="456">
        <f t="shared" si="622"/>
        <v>0.38785219181781572</v>
      </c>
      <c r="AI243" s="150">
        <f t="shared" si="623"/>
        <v>0.91398565612909466</v>
      </c>
      <c r="AJ243" s="150">
        <f t="shared" si="624"/>
        <v>1</v>
      </c>
      <c r="AK243" s="150">
        <f t="shared" si="625"/>
        <v>1.1670739559219463</v>
      </c>
      <c r="AM243" s="314">
        <f t="shared" si="626"/>
        <v>324</v>
      </c>
      <c r="AN243" s="144">
        <f t="shared" si="627"/>
        <v>292.37942286340603</v>
      </c>
      <c r="AP243">
        <f t="shared" si="628"/>
        <v>324</v>
      </c>
      <c r="AQ243">
        <f t="shared" si="629"/>
        <v>292.37942286340603</v>
      </c>
      <c r="AS243" s="5">
        <f t="shared" si="600"/>
        <v>3.42021333172677</v>
      </c>
      <c r="AT243" s="5">
        <f t="shared" si="630"/>
        <v>0.20008021970048862</v>
      </c>
      <c r="AU243" s="5">
        <f t="shared" si="722"/>
        <v>3.2201331120262813</v>
      </c>
      <c r="AV243" s="5"/>
      <c r="AW243" s="150">
        <f t="shared" si="723"/>
        <v>5.8499339162412338E-2</v>
      </c>
      <c r="AX243" s="150">
        <f t="shared" si="631"/>
        <v>1.7542765371804363</v>
      </c>
      <c r="AY243" s="150">
        <f t="shared" si="632"/>
        <v>0.47075033041879383</v>
      </c>
      <c r="AZ243" s="150">
        <f t="shared" si="633"/>
        <v>3.7265540220009585</v>
      </c>
      <c r="BA243" s="144">
        <f t="shared" si="594"/>
        <v>1.2965198236591664</v>
      </c>
      <c r="BB243" s="5">
        <f t="shared" si="595"/>
        <v>3.6241027904195797E-2</v>
      </c>
      <c r="BD243" s="150">
        <f t="shared" si="681"/>
        <v>0.13964161170941888</v>
      </c>
      <c r="BE243" s="150">
        <f t="shared" si="682"/>
        <v>0.56020849119995431</v>
      </c>
      <c r="BG243" s="456">
        <f t="shared" si="683"/>
        <v>3.8999559441608224E-4</v>
      </c>
      <c r="BH243" s="456">
        <f t="shared" si="634"/>
        <v>0.35847751561797175</v>
      </c>
      <c r="BI243" s="456">
        <f t="shared" si="635"/>
        <v>0.43839329540084271</v>
      </c>
      <c r="BJ243" s="456">
        <f t="shared" si="684"/>
        <v>0.1250185603728694</v>
      </c>
      <c r="BK243">
        <f t="shared" si="685"/>
        <v>2.6989174682452693E-2</v>
      </c>
      <c r="BL243" s="144">
        <f t="shared" si="686"/>
        <v>465.3824700832954</v>
      </c>
      <c r="BM243" s="456">
        <f t="shared" si="636"/>
        <v>0.48403622262160956</v>
      </c>
      <c r="BN243" s="144">
        <f t="shared" si="687"/>
        <v>484.03622262160957</v>
      </c>
      <c r="BO243" s="456">
        <f t="shared" si="637"/>
        <v>0.2268</v>
      </c>
      <c r="BR243" s="144">
        <f t="shared" si="688"/>
        <v>226.8</v>
      </c>
      <c r="BS243" s="456">
        <f t="shared" si="689"/>
        <v>5.8499339162412334E-4</v>
      </c>
      <c r="BT243" s="456">
        <f t="shared" si="690"/>
        <v>9.4150066083758793E-3</v>
      </c>
      <c r="BU243" s="456">
        <f t="shared" si="691"/>
        <v>7.3086474907490484E-2</v>
      </c>
      <c r="BV243" s="456"/>
      <c r="BW243" s="456">
        <f t="shared" si="692"/>
        <v>2.9237942286340602E-4</v>
      </c>
      <c r="BX243" s="144">
        <f t="shared" si="693"/>
        <v>83.378854330353903</v>
      </c>
      <c r="BY243" s="150">
        <f t="shared" si="694"/>
        <v>1.2594473959989063</v>
      </c>
      <c r="BZ243" s="5">
        <f t="shared" si="695"/>
        <v>1.62</v>
      </c>
      <c r="CA243" s="150">
        <f t="shared" si="696"/>
        <v>0.56260795118224671</v>
      </c>
      <c r="CB243" s="5">
        <f t="shared" si="697"/>
        <v>56.260795118224671</v>
      </c>
      <c r="CE243" s="59">
        <f t="shared" si="638"/>
        <v>-50</v>
      </c>
      <c r="CF243">
        <f t="shared" si="639"/>
        <v>-50</v>
      </c>
      <c r="CG243" s="150">
        <f t="shared" si="640"/>
        <v>0.67342135398277958</v>
      </c>
      <c r="CI243" s="147">
        <v>27</v>
      </c>
      <c r="CJ243" s="188">
        <f t="shared" si="698"/>
        <v>0.32400000000000001</v>
      </c>
      <c r="CK243" s="188"/>
      <c r="CL243" s="188">
        <f t="shared" si="641"/>
        <v>1.62</v>
      </c>
      <c r="CM243" s="465">
        <f t="shared" si="642"/>
        <v>60</v>
      </c>
      <c r="CN243" s="379">
        <f t="shared" si="643"/>
        <v>5.4</v>
      </c>
      <c r="CO243" s="379">
        <f t="shared" si="644"/>
        <v>65.400000000000006</v>
      </c>
      <c r="CP243" s="379"/>
      <c r="CQ243" s="188">
        <f t="shared" si="645"/>
        <v>8.2568807339449546E-2</v>
      </c>
      <c r="CR243" s="149">
        <f t="shared" si="646"/>
        <v>12.756880733944957</v>
      </c>
      <c r="CS243" s="149">
        <f t="shared" si="647"/>
        <v>1.62</v>
      </c>
      <c r="CT243" s="188">
        <f t="shared" si="648"/>
        <v>2.5513761467889915</v>
      </c>
      <c r="CU243" s="188">
        <f t="shared" si="649"/>
        <v>5</v>
      </c>
      <c r="CV243" s="188"/>
      <c r="CW243" s="149">
        <f t="shared" si="650"/>
        <v>403.02245395005349</v>
      </c>
      <c r="CX243" s="149">
        <f t="shared" si="651"/>
        <v>5</v>
      </c>
      <c r="CY243" s="188">
        <f t="shared" si="652"/>
        <v>0.65400000000000003</v>
      </c>
      <c r="CZ243" s="188">
        <f t="shared" si="653"/>
        <v>0.1308</v>
      </c>
      <c r="DA243" s="188">
        <f t="shared" si="654"/>
        <v>1.4533333333333334</v>
      </c>
      <c r="DB243" s="172">
        <f t="shared" si="655"/>
        <v>350</v>
      </c>
      <c r="DC243" s="379">
        <f t="shared" si="656"/>
        <v>350</v>
      </c>
      <c r="DE243" s="188">
        <f t="shared" si="657"/>
        <v>1.179554390563565</v>
      </c>
      <c r="DF243" s="150">
        <f t="shared" si="658"/>
        <v>2.6212319790301444</v>
      </c>
      <c r="DG243" s="150">
        <f t="shared" si="659"/>
        <v>0.54107999567136011</v>
      </c>
      <c r="DH243" s="150"/>
      <c r="DI243" s="150">
        <f t="shared" si="660"/>
        <v>2.2222222222222219</v>
      </c>
      <c r="DJ243" s="314">
        <f t="shared" si="661"/>
        <v>291.60000000000002</v>
      </c>
      <c r="DK243" s="456">
        <f t="shared" si="662"/>
        <v>0.38888888888888884</v>
      </c>
      <c r="DM243" s="150">
        <f t="shared" si="663"/>
        <v>0.91276659510679803</v>
      </c>
      <c r="DN243" s="150">
        <f t="shared" si="664"/>
        <v>1</v>
      </c>
      <c r="DO243" s="150">
        <f t="shared" si="665"/>
        <v>1.1666285714285713</v>
      </c>
      <c r="DQ243" s="314">
        <f t="shared" si="666"/>
        <v>324</v>
      </c>
      <c r="DR243" s="144">
        <f t="shared" si="667"/>
        <v>291.60000000000002</v>
      </c>
      <c r="DT243">
        <f t="shared" si="668"/>
        <v>324</v>
      </c>
      <c r="DU243">
        <f t="shared" si="669"/>
        <v>291.60000000000002</v>
      </c>
      <c r="DW243" s="5">
        <f t="shared" si="670"/>
        <v>3.4293552812071328</v>
      </c>
      <c r="DX243" s="5">
        <f t="shared" si="671"/>
        <v>0.2</v>
      </c>
      <c r="DY243" s="5">
        <f t="shared" si="672"/>
        <v>3.2293552812071327</v>
      </c>
      <c r="DZ243" s="5"/>
      <c r="EA243" s="150">
        <f t="shared" si="673"/>
        <v>5.8320000000000004E-2</v>
      </c>
      <c r="EB243" s="150">
        <f t="shared" si="699"/>
        <v>1.7496000000000003</v>
      </c>
      <c r="EC243" s="150">
        <f t="shared" si="700"/>
        <v>0.47083999999999998</v>
      </c>
      <c r="ED243" s="150">
        <f t="shared" si="701"/>
        <v>3.7159119870869093</v>
      </c>
      <c r="EE243" s="144">
        <f t="shared" si="674"/>
        <v>1.2960000000000003</v>
      </c>
      <c r="EF243" s="5">
        <f t="shared" si="675"/>
        <v>3.6330246913580236E-2</v>
      </c>
      <c r="EH243" s="150">
        <f t="shared" si="702"/>
        <v>0.13942740046346702</v>
      </c>
      <c r="EI243" s="150">
        <f t="shared" si="703"/>
        <v>0.56026184354579533</v>
      </c>
      <c r="EK243" s="456">
        <f t="shared" si="704"/>
        <v>3.8880000000000007E-4</v>
      </c>
      <c r="EL243" s="456">
        <f t="shared" si="705"/>
        <v>0.38141280000000011</v>
      </c>
      <c r="EM243" s="456">
        <f t="shared" si="706"/>
        <v>3.6449999999999996E-2</v>
      </c>
      <c r="EN243" s="456">
        <f t="shared" si="707"/>
        <v>0.12472198560000003</v>
      </c>
      <c r="EO243">
        <f t="shared" si="708"/>
        <v>2.7E-2</v>
      </c>
      <c r="EP243" s="144">
        <f t="shared" si="709"/>
        <v>63.449999999999996</v>
      </c>
      <c r="EQ243" s="144"/>
      <c r="ER243" s="144">
        <f t="shared" si="710"/>
        <v>569.97358560000021</v>
      </c>
      <c r="ES243" s="456">
        <f t="shared" si="711"/>
        <v>0.2268</v>
      </c>
      <c r="EV243" s="144">
        <f t="shared" si="712"/>
        <v>226.8</v>
      </c>
      <c r="EW243" s="456">
        <f t="shared" si="713"/>
        <v>5.8320000000000008E-4</v>
      </c>
      <c r="EX243" s="456">
        <f t="shared" si="714"/>
        <v>9.4167999999999977E-3</v>
      </c>
      <c r="EY243" s="456">
        <f t="shared" si="715"/>
        <v>7.2600364886293858E-2</v>
      </c>
      <c r="EZ243" s="456"/>
      <c r="FA243" s="456">
        <f t="shared" si="716"/>
        <v>2.9160000000000004E-4</v>
      </c>
      <c r="FB243" s="144">
        <f t="shared" si="717"/>
        <v>82.891964886293863</v>
      </c>
      <c r="FC243" s="150">
        <f t="shared" si="718"/>
        <v>0.87966555048629402</v>
      </c>
      <c r="FD243" s="5">
        <f t="shared" si="719"/>
        <v>1.62</v>
      </c>
      <c r="FE243" s="150">
        <f t="shared" si="720"/>
        <v>0.64808670091278386</v>
      </c>
      <c r="FF243" s="5">
        <f t="shared" si="721"/>
        <v>64.808670091278387</v>
      </c>
      <c r="FI243" s="59">
        <f t="shared" si="676"/>
        <v>-50</v>
      </c>
      <c r="FJ243">
        <f t="shared" si="677"/>
        <v>-50</v>
      </c>
      <c r="FL243">
        <f t="shared" si="678"/>
        <v>0.64800000000000002</v>
      </c>
    </row>
    <row r="244" spans="5:168">
      <c r="E244" s="147">
        <v>28</v>
      </c>
      <c r="F244" s="188">
        <f t="shared" si="679"/>
        <v>0.33600000000000002</v>
      </c>
      <c r="G244" s="188"/>
      <c r="H244" s="188">
        <f t="shared" si="603"/>
        <v>1.6800000000000002</v>
      </c>
      <c r="I244" s="465">
        <f t="shared" si="604"/>
        <v>59.975943738783762</v>
      </c>
      <c r="J244" s="149">
        <f t="shared" si="605"/>
        <v>5.4144337567297409</v>
      </c>
      <c r="K244" s="149">
        <f t="shared" si="606"/>
        <v>65.390377495513505</v>
      </c>
      <c r="L244" s="379"/>
      <c r="M244" s="188">
        <f t="shared" si="607"/>
        <v>8.28096321966421E-2</v>
      </c>
      <c r="N244" s="149">
        <f t="shared" si="608"/>
        <v>12.788958542262097</v>
      </c>
      <c r="O244" s="149">
        <f t="shared" si="599"/>
        <v>1.6800000000000002</v>
      </c>
      <c r="P244" s="188">
        <f t="shared" si="609"/>
        <v>2.5577917084524193</v>
      </c>
      <c r="Q244" s="188">
        <f t="shared" si="610"/>
        <v>5</v>
      </c>
      <c r="R244" s="188"/>
      <c r="S244" s="149">
        <f t="shared" si="611"/>
        <v>386.33567066038182</v>
      </c>
      <c r="T244" s="149">
        <f t="shared" si="612"/>
        <v>5</v>
      </c>
      <c r="U244" s="188">
        <f t="shared" si="613"/>
        <v>0.73267232582197617</v>
      </c>
      <c r="V244" s="188">
        <f t="shared" si="614"/>
        <v>0.14659323991892897</v>
      </c>
      <c r="W244" s="188">
        <f t="shared" si="615"/>
        <v>1.6238203854532018</v>
      </c>
      <c r="X244" s="172">
        <f t="shared" si="616"/>
        <v>350</v>
      </c>
      <c r="Y244" s="379">
        <f t="shared" si="680"/>
        <v>350</v>
      </c>
      <c r="AA244" s="188">
        <f t="shared" si="617"/>
        <v>1.1824070219231924</v>
      </c>
      <c r="AB244" s="150">
        <f t="shared" si="618"/>
        <v>2.6205666004210642</v>
      </c>
      <c r="AC244" s="150">
        <f t="shared" si="619"/>
        <v>0.54225086120716959</v>
      </c>
      <c r="AD244" s="150"/>
      <c r="AE244" s="150">
        <f t="shared" si="620"/>
        <v>2.216298238958947</v>
      </c>
      <c r="AF244" s="314">
        <f t="shared" si="621"/>
        <v>303.20829037686553</v>
      </c>
      <c r="AG244" s="456">
        <f t="shared" si="622"/>
        <v>0.38785219181781572</v>
      </c>
      <c r="AI244" s="150">
        <f t="shared" si="623"/>
        <v>0.93075743407010114</v>
      </c>
      <c r="AJ244" s="150">
        <f t="shared" si="624"/>
        <v>1</v>
      </c>
      <c r="AK244" s="150">
        <f t="shared" si="625"/>
        <v>1.1732618802153518</v>
      </c>
      <c r="AM244" s="314">
        <f t="shared" si="626"/>
        <v>336</v>
      </c>
      <c r="AN244" s="144">
        <f t="shared" si="627"/>
        <v>303.20829037686553</v>
      </c>
      <c r="AP244">
        <f t="shared" si="628"/>
        <v>336</v>
      </c>
      <c r="AQ244">
        <f t="shared" si="629"/>
        <v>303.20829037686553</v>
      </c>
      <c r="AS244" s="5">
        <f t="shared" si="600"/>
        <v>3.2980628555936704</v>
      </c>
      <c r="AT244" s="5">
        <f t="shared" si="630"/>
        <v>0.20008021970048862</v>
      </c>
      <c r="AU244" s="5">
        <f t="shared" si="722"/>
        <v>3.0979826358931817</v>
      </c>
      <c r="AV244" s="5"/>
      <c r="AW244" s="150">
        <f t="shared" si="723"/>
        <v>6.0665981353612806E-2</v>
      </c>
      <c r="AX244" s="150">
        <f t="shared" si="631"/>
        <v>1.8192497422611933</v>
      </c>
      <c r="AY244" s="150">
        <f t="shared" si="632"/>
        <v>0.46966700932319361</v>
      </c>
      <c r="AZ244" s="150">
        <f t="shared" si="633"/>
        <v>3.8734884634175075</v>
      </c>
      <c r="BA244" s="144">
        <f t="shared" si="594"/>
        <v>1.3445390763872835</v>
      </c>
      <c r="BB244" s="5">
        <f t="shared" si="595"/>
        <v>3.6157627707705378E-2</v>
      </c>
      <c r="BD244" s="150">
        <f t="shared" si="681"/>
        <v>0.14220405684978751</v>
      </c>
      <c r="BE244" s="150">
        <f t="shared" si="682"/>
        <v>0.55956352592783931</v>
      </c>
      <c r="BG244" s="456">
        <f t="shared" si="683"/>
        <v>4.0443987569075199E-4</v>
      </c>
      <c r="BH244" s="456">
        <f t="shared" si="634"/>
        <v>0.3717544606408596</v>
      </c>
      <c r="BI244" s="456">
        <f t="shared" si="635"/>
        <v>0.45463008411939243</v>
      </c>
      <c r="BJ244" s="456">
        <f t="shared" si="684"/>
        <v>0.12964887742371642</v>
      </c>
      <c r="BK244">
        <f t="shared" si="685"/>
        <v>2.6989174682452693E-2</v>
      </c>
      <c r="BL244" s="144">
        <f t="shared" si="686"/>
        <v>481.61925880184515</v>
      </c>
      <c r="BM244" s="456">
        <f t="shared" si="636"/>
        <v>0.50196521301091157</v>
      </c>
      <c r="BN244" s="144">
        <f t="shared" si="687"/>
        <v>501.96521301091155</v>
      </c>
      <c r="BO244" s="456">
        <f t="shared" si="637"/>
        <v>0.23519999999999999</v>
      </c>
      <c r="BR244" s="144">
        <f t="shared" si="688"/>
        <v>235.2</v>
      </c>
      <c r="BS244" s="456">
        <f t="shared" si="689"/>
        <v>6.0665981353612796E-4</v>
      </c>
      <c r="BT244" s="456">
        <f t="shared" si="690"/>
        <v>9.3933401864638704E-3</v>
      </c>
      <c r="BU244" s="456">
        <f t="shared" si="691"/>
        <v>8.00428757738747E-2</v>
      </c>
      <c r="BV244" s="456"/>
      <c r="BW244" s="456">
        <f t="shared" si="692"/>
        <v>3.0320829037686558E-4</v>
      </c>
      <c r="BX244" s="144">
        <f t="shared" si="693"/>
        <v>90.346084064251556</v>
      </c>
      <c r="BY244" s="150">
        <f t="shared" si="694"/>
        <v>1.3089731208063635</v>
      </c>
      <c r="BZ244" s="5">
        <f t="shared" si="695"/>
        <v>1.6800000000000002</v>
      </c>
      <c r="CA244" s="150">
        <f t="shared" si="696"/>
        <v>0.56206594442266866</v>
      </c>
      <c r="CB244" s="5">
        <f t="shared" si="697"/>
        <v>56.206594442266869</v>
      </c>
      <c r="CE244" s="59">
        <f t="shared" si="638"/>
        <v>-50</v>
      </c>
      <c r="CF244">
        <f t="shared" si="639"/>
        <v>-50</v>
      </c>
      <c r="CG244" s="150">
        <f t="shared" si="640"/>
        <v>0.69836288561177151</v>
      </c>
      <c r="CI244" s="147">
        <v>28</v>
      </c>
      <c r="CJ244" s="188">
        <f t="shared" si="698"/>
        <v>0.33600000000000002</v>
      </c>
      <c r="CK244" s="188"/>
      <c r="CL244" s="188">
        <f t="shared" si="641"/>
        <v>1.6800000000000002</v>
      </c>
      <c r="CM244" s="465">
        <f t="shared" si="642"/>
        <v>60</v>
      </c>
      <c r="CN244" s="379">
        <f t="shared" si="643"/>
        <v>5.4</v>
      </c>
      <c r="CO244" s="379">
        <f t="shared" si="644"/>
        <v>65.400000000000006</v>
      </c>
      <c r="CP244" s="379"/>
      <c r="CQ244" s="188">
        <f t="shared" si="645"/>
        <v>8.2568807339449546E-2</v>
      </c>
      <c r="CR244" s="149">
        <f t="shared" si="646"/>
        <v>12.756880733944957</v>
      </c>
      <c r="CS244" s="149">
        <f t="shared" si="647"/>
        <v>1.6800000000000002</v>
      </c>
      <c r="CT244" s="188">
        <f t="shared" si="648"/>
        <v>2.5513761467889915</v>
      </c>
      <c r="CU244" s="188">
        <f t="shared" si="649"/>
        <v>5</v>
      </c>
      <c r="CV244" s="188"/>
      <c r="CW244" s="149">
        <f t="shared" si="650"/>
        <v>386.49060446768601</v>
      </c>
      <c r="CX244" s="149">
        <f t="shared" si="651"/>
        <v>5</v>
      </c>
      <c r="CY244" s="188">
        <f t="shared" si="652"/>
        <v>0.67822222222222217</v>
      </c>
      <c r="CZ244" s="188">
        <f t="shared" si="653"/>
        <v>0.13564444444444443</v>
      </c>
      <c r="DA244" s="188">
        <f t="shared" si="654"/>
        <v>1.5071604938271601</v>
      </c>
      <c r="DB244" s="172">
        <f t="shared" si="655"/>
        <v>350</v>
      </c>
      <c r="DC244" s="379">
        <f t="shared" si="656"/>
        <v>350</v>
      </c>
      <c r="DE244" s="188">
        <f t="shared" si="657"/>
        <v>1.179554390563565</v>
      </c>
      <c r="DF244" s="150">
        <f t="shared" si="658"/>
        <v>2.6212319790301444</v>
      </c>
      <c r="DG244" s="150">
        <f t="shared" si="659"/>
        <v>0.54107999567136011</v>
      </c>
      <c r="DH244" s="150"/>
      <c r="DI244" s="150">
        <f t="shared" si="660"/>
        <v>2.2222222222222219</v>
      </c>
      <c r="DJ244" s="314">
        <f t="shared" si="661"/>
        <v>302.40000000000003</v>
      </c>
      <c r="DK244" s="456">
        <f t="shared" si="662"/>
        <v>0.38888888888888884</v>
      </c>
      <c r="DM244" s="150">
        <f t="shared" si="663"/>
        <v>0.92951600308978022</v>
      </c>
      <c r="DN244" s="150">
        <f t="shared" si="664"/>
        <v>1</v>
      </c>
      <c r="DO244" s="150">
        <f t="shared" si="665"/>
        <v>1.1728000000000001</v>
      </c>
      <c r="DQ244" s="314">
        <f t="shared" si="666"/>
        <v>336</v>
      </c>
      <c r="DR244" s="144">
        <f t="shared" si="667"/>
        <v>302.40000000000003</v>
      </c>
      <c r="DT244">
        <f t="shared" si="668"/>
        <v>336</v>
      </c>
      <c r="DU244">
        <f t="shared" si="669"/>
        <v>302.40000000000003</v>
      </c>
      <c r="DW244" s="5">
        <f t="shared" si="670"/>
        <v>3.3068783068783065</v>
      </c>
      <c r="DX244" s="5">
        <f t="shared" si="671"/>
        <v>0.2</v>
      </c>
      <c r="DY244" s="5">
        <f t="shared" si="672"/>
        <v>3.1068783068783064</v>
      </c>
      <c r="DZ244" s="5"/>
      <c r="EA244" s="150">
        <f t="shared" si="673"/>
        <v>6.0480000000000013E-2</v>
      </c>
      <c r="EB244" s="150">
        <f t="shared" si="699"/>
        <v>1.8144000000000002</v>
      </c>
      <c r="EC244" s="150">
        <f t="shared" si="700"/>
        <v>0.46976000000000001</v>
      </c>
      <c r="ED244" s="150">
        <f t="shared" si="701"/>
        <v>3.8623978201634883</v>
      </c>
      <c r="EE244" s="144">
        <f t="shared" si="674"/>
        <v>1.3440000000000001</v>
      </c>
      <c r="EF244" s="5">
        <f t="shared" si="675"/>
        <v>3.6246913580246912E-2</v>
      </c>
      <c r="EH244" s="150">
        <f t="shared" si="702"/>
        <v>0.14198591479439079</v>
      </c>
      <c r="EI244" s="150">
        <f t="shared" si="703"/>
        <v>0.55961891795518615</v>
      </c>
      <c r="EK244" s="456">
        <f t="shared" si="704"/>
        <v>4.0320000000000004E-4</v>
      </c>
      <c r="EL244" s="456">
        <f t="shared" si="705"/>
        <v>0.39553920000000009</v>
      </c>
      <c r="EM244" s="456">
        <f t="shared" si="706"/>
        <v>3.7800000000000007E-2</v>
      </c>
      <c r="EN244" s="456">
        <f t="shared" si="707"/>
        <v>0.12934131840000004</v>
      </c>
      <c r="EO244">
        <f t="shared" si="708"/>
        <v>2.7E-2</v>
      </c>
      <c r="EP244" s="144">
        <f t="shared" si="709"/>
        <v>64.800000000000011</v>
      </c>
      <c r="EQ244" s="144"/>
      <c r="ER244" s="144">
        <f t="shared" si="710"/>
        <v>590.08371840000018</v>
      </c>
      <c r="ES244" s="456">
        <f t="shared" si="711"/>
        <v>0.23519999999999999</v>
      </c>
      <c r="EV244" s="144">
        <f t="shared" si="712"/>
        <v>235.2</v>
      </c>
      <c r="EW244" s="456">
        <f t="shared" si="713"/>
        <v>6.0479999999999996E-4</v>
      </c>
      <c r="EX244" s="456">
        <f t="shared" si="714"/>
        <v>9.3952000000000011E-3</v>
      </c>
      <c r="EY244" s="456">
        <f t="shared" si="715"/>
        <v>7.9510497600097318E-2</v>
      </c>
      <c r="EZ244" s="456"/>
      <c r="FA244" s="456">
        <f t="shared" si="716"/>
        <v>3.0240000000000009E-4</v>
      </c>
      <c r="FB244" s="144">
        <f t="shared" si="717"/>
        <v>89.812897600097315</v>
      </c>
      <c r="FC244" s="150">
        <f t="shared" si="718"/>
        <v>0.91509661600009751</v>
      </c>
      <c r="FD244" s="5">
        <f t="shared" si="719"/>
        <v>1.6800000000000002</v>
      </c>
      <c r="FE244" s="150">
        <f t="shared" si="720"/>
        <v>0.64737474113369842</v>
      </c>
      <c r="FF244" s="5">
        <f t="shared" si="721"/>
        <v>64.737474113369842</v>
      </c>
      <c r="FI244" s="59">
        <f t="shared" si="676"/>
        <v>-50</v>
      </c>
      <c r="FJ244">
        <f t="shared" si="677"/>
        <v>-50</v>
      </c>
      <c r="FL244">
        <f t="shared" si="678"/>
        <v>0.67200000000000004</v>
      </c>
    </row>
    <row r="245" spans="5:168">
      <c r="E245" s="147">
        <v>29</v>
      </c>
      <c r="F245" s="188">
        <f t="shared" si="679"/>
        <v>0.34799999999999998</v>
      </c>
      <c r="G245" s="188"/>
      <c r="H245" s="188">
        <f t="shared" si="603"/>
        <v>1.7399999999999998</v>
      </c>
      <c r="I245" s="465">
        <f t="shared" si="604"/>
        <v>59.975943738783762</v>
      </c>
      <c r="J245" s="149">
        <f t="shared" si="605"/>
        <v>5.4144337567297409</v>
      </c>
      <c r="K245" s="149">
        <f t="shared" si="606"/>
        <v>65.390377495513505</v>
      </c>
      <c r="L245" s="379"/>
      <c r="M245" s="188">
        <f t="shared" si="607"/>
        <v>8.28096321966421E-2</v>
      </c>
      <c r="N245" s="149">
        <f t="shared" si="608"/>
        <v>12.788958542262097</v>
      </c>
      <c r="O245" s="149">
        <f t="shared" si="599"/>
        <v>1.7399999999999998</v>
      </c>
      <c r="P245" s="188">
        <f t="shared" si="609"/>
        <v>2.5577917084524193</v>
      </c>
      <c r="Q245" s="188">
        <f t="shared" si="610"/>
        <v>5</v>
      </c>
      <c r="R245" s="188"/>
      <c r="S245" s="149">
        <f t="shared" si="611"/>
        <v>370.9503241388619</v>
      </c>
      <c r="T245" s="149">
        <f t="shared" si="612"/>
        <v>5</v>
      </c>
      <c r="U245" s="188">
        <f t="shared" si="613"/>
        <v>0.75883919460133242</v>
      </c>
      <c r="V245" s="188">
        <f t="shared" si="614"/>
        <v>0.15182871277317642</v>
      </c>
      <c r="W245" s="188">
        <f t="shared" si="615"/>
        <v>1.6818139706479589</v>
      </c>
      <c r="X245" s="172">
        <f t="shared" si="616"/>
        <v>350</v>
      </c>
      <c r="Y245" s="379">
        <f t="shared" si="680"/>
        <v>350</v>
      </c>
      <c r="AA245" s="188">
        <f t="shared" si="617"/>
        <v>1.1824070219231924</v>
      </c>
      <c r="AB245" s="150">
        <f t="shared" si="618"/>
        <v>2.6205666004210642</v>
      </c>
      <c r="AC245" s="150">
        <f t="shared" si="619"/>
        <v>0.54225086120716959</v>
      </c>
      <c r="AD245" s="150"/>
      <c r="AE245" s="150">
        <f t="shared" si="620"/>
        <v>2.216298238958947</v>
      </c>
      <c r="AF245" s="314">
        <f t="shared" si="621"/>
        <v>314.03715789032492</v>
      </c>
      <c r="AG245" s="456">
        <f t="shared" si="622"/>
        <v>0.38785219181781572</v>
      </c>
      <c r="AI245" s="150">
        <f t="shared" si="623"/>
        <v>0.94723229597801706</v>
      </c>
      <c r="AJ245" s="150">
        <f t="shared" si="624"/>
        <v>1</v>
      </c>
      <c r="AK245" s="150">
        <f t="shared" si="625"/>
        <v>1.1794498045087571</v>
      </c>
      <c r="AM245" s="314">
        <f t="shared" si="626"/>
        <v>348</v>
      </c>
      <c r="AN245" s="144">
        <f t="shared" si="627"/>
        <v>314.03715789032492</v>
      </c>
      <c r="AP245">
        <f t="shared" si="628"/>
        <v>348</v>
      </c>
      <c r="AQ245">
        <f t="shared" si="629"/>
        <v>314.03715789032492</v>
      </c>
      <c r="AS245" s="5">
        <f t="shared" si="600"/>
        <v>3.1843365502283727</v>
      </c>
      <c r="AT245" s="5">
        <f t="shared" si="630"/>
        <v>0.20008021970048862</v>
      </c>
      <c r="AU245" s="5">
        <f t="shared" si="722"/>
        <v>2.984256330527884</v>
      </c>
      <c r="AV245" s="5"/>
      <c r="AW245" s="150">
        <f t="shared" si="723"/>
        <v>6.283262354481324E-2</v>
      </c>
      <c r="AX245" s="150">
        <f t="shared" si="631"/>
        <v>1.8842229473419496</v>
      </c>
      <c r="AY245" s="150">
        <f t="shared" si="632"/>
        <v>0.46858368822759339</v>
      </c>
      <c r="AZ245" s="150">
        <f t="shared" si="633"/>
        <v>4.0211023018513039</v>
      </c>
      <c r="BA245" s="144">
        <f t="shared" ref="BA245:BA308" si="724">F245*AT245/Vout_ripple*1000</f>
        <v>1.3925583291154007</v>
      </c>
      <c r="BB245" s="5">
        <f t="shared" ref="BB245:BB308" si="725">H245/Efficiency/I245*AU245/Vinripple1</f>
        <v>3.6074227511214987E-2</v>
      </c>
      <c r="BD245" s="150">
        <f t="shared" si="681"/>
        <v>0.1447211382219995</v>
      </c>
      <c r="BE245" s="150">
        <f t="shared" si="682"/>
        <v>0.55891781639616955</v>
      </c>
      <c r="BG245" s="456">
        <f t="shared" si="683"/>
        <v>4.1888415696542168E-4</v>
      </c>
      <c r="BH245" s="456">
        <f t="shared" si="634"/>
        <v>0.38503140566374727</v>
      </c>
      <c r="BI245" s="456">
        <f t="shared" si="635"/>
        <v>0.47086687283794204</v>
      </c>
      <c r="BJ245" s="456">
        <f t="shared" si="684"/>
        <v>0.13427919447456338</v>
      </c>
      <c r="BK245">
        <f t="shared" si="685"/>
        <v>2.6989174682452693E-2</v>
      </c>
      <c r="BL245" s="144">
        <f t="shared" si="686"/>
        <v>497.85604752039472</v>
      </c>
      <c r="BM245" s="456">
        <f t="shared" si="636"/>
        <v>0.51989432647566247</v>
      </c>
      <c r="BN245" s="144">
        <f t="shared" si="687"/>
        <v>519.89432647566252</v>
      </c>
      <c r="BO245" s="456">
        <f t="shared" si="637"/>
        <v>0.24359999999999996</v>
      </c>
      <c r="BR245" s="144">
        <f t="shared" si="688"/>
        <v>243.59999999999997</v>
      </c>
      <c r="BS245" s="456">
        <f t="shared" si="689"/>
        <v>6.2832623544813247E-4</v>
      </c>
      <c r="BT245" s="456">
        <f t="shared" si="690"/>
        <v>9.3716737645518685E-3</v>
      </c>
      <c r="BU245" s="456">
        <f t="shared" si="691"/>
        <v>8.73821246079481E-2</v>
      </c>
      <c r="BV245" s="456"/>
      <c r="BW245" s="456">
        <f t="shared" si="692"/>
        <v>3.1403715789032492E-4</v>
      </c>
      <c r="BX245" s="144">
        <f t="shared" si="693"/>
        <v>97.696161765838426</v>
      </c>
      <c r="BY245" s="150">
        <f t="shared" si="694"/>
        <v>1.3588816935815091</v>
      </c>
      <c r="BZ245" s="5">
        <f t="shared" si="695"/>
        <v>1.7399999999999998</v>
      </c>
      <c r="CA245" s="150">
        <f t="shared" si="696"/>
        <v>0.56149287777069279</v>
      </c>
      <c r="CB245" s="5">
        <f t="shared" si="697"/>
        <v>56.149287777069276</v>
      </c>
      <c r="CE245" s="59">
        <f t="shared" si="638"/>
        <v>-50</v>
      </c>
      <c r="CF245">
        <f t="shared" si="639"/>
        <v>-50</v>
      </c>
      <c r="CG245" s="150">
        <f t="shared" si="640"/>
        <v>0.72330441724076311</v>
      </c>
      <c r="CI245" s="147">
        <v>29</v>
      </c>
      <c r="CJ245" s="188">
        <f t="shared" si="698"/>
        <v>0.34799999999999998</v>
      </c>
      <c r="CK245" s="188"/>
      <c r="CL245" s="188">
        <f t="shared" si="641"/>
        <v>1.7399999999999998</v>
      </c>
      <c r="CM245" s="465">
        <f t="shared" si="642"/>
        <v>60</v>
      </c>
      <c r="CN245" s="379">
        <f t="shared" si="643"/>
        <v>5.4</v>
      </c>
      <c r="CO245" s="379">
        <f t="shared" si="644"/>
        <v>65.400000000000006</v>
      </c>
      <c r="CP245" s="379"/>
      <c r="CQ245" s="188">
        <f t="shared" si="645"/>
        <v>8.2568807339449546E-2</v>
      </c>
      <c r="CR245" s="149">
        <f t="shared" si="646"/>
        <v>12.756880733944957</v>
      </c>
      <c r="CS245" s="149">
        <f t="shared" si="647"/>
        <v>1.7399999999999998</v>
      </c>
      <c r="CT245" s="188">
        <f t="shared" si="648"/>
        <v>2.5513761467889915</v>
      </c>
      <c r="CU245" s="188">
        <f t="shared" si="649"/>
        <v>5</v>
      </c>
      <c r="CV245" s="188"/>
      <c r="CW245" s="149">
        <f t="shared" si="650"/>
        <v>371.09908587855369</v>
      </c>
      <c r="CX245" s="149">
        <f t="shared" si="651"/>
        <v>5</v>
      </c>
      <c r="CY245" s="188">
        <f t="shared" si="652"/>
        <v>0.70244444444444432</v>
      </c>
      <c r="CZ245" s="188">
        <f t="shared" si="653"/>
        <v>0.14048888888888886</v>
      </c>
      <c r="DA245" s="188">
        <f t="shared" si="654"/>
        <v>1.5609876543209875</v>
      </c>
      <c r="DB245" s="172">
        <f t="shared" si="655"/>
        <v>350</v>
      </c>
      <c r="DC245" s="379">
        <f t="shared" si="656"/>
        <v>350</v>
      </c>
      <c r="DE245" s="188">
        <f t="shared" si="657"/>
        <v>1.179554390563565</v>
      </c>
      <c r="DF245" s="150">
        <f t="shared" si="658"/>
        <v>2.6212319790301444</v>
      </c>
      <c r="DG245" s="150">
        <f t="shared" si="659"/>
        <v>0.54107999567136011</v>
      </c>
      <c r="DH245" s="150"/>
      <c r="DI245" s="150">
        <f t="shared" si="660"/>
        <v>2.2222222222222219</v>
      </c>
      <c r="DJ245" s="314">
        <f t="shared" si="661"/>
        <v>313.2</v>
      </c>
      <c r="DK245" s="456">
        <f t="shared" si="662"/>
        <v>0.38888888888888884</v>
      </c>
      <c r="DM245" s="150">
        <f t="shared" si="663"/>
        <v>0.94596889106203852</v>
      </c>
      <c r="DN245" s="150">
        <f t="shared" si="664"/>
        <v>1</v>
      </c>
      <c r="DO245" s="150">
        <f t="shared" si="665"/>
        <v>1.1789714285714286</v>
      </c>
      <c r="DQ245" s="314">
        <f t="shared" si="666"/>
        <v>348</v>
      </c>
      <c r="DR245" s="144">
        <f t="shared" si="667"/>
        <v>313.2</v>
      </c>
      <c r="DT245">
        <f t="shared" si="668"/>
        <v>348</v>
      </c>
      <c r="DU245">
        <f t="shared" si="669"/>
        <v>313.2</v>
      </c>
      <c r="DW245" s="5">
        <f t="shared" si="670"/>
        <v>3.1928480204342273</v>
      </c>
      <c r="DX245" s="5">
        <f t="shared" si="671"/>
        <v>0.2</v>
      </c>
      <c r="DY245" s="5">
        <f t="shared" si="672"/>
        <v>2.9928480204342272</v>
      </c>
      <c r="DZ245" s="5"/>
      <c r="EA245" s="150">
        <f t="shared" si="673"/>
        <v>6.2640000000000001E-2</v>
      </c>
      <c r="EB245" s="150">
        <f t="shared" si="699"/>
        <v>1.8792</v>
      </c>
      <c r="EC245" s="150">
        <f t="shared" si="700"/>
        <v>0.46867999999999999</v>
      </c>
      <c r="ED245" s="150">
        <f t="shared" si="701"/>
        <v>4.0095587607749428</v>
      </c>
      <c r="EE245" s="144">
        <f t="shared" si="674"/>
        <v>1.3919999999999999</v>
      </c>
      <c r="EF245" s="5">
        <f t="shared" si="675"/>
        <v>3.6163580246913567E-2</v>
      </c>
      <c r="EH245" s="150">
        <f t="shared" si="702"/>
        <v>0.14449913494550753</v>
      </c>
      <c r="EI245" s="150">
        <f t="shared" si="703"/>
        <v>0.55897525288096006</v>
      </c>
      <c r="EK245" s="456">
        <f t="shared" si="704"/>
        <v>4.175999999999999E-4</v>
      </c>
      <c r="EL245" s="456">
        <f t="shared" si="705"/>
        <v>0.40966560000000007</v>
      </c>
      <c r="EM245" s="456">
        <f t="shared" si="706"/>
        <v>3.9149999999999997E-2</v>
      </c>
      <c r="EN245" s="456">
        <f t="shared" si="707"/>
        <v>0.1339606512</v>
      </c>
      <c r="EO245">
        <f t="shared" si="708"/>
        <v>2.7E-2</v>
      </c>
      <c r="EP245" s="144">
        <f t="shared" si="709"/>
        <v>66.150000000000006</v>
      </c>
      <c r="EQ245" s="144"/>
      <c r="ER245" s="144">
        <f t="shared" si="710"/>
        <v>610.19385120000015</v>
      </c>
      <c r="ES245" s="456">
        <f t="shared" si="711"/>
        <v>0.24359999999999996</v>
      </c>
      <c r="EV245" s="144">
        <f t="shared" si="712"/>
        <v>243.59999999999997</v>
      </c>
      <c r="EW245" s="456">
        <f t="shared" si="713"/>
        <v>6.2639999999999983E-4</v>
      </c>
      <c r="EX245" s="456">
        <f t="shared" si="714"/>
        <v>9.3735999999999976E-3</v>
      </c>
      <c r="EY245" s="456">
        <f t="shared" si="715"/>
        <v>8.680093189754387E-2</v>
      </c>
      <c r="EZ245" s="456"/>
      <c r="FA245" s="456">
        <f t="shared" si="716"/>
        <v>3.1320000000000002E-4</v>
      </c>
      <c r="FB245" s="144">
        <f t="shared" si="717"/>
        <v>97.114131897543871</v>
      </c>
      <c r="FC245" s="150">
        <f t="shared" si="718"/>
        <v>0.95090798309754399</v>
      </c>
      <c r="FD245" s="5">
        <f t="shared" si="719"/>
        <v>1.7399999999999998</v>
      </c>
      <c r="FE245" s="150">
        <f t="shared" si="720"/>
        <v>0.64662188782726793</v>
      </c>
      <c r="FF245" s="5">
        <f t="shared" si="721"/>
        <v>64.662188782726787</v>
      </c>
      <c r="FI245" s="59">
        <f t="shared" si="676"/>
        <v>-50</v>
      </c>
      <c r="FJ245">
        <f t="shared" si="677"/>
        <v>-50</v>
      </c>
      <c r="FL245">
        <f t="shared" si="678"/>
        <v>0.69599999999999995</v>
      </c>
    </row>
    <row r="246" spans="5:168">
      <c r="E246" s="147">
        <v>30</v>
      </c>
      <c r="F246" s="188">
        <f t="shared" si="679"/>
        <v>0.36</v>
      </c>
      <c r="G246" s="188"/>
      <c r="H246" s="188">
        <f t="shared" si="603"/>
        <v>1.7999999999999998</v>
      </c>
      <c r="I246" s="465">
        <f t="shared" si="604"/>
        <v>59.975943738783762</v>
      </c>
      <c r="J246" s="149">
        <f t="shared" si="605"/>
        <v>5.4144337567297409</v>
      </c>
      <c r="K246" s="149">
        <f t="shared" si="606"/>
        <v>65.390377495513505</v>
      </c>
      <c r="L246" s="379"/>
      <c r="M246" s="188">
        <f t="shared" si="607"/>
        <v>8.28096321966421E-2</v>
      </c>
      <c r="N246" s="149">
        <f t="shared" si="608"/>
        <v>12.788958542262097</v>
      </c>
      <c r="O246" s="149">
        <f t="shared" si="599"/>
        <v>1.7999999999999998</v>
      </c>
      <c r="P246" s="188">
        <f t="shared" si="609"/>
        <v>2.5577917084524193</v>
      </c>
      <c r="Q246" s="188">
        <f t="shared" si="610"/>
        <v>5</v>
      </c>
      <c r="R246" s="188"/>
      <c r="S246" s="149">
        <f t="shared" si="611"/>
        <v>356.59086721444288</v>
      </c>
      <c r="T246" s="149">
        <f t="shared" si="612"/>
        <v>5</v>
      </c>
      <c r="U246" s="188">
        <f t="shared" si="613"/>
        <v>0.78500606338068879</v>
      </c>
      <c r="V246" s="188">
        <f t="shared" si="614"/>
        <v>0.15706418562742391</v>
      </c>
      <c r="W246" s="188">
        <f t="shared" si="615"/>
        <v>1.7398075558427162</v>
      </c>
      <c r="X246" s="172">
        <f t="shared" si="616"/>
        <v>350</v>
      </c>
      <c r="Y246" s="379">
        <f t="shared" si="680"/>
        <v>350</v>
      </c>
      <c r="AA246" s="188">
        <f t="shared" si="617"/>
        <v>1.1824070219231924</v>
      </c>
      <c r="AB246" s="150">
        <f t="shared" si="618"/>
        <v>2.6205666004210642</v>
      </c>
      <c r="AC246" s="150">
        <f t="shared" si="619"/>
        <v>0.54225086120716959</v>
      </c>
      <c r="AD246" s="150"/>
      <c r="AE246" s="150">
        <f t="shared" si="620"/>
        <v>2.216298238958947</v>
      </c>
      <c r="AF246" s="314">
        <f t="shared" si="621"/>
        <v>324.86602540378448</v>
      </c>
      <c r="AG246" s="456">
        <f t="shared" si="622"/>
        <v>0.38785219181781572</v>
      </c>
      <c r="AI246" s="150">
        <f t="shared" si="623"/>
        <v>0.96342547403045808</v>
      </c>
      <c r="AJ246" s="150">
        <f t="shared" si="624"/>
        <v>1</v>
      </c>
      <c r="AK246" s="150">
        <f t="shared" si="625"/>
        <v>1.1856377288021624</v>
      </c>
      <c r="AM246" s="314">
        <f t="shared" si="626"/>
        <v>360</v>
      </c>
      <c r="AN246" s="144">
        <f t="shared" si="627"/>
        <v>324.86602540378448</v>
      </c>
      <c r="AP246">
        <f t="shared" si="628"/>
        <v>360</v>
      </c>
      <c r="AQ246">
        <f t="shared" si="629"/>
        <v>324.86602540378448</v>
      </c>
      <c r="AS246" s="5">
        <f t="shared" si="600"/>
        <v>3.0781919985540926</v>
      </c>
      <c r="AT246" s="5">
        <f t="shared" si="630"/>
        <v>0.20008021970048862</v>
      </c>
      <c r="AU246" s="5">
        <f t="shared" si="722"/>
        <v>2.8781117788536039</v>
      </c>
      <c r="AV246" s="5"/>
      <c r="AW246" s="150">
        <f t="shared" si="723"/>
        <v>6.4999265736013709E-2</v>
      </c>
      <c r="AX246" s="150">
        <f t="shared" si="631"/>
        <v>1.9491961524227068</v>
      </c>
      <c r="AY246" s="150">
        <f t="shared" si="632"/>
        <v>0.46750036713199317</v>
      </c>
      <c r="AZ246" s="150">
        <f t="shared" si="633"/>
        <v>4.1694002603261584</v>
      </c>
      <c r="BA246" s="144">
        <f t="shared" si="724"/>
        <v>1.440577581843518</v>
      </c>
      <c r="BB246" s="5">
        <f t="shared" si="725"/>
        <v>3.5990827314724562E-2</v>
      </c>
      <c r="BD246" s="150">
        <f t="shared" si="681"/>
        <v>0.14719518304620083</v>
      </c>
      <c r="BE246" s="150">
        <f t="shared" si="682"/>
        <v>0.55827136002246147</v>
      </c>
      <c r="BG246" s="456">
        <f t="shared" si="683"/>
        <v>4.3332843824009137E-4</v>
      </c>
      <c r="BH246" s="456">
        <f t="shared" si="634"/>
        <v>0.39830835068663523</v>
      </c>
      <c r="BI246" s="456">
        <f t="shared" si="635"/>
        <v>0.48710366155649182</v>
      </c>
      <c r="BJ246" s="456">
        <f t="shared" si="684"/>
        <v>0.13890951152541042</v>
      </c>
      <c r="BK246">
        <f t="shared" si="685"/>
        <v>2.6989174682452693E-2</v>
      </c>
      <c r="BL246" s="144">
        <f t="shared" si="686"/>
        <v>514.09283623894453</v>
      </c>
      <c r="BM246" s="456">
        <f t="shared" si="636"/>
        <v>0.53782356301712997</v>
      </c>
      <c r="BN246" s="144">
        <f t="shared" si="687"/>
        <v>537.82356301712991</v>
      </c>
      <c r="BO246" s="456">
        <f t="shared" si="637"/>
        <v>0.252</v>
      </c>
      <c r="BR246" s="144">
        <f t="shared" si="688"/>
        <v>252</v>
      </c>
      <c r="BS246" s="456">
        <f t="shared" si="689"/>
        <v>6.4999265736013698E-4</v>
      </c>
      <c r="BT246" s="456">
        <f t="shared" si="690"/>
        <v>9.3500073426398631E-3</v>
      </c>
      <c r="BU246" s="456">
        <f t="shared" si="691"/>
        <v>9.5110998707989142E-2</v>
      </c>
      <c r="BV246" s="456"/>
      <c r="BW246" s="456">
        <f t="shared" si="692"/>
        <v>3.2486602540378448E-4</v>
      </c>
      <c r="BX246" s="144">
        <f t="shared" si="693"/>
        <v>105.43586473339292</v>
      </c>
      <c r="BY246" s="150">
        <f t="shared" si="694"/>
        <v>1.4091798916226232</v>
      </c>
      <c r="BZ246" s="5">
        <f t="shared" si="695"/>
        <v>1.7999999999999998</v>
      </c>
      <c r="CA246" s="150">
        <f t="shared" si="696"/>
        <v>0.56089096304597785</v>
      </c>
      <c r="CB246" s="5">
        <f t="shared" si="697"/>
        <v>56.089096304597788</v>
      </c>
      <c r="CE246" s="59">
        <f t="shared" si="638"/>
        <v>-50</v>
      </c>
      <c r="CF246">
        <f t="shared" si="639"/>
        <v>-50</v>
      </c>
      <c r="CG246" s="150">
        <f t="shared" si="640"/>
        <v>0.74824594886975493</v>
      </c>
      <c r="CI246" s="147">
        <v>30</v>
      </c>
      <c r="CJ246" s="188">
        <f t="shared" si="698"/>
        <v>0.36</v>
      </c>
      <c r="CK246" s="188"/>
      <c r="CL246" s="188">
        <f t="shared" si="641"/>
        <v>1.7999999999999998</v>
      </c>
      <c r="CM246" s="465">
        <f t="shared" si="642"/>
        <v>60</v>
      </c>
      <c r="CN246" s="379">
        <f t="shared" si="643"/>
        <v>5.4</v>
      </c>
      <c r="CO246" s="379">
        <f t="shared" si="644"/>
        <v>65.400000000000006</v>
      </c>
      <c r="CP246" s="379"/>
      <c r="CQ246" s="188">
        <f t="shared" si="645"/>
        <v>8.2568807339449546E-2</v>
      </c>
      <c r="CR246" s="149">
        <f t="shared" si="646"/>
        <v>12.756880733944957</v>
      </c>
      <c r="CS246" s="149">
        <f t="shared" si="647"/>
        <v>1.7999999999999998</v>
      </c>
      <c r="CT246" s="188">
        <f t="shared" si="648"/>
        <v>2.5513761467889915</v>
      </c>
      <c r="CU246" s="188">
        <f t="shared" si="649"/>
        <v>5</v>
      </c>
      <c r="CV246" s="188"/>
      <c r="CW246" s="149">
        <f t="shared" si="650"/>
        <v>356.73386835803899</v>
      </c>
      <c r="CX246" s="149">
        <f t="shared" si="651"/>
        <v>5</v>
      </c>
      <c r="CY246" s="188">
        <f t="shared" si="652"/>
        <v>0.72666666666666657</v>
      </c>
      <c r="CZ246" s="188">
        <f t="shared" si="653"/>
        <v>0.14533333333333334</v>
      </c>
      <c r="DA246" s="188">
        <f t="shared" si="654"/>
        <v>1.6148148148148147</v>
      </c>
      <c r="DB246" s="172">
        <f t="shared" si="655"/>
        <v>350</v>
      </c>
      <c r="DC246" s="379">
        <f t="shared" si="656"/>
        <v>350</v>
      </c>
      <c r="DE246" s="188">
        <f t="shared" si="657"/>
        <v>1.179554390563565</v>
      </c>
      <c r="DF246" s="150">
        <f t="shared" si="658"/>
        <v>2.6212319790301444</v>
      </c>
      <c r="DG246" s="150">
        <f t="shared" si="659"/>
        <v>0.54107999567136011</v>
      </c>
      <c r="DH246" s="150"/>
      <c r="DI246" s="150">
        <f t="shared" si="660"/>
        <v>2.2222222222222219</v>
      </c>
      <c r="DJ246" s="314">
        <f t="shared" si="661"/>
        <v>324</v>
      </c>
      <c r="DK246" s="456">
        <f t="shared" si="662"/>
        <v>0.38888888888888884</v>
      </c>
      <c r="DM246" s="150">
        <f t="shared" si="663"/>
        <v>0.96214047088472787</v>
      </c>
      <c r="DN246" s="150">
        <f t="shared" si="664"/>
        <v>1</v>
      </c>
      <c r="DO246" s="150">
        <f t="shared" si="665"/>
        <v>1.1851428571428571</v>
      </c>
      <c r="DQ246" s="314">
        <f t="shared" si="666"/>
        <v>360</v>
      </c>
      <c r="DR246" s="144">
        <f t="shared" si="667"/>
        <v>324</v>
      </c>
      <c r="DT246">
        <f t="shared" si="668"/>
        <v>360</v>
      </c>
      <c r="DU246">
        <f t="shared" si="669"/>
        <v>324</v>
      </c>
      <c r="DW246" s="5">
        <f t="shared" si="670"/>
        <v>3.0864197530864197</v>
      </c>
      <c r="DX246" s="5">
        <f t="shared" si="671"/>
        <v>0.2</v>
      </c>
      <c r="DY246" s="5">
        <f t="shared" si="672"/>
        <v>2.8864197530864195</v>
      </c>
      <c r="DZ246" s="5"/>
      <c r="EA246" s="150">
        <f t="shared" si="673"/>
        <v>6.480000000000001E-2</v>
      </c>
      <c r="EB246" s="150">
        <f t="shared" si="699"/>
        <v>1.944</v>
      </c>
      <c r="EC246" s="150">
        <f t="shared" si="700"/>
        <v>0.46760000000000002</v>
      </c>
      <c r="ED246" s="150">
        <f t="shared" si="701"/>
        <v>4.157399486740804</v>
      </c>
      <c r="EE246" s="144">
        <f t="shared" si="674"/>
        <v>1.44</v>
      </c>
      <c r="EF246" s="5">
        <f t="shared" si="675"/>
        <v>3.6080246913580229E-2</v>
      </c>
      <c r="EH246" s="150">
        <f t="shared" si="702"/>
        <v>0.14696938456699071</v>
      </c>
      <c r="EI246" s="150">
        <f t="shared" si="703"/>
        <v>0.55833084576560277</v>
      </c>
      <c r="EK246" s="456">
        <f t="shared" si="704"/>
        <v>4.3200000000000015E-4</v>
      </c>
      <c r="EL246" s="456">
        <f t="shared" si="705"/>
        <v>0.42379200000000006</v>
      </c>
      <c r="EM246" s="456">
        <f t="shared" si="706"/>
        <v>4.0499999999999994E-2</v>
      </c>
      <c r="EN246" s="456">
        <f t="shared" si="707"/>
        <v>0.13857998400000002</v>
      </c>
      <c r="EO246">
        <f t="shared" si="708"/>
        <v>2.7E-2</v>
      </c>
      <c r="EP246" s="144">
        <f t="shared" si="709"/>
        <v>67.499999999999986</v>
      </c>
      <c r="EQ246" s="144"/>
      <c r="ER246" s="144">
        <f t="shared" si="710"/>
        <v>630.30398400000013</v>
      </c>
      <c r="ES246" s="456">
        <f t="shared" si="711"/>
        <v>0.252</v>
      </c>
      <c r="EV246" s="144">
        <f t="shared" si="712"/>
        <v>252</v>
      </c>
      <c r="EW246" s="456">
        <f t="shared" si="713"/>
        <v>6.4800000000000025E-4</v>
      </c>
      <c r="EX246" s="456">
        <f t="shared" si="714"/>
        <v>9.3519999999999992E-3</v>
      </c>
      <c r="EY246" s="456">
        <f t="shared" si="715"/>
        <v>9.447839999999999E-2</v>
      </c>
      <c r="EZ246" s="456"/>
      <c r="FA246" s="456">
        <f t="shared" si="716"/>
        <v>3.2400000000000007E-4</v>
      </c>
      <c r="FB246" s="144">
        <f t="shared" si="717"/>
        <v>104.80239999999999</v>
      </c>
      <c r="FC246" s="150">
        <f t="shared" si="718"/>
        <v>0.98710638400000006</v>
      </c>
      <c r="FD246" s="5">
        <f t="shared" si="719"/>
        <v>1.7999999999999998</v>
      </c>
      <c r="FE246" s="150">
        <f t="shared" si="720"/>
        <v>0.6458311065315977</v>
      </c>
      <c r="FF246" s="5">
        <f t="shared" si="721"/>
        <v>64.583110653159764</v>
      </c>
      <c r="FI246" s="59">
        <f t="shared" si="676"/>
        <v>-50</v>
      </c>
      <c r="FJ246">
        <f t="shared" si="677"/>
        <v>-50</v>
      </c>
      <c r="FL246">
        <f t="shared" si="678"/>
        <v>0.72</v>
      </c>
    </row>
    <row r="247" spans="5:168">
      <c r="E247" s="147">
        <v>31</v>
      </c>
      <c r="F247" s="188">
        <f t="shared" si="679"/>
        <v>0.372</v>
      </c>
      <c r="G247" s="188"/>
      <c r="H247" s="188">
        <f t="shared" si="603"/>
        <v>1.8599999999999999</v>
      </c>
      <c r="I247" s="465">
        <f t="shared" si="604"/>
        <v>59.975943738783762</v>
      </c>
      <c r="J247" s="149">
        <f t="shared" si="605"/>
        <v>5.4144337567297409</v>
      </c>
      <c r="K247" s="149">
        <f t="shared" si="606"/>
        <v>65.390377495513505</v>
      </c>
      <c r="L247" s="379"/>
      <c r="M247" s="188">
        <f t="shared" si="607"/>
        <v>8.28096321966421E-2</v>
      </c>
      <c r="N247" s="149">
        <f t="shared" si="608"/>
        <v>12.788958542262097</v>
      </c>
      <c r="O247" s="149">
        <f t="shared" si="599"/>
        <v>1.8599999999999999</v>
      </c>
      <c r="P247" s="188">
        <f t="shared" si="609"/>
        <v>2.5577917084524193</v>
      </c>
      <c r="Q247" s="188">
        <f t="shared" si="610"/>
        <v>5</v>
      </c>
      <c r="R247" s="188"/>
      <c r="S247" s="149">
        <f t="shared" si="611"/>
        <v>343.15802347776065</v>
      </c>
      <c r="T247" s="149">
        <f t="shared" si="612"/>
        <v>5</v>
      </c>
      <c r="U247" s="188">
        <f t="shared" si="613"/>
        <v>0.81117293216004505</v>
      </c>
      <c r="V247" s="188">
        <f t="shared" si="614"/>
        <v>0.16229965848167136</v>
      </c>
      <c r="W247" s="188">
        <f t="shared" si="615"/>
        <v>1.7978011410374732</v>
      </c>
      <c r="X247" s="172">
        <f t="shared" si="616"/>
        <v>350</v>
      </c>
      <c r="Y247" s="379">
        <f t="shared" si="680"/>
        <v>350</v>
      </c>
      <c r="AA247" s="188">
        <f t="shared" si="617"/>
        <v>1.1824070219231924</v>
      </c>
      <c r="AB247" s="150">
        <f t="shared" si="618"/>
        <v>2.6205666004210642</v>
      </c>
      <c r="AC247" s="150">
        <f t="shared" si="619"/>
        <v>0.54225086120716959</v>
      </c>
      <c r="AD247" s="150"/>
      <c r="AE247" s="150">
        <f t="shared" si="620"/>
        <v>2.216298238958947</v>
      </c>
      <c r="AF247" s="314">
        <f t="shared" si="621"/>
        <v>335.69489291724392</v>
      </c>
      <c r="AG247" s="456">
        <f t="shared" si="622"/>
        <v>0.38785219181781572</v>
      </c>
      <c r="AI247" s="150">
        <f t="shared" si="623"/>
        <v>0.9793509409184431</v>
      </c>
      <c r="AJ247" s="150">
        <f t="shared" si="624"/>
        <v>1</v>
      </c>
      <c r="AK247" s="150">
        <f t="shared" si="625"/>
        <v>1.191825653095568</v>
      </c>
      <c r="AM247" s="314">
        <f t="shared" si="626"/>
        <v>372</v>
      </c>
      <c r="AN247" s="144">
        <f t="shared" si="627"/>
        <v>335.69489291724392</v>
      </c>
      <c r="AP247">
        <f t="shared" si="628"/>
        <v>372</v>
      </c>
      <c r="AQ247">
        <f t="shared" si="629"/>
        <v>335.69489291724392</v>
      </c>
      <c r="AS247" s="5">
        <f t="shared" si="600"/>
        <v>2.9788954824717027</v>
      </c>
      <c r="AT247" s="5">
        <f t="shared" si="630"/>
        <v>0.20008021970048862</v>
      </c>
      <c r="AU247" s="5">
        <f t="shared" si="722"/>
        <v>2.7788152627712139</v>
      </c>
      <c r="AV247" s="5"/>
      <c r="AW247" s="150">
        <f t="shared" si="723"/>
        <v>6.7165907927214177E-2</v>
      </c>
      <c r="AX247" s="150">
        <f t="shared" si="631"/>
        <v>2.0141693575034636</v>
      </c>
      <c r="AY247" s="150">
        <f t="shared" si="632"/>
        <v>0.46641704603639289</v>
      </c>
      <c r="AZ247" s="150">
        <f t="shared" si="633"/>
        <v>4.3183871057454981</v>
      </c>
      <c r="BA247" s="144">
        <f t="shared" si="724"/>
        <v>1.4885968345716352</v>
      </c>
      <c r="BB247" s="5">
        <f t="shared" si="725"/>
        <v>3.5907427118234157E-2</v>
      </c>
      <c r="BD247" s="150">
        <f t="shared" si="681"/>
        <v>0.14962832611420226</v>
      </c>
      <c r="BE247" s="150">
        <f t="shared" si="682"/>
        <v>0.55762415420926237</v>
      </c>
      <c r="BG247" s="456">
        <f t="shared" si="683"/>
        <v>4.4777271951476128E-4</v>
      </c>
      <c r="BH247" s="456">
        <f t="shared" si="634"/>
        <v>0.41158529570952307</v>
      </c>
      <c r="BI247" s="456">
        <f t="shared" si="635"/>
        <v>0.5033404502750416</v>
      </c>
      <c r="BJ247" s="456">
        <f t="shared" si="684"/>
        <v>0.14353982857625744</v>
      </c>
      <c r="BK247">
        <f t="shared" si="685"/>
        <v>2.6989174682452693E-2</v>
      </c>
      <c r="BL247" s="144">
        <f t="shared" si="686"/>
        <v>530.32962495749427</v>
      </c>
      <c r="BM247" s="456">
        <f t="shared" si="636"/>
        <v>0.55575292263658149</v>
      </c>
      <c r="BN247" s="144">
        <f t="shared" si="687"/>
        <v>555.7529226365815</v>
      </c>
      <c r="BO247" s="456">
        <f t="shared" si="637"/>
        <v>0.26039999999999996</v>
      </c>
      <c r="BR247" s="144">
        <f t="shared" si="688"/>
        <v>260.39999999999998</v>
      </c>
      <c r="BS247" s="456">
        <f t="shared" si="689"/>
        <v>6.7165907927214193E-4</v>
      </c>
      <c r="BT247" s="456">
        <f t="shared" si="690"/>
        <v>9.328340920727856E-3</v>
      </c>
      <c r="BU247" s="456">
        <f t="shared" si="691"/>
        <v>0.1032361594611913</v>
      </c>
      <c r="BV247" s="456"/>
      <c r="BW247" s="456">
        <f t="shared" si="692"/>
        <v>3.3569489291724393E-4</v>
      </c>
      <c r="BX247" s="144">
        <f t="shared" si="693"/>
        <v>113.57185435410854</v>
      </c>
      <c r="BY247" s="150">
        <f t="shared" si="694"/>
        <v>1.459874376316898</v>
      </c>
      <c r="BZ247" s="5">
        <f t="shared" si="695"/>
        <v>1.8599999999999999</v>
      </c>
      <c r="CA247" s="150">
        <f t="shared" si="696"/>
        <v>0.56026216331218603</v>
      </c>
      <c r="CB247" s="5">
        <f t="shared" si="697"/>
        <v>56.026216331218606</v>
      </c>
      <c r="CE247" s="59">
        <f t="shared" si="638"/>
        <v>-50</v>
      </c>
      <c r="CF247">
        <f t="shared" si="639"/>
        <v>-50</v>
      </c>
      <c r="CG247" s="150">
        <f t="shared" si="640"/>
        <v>0.77318748049874686</v>
      </c>
      <c r="CI247" s="147">
        <v>31</v>
      </c>
      <c r="CJ247" s="188">
        <f t="shared" si="698"/>
        <v>0.372</v>
      </c>
      <c r="CK247" s="188"/>
      <c r="CL247" s="188">
        <f t="shared" si="641"/>
        <v>1.8599999999999999</v>
      </c>
      <c r="CM247" s="465">
        <f t="shared" si="642"/>
        <v>60</v>
      </c>
      <c r="CN247" s="379">
        <f t="shared" si="643"/>
        <v>5.4</v>
      </c>
      <c r="CO247" s="379">
        <f t="shared" si="644"/>
        <v>65.400000000000006</v>
      </c>
      <c r="CP247" s="379"/>
      <c r="CQ247" s="188">
        <f t="shared" si="645"/>
        <v>8.2568807339449546E-2</v>
      </c>
      <c r="CR247" s="149">
        <f t="shared" si="646"/>
        <v>12.756880733944957</v>
      </c>
      <c r="CS247" s="149">
        <f t="shared" si="647"/>
        <v>1.8599999999999999</v>
      </c>
      <c r="CT247" s="188">
        <f t="shared" si="648"/>
        <v>2.5513761467889915</v>
      </c>
      <c r="CU247" s="188">
        <f t="shared" si="649"/>
        <v>5</v>
      </c>
      <c r="CV247" s="188"/>
      <c r="CW247" s="149">
        <f t="shared" si="650"/>
        <v>343.29563567697602</v>
      </c>
      <c r="CX247" s="149">
        <f t="shared" si="651"/>
        <v>5</v>
      </c>
      <c r="CY247" s="188">
        <f t="shared" si="652"/>
        <v>0.75088888888888872</v>
      </c>
      <c r="CZ247" s="188">
        <f t="shared" si="653"/>
        <v>0.15017777777777774</v>
      </c>
      <c r="DA247" s="188">
        <f t="shared" si="654"/>
        <v>1.6686419753086417</v>
      </c>
      <c r="DB247" s="172">
        <f t="shared" si="655"/>
        <v>350</v>
      </c>
      <c r="DC247" s="379">
        <f t="shared" si="656"/>
        <v>350</v>
      </c>
      <c r="DE247" s="188">
        <f t="shared" si="657"/>
        <v>1.179554390563565</v>
      </c>
      <c r="DF247" s="150">
        <f t="shared" si="658"/>
        <v>2.6212319790301444</v>
      </c>
      <c r="DG247" s="150">
        <f t="shared" si="659"/>
        <v>0.54107999567136011</v>
      </c>
      <c r="DH247" s="150"/>
      <c r="DI247" s="150">
        <f t="shared" si="660"/>
        <v>2.2222222222222219</v>
      </c>
      <c r="DJ247" s="314">
        <f t="shared" si="661"/>
        <v>334.8</v>
      </c>
      <c r="DK247" s="456">
        <f t="shared" si="662"/>
        <v>0.38888888888888884</v>
      </c>
      <c r="DM247" s="150">
        <f t="shared" si="663"/>
        <v>0.97804469661229121</v>
      </c>
      <c r="DN247" s="150">
        <f t="shared" si="664"/>
        <v>1</v>
      </c>
      <c r="DO247" s="150">
        <f t="shared" si="665"/>
        <v>1.1913142857142858</v>
      </c>
      <c r="DQ247" s="314">
        <f t="shared" si="666"/>
        <v>372</v>
      </c>
      <c r="DR247" s="144">
        <f t="shared" si="667"/>
        <v>334.8</v>
      </c>
      <c r="DT247">
        <f t="shared" si="668"/>
        <v>372</v>
      </c>
      <c r="DU247">
        <f t="shared" si="669"/>
        <v>334.8</v>
      </c>
      <c r="DW247" s="5">
        <f t="shared" si="670"/>
        <v>2.9868578255675029</v>
      </c>
      <c r="DX247" s="5">
        <f t="shared" si="671"/>
        <v>0.2</v>
      </c>
      <c r="DY247" s="5">
        <f t="shared" si="672"/>
        <v>2.7868578255675027</v>
      </c>
      <c r="DZ247" s="5"/>
      <c r="EA247" s="150">
        <f t="shared" si="673"/>
        <v>6.6960000000000006E-2</v>
      </c>
      <c r="EB247" s="150">
        <f t="shared" si="699"/>
        <v>2.0088000000000004</v>
      </c>
      <c r="EC247" s="150">
        <f t="shared" si="700"/>
        <v>0.46651999999999999</v>
      </c>
      <c r="ED247" s="150">
        <f t="shared" si="701"/>
        <v>4.3059247191974626</v>
      </c>
      <c r="EE247" s="144">
        <f t="shared" si="674"/>
        <v>1.4880000000000002</v>
      </c>
      <c r="EF247" s="5">
        <f t="shared" si="675"/>
        <v>3.5996913580246905E-2</v>
      </c>
      <c r="EH247" s="150">
        <f t="shared" si="702"/>
        <v>0.1493987951758648</v>
      </c>
      <c r="EI247" s="150">
        <f t="shared" si="703"/>
        <v>0.55768569403682333</v>
      </c>
      <c r="EK247" s="456">
        <f t="shared" si="704"/>
        <v>4.4640000000000006E-4</v>
      </c>
      <c r="EL247" s="456">
        <f t="shared" si="705"/>
        <v>0.4379184000000001</v>
      </c>
      <c r="EM247" s="456">
        <f t="shared" si="706"/>
        <v>4.1849999999999998E-2</v>
      </c>
      <c r="EN247" s="456">
        <f t="shared" si="707"/>
        <v>0.14319931680000003</v>
      </c>
      <c r="EO247">
        <f t="shared" si="708"/>
        <v>2.7E-2</v>
      </c>
      <c r="EP247" s="144">
        <f t="shared" si="709"/>
        <v>68.849999999999994</v>
      </c>
      <c r="EQ247" s="144"/>
      <c r="ER247" s="144">
        <f t="shared" si="710"/>
        <v>650.41411680000022</v>
      </c>
      <c r="ES247" s="456">
        <f t="shared" si="711"/>
        <v>0.26039999999999996</v>
      </c>
      <c r="EV247" s="144">
        <f t="shared" si="712"/>
        <v>260.39999999999998</v>
      </c>
      <c r="EW247" s="456">
        <f t="shared" si="713"/>
        <v>6.6960000000000001E-4</v>
      </c>
      <c r="EX247" s="456">
        <f t="shared" si="714"/>
        <v>9.3303999999999991E-3</v>
      </c>
      <c r="EY247" s="456">
        <f t="shared" si="715"/>
        <v>0.10254951898869014</v>
      </c>
      <c r="EZ247" s="456"/>
      <c r="FA247" s="456">
        <f t="shared" si="716"/>
        <v>3.3480000000000001E-4</v>
      </c>
      <c r="FB247" s="144">
        <f t="shared" si="717"/>
        <v>112.88431898869013</v>
      </c>
      <c r="FC247" s="150">
        <f t="shared" si="718"/>
        <v>1.0236984357886905</v>
      </c>
      <c r="FD247" s="5">
        <f t="shared" si="719"/>
        <v>1.8599999999999999</v>
      </c>
      <c r="FE247" s="150">
        <f t="shared" si="720"/>
        <v>0.64500503135699438</v>
      </c>
      <c r="FF247" s="5">
        <f t="shared" si="721"/>
        <v>64.500503135699432</v>
      </c>
      <c r="FI247" s="59">
        <f t="shared" si="676"/>
        <v>-50</v>
      </c>
      <c r="FJ247">
        <f t="shared" si="677"/>
        <v>-50</v>
      </c>
      <c r="FL247">
        <f t="shared" si="678"/>
        <v>0.74400000000000011</v>
      </c>
    </row>
    <row r="248" spans="5:168">
      <c r="E248" s="147">
        <v>32</v>
      </c>
      <c r="F248" s="188">
        <f t="shared" si="679"/>
        <v>0.38400000000000001</v>
      </c>
      <c r="G248" s="188"/>
      <c r="H248" s="188">
        <f t="shared" ref="H248:H279" si="726">F248*Vout</f>
        <v>1.92</v>
      </c>
      <c r="I248" s="465">
        <f t="shared" ref="I248:I279" si="727">VIN_max-F248*(Rdcr_pri+RON/1000)/CG248/Nps</f>
        <v>59.975943738783762</v>
      </c>
      <c r="J248" s="149">
        <f t="shared" ref="J248:J279" si="728">(T248+Vfwd1+F248/CG248*Rdcr_sec)*Nps</f>
        <v>5.4144337567297409</v>
      </c>
      <c r="K248" s="149">
        <f t="shared" ref="K248:K279" si="729">(Vout+Vfwd1+F248/CG248*Rdcr_sec)*Nps+I248</f>
        <v>65.390377495513505</v>
      </c>
      <c r="L248" s="379"/>
      <c r="M248" s="188">
        <f t="shared" ref="M248:M279" si="730">(Vout+Vfwd1+F248/FL248*Rdcr_sec)*Nps/((Vout+Vfwd1+F248/FL248*Rdcr_sec)*Nps+I248)</f>
        <v>8.28096321966421E-2</v>
      </c>
      <c r="N248" s="149">
        <f t="shared" ref="N248:N279" si="731">M248*I248*(Isw_max+VIN_max/Lmag*ILIM_delay)*0.5*Efficiency</f>
        <v>12.788958542262097</v>
      </c>
      <c r="O248" s="149">
        <f t="shared" si="599"/>
        <v>1.92</v>
      </c>
      <c r="P248" s="188">
        <f t="shared" ref="P248:P279" si="732">N248/Vout</f>
        <v>2.5577917084524193</v>
      </c>
      <c r="Q248" s="188">
        <f t="shared" ref="Q248:Q279" si="733">MIN(Vout,N248/F248)</f>
        <v>5</v>
      </c>
      <c r="R248" s="188"/>
      <c r="S248" s="149">
        <f t="shared" ref="S248:S279" si="734">(SQRT(Isw_max^2*Nps^2*I248^2+4*Isw_max*F248/Efficiency*(Nps^2*Vfwd1*I248-Nps*I248^2)+4*(F248/Efficiency)^2*Nps^2*Vfwd1^2+8*(F248/Efficiency)^2*Nps*Vfwd1*I248+4*(F248/Efficiency)^2*I248^2)-2*F248/Efficiency*I248-2*F248/Efficiency*Nps*Vfwd1+Isw_max*Nps*I248)/(4*F248/Efficiency*Nps)</f>
        <v>330.56492613999063</v>
      </c>
      <c r="T248" s="149">
        <f t="shared" ref="T248:T279" si="735">MIN(Vout, S248)</f>
        <v>5</v>
      </c>
      <c r="U248" s="188">
        <f t="shared" ref="U248:U279" si="736">MIN(2*(Vout+Vfwd1+F248/FL248*Rdcr_sec)*F248/(I248*M248), Isw_max)</f>
        <v>0.8373398009394013</v>
      </c>
      <c r="V248" s="188">
        <f t="shared" ref="V248:V279" si="737">L*U248/I248*1000000</f>
        <v>0.16753513133591882</v>
      </c>
      <c r="W248" s="188">
        <f t="shared" ref="W248:W279" si="738">L*U248/J248*1000000</f>
        <v>1.8557947262322303</v>
      </c>
      <c r="X248" s="172">
        <f t="shared" ref="X248:X279" si="739">IF(1/((350000*L)*(1/I248+1/J248))&gt;Isw_min, 350, 0.001/((Isw_min*L)*(1/I248+1/J248)))</f>
        <v>350</v>
      </c>
      <c r="Y248" s="379">
        <f t="shared" si="680"/>
        <v>350</v>
      </c>
      <c r="AA248" s="188">
        <f t="shared" ref="AA248:AA279" si="740">1/((X248*1000*L)*(1/I248+1/J248))</f>
        <v>1.1824070219231924</v>
      </c>
      <c r="AB248" s="150">
        <f t="shared" ref="AB248:AB279" si="741">L*AA248/J248*1000000</f>
        <v>2.6205666004210642</v>
      </c>
      <c r="AC248" s="150">
        <f t="shared" ref="AC248:AC279" si="742">0.5*AB248*AA248*Nps*X248/1000</f>
        <v>0.54225086120716959</v>
      </c>
      <c r="AD248" s="150"/>
      <c r="AE248" s="150">
        <f t="shared" ref="AE248:AE279" si="743">L*Isw_min/J248*1000000</f>
        <v>2.216298238958947</v>
      </c>
      <c r="AF248" s="314">
        <f t="shared" ref="AF248:AF279" si="744">MAX(12000,F248/(0.5*AE248/1000000*Isw_min*Nps))/1000</f>
        <v>346.52376043070348</v>
      </c>
      <c r="AG248" s="456">
        <f t="shared" ref="AG248:AG279" si="745">0.5*AE248/1000000*Isw_min*Nps*X248*1000</f>
        <v>0.38785219181781572</v>
      </c>
      <c r="AI248" s="150">
        <f t="shared" ref="AI248:AI279" si="746">SQRT(F248/(0.5*L/J248*Fsw_DCM*Nps))</f>
        <v>0.99502155099518674</v>
      </c>
      <c r="AJ248" s="150">
        <f t="shared" ref="AJ248:AJ279" si="747">MAX(IF(F248&gt;AC248,U248,AI248),Isw_min)</f>
        <v>1</v>
      </c>
      <c r="AK248" s="150">
        <f t="shared" ref="AK248:AK279" si="748">IF(F248&gt;AG248, (AJ248-Isw_min)/1.08*0.8+1.2, AF248*0.2/350+1)</f>
        <v>1.1980135773889735</v>
      </c>
      <c r="AM248" s="314">
        <f t="shared" ref="AM248:AM279" si="749">F248*1000</f>
        <v>384</v>
      </c>
      <c r="AN248" s="144">
        <f t="shared" ref="AN248:AN279" si="750">IF(F248&gt;AG248, Y248, AF248)</f>
        <v>346.52376043070348</v>
      </c>
      <c r="AP248">
        <f t="shared" ref="AP248:AP279" si="751">IF(H248&gt;N248, "",AM248)</f>
        <v>384</v>
      </c>
      <c r="AQ248">
        <f t="shared" ref="AQ248:AQ279" si="752">IF(H248&gt;N248, "",AN248)</f>
        <v>346.52376043070348</v>
      </c>
      <c r="AS248" s="5">
        <f t="shared" si="600"/>
        <v>2.8858049986444616</v>
      </c>
      <c r="AT248" s="5">
        <f t="shared" ref="AT248:AT279" si="753">L*AJ248/I248*1000000</f>
        <v>0.20008021970048862</v>
      </c>
      <c r="AU248" s="5">
        <f t="shared" si="722"/>
        <v>2.6857247789439729</v>
      </c>
      <c r="AV248" s="5"/>
      <c r="AW248" s="150">
        <f t="shared" si="723"/>
        <v>6.9332550118414632E-2</v>
      </c>
      <c r="AX248" s="150">
        <f t="shared" si="631"/>
        <v>2.079142562584221</v>
      </c>
      <c r="AY248" s="150">
        <f t="shared" si="632"/>
        <v>0.46533372494079267</v>
      </c>
      <c r="AZ248" s="150">
        <f t="shared" si="633"/>
        <v>4.468067649403153</v>
      </c>
      <c r="BA248" s="144">
        <f t="shared" si="724"/>
        <v>1.5366160872997525</v>
      </c>
      <c r="BB248" s="5">
        <f t="shared" si="725"/>
        <v>3.5824026921743753E-2</v>
      </c>
      <c r="BD248" s="150">
        <f t="shared" si="681"/>
        <v>0.15202253135463684</v>
      </c>
      <c r="BE248" s="150">
        <f t="shared" si="682"/>
        <v>0.55697619634402851</v>
      </c>
      <c r="BG248" s="456">
        <f t="shared" si="683"/>
        <v>4.6221700078943081E-4</v>
      </c>
      <c r="BH248" s="456">
        <f t="shared" ref="BH248:BH279" si="754">0.5*K248*AJ248*AN248*1000*Tfall</f>
        <v>0.42486224073241091</v>
      </c>
      <c r="BI248" s="456">
        <f t="shared" ref="BI248:BI279" si="755">Qg*Vdd*AN248*1000*0+Qg*I248*AN248*1000</f>
        <v>0.51957723899359143</v>
      </c>
      <c r="BJ248" s="456">
        <f t="shared" si="684"/>
        <v>0.14817014562710448</v>
      </c>
      <c r="BK248">
        <f t="shared" si="685"/>
        <v>2.6989174682452693E-2</v>
      </c>
      <c r="BL248" s="144">
        <f t="shared" si="686"/>
        <v>546.56641367604414</v>
      </c>
      <c r="BM248" s="456">
        <f t="shared" ref="BM248:BM279" si="756">(BH248+BI248*0+BJ248+BK248*0+BG248*(1+RdsonTC*(Ta-25)))/(1-BG248*RdsonTC*ThetaJA)</f>
        <v>0.57368240533528392</v>
      </c>
      <c r="BN248" s="144">
        <f t="shared" si="687"/>
        <v>573.68240533528387</v>
      </c>
      <c r="BO248" s="456">
        <f t="shared" si="637"/>
        <v>0.26879999999999998</v>
      </c>
      <c r="BR248" s="144">
        <f t="shared" si="688"/>
        <v>268.8</v>
      </c>
      <c r="BS248" s="456">
        <f t="shared" si="689"/>
        <v>6.9332550118414611E-4</v>
      </c>
      <c r="BT248" s="456">
        <f t="shared" si="690"/>
        <v>9.3066744988158541E-3</v>
      </c>
      <c r="BU248" s="456">
        <f t="shared" si="691"/>
        <v>0.11176415809602679</v>
      </c>
      <c r="BV248" s="456"/>
      <c r="BW248" s="456">
        <f t="shared" si="692"/>
        <v>3.4652376043070349E-4</v>
      </c>
      <c r="BX248" s="144">
        <f t="shared" si="693"/>
        <v>122.11068185645749</v>
      </c>
      <c r="BY248" s="150">
        <f t="shared" si="694"/>
        <v>1.5109716988928064</v>
      </c>
      <c r="BZ248" s="5">
        <f t="shared" si="695"/>
        <v>1.92</v>
      </c>
      <c r="CA248" s="150">
        <f t="shared" si="696"/>
        <v>0.55960823011731475</v>
      </c>
      <c r="CB248" s="5">
        <f t="shared" si="697"/>
        <v>55.960823011731478</v>
      </c>
      <c r="CE248" s="59">
        <f t="shared" ref="CE248:CE279" si="757">IF(ABS(F248-Ioutmax_Vinmax)&lt;Iout/200, AN248, -50)</f>
        <v>-50</v>
      </c>
      <c r="CF248">
        <f t="shared" ref="CF248:CF279" si="758">IF(ABS(F248-Ioutmax_Vinmin)&lt;Iout/200, N248*CA248, -50)</f>
        <v>-50</v>
      </c>
      <c r="CG248" s="150">
        <f t="shared" ref="CG248:CG279" si="759">MIN(SQRT(2*DU248*1000*Ls1_*CL248)/CU248,1-EA248-0.00000005*DU248*1000)</f>
        <v>0.79812901212773868</v>
      </c>
      <c r="CI248" s="147">
        <v>32</v>
      </c>
      <c r="CJ248" s="188">
        <f t="shared" si="698"/>
        <v>0.38400000000000001</v>
      </c>
      <c r="CK248" s="188"/>
      <c r="CL248" s="188">
        <f t="shared" si="641"/>
        <v>1.92</v>
      </c>
      <c r="CM248" s="465">
        <f t="shared" si="642"/>
        <v>60</v>
      </c>
      <c r="CN248" s="379">
        <f t="shared" si="643"/>
        <v>5.4</v>
      </c>
      <c r="CO248" s="379">
        <f t="shared" si="644"/>
        <v>65.400000000000006</v>
      </c>
      <c r="CP248" s="379"/>
      <c r="CQ248" s="188">
        <f t="shared" si="645"/>
        <v>8.2568807339449546E-2</v>
      </c>
      <c r="CR248" s="149">
        <f t="shared" si="646"/>
        <v>12.756880733944957</v>
      </c>
      <c r="CS248" s="149">
        <f t="shared" si="647"/>
        <v>1.92</v>
      </c>
      <c r="CT248" s="188">
        <f t="shared" si="648"/>
        <v>2.5513761467889915</v>
      </c>
      <c r="CU248" s="188">
        <f t="shared" si="649"/>
        <v>5</v>
      </c>
      <c r="CV248" s="188"/>
      <c r="CW248" s="149">
        <f t="shared" si="650"/>
        <v>330.69748620421473</v>
      </c>
      <c r="CX248" s="149">
        <f t="shared" si="651"/>
        <v>5</v>
      </c>
      <c r="CY248" s="188">
        <f t="shared" si="652"/>
        <v>0.77511111111111097</v>
      </c>
      <c r="CZ248" s="188">
        <f t="shared" si="653"/>
        <v>0.1550222222222222</v>
      </c>
      <c r="DA248" s="188">
        <f t="shared" si="654"/>
        <v>1.7224691358024689</v>
      </c>
      <c r="DB248" s="172">
        <f t="shared" si="655"/>
        <v>350</v>
      </c>
      <c r="DC248" s="379">
        <f t="shared" si="656"/>
        <v>350</v>
      </c>
      <c r="DE248" s="188">
        <f t="shared" si="657"/>
        <v>1.179554390563565</v>
      </c>
      <c r="DF248" s="150">
        <f t="shared" si="658"/>
        <v>2.6212319790301444</v>
      </c>
      <c r="DG248" s="150">
        <f t="shared" si="659"/>
        <v>0.54107999567136011</v>
      </c>
      <c r="DH248" s="150"/>
      <c r="DI248" s="150">
        <f t="shared" si="660"/>
        <v>2.2222222222222219</v>
      </c>
      <c r="DJ248" s="314">
        <f t="shared" si="661"/>
        <v>345.60000000000008</v>
      </c>
      <c r="DK248" s="456">
        <f t="shared" si="662"/>
        <v>0.38888888888888884</v>
      </c>
      <c r="DM248" s="150">
        <f t="shared" si="663"/>
        <v>0.99369440545299015</v>
      </c>
      <c r="DN248" s="150">
        <f t="shared" si="664"/>
        <v>1</v>
      </c>
      <c r="DO248" s="150">
        <f t="shared" si="665"/>
        <v>1.1974857142857143</v>
      </c>
      <c r="DQ248" s="314">
        <f t="shared" si="666"/>
        <v>384</v>
      </c>
      <c r="DR248" s="144">
        <f t="shared" si="667"/>
        <v>345.60000000000008</v>
      </c>
      <c r="DT248">
        <f t="shared" si="668"/>
        <v>384</v>
      </c>
      <c r="DU248">
        <f t="shared" si="669"/>
        <v>345.60000000000008</v>
      </c>
      <c r="DW248" s="5">
        <f t="shared" si="670"/>
        <v>2.8935185185185177</v>
      </c>
      <c r="DX248" s="5">
        <f t="shared" si="671"/>
        <v>0.2</v>
      </c>
      <c r="DY248" s="5">
        <f t="shared" si="672"/>
        <v>2.6935185185185175</v>
      </c>
      <c r="DZ248" s="5"/>
      <c r="EA248" s="150">
        <f t="shared" si="673"/>
        <v>6.9120000000000029E-2</v>
      </c>
      <c r="EB248" s="150">
        <f t="shared" si="699"/>
        <v>2.0736000000000003</v>
      </c>
      <c r="EC248" s="150">
        <f t="shared" si="700"/>
        <v>0.46543999999999996</v>
      </c>
      <c r="ED248" s="150">
        <f t="shared" si="701"/>
        <v>4.4551392231007227</v>
      </c>
      <c r="EE248" s="144">
        <f t="shared" si="674"/>
        <v>1.536</v>
      </c>
      <c r="EF248" s="5">
        <f t="shared" si="675"/>
        <v>3.591358024691356E-2</v>
      </c>
      <c r="EH248" s="150">
        <f t="shared" si="702"/>
        <v>0.15178932768808223</v>
      </c>
      <c r="EI248" s="150">
        <f t="shared" si="703"/>
        <v>0.55703979510743518</v>
      </c>
      <c r="EK248" s="456">
        <f t="shared" si="704"/>
        <v>4.608000000000002E-4</v>
      </c>
      <c r="EL248" s="456">
        <f t="shared" si="705"/>
        <v>0.45204480000000014</v>
      </c>
      <c r="EM248" s="456">
        <f t="shared" si="706"/>
        <v>4.3200000000000009E-2</v>
      </c>
      <c r="EN248" s="456">
        <f t="shared" si="707"/>
        <v>0.14781864960000007</v>
      </c>
      <c r="EO248">
        <f t="shared" si="708"/>
        <v>2.7E-2</v>
      </c>
      <c r="EP248" s="144">
        <f t="shared" si="709"/>
        <v>70.200000000000017</v>
      </c>
      <c r="EQ248" s="144"/>
      <c r="ER248" s="144">
        <f t="shared" si="710"/>
        <v>670.52424960000019</v>
      </c>
      <c r="ES248" s="456">
        <f t="shared" si="711"/>
        <v>0.26879999999999998</v>
      </c>
      <c r="EV248" s="144">
        <f t="shared" si="712"/>
        <v>268.8</v>
      </c>
      <c r="EW248" s="456">
        <f t="shared" si="713"/>
        <v>6.9120000000000021E-4</v>
      </c>
      <c r="EX248" s="456">
        <f t="shared" si="714"/>
        <v>9.3088000000000008E-3</v>
      </c>
      <c r="EY248" s="456">
        <f t="shared" si="715"/>
        <v>0.11102079651880152</v>
      </c>
      <c r="EZ248" s="456"/>
      <c r="FA248" s="456">
        <f t="shared" si="716"/>
        <v>3.4560000000000005E-4</v>
      </c>
      <c r="FB248" s="144">
        <f t="shared" si="717"/>
        <v>121.36639651880152</v>
      </c>
      <c r="FC248" s="150">
        <f t="shared" si="718"/>
        <v>1.0606906461188017</v>
      </c>
      <c r="FD248" s="5">
        <f t="shared" si="719"/>
        <v>1.92</v>
      </c>
      <c r="FE248" s="150">
        <f t="shared" si="720"/>
        <v>0.64414601444804698</v>
      </c>
      <c r="FF248" s="5">
        <f t="shared" si="721"/>
        <v>64.414601444804703</v>
      </c>
      <c r="FI248" s="59">
        <f t="shared" si="676"/>
        <v>-50</v>
      </c>
      <c r="FJ248">
        <f t="shared" si="677"/>
        <v>-50</v>
      </c>
      <c r="FL248">
        <f t="shared" ref="FL248:FL279" si="760">MIN(SQRT(2*L*DR248*1000*CJ248*(CX248+Vfwd1))/(Nps*(CX248+Vfwd1)), 1-EA248)</f>
        <v>0.76800000000000013</v>
      </c>
    </row>
    <row r="249" spans="5:168">
      <c r="E249" s="147">
        <v>33</v>
      </c>
      <c r="F249" s="188">
        <f t="shared" ref="F249:F280" si="761">IF(PLOT_TYPE=1, E249/100*Iout_max, min_I*EXP(N249*rr/100))</f>
        <v>0.39600000000000002</v>
      </c>
      <c r="G249" s="188"/>
      <c r="H249" s="188">
        <f t="shared" si="726"/>
        <v>1.98</v>
      </c>
      <c r="I249" s="465">
        <f t="shared" si="727"/>
        <v>59.975724792188622</v>
      </c>
      <c r="J249" s="149">
        <f t="shared" si="728"/>
        <v>5.4145651246868285</v>
      </c>
      <c r="K249" s="149">
        <f t="shared" si="729"/>
        <v>65.390289916875446</v>
      </c>
      <c r="L249" s="379"/>
      <c r="M249" s="188">
        <f t="shared" si="730"/>
        <v>8.2811824355722638E-2</v>
      </c>
      <c r="N249" s="149">
        <f t="shared" si="731"/>
        <v>12.789250406777052</v>
      </c>
      <c r="O249" s="149">
        <f t="shared" si="599"/>
        <v>1.98</v>
      </c>
      <c r="P249" s="188">
        <f t="shared" si="732"/>
        <v>2.5578500813554106</v>
      </c>
      <c r="Q249" s="188">
        <f t="shared" si="733"/>
        <v>5</v>
      </c>
      <c r="R249" s="188"/>
      <c r="S249" s="149">
        <f t="shared" si="734"/>
        <v>318.73407449674903</v>
      </c>
      <c r="T249" s="149">
        <f t="shared" si="735"/>
        <v>5</v>
      </c>
      <c r="U249" s="188">
        <f t="shared" si="736"/>
        <v>0.86350873357439528</v>
      </c>
      <c r="V249" s="188">
        <f t="shared" si="737"/>
        <v>0.17277164784246724</v>
      </c>
      <c r="W249" s="188">
        <f t="shared" si="738"/>
        <v>1.9137464531820687</v>
      </c>
      <c r="X249" s="172">
        <f t="shared" si="739"/>
        <v>350</v>
      </c>
      <c r="Y249" s="379">
        <f t="shared" si="680"/>
        <v>350</v>
      </c>
      <c r="AA249" s="188">
        <f t="shared" si="740"/>
        <v>1.1824329772174575</v>
      </c>
      <c r="AB249" s="150">
        <f t="shared" si="741"/>
        <v>2.6205605436189439</v>
      </c>
      <c r="AC249" s="150">
        <f t="shared" si="742"/>
        <v>0.54226151097474073</v>
      </c>
      <c r="AD249" s="150"/>
      <c r="AE249" s="150">
        <f t="shared" si="743"/>
        <v>2.2162444672219297</v>
      </c>
      <c r="AF249" s="314">
        <f t="shared" si="744"/>
        <v>357.36129822933066</v>
      </c>
      <c r="AG249" s="456">
        <f t="shared" si="745"/>
        <v>0.38784278176383763</v>
      </c>
      <c r="AI249" s="150">
        <f t="shared" si="746"/>
        <v>1.0104614196767883</v>
      </c>
      <c r="AJ249" s="150">
        <f t="shared" si="747"/>
        <v>1.0104614196767883</v>
      </c>
      <c r="AK249" s="150">
        <f t="shared" si="748"/>
        <v>1.2077491997605838</v>
      </c>
      <c r="AM249" s="314">
        <f t="shared" si="749"/>
        <v>396</v>
      </c>
      <c r="AN249" s="144">
        <f t="shared" si="750"/>
        <v>350</v>
      </c>
      <c r="AP249">
        <f t="shared" si="751"/>
        <v>396</v>
      </c>
      <c r="AQ249">
        <f t="shared" si="752"/>
        <v>350</v>
      </c>
      <c r="AS249" s="5">
        <f t="shared" si="600"/>
        <v>2.8571428571428572</v>
      </c>
      <c r="AT249" s="5">
        <f t="shared" si="753"/>
        <v>0.20217408089915601</v>
      </c>
      <c r="AU249" s="5">
        <f t="shared" si="722"/>
        <v>2.6549687762437011</v>
      </c>
      <c r="AV249" s="5"/>
      <c r="AW249" s="150">
        <f t="shared" si="723"/>
        <v>7.0760928314704596E-2</v>
      </c>
      <c r="AX249" s="150">
        <f t="shared" si="631"/>
        <v>2.1441677893759836</v>
      </c>
      <c r="AY249" s="150">
        <f t="shared" si="632"/>
        <v>0.46948011579713222</v>
      </c>
      <c r="AZ249" s="150">
        <f t="shared" si="633"/>
        <v>4.5671109749459617</v>
      </c>
      <c r="BA249" s="144">
        <f t="shared" si="724"/>
        <v>1.6012187207213158</v>
      </c>
      <c r="BB249" s="5">
        <f t="shared" si="725"/>
        <v>3.6520596424477546E-2</v>
      </c>
      <c r="BD249" s="150">
        <f t="shared" si="681"/>
        <v>0.15518719021281374</v>
      </c>
      <c r="BE249" s="150">
        <f t="shared" si="682"/>
        <v>0.56237090033677539</v>
      </c>
      <c r="BG249" s="456">
        <f t="shared" si="683"/>
        <v>4.8166128012296072E-4</v>
      </c>
      <c r="BH249" s="456">
        <f t="shared" si="754"/>
        <v>0.43361302151004294</v>
      </c>
      <c r="BI249" s="456">
        <f t="shared" si="755"/>
        <v>0.52478759193165048</v>
      </c>
      <c r="BJ249" s="456">
        <f t="shared" si="684"/>
        <v>0.14965615053945577</v>
      </c>
      <c r="BK249">
        <f t="shared" si="685"/>
        <v>2.6989076156484878E-2</v>
      </c>
      <c r="BL249" s="144">
        <f t="shared" si="686"/>
        <v>551.77666808813535</v>
      </c>
      <c r="BM249" s="456">
        <f t="shared" si="756"/>
        <v>0.5839477104396672</v>
      </c>
      <c r="BN249" s="144">
        <f t="shared" si="687"/>
        <v>583.94771043966716</v>
      </c>
      <c r="BO249" s="456">
        <f t="shared" si="637"/>
        <v>0.2772</v>
      </c>
      <c r="BR249" s="144">
        <f t="shared" si="688"/>
        <v>277.2</v>
      </c>
      <c r="BS249" s="456">
        <f t="shared" si="689"/>
        <v>7.2249192018444103E-4</v>
      </c>
      <c r="BT249" s="456">
        <f t="shared" si="690"/>
        <v>9.4878308863678602E-3</v>
      </c>
      <c r="BU249" s="456">
        <f t="shared" si="691"/>
        <v>0.1176087018331046</v>
      </c>
      <c r="BV249" s="456"/>
      <c r="BW249" s="456">
        <f t="shared" si="692"/>
        <v>3.5736129822933066E-4</v>
      </c>
      <c r="BX249" s="144">
        <f t="shared" si="693"/>
        <v>128.17638593788621</v>
      </c>
      <c r="BY249" s="150">
        <f t="shared" si="694"/>
        <v>1.5409038873556433</v>
      </c>
      <c r="BZ249" s="5">
        <f t="shared" si="695"/>
        <v>1.98</v>
      </c>
      <c r="CA249" s="150">
        <f t="shared" si="696"/>
        <v>0.56235559485466924</v>
      </c>
      <c r="CB249" s="5">
        <f t="shared" si="697"/>
        <v>56.235559485466922</v>
      </c>
      <c r="CE249" s="59">
        <f t="shared" si="757"/>
        <v>-50</v>
      </c>
      <c r="CF249">
        <f t="shared" si="758"/>
        <v>-50</v>
      </c>
      <c r="CG249" s="150">
        <f t="shared" si="759"/>
        <v>0.81564698246238854</v>
      </c>
      <c r="CI249" s="147">
        <v>33</v>
      </c>
      <c r="CJ249" s="188">
        <f t="shared" si="698"/>
        <v>0.39600000000000002</v>
      </c>
      <c r="CK249" s="188"/>
      <c r="CL249" s="188">
        <f t="shared" si="641"/>
        <v>1.98</v>
      </c>
      <c r="CM249" s="465">
        <f t="shared" si="642"/>
        <v>60</v>
      </c>
      <c r="CN249" s="379">
        <f t="shared" si="643"/>
        <v>5.4</v>
      </c>
      <c r="CO249" s="379">
        <f t="shared" si="644"/>
        <v>65.400000000000006</v>
      </c>
      <c r="CP249" s="379"/>
      <c r="CQ249" s="188">
        <f t="shared" si="645"/>
        <v>8.2568807339449546E-2</v>
      </c>
      <c r="CR249" s="149">
        <f t="shared" si="646"/>
        <v>12.756880733944957</v>
      </c>
      <c r="CS249" s="149">
        <f t="shared" si="647"/>
        <v>1.98</v>
      </c>
      <c r="CT249" s="188">
        <f t="shared" si="648"/>
        <v>2.5513761467889915</v>
      </c>
      <c r="CU249" s="188">
        <f t="shared" si="649"/>
        <v>5</v>
      </c>
      <c r="CV249" s="188"/>
      <c r="CW249" s="149">
        <f t="shared" si="650"/>
        <v>318.86305190877863</v>
      </c>
      <c r="CX249" s="149">
        <f t="shared" si="651"/>
        <v>5</v>
      </c>
      <c r="CY249" s="188">
        <f t="shared" si="652"/>
        <v>0.79933333333333323</v>
      </c>
      <c r="CZ249" s="188">
        <f t="shared" si="653"/>
        <v>0.15986666666666663</v>
      </c>
      <c r="DA249" s="188">
        <f t="shared" si="654"/>
        <v>1.7762962962962958</v>
      </c>
      <c r="DB249" s="172">
        <f t="shared" si="655"/>
        <v>350</v>
      </c>
      <c r="DC249" s="379">
        <f t="shared" si="656"/>
        <v>350</v>
      </c>
      <c r="DE249" s="188">
        <f t="shared" si="657"/>
        <v>1.179554390563565</v>
      </c>
      <c r="DF249" s="150">
        <f t="shared" si="658"/>
        <v>2.6212319790301444</v>
      </c>
      <c r="DG249" s="150">
        <f t="shared" si="659"/>
        <v>0.54107999567136011</v>
      </c>
      <c r="DH249" s="150"/>
      <c r="DI249" s="150">
        <f t="shared" si="660"/>
        <v>2.2222222222222219</v>
      </c>
      <c r="DJ249" s="314">
        <f t="shared" si="661"/>
        <v>356.40000000000003</v>
      </c>
      <c r="DK249" s="456">
        <f t="shared" si="662"/>
        <v>0.38888888888888884</v>
      </c>
      <c r="DM249" s="150">
        <f t="shared" si="663"/>
        <v>1.0091014390464987</v>
      </c>
      <c r="DN249" s="150">
        <f t="shared" si="664"/>
        <v>1.0091014390464987</v>
      </c>
      <c r="DO249" s="150">
        <f t="shared" si="665"/>
        <v>1.2067418067011102</v>
      </c>
      <c r="DQ249" s="314">
        <f t="shared" si="666"/>
        <v>396</v>
      </c>
      <c r="DR249" s="144">
        <f t="shared" si="667"/>
        <v>350</v>
      </c>
      <c r="DT249">
        <f t="shared" si="668"/>
        <v>396</v>
      </c>
      <c r="DU249">
        <f t="shared" si="669"/>
        <v>350</v>
      </c>
      <c r="DW249" s="5">
        <f t="shared" si="670"/>
        <v>2.8571428571428572</v>
      </c>
      <c r="DX249" s="5">
        <f t="shared" si="671"/>
        <v>0.20182028780929975</v>
      </c>
      <c r="DY249" s="5">
        <f t="shared" si="672"/>
        <v>2.6553225693335576</v>
      </c>
      <c r="DZ249" s="5"/>
      <c r="EA249" s="150">
        <f t="shared" si="673"/>
        <v>7.0637100733254909E-2</v>
      </c>
      <c r="EB249" s="150">
        <f t="shared" si="699"/>
        <v>2.1384000000000012</v>
      </c>
      <c r="EC249" s="150">
        <f t="shared" si="700"/>
        <v>0.46891071952324936</v>
      </c>
      <c r="ED249" s="150">
        <f t="shared" si="701"/>
        <v>4.5603563982801543</v>
      </c>
      <c r="EE249" s="144">
        <f t="shared" si="674"/>
        <v>1.5984166794496539</v>
      </c>
      <c r="EF249" s="5">
        <f t="shared" si="675"/>
        <v>3.6510685328336408E-2</v>
      </c>
      <c r="EH249" s="150">
        <f t="shared" si="702"/>
        <v>0.15484266269909214</v>
      </c>
      <c r="EI249" s="150">
        <f t="shared" si="703"/>
        <v>0.56165142324828732</v>
      </c>
      <c r="EK249" s="456">
        <f t="shared" si="704"/>
        <v>4.7952500383489639E-4</v>
      </c>
      <c r="EL249" s="456">
        <f t="shared" si="705"/>
        <v>0.46196663879548716</v>
      </c>
      <c r="EM249" s="456">
        <f t="shared" si="706"/>
        <v>4.3749999999999997E-2</v>
      </c>
      <c r="EN249" s="456">
        <f t="shared" si="707"/>
        <v>0.14970060000000002</v>
      </c>
      <c r="EO249">
        <f t="shared" si="708"/>
        <v>2.7E-2</v>
      </c>
      <c r="EP249" s="144">
        <f t="shared" si="709"/>
        <v>70.75</v>
      </c>
      <c r="EQ249" s="144"/>
      <c r="ER249" s="144">
        <f t="shared" si="710"/>
        <v>682.89676379932212</v>
      </c>
      <c r="ES249" s="456">
        <f t="shared" si="711"/>
        <v>0.2772</v>
      </c>
      <c r="EV249" s="144">
        <f t="shared" si="712"/>
        <v>277.2</v>
      </c>
      <c r="EW249" s="456">
        <f t="shared" si="713"/>
        <v>7.192875057523445E-4</v>
      </c>
      <c r="EX249" s="456">
        <f t="shared" si="714"/>
        <v>9.4635696371048027E-3</v>
      </c>
      <c r="EY249" s="456">
        <f t="shared" si="715"/>
        <v>0.1172133771417246</v>
      </c>
      <c r="EZ249" s="456"/>
      <c r="FA249" s="456">
        <f t="shared" si="716"/>
        <v>3.5640000000000015E-4</v>
      </c>
      <c r="FB249" s="144">
        <f t="shared" si="717"/>
        <v>127.75263428458175</v>
      </c>
      <c r="FC249" s="150">
        <f t="shared" si="718"/>
        <v>1.0878493980839039</v>
      </c>
      <c r="FD249" s="5">
        <f t="shared" si="719"/>
        <v>1.98</v>
      </c>
      <c r="FE249" s="150">
        <f t="shared" si="720"/>
        <v>0.64540325911586616</v>
      </c>
      <c r="FF249" s="5">
        <f t="shared" si="721"/>
        <v>64.540325911586621</v>
      </c>
      <c r="FI249" s="59">
        <f t="shared" si="676"/>
        <v>-50</v>
      </c>
      <c r="FJ249">
        <f t="shared" si="677"/>
        <v>-50</v>
      </c>
      <c r="FL249">
        <f t="shared" si="760"/>
        <v>0.78485667481394339</v>
      </c>
    </row>
    <row r="250" spans="5:168">
      <c r="E250" s="147">
        <v>34</v>
      </c>
      <c r="F250" s="188">
        <f t="shared" si="761"/>
        <v>0.40800000000000003</v>
      </c>
      <c r="G250" s="188"/>
      <c r="H250" s="188">
        <f t="shared" si="726"/>
        <v>2.04</v>
      </c>
      <c r="I250" s="465">
        <f t="shared" si="727"/>
        <v>59.975359730984771</v>
      </c>
      <c r="J250" s="149">
        <f t="shared" si="728"/>
        <v>5.4147841614091377</v>
      </c>
      <c r="K250" s="149">
        <f t="shared" si="729"/>
        <v>65.390143892393908</v>
      </c>
      <c r="L250" s="379"/>
      <c r="M250" s="188">
        <f t="shared" si="730"/>
        <v>8.2815479470446457E-2</v>
      </c>
      <c r="N250" s="149">
        <f t="shared" si="731"/>
        <v>12.789737044275077</v>
      </c>
      <c r="O250" s="149">
        <f t="shared" si="599"/>
        <v>2.04</v>
      </c>
      <c r="P250" s="188">
        <f t="shared" si="732"/>
        <v>2.5579474088550151</v>
      </c>
      <c r="Q250" s="188">
        <f t="shared" si="733"/>
        <v>5</v>
      </c>
      <c r="R250" s="188"/>
      <c r="S250" s="149">
        <f t="shared" si="734"/>
        <v>307.59860748173816</v>
      </c>
      <c r="T250" s="149">
        <f t="shared" si="735"/>
        <v>5</v>
      </c>
      <c r="U250" s="188">
        <f t="shared" si="736"/>
        <v>0.88967921038273434</v>
      </c>
      <c r="V250" s="188">
        <f t="shared" si="737"/>
        <v>0.17800894521483374</v>
      </c>
      <c r="W250" s="188">
        <f t="shared" si="738"/>
        <v>1.9716668672929085</v>
      </c>
      <c r="X250" s="172">
        <f t="shared" si="739"/>
        <v>350</v>
      </c>
      <c r="Y250" s="379">
        <f t="shared" si="680"/>
        <v>350</v>
      </c>
      <c r="AA250" s="188">
        <f t="shared" si="740"/>
        <v>1.1824762535371234</v>
      </c>
      <c r="AB250" s="150">
        <f t="shared" si="741"/>
        <v>2.6205504447572969</v>
      </c>
      <c r="AC250" s="150">
        <f t="shared" si="742"/>
        <v>0.54227926762128886</v>
      </c>
      <c r="AD250" s="150"/>
      <c r="AE250" s="150">
        <f t="shared" si="743"/>
        <v>2.2161548165711435</v>
      </c>
      <c r="AF250" s="314">
        <f t="shared" si="744"/>
        <v>368.20532297582139</v>
      </c>
      <c r="AG250" s="456">
        <f t="shared" si="745"/>
        <v>0.3878270928999501</v>
      </c>
      <c r="AI250" s="150">
        <f t="shared" si="746"/>
        <v>1.0256779263015983</v>
      </c>
      <c r="AJ250" s="150">
        <f t="shared" si="747"/>
        <v>1.0256779263015983</v>
      </c>
      <c r="AK250" s="150">
        <f t="shared" si="748"/>
        <v>1.219020686149332</v>
      </c>
      <c r="AM250" s="314">
        <f t="shared" si="749"/>
        <v>408.00000000000006</v>
      </c>
      <c r="AN250" s="144">
        <f t="shared" si="750"/>
        <v>350</v>
      </c>
      <c r="AP250">
        <f t="shared" si="751"/>
        <v>408.00000000000006</v>
      </c>
      <c r="AQ250">
        <f t="shared" si="752"/>
        <v>350</v>
      </c>
      <c r="AS250" s="5">
        <f t="shared" si="600"/>
        <v>2.8571428571428572</v>
      </c>
      <c r="AT250" s="5">
        <f t="shared" si="753"/>
        <v>0.20521986313756932</v>
      </c>
      <c r="AU250" s="5">
        <f t="shared" si="722"/>
        <v>2.6519229940052877</v>
      </c>
      <c r="AV250" s="5"/>
      <c r="AW250" s="150">
        <f t="shared" si="723"/>
        <v>7.1826952098149266E-2</v>
      </c>
      <c r="AX250" s="150">
        <f t="shared" si="631"/>
        <v>2.2092319378549288</v>
      </c>
      <c r="AY250" s="150">
        <f t="shared" si="632"/>
        <v>0.47600330351050213</v>
      </c>
      <c r="AZ250" s="150">
        <f t="shared" si="633"/>
        <v>4.6412113562278803</v>
      </c>
      <c r="BA250" s="144">
        <f t="shared" si="724"/>
        <v>1.6745940832025656</v>
      </c>
      <c r="BB250" s="5">
        <f t="shared" si="725"/>
        <v>3.7584343887477382E-2</v>
      </c>
      <c r="BD250" s="150">
        <f t="shared" si="681"/>
        <v>0.15870627585534919</v>
      </c>
      <c r="BE250" s="150">
        <f t="shared" si="682"/>
        <v>0.57051209818160287</v>
      </c>
      <c r="BG250" s="456">
        <f t="shared" si="683"/>
        <v>5.0375363991748382E-4</v>
      </c>
      <c r="BH250" s="456">
        <f t="shared" si="754"/>
        <v>0.4401418034219961</v>
      </c>
      <c r="BI250" s="456">
        <f t="shared" si="755"/>
        <v>0.52478439764611673</v>
      </c>
      <c r="BJ250" s="456">
        <f t="shared" si="684"/>
        <v>0.14965548213937932</v>
      </c>
      <c r="BK250">
        <f t="shared" si="685"/>
        <v>2.6988911878943145E-2</v>
      </c>
      <c r="BL250" s="144">
        <f t="shared" si="686"/>
        <v>551.77330952505986</v>
      </c>
      <c r="BM250" s="456">
        <f t="shared" si="756"/>
        <v>0.5905077316556776</v>
      </c>
      <c r="BN250" s="144">
        <f t="shared" si="687"/>
        <v>590.50773165567762</v>
      </c>
      <c r="BO250" s="456">
        <f t="shared" si="637"/>
        <v>0.28560000000000002</v>
      </c>
      <c r="BR250" s="144">
        <f t="shared" si="688"/>
        <v>285.60000000000002</v>
      </c>
      <c r="BS250" s="456">
        <f t="shared" si="689"/>
        <v>7.5563045987622572E-4</v>
      </c>
      <c r="BT250" s="456">
        <f t="shared" si="690"/>
        <v>9.7645216251472464E-3</v>
      </c>
      <c r="BU250" s="456">
        <f t="shared" si="691"/>
        <v>0.12208649847173013</v>
      </c>
      <c r="BV250" s="456"/>
      <c r="BW250" s="456">
        <f t="shared" si="692"/>
        <v>3.6820532297582141E-4</v>
      </c>
      <c r="BX250" s="144">
        <f t="shared" si="693"/>
        <v>132.97485587972943</v>
      </c>
      <c r="BY250" s="150">
        <f t="shared" si="694"/>
        <v>1.560649204606082</v>
      </c>
      <c r="BZ250" s="5">
        <f t="shared" si="695"/>
        <v>2.04</v>
      </c>
      <c r="CA250" s="150">
        <f t="shared" si="696"/>
        <v>0.56656449547774812</v>
      </c>
      <c r="CB250" s="5">
        <f t="shared" si="697"/>
        <v>56.656449547774812</v>
      </c>
      <c r="CE250" s="59">
        <f t="shared" si="757"/>
        <v>-50</v>
      </c>
      <c r="CF250">
        <f t="shared" si="758"/>
        <v>-50</v>
      </c>
      <c r="CG250" s="150">
        <f t="shared" si="759"/>
        <v>0.82791303891169643</v>
      </c>
      <c r="CI250" s="147">
        <v>34</v>
      </c>
      <c r="CJ250" s="188">
        <f t="shared" si="698"/>
        <v>0.40800000000000003</v>
      </c>
      <c r="CK250" s="188"/>
      <c r="CL250" s="188">
        <f t="shared" si="641"/>
        <v>2.04</v>
      </c>
      <c r="CM250" s="465">
        <f t="shared" si="642"/>
        <v>60</v>
      </c>
      <c r="CN250" s="379">
        <f t="shared" si="643"/>
        <v>5.4</v>
      </c>
      <c r="CO250" s="379">
        <f t="shared" si="644"/>
        <v>65.400000000000006</v>
      </c>
      <c r="CP250" s="379"/>
      <c r="CQ250" s="188">
        <f t="shared" si="645"/>
        <v>8.2568807339449546E-2</v>
      </c>
      <c r="CR250" s="149">
        <f t="shared" si="646"/>
        <v>12.756880733944957</v>
      </c>
      <c r="CS250" s="149">
        <f t="shared" si="647"/>
        <v>2.04</v>
      </c>
      <c r="CT250" s="188">
        <f t="shared" si="648"/>
        <v>2.5513761467889915</v>
      </c>
      <c r="CU250" s="188">
        <f t="shared" si="649"/>
        <v>5</v>
      </c>
      <c r="CV250" s="188"/>
      <c r="CW250" s="149">
        <f t="shared" si="650"/>
        <v>307.7249493028765</v>
      </c>
      <c r="CX250" s="149">
        <f t="shared" si="651"/>
        <v>5</v>
      </c>
      <c r="CY250" s="188">
        <f t="shared" si="652"/>
        <v>0.82355555555555549</v>
      </c>
      <c r="CZ250" s="188">
        <f t="shared" si="653"/>
        <v>0.16471111111111111</v>
      </c>
      <c r="DA250" s="188">
        <f t="shared" si="654"/>
        <v>1.8301234567901232</v>
      </c>
      <c r="DB250" s="172">
        <f t="shared" si="655"/>
        <v>350</v>
      </c>
      <c r="DC250" s="379">
        <f t="shared" si="656"/>
        <v>350</v>
      </c>
      <c r="DE250" s="188">
        <f t="shared" si="657"/>
        <v>1.179554390563565</v>
      </c>
      <c r="DF250" s="150">
        <f t="shared" si="658"/>
        <v>2.6212319790301444</v>
      </c>
      <c r="DG250" s="150">
        <f t="shared" si="659"/>
        <v>0.54107999567136011</v>
      </c>
      <c r="DH250" s="150"/>
      <c r="DI250" s="150">
        <f t="shared" si="660"/>
        <v>2.2222222222222219</v>
      </c>
      <c r="DJ250" s="314">
        <f t="shared" si="661"/>
        <v>367.20000000000005</v>
      </c>
      <c r="DK250" s="456">
        <f t="shared" si="662"/>
        <v>0.38888888888888884</v>
      </c>
      <c r="DM250" s="150">
        <f t="shared" si="663"/>
        <v>1.024276748317005</v>
      </c>
      <c r="DN250" s="150">
        <f t="shared" si="664"/>
        <v>1.024276748317005</v>
      </c>
      <c r="DO250" s="150">
        <f t="shared" si="665"/>
        <v>1.2179827765311149</v>
      </c>
      <c r="DQ250" s="314">
        <f t="shared" si="666"/>
        <v>408.00000000000006</v>
      </c>
      <c r="DR250" s="144">
        <f t="shared" si="667"/>
        <v>350</v>
      </c>
      <c r="DT250">
        <f t="shared" si="668"/>
        <v>408.00000000000006</v>
      </c>
      <c r="DU250">
        <f t="shared" si="669"/>
        <v>350</v>
      </c>
      <c r="DW250" s="5">
        <f t="shared" si="670"/>
        <v>2.8571428571428572</v>
      </c>
      <c r="DX250" s="5">
        <f t="shared" si="671"/>
        <v>0.20485534966340102</v>
      </c>
      <c r="DY250" s="5">
        <f t="shared" si="672"/>
        <v>2.6522875074794561</v>
      </c>
      <c r="DZ250" s="5"/>
      <c r="EA250" s="150">
        <f t="shared" si="673"/>
        <v>7.169937238219036E-2</v>
      </c>
      <c r="EB250" s="150">
        <f t="shared" si="699"/>
        <v>2.2032000000000003</v>
      </c>
      <c r="EC250" s="150">
        <f t="shared" si="700"/>
        <v>0.47541837415850247</v>
      </c>
      <c r="ED250" s="150">
        <f t="shared" si="701"/>
        <v>4.6342340131462034</v>
      </c>
      <c r="EE250" s="144">
        <f t="shared" si="674"/>
        <v>1.6716196532533525</v>
      </c>
      <c r="EF250" s="5">
        <f t="shared" si="675"/>
        <v>3.7574073022625623E-2</v>
      </c>
      <c r="EH250" s="150">
        <f t="shared" si="702"/>
        <v>0.15834864950103075</v>
      </c>
      <c r="EI250" s="150">
        <f t="shared" si="703"/>
        <v>0.56977187620615799</v>
      </c>
      <c r="EK250" s="456">
        <f t="shared" si="704"/>
        <v>5.0148589597600571E-4</v>
      </c>
      <c r="EL250" s="456">
        <f t="shared" si="705"/>
        <v>0.46891389537952494</v>
      </c>
      <c r="EM250" s="456">
        <f t="shared" si="706"/>
        <v>4.3749999999999997E-2</v>
      </c>
      <c r="EN250" s="456">
        <f t="shared" si="707"/>
        <v>0.14970060000000002</v>
      </c>
      <c r="EO250">
        <f t="shared" si="708"/>
        <v>2.7E-2</v>
      </c>
      <c r="EP250" s="144">
        <f t="shared" si="709"/>
        <v>70.75</v>
      </c>
      <c r="EQ250" s="144"/>
      <c r="ER250" s="144">
        <f t="shared" si="710"/>
        <v>689.86598127550087</v>
      </c>
      <c r="ES250" s="456">
        <f t="shared" si="711"/>
        <v>0.28560000000000002</v>
      </c>
      <c r="EV250" s="144">
        <f t="shared" si="712"/>
        <v>285.60000000000002</v>
      </c>
      <c r="EW250" s="456">
        <f t="shared" si="713"/>
        <v>7.5222884396400856E-4</v>
      </c>
      <c r="EX250" s="456">
        <f t="shared" si="714"/>
        <v>9.7391997274645613E-3</v>
      </c>
      <c r="EY250" s="456">
        <f t="shared" si="715"/>
        <v>0.1216699698503914</v>
      </c>
      <c r="EZ250" s="456"/>
      <c r="FA250" s="456">
        <f t="shared" si="716"/>
        <v>3.6720000000000004E-4</v>
      </c>
      <c r="FB250" s="144">
        <f t="shared" si="717"/>
        <v>132.52859842181999</v>
      </c>
      <c r="FC250" s="150">
        <f t="shared" si="718"/>
        <v>1.1079945796973207</v>
      </c>
      <c r="FD250" s="5">
        <f t="shared" si="719"/>
        <v>2.04</v>
      </c>
      <c r="FE250" s="150">
        <f t="shared" si="720"/>
        <v>0.64803161134926279</v>
      </c>
      <c r="FF250" s="5">
        <f t="shared" si="721"/>
        <v>64.803161134926285</v>
      </c>
      <c r="FI250" s="59">
        <f t="shared" si="676"/>
        <v>-50</v>
      </c>
      <c r="FJ250">
        <f t="shared" si="677"/>
        <v>-50</v>
      </c>
      <c r="FL250">
        <f t="shared" si="760"/>
        <v>0.79665969313544838</v>
      </c>
    </row>
    <row r="251" spans="5:168">
      <c r="E251" s="147">
        <v>35</v>
      </c>
      <c r="F251" s="188">
        <f t="shared" si="761"/>
        <v>0.42</v>
      </c>
      <c r="G251" s="188"/>
      <c r="H251" s="188">
        <f t="shared" si="726"/>
        <v>2.1</v>
      </c>
      <c r="I251" s="465">
        <f t="shared" si="727"/>
        <v>59.975000000000001</v>
      </c>
      <c r="J251" s="149">
        <f t="shared" si="728"/>
        <v>5.415</v>
      </c>
      <c r="K251" s="149">
        <f t="shared" si="729"/>
        <v>65.39</v>
      </c>
      <c r="L251" s="379"/>
      <c r="M251" s="188">
        <f t="shared" si="730"/>
        <v>8.2819081232265321E-2</v>
      </c>
      <c r="N251" s="149">
        <f t="shared" si="731"/>
        <v>12.790216572030666</v>
      </c>
      <c r="O251" s="149">
        <f t="shared" si="599"/>
        <v>2.1</v>
      </c>
      <c r="P251" s="188">
        <f t="shared" si="732"/>
        <v>2.5580433144061332</v>
      </c>
      <c r="Q251" s="188">
        <f t="shared" si="733"/>
        <v>5</v>
      </c>
      <c r="R251" s="188"/>
      <c r="S251" s="149">
        <f t="shared" si="734"/>
        <v>297.0996863595235</v>
      </c>
      <c r="T251" s="149">
        <f t="shared" si="735"/>
        <v>5</v>
      </c>
      <c r="U251" s="188">
        <f t="shared" si="736"/>
        <v>0.91584984250279655</v>
      </c>
      <c r="V251" s="188">
        <f t="shared" si="737"/>
        <v>0.18324632113436529</v>
      </c>
      <c r="W251" s="188">
        <f t="shared" si="738"/>
        <v>2.0295841385103524</v>
      </c>
      <c r="X251" s="172">
        <f t="shared" si="739"/>
        <v>350</v>
      </c>
      <c r="Y251" s="379">
        <f t="shared" si="680"/>
        <v>350</v>
      </c>
      <c r="AA251" s="188">
        <f t="shared" si="740"/>
        <v>1.1825188976033907</v>
      </c>
      <c r="AB251" s="150">
        <f t="shared" si="741"/>
        <v>2.6205404933039134</v>
      </c>
      <c r="AC251" s="150">
        <f t="shared" si="742"/>
        <v>0.54229676467168808</v>
      </c>
      <c r="AD251" s="150"/>
      <c r="AE251" s="150">
        <f t="shared" si="743"/>
        <v>2.21606648199446</v>
      </c>
      <c r="AF251" s="314">
        <f t="shared" si="744"/>
        <v>379.04999999999995</v>
      </c>
      <c r="AG251" s="456">
        <f t="shared" si="745"/>
        <v>0.38781163434903049</v>
      </c>
      <c r="AI251" s="150">
        <f t="shared" si="746"/>
        <v>1.0406728592598156</v>
      </c>
      <c r="AJ251" s="150">
        <f t="shared" si="747"/>
        <v>1.0406728592598156</v>
      </c>
      <c r="AK251" s="150">
        <f t="shared" si="748"/>
        <v>1.2301280438961597</v>
      </c>
      <c r="AM251" s="314">
        <f t="shared" si="749"/>
        <v>420</v>
      </c>
      <c r="AN251" s="144">
        <f t="shared" si="750"/>
        <v>350</v>
      </c>
      <c r="AP251">
        <f t="shared" si="751"/>
        <v>420</v>
      </c>
      <c r="AQ251">
        <f t="shared" si="752"/>
        <v>350</v>
      </c>
      <c r="AS251" s="5">
        <f t="shared" si="600"/>
        <v>2.8571428571428572</v>
      </c>
      <c r="AT251" s="5">
        <f t="shared" si="753"/>
        <v>0.20822133073977134</v>
      </c>
      <c r="AU251" s="5">
        <f t="shared" si="722"/>
        <v>2.6489215264030861</v>
      </c>
      <c r="AV251" s="5"/>
      <c r="AW251" s="150">
        <f t="shared" si="723"/>
        <v>7.2877465758919971E-2</v>
      </c>
      <c r="AX251" s="150">
        <f t="shared" si="631"/>
        <v>2.2742999999999998</v>
      </c>
      <c r="AY251" s="150">
        <f t="shared" si="632"/>
        <v>0.4824156292964355</v>
      </c>
      <c r="AZ251" s="150">
        <f t="shared" si="633"/>
        <v>4.7143994967925975</v>
      </c>
      <c r="BA251" s="144">
        <f t="shared" si="724"/>
        <v>1.749059178214079</v>
      </c>
      <c r="BB251" s="5">
        <f t="shared" si="725"/>
        <v>3.8646208180120045E-2</v>
      </c>
      <c r="BD251" s="150">
        <f t="shared" si="681"/>
        <v>0.1621997692321728</v>
      </c>
      <c r="BE251" s="150">
        <f t="shared" si="682"/>
        <v>0.57852505119573683</v>
      </c>
      <c r="BG251" s="456">
        <f t="shared" si="683"/>
        <v>5.2617530277940228E-4</v>
      </c>
      <c r="BH251" s="456">
        <f t="shared" si="754"/>
        <v>0.44657548862718316</v>
      </c>
      <c r="BI251" s="456">
        <f t="shared" si="755"/>
        <v>0.52478124999999998</v>
      </c>
      <c r="BJ251" s="456">
        <f t="shared" si="684"/>
        <v>0.14965482350000001</v>
      </c>
      <c r="BK251">
        <f t="shared" si="685"/>
        <v>2.6988749999999999E-2</v>
      </c>
      <c r="BL251" s="144">
        <f t="shared" si="686"/>
        <v>551.77</v>
      </c>
      <c r="BM251" s="456">
        <f t="shared" si="756"/>
        <v>0.59697318790309306</v>
      </c>
      <c r="BN251" s="144">
        <f t="shared" si="687"/>
        <v>596.97318790309305</v>
      </c>
      <c r="BO251" s="456">
        <f t="shared" si="637"/>
        <v>0.29399999999999998</v>
      </c>
      <c r="BR251" s="144">
        <f t="shared" si="688"/>
        <v>294</v>
      </c>
      <c r="BS251" s="456">
        <f t="shared" si="689"/>
        <v>7.8926295416910331E-4</v>
      </c>
      <c r="BT251" s="456">
        <f t="shared" si="690"/>
        <v>1.0040737045830897E-2</v>
      </c>
      <c r="BU251" s="456">
        <f t="shared" si="691"/>
        <v>0.12659766222421362</v>
      </c>
      <c r="BV251" s="456"/>
      <c r="BW251" s="456">
        <f t="shared" si="692"/>
        <v>3.7905000000000002E-4</v>
      </c>
      <c r="BX251" s="144">
        <f t="shared" si="693"/>
        <v>137.80671222421361</v>
      </c>
      <c r="BY251" s="150">
        <f t="shared" si="694"/>
        <v>1.5803331996541758</v>
      </c>
      <c r="BZ251" s="5">
        <f t="shared" si="695"/>
        <v>2.1</v>
      </c>
      <c r="CA251" s="150">
        <f t="shared" si="696"/>
        <v>0.57060050981180932</v>
      </c>
      <c r="CB251" s="5">
        <f t="shared" si="697"/>
        <v>57.060050981180929</v>
      </c>
      <c r="CE251" s="59">
        <f t="shared" si="757"/>
        <v>-50</v>
      </c>
      <c r="CF251">
        <f t="shared" si="758"/>
        <v>-50</v>
      </c>
      <c r="CG251" s="150">
        <f t="shared" si="759"/>
        <v>0.84000000000000008</v>
      </c>
      <c r="CI251" s="147">
        <v>35</v>
      </c>
      <c r="CJ251" s="188">
        <f t="shared" si="698"/>
        <v>0.42</v>
      </c>
      <c r="CK251" s="188"/>
      <c r="CL251" s="188">
        <f t="shared" si="641"/>
        <v>2.1</v>
      </c>
      <c r="CM251" s="465">
        <f t="shared" si="642"/>
        <v>60</v>
      </c>
      <c r="CN251" s="379">
        <f t="shared" si="643"/>
        <v>5.4</v>
      </c>
      <c r="CO251" s="379">
        <f t="shared" si="644"/>
        <v>65.400000000000006</v>
      </c>
      <c r="CP251" s="379"/>
      <c r="CQ251" s="188">
        <f t="shared" si="645"/>
        <v>8.2568807339449546E-2</v>
      </c>
      <c r="CR251" s="149">
        <f t="shared" si="646"/>
        <v>12.756880733944957</v>
      </c>
      <c r="CS251" s="149">
        <f t="shared" si="647"/>
        <v>2.1</v>
      </c>
      <c r="CT251" s="188">
        <f t="shared" si="648"/>
        <v>2.5513761467889915</v>
      </c>
      <c r="CU251" s="188">
        <f t="shared" si="649"/>
        <v>5</v>
      </c>
      <c r="CV251" s="188"/>
      <c r="CW251" s="149">
        <f t="shared" si="650"/>
        <v>297.22349593760146</v>
      </c>
      <c r="CX251" s="149">
        <f t="shared" si="651"/>
        <v>5</v>
      </c>
      <c r="CY251" s="188">
        <f t="shared" si="652"/>
        <v>0.84777777777777774</v>
      </c>
      <c r="CZ251" s="188">
        <f t="shared" si="653"/>
        <v>0.16955555555555554</v>
      </c>
      <c r="DA251" s="188">
        <f t="shared" si="654"/>
        <v>1.8839506172839504</v>
      </c>
      <c r="DB251" s="172">
        <f t="shared" si="655"/>
        <v>350</v>
      </c>
      <c r="DC251" s="379">
        <f t="shared" si="656"/>
        <v>350</v>
      </c>
      <c r="DE251" s="188">
        <f t="shared" si="657"/>
        <v>1.179554390563565</v>
      </c>
      <c r="DF251" s="150">
        <f t="shared" si="658"/>
        <v>2.6212319790301444</v>
      </c>
      <c r="DG251" s="150">
        <f t="shared" si="659"/>
        <v>0.54107999567136011</v>
      </c>
      <c r="DH251" s="150"/>
      <c r="DI251" s="150">
        <f t="shared" si="660"/>
        <v>2.2222222222222219</v>
      </c>
      <c r="DJ251" s="314">
        <f t="shared" si="661"/>
        <v>378</v>
      </c>
      <c r="DK251" s="456">
        <f t="shared" si="662"/>
        <v>0.38888888888888884</v>
      </c>
      <c r="DM251" s="150">
        <f t="shared" si="663"/>
        <v>1.0392304845413265</v>
      </c>
      <c r="DN251" s="150">
        <f t="shared" si="664"/>
        <v>1.0392304845413265</v>
      </c>
      <c r="DO251" s="150">
        <f t="shared" si="665"/>
        <v>1.2290596181787603</v>
      </c>
      <c r="DQ251" s="314">
        <f t="shared" si="666"/>
        <v>420</v>
      </c>
      <c r="DR251" s="144">
        <f t="shared" si="667"/>
        <v>350</v>
      </c>
      <c r="DT251">
        <f t="shared" si="668"/>
        <v>420</v>
      </c>
      <c r="DU251">
        <f t="shared" si="669"/>
        <v>350</v>
      </c>
      <c r="DW251" s="5">
        <f t="shared" si="670"/>
        <v>2.8571428571428572</v>
      </c>
      <c r="DX251" s="5">
        <f t="shared" si="671"/>
        <v>0.2078460969082653</v>
      </c>
      <c r="DY251" s="5">
        <f t="shared" si="672"/>
        <v>2.6492967602345918</v>
      </c>
      <c r="DZ251" s="5"/>
      <c r="EA251" s="150">
        <f t="shared" si="673"/>
        <v>7.274613391789285E-2</v>
      </c>
      <c r="EB251" s="150">
        <f t="shared" si="699"/>
        <v>2.2680000000000011</v>
      </c>
      <c r="EC251" s="150">
        <f t="shared" si="700"/>
        <v>0.48181524227066325</v>
      </c>
      <c r="ED251" s="150">
        <f t="shared" si="701"/>
        <v>4.7071985296927066</v>
      </c>
      <c r="EE251" s="144">
        <f t="shared" si="674"/>
        <v>1.7459072140294285</v>
      </c>
      <c r="EF251" s="5">
        <f t="shared" si="675"/>
        <v>3.8635577753421128E-2</v>
      </c>
      <c r="EH251" s="150">
        <f t="shared" si="702"/>
        <v>0.16182894738099679</v>
      </c>
      <c r="EI251" s="150">
        <f t="shared" si="703"/>
        <v>0.57776413162254947</v>
      </c>
      <c r="EK251" s="456">
        <f t="shared" si="704"/>
        <v>5.2377216420882854E-4</v>
      </c>
      <c r="EL251" s="456">
        <f t="shared" si="705"/>
        <v>0.47575971582301929</v>
      </c>
      <c r="EM251" s="456">
        <f t="shared" si="706"/>
        <v>4.3749999999999997E-2</v>
      </c>
      <c r="EN251" s="456">
        <f t="shared" si="707"/>
        <v>0.14970060000000002</v>
      </c>
      <c r="EO251">
        <f t="shared" si="708"/>
        <v>2.7E-2</v>
      </c>
      <c r="EP251" s="144">
        <f t="shared" si="709"/>
        <v>70.75</v>
      </c>
      <c r="EQ251" s="144"/>
      <c r="ER251" s="144">
        <f t="shared" si="710"/>
        <v>696.73408798722824</v>
      </c>
      <c r="ES251" s="456">
        <f t="shared" si="711"/>
        <v>0.29399999999999998</v>
      </c>
      <c r="EV251" s="144">
        <f t="shared" si="712"/>
        <v>294</v>
      </c>
      <c r="EW251" s="456">
        <f t="shared" si="713"/>
        <v>7.8565824631324276E-4</v>
      </c>
      <c r="EX251" s="456">
        <f t="shared" si="714"/>
        <v>1.001434175368676E-2</v>
      </c>
      <c r="EY251" s="456">
        <f t="shared" si="715"/>
        <v>0.12615945655913549</v>
      </c>
      <c r="EZ251" s="456"/>
      <c r="FA251" s="456">
        <f t="shared" si="716"/>
        <v>3.7800000000000013E-4</v>
      </c>
      <c r="FB251" s="144">
        <f t="shared" si="717"/>
        <v>137.33745655913549</v>
      </c>
      <c r="FC251" s="150">
        <f t="shared" si="718"/>
        <v>1.1280715445463636</v>
      </c>
      <c r="FD251" s="5">
        <f t="shared" si="719"/>
        <v>2.1</v>
      </c>
      <c r="FE251" s="150">
        <f t="shared" si="720"/>
        <v>0.65054320234872931</v>
      </c>
      <c r="FF251" s="5">
        <f t="shared" si="721"/>
        <v>65.054320234872932</v>
      </c>
      <c r="FI251" s="59">
        <f t="shared" si="676"/>
        <v>-50</v>
      </c>
      <c r="FJ251">
        <f t="shared" si="677"/>
        <v>-50</v>
      </c>
      <c r="FL251">
        <f t="shared" si="760"/>
        <v>0.80829037686547611</v>
      </c>
    </row>
    <row r="252" spans="5:168">
      <c r="E252" s="147">
        <v>36</v>
      </c>
      <c r="F252" s="188">
        <f t="shared" si="761"/>
        <v>0.432</v>
      </c>
      <c r="G252" s="188"/>
      <c r="H252" s="188">
        <f t="shared" si="726"/>
        <v>2.16</v>
      </c>
      <c r="I252" s="465">
        <f t="shared" si="727"/>
        <v>59.974645372358147</v>
      </c>
      <c r="J252" s="149">
        <f t="shared" si="728"/>
        <v>5.4152127765851139</v>
      </c>
      <c r="K252" s="149">
        <f t="shared" si="729"/>
        <v>65.389858148943262</v>
      </c>
      <c r="L252" s="379"/>
      <c r="M252" s="188">
        <f t="shared" si="730"/>
        <v>8.2822631912099612E-2</v>
      </c>
      <c r="N252" s="149">
        <f t="shared" si="731"/>
        <v>12.790689292663833</v>
      </c>
      <c r="O252" s="149">
        <f t="shared" si="599"/>
        <v>2.16</v>
      </c>
      <c r="P252" s="188">
        <f t="shared" si="732"/>
        <v>2.5581378585327665</v>
      </c>
      <c r="Q252" s="188">
        <f t="shared" si="733"/>
        <v>5</v>
      </c>
      <c r="R252" s="188"/>
      <c r="S252" s="149">
        <f t="shared" si="734"/>
        <v>287.18426721525373</v>
      </c>
      <c r="T252" s="149">
        <f t="shared" si="735"/>
        <v>5</v>
      </c>
      <c r="U252" s="188">
        <f t="shared" si="736"/>
        <v>0.94202062770174688</v>
      </c>
      <c r="V252" s="188">
        <f t="shared" si="737"/>
        <v>0.18848377447232068</v>
      </c>
      <c r="W252" s="188">
        <f t="shared" si="738"/>
        <v>2.0874983124023303</v>
      </c>
      <c r="X252" s="172">
        <f t="shared" si="739"/>
        <v>350</v>
      </c>
      <c r="Y252" s="379">
        <f t="shared" si="680"/>
        <v>350</v>
      </c>
      <c r="AA252" s="188">
        <f t="shared" si="740"/>
        <v>1.1825609363275753</v>
      </c>
      <c r="AB252" s="150">
        <f t="shared" si="741"/>
        <v>2.6205306829844863</v>
      </c>
      <c r="AC252" s="150">
        <f t="shared" si="742"/>
        <v>0.54231401317542305</v>
      </c>
      <c r="AD252" s="150"/>
      <c r="AE252" s="150">
        <f t="shared" si="743"/>
        <v>2.2159794074734984</v>
      </c>
      <c r="AF252" s="314">
        <f t="shared" si="744"/>
        <v>389.89531991412821</v>
      </c>
      <c r="AG252" s="456">
        <f t="shared" si="745"/>
        <v>0.38779639630786228</v>
      </c>
      <c r="AI252" s="150">
        <f t="shared" si="746"/>
        <v>1.0554556496253551</v>
      </c>
      <c r="AJ252" s="150">
        <f t="shared" si="747"/>
        <v>1.0554556496253551</v>
      </c>
      <c r="AK252" s="150">
        <f t="shared" si="748"/>
        <v>1.2410782589817444</v>
      </c>
      <c r="AM252" s="314">
        <f t="shared" si="749"/>
        <v>432</v>
      </c>
      <c r="AN252" s="144">
        <f t="shared" si="750"/>
        <v>350</v>
      </c>
      <c r="AP252">
        <f t="shared" si="751"/>
        <v>432</v>
      </c>
      <c r="AQ252">
        <f t="shared" si="752"/>
        <v>350</v>
      </c>
      <c r="AS252" s="5">
        <f t="shared" si="600"/>
        <v>2.8571428571428572</v>
      </c>
      <c r="AT252" s="5">
        <f t="shared" si="753"/>
        <v>0.21118036991914715</v>
      </c>
      <c r="AU252" s="5">
        <f t="shared" si="722"/>
        <v>2.6459624872237102</v>
      </c>
      <c r="AV252" s="5"/>
      <c r="AW252" s="150">
        <f t="shared" si="723"/>
        <v>7.3913129471701505E-2</v>
      </c>
      <c r="AX252" s="150">
        <f t="shared" si="631"/>
        <v>2.3393719194847691</v>
      </c>
      <c r="AY252" s="150">
        <f t="shared" si="632"/>
        <v>0.48872180977147872</v>
      </c>
      <c r="AZ252" s="150">
        <f t="shared" si="633"/>
        <v>4.786714799117795</v>
      </c>
      <c r="BA252" s="144">
        <f t="shared" si="724"/>
        <v>1.8245983961014314</v>
      </c>
      <c r="BB252" s="5">
        <f t="shared" si="725"/>
        <v>3.9706216247155875E-2</v>
      </c>
      <c r="BD252" s="150">
        <f t="shared" si="681"/>
        <v>0.16566858270777612</v>
      </c>
      <c r="BE252" s="150">
        <f t="shared" si="682"/>
        <v>0.58641520854450069</v>
      </c>
      <c r="BG252" s="456">
        <f t="shared" si="683"/>
        <v>5.4892158592806514E-4</v>
      </c>
      <c r="BH252" s="456">
        <f t="shared" si="754"/>
        <v>0.45291812482548666</v>
      </c>
      <c r="BI252" s="456">
        <f t="shared" si="755"/>
        <v>0.52477814700813374</v>
      </c>
      <c r="BJ252" s="456">
        <f t="shared" si="684"/>
        <v>0.14965417420586227</v>
      </c>
      <c r="BK252">
        <f t="shared" si="685"/>
        <v>2.6988590417561166E-2</v>
      </c>
      <c r="BL252" s="144">
        <f t="shared" si="686"/>
        <v>551.76673742569494</v>
      </c>
      <c r="BM252" s="456">
        <f t="shared" si="756"/>
        <v>0.60334812038124608</v>
      </c>
      <c r="BN252" s="144">
        <f t="shared" si="687"/>
        <v>603.34812038124608</v>
      </c>
      <c r="BO252" s="456">
        <f t="shared" si="637"/>
        <v>0.3024</v>
      </c>
      <c r="BR252" s="144">
        <f t="shared" si="688"/>
        <v>302.39999999999998</v>
      </c>
      <c r="BS252" s="456">
        <f t="shared" si="689"/>
        <v>8.2338237889209771E-4</v>
      </c>
      <c r="BT252" s="456">
        <f t="shared" si="690"/>
        <v>1.0316483904368706E-2</v>
      </c>
      <c r="BU252" s="456">
        <f t="shared" si="691"/>
        <v>0.13114148208786117</v>
      </c>
      <c r="BV252" s="456"/>
      <c r="BW252" s="456">
        <f t="shared" si="692"/>
        <v>3.8989531991412819E-4</v>
      </c>
      <c r="BX252" s="144">
        <f t="shared" si="693"/>
        <v>142.6712436910361</v>
      </c>
      <c r="BY252" s="150">
        <f t="shared" si="694"/>
        <v>1.5999592017340081</v>
      </c>
      <c r="BZ252" s="5">
        <f t="shared" si="695"/>
        <v>2.16</v>
      </c>
      <c r="CA252" s="150">
        <f t="shared" si="696"/>
        <v>0.57447431849894992</v>
      </c>
      <c r="CB252" s="5">
        <f t="shared" si="697"/>
        <v>57.44743184989499</v>
      </c>
      <c r="CE252" s="59">
        <f t="shared" si="757"/>
        <v>-50</v>
      </c>
      <c r="CF252">
        <f t="shared" si="758"/>
        <v>-50</v>
      </c>
      <c r="CG252" s="150">
        <f t="shared" si="759"/>
        <v>0.85191548876634471</v>
      </c>
      <c r="CI252" s="147">
        <v>36</v>
      </c>
      <c r="CJ252" s="188">
        <f t="shared" si="698"/>
        <v>0.432</v>
      </c>
      <c r="CK252" s="188"/>
      <c r="CL252" s="188">
        <f t="shared" si="641"/>
        <v>2.16</v>
      </c>
      <c r="CM252" s="465">
        <f t="shared" si="642"/>
        <v>60</v>
      </c>
      <c r="CN252" s="379">
        <f t="shared" si="643"/>
        <v>5.4</v>
      </c>
      <c r="CO252" s="379">
        <f t="shared" si="644"/>
        <v>65.400000000000006</v>
      </c>
      <c r="CP252" s="379"/>
      <c r="CQ252" s="188">
        <f t="shared" si="645"/>
        <v>8.2568807339449546E-2</v>
      </c>
      <c r="CR252" s="149">
        <f t="shared" si="646"/>
        <v>12.756880733944957</v>
      </c>
      <c r="CS252" s="149">
        <f t="shared" si="647"/>
        <v>2.16</v>
      </c>
      <c r="CT252" s="188">
        <f t="shared" si="648"/>
        <v>2.5513761467889915</v>
      </c>
      <c r="CU252" s="188">
        <f t="shared" si="649"/>
        <v>5</v>
      </c>
      <c r="CV252" s="188"/>
      <c r="CW252" s="149">
        <f t="shared" si="650"/>
        <v>287.30564081607366</v>
      </c>
      <c r="CX252" s="149">
        <f t="shared" si="651"/>
        <v>5</v>
      </c>
      <c r="CY252" s="188">
        <f t="shared" si="652"/>
        <v>0.872</v>
      </c>
      <c r="CZ252" s="188">
        <f t="shared" si="653"/>
        <v>0.1744</v>
      </c>
      <c r="DA252" s="188">
        <f t="shared" si="654"/>
        <v>1.9377777777777774</v>
      </c>
      <c r="DB252" s="172">
        <f t="shared" si="655"/>
        <v>350</v>
      </c>
      <c r="DC252" s="379">
        <f t="shared" si="656"/>
        <v>350</v>
      </c>
      <c r="DE252" s="188">
        <f t="shared" si="657"/>
        <v>1.179554390563565</v>
      </c>
      <c r="DF252" s="150">
        <f t="shared" si="658"/>
        <v>2.6212319790301444</v>
      </c>
      <c r="DG252" s="150">
        <f t="shared" si="659"/>
        <v>0.54107999567136011</v>
      </c>
      <c r="DH252" s="150"/>
      <c r="DI252" s="150">
        <f t="shared" si="660"/>
        <v>2.2222222222222219</v>
      </c>
      <c r="DJ252" s="314">
        <f t="shared" si="661"/>
        <v>388.8</v>
      </c>
      <c r="DK252" s="456">
        <f t="shared" si="662"/>
        <v>0.38888888888888884</v>
      </c>
      <c r="DM252" s="150">
        <f t="shared" si="663"/>
        <v>1.0539720787844158</v>
      </c>
      <c r="DN252" s="150">
        <f t="shared" si="664"/>
        <v>1.0539720787844158</v>
      </c>
      <c r="DO252" s="150">
        <f t="shared" si="665"/>
        <v>1.2399793176180858</v>
      </c>
      <c r="DQ252" s="314">
        <f t="shared" si="666"/>
        <v>432</v>
      </c>
      <c r="DR252" s="144">
        <f t="shared" si="667"/>
        <v>350</v>
      </c>
      <c r="DT252">
        <f t="shared" si="668"/>
        <v>432</v>
      </c>
      <c r="DU252">
        <f t="shared" si="669"/>
        <v>350</v>
      </c>
      <c r="DW252" s="5">
        <f t="shared" si="670"/>
        <v>2.8571428571428572</v>
      </c>
      <c r="DX252" s="5">
        <f t="shared" si="671"/>
        <v>0.21079441575688315</v>
      </c>
      <c r="DY252" s="5">
        <f t="shared" si="672"/>
        <v>2.6463484413859741</v>
      </c>
      <c r="DZ252" s="5"/>
      <c r="EA252" s="150">
        <f t="shared" si="673"/>
        <v>7.3778045514909102E-2</v>
      </c>
      <c r="EB252" s="150">
        <f t="shared" si="699"/>
        <v>2.3327999999999998</v>
      </c>
      <c r="EC252" s="150">
        <f t="shared" si="700"/>
        <v>0.48810603939220792</v>
      </c>
      <c r="ED252" s="150">
        <f t="shared" si="701"/>
        <v>4.7792893587319956</v>
      </c>
      <c r="EE252" s="144">
        <f t="shared" si="674"/>
        <v>1.8212637521394703</v>
      </c>
      <c r="EF252" s="5">
        <f t="shared" si="675"/>
        <v>3.9695226620789614E-2</v>
      </c>
      <c r="EH252" s="150">
        <f t="shared" si="702"/>
        <v>0.16528447078322892</v>
      </c>
      <c r="EI252" s="150">
        <f t="shared" si="703"/>
        <v>0.58563363803970669</v>
      </c>
      <c r="EK252" s="456">
        <f t="shared" si="704"/>
        <v>5.4637912564184106E-4</v>
      </c>
      <c r="EL252" s="456">
        <f t="shared" si="705"/>
        <v>0.48250841766750563</v>
      </c>
      <c r="EM252" s="456">
        <f t="shared" si="706"/>
        <v>4.3749999999999997E-2</v>
      </c>
      <c r="EN252" s="456">
        <f t="shared" si="707"/>
        <v>0.14970060000000002</v>
      </c>
      <c r="EO252">
        <f t="shared" si="708"/>
        <v>2.7E-2</v>
      </c>
      <c r="EP252" s="144">
        <f t="shared" si="709"/>
        <v>70.75</v>
      </c>
      <c r="EQ252" s="144"/>
      <c r="ER252" s="144">
        <f t="shared" si="710"/>
        <v>703.50539679314738</v>
      </c>
      <c r="ES252" s="456">
        <f t="shared" si="711"/>
        <v>0.3024</v>
      </c>
      <c r="EV252" s="144">
        <f t="shared" si="712"/>
        <v>302.39999999999998</v>
      </c>
      <c r="EW252" s="456">
        <f t="shared" si="713"/>
        <v>8.1956868846276153E-4</v>
      </c>
      <c r="EX252" s="456">
        <f t="shared" si="714"/>
        <v>1.0289002740108666E-2</v>
      </c>
      <c r="EY252" s="456">
        <f t="shared" si="715"/>
        <v>0.13068112967705256</v>
      </c>
      <c r="EZ252" s="456"/>
      <c r="FA252" s="456">
        <f t="shared" si="716"/>
        <v>3.8879999999999991E-4</v>
      </c>
      <c r="FB252" s="144">
        <f t="shared" si="717"/>
        <v>142.17850110562401</v>
      </c>
      <c r="FC252" s="150">
        <f t="shared" si="718"/>
        <v>1.1480838978987713</v>
      </c>
      <c r="FD252" s="5">
        <f t="shared" si="719"/>
        <v>2.16</v>
      </c>
      <c r="FE252" s="150">
        <f t="shared" si="720"/>
        <v>0.65294595502006125</v>
      </c>
      <c r="FF252" s="5">
        <f t="shared" si="721"/>
        <v>65.294595502006132</v>
      </c>
      <c r="FI252" s="59">
        <f t="shared" si="676"/>
        <v>-50</v>
      </c>
      <c r="FJ252">
        <f t="shared" si="677"/>
        <v>-50</v>
      </c>
      <c r="FL252">
        <f t="shared" si="760"/>
        <v>0.81975606127676781</v>
      </c>
    </row>
    <row r="253" spans="5:168">
      <c r="E253" s="147">
        <v>37</v>
      </c>
      <c r="F253" s="188">
        <f t="shared" si="761"/>
        <v>0.44400000000000001</v>
      </c>
      <c r="G253" s="188"/>
      <c r="H253" s="188">
        <f t="shared" si="726"/>
        <v>2.2200000000000002</v>
      </c>
      <c r="I253" s="465">
        <f t="shared" si="727"/>
        <v>59.974295636835073</v>
      </c>
      <c r="J253" s="149">
        <f t="shared" si="728"/>
        <v>5.4154226178989546</v>
      </c>
      <c r="K253" s="149">
        <f t="shared" si="729"/>
        <v>65.389718254734021</v>
      </c>
      <c r="L253" s="379"/>
      <c r="M253" s="188">
        <f t="shared" si="730"/>
        <v>8.2826133624200327E-2</v>
      </c>
      <c r="N253" s="149">
        <f t="shared" si="731"/>
        <v>12.791155487917026</v>
      </c>
      <c r="O253" s="149">
        <f t="shared" si="599"/>
        <v>2.2200000000000002</v>
      </c>
      <c r="P253" s="188">
        <f t="shared" si="732"/>
        <v>2.5582310975834051</v>
      </c>
      <c r="Q253" s="188">
        <f t="shared" si="733"/>
        <v>5</v>
      </c>
      <c r="R253" s="188"/>
      <c r="S253" s="149">
        <f t="shared" si="734"/>
        <v>277.80504077720457</v>
      </c>
      <c r="T253" s="149">
        <f t="shared" si="735"/>
        <v>5</v>
      </c>
      <c r="U253" s="188">
        <f t="shared" si="736"/>
        <v>0.96819156384047478</v>
      </c>
      <c r="V253" s="188">
        <f t="shared" si="737"/>
        <v>0.19372130414733807</v>
      </c>
      <c r="W253" s="188">
        <f t="shared" si="738"/>
        <v>2.1454094326239859</v>
      </c>
      <c r="X253" s="172">
        <f t="shared" si="739"/>
        <v>350</v>
      </c>
      <c r="Y253" s="379">
        <f t="shared" si="680"/>
        <v>350</v>
      </c>
      <c r="AA253" s="188">
        <f t="shared" si="740"/>
        <v>1.1826023947644009</v>
      </c>
      <c r="AB253" s="150">
        <f t="shared" si="741"/>
        <v>2.6205210079575734</v>
      </c>
      <c r="AC253" s="150">
        <f t="shared" si="742"/>
        <v>0.54233102341968331</v>
      </c>
      <c r="AD253" s="150"/>
      <c r="AE253" s="150">
        <f t="shared" si="743"/>
        <v>2.2158935408545628</v>
      </c>
      <c r="AF253" s="314">
        <f t="shared" si="744"/>
        <v>400.74127372452261</v>
      </c>
      <c r="AG253" s="456">
        <f t="shared" si="745"/>
        <v>0.38778136964954846</v>
      </c>
      <c r="AI253" s="150">
        <f t="shared" si="746"/>
        <v>1.0700350778289236</v>
      </c>
      <c r="AJ253" s="150">
        <f t="shared" si="747"/>
        <v>1.0700350778289236</v>
      </c>
      <c r="AK253" s="150">
        <f t="shared" si="748"/>
        <v>1.2518778354288322</v>
      </c>
      <c r="AM253" s="314">
        <f t="shared" si="749"/>
        <v>444</v>
      </c>
      <c r="AN253" s="144">
        <f t="shared" si="750"/>
        <v>350</v>
      </c>
      <c r="AP253">
        <f t="shared" si="751"/>
        <v>444</v>
      </c>
      <c r="AQ253">
        <f t="shared" si="752"/>
        <v>350</v>
      </c>
      <c r="AS253" s="5">
        <f t="shared" si="600"/>
        <v>2.8571428571428572</v>
      </c>
      <c r="AT253" s="5">
        <f t="shared" si="753"/>
        <v>0.21409873676049881</v>
      </c>
      <c r="AU253" s="5">
        <f t="shared" si="722"/>
        <v>2.6430441203823585</v>
      </c>
      <c r="AV253" s="5"/>
      <c r="AW253" s="150">
        <f t="shared" si="723"/>
        <v>7.4934557866174589E-2</v>
      </c>
      <c r="AX253" s="150">
        <f t="shared" si="631"/>
        <v>2.4044476423471366</v>
      </c>
      <c r="AY253" s="150">
        <f t="shared" si="632"/>
        <v>0.49492623618525772</v>
      </c>
      <c r="AZ253" s="150">
        <f t="shared" si="633"/>
        <v>4.858193941949601</v>
      </c>
      <c r="BA253" s="144">
        <f t="shared" si="724"/>
        <v>1.9011967824332294</v>
      </c>
      <c r="BB253" s="5">
        <f t="shared" si="725"/>
        <v>4.0764393902312415E-2</v>
      </c>
      <c r="BD253" s="150">
        <f t="shared" si="681"/>
        <v>0.16911357177176684</v>
      </c>
      <c r="BE253" s="150">
        <f t="shared" si="682"/>
        <v>0.59418764356953124</v>
      </c>
      <c r="BG253" s="456">
        <f t="shared" si="683"/>
        <v>5.7198800314809067E-4</v>
      </c>
      <c r="BH253" s="456">
        <f t="shared" si="754"/>
        <v>0.45917348046882173</v>
      </c>
      <c r="BI253" s="456">
        <f t="shared" si="755"/>
        <v>0.52477508682230689</v>
      </c>
      <c r="BJ253" s="456">
        <f t="shared" si="684"/>
        <v>0.14965353387017238</v>
      </c>
      <c r="BK253">
        <f t="shared" si="685"/>
        <v>2.6988433036575783E-2</v>
      </c>
      <c r="BL253" s="144">
        <f t="shared" si="686"/>
        <v>551.76351985888277</v>
      </c>
      <c r="BM253" s="456">
        <f t="shared" si="756"/>
        <v>0.60963629132662578</v>
      </c>
      <c r="BN253" s="144">
        <f t="shared" si="687"/>
        <v>609.63629132662572</v>
      </c>
      <c r="BO253" s="456">
        <f t="shared" si="637"/>
        <v>0.31079999999999997</v>
      </c>
      <c r="BR253" s="144">
        <f t="shared" si="688"/>
        <v>310.79999999999995</v>
      </c>
      <c r="BS253" s="456">
        <f t="shared" si="689"/>
        <v>8.5798200472213585E-4</v>
      </c>
      <c r="BT253" s="456">
        <f t="shared" si="690"/>
        <v>1.0591768673121367E-2</v>
      </c>
      <c r="BU253" s="456">
        <f t="shared" si="691"/>
        <v>0.13571728171059572</v>
      </c>
      <c r="BV253" s="456"/>
      <c r="BW253" s="456">
        <f t="shared" si="692"/>
        <v>4.0074127372452273E-4</v>
      </c>
      <c r="BX253" s="144">
        <f t="shared" si="693"/>
        <v>147.56777366216375</v>
      </c>
      <c r="BY253" s="150">
        <f t="shared" si="694"/>
        <v>1.6195302958631888</v>
      </c>
      <c r="BZ253" s="5">
        <f t="shared" si="695"/>
        <v>2.2200000000000002</v>
      </c>
      <c r="CA253" s="150">
        <f t="shared" si="696"/>
        <v>0.57819572419883924</v>
      </c>
      <c r="CB253" s="5">
        <f t="shared" si="697"/>
        <v>57.819572419883926</v>
      </c>
      <c r="CE253" s="59">
        <f t="shared" si="757"/>
        <v>-50</v>
      </c>
      <c r="CF253">
        <f t="shared" si="758"/>
        <v>-50</v>
      </c>
      <c r="CG253" s="150">
        <f t="shared" si="759"/>
        <v>0.863666602341436</v>
      </c>
      <c r="CI253" s="147">
        <v>37</v>
      </c>
      <c r="CJ253" s="188">
        <f t="shared" si="698"/>
        <v>0.44400000000000001</v>
      </c>
      <c r="CK253" s="188"/>
      <c r="CL253" s="188">
        <f t="shared" si="641"/>
        <v>2.2200000000000002</v>
      </c>
      <c r="CM253" s="465">
        <f t="shared" si="642"/>
        <v>60</v>
      </c>
      <c r="CN253" s="379">
        <f t="shared" si="643"/>
        <v>5.4</v>
      </c>
      <c r="CO253" s="379">
        <f t="shared" si="644"/>
        <v>65.400000000000006</v>
      </c>
      <c r="CP253" s="379"/>
      <c r="CQ253" s="188">
        <f t="shared" si="645"/>
        <v>8.2568807339449546E-2</v>
      </c>
      <c r="CR253" s="149">
        <f t="shared" si="646"/>
        <v>12.756880733944957</v>
      </c>
      <c r="CS253" s="149">
        <f t="shared" si="647"/>
        <v>2.2200000000000002</v>
      </c>
      <c r="CT253" s="188">
        <f t="shared" si="648"/>
        <v>2.5513761467889915</v>
      </c>
      <c r="CU253" s="188">
        <f t="shared" si="649"/>
        <v>5</v>
      </c>
      <c r="CV253" s="188"/>
      <c r="CW253" s="149">
        <f t="shared" si="650"/>
        <v>277.92406825316129</v>
      </c>
      <c r="CX253" s="149">
        <f t="shared" si="651"/>
        <v>5</v>
      </c>
      <c r="CY253" s="188">
        <f t="shared" si="652"/>
        <v>0.89622222222222225</v>
      </c>
      <c r="CZ253" s="188">
        <f t="shared" si="653"/>
        <v>0.17924444444444446</v>
      </c>
      <c r="DA253" s="188">
        <f t="shared" si="654"/>
        <v>1.991604938271605</v>
      </c>
      <c r="DB253" s="172">
        <f t="shared" si="655"/>
        <v>350</v>
      </c>
      <c r="DC253" s="379">
        <f t="shared" si="656"/>
        <v>350</v>
      </c>
      <c r="DE253" s="188">
        <f t="shared" si="657"/>
        <v>1.179554390563565</v>
      </c>
      <c r="DF253" s="150">
        <f t="shared" si="658"/>
        <v>2.6212319790301444</v>
      </c>
      <c r="DG253" s="150">
        <f t="shared" si="659"/>
        <v>0.54107999567136011</v>
      </c>
      <c r="DH253" s="150"/>
      <c r="DI253" s="150">
        <f t="shared" si="660"/>
        <v>2.2222222222222219</v>
      </c>
      <c r="DJ253" s="314">
        <f t="shared" si="661"/>
        <v>399.60000000000008</v>
      </c>
      <c r="DK253" s="456">
        <f t="shared" si="662"/>
        <v>0.38888888888888884</v>
      </c>
      <c r="DM253" s="150">
        <f t="shared" si="663"/>
        <v>1.0685103114683947</v>
      </c>
      <c r="DN253" s="150">
        <f t="shared" si="664"/>
        <v>1.0685103114683947</v>
      </c>
      <c r="DO253" s="150">
        <f t="shared" si="665"/>
        <v>1.2507483788654774</v>
      </c>
      <c r="DQ253" s="314">
        <f t="shared" si="666"/>
        <v>444</v>
      </c>
      <c r="DR253" s="144">
        <f t="shared" si="667"/>
        <v>350</v>
      </c>
      <c r="DT253">
        <f t="shared" si="668"/>
        <v>444</v>
      </c>
      <c r="DU253">
        <f t="shared" si="669"/>
        <v>350</v>
      </c>
      <c r="DW253" s="5">
        <f t="shared" si="670"/>
        <v>2.8571428571428572</v>
      </c>
      <c r="DX253" s="5">
        <f t="shared" si="671"/>
        <v>0.21370206229367894</v>
      </c>
      <c r="DY253" s="5">
        <f t="shared" si="672"/>
        <v>2.6434407948491785</v>
      </c>
      <c r="DZ253" s="5"/>
      <c r="EA253" s="150">
        <f t="shared" si="673"/>
        <v>7.4795721802787624E-2</v>
      </c>
      <c r="EB253" s="150">
        <f t="shared" si="699"/>
        <v>2.3976000000000006</v>
      </c>
      <c r="EC253" s="150">
        <f t="shared" si="700"/>
        <v>0.49429515573419736</v>
      </c>
      <c r="ED253" s="150">
        <f t="shared" si="701"/>
        <v>4.8505431869724571</v>
      </c>
      <c r="EE253" s="144">
        <f t="shared" si="674"/>
        <v>1.8976743131678688</v>
      </c>
      <c r="EF253" s="5">
        <f t="shared" si="675"/>
        <v>4.0753045587258167E-2</v>
      </c>
      <c r="EH253" s="150">
        <f t="shared" si="702"/>
        <v>0.16871607717558526</v>
      </c>
      <c r="EI253" s="150">
        <f t="shared" si="703"/>
        <v>0.5933854682025087</v>
      </c>
      <c r="EK253" s="456">
        <f t="shared" si="704"/>
        <v>5.6930229395036084E-4</v>
      </c>
      <c r="EL253" s="456">
        <f t="shared" si="705"/>
        <v>0.48916402059023112</v>
      </c>
      <c r="EM253" s="456">
        <f t="shared" si="706"/>
        <v>4.3749999999999997E-2</v>
      </c>
      <c r="EN253" s="456">
        <f t="shared" si="707"/>
        <v>0.14970060000000002</v>
      </c>
      <c r="EO253">
        <f t="shared" si="708"/>
        <v>2.7E-2</v>
      </c>
      <c r="EP253" s="144">
        <f t="shared" si="709"/>
        <v>70.75</v>
      </c>
      <c r="EQ253" s="144"/>
      <c r="ER253" s="144">
        <f t="shared" si="710"/>
        <v>710.18392288418147</v>
      </c>
      <c r="ES253" s="456">
        <f t="shared" si="711"/>
        <v>0.31079999999999997</v>
      </c>
      <c r="EV253" s="144">
        <f t="shared" si="712"/>
        <v>310.79999999999995</v>
      </c>
      <c r="EW253" s="456">
        <f t="shared" si="713"/>
        <v>8.5395344092554126E-4</v>
      </c>
      <c r="EX253" s="456">
        <f t="shared" si="714"/>
        <v>1.0563189416217313E-2</v>
      </c>
      <c r="EY253" s="456">
        <f t="shared" si="715"/>
        <v>0.13523431614405934</v>
      </c>
      <c r="EZ253" s="456"/>
      <c r="FA253" s="456">
        <f t="shared" si="716"/>
        <v>3.9960000000000006E-4</v>
      </c>
      <c r="FB253" s="144">
        <f t="shared" si="717"/>
        <v>147.05105900120219</v>
      </c>
      <c r="FC253" s="150">
        <f t="shared" si="718"/>
        <v>1.1680349818853835</v>
      </c>
      <c r="FD253" s="5">
        <f t="shared" si="719"/>
        <v>2.2200000000000002</v>
      </c>
      <c r="FE253" s="150">
        <f t="shared" si="720"/>
        <v>0.65524707149411066</v>
      </c>
      <c r="FF253" s="5">
        <f t="shared" si="721"/>
        <v>65.524707149411071</v>
      </c>
      <c r="FI253" s="59">
        <f t="shared" si="676"/>
        <v>-50</v>
      </c>
      <c r="FJ253">
        <f t="shared" si="677"/>
        <v>-50</v>
      </c>
      <c r="FL253">
        <f t="shared" si="760"/>
        <v>0.83106357558652921</v>
      </c>
    </row>
    <row r="254" spans="5:168">
      <c r="E254" s="147">
        <v>38</v>
      </c>
      <c r="F254" s="188">
        <f t="shared" si="761"/>
        <v>0.45599999999999996</v>
      </c>
      <c r="G254" s="188"/>
      <c r="H254" s="188">
        <f t="shared" si="726"/>
        <v>2.2799999999999998</v>
      </c>
      <c r="I254" s="465">
        <f t="shared" si="727"/>
        <v>59.973950596387411</v>
      </c>
      <c r="J254" s="149">
        <f t="shared" si="728"/>
        <v>5.415629642167552</v>
      </c>
      <c r="K254" s="149">
        <f t="shared" si="729"/>
        <v>65.38958023855497</v>
      </c>
      <c r="L254" s="379"/>
      <c r="M254" s="188">
        <f t="shared" si="730"/>
        <v>8.2829588340876142E-2</v>
      </c>
      <c r="N254" s="149">
        <f t="shared" si="731"/>
        <v>12.791615420617642</v>
      </c>
      <c r="O254" s="149">
        <f t="shared" si="599"/>
        <v>2.2799999999999998</v>
      </c>
      <c r="P254" s="188">
        <f t="shared" si="732"/>
        <v>2.5583230841235283</v>
      </c>
      <c r="Q254" s="188">
        <f t="shared" si="733"/>
        <v>5</v>
      </c>
      <c r="R254" s="188"/>
      <c r="S254" s="149">
        <f t="shared" si="734"/>
        <v>268.91967785171738</v>
      </c>
      <c r="T254" s="149">
        <f t="shared" si="735"/>
        <v>5</v>
      </c>
      <c r="U254" s="188">
        <f t="shared" si="736"/>
        <v>0.99436264886721459</v>
      </c>
      <c r="V254" s="188">
        <f t="shared" si="737"/>
        <v>0.19895890912221031</v>
      </c>
      <c r="W254" s="188">
        <f t="shared" si="738"/>
        <v>2.2033175410478716</v>
      </c>
      <c r="X254" s="172">
        <f t="shared" si="739"/>
        <v>350</v>
      </c>
      <c r="Y254" s="379">
        <f t="shared" si="680"/>
        <v>350</v>
      </c>
      <c r="AA254" s="188">
        <f t="shared" si="740"/>
        <v>1.1826432962865148</v>
      </c>
      <c r="AB254" s="150">
        <f t="shared" si="741"/>
        <v>2.6205114627738988</v>
      </c>
      <c r="AC254" s="150">
        <f t="shared" si="742"/>
        <v>0.54234780500101598</v>
      </c>
      <c r="AD254" s="150"/>
      <c r="AE254" s="150">
        <f t="shared" si="743"/>
        <v>2.2158088334853558</v>
      </c>
      <c r="AF254" s="314">
        <f t="shared" si="744"/>
        <v>411.58785280473398</v>
      </c>
      <c r="AG254" s="456">
        <f t="shared" si="745"/>
        <v>0.38776654585993725</v>
      </c>
      <c r="AI254" s="150">
        <f t="shared" si="746"/>
        <v>1.0844193348183218</v>
      </c>
      <c r="AJ254" s="150">
        <f t="shared" si="747"/>
        <v>1.0844193348183218</v>
      </c>
      <c r="AK254" s="150">
        <f t="shared" si="748"/>
        <v>1.2625328406061642</v>
      </c>
      <c r="AM254" s="314">
        <f t="shared" si="749"/>
        <v>455.99999999999994</v>
      </c>
      <c r="AN254" s="144">
        <f t="shared" si="750"/>
        <v>350</v>
      </c>
      <c r="AP254">
        <f t="shared" si="751"/>
        <v>455.99999999999994</v>
      </c>
      <c r="AQ254">
        <f t="shared" si="752"/>
        <v>350</v>
      </c>
      <c r="AS254" s="5">
        <f t="shared" si="600"/>
        <v>2.8571428571428572</v>
      </c>
      <c r="AT254" s="5">
        <f t="shared" si="753"/>
        <v>0.21697806945210169</v>
      </c>
      <c r="AU254" s="5">
        <f t="shared" si="722"/>
        <v>2.6401647876907557</v>
      </c>
      <c r="AV254" s="5"/>
      <c r="AW254" s="150">
        <f t="shared" si="723"/>
        <v>7.5942324308235581E-2</v>
      </c>
      <c r="AX254" s="150">
        <f t="shared" si="631"/>
        <v>2.4695271168284041</v>
      </c>
      <c r="AY254" s="150">
        <f t="shared" si="632"/>
        <v>0.50103300500371384</v>
      </c>
      <c r="AZ254" s="150">
        <f t="shared" si="633"/>
        <v>4.9288711365633473</v>
      </c>
      <c r="BA254" s="144">
        <f t="shared" si="724"/>
        <v>1.9788399934031671</v>
      </c>
      <c r="BB254" s="5">
        <f t="shared" si="725"/>
        <v>4.1820765905277862E-2</v>
      </c>
      <c r="BD254" s="150">
        <f t="shared" si="681"/>
        <v>0.17253554002147592</v>
      </c>
      <c r="BE254" s="150">
        <f t="shared" si="682"/>
        <v>0.60184708911159612</v>
      </c>
      <c r="BG254" s="456">
        <f t="shared" si="683"/>
        <v>5.9537025141004644E-4</v>
      </c>
      <c r="BH254" s="456">
        <f t="shared" si="754"/>
        <v>0.46534507101037631</v>
      </c>
      <c r="BI254" s="456">
        <f t="shared" si="755"/>
        <v>0.52477206771838991</v>
      </c>
      <c r="BJ254" s="456">
        <f t="shared" si="684"/>
        <v>0.14965290213210466</v>
      </c>
      <c r="BK254">
        <f t="shared" si="685"/>
        <v>2.6988277768374334E-2</v>
      </c>
      <c r="BL254" s="144">
        <f t="shared" si="686"/>
        <v>551.76034548676421</v>
      </c>
      <c r="BM254" s="456">
        <f t="shared" si="756"/>
        <v>0.6158412102419657</v>
      </c>
      <c r="BN254" s="144">
        <f t="shared" si="687"/>
        <v>615.84121024196565</v>
      </c>
      <c r="BO254" s="456">
        <f t="shared" si="637"/>
        <v>0.31919999999999993</v>
      </c>
      <c r="BR254" s="144">
        <f t="shared" si="688"/>
        <v>319.19999999999993</v>
      </c>
      <c r="BS254" s="456">
        <f t="shared" si="689"/>
        <v>8.9305537711506955E-4</v>
      </c>
      <c r="BT254" s="456">
        <f t="shared" si="690"/>
        <v>1.0866597560163045E-2</v>
      </c>
      <c r="BU254" s="456">
        <f t="shared" si="691"/>
        <v>0.14032441680702715</v>
      </c>
      <c r="BV254" s="456"/>
      <c r="BW254" s="456">
        <f t="shared" si="692"/>
        <v>4.1158785280473394E-4</v>
      </c>
      <c r="BX254" s="144">
        <f t="shared" si="693"/>
        <v>152.49565759711001</v>
      </c>
      <c r="BY254" s="150">
        <f t="shared" si="694"/>
        <v>1.6390493464777653</v>
      </c>
      <c r="BZ254" s="5">
        <f t="shared" si="695"/>
        <v>2.2799999999999998</v>
      </c>
      <c r="CA254" s="150">
        <f t="shared" si="696"/>
        <v>0.58177374113677438</v>
      </c>
      <c r="CB254" s="5">
        <f t="shared" si="697"/>
        <v>58.177374113677438</v>
      </c>
      <c r="CE254" s="59">
        <f t="shared" si="757"/>
        <v>-50</v>
      </c>
      <c r="CF254">
        <f t="shared" si="758"/>
        <v>-50</v>
      </c>
      <c r="CG254" s="150">
        <f t="shared" si="759"/>
        <v>0.87525996138290252</v>
      </c>
      <c r="CI254" s="147">
        <v>38</v>
      </c>
      <c r="CJ254" s="188">
        <f t="shared" si="698"/>
        <v>0.45599999999999996</v>
      </c>
      <c r="CK254" s="188"/>
      <c r="CL254" s="188">
        <f t="shared" si="641"/>
        <v>2.2799999999999998</v>
      </c>
      <c r="CM254" s="465">
        <f t="shared" si="642"/>
        <v>60</v>
      </c>
      <c r="CN254" s="379">
        <f t="shared" si="643"/>
        <v>5.4</v>
      </c>
      <c r="CO254" s="379">
        <f t="shared" si="644"/>
        <v>65.400000000000006</v>
      </c>
      <c r="CP254" s="379"/>
      <c r="CQ254" s="188">
        <f t="shared" si="645"/>
        <v>8.2568807339449546E-2</v>
      </c>
      <c r="CR254" s="149">
        <f t="shared" si="646"/>
        <v>12.756880733944957</v>
      </c>
      <c r="CS254" s="149">
        <f t="shared" si="647"/>
        <v>2.2799999999999998</v>
      </c>
      <c r="CT254" s="188">
        <f t="shared" si="648"/>
        <v>2.5513761467889915</v>
      </c>
      <c r="CU254" s="188">
        <f t="shared" si="649"/>
        <v>5</v>
      </c>
      <c r="CV254" s="188"/>
      <c r="CW254" s="149">
        <f t="shared" si="650"/>
        <v>269.03644323109768</v>
      </c>
      <c r="CX254" s="149">
        <f t="shared" si="651"/>
        <v>5</v>
      </c>
      <c r="CY254" s="188">
        <f t="shared" si="652"/>
        <v>0.92044444444444429</v>
      </c>
      <c r="CZ254" s="188">
        <f t="shared" si="653"/>
        <v>0.18408888888888889</v>
      </c>
      <c r="DA254" s="188">
        <f t="shared" si="654"/>
        <v>2.0454320987654317</v>
      </c>
      <c r="DB254" s="172">
        <f t="shared" si="655"/>
        <v>350</v>
      </c>
      <c r="DC254" s="379">
        <f t="shared" si="656"/>
        <v>350</v>
      </c>
      <c r="DE254" s="188">
        <f t="shared" si="657"/>
        <v>1.179554390563565</v>
      </c>
      <c r="DF254" s="150">
        <f t="shared" si="658"/>
        <v>2.6212319790301444</v>
      </c>
      <c r="DG254" s="150">
        <f t="shared" si="659"/>
        <v>0.54107999567136011</v>
      </c>
      <c r="DH254" s="150"/>
      <c r="DI254" s="150">
        <f t="shared" si="660"/>
        <v>2.2222222222222219</v>
      </c>
      <c r="DJ254" s="314">
        <f t="shared" si="661"/>
        <v>410.4</v>
      </c>
      <c r="DK254" s="456">
        <f t="shared" si="662"/>
        <v>0.38888888888888884</v>
      </c>
      <c r="DM254" s="150">
        <f t="shared" si="663"/>
        <v>1.082853373532829</v>
      </c>
      <c r="DN254" s="150">
        <f t="shared" si="664"/>
        <v>1.082853373532829</v>
      </c>
      <c r="DO254" s="150">
        <f t="shared" si="665"/>
        <v>1.2613728692835771</v>
      </c>
      <c r="DQ254" s="314">
        <f t="shared" si="666"/>
        <v>455.99999999999994</v>
      </c>
      <c r="DR254" s="144">
        <f t="shared" si="667"/>
        <v>350</v>
      </c>
      <c r="DT254">
        <f t="shared" si="668"/>
        <v>455.99999999999994</v>
      </c>
      <c r="DU254">
        <f t="shared" si="669"/>
        <v>350</v>
      </c>
      <c r="DW254" s="5">
        <f t="shared" si="670"/>
        <v>2.8571428571428572</v>
      </c>
      <c r="DX254" s="5">
        <f t="shared" si="671"/>
        <v>0.21657067470656582</v>
      </c>
      <c r="DY254" s="5">
        <f t="shared" si="672"/>
        <v>2.6405721824362915</v>
      </c>
      <c r="DZ254" s="5"/>
      <c r="EA254" s="150">
        <f t="shared" si="673"/>
        <v>7.5799736147298041E-2</v>
      </c>
      <c r="EB254" s="150">
        <f t="shared" si="699"/>
        <v>2.4623999999999997</v>
      </c>
      <c r="EC254" s="150">
        <f t="shared" si="700"/>
        <v>0.50038668676641451</v>
      </c>
      <c r="ED254" s="150">
        <f t="shared" si="701"/>
        <v>4.9209942333047572</v>
      </c>
      <c r="EE254" s="144">
        <f t="shared" si="674"/>
        <v>1.9751245533238801</v>
      </c>
      <c r="EF254" s="5">
        <f t="shared" si="675"/>
        <v>4.1809059555241279E-2</v>
      </c>
      <c r="EH254" s="150">
        <f t="shared" si="702"/>
        <v>0.17212457203972417</v>
      </c>
      <c r="EI254" s="150">
        <f t="shared" si="703"/>
        <v>0.60102435437949153</v>
      </c>
      <c r="EK254" s="456">
        <f t="shared" si="704"/>
        <v>5.9253736599716386E-4</v>
      </c>
      <c r="EL254" s="456">
        <f t="shared" si="705"/>
        <v>0.49573027440332912</v>
      </c>
      <c r="EM254" s="456">
        <f t="shared" si="706"/>
        <v>4.3749999999999997E-2</v>
      </c>
      <c r="EN254" s="456">
        <f t="shared" si="707"/>
        <v>0.14970060000000002</v>
      </c>
      <c r="EO254">
        <f t="shared" si="708"/>
        <v>2.7E-2</v>
      </c>
      <c r="EP254" s="144">
        <f t="shared" si="709"/>
        <v>70.75</v>
      </c>
      <c r="EQ254" s="144"/>
      <c r="ER254" s="144">
        <f t="shared" si="710"/>
        <v>716.77341176932646</v>
      </c>
      <c r="ES254" s="456">
        <f t="shared" si="711"/>
        <v>0.31919999999999993</v>
      </c>
      <c r="EV254" s="144">
        <f t="shared" si="712"/>
        <v>319.19999999999993</v>
      </c>
      <c r="EW254" s="456">
        <f t="shared" si="713"/>
        <v>8.8880604899574584E-4</v>
      </c>
      <c r="EX254" s="456">
        <f t="shared" si="714"/>
        <v>1.0836908236718538E-2</v>
      </c>
      <c r="EY254" s="456">
        <f t="shared" si="715"/>
        <v>0.13981837485432749</v>
      </c>
      <c r="EZ254" s="456"/>
      <c r="FA254" s="456">
        <f t="shared" si="716"/>
        <v>4.1039999999999995E-4</v>
      </c>
      <c r="FB254" s="144">
        <f t="shared" si="717"/>
        <v>151.95448914004177</v>
      </c>
      <c r="FC254" s="150">
        <f t="shared" si="718"/>
        <v>1.1879279009093684</v>
      </c>
      <c r="FD254" s="5">
        <f t="shared" si="719"/>
        <v>2.2799999999999998</v>
      </c>
      <c r="FE254" s="150">
        <f t="shared" si="720"/>
        <v>0.65745311469772283</v>
      </c>
      <c r="FF254" s="5">
        <f t="shared" si="721"/>
        <v>65.74531146977229</v>
      </c>
      <c r="FI254" s="59">
        <f t="shared" si="676"/>
        <v>-50</v>
      </c>
      <c r="FJ254">
        <f t="shared" si="677"/>
        <v>-50</v>
      </c>
      <c r="FL254">
        <f t="shared" si="760"/>
        <v>0.84221929052553368</v>
      </c>
    </row>
    <row r="255" spans="5:168">
      <c r="E255" s="147">
        <v>39</v>
      </c>
      <c r="F255" s="188">
        <f t="shared" si="761"/>
        <v>0.46799999999999997</v>
      </c>
      <c r="G255" s="188"/>
      <c r="H255" s="188">
        <f t="shared" si="726"/>
        <v>2.34</v>
      </c>
      <c r="I255" s="465">
        <f t="shared" si="727"/>
        <v>59.973610066854413</v>
      </c>
      <c r="J255" s="149">
        <f t="shared" si="728"/>
        <v>5.4158339598873528</v>
      </c>
      <c r="K255" s="149">
        <f t="shared" si="729"/>
        <v>65.389444026741771</v>
      </c>
      <c r="L255" s="379"/>
      <c r="M255" s="188">
        <f t="shared" si="730"/>
        <v>8.2832997905486747E-2</v>
      </c>
      <c r="N255" s="149">
        <f t="shared" si="731"/>
        <v>12.792069336409494</v>
      </c>
      <c r="O255" s="149">
        <f t="shared" si="599"/>
        <v>2.34</v>
      </c>
      <c r="P255" s="188">
        <f t="shared" si="732"/>
        <v>2.5584138672818986</v>
      </c>
      <c r="Q255" s="188">
        <f t="shared" si="733"/>
        <v>5</v>
      </c>
      <c r="R255" s="188"/>
      <c r="S255" s="149">
        <f t="shared" si="734"/>
        <v>260.49019084611041</v>
      </c>
      <c r="T255" s="149">
        <f t="shared" si="735"/>
        <v>5</v>
      </c>
      <c r="U255" s="188">
        <f t="shared" si="736"/>
        <v>1.0205338808117588</v>
      </c>
      <c r="V255" s="188">
        <f t="shared" si="737"/>
        <v>0.20419658840095942</v>
      </c>
      <c r="W255" s="188">
        <f t="shared" si="738"/>
        <v>2.2612226778820648</v>
      </c>
      <c r="X255" s="172">
        <f t="shared" si="739"/>
        <v>350</v>
      </c>
      <c r="Y255" s="379">
        <f t="shared" si="680"/>
        <v>350</v>
      </c>
      <c r="AA255" s="188">
        <f t="shared" si="740"/>
        <v>1.1826836627384694</v>
      </c>
      <c r="AB255" s="150">
        <f t="shared" si="741"/>
        <v>2.620502042340461</v>
      </c>
      <c r="AC255" s="150">
        <f t="shared" si="742"/>
        <v>0.54236436688854972</v>
      </c>
      <c r="AD255" s="150"/>
      <c r="AE255" s="150">
        <f t="shared" si="743"/>
        <v>2.215725239894466</v>
      </c>
      <c r="AF255" s="314">
        <f t="shared" si="744"/>
        <v>422.4350488712135</v>
      </c>
      <c r="AG255" s="456">
        <f t="shared" si="745"/>
        <v>0.38775191698153155</v>
      </c>
      <c r="AI255" s="150">
        <f t="shared" si="746"/>
        <v>1.0986160760198176</v>
      </c>
      <c r="AJ255" s="150">
        <f t="shared" si="747"/>
        <v>1.0986160760198176</v>
      </c>
      <c r="AK255" s="150">
        <f t="shared" si="748"/>
        <v>1.2730489451998648</v>
      </c>
      <c r="AM255" s="314">
        <f t="shared" si="749"/>
        <v>468</v>
      </c>
      <c r="AN255" s="144">
        <f t="shared" si="750"/>
        <v>350</v>
      </c>
      <c r="AP255">
        <f t="shared" si="751"/>
        <v>468</v>
      </c>
      <c r="AQ255">
        <f t="shared" si="752"/>
        <v>350</v>
      </c>
      <c r="AS255" s="5">
        <f t="shared" si="600"/>
        <v>2.8571428571428572</v>
      </c>
      <c r="AT255" s="5">
        <f t="shared" si="753"/>
        <v>0.21981989907797581</v>
      </c>
      <c r="AU255" s="5">
        <f t="shared" si="722"/>
        <v>2.6373229580648814</v>
      </c>
      <c r="AV255" s="5"/>
      <c r="AW255" s="150">
        <f t="shared" si="723"/>
        <v>7.6936964677291525E-2</v>
      </c>
      <c r="AX255" s="150">
        <f t="shared" si="631"/>
        <v>2.5346102932272814</v>
      </c>
      <c r="AY255" s="150">
        <f t="shared" si="632"/>
        <v>0.50704594489258814</v>
      </c>
      <c r="AZ255" s="150">
        <f t="shared" si="633"/>
        <v>4.9987783528457355</v>
      </c>
      <c r="BA255" s="144">
        <f t="shared" si="724"/>
        <v>2.0575142553698531</v>
      </c>
      <c r="BB255" s="5">
        <f t="shared" si="725"/>
        <v>4.2875356031542078E-2</v>
      </c>
      <c r="BD255" s="150">
        <f t="shared" si="681"/>
        <v>0.17593524358872306</v>
      </c>
      <c r="BE255" s="150">
        <f t="shared" si="682"/>
        <v>0.60939796867600182</v>
      </c>
      <c r="BG255" s="456">
        <f t="shared" si="683"/>
        <v>6.1906419873246636E-4</v>
      </c>
      <c r="BH255" s="456">
        <f t="shared" si="754"/>
        <v>0.47143618206415855</v>
      </c>
      <c r="BI255" s="456">
        <f t="shared" si="755"/>
        <v>0.52476908808497602</v>
      </c>
      <c r="BJ255" s="456">
        <f t="shared" si="684"/>
        <v>0.14965227865442382</v>
      </c>
      <c r="BK255">
        <f t="shared" si="685"/>
        <v>2.6988124530084485E-2</v>
      </c>
      <c r="BL255" s="144">
        <f t="shared" si="686"/>
        <v>551.75721261506055</v>
      </c>
      <c r="BM255" s="456">
        <f t="shared" si="756"/>
        <v>0.62196615703757396</v>
      </c>
      <c r="BN255" s="144">
        <f t="shared" si="687"/>
        <v>621.96615703757391</v>
      </c>
      <c r="BO255" s="456">
        <f t="shared" si="637"/>
        <v>0.32759999999999995</v>
      </c>
      <c r="BR255" s="144">
        <f t="shared" si="688"/>
        <v>327.59999999999997</v>
      </c>
      <c r="BS255" s="456">
        <f t="shared" si="689"/>
        <v>9.2859629809869954E-4</v>
      </c>
      <c r="BT255" s="456">
        <f t="shared" si="690"/>
        <v>1.1140976526793118E-2</v>
      </c>
      <c r="BU255" s="456">
        <f t="shared" si="691"/>
        <v>0.14496227283043187</v>
      </c>
      <c r="BV255" s="456"/>
      <c r="BW255" s="456">
        <f t="shared" si="692"/>
        <v>4.2243504887121364E-4</v>
      </c>
      <c r="BX255" s="144">
        <f t="shared" si="693"/>
        <v>157.4542807041949</v>
      </c>
      <c r="BY255" s="150">
        <f t="shared" si="694"/>
        <v>1.6585190182365703</v>
      </c>
      <c r="BZ255" s="5">
        <f t="shared" si="695"/>
        <v>2.34</v>
      </c>
      <c r="CA255" s="150">
        <f t="shared" si="696"/>
        <v>0.58521667380539011</v>
      </c>
      <c r="CB255" s="5">
        <f t="shared" si="697"/>
        <v>58.521667380539014</v>
      </c>
      <c r="CE255" s="59">
        <f t="shared" si="757"/>
        <v>-50</v>
      </c>
      <c r="CF255">
        <f t="shared" si="758"/>
        <v>-50</v>
      </c>
      <c r="CG255" s="150">
        <f t="shared" si="759"/>
        <v>0.88670175369173587</v>
      </c>
      <c r="CI255" s="147">
        <v>39</v>
      </c>
      <c r="CJ255" s="188">
        <f t="shared" si="698"/>
        <v>0.46799999999999997</v>
      </c>
      <c r="CK255" s="188"/>
      <c r="CL255" s="188">
        <f t="shared" si="641"/>
        <v>2.34</v>
      </c>
      <c r="CM255" s="465">
        <f t="shared" si="642"/>
        <v>60</v>
      </c>
      <c r="CN255" s="379">
        <f t="shared" si="643"/>
        <v>5.4</v>
      </c>
      <c r="CO255" s="379">
        <f t="shared" si="644"/>
        <v>65.400000000000006</v>
      </c>
      <c r="CP255" s="379"/>
      <c r="CQ255" s="188">
        <f t="shared" si="645"/>
        <v>8.2568807339449546E-2</v>
      </c>
      <c r="CR255" s="149">
        <f t="shared" si="646"/>
        <v>12.756880733944957</v>
      </c>
      <c r="CS255" s="149">
        <f t="shared" si="647"/>
        <v>2.34</v>
      </c>
      <c r="CT255" s="188">
        <f t="shared" si="648"/>
        <v>2.5513761467889915</v>
      </c>
      <c r="CU255" s="188">
        <f t="shared" si="649"/>
        <v>5</v>
      </c>
      <c r="CV255" s="188"/>
      <c r="CW255" s="149">
        <f t="shared" si="650"/>
        <v>260.60477285429511</v>
      </c>
      <c r="CX255" s="149">
        <f t="shared" si="651"/>
        <v>5</v>
      </c>
      <c r="CY255" s="188">
        <f t="shared" si="652"/>
        <v>0.94466666666666654</v>
      </c>
      <c r="CZ255" s="188">
        <f t="shared" si="653"/>
        <v>0.18893333333333334</v>
      </c>
      <c r="DA255" s="188">
        <f t="shared" si="654"/>
        <v>2.0992592592592589</v>
      </c>
      <c r="DB255" s="172">
        <f t="shared" si="655"/>
        <v>350</v>
      </c>
      <c r="DC255" s="379">
        <f t="shared" si="656"/>
        <v>350</v>
      </c>
      <c r="DE255" s="188">
        <f t="shared" si="657"/>
        <v>1.179554390563565</v>
      </c>
      <c r="DF255" s="150">
        <f t="shared" si="658"/>
        <v>2.6212319790301444</v>
      </c>
      <c r="DG255" s="150">
        <f t="shared" si="659"/>
        <v>0.54107999567136011</v>
      </c>
      <c r="DH255" s="150"/>
      <c r="DI255" s="150">
        <f t="shared" si="660"/>
        <v>2.2222222222222219</v>
      </c>
      <c r="DJ255" s="314">
        <f t="shared" si="661"/>
        <v>421.2</v>
      </c>
      <c r="DK255" s="456">
        <f t="shared" si="662"/>
        <v>0.38888888888888884</v>
      </c>
      <c r="DM255" s="150">
        <f t="shared" si="663"/>
        <v>1.0970089203960793</v>
      </c>
      <c r="DN255" s="150">
        <f t="shared" si="664"/>
        <v>1.0970089203960793</v>
      </c>
      <c r="DO255" s="150">
        <f t="shared" si="665"/>
        <v>1.2718584595526514</v>
      </c>
      <c r="DQ255" s="314">
        <f t="shared" si="666"/>
        <v>468</v>
      </c>
      <c r="DR255" s="144">
        <f t="shared" si="667"/>
        <v>350</v>
      </c>
      <c r="DT255">
        <f t="shared" si="668"/>
        <v>468</v>
      </c>
      <c r="DU255">
        <f t="shared" si="669"/>
        <v>350</v>
      </c>
      <c r="DW255" s="5">
        <f t="shared" si="670"/>
        <v>2.8571428571428572</v>
      </c>
      <c r="DX255" s="5">
        <f t="shared" si="671"/>
        <v>0.21940178407921587</v>
      </c>
      <c r="DY255" s="5">
        <f t="shared" si="672"/>
        <v>2.6377410730636415</v>
      </c>
      <c r="DZ255" s="5"/>
      <c r="EA255" s="150">
        <f t="shared" si="673"/>
        <v>7.6790624427725551E-2</v>
      </c>
      <c r="EB255" s="150">
        <f t="shared" si="699"/>
        <v>2.5272000000000001</v>
      </c>
      <c r="EC255" s="150">
        <f t="shared" si="700"/>
        <v>0.50638446019803962</v>
      </c>
      <c r="ED255" s="150">
        <f t="shared" si="701"/>
        <v>4.9906744749071663</v>
      </c>
      <c r="EE255" s="144">
        <f t="shared" si="674"/>
        <v>2.0536006989814606</v>
      </c>
      <c r="EF255" s="5">
        <f t="shared" si="675"/>
        <v>4.2863292437284164E-2</v>
      </c>
      <c r="EH255" s="150">
        <f t="shared" si="702"/>
        <v>0.17551071330469231</v>
      </c>
      <c r="EI255" s="150">
        <f t="shared" si="703"/>
        <v>0.60855471952662998</v>
      </c>
      <c r="EK255" s="456">
        <f t="shared" si="704"/>
        <v>6.16080209694438E-4</v>
      </c>
      <c r="EL255" s="456">
        <f t="shared" si="705"/>
        <v>0.50221068375732514</v>
      </c>
      <c r="EM255" s="456">
        <f t="shared" si="706"/>
        <v>4.3749999999999997E-2</v>
      </c>
      <c r="EN255" s="456">
        <f t="shared" si="707"/>
        <v>0.14970060000000002</v>
      </c>
      <c r="EO255">
        <f t="shared" si="708"/>
        <v>2.7E-2</v>
      </c>
      <c r="EP255" s="144">
        <f t="shared" si="709"/>
        <v>70.75</v>
      </c>
      <c r="EQ255" s="144"/>
      <c r="ER255" s="144">
        <f t="shared" si="710"/>
        <v>723.27736396701948</v>
      </c>
      <c r="ES255" s="456">
        <f t="shared" si="711"/>
        <v>0.32759999999999995</v>
      </c>
      <c r="EV255" s="144">
        <f t="shared" si="712"/>
        <v>327.59999999999997</v>
      </c>
      <c r="EW255" s="456">
        <f t="shared" si="713"/>
        <v>9.2412031454165689E-4</v>
      </c>
      <c r="EX255" s="456">
        <f t="shared" si="714"/>
        <v>1.1110165399744057E-2</v>
      </c>
      <c r="EY255" s="456">
        <f t="shared" si="715"/>
        <v>0.14443269433499126</v>
      </c>
      <c r="EZ255" s="456"/>
      <c r="FA255" s="456">
        <f t="shared" si="716"/>
        <v>4.2120000000000005E-4</v>
      </c>
      <c r="FB255" s="144">
        <f t="shared" si="717"/>
        <v>156.888180049277</v>
      </c>
      <c r="FC255" s="150">
        <f t="shared" si="718"/>
        <v>1.2077655440162962</v>
      </c>
      <c r="FD255" s="5">
        <f t="shared" si="719"/>
        <v>2.34</v>
      </c>
      <c r="FE255" s="150">
        <f t="shared" si="720"/>
        <v>0.65957007896045217</v>
      </c>
      <c r="FF255" s="5">
        <f t="shared" si="721"/>
        <v>65.957007896045212</v>
      </c>
      <c r="FI255" s="59">
        <f t="shared" si="676"/>
        <v>-50</v>
      </c>
      <c r="FJ255">
        <f t="shared" si="677"/>
        <v>-50</v>
      </c>
      <c r="FL255">
        <f t="shared" si="760"/>
        <v>0.85322916030806173</v>
      </c>
    </row>
    <row r="256" spans="5:168">
      <c r="E256" s="147">
        <v>40</v>
      </c>
      <c r="F256" s="188">
        <f t="shared" si="761"/>
        <v>0.48</v>
      </c>
      <c r="G256" s="188"/>
      <c r="H256" s="188">
        <f t="shared" si="726"/>
        <v>2.4</v>
      </c>
      <c r="I256" s="465">
        <f t="shared" si="727"/>
        <v>59.973273875808758</v>
      </c>
      <c r="J256" s="149">
        <f t="shared" si="728"/>
        <v>5.4160356745147462</v>
      </c>
      <c r="K256" s="149">
        <f t="shared" si="729"/>
        <v>65.389309550323503</v>
      </c>
      <c r="L256" s="379"/>
      <c r="M256" s="188">
        <f t="shared" si="730"/>
        <v>8.283636404394594E-2</v>
      </c>
      <c r="N256" s="149">
        <f t="shared" si="731"/>
        <v>12.7925174652857</v>
      </c>
      <c r="O256" s="149">
        <f t="shared" si="599"/>
        <v>2.4</v>
      </c>
      <c r="P256" s="188">
        <f t="shared" si="732"/>
        <v>2.55850349305714</v>
      </c>
      <c r="Q256" s="188">
        <f t="shared" si="733"/>
        <v>5</v>
      </c>
      <c r="R256" s="188"/>
      <c r="S256" s="149">
        <f t="shared" si="734"/>
        <v>252.48239106403912</v>
      </c>
      <c r="T256" s="149">
        <f t="shared" si="735"/>
        <v>5</v>
      </c>
      <c r="U256" s="188">
        <f t="shared" si="736"/>
        <v>1.0467052577801923</v>
      </c>
      <c r="V256" s="188">
        <f t="shared" si="737"/>
        <v>0.20943434102617473</v>
      </c>
      <c r="W256" s="188">
        <f t="shared" si="738"/>
        <v>2.319124881777606</v>
      </c>
      <c r="X256" s="172">
        <f t="shared" si="739"/>
        <v>350</v>
      </c>
      <c r="Y256" s="379">
        <f t="shared" si="680"/>
        <v>350</v>
      </c>
      <c r="AA256" s="188">
        <f t="shared" si="740"/>
        <v>1.1827235145730348</v>
      </c>
      <c r="AB256" s="150">
        <f t="shared" si="741"/>
        <v>2.6204927418887474</v>
      </c>
      <c r="AC256" s="150">
        <f t="shared" si="742"/>
        <v>0.54238071747996286</v>
      </c>
      <c r="AD256" s="150"/>
      <c r="AE256" s="150">
        <f t="shared" si="743"/>
        <v>2.2156427175076074</v>
      </c>
      <c r="AF256" s="314">
        <f t="shared" si="744"/>
        <v>433.28285396117963</v>
      </c>
      <c r="AG256" s="456">
        <f t="shared" si="745"/>
        <v>0.38773747556383137</v>
      </c>
      <c r="AI256" s="150">
        <f t="shared" si="746"/>
        <v>1.1126324691099285</v>
      </c>
      <c r="AJ256" s="150">
        <f t="shared" si="747"/>
        <v>1.1126324691099285</v>
      </c>
      <c r="AK256" s="150">
        <f t="shared" si="748"/>
        <v>1.2834314585999471</v>
      </c>
      <c r="AM256" s="314">
        <f t="shared" si="749"/>
        <v>480</v>
      </c>
      <c r="AN256" s="144">
        <f t="shared" si="750"/>
        <v>350</v>
      </c>
      <c r="AP256">
        <f t="shared" si="751"/>
        <v>480</v>
      </c>
      <c r="AQ256">
        <f t="shared" si="752"/>
        <v>350</v>
      </c>
      <c r="AS256" s="5">
        <f t="shared" si="600"/>
        <v>2.8571428571428572</v>
      </c>
      <c r="AT256" s="5">
        <f t="shared" si="753"/>
        <v>0.22262565917223898</v>
      </c>
      <c r="AU256" s="5">
        <f t="shared" si="722"/>
        <v>2.6345171979706183</v>
      </c>
      <c r="AV256" s="5"/>
      <c r="AW256" s="150">
        <f t="shared" si="723"/>
        <v>7.7918980710283636E-2</v>
      </c>
      <c r="AX256" s="150">
        <f t="shared" si="631"/>
        <v>2.5996971237670774</v>
      </c>
      <c r="AY256" s="150">
        <f t="shared" si="632"/>
        <v>0.51296864060585845</v>
      </c>
      <c r="AZ256" s="150">
        <f t="shared" si="633"/>
        <v>5.0679455194310119</v>
      </c>
      <c r="BA256" s="144">
        <f t="shared" si="724"/>
        <v>2.1372063280534941</v>
      </c>
      <c r="BB256" s="5">
        <f t="shared" si="725"/>
        <v>4.3928187135925147E-2</v>
      </c>
      <c r="BD256" s="150">
        <f t="shared" si="681"/>
        <v>0.17931339508537983</v>
      </c>
      <c r="BE256" s="150">
        <f t="shared" si="682"/>
        <v>0.61684442402346462</v>
      </c>
      <c r="BG256" s="456">
        <f t="shared" si="683"/>
        <v>6.4306587314091044E-4</v>
      </c>
      <c r="BH256" s="456">
        <f t="shared" si="754"/>
        <v>0.47744988990805232</v>
      </c>
      <c r="BI256" s="456">
        <f t="shared" si="755"/>
        <v>0.52476614641332664</v>
      </c>
      <c r="BJ256" s="456">
        <f t="shared" si="684"/>
        <v>0.14965166312138098</v>
      </c>
      <c r="BK256">
        <f t="shared" si="685"/>
        <v>2.6987973244113939E-2</v>
      </c>
      <c r="BL256" s="144">
        <f t="shared" si="686"/>
        <v>551.75411965744058</v>
      </c>
      <c r="BM256" s="456">
        <f t="shared" si="756"/>
        <v>0.62801420251787554</v>
      </c>
      <c r="BN256" s="144">
        <f t="shared" si="687"/>
        <v>628.01420251787556</v>
      </c>
      <c r="BO256" s="456">
        <f t="shared" si="637"/>
        <v>0.33599999999999997</v>
      </c>
      <c r="BR256" s="144">
        <f t="shared" si="688"/>
        <v>335.99999999999994</v>
      </c>
      <c r="BS256" s="456">
        <f t="shared" si="689"/>
        <v>9.6459880971136566E-4</v>
      </c>
      <c r="BT256" s="456">
        <f t="shared" si="690"/>
        <v>1.1414911303465194E-2</v>
      </c>
      <c r="BU256" s="456">
        <f t="shared" si="691"/>
        <v>0.1496302628693561</v>
      </c>
      <c r="BV256" s="456"/>
      <c r="BW256" s="456">
        <f t="shared" si="692"/>
        <v>4.3328285396117966E-4</v>
      </c>
      <c r="BX256" s="144">
        <f t="shared" si="693"/>
        <v>162.44305583649384</v>
      </c>
      <c r="BY256" s="150">
        <f t="shared" si="694"/>
        <v>1.6779417943965083</v>
      </c>
      <c r="BZ256" s="5">
        <f t="shared" si="695"/>
        <v>2.4</v>
      </c>
      <c r="CA256" s="150">
        <f t="shared" si="696"/>
        <v>0.58853218633425197</v>
      </c>
      <c r="CB256" s="5">
        <f t="shared" si="697"/>
        <v>58.8532186334252</v>
      </c>
      <c r="CE256" s="59">
        <f t="shared" si="757"/>
        <v>-50</v>
      </c>
      <c r="CF256">
        <f t="shared" si="758"/>
        <v>-50</v>
      </c>
      <c r="CG256" s="150">
        <f t="shared" si="759"/>
        <v>0.897997772825746</v>
      </c>
      <c r="CI256" s="147">
        <v>40</v>
      </c>
      <c r="CJ256" s="188">
        <f t="shared" si="698"/>
        <v>0.48</v>
      </c>
      <c r="CK256" s="188"/>
      <c r="CL256" s="188">
        <f t="shared" si="641"/>
        <v>2.4</v>
      </c>
      <c r="CM256" s="465">
        <f t="shared" si="642"/>
        <v>60</v>
      </c>
      <c r="CN256" s="379">
        <f t="shared" si="643"/>
        <v>5.4</v>
      </c>
      <c r="CO256" s="379">
        <f t="shared" si="644"/>
        <v>65.400000000000006</v>
      </c>
      <c r="CP256" s="379"/>
      <c r="CQ256" s="188">
        <f t="shared" si="645"/>
        <v>8.2568807339449546E-2</v>
      </c>
      <c r="CR256" s="149">
        <f t="shared" si="646"/>
        <v>12.756880733944957</v>
      </c>
      <c r="CS256" s="149">
        <f t="shared" si="647"/>
        <v>2.4</v>
      </c>
      <c r="CT256" s="188">
        <f t="shared" si="648"/>
        <v>2.5513761467889915</v>
      </c>
      <c r="CU256" s="188">
        <f t="shared" si="649"/>
        <v>5</v>
      </c>
      <c r="CV256" s="188"/>
      <c r="CW256" s="149">
        <f t="shared" si="650"/>
        <v>252.59486358600259</v>
      </c>
      <c r="CX256" s="149">
        <f t="shared" si="651"/>
        <v>5</v>
      </c>
      <c r="CY256" s="188">
        <f t="shared" si="652"/>
        <v>0.9688888888888888</v>
      </c>
      <c r="CZ256" s="188">
        <f t="shared" si="653"/>
        <v>0.19377777777777777</v>
      </c>
      <c r="DA256" s="188">
        <f t="shared" si="654"/>
        <v>2.1530864197530861</v>
      </c>
      <c r="DB256" s="172">
        <f t="shared" si="655"/>
        <v>350</v>
      </c>
      <c r="DC256" s="379">
        <f t="shared" si="656"/>
        <v>350</v>
      </c>
      <c r="DE256" s="188">
        <f t="shared" si="657"/>
        <v>1.179554390563565</v>
      </c>
      <c r="DF256" s="150">
        <f t="shared" si="658"/>
        <v>2.6212319790301444</v>
      </c>
      <c r="DG256" s="150">
        <f t="shared" si="659"/>
        <v>0.54107999567136011</v>
      </c>
      <c r="DH256" s="150"/>
      <c r="DI256" s="150">
        <f t="shared" si="660"/>
        <v>2.2222222222222219</v>
      </c>
      <c r="DJ256" s="314">
        <f t="shared" si="661"/>
        <v>432</v>
      </c>
      <c r="DK256" s="456">
        <f t="shared" si="662"/>
        <v>0.38888888888888884</v>
      </c>
      <c r="DM256" s="150">
        <f t="shared" si="663"/>
        <v>1.1109841197270618</v>
      </c>
      <c r="DN256" s="150">
        <f t="shared" si="664"/>
        <v>1.1109841197270618</v>
      </c>
      <c r="DO256" s="150">
        <f t="shared" si="665"/>
        <v>1.2822104590570829</v>
      </c>
      <c r="DQ256" s="314">
        <f t="shared" si="666"/>
        <v>480</v>
      </c>
      <c r="DR256" s="144">
        <f t="shared" si="667"/>
        <v>350</v>
      </c>
      <c r="DT256">
        <f t="shared" si="668"/>
        <v>480</v>
      </c>
      <c r="DU256">
        <f t="shared" si="669"/>
        <v>350</v>
      </c>
      <c r="DW256" s="5">
        <f t="shared" si="670"/>
        <v>2.8571428571428572</v>
      </c>
      <c r="DX256" s="5">
        <f t="shared" si="671"/>
        <v>0.22219682394541238</v>
      </c>
      <c r="DY256" s="5">
        <f t="shared" si="672"/>
        <v>2.634946033197445</v>
      </c>
      <c r="DZ256" s="5"/>
      <c r="EA256" s="150">
        <f t="shared" si="673"/>
        <v>7.7768888380894324E-2</v>
      </c>
      <c r="EB256" s="150">
        <f t="shared" si="699"/>
        <v>2.5920000000000005</v>
      </c>
      <c r="EC256" s="150">
        <f t="shared" si="700"/>
        <v>0.51229205986353088</v>
      </c>
      <c r="ED256" s="150">
        <f t="shared" si="701"/>
        <v>5.0596138474027521</v>
      </c>
      <c r="EE256" s="144">
        <f t="shared" si="674"/>
        <v>2.1330895098759588</v>
      </c>
      <c r="EF256" s="5">
        <f t="shared" si="675"/>
        <v>4.3915767219957408E-2</v>
      </c>
      <c r="EH256" s="150">
        <f t="shared" si="702"/>
        <v>0.17887521529865277</v>
      </c>
      <c r="EI256" s="150">
        <f t="shared" si="703"/>
        <v>0.61598070487672907</v>
      </c>
      <c r="EK256" s="456">
        <f t="shared" si="704"/>
        <v>6.3992685296278772E-4</v>
      </c>
      <c r="EL256" s="456">
        <f t="shared" si="705"/>
        <v>0.508608530011049</v>
      </c>
      <c r="EM256" s="456">
        <f t="shared" si="706"/>
        <v>4.3749999999999997E-2</v>
      </c>
      <c r="EN256" s="456">
        <f t="shared" si="707"/>
        <v>0.14970060000000002</v>
      </c>
      <c r="EO256">
        <f t="shared" si="708"/>
        <v>2.7E-2</v>
      </c>
      <c r="EP256" s="144">
        <f t="shared" si="709"/>
        <v>70.75</v>
      </c>
      <c r="EQ256" s="144"/>
      <c r="ER256" s="144">
        <f t="shared" si="710"/>
        <v>729.69905686401171</v>
      </c>
      <c r="ES256" s="456">
        <f t="shared" si="711"/>
        <v>0.33599999999999997</v>
      </c>
      <c r="EV256" s="144">
        <f t="shared" si="712"/>
        <v>335.99999999999994</v>
      </c>
      <c r="EW256" s="456">
        <f t="shared" si="713"/>
        <v>9.5989027944418158E-4</v>
      </c>
      <c r="EX256" s="456">
        <f t="shared" si="714"/>
        <v>1.1382966863412959E-2</v>
      </c>
      <c r="EY256" s="456">
        <f t="shared" si="715"/>
        <v>0.1490766906489118</v>
      </c>
      <c r="EZ256" s="456"/>
      <c r="FA256" s="456">
        <f t="shared" si="716"/>
        <v>4.3200000000000009E-4</v>
      </c>
      <c r="FB256" s="144">
        <f t="shared" si="717"/>
        <v>161.85154779176892</v>
      </c>
      <c r="FC256" s="150">
        <f t="shared" si="718"/>
        <v>1.2275506046557805</v>
      </c>
      <c r="FD256" s="5">
        <f t="shared" si="719"/>
        <v>2.4</v>
      </c>
      <c r="FE256" s="150">
        <f t="shared" si="720"/>
        <v>0.66160345135357157</v>
      </c>
      <c r="FF256" s="5">
        <f t="shared" si="721"/>
        <v>66.160345135357161</v>
      </c>
      <c r="FI256" s="59">
        <f t="shared" si="676"/>
        <v>-50</v>
      </c>
      <c r="FJ256">
        <f t="shared" si="677"/>
        <v>-50</v>
      </c>
      <c r="FL256">
        <f t="shared" si="760"/>
        <v>0.86409875978771467</v>
      </c>
    </row>
    <row r="257" spans="5:168">
      <c r="E257" s="147">
        <v>41</v>
      </c>
      <c r="F257" s="188">
        <f t="shared" si="761"/>
        <v>0.49199999999999994</v>
      </c>
      <c r="G257" s="188"/>
      <c r="H257" s="188">
        <f t="shared" si="726"/>
        <v>2.4599999999999995</v>
      </c>
      <c r="I257" s="465">
        <f t="shared" si="727"/>
        <v>59.972780534805942</v>
      </c>
      <c r="J257" s="149">
        <f t="shared" si="728"/>
        <v>5.4163316791164346</v>
      </c>
      <c r="K257" s="149">
        <f t="shared" si="729"/>
        <v>65.389112213922374</v>
      </c>
      <c r="L257" s="379"/>
      <c r="M257" s="188">
        <f t="shared" si="730"/>
        <v>8.2839892753697589E-2</v>
      </c>
      <c r="N257" s="149">
        <f t="shared" si="731"/>
        <v>12.792957172184245</v>
      </c>
      <c r="O257" s="149">
        <f t="shared" si="599"/>
        <v>2.4599999999999995</v>
      </c>
      <c r="P257" s="188">
        <f t="shared" si="732"/>
        <v>2.558591434436849</v>
      </c>
      <c r="Q257" s="188">
        <f t="shared" si="733"/>
        <v>5</v>
      </c>
      <c r="R257" s="188"/>
      <c r="S257" s="149">
        <f t="shared" si="734"/>
        <v>244.86476699835603</v>
      </c>
      <c r="T257" s="149">
        <f t="shared" si="735"/>
        <v>5</v>
      </c>
      <c r="U257" s="188">
        <f t="shared" si="736"/>
        <v>1.0728770170285522</v>
      </c>
      <c r="V257" s="188">
        <f t="shared" si="737"/>
        <v>0.21467279138192932</v>
      </c>
      <c r="W257" s="188">
        <f t="shared" si="738"/>
        <v>2.376982239470764</v>
      </c>
      <c r="X257" s="172">
        <f t="shared" si="739"/>
        <v>350</v>
      </c>
      <c r="Y257" s="379">
        <f t="shared" si="680"/>
        <v>350</v>
      </c>
      <c r="AA257" s="188">
        <f t="shared" si="740"/>
        <v>1.1827819942484064</v>
      </c>
      <c r="AB257" s="150">
        <f t="shared" si="741"/>
        <v>2.620479093942091</v>
      </c>
      <c r="AC257" s="150">
        <f t="shared" si="742"/>
        <v>0.5424047105083396</v>
      </c>
      <c r="AD257" s="150"/>
      <c r="AE257" s="150">
        <f t="shared" si="743"/>
        <v>2.2155216317841075</v>
      </c>
      <c r="AF257" s="314">
        <f t="shared" si="744"/>
        <v>444.13919768754761</v>
      </c>
      <c r="AG257" s="456">
        <f t="shared" si="745"/>
        <v>0.38771628556221888</v>
      </c>
      <c r="AI257" s="150">
        <f t="shared" si="746"/>
        <v>1.1264853022787895</v>
      </c>
      <c r="AJ257" s="150">
        <f t="shared" si="747"/>
        <v>1.1264853022787895</v>
      </c>
      <c r="AK257" s="150">
        <f t="shared" si="748"/>
        <v>1.293692816502807</v>
      </c>
      <c r="AM257" s="314">
        <f t="shared" si="749"/>
        <v>491.99999999999994</v>
      </c>
      <c r="AN257" s="144">
        <f t="shared" si="750"/>
        <v>350</v>
      </c>
      <c r="AP257">
        <f t="shared" si="751"/>
        <v>491.99999999999994</v>
      </c>
      <c r="AQ257">
        <f t="shared" si="752"/>
        <v>350</v>
      </c>
      <c r="AS257" s="5">
        <f t="shared" si="600"/>
        <v>2.8571428571428572</v>
      </c>
      <c r="AT257" s="5">
        <f t="shared" si="753"/>
        <v>0.22539931460240098</v>
      </c>
      <c r="AU257" s="5">
        <f t="shared" si="722"/>
        <v>2.6317435425404563</v>
      </c>
      <c r="AV257" s="5"/>
      <c r="AW257" s="150">
        <f t="shared" si="723"/>
        <v>7.888976011084034E-2</v>
      </c>
      <c r="AX257" s="150">
        <f t="shared" si="631"/>
        <v>2.6648351861252855</v>
      </c>
      <c r="AY257" s="150">
        <f t="shared" si="632"/>
        <v>0.5188085735068142</v>
      </c>
      <c r="AZ257" s="150">
        <f t="shared" si="633"/>
        <v>5.1364517130330052</v>
      </c>
      <c r="BA257" s="144">
        <f t="shared" si="724"/>
        <v>2.2179292556876256</v>
      </c>
      <c r="BB257" s="5">
        <f t="shared" si="725"/>
        <v>4.4979357419294874E-2</v>
      </c>
      <c r="BD257" s="150">
        <f t="shared" si="681"/>
        <v>0.1826733612643375</v>
      </c>
      <c r="BE257" s="150">
        <f t="shared" si="682"/>
        <v>0.62419560649508532</v>
      </c>
      <c r="BG257" s="456">
        <f t="shared" si="683"/>
        <v>6.6739113831222315E-4</v>
      </c>
      <c r="BH257" s="456">
        <f t="shared" si="754"/>
        <v>0.48339292206215079</v>
      </c>
      <c r="BI257" s="456">
        <f t="shared" si="755"/>
        <v>0.52476182967955198</v>
      </c>
      <c r="BJ257" s="456">
        <f t="shared" si="684"/>
        <v>0.14965075986437262</v>
      </c>
      <c r="BK257">
        <f t="shared" si="685"/>
        <v>2.6987751240662675E-2</v>
      </c>
      <c r="BL257" s="144">
        <f t="shared" si="686"/>
        <v>551.74958092021461</v>
      </c>
      <c r="BM257" s="456">
        <f t="shared" si="756"/>
        <v>0.6339918021054719</v>
      </c>
      <c r="BN257" s="144">
        <f t="shared" si="687"/>
        <v>633.99180210547195</v>
      </c>
      <c r="BO257" s="456">
        <f t="shared" si="637"/>
        <v>0.34439999999999993</v>
      </c>
      <c r="BR257" s="144">
        <f t="shared" si="688"/>
        <v>344.39999999999992</v>
      </c>
      <c r="BS257" s="456">
        <f t="shared" si="689"/>
        <v>1.0010867074683348E-3</v>
      </c>
      <c r="BT257" s="456">
        <f t="shared" si="690"/>
        <v>1.1688604655033021E-2</v>
      </c>
      <c r="BU257" s="456">
        <f t="shared" si="691"/>
        <v>0.1543312733296909</v>
      </c>
      <c r="BV257" s="456"/>
      <c r="BW257" s="456">
        <f t="shared" si="692"/>
        <v>4.4413919768754756E-4</v>
      </c>
      <c r="BX257" s="144">
        <f t="shared" si="693"/>
        <v>167.4651038898798</v>
      </c>
      <c r="BY257" s="150">
        <f t="shared" si="694"/>
        <v>1.6973257578749301</v>
      </c>
      <c r="BZ257" s="5">
        <f t="shared" si="695"/>
        <v>2.4599999999999995</v>
      </c>
      <c r="CA257" s="150">
        <f t="shared" si="696"/>
        <v>0.59172654328090479</v>
      </c>
      <c r="CB257" s="5">
        <f t="shared" si="697"/>
        <v>59.172654328090481</v>
      </c>
      <c r="CE257" s="59">
        <f t="shared" si="757"/>
        <v>-50</v>
      </c>
      <c r="CF257">
        <f t="shared" si="758"/>
        <v>-50</v>
      </c>
      <c r="CG257" s="150">
        <f t="shared" si="759"/>
        <v>0.90376500142884364</v>
      </c>
      <c r="CI257" s="147">
        <v>41</v>
      </c>
      <c r="CJ257" s="188">
        <f t="shared" si="698"/>
        <v>0.49199999999999994</v>
      </c>
      <c r="CK257" s="188"/>
      <c r="CL257" s="188">
        <f t="shared" si="641"/>
        <v>2.4599999999999995</v>
      </c>
      <c r="CM257" s="465">
        <f t="shared" si="642"/>
        <v>60</v>
      </c>
      <c r="CN257" s="379">
        <f t="shared" si="643"/>
        <v>5.4</v>
      </c>
      <c r="CO257" s="379">
        <f t="shared" si="644"/>
        <v>65.400000000000006</v>
      </c>
      <c r="CP257" s="379"/>
      <c r="CQ257" s="188">
        <f t="shared" si="645"/>
        <v>8.2568807339449546E-2</v>
      </c>
      <c r="CR257" s="149">
        <f t="shared" si="646"/>
        <v>12.756880733944957</v>
      </c>
      <c r="CS257" s="149">
        <f t="shared" si="647"/>
        <v>2.4599999999999995</v>
      </c>
      <c r="CT257" s="188">
        <f t="shared" si="648"/>
        <v>2.5513761467889915</v>
      </c>
      <c r="CU257" s="188">
        <f t="shared" si="649"/>
        <v>5</v>
      </c>
      <c r="CV257" s="188"/>
      <c r="CW257" s="149">
        <f t="shared" si="650"/>
        <v>244.97585791380703</v>
      </c>
      <c r="CX257" s="149">
        <f t="shared" si="651"/>
        <v>5</v>
      </c>
      <c r="CY257" s="188">
        <f t="shared" si="652"/>
        <v>0.99311111111111083</v>
      </c>
      <c r="CZ257" s="188">
        <f t="shared" si="653"/>
        <v>0.19862222222222217</v>
      </c>
      <c r="DA257" s="188">
        <f t="shared" si="654"/>
        <v>2.2069135802469129</v>
      </c>
      <c r="DB257" s="172">
        <f t="shared" si="655"/>
        <v>350</v>
      </c>
      <c r="DC257" s="379">
        <f t="shared" si="656"/>
        <v>350</v>
      </c>
      <c r="DE257" s="188">
        <f t="shared" si="657"/>
        <v>1.179554390563565</v>
      </c>
      <c r="DF257" s="150">
        <f t="shared" si="658"/>
        <v>2.6212319790301444</v>
      </c>
      <c r="DG257" s="150">
        <f t="shared" si="659"/>
        <v>0.54107999567136011</v>
      </c>
      <c r="DH257" s="150"/>
      <c r="DI257" s="150">
        <f t="shared" si="660"/>
        <v>2.2222222222222219</v>
      </c>
      <c r="DJ257" s="314">
        <f t="shared" si="661"/>
        <v>442.8</v>
      </c>
      <c r="DK257" s="456">
        <f t="shared" si="662"/>
        <v>0.38888888888888884</v>
      </c>
      <c r="DM257" s="150">
        <f t="shared" si="663"/>
        <v>1.1247856938736629</v>
      </c>
      <c r="DN257" s="150">
        <f t="shared" si="664"/>
        <v>1.1247856938736629</v>
      </c>
      <c r="DO257" s="150">
        <f t="shared" si="665"/>
        <v>1.2924338473138244</v>
      </c>
      <c r="DQ257" s="314">
        <f t="shared" si="666"/>
        <v>491.99999999999994</v>
      </c>
      <c r="DR257" s="144">
        <f t="shared" si="667"/>
        <v>350</v>
      </c>
      <c r="DT257">
        <f t="shared" si="668"/>
        <v>491.99999999999994</v>
      </c>
      <c r="DU257">
        <f t="shared" si="669"/>
        <v>350</v>
      </c>
      <c r="DW257" s="5">
        <f t="shared" si="670"/>
        <v>2.8571428571428572</v>
      </c>
      <c r="DX257" s="5">
        <f t="shared" si="671"/>
        <v>0.22495713877473258</v>
      </c>
      <c r="DY257" s="5">
        <f t="shared" si="672"/>
        <v>2.6321857183681248</v>
      </c>
      <c r="DZ257" s="5"/>
      <c r="EA257" s="150">
        <f t="shared" si="673"/>
        <v>7.87349985711564E-2</v>
      </c>
      <c r="EB257" s="150">
        <f t="shared" si="699"/>
        <v>2.6568000000000005</v>
      </c>
      <c r="EC257" s="150">
        <f t="shared" si="700"/>
        <v>0.51811284693683146</v>
      </c>
      <c r="ED257" s="150">
        <f t="shared" si="701"/>
        <v>5.1278404226172736</v>
      </c>
      <c r="EE257" s="144">
        <f t="shared" si="674"/>
        <v>2.2135782455433684</v>
      </c>
      <c r="EF257" s="5">
        <f t="shared" si="675"/>
        <v>4.496650602212212E-2</v>
      </c>
      <c r="EH257" s="150">
        <f t="shared" si="702"/>
        <v>0.1822187522818399</v>
      </c>
      <c r="EI257" s="150">
        <f t="shared" si="703"/>
        <v>0.62330619444309654</v>
      </c>
      <c r="EK257" s="456">
        <f t="shared" si="704"/>
        <v>6.6407347366301067E-4</v>
      </c>
      <c r="EL257" s="456">
        <f t="shared" si="705"/>
        <v>0.5149268906553629</v>
      </c>
      <c r="EM257" s="456">
        <f t="shared" si="706"/>
        <v>4.3749999999999997E-2</v>
      </c>
      <c r="EN257" s="456">
        <f t="shared" si="707"/>
        <v>0.14970060000000002</v>
      </c>
      <c r="EO257">
        <f t="shared" si="708"/>
        <v>2.7E-2</v>
      </c>
      <c r="EP257" s="144">
        <f t="shared" si="709"/>
        <v>70.75</v>
      </c>
      <c r="EQ257" s="144"/>
      <c r="ER257" s="144">
        <f t="shared" si="710"/>
        <v>736.04156412902603</v>
      </c>
      <c r="ES257" s="456">
        <f t="shared" si="711"/>
        <v>0.34439999999999993</v>
      </c>
      <c r="EV257" s="144">
        <f t="shared" si="712"/>
        <v>344.39999999999992</v>
      </c>
      <c r="EW257" s="456">
        <f t="shared" si="713"/>
        <v>9.9611021049451584E-4</v>
      </c>
      <c r="EX257" s="456">
        <f t="shared" si="714"/>
        <v>1.1655318360934058E-2</v>
      </c>
      <c r="EY257" s="456">
        <f t="shared" si="715"/>
        <v>0.153749805494791</v>
      </c>
      <c r="EZ257" s="456"/>
      <c r="FA257" s="456">
        <f t="shared" si="716"/>
        <v>4.4280000000000008E-4</v>
      </c>
      <c r="FB257" s="144">
        <f t="shared" si="717"/>
        <v>166.84403406621956</v>
      </c>
      <c r="FC257" s="150">
        <f t="shared" si="718"/>
        <v>1.2472855981952455</v>
      </c>
      <c r="FD257" s="5">
        <f t="shared" si="719"/>
        <v>2.4599999999999995</v>
      </c>
      <c r="FE257" s="150">
        <f t="shared" si="720"/>
        <v>0.66355826516240335</v>
      </c>
      <c r="FF257" s="5">
        <f t="shared" si="721"/>
        <v>66.355826516240342</v>
      </c>
      <c r="FI257" s="59">
        <f t="shared" si="676"/>
        <v>-50</v>
      </c>
      <c r="FJ257">
        <f t="shared" si="677"/>
        <v>-50</v>
      </c>
      <c r="FL257">
        <f t="shared" si="760"/>
        <v>0.8748333174572932</v>
      </c>
    </row>
    <row r="258" spans="5:168">
      <c r="E258" s="147">
        <v>42</v>
      </c>
      <c r="F258" s="188">
        <f t="shared" si="761"/>
        <v>0.504</v>
      </c>
      <c r="G258" s="188"/>
      <c r="H258" s="188">
        <f t="shared" si="726"/>
        <v>2.52</v>
      </c>
      <c r="I258" s="465">
        <f t="shared" si="727"/>
        <v>59.972087168762449</v>
      </c>
      <c r="J258" s="149">
        <f t="shared" si="728"/>
        <v>5.4167476987425314</v>
      </c>
      <c r="K258" s="149">
        <f t="shared" si="729"/>
        <v>65.388834867504983</v>
      </c>
      <c r="L258" s="379"/>
      <c r="M258" s="188">
        <f t="shared" si="730"/>
        <v>8.2843639711117495E-2</v>
      </c>
      <c r="N258" s="149">
        <f t="shared" si="731"/>
        <v>12.793387903991675</v>
      </c>
      <c r="O258" s="149">
        <f t="shared" si="599"/>
        <v>2.52</v>
      </c>
      <c r="P258" s="188">
        <f t="shared" si="732"/>
        <v>2.5586775807983351</v>
      </c>
      <c r="Q258" s="188">
        <f t="shared" si="733"/>
        <v>5</v>
      </c>
      <c r="R258" s="188"/>
      <c r="S258" s="149">
        <f t="shared" si="734"/>
        <v>237.60929343431138</v>
      </c>
      <c r="T258" s="149">
        <f t="shared" si="735"/>
        <v>5</v>
      </c>
      <c r="U258" s="188">
        <f t="shared" si="736"/>
        <v>1.0990492391967974</v>
      </c>
      <c r="V258" s="188">
        <f t="shared" si="737"/>
        <v>0.21991215402006364</v>
      </c>
      <c r="W258" s="188">
        <f t="shared" si="738"/>
        <v>2.4347803523179103</v>
      </c>
      <c r="X258" s="172">
        <f t="shared" si="739"/>
        <v>350</v>
      </c>
      <c r="Y258" s="379">
        <f t="shared" si="680"/>
        <v>350</v>
      </c>
      <c r="AA258" s="188">
        <f t="shared" si="740"/>
        <v>1.1828641832989919</v>
      </c>
      <c r="AB258" s="150">
        <f t="shared" si="741"/>
        <v>2.6204599122981214</v>
      </c>
      <c r="AC258" s="150">
        <f t="shared" si="742"/>
        <v>0.54243843045494644</v>
      </c>
      <c r="AD258" s="150"/>
      <c r="AE258" s="150">
        <f t="shared" si="743"/>
        <v>2.2153514742408502</v>
      </c>
      <c r="AF258" s="314">
        <f t="shared" si="744"/>
        <v>455.00680669437264</v>
      </c>
      <c r="AG258" s="456">
        <f t="shared" si="745"/>
        <v>0.38768650799214882</v>
      </c>
      <c r="AI258" s="150">
        <f t="shared" si="746"/>
        <v>1.1401839534470775</v>
      </c>
      <c r="AJ258" s="150">
        <f t="shared" si="747"/>
        <v>1.1401839534470775</v>
      </c>
      <c r="AK258" s="150">
        <f t="shared" si="748"/>
        <v>1.3038399655163535</v>
      </c>
      <c r="AM258" s="314">
        <f t="shared" si="749"/>
        <v>504</v>
      </c>
      <c r="AN258" s="144">
        <f t="shared" si="750"/>
        <v>350</v>
      </c>
      <c r="AP258">
        <f t="shared" si="751"/>
        <v>504</v>
      </c>
      <c r="AQ258">
        <f t="shared" si="752"/>
        <v>350</v>
      </c>
      <c r="AS258" s="5">
        <f t="shared" si="600"/>
        <v>2.8571428571428572</v>
      </c>
      <c r="AT258" s="5">
        <f t="shared" si="753"/>
        <v>0.22814292593924521</v>
      </c>
      <c r="AU258" s="5">
        <f t="shared" si="722"/>
        <v>2.6289999312036119</v>
      </c>
      <c r="AV258" s="5"/>
      <c r="AW258" s="150">
        <f t="shared" si="723"/>
        <v>7.9850024078735815E-2</v>
      </c>
      <c r="AX258" s="150">
        <f t="shared" si="631"/>
        <v>2.730040840166235</v>
      </c>
      <c r="AY258" s="150">
        <f t="shared" si="632"/>
        <v>0.52457011865507008</v>
      </c>
      <c r="AZ258" s="150">
        <f t="shared" si="633"/>
        <v>5.2043392162056552</v>
      </c>
      <c r="BA258" s="144">
        <f t="shared" si="724"/>
        <v>2.2996806934675917</v>
      </c>
      <c r="BB258" s="5">
        <f t="shared" si="725"/>
        <v>4.6028912083647178E-2</v>
      </c>
      <c r="BD258" s="150">
        <f t="shared" si="681"/>
        <v>0.1860166517649488</v>
      </c>
      <c r="BE258" s="150">
        <f t="shared" si="682"/>
        <v>0.63145674528471085</v>
      </c>
      <c r="BG258" s="456">
        <f t="shared" si="683"/>
        <v>6.920438946768447E-4</v>
      </c>
      <c r="BH258" s="456">
        <f t="shared" si="754"/>
        <v>0.48926915789410269</v>
      </c>
      <c r="BI258" s="456">
        <f t="shared" si="755"/>
        <v>0.52475576272667135</v>
      </c>
      <c r="BJ258" s="456">
        <f t="shared" si="684"/>
        <v>0.14964949038654424</v>
      </c>
      <c r="BK258">
        <f t="shared" si="685"/>
        <v>2.6987439225943103E-2</v>
      </c>
      <c r="BL258" s="144">
        <f t="shared" si="686"/>
        <v>551.74320195261453</v>
      </c>
      <c r="BM258" s="456">
        <f t="shared" si="756"/>
        <v>0.63990276300104298</v>
      </c>
      <c r="BN258" s="144">
        <f t="shared" si="687"/>
        <v>639.90276300104301</v>
      </c>
      <c r="BO258" s="456">
        <f t="shared" si="637"/>
        <v>0.3528</v>
      </c>
      <c r="BR258" s="144">
        <f t="shared" si="688"/>
        <v>352.8</v>
      </c>
      <c r="BS258" s="456">
        <f t="shared" si="689"/>
        <v>1.0380658420152669E-3</v>
      </c>
      <c r="BT258" s="456">
        <f t="shared" si="690"/>
        <v>1.1962128634966806E-2</v>
      </c>
      <c r="BU258" s="456">
        <f t="shared" si="691"/>
        <v>0.15906602439989831</v>
      </c>
      <c r="BV258" s="456"/>
      <c r="BW258" s="456">
        <f t="shared" si="692"/>
        <v>4.5500680669437253E-4</v>
      </c>
      <c r="BX258" s="144">
        <f t="shared" si="693"/>
        <v>172.52122568357478</v>
      </c>
      <c r="BY258" s="150">
        <f t="shared" si="694"/>
        <v>1.7166751198115129</v>
      </c>
      <c r="BZ258" s="5">
        <f t="shared" si="695"/>
        <v>2.52</v>
      </c>
      <c r="CA258" s="150">
        <f t="shared" si="696"/>
        <v>0.59480605161722044</v>
      </c>
      <c r="CB258" s="5">
        <f t="shared" si="697"/>
        <v>59.480605161722046</v>
      </c>
      <c r="CE258" s="59">
        <f t="shared" si="757"/>
        <v>-50</v>
      </c>
      <c r="CF258">
        <f t="shared" si="758"/>
        <v>-50</v>
      </c>
      <c r="CG258" s="150">
        <f t="shared" si="759"/>
        <v>0.90281060296375693</v>
      </c>
      <c r="CI258" s="147">
        <v>42</v>
      </c>
      <c r="CJ258" s="188">
        <f t="shared" si="698"/>
        <v>0.504</v>
      </c>
      <c r="CK258" s="188"/>
      <c r="CL258" s="188">
        <f t="shared" si="641"/>
        <v>2.52</v>
      </c>
      <c r="CM258" s="465">
        <f t="shared" si="642"/>
        <v>60</v>
      </c>
      <c r="CN258" s="379">
        <f t="shared" si="643"/>
        <v>5.4</v>
      </c>
      <c r="CO258" s="379">
        <f t="shared" si="644"/>
        <v>65.400000000000006</v>
      </c>
      <c r="CP258" s="379"/>
      <c r="CQ258" s="188">
        <f t="shared" si="645"/>
        <v>8.2568807339449546E-2</v>
      </c>
      <c r="CR258" s="149">
        <f t="shared" si="646"/>
        <v>12.756880733944957</v>
      </c>
      <c r="CS258" s="149">
        <f t="shared" si="647"/>
        <v>2.52</v>
      </c>
      <c r="CT258" s="188">
        <f t="shared" si="648"/>
        <v>2.5513761467889915</v>
      </c>
      <c r="CU258" s="188">
        <f t="shared" si="649"/>
        <v>5</v>
      </c>
      <c r="CV258" s="188"/>
      <c r="CW258" s="149">
        <f t="shared" si="650"/>
        <v>237.71983720584399</v>
      </c>
      <c r="CX258" s="149">
        <f t="shared" si="651"/>
        <v>5</v>
      </c>
      <c r="CY258" s="188">
        <f t="shared" si="652"/>
        <v>1.0173333333333332</v>
      </c>
      <c r="CZ258" s="188">
        <f t="shared" si="653"/>
        <v>0.20346666666666666</v>
      </c>
      <c r="DA258" s="188">
        <f t="shared" si="654"/>
        <v>2.2607407407407401</v>
      </c>
      <c r="DB258" s="172">
        <f t="shared" si="655"/>
        <v>350</v>
      </c>
      <c r="DC258" s="379">
        <f t="shared" si="656"/>
        <v>350</v>
      </c>
      <c r="DE258" s="188">
        <f t="shared" si="657"/>
        <v>1.179554390563565</v>
      </c>
      <c r="DF258" s="150">
        <f t="shared" si="658"/>
        <v>2.6212319790301444</v>
      </c>
      <c r="DG258" s="150">
        <f t="shared" si="659"/>
        <v>0.54107999567136011</v>
      </c>
      <c r="DH258" s="150"/>
      <c r="DI258" s="150">
        <f t="shared" si="660"/>
        <v>2.2222222222222219</v>
      </c>
      <c r="DJ258" s="314">
        <f t="shared" si="661"/>
        <v>453.60000000000008</v>
      </c>
      <c r="DK258" s="456">
        <f t="shared" si="662"/>
        <v>0.38888888888888884</v>
      </c>
      <c r="DM258" s="150">
        <f t="shared" si="663"/>
        <v>1.1384199576606167</v>
      </c>
      <c r="DN258" s="150">
        <f t="shared" si="664"/>
        <v>1.1384199576606167</v>
      </c>
      <c r="DO258" s="150">
        <f t="shared" si="665"/>
        <v>1.3025333019708272</v>
      </c>
      <c r="DQ258" s="314">
        <f t="shared" si="666"/>
        <v>504</v>
      </c>
      <c r="DR258" s="144">
        <f t="shared" si="667"/>
        <v>350</v>
      </c>
      <c r="DT258">
        <f t="shared" si="668"/>
        <v>504</v>
      </c>
      <c r="DU258">
        <f t="shared" si="669"/>
        <v>350</v>
      </c>
      <c r="DW258" s="5">
        <f t="shared" si="670"/>
        <v>2.8571428571428572</v>
      </c>
      <c r="DX258" s="5">
        <f t="shared" si="671"/>
        <v>0.22768399153212335</v>
      </c>
      <c r="DY258" s="5">
        <f t="shared" si="672"/>
        <v>2.6294588656107338</v>
      </c>
      <c r="DZ258" s="5"/>
      <c r="EA258" s="150">
        <f t="shared" si="673"/>
        <v>7.968939703624317E-2</v>
      </c>
      <c r="EB258" s="150">
        <f t="shared" si="699"/>
        <v>2.7216000000000005</v>
      </c>
      <c r="EC258" s="150">
        <f t="shared" si="700"/>
        <v>0.52384997883030837</v>
      </c>
      <c r="ED258" s="150">
        <f t="shared" si="701"/>
        <v>5.1953805669268016</v>
      </c>
      <c r="EE258" s="144">
        <f t="shared" si="674"/>
        <v>2.2950546346438032</v>
      </c>
      <c r="EF258" s="5">
        <f t="shared" si="675"/>
        <v>4.6015530148187843E-2</v>
      </c>
      <c r="EH258" s="150">
        <f t="shared" si="702"/>
        <v>0.18554196161423178</v>
      </c>
      <c r="EI258" s="150">
        <f t="shared" si="703"/>
        <v>0.63053483684911726</v>
      </c>
      <c r="EK258" s="456">
        <f t="shared" si="704"/>
        <v>6.8851639039314112E-4</v>
      </c>
      <c r="EL258" s="456">
        <f t="shared" si="705"/>
        <v>0.52116865661703038</v>
      </c>
      <c r="EM258" s="456">
        <f t="shared" si="706"/>
        <v>4.3749999999999997E-2</v>
      </c>
      <c r="EN258" s="456">
        <f t="shared" si="707"/>
        <v>0.14970060000000002</v>
      </c>
      <c r="EO258">
        <f t="shared" si="708"/>
        <v>2.7E-2</v>
      </c>
      <c r="EP258" s="144">
        <f t="shared" si="709"/>
        <v>70.75</v>
      </c>
      <c r="EQ258" s="144"/>
      <c r="ER258" s="144">
        <f t="shared" si="710"/>
        <v>742.30777300742352</v>
      </c>
      <c r="ES258" s="456">
        <f t="shared" si="711"/>
        <v>0.3528</v>
      </c>
      <c r="EV258" s="144">
        <f t="shared" si="712"/>
        <v>352.8</v>
      </c>
      <c r="EW258" s="456">
        <f t="shared" si="713"/>
        <v>1.0327745855897117E-3</v>
      </c>
      <c r="EX258" s="456">
        <f t="shared" si="714"/>
        <v>1.1927225414410287E-2</v>
      </c>
      <c r="EY258" s="456">
        <f t="shared" si="715"/>
        <v>0.15845150448168363</v>
      </c>
      <c r="EZ258" s="456"/>
      <c r="FA258" s="456">
        <f t="shared" si="716"/>
        <v>4.5360000000000008E-4</v>
      </c>
      <c r="FB258" s="144">
        <f t="shared" si="717"/>
        <v>171.86510448168363</v>
      </c>
      <c r="FC258" s="150">
        <f t="shared" si="718"/>
        <v>1.2669728774891071</v>
      </c>
      <c r="FD258" s="5">
        <f t="shared" si="719"/>
        <v>2.52</v>
      </c>
      <c r="FE258" s="150">
        <f t="shared" si="720"/>
        <v>0.66543914665447679</v>
      </c>
      <c r="FF258" s="5">
        <f t="shared" si="721"/>
        <v>66.543914665447673</v>
      </c>
      <c r="FI258" s="59">
        <f t="shared" si="676"/>
        <v>-50</v>
      </c>
      <c r="FJ258">
        <f t="shared" si="677"/>
        <v>-50</v>
      </c>
      <c r="FL258">
        <f t="shared" si="760"/>
        <v>0.8854377448471461</v>
      </c>
    </row>
    <row r="259" spans="5:168">
      <c r="E259" s="147">
        <v>43</v>
      </c>
      <c r="F259" s="188">
        <f t="shared" si="761"/>
        <v>0.51600000000000001</v>
      </c>
      <c r="G259" s="188"/>
      <c r="H259" s="188">
        <f t="shared" si="726"/>
        <v>2.58</v>
      </c>
      <c r="I259" s="465">
        <f t="shared" si="727"/>
        <v>59.971392693505393</v>
      </c>
      <c r="J259" s="149">
        <f t="shared" si="728"/>
        <v>5.417164383896762</v>
      </c>
      <c r="K259" s="149">
        <f t="shared" si="729"/>
        <v>65.388557077402155</v>
      </c>
      <c r="L259" s="379"/>
      <c r="M259" s="188">
        <f t="shared" si="730"/>
        <v>8.2847354179039434E-2</v>
      </c>
      <c r="N259" s="149">
        <f t="shared" si="731"/>
        <v>12.793813368554432</v>
      </c>
      <c r="O259" s="149">
        <f t="shared" si="599"/>
        <v>2.58</v>
      </c>
      <c r="P259" s="188">
        <f t="shared" si="732"/>
        <v>2.5587626737108864</v>
      </c>
      <c r="Q259" s="188">
        <f t="shared" si="733"/>
        <v>5</v>
      </c>
      <c r="R259" s="188"/>
      <c r="S259" s="149">
        <f t="shared" si="734"/>
        <v>230.69148588997294</v>
      </c>
      <c r="T259" s="149">
        <f t="shared" si="735"/>
        <v>5</v>
      </c>
      <c r="U259" s="188">
        <f t="shared" si="736"/>
        <v>1.1252216353540989</v>
      </c>
      <c r="V259" s="188">
        <f t="shared" si="737"/>
        <v>0.2251516767879139</v>
      </c>
      <c r="W259" s="188">
        <f t="shared" si="738"/>
        <v>2.4925696669622264</v>
      </c>
      <c r="X259" s="172">
        <f t="shared" si="739"/>
        <v>350</v>
      </c>
      <c r="Y259" s="379">
        <f t="shared" si="680"/>
        <v>342.7332093045946</v>
      </c>
      <c r="AA259" s="188">
        <f t="shared" si="740"/>
        <v>1.1829465024248413</v>
      </c>
      <c r="AB259" s="150">
        <f t="shared" si="741"/>
        <v>2.6204406998051741</v>
      </c>
      <c r="AC259" s="150">
        <f t="shared" si="742"/>
        <v>0.54247220311309097</v>
      </c>
      <c r="AD259" s="150"/>
      <c r="AE259" s="150">
        <f t="shared" si="743"/>
        <v>2.2151810706855395</v>
      </c>
      <c r="AF259" s="314">
        <f t="shared" si="744"/>
        <v>465.87613701512151</v>
      </c>
      <c r="AG259" s="456">
        <f t="shared" si="745"/>
        <v>0.38765668736996944</v>
      </c>
      <c r="AI259" s="150">
        <f t="shared" si="746"/>
        <v>1.1537220970346636</v>
      </c>
      <c r="AJ259" s="150">
        <f t="shared" si="747"/>
        <v>1.1537220970346636</v>
      </c>
      <c r="AK259" s="150">
        <f t="shared" si="748"/>
        <v>1.3138682200256766</v>
      </c>
      <c r="AM259" s="314">
        <f t="shared" si="749"/>
        <v>516</v>
      </c>
      <c r="AN259" s="144">
        <f t="shared" si="750"/>
        <v>342.7332093045946</v>
      </c>
      <c r="AP259">
        <f t="shared" si="751"/>
        <v>516</v>
      </c>
      <c r="AQ259">
        <f t="shared" si="752"/>
        <v>342.7332093045946</v>
      </c>
      <c r="AS259" s="5">
        <f t="shared" si="600"/>
        <v>2.9177213437501406</v>
      </c>
      <c r="AT259" s="5">
        <f t="shared" si="753"/>
        <v>0.23085448815857287</v>
      </c>
      <c r="AU259" s="5">
        <f t="shared" si="722"/>
        <v>2.6868668555915676</v>
      </c>
      <c r="AV259" s="5"/>
      <c r="AW259" s="150">
        <f t="shared" si="723"/>
        <v>7.9121499608957216E-2</v>
      </c>
      <c r="AX259" s="150">
        <f t="shared" si="631"/>
        <v>2.7372209756163364</v>
      </c>
      <c r="AY259" s="150">
        <f t="shared" si="632"/>
        <v>0.53121893729264502</v>
      </c>
      <c r="AZ259" s="150">
        <f t="shared" si="633"/>
        <v>5.15271723852047</v>
      </c>
      <c r="BA259" s="144">
        <f t="shared" si="724"/>
        <v>2.3824183177964722</v>
      </c>
      <c r="BB259" s="5">
        <f t="shared" si="725"/>
        <v>4.8162661229538738E-2</v>
      </c>
      <c r="BD259" s="150">
        <f t="shared" si="681"/>
        <v>0.18736472858257841</v>
      </c>
      <c r="BE259" s="150">
        <f t="shared" si="682"/>
        <v>0.63920733533431651</v>
      </c>
      <c r="BG259" s="456">
        <f t="shared" si="683"/>
        <v>7.0211083033646553E-4</v>
      </c>
      <c r="BH259" s="456">
        <f t="shared" si="754"/>
        <v>0.48479755885748865</v>
      </c>
      <c r="BI259" s="456">
        <f t="shared" si="755"/>
        <v>0.51385469710778042</v>
      </c>
      <c r="BJ259" s="456">
        <f t="shared" si="684"/>
        <v>0.14654118378450695</v>
      </c>
      <c r="BK259">
        <f t="shared" si="685"/>
        <v>2.6987126712077425E-2</v>
      </c>
      <c r="BL259" s="144">
        <f t="shared" si="686"/>
        <v>540.84182381985784</v>
      </c>
      <c r="BM259" s="456">
        <f t="shared" si="756"/>
        <v>0.63233591064268935</v>
      </c>
      <c r="BN259" s="144">
        <f t="shared" si="687"/>
        <v>632.33591064268933</v>
      </c>
      <c r="BO259" s="456">
        <f t="shared" si="637"/>
        <v>0.36119999999999997</v>
      </c>
      <c r="BR259" s="144">
        <f t="shared" si="688"/>
        <v>361.2</v>
      </c>
      <c r="BS259" s="456">
        <f t="shared" si="689"/>
        <v>1.0531662455046983E-3</v>
      </c>
      <c r="BT259" s="456">
        <f t="shared" si="690"/>
        <v>1.2257580526355919E-2</v>
      </c>
      <c r="BU259" s="456">
        <f t="shared" si="691"/>
        <v>0.15545815178354627</v>
      </c>
      <c r="BV259" s="456"/>
      <c r="BW259" s="456">
        <f t="shared" si="692"/>
        <v>4.5620349593605613E-4</v>
      </c>
      <c r="BX259" s="144">
        <f t="shared" si="693"/>
        <v>169.22510205134296</v>
      </c>
      <c r="BY259" s="150">
        <f t="shared" si="694"/>
        <v>1.7033077793435327</v>
      </c>
      <c r="BZ259" s="5">
        <f t="shared" si="695"/>
        <v>2.58</v>
      </c>
      <c r="CA259" s="150">
        <f t="shared" si="696"/>
        <v>0.60233822384704172</v>
      </c>
      <c r="CB259" s="5">
        <f t="shared" si="697"/>
        <v>60.233822384704169</v>
      </c>
      <c r="CE259" s="59">
        <f t="shared" si="757"/>
        <v>-50</v>
      </c>
      <c r="CF259">
        <f t="shared" si="758"/>
        <v>-50</v>
      </c>
      <c r="CG259" s="150">
        <f t="shared" si="759"/>
        <v>0.90186750034880481</v>
      </c>
      <c r="CI259" s="147">
        <v>43</v>
      </c>
      <c r="CJ259" s="188">
        <f t="shared" si="698"/>
        <v>0.51600000000000001</v>
      </c>
      <c r="CK259" s="188"/>
      <c r="CL259" s="188">
        <f t="shared" si="641"/>
        <v>2.58</v>
      </c>
      <c r="CM259" s="465">
        <f t="shared" si="642"/>
        <v>60</v>
      </c>
      <c r="CN259" s="379">
        <f t="shared" si="643"/>
        <v>5.4</v>
      </c>
      <c r="CO259" s="379">
        <f t="shared" si="644"/>
        <v>65.400000000000006</v>
      </c>
      <c r="CP259" s="379"/>
      <c r="CQ259" s="188">
        <f t="shared" si="645"/>
        <v>8.2568807339449546E-2</v>
      </c>
      <c r="CR259" s="149">
        <f t="shared" si="646"/>
        <v>12.756880733944957</v>
      </c>
      <c r="CS259" s="149">
        <f t="shared" si="647"/>
        <v>2.58</v>
      </c>
      <c r="CT259" s="188">
        <f t="shared" si="648"/>
        <v>2.5513761467889915</v>
      </c>
      <c r="CU259" s="188">
        <f t="shared" si="649"/>
        <v>5</v>
      </c>
      <c r="CV259" s="188"/>
      <c r="CW259" s="149">
        <f t="shared" si="650"/>
        <v>230.80147998248691</v>
      </c>
      <c r="CX259" s="149">
        <f t="shared" si="651"/>
        <v>5</v>
      </c>
      <c r="CY259" s="188">
        <f t="shared" si="652"/>
        <v>1.0415555555555556</v>
      </c>
      <c r="CZ259" s="188">
        <f t="shared" si="653"/>
        <v>0.20831111111111114</v>
      </c>
      <c r="DA259" s="188">
        <f t="shared" si="654"/>
        <v>2.3145679012345677</v>
      </c>
      <c r="DB259" s="172">
        <f t="shared" si="655"/>
        <v>350</v>
      </c>
      <c r="DC259" s="379">
        <f t="shared" si="656"/>
        <v>350</v>
      </c>
      <c r="DE259" s="188">
        <f t="shared" si="657"/>
        <v>1.179554390563565</v>
      </c>
      <c r="DF259" s="150">
        <f t="shared" si="658"/>
        <v>2.6212319790301444</v>
      </c>
      <c r="DG259" s="150">
        <f t="shared" si="659"/>
        <v>0.54107999567136011</v>
      </c>
      <c r="DH259" s="150"/>
      <c r="DI259" s="150">
        <f t="shared" si="660"/>
        <v>2.2222222222222219</v>
      </c>
      <c r="DJ259" s="314">
        <f t="shared" si="661"/>
        <v>464.40000000000003</v>
      </c>
      <c r="DK259" s="456">
        <f t="shared" si="662"/>
        <v>0.38888888888888884</v>
      </c>
      <c r="DM259" s="150">
        <f t="shared" si="663"/>
        <v>1.1518928521599321</v>
      </c>
      <c r="DN259" s="150">
        <f t="shared" si="664"/>
        <v>1.1518928521599321</v>
      </c>
      <c r="DO259" s="150">
        <f t="shared" si="665"/>
        <v>1.3125132238221719</v>
      </c>
      <c r="DQ259" s="314">
        <f t="shared" si="666"/>
        <v>516</v>
      </c>
      <c r="DR259" s="144">
        <f t="shared" si="667"/>
        <v>350</v>
      </c>
      <c r="DT259">
        <f t="shared" si="668"/>
        <v>516</v>
      </c>
      <c r="DU259">
        <f t="shared" si="669"/>
        <v>350</v>
      </c>
      <c r="DW259" s="5">
        <f t="shared" si="670"/>
        <v>2.8571428571428572</v>
      </c>
      <c r="DX259" s="5">
        <f t="shared" si="671"/>
        <v>0.2303785704319864</v>
      </c>
      <c r="DY259" s="5">
        <f t="shared" si="672"/>
        <v>2.6267642867108707</v>
      </c>
      <c r="DZ259" s="5"/>
      <c r="EA259" s="150">
        <f t="shared" si="673"/>
        <v>8.0632499651195233E-2</v>
      </c>
      <c r="EB259" s="150">
        <f t="shared" si="699"/>
        <v>2.7864000000000004</v>
      </c>
      <c r="EC259" s="150">
        <f t="shared" si="700"/>
        <v>0.52950642607996601</v>
      </c>
      <c r="ED259" s="150">
        <f t="shared" si="701"/>
        <v>5.2622590827239524</v>
      </c>
      <c r="EE259" s="144">
        <f t="shared" si="674"/>
        <v>2.3775068468580995</v>
      </c>
      <c r="EF259" s="5">
        <f t="shared" si="675"/>
        <v>4.7062860136903098E-2</v>
      </c>
      <c r="EH259" s="150">
        <f t="shared" si="702"/>
        <v>0.18884544660348976</v>
      </c>
      <c r="EI259" s="150">
        <f t="shared" si="703"/>
        <v>0.63767006483199662</v>
      </c>
      <c r="EK259" s="456">
        <f t="shared" si="704"/>
        <v>7.1325205405743002E-4</v>
      </c>
      <c r="EL259" s="456">
        <f t="shared" si="705"/>
        <v>0.52733654771881688</v>
      </c>
      <c r="EM259" s="456">
        <f t="shared" si="706"/>
        <v>4.3749999999999997E-2</v>
      </c>
      <c r="EN259" s="456">
        <f t="shared" si="707"/>
        <v>0.14970060000000002</v>
      </c>
      <c r="EO259">
        <f t="shared" si="708"/>
        <v>2.7E-2</v>
      </c>
      <c r="EP259" s="144">
        <f t="shared" si="709"/>
        <v>70.75</v>
      </c>
      <c r="EQ259" s="144"/>
      <c r="ER259" s="144">
        <f t="shared" si="710"/>
        <v>748.5003997728744</v>
      </c>
      <c r="ES259" s="456">
        <f t="shared" si="711"/>
        <v>0.36119999999999997</v>
      </c>
      <c r="EV259" s="144">
        <f t="shared" si="712"/>
        <v>361.2</v>
      </c>
      <c r="EW259" s="456">
        <f t="shared" si="713"/>
        <v>1.069878081086145E-3</v>
      </c>
      <c r="EX259" s="456">
        <f t="shared" si="714"/>
        <v>1.2198693347485282E-2</v>
      </c>
      <c r="EY259" s="456">
        <f t="shared" si="715"/>
        <v>0.16318127555811335</v>
      </c>
      <c r="EZ259" s="456"/>
      <c r="FA259" s="456">
        <f t="shared" si="716"/>
        <v>4.6440000000000012E-4</v>
      </c>
      <c r="FB259" s="144">
        <f t="shared" si="717"/>
        <v>176.91424698668479</v>
      </c>
      <c r="FC259" s="150">
        <f t="shared" si="718"/>
        <v>1.2866146467595592</v>
      </c>
      <c r="FD259" s="5">
        <f t="shared" si="719"/>
        <v>2.58</v>
      </c>
      <c r="FE259" s="150">
        <f t="shared" si="720"/>
        <v>0.66725035611246786</v>
      </c>
      <c r="FF259" s="5">
        <f t="shared" si="721"/>
        <v>66.725035611246781</v>
      </c>
      <c r="FI259" s="59">
        <f t="shared" si="676"/>
        <v>-50</v>
      </c>
      <c r="FJ259">
        <f t="shared" si="677"/>
        <v>-50</v>
      </c>
      <c r="FL259">
        <f t="shared" si="760"/>
        <v>0.89591666279105819</v>
      </c>
    </row>
    <row r="260" spans="5:168">
      <c r="E260" s="147">
        <v>44</v>
      </c>
      <c r="F260" s="188">
        <f t="shared" si="761"/>
        <v>0.52800000000000002</v>
      </c>
      <c r="G260" s="188"/>
      <c r="H260" s="188">
        <f t="shared" si="726"/>
        <v>2.64</v>
      </c>
      <c r="I260" s="465">
        <f t="shared" si="727"/>
        <v>59.970697118928953</v>
      </c>
      <c r="J260" s="149">
        <f t="shared" si="728"/>
        <v>5.41758172864263</v>
      </c>
      <c r="K260" s="149">
        <f t="shared" si="729"/>
        <v>65.388278847571584</v>
      </c>
      <c r="L260" s="379"/>
      <c r="M260" s="188">
        <f t="shared" si="730"/>
        <v>8.2851037322486651E-2</v>
      </c>
      <c r="N260" s="149">
        <f t="shared" si="731"/>
        <v>12.794233748034008</v>
      </c>
      <c r="O260" s="149">
        <f t="shared" si="599"/>
        <v>2.64</v>
      </c>
      <c r="P260" s="188">
        <f t="shared" si="732"/>
        <v>2.5588467496068015</v>
      </c>
      <c r="Q260" s="188">
        <f t="shared" si="733"/>
        <v>5</v>
      </c>
      <c r="R260" s="188"/>
      <c r="S260" s="149">
        <f t="shared" si="734"/>
        <v>224.08832484867403</v>
      </c>
      <c r="T260" s="149">
        <f t="shared" si="735"/>
        <v>5</v>
      </c>
      <c r="U260" s="188">
        <f t="shared" si="736"/>
        <v>1.1513942041837202</v>
      </c>
      <c r="V260" s="188">
        <f t="shared" si="737"/>
        <v>0.23039135968028582</v>
      </c>
      <c r="W260" s="188">
        <f t="shared" si="738"/>
        <v>2.5503501640143065</v>
      </c>
      <c r="X260" s="172">
        <f t="shared" si="739"/>
        <v>350</v>
      </c>
      <c r="Y260" s="379">
        <f t="shared" si="680"/>
        <v>335.48698941212189</v>
      </c>
      <c r="AA260" s="188">
        <f t="shared" si="740"/>
        <v>1.1830289504464229</v>
      </c>
      <c r="AB260" s="150">
        <f t="shared" si="741"/>
        <v>2.6204214567361879</v>
      </c>
      <c r="AC260" s="150">
        <f t="shared" si="742"/>
        <v>0.54250602799573233</v>
      </c>
      <c r="AD260" s="150"/>
      <c r="AE260" s="150">
        <f t="shared" si="743"/>
        <v>2.2150104236649124</v>
      </c>
      <c r="AF260" s="314">
        <f t="shared" si="744"/>
        <v>476.7471921205514</v>
      </c>
      <c r="AG260" s="456">
        <f t="shared" si="745"/>
        <v>0.38762682414135974</v>
      </c>
      <c r="AI260" s="150">
        <f t="shared" si="746"/>
        <v>1.1671053228522896</v>
      </c>
      <c r="AJ260" s="150">
        <f t="shared" si="747"/>
        <v>1.1671053228522896</v>
      </c>
      <c r="AK260" s="150">
        <f t="shared" si="748"/>
        <v>1.3237817206313256</v>
      </c>
      <c r="AM260" s="314">
        <f t="shared" si="749"/>
        <v>528</v>
      </c>
      <c r="AN260" s="144">
        <f t="shared" si="750"/>
        <v>335.48698941212189</v>
      </c>
      <c r="AP260">
        <f t="shared" si="751"/>
        <v>528</v>
      </c>
      <c r="AQ260">
        <f t="shared" si="752"/>
        <v>335.48698941212189</v>
      </c>
      <c r="AS260" s="5">
        <f t="shared" si="600"/>
        <v>2.9807415236945931</v>
      </c>
      <c r="AT260" s="5">
        <f t="shared" si="753"/>
        <v>0.23353511876731045</v>
      </c>
      <c r="AU260" s="5">
        <f t="shared" si="722"/>
        <v>2.7472064049272826</v>
      </c>
      <c r="AV260" s="5"/>
      <c r="AW260" s="150">
        <f t="shared" si="723"/>
        <v>7.8347993917247311E-2</v>
      </c>
      <c r="AX260" s="150">
        <f t="shared" si="631"/>
        <v>2.7418710890606799</v>
      </c>
      <c r="AY260" s="150">
        <f t="shared" si="632"/>
        <v>0.5378324810583357</v>
      </c>
      <c r="AZ260" s="150">
        <f t="shared" si="633"/>
        <v>5.0980020464091016</v>
      </c>
      <c r="BA260" s="144">
        <f t="shared" si="724"/>
        <v>2.4661308541827984</v>
      </c>
      <c r="BB260" s="5">
        <f t="shared" si="725"/>
        <v>5.0390060322746857E-2</v>
      </c>
      <c r="BD260" s="150">
        <f t="shared" si="681"/>
        <v>0.18860941275386503</v>
      </c>
      <c r="BE260" s="150">
        <f t="shared" si="682"/>
        <v>0.64689368082966925</v>
      </c>
      <c r="BG260" s="456">
        <f t="shared" si="683"/>
        <v>7.114702115871564E-4</v>
      </c>
      <c r="BH260" s="456">
        <f t="shared" si="754"/>
        <v>0.48005048212314699</v>
      </c>
      <c r="BI260" s="456">
        <f t="shared" si="755"/>
        <v>0.50298471573439218</v>
      </c>
      <c r="BJ260" s="456">
        <f t="shared" si="684"/>
        <v>0.14344172336513733</v>
      </c>
      <c r="BK260">
        <f t="shared" si="685"/>
        <v>2.6986813703518027E-2</v>
      </c>
      <c r="BL260" s="144">
        <f t="shared" si="686"/>
        <v>529.97152943791025</v>
      </c>
      <c r="BM260" s="456">
        <f t="shared" si="756"/>
        <v>0.62450134168756555</v>
      </c>
      <c r="BN260" s="144">
        <f t="shared" si="687"/>
        <v>624.50134168756551</v>
      </c>
      <c r="BO260" s="456">
        <f t="shared" si="637"/>
        <v>0.36959999999999998</v>
      </c>
      <c r="BR260" s="144">
        <f t="shared" si="688"/>
        <v>369.59999999999997</v>
      </c>
      <c r="BS260" s="456">
        <f t="shared" si="689"/>
        <v>1.0672053173807346E-3</v>
      </c>
      <c r="BT260" s="456">
        <f t="shared" si="690"/>
        <v>1.2554143028920739E-2</v>
      </c>
      <c r="BU260" s="456">
        <f t="shared" si="691"/>
        <v>0.15168210067774798</v>
      </c>
      <c r="BV260" s="456"/>
      <c r="BW260" s="456">
        <f t="shared" si="692"/>
        <v>4.569785148434466E-4</v>
      </c>
      <c r="BX260" s="144">
        <f t="shared" si="693"/>
        <v>165.76042753889288</v>
      </c>
      <c r="BY260" s="150">
        <f t="shared" si="694"/>
        <v>1.6895356326766746</v>
      </c>
      <c r="BZ260" s="5">
        <f t="shared" si="695"/>
        <v>2.64</v>
      </c>
      <c r="CA260" s="150">
        <f t="shared" si="696"/>
        <v>0.60976516282136639</v>
      </c>
      <c r="CB260" s="5">
        <f t="shared" si="697"/>
        <v>60.976516282136636</v>
      </c>
      <c r="CE260" s="59">
        <f t="shared" si="757"/>
        <v>-50</v>
      </c>
      <c r="CF260">
        <f t="shared" si="758"/>
        <v>-50</v>
      </c>
      <c r="CG260" s="150">
        <f t="shared" si="759"/>
        <v>0.90093530175376113</v>
      </c>
      <c r="CI260" s="147">
        <v>44</v>
      </c>
      <c r="CJ260" s="188">
        <f t="shared" si="698"/>
        <v>0.52800000000000002</v>
      </c>
      <c r="CK260" s="188"/>
      <c r="CL260" s="188">
        <f t="shared" si="641"/>
        <v>2.64</v>
      </c>
      <c r="CM260" s="465">
        <f t="shared" si="642"/>
        <v>60</v>
      </c>
      <c r="CN260" s="379">
        <f t="shared" si="643"/>
        <v>5.4</v>
      </c>
      <c r="CO260" s="379">
        <f t="shared" si="644"/>
        <v>65.400000000000006</v>
      </c>
      <c r="CP260" s="379"/>
      <c r="CQ260" s="188">
        <f t="shared" si="645"/>
        <v>8.2568807339449546E-2</v>
      </c>
      <c r="CR260" s="149">
        <f t="shared" si="646"/>
        <v>12.756880733944957</v>
      </c>
      <c r="CS260" s="149">
        <f t="shared" si="647"/>
        <v>2.64</v>
      </c>
      <c r="CT260" s="188">
        <f t="shared" si="648"/>
        <v>2.5513761467889915</v>
      </c>
      <c r="CU260" s="188">
        <f t="shared" si="649"/>
        <v>5</v>
      </c>
      <c r="CV260" s="188"/>
      <c r="CW260" s="149">
        <f t="shared" si="650"/>
        <v>224.19776678741823</v>
      </c>
      <c r="CX260" s="149">
        <f t="shared" si="651"/>
        <v>5</v>
      </c>
      <c r="CY260" s="188">
        <f t="shared" si="652"/>
        <v>1.0657777777777777</v>
      </c>
      <c r="CZ260" s="188">
        <f t="shared" si="653"/>
        <v>0.21315555555555554</v>
      </c>
      <c r="DA260" s="188">
        <f t="shared" si="654"/>
        <v>2.3683950617283949</v>
      </c>
      <c r="DB260" s="172">
        <f t="shared" si="655"/>
        <v>350</v>
      </c>
      <c r="DC260" s="379">
        <f t="shared" si="656"/>
        <v>350</v>
      </c>
      <c r="DE260" s="188">
        <f t="shared" si="657"/>
        <v>1.179554390563565</v>
      </c>
      <c r="DF260" s="150">
        <f t="shared" si="658"/>
        <v>2.6212319790301444</v>
      </c>
      <c r="DG260" s="150">
        <f t="shared" si="659"/>
        <v>0.54107999567136011</v>
      </c>
      <c r="DH260" s="150"/>
      <c r="DI260" s="150">
        <f t="shared" si="660"/>
        <v>2.2222222222222219</v>
      </c>
      <c r="DJ260" s="314">
        <f t="shared" si="661"/>
        <v>475.20000000000005</v>
      </c>
      <c r="DK260" s="456">
        <f t="shared" si="662"/>
        <v>0.38888888888888884</v>
      </c>
      <c r="DM260" s="150">
        <f t="shared" si="663"/>
        <v>1.1652099749462694</v>
      </c>
      <c r="DN260" s="150">
        <f t="shared" si="664"/>
        <v>1.1652099749462694</v>
      </c>
      <c r="DO260" s="150">
        <f t="shared" si="665"/>
        <v>1.3223777592194588</v>
      </c>
      <c r="DQ260" s="314">
        <f t="shared" si="666"/>
        <v>528</v>
      </c>
      <c r="DR260" s="144">
        <f t="shared" si="667"/>
        <v>350</v>
      </c>
      <c r="DT260">
        <f t="shared" si="668"/>
        <v>528</v>
      </c>
      <c r="DU260">
        <f t="shared" si="669"/>
        <v>350</v>
      </c>
      <c r="DW260" s="5">
        <f t="shared" si="670"/>
        <v>2.8571428571428572</v>
      </c>
      <c r="DX260" s="5">
        <f t="shared" si="671"/>
        <v>0.2330419949892539</v>
      </c>
      <c r="DY260" s="5">
        <f t="shared" si="672"/>
        <v>2.6241008621536035</v>
      </c>
      <c r="DZ260" s="5"/>
      <c r="EA260" s="150">
        <f t="shared" si="673"/>
        <v>8.1564698246238868E-2</v>
      </c>
      <c r="EB260" s="150">
        <f t="shared" si="699"/>
        <v>2.8512000000000008</v>
      </c>
      <c r="EC260" s="150">
        <f t="shared" si="700"/>
        <v>0.53508498747313471</v>
      </c>
      <c r="ED260" s="150">
        <f t="shared" si="701"/>
        <v>5.3284993351512266</v>
      </c>
      <c r="EE260" s="144">
        <f t="shared" si="674"/>
        <v>2.4609234670865212</v>
      </c>
      <c r="EF260" s="5">
        <f t="shared" si="675"/>
        <v>4.8108515806149395E-2</v>
      </c>
      <c r="EH260" s="150">
        <f t="shared" si="702"/>
        <v>0.19212977907211007</v>
      </c>
      <c r="EI260" s="150">
        <f t="shared" si="703"/>
        <v>0.64471511271656312</v>
      </c>
      <c r="EK260" s="456">
        <f t="shared" si="704"/>
        <v>7.3827704012595656E-4</v>
      </c>
      <c r="EL260" s="456">
        <f t="shared" si="705"/>
        <v>0.5334331265304022</v>
      </c>
      <c r="EM260" s="456">
        <f t="shared" si="706"/>
        <v>4.3749999999999997E-2</v>
      </c>
      <c r="EN260" s="456">
        <f t="shared" si="707"/>
        <v>0.14970060000000002</v>
      </c>
      <c r="EO260">
        <f t="shared" si="708"/>
        <v>2.7E-2</v>
      </c>
      <c r="EP260" s="144">
        <f t="shared" si="709"/>
        <v>70.75</v>
      </c>
      <c r="EQ260" s="144"/>
      <c r="ER260" s="144">
        <f t="shared" si="710"/>
        <v>754.62200357052814</v>
      </c>
      <c r="ES260" s="456">
        <f t="shared" si="711"/>
        <v>0.36959999999999998</v>
      </c>
      <c r="EV260" s="144">
        <f t="shared" si="712"/>
        <v>369.59999999999997</v>
      </c>
      <c r="EW260" s="456">
        <f t="shared" si="713"/>
        <v>1.1074155601889348E-3</v>
      </c>
      <c r="EX260" s="456">
        <f t="shared" si="714"/>
        <v>1.246972729695392E-2</v>
      </c>
      <c r="EY260" s="456">
        <f t="shared" si="715"/>
        <v>0.16793862757865344</v>
      </c>
      <c r="EZ260" s="456"/>
      <c r="FA260" s="456">
        <f t="shared" si="716"/>
        <v>4.7520000000000006E-4</v>
      </c>
      <c r="FB260" s="144">
        <f t="shared" si="717"/>
        <v>181.9909704357963</v>
      </c>
      <c r="FC260" s="150">
        <f t="shared" si="718"/>
        <v>1.3062129740063242</v>
      </c>
      <c r="FD260" s="5">
        <f t="shared" si="719"/>
        <v>2.64</v>
      </c>
      <c r="FE260" s="150">
        <f t="shared" si="720"/>
        <v>0.66899582394302093</v>
      </c>
      <c r="FF260" s="5">
        <f t="shared" si="721"/>
        <v>66.899582394302087</v>
      </c>
      <c r="FI260" s="59">
        <f t="shared" si="676"/>
        <v>-50</v>
      </c>
      <c r="FJ260">
        <f t="shared" si="677"/>
        <v>-50</v>
      </c>
      <c r="FL260">
        <f t="shared" si="760"/>
        <v>0.90627442495820942</v>
      </c>
    </row>
    <row r="261" spans="5:168">
      <c r="E261" s="147">
        <v>45</v>
      </c>
      <c r="F261" s="188">
        <f t="shared" si="761"/>
        <v>0.54</v>
      </c>
      <c r="G261" s="188"/>
      <c r="H261" s="188">
        <f t="shared" si="726"/>
        <v>2.7</v>
      </c>
      <c r="I261" s="465">
        <f t="shared" si="727"/>
        <v>59.970000454576137</v>
      </c>
      <c r="J261" s="149">
        <f t="shared" si="728"/>
        <v>5.4179997272543172</v>
      </c>
      <c r="K261" s="149">
        <f t="shared" si="729"/>
        <v>65.388000181830449</v>
      </c>
      <c r="L261" s="379"/>
      <c r="M261" s="188">
        <f t="shared" si="730"/>
        <v>8.2854690240379641E-2</v>
      </c>
      <c r="N261" s="149">
        <f t="shared" si="731"/>
        <v>12.79464921430178</v>
      </c>
      <c r="O261" s="149">
        <f t="shared" si="599"/>
        <v>2.7</v>
      </c>
      <c r="P261" s="188">
        <f t="shared" si="732"/>
        <v>2.5589298428603557</v>
      </c>
      <c r="Q261" s="188">
        <f t="shared" si="733"/>
        <v>5</v>
      </c>
      <c r="R261" s="188"/>
      <c r="S261" s="149">
        <f t="shared" si="734"/>
        <v>217.77883704192573</v>
      </c>
      <c r="T261" s="149">
        <f t="shared" si="735"/>
        <v>5</v>
      </c>
      <c r="U261" s="188">
        <f t="shared" si="736"/>
        <v>1.1775669444169794</v>
      </c>
      <c r="V261" s="188">
        <f t="shared" si="737"/>
        <v>0.23563120269954027</v>
      </c>
      <c r="W261" s="188">
        <f t="shared" si="738"/>
        <v>2.6081218243554303</v>
      </c>
      <c r="X261" s="172">
        <f t="shared" si="739"/>
        <v>350</v>
      </c>
      <c r="Y261" s="379">
        <f t="shared" si="680"/>
        <v>328.5417677161426</v>
      </c>
      <c r="AA261" s="188">
        <f t="shared" si="740"/>
        <v>1.183111526225894</v>
      </c>
      <c r="AB261" s="150">
        <f t="shared" si="741"/>
        <v>2.6204021833543947</v>
      </c>
      <c r="AC261" s="150">
        <f t="shared" si="742"/>
        <v>0.54253990463296453</v>
      </c>
      <c r="AD261" s="150"/>
      <c r="AE261" s="150">
        <f t="shared" si="743"/>
        <v>2.2148395356382284</v>
      </c>
      <c r="AF261" s="314">
        <f t="shared" si="744"/>
        <v>487.61997545288853</v>
      </c>
      <c r="AG261" s="456">
        <f t="shared" si="745"/>
        <v>0.38759691873669</v>
      </c>
      <c r="AI261" s="150">
        <f t="shared" si="746"/>
        <v>1.1803389046648407</v>
      </c>
      <c r="AJ261" s="150">
        <f t="shared" si="747"/>
        <v>1.1803389046648407</v>
      </c>
      <c r="AK261" s="150">
        <f t="shared" si="748"/>
        <v>1.333584373825808</v>
      </c>
      <c r="AM261" s="314">
        <f t="shared" si="749"/>
        <v>540</v>
      </c>
      <c r="AN261" s="144">
        <f t="shared" si="750"/>
        <v>328.5417677161426</v>
      </c>
      <c r="AP261">
        <f t="shared" si="751"/>
        <v>540</v>
      </c>
      <c r="AQ261">
        <f t="shared" si="752"/>
        <v>328.5417677161426</v>
      </c>
      <c r="AS261" s="5">
        <f t="shared" si="600"/>
        <v>3.0437530270549704</v>
      </c>
      <c r="AT261" s="5">
        <f t="shared" si="753"/>
        <v>0.23618587207960023</v>
      </c>
      <c r="AU261" s="5">
        <f t="shared" si="722"/>
        <v>2.80756715497537</v>
      </c>
      <c r="AV261" s="5"/>
      <c r="AW261" s="150">
        <f t="shared" si="723"/>
        <v>7.7596923922610597E-2</v>
      </c>
      <c r="AX261" s="150">
        <f t="shared" si="631"/>
        <v>2.7463462064398989</v>
      </c>
      <c r="AY261" s="150">
        <f t="shared" si="632"/>
        <v>0.5443741182383327</v>
      </c>
      <c r="AZ261" s="150">
        <f t="shared" si="633"/>
        <v>5.0449610193214944</v>
      </c>
      <c r="BA261" s="144">
        <f t="shared" si="724"/>
        <v>2.5508074184596832</v>
      </c>
      <c r="BB261" s="5">
        <f t="shared" si="725"/>
        <v>5.2668217865692445E-2</v>
      </c>
      <c r="BD261" s="150">
        <f t="shared" si="681"/>
        <v>0.18983152966665956</v>
      </c>
      <c r="BE261" s="150">
        <f t="shared" si="682"/>
        <v>0.65449520010937801</v>
      </c>
      <c r="BG261" s="456">
        <f t="shared" si="683"/>
        <v>7.2072019311167704E-4</v>
      </c>
      <c r="BH261" s="456">
        <f t="shared" si="754"/>
        <v>0.47544100876543632</v>
      </c>
      <c r="BI261" s="456">
        <f t="shared" si="755"/>
        <v>0.49256624898210799</v>
      </c>
      <c r="BJ261" s="456">
        <f t="shared" si="684"/>
        <v>0.1404710083168598</v>
      </c>
      <c r="BK261">
        <f t="shared" si="685"/>
        <v>2.6986500204559262E-2</v>
      </c>
      <c r="BL261" s="144">
        <f t="shared" si="686"/>
        <v>519.55274918666726</v>
      </c>
      <c r="BM261" s="456">
        <f t="shared" si="756"/>
        <v>0.61693297725409801</v>
      </c>
      <c r="BN261" s="144">
        <f t="shared" si="687"/>
        <v>616.93297725409798</v>
      </c>
      <c r="BO261" s="456">
        <f t="shared" si="637"/>
        <v>0.378</v>
      </c>
      <c r="BR261" s="144">
        <f t="shared" si="688"/>
        <v>378</v>
      </c>
      <c r="BS261" s="456">
        <f t="shared" si="689"/>
        <v>1.0810802896675156E-3</v>
      </c>
      <c r="BT261" s="456">
        <f t="shared" si="690"/>
        <v>1.2850919008986442E-2</v>
      </c>
      <c r="BU261" s="456">
        <f t="shared" si="691"/>
        <v>0.14806870669590008</v>
      </c>
      <c r="BV261" s="456"/>
      <c r="BW261" s="456">
        <f t="shared" si="692"/>
        <v>4.5772436773998306E-4</v>
      </c>
      <c r="BX261" s="144">
        <f t="shared" si="693"/>
        <v>162.45843036229402</v>
      </c>
      <c r="BY261" s="150">
        <f t="shared" si="694"/>
        <v>1.676643916824369</v>
      </c>
      <c r="BZ261" s="5">
        <f t="shared" si="695"/>
        <v>2.7</v>
      </c>
      <c r="CA261" s="150">
        <f t="shared" si="696"/>
        <v>0.61691105132424895</v>
      </c>
      <c r="CB261" s="5">
        <f t="shared" si="697"/>
        <v>61.691105132424894</v>
      </c>
      <c r="CE261" s="59">
        <f t="shared" si="757"/>
        <v>-50</v>
      </c>
      <c r="CF261">
        <f t="shared" si="758"/>
        <v>-50</v>
      </c>
      <c r="CG261" s="150">
        <f t="shared" si="759"/>
        <v>0.90001363749079488</v>
      </c>
      <c r="CI261" s="147">
        <v>45</v>
      </c>
      <c r="CJ261" s="188">
        <f t="shared" si="698"/>
        <v>0.54</v>
      </c>
      <c r="CK261" s="188"/>
      <c r="CL261" s="188">
        <f t="shared" si="641"/>
        <v>2.7</v>
      </c>
      <c r="CM261" s="465">
        <f t="shared" si="642"/>
        <v>60</v>
      </c>
      <c r="CN261" s="379">
        <f t="shared" si="643"/>
        <v>5.4</v>
      </c>
      <c r="CO261" s="379">
        <f t="shared" si="644"/>
        <v>65.400000000000006</v>
      </c>
      <c r="CP261" s="379"/>
      <c r="CQ261" s="188">
        <f t="shared" si="645"/>
        <v>8.2568807339449546E-2</v>
      </c>
      <c r="CR261" s="149">
        <f t="shared" si="646"/>
        <v>12.756880733944957</v>
      </c>
      <c r="CS261" s="149">
        <f t="shared" si="647"/>
        <v>2.7</v>
      </c>
      <c r="CT261" s="188">
        <f t="shared" si="648"/>
        <v>2.5513761467889915</v>
      </c>
      <c r="CU261" s="188">
        <f t="shared" si="649"/>
        <v>5</v>
      </c>
      <c r="CV261" s="188"/>
      <c r="CW261" s="149">
        <f t="shared" si="650"/>
        <v>217.88772440929333</v>
      </c>
      <c r="CX261" s="149">
        <f t="shared" si="651"/>
        <v>5</v>
      </c>
      <c r="CY261" s="188">
        <f t="shared" si="652"/>
        <v>1.0899999999999999</v>
      </c>
      <c r="CZ261" s="188">
        <f t="shared" si="653"/>
        <v>0.21799999999999997</v>
      </c>
      <c r="DA261" s="188">
        <f t="shared" si="654"/>
        <v>2.4222222222222221</v>
      </c>
      <c r="DB261" s="172">
        <f t="shared" si="655"/>
        <v>350</v>
      </c>
      <c r="DC261" s="379">
        <f t="shared" si="656"/>
        <v>350</v>
      </c>
      <c r="DE261" s="188">
        <f t="shared" si="657"/>
        <v>1.179554390563565</v>
      </c>
      <c r="DF261" s="150">
        <f t="shared" si="658"/>
        <v>2.6212319790301444</v>
      </c>
      <c r="DG261" s="150">
        <f t="shared" si="659"/>
        <v>0.54107999567136011</v>
      </c>
      <c r="DH261" s="150"/>
      <c r="DI261" s="150">
        <f t="shared" si="660"/>
        <v>2.2222222222222219</v>
      </c>
      <c r="DJ261" s="314">
        <f t="shared" si="661"/>
        <v>486.00000000000006</v>
      </c>
      <c r="DK261" s="456">
        <f t="shared" si="662"/>
        <v>0.38888888888888884</v>
      </c>
      <c r="DM261" s="150">
        <f t="shared" si="663"/>
        <v>1.1783766072743589</v>
      </c>
      <c r="DN261" s="150">
        <f t="shared" si="664"/>
        <v>1.1783766072743589</v>
      </c>
      <c r="DO261" s="150">
        <f t="shared" si="665"/>
        <v>1.3321308202032287</v>
      </c>
      <c r="DQ261" s="314">
        <f t="shared" si="666"/>
        <v>540</v>
      </c>
      <c r="DR261" s="144">
        <f t="shared" si="667"/>
        <v>350</v>
      </c>
      <c r="DT261">
        <f t="shared" si="668"/>
        <v>540</v>
      </c>
      <c r="DU261">
        <f t="shared" si="669"/>
        <v>350</v>
      </c>
      <c r="DW261" s="5">
        <f t="shared" si="670"/>
        <v>2.8571428571428572</v>
      </c>
      <c r="DX261" s="5">
        <f t="shared" si="671"/>
        <v>0.23567532145487177</v>
      </c>
      <c r="DY261" s="5">
        <f t="shared" si="672"/>
        <v>2.6214675356879855</v>
      </c>
      <c r="DZ261" s="5"/>
      <c r="EA261" s="150">
        <f t="shared" si="673"/>
        <v>8.2486362509205116E-2</v>
      </c>
      <c r="EB261" s="150">
        <f t="shared" si="699"/>
        <v>2.9160000000000004</v>
      </c>
      <c r="EC261" s="150">
        <f t="shared" si="700"/>
        <v>0.54058830363717947</v>
      </c>
      <c r="ED261" s="150">
        <f t="shared" si="701"/>
        <v>5.3941233659341234</v>
      </c>
      <c r="EE261" s="144">
        <f t="shared" si="674"/>
        <v>2.5452934717126152</v>
      </c>
      <c r="EF261" s="5">
        <f t="shared" si="675"/>
        <v>4.9152516294149726E-2</v>
      </c>
      <c r="EH261" s="150">
        <f t="shared" si="702"/>
        <v>0.19539550167721165</v>
      </c>
      <c r="EI261" s="150">
        <f t="shared" si="703"/>
        <v>0.65167303211154415</v>
      </c>
      <c r="EK261" s="456">
        <f t="shared" si="704"/>
        <v>7.6358804151378443E-4</v>
      </c>
      <c r="EL261" s="456">
        <f t="shared" si="705"/>
        <v>0.53946081081020159</v>
      </c>
      <c r="EM261" s="456">
        <f t="shared" si="706"/>
        <v>4.3749999999999997E-2</v>
      </c>
      <c r="EN261" s="456">
        <f t="shared" si="707"/>
        <v>0.14970060000000002</v>
      </c>
      <c r="EO261">
        <f t="shared" si="708"/>
        <v>2.7E-2</v>
      </c>
      <c r="EP261" s="144">
        <f t="shared" si="709"/>
        <v>70.75</v>
      </c>
      <c r="EQ261" s="144"/>
      <c r="ER261" s="144">
        <f t="shared" si="710"/>
        <v>760.67499885171526</v>
      </c>
      <c r="ES261" s="456">
        <f t="shared" si="711"/>
        <v>0.378</v>
      </c>
      <c r="EV261" s="144">
        <f t="shared" si="712"/>
        <v>378</v>
      </c>
      <c r="EW261" s="456">
        <f t="shared" si="713"/>
        <v>1.1453820622706766E-3</v>
      </c>
      <c r="EX261" s="456">
        <f t="shared" si="714"/>
        <v>1.2740332223443609E-2</v>
      </c>
      <c r="EY261" s="456">
        <f t="shared" si="715"/>
        <v>0.17272308899308161</v>
      </c>
      <c r="EZ261" s="456"/>
      <c r="FA261" s="456">
        <f t="shared" si="716"/>
        <v>4.860000000000001E-4</v>
      </c>
      <c r="FB261" s="144">
        <f t="shared" si="717"/>
        <v>187.09480327879587</v>
      </c>
      <c r="FC261" s="150">
        <f t="shared" si="718"/>
        <v>1.3257698021305111</v>
      </c>
      <c r="FD261" s="5">
        <f t="shared" si="719"/>
        <v>2.7</v>
      </c>
      <c r="FE261" s="150">
        <f t="shared" si="720"/>
        <v>0.67067918254320213</v>
      </c>
      <c r="FF261" s="5">
        <f t="shared" si="721"/>
        <v>67.067918254320219</v>
      </c>
      <c r="FI261" s="59">
        <f t="shared" si="676"/>
        <v>-50</v>
      </c>
      <c r="FJ261">
        <f t="shared" si="677"/>
        <v>-50</v>
      </c>
      <c r="FL261">
        <f t="shared" si="760"/>
        <v>0.91651513899116799</v>
      </c>
    </row>
    <row r="262" spans="5:168">
      <c r="E262" s="147">
        <v>46</v>
      </c>
      <c r="F262" s="188">
        <f t="shared" si="761"/>
        <v>0.55200000000000005</v>
      </c>
      <c r="G262" s="188"/>
      <c r="H262" s="188">
        <f t="shared" si="726"/>
        <v>2.7600000000000002</v>
      </c>
      <c r="I262" s="465">
        <f t="shared" si="727"/>
        <v>59.969486053750735</v>
      </c>
      <c r="J262" s="149">
        <f t="shared" si="728"/>
        <v>5.4183083677495603</v>
      </c>
      <c r="K262" s="149">
        <f t="shared" si="729"/>
        <v>65.387794421500303</v>
      </c>
      <c r="L262" s="379"/>
      <c r="M262" s="188">
        <f t="shared" si="730"/>
        <v>8.2859342625232729E-2</v>
      </c>
      <c r="N262" s="149">
        <f t="shared" si="731"/>
        <v>12.795257894366134</v>
      </c>
      <c r="O262" s="149">
        <f t="shared" ref="O262:O316" si="762">T262*F262</f>
        <v>2.7600000000000002</v>
      </c>
      <c r="P262" s="188">
        <f t="shared" si="732"/>
        <v>2.5590515788732269</v>
      </c>
      <c r="Q262" s="188">
        <f t="shared" si="733"/>
        <v>5</v>
      </c>
      <c r="R262" s="188"/>
      <c r="S262" s="149">
        <f t="shared" si="734"/>
        <v>211.74452005278104</v>
      </c>
      <c r="T262" s="149">
        <f t="shared" si="735"/>
        <v>5</v>
      </c>
      <c r="U262" s="188">
        <f t="shared" si="736"/>
        <v>1.2037412049315324</v>
      </c>
      <c r="V262" s="188">
        <f t="shared" si="737"/>
        <v>0.24087073959965918</v>
      </c>
      <c r="W262" s="188">
        <f t="shared" si="738"/>
        <v>2.6659417439502304</v>
      </c>
      <c r="X262" s="172">
        <f t="shared" si="739"/>
        <v>350</v>
      </c>
      <c r="Y262" s="379">
        <f t="shared" si="680"/>
        <v>321.87330432552704</v>
      </c>
      <c r="AA262" s="188">
        <f t="shared" si="740"/>
        <v>1.1831724973599025</v>
      </c>
      <c r="AB262" s="150">
        <f t="shared" si="741"/>
        <v>2.6203879522301636</v>
      </c>
      <c r="AC262" s="150">
        <f t="shared" si="742"/>
        <v>0.5425649175610936</v>
      </c>
      <c r="AD262" s="150"/>
      <c r="AE262" s="150">
        <f t="shared" si="743"/>
        <v>2.2147133727983221</v>
      </c>
      <c r="AF262" s="314">
        <f t="shared" si="744"/>
        <v>498.48436983295954</v>
      </c>
      <c r="AG262" s="456">
        <f t="shared" si="745"/>
        <v>0.3875748402397064</v>
      </c>
      <c r="AI262" s="150">
        <f t="shared" si="746"/>
        <v>1.1934157099123501</v>
      </c>
      <c r="AJ262" s="150">
        <f t="shared" si="747"/>
        <v>1.2037412049315324</v>
      </c>
      <c r="AK262" s="150">
        <f t="shared" si="748"/>
        <v>1.3509194110603944</v>
      </c>
      <c r="AM262" s="314">
        <f t="shared" si="749"/>
        <v>552</v>
      </c>
      <c r="AN262" s="144">
        <f t="shared" si="750"/>
        <v>321.87330432552704</v>
      </c>
      <c r="AP262">
        <f t="shared" si="751"/>
        <v>552</v>
      </c>
      <c r="AQ262">
        <f t="shared" si="752"/>
        <v>321.87330432552704</v>
      </c>
      <c r="AS262" s="5">
        <f t="shared" si="600"/>
        <v>3.1068124835498896</v>
      </c>
      <c r="AT262" s="5">
        <f t="shared" si="753"/>
        <v>0.24087073959965918</v>
      </c>
      <c r="AU262" s="5">
        <f t="shared" si="722"/>
        <v>2.8659417439502306</v>
      </c>
      <c r="AV262" s="5"/>
      <c r="AW262" s="150">
        <f t="shared" si="723"/>
        <v>7.7529860870275871E-2</v>
      </c>
      <c r="AX262" s="150">
        <f t="shared" si="631"/>
        <v>2.798352773697582</v>
      </c>
      <c r="AY262" s="150">
        <f t="shared" si="632"/>
        <v>0.55520765839468622</v>
      </c>
      <c r="AZ262" s="150">
        <f t="shared" si="633"/>
        <v>5.040191235453543</v>
      </c>
      <c r="BA262" s="144">
        <f t="shared" si="724"/>
        <v>2.6592129651802376</v>
      </c>
      <c r="BB262" s="5">
        <f t="shared" si="725"/>
        <v>5.4958500104348156E-2</v>
      </c>
      <c r="BD262" s="150">
        <f t="shared" si="681"/>
        <v>0.19351159917306338</v>
      </c>
      <c r="BE262" s="150">
        <f t="shared" si="682"/>
        <v>0.66749598535783183</v>
      </c>
      <c r="BG262" s="456">
        <f t="shared" si="683"/>
        <v>7.4893478029032685E-4</v>
      </c>
      <c r="BH262" s="456">
        <f t="shared" si="754"/>
        <v>0.47502453999181093</v>
      </c>
      <c r="BI262" s="456">
        <f t="shared" si="755"/>
        <v>0.482564415870609</v>
      </c>
      <c r="BJ262" s="456">
        <f t="shared" si="684"/>
        <v>0.13761898028757322</v>
      </c>
      <c r="BK262">
        <f t="shared" si="685"/>
        <v>2.6986268724187829E-2</v>
      </c>
      <c r="BL262" s="144">
        <f t="shared" si="686"/>
        <v>509.55068459479679</v>
      </c>
      <c r="BM262" s="456">
        <f t="shared" si="756"/>
        <v>0.61370387415460692</v>
      </c>
      <c r="BN262" s="144">
        <f t="shared" si="687"/>
        <v>613.70387415460686</v>
      </c>
      <c r="BO262" s="456">
        <f t="shared" si="637"/>
        <v>0.38640000000000002</v>
      </c>
      <c r="BR262" s="144">
        <f t="shared" si="688"/>
        <v>386.40000000000003</v>
      </c>
      <c r="BS262" s="456">
        <f t="shared" si="689"/>
        <v>1.1234021704354901E-3</v>
      </c>
      <c r="BT262" s="456">
        <f t="shared" si="690"/>
        <v>1.3366526714064684E-2</v>
      </c>
      <c r="BU262" s="456">
        <f t="shared" si="691"/>
        <v>0.14774582518791654</v>
      </c>
      <c r="BV262" s="456"/>
      <c r="BW262" s="456">
        <f t="shared" si="692"/>
        <v>4.6639212894959692E-4</v>
      </c>
      <c r="BX262" s="144">
        <f t="shared" si="693"/>
        <v>162.7021462013663</v>
      </c>
      <c r="BY262" s="150">
        <f t="shared" si="694"/>
        <v>1.6720452858558372</v>
      </c>
      <c r="BZ262" s="5">
        <f t="shared" si="695"/>
        <v>2.7600000000000002</v>
      </c>
      <c r="CA262" s="150">
        <f t="shared" si="696"/>
        <v>0.62273731922552733</v>
      </c>
      <c r="CB262" s="5">
        <f t="shared" si="697"/>
        <v>62.273731922552734</v>
      </c>
      <c r="CE262" s="59">
        <f t="shared" si="757"/>
        <v>-50</v>
      </c>
      <c r="CF262">
        <f t="shared" si="758"/>
        <v>-50</v>
      </c>
      <c r="CG262" s="150">
        <f t="shared" si="759"/>
        <v>0.90450444444444444</v>
      </c>
      <c r="CI262" s="147">
        <v>46</v>
      </c>
      <c r="CJ262" s="188">
        <f t="shared" si="698"/>
        <v>0.55200000000000005</v>
      </c>
      <c r="CK262" s="188"/>
      <c r="CL262" s="188">
        <f t="shared" si="641"/>
        <v>2.7600000000000002</v>
      </c>
      <c r="CM262" s="465">
        <f t="shared" si="642"/>
        <v>60</v>
      </c>
      <c r="CN262" s="379">
        <f t="shared" si="643"/>
        <v>5.4</v>
      </c>
      <c r="CO262" s="379">
        <f t="shared" si="644"/>
        <v>65.400000000000006</v>
      </c>
      <c r="CP262" s="379"/>
      <c r="CQ262" s="188">
        <f t="shared" si="645"/>
        <v>8.2568807339449546E-2</v>
      </c>
      <c r="CR262" s="149">
        <f t="shared" si="646"/>
        <v>12.756880733944957</v>
      </c>
      <c r="CS262" s="149">
        <f t="shared" si="647"/>
        <v>2.7600000000000002</v>
      </c>
      <c r="CT262" s="188">
        <f t="shared" si="648"/>
        <v>2.5513761467889915</v>
      </c>
      <c r="CU262" s="188">
        <f t="shared" si="649"/>
        <v>5</v>
      </c>
      <c r="CV262" s="188"/>
      <c r="CW262" s="149">
        <f t="shared" si="650"/>
        <v>211.8522034658659</v>
      </c>
      <c r="CX262" s="149">
        <f t="shared" si="651"/>
        <v>5</v>
      </c>
      <c r="CY262" s="188">
        <f t="shared" si="652"/>
        <v>1.1142222222222222</v>
      </c>
      <c r="CZ262" s="188">
        <f t="shared" si="653"/>
        <v>0.22284444444444446</v>
      </c>
      <c r="DA262" s="188">
        <f t="shared" si="654"/>
        <v>2.4760493827160492</v>
      </c>
      <c r="DB262" s="172">
        <f t="shared" si="655"/>
        <v>350</v>
      </c>
      <c r="DC262" s="379">
        <f t="shared" si="656"/>
        <v>350</v>
      </c>
      <c r="DE262" s="188">
        <f t="shared" si="657"/>
        <v>1.179554390563565</v>
      </c>
      <c r="DF262" s="150">
        <f t="shared" si="658"/>
        <v>2.6212319790301444</v>
      </c>
      <c r="DG262" s="150">
        <f t="shared" si="659"/>
        <v>0.54107999567136011</v>
      </c>
      <c r="DH262" s="150"/>
      <c r="DI262" s="150">
        <f t="shared" si="660"/>
        <v>2.2222222222222219</v>
      </c>
      <c r="DJ262" s="314">
        <f t="shared" si="661"/>
        <v>496.80000000000007</v>
      </c>
      <c r="DK262" s="456">
        <f t="shared" si="662"/>
        <v>0.38888888888888884</v>
      </c>
      <c r="DM262" s="150">
        <f t="shared" si="663"/>
        <v>1.1913977385527352</v>
      </c>
      <c r="DN262" s="150">
        <f t="shared" si="664"/>
        <v>1.1142222222222222</v>
      </c>
      <c r="DO262" s="150">
        <f t="shared" si="665"/>
        <v>1.2846090534979424</v>
      </c>
      <c r="DQ262" s="314">
        <f t="shared" si="666"/>
        <v>552</v>
      </c>
      <c r="DR262" s="144">
        <f t="shared" si="667"/>
        <v>350</v>
      </c>
      <c r="DT262">
        <f t="shared" si="668"/>
        <v>552</v>
      </c>
      <c r="DU262">
        <f t="shared" si="669"/>
        <v>350</v>
      </c>
      <c r="DW262" s="5">
        <f t="shared" si="670"/>
        <v>2.8571428571428572</v>
      </c>
      <c r="DX262" s="5">
        <f t="shared" si="671"/>
        <v>0.22284444444444446</v>
      </c>
      <c r="DY262" s="5">
        <f t="shared" si="672"/>
        <v>2.6342984126984126</v>
      </c>
      <c r="DZ262" s="5"/>
      <c r="EA262" s="150">
        <f t="shared" si="673"/>
        <v>7.7995555555555554E-2</v>
      </c>
      <c r="EB262" s="150">
        <f t="shared" si="699"/>
        <v>2.6071314370370371</v>
      </c>
      <c r="EC262" s="150">
        <f t="shared" si="700"/>
        <v>0.51365892049382711</v>
      </c>
      <c r="ED262" s="150">
        <f t="shared" si="701"/>
        <v>5.0756082159160485</v>
      </c>
      <c r="EE262" s="144">
        <f t="shared" si="674"/>
        <v>2.460202666666667</v>
      </c>
      <c r="EF262" s="5">
        <f t="shared" si="675"/>
        <v>5.0490719576719578E-2</v>
      </c>
      <c r="EH262" s="150">
        <f t="shared" si="702"/>
        <v>0.17965781621370056</v>
      </c>
      <c r="EI262" s="150">
        <f t="shared" si="703"/>
        <v>0.61770013429219828</v>
      </c>
      <c r="EK262" s="456">
        <f t="shared" si="704"/>
        <v>6.4553861853351615E-4</v>
      </c>
      <c r="EL262" s="456">
        <f t="shared" si="705"/>
        <v>0.51009093333333333</v>
      </c>
      <c r="EM262" s="456">
        <f t="shared" si="706"/>
        <v>4.3749999999999997E-2</v>
      </c>
      <c r="EN262" s="456">
        <f t="shared" si="707"/>
        <v>0.14970060000000002</v>
      </c>
      <c r="EO262">
        <f t="shared" si="708"/>
        <v>2.7E-2</v>
      </c>
      <c r="EP262" s="144">
        <f t="shared" si="709"/>
        <v>70.75</v>
      </c>
      <c r="EQ262" s="144"/>
      <c r="ER262" s="144">
        <f t="shared" si="710"/>
        <v>731.18707195186687</v>
      </c>
      <c r="ES262" s="456">
        <f t="shared" si="711"/>
        <v>0.38640000000000002</v>
      </c>
      <c r="EV262" s="144">
        <f t="shared" si="712"/>
        <v>386.40000000000003</v>
      </c>
      <c r="EW262" s="456">
        <f t="shared" si="713"/>
        <v>9.6830792780027417E-4</v>
      </c>
      <c r="EX262" s="456">
        <f t="shared" si="714"/>
        <v>1.1446603677137993E-2</v>
      </c>
      <c r="EY262" s="456">
        <f t="shared" si="715"/>
        <v>0.15016532308523009</v>
      </c>
      <c r="EZ262" s="456"/>
      <c r="FA262" s="456">
        <f t="shared" si="716"/>
        <v>4.3452190617283956E-4</v>
      </c>
      <c r="FB262" s="144">
        <f t="shared" si="717"/>
        <v>163.01475659634121</v>
      </c>
      <c r="FC262" s="150">
        <f t="shared" si="718"/>
        <v>1.2806018285482077</v>
      </c>
      <c r="FD262" s="5">
        <f t="shared" si="719"/>
        <v>2.7600000000000002</v>
      </c>
      <c r="FE262" s="150">
        <f t="shared" si="720"/>
        <v>0.6830665621392521</v>
      </c>
      <c r="FF262" s="5">
        <f t="shared" si="721"/>
        <v>68.306656213925208</v>
      </c>
      <c r="FI262" s="59">
        <f t="shared" si="676"/>
        <v>-50</v>
      </c>
      <c r="FJ262">
        <f t="shared" si="677"/>
        <v>-50</v>
      </c>
      <c r="FL262">
        <f t="shared" si="760"/>
        <v>0.9220044444444444</v>
      </c>
    </row>
    <row r="263" spans="5:168">
      <c r="E263" s="147">
        <v>47</v>
      </c>
      <c r="F263" s="188">
        <f t="shared" si="761"/>
        <v>0.56399999999999995</v>
      </c>
      <c r="G263" s="188"/>
      <c r="H263" s="188">
        <f t="shared" si="726"/>
        <v>2.82</v>
      </c>
      <c r="I263" s="465">
        <f t="shared" si="727"/>
        <v>59.968764153358407</v>
      </c>
      <c r="J263" s="149">
        <f t="shared" si="728"/>
        <v>5.4187415079849561</v>
      </c>
      <c r="K263" s="149">
        <f t="shared" si="729"/>
        <v>65.387505661343369</v>
      </c>
      <c r="L263" s="379"/>
      <c r="M263" s="188">
        <f t="shared" si="730"/>
        <v>8.2866208281260678E-2</v>
      </c>
      <c r="N263" s="149">
        <f t="shared" si="731"/>
        <v>12.796164059307642</v>
      </c>
      <c r="O263" s="149">
        <f t="shared" si="762"/>
        <v>2.82</v>
      </c>
      <c r="P263" s="188">
        <f t="shared" si="732"/>
        <v>2.5592328118615284</v>
      </c>
      <c r="Q263" s="188">
        <f t="shared" si="733"/>
        <v>5</v>
      </c>
      <c r="R263" s="188"/>
      <c r="S263" s="149">
        <f t="shared" si="734"/>
        <v>205.96646331002182</v>
      </c>
      <c r="T263" s="149">
        <f t="shared" si="735"/>
        <v>5</v>
      </c>
      <c r="U263" s="188">
        <f t="shared" si="736"/>
        <v>1.2299186990876112</v>
      </c>
      <c r="V263" s="188">
        <f t="shared" si="737"/>
        <v>0.24611186502539908</v>
      </c>
      <c r="W263" s="188">
        <f t="shared" si="738"/>
        <v>2.7236996574394094</v>
      </c>
      <c r="X263" s="172">
        <f t="shared" si="739"/>
        <v>350</v>
      </c>
      <c r="Y263" s="379">
        <f t="shared" si="680"/>
        <v>315.47617040094912</v>
      </c>
      <c r="AA263" s="188">
        <f t="shared" si="740"/>
        <v>1.1832580617937998</v>
      </c>
      <c r="AB263" s="150">
        <f t="shared" si="741"/>
        <v>2.620367980388449</v>
      </c>
      <c r="AC263" s="150">
        <f t="shared" si="742"/>
        <v>0.54260001909066968</v>
      </c>
      <c r="AD263" s="150"/>
      <c r="AE263" s="150">
        <f t="shared" si="743"/>
        <v>2.2145363424915221</v>
      </c>
      <c r="AF263" s="314">
        <f t="shared" si="744"/>
        <v>509.36170175058584</v>
      </c>
      <c r="AG263" s="456">
        <f t="shared" si="745"/>
        <v>0.38754385993601642</v>
      </c>
      <c r="AI263" s="150">
        <f t="shared" si="746"/>
        <v>1.2063660919715942</v>
      </c>
      <c r="AJ263" s="150">
        <f t="shared" si="747"/>
        <v>1.2299186990876112</v>
      </c>
      <c r="AK263" s="150">
        <f t="shared" si="748"/>
        <v>1.3703101474723045</v>
      </c>
      <c r="AM263" s="314">
        <f t="shared" si="749"/>
        <v>564</v>
      </c>
      <c r="AN263" s="144">
        <f t="shared" si="750"/>
        <v>315.47617040094912</v>
      </c>
      <c r="AP263">
        <f t="shared" si="751"/>
        <v>564</v>
      </c>
      <c r="AQ263">
        <f t="shared" si="752"/>
        <v>315.47617040094912</v>
      </c>
      <c r="AS263" s="5">
        <f t="shared" ref="AS263:AS316" si="763">1/AN263*1000</f>
        <v>3.1698115224648089</v>
      </c>
      <c r="AT263" s="5">
        <f t="shared" si="753"/>
        <v>0.24611186502539908</v>
      </c>
      <c r="AU263" s="5">
        <f t="shared" si="722"/>
        <v>2.9236996574394096</v>
      </c>
      <c r="AV263" s="5"/>
      <c r="AW263" s="150">
        <f t="shared" si="723"/>
        <v>7.7642428668448185E-2</v>
      </c>
      <c r="AX263" s="150">
        <f t="shared" si="631"/>
        <v>2.8633248298418144</v>
      </c>
      <c r="AY263" s="150">
        <f t="shared" si="632"/>
        <v>0.56721241211285534</v>
      </c>
      <c r="AZ263" s="150">
        <f t="shared" si="633"/>
        <v>5.0480644793649425</v>
      </c>
      <c r="BA263" s="144">
        <f t="shared" si="724"/>
        <v>2.7761418374865015</v>
      </c>
      <c r="BB263" s="5">
        <f t="shared" si="725"/>
        <v>5.7285607699136105E-2</v>
      </c>
      <c r="BD263" s="150">
        <f t="shared" si="681"/>
        <v>0.1978633386464706</v>
      </c>
      <c r="BE263" s="150">
        <f t="shared" si="682"/>
        <v>0.68197025937704414</v>
      </c>
      <c r="BG263" s="456">
        <f t="shared" si="683"/>
        <v>7.8299801560655817E-4</v>
      </c>
      <c r="BH263" s="456">
        <f t="shared" si="754"/>
        <v>0.47570641422385279</v>
      </c>
      <c r="BI263" s="456">
        <f t="shared" si="755"/>
        <v>0.47296790146948064</v>
      </c>
      <c r="BJ263" s="456">
        <f t="shared" si="684"/>
        <v>0.13488265363133048</v>
      </c>
      <c r="BK263">
        <f t="shared" si="685"/>
        <v>2.6985943869011281E-2</v>
      </c>
      <c r="BL263" s="144">
        <f t="shared" si="686"/>
        <v>499.95384533849193</v>
      </c>
      <c r="BM263" s="456">
        <f t="shared" si="756"/>
        <v>0.61169727569712185</v>
      </c>
      <c r="BN263" s="144">
        <f t="shared" si="687"/>
        <v>611.69727569712188</v>
      </c>
      <c r="BO263" s="456">
        <f t="shared" si="637"/>
        <v>0.39479999999999993</v>
      </c>
      <c r="BR263" s="144">
        <f t="shared" si="688"/>
        <v>394.79999999999995</v>
      </c>
      <c r="BS263" s="456">
        <f t="shared" si="689"/>
        <v>1.1744970234098373E-3</v>
      </c>
      <c r="BT263" s="456">
        <f t="shared" si="690"/>
        <v>1.3952503040243786E-2</v>
      </c>
      <c r="BU263" s="456">
        <f t="shared" si="691"/>
        <v>0.1482782377270602</v>
      </c>
      <c r="BV263" s="456"/>
      <c r="BW263" s="456">
        <f t="shared" si="692"/>
        <v>4.772208049736357E-4</v>
      </c>
      <c r="BX263" s="144">
        <f t="shared" si="693"/>
        <v>163.88245859568744</v>
      </c>
      <c r="BY263" s="150">
        <f t="shared" si="694"/>
        <v>1.6700083698049693</v>
      </c>
      <c r="BZ263" s="5">
        <f t="shared" si="695"/>
        <v>2.82</v>
      </c>
      <c r="CA263" s="150">
        <f t="shared" si="696"/>
        <v>0.62806119003348115</v>
      </c>
      <c r="CB263" s="5">
        <f t="shared" si="697"/>
        <v>62.806119003348115</v>
      </c>
      <c r="CE263" s="59">
        <f t="shared" si="757"/>
        <v>-50</v>
      </c>
      <c r="CF263">
        <f t="shared" si="758"/>
        <v>-50</v>
      </c>
      <c r="CG263" s="150">
        <f t="shared" si="759"/>
        <v>0.90280888888888888</v>
      </c>
      <c r="CI263" s="147">
        <v>47</v>
      </c>
      <c r="CJ263" s="188">
        <f t="shared" si="698"/>
        <v>0.56399999999999995</v>
      </c>
      <c r="CK263" s="188"/>
      <c r="CL263" s="188">
        <f t="shared" si="641"/>
        <v>2.82</v>
      </c>
      <c r="CM263" s="465">
        <f t="shared" si="642"/>
        <v>60</v>
      </c>
      <c r="CN263" s="379">
        <f t="shared" si="643"/>
        <v>5.4</v>
      </c>
      <c r="CO263" s="379">
        <f t="shared" si="644"/>
        <v>65.400000000000006</v>
      </c>
      <c r="CP263" s="379"/>
      <c r="CQ263" s="188">
        <f t="shared" si="645"/>
        <v>8.2568807339449546E-2</v>
      </c>
      <c r="CR263" s="149">
        <f t="shared" si="646"/>
        <v>12.756880733944957</v>
      </c>
      <c r="CS263" s="149">
        <f t="shared" si="647"/>
        <v>2.82</v>
      </c>
      <c r="CT263" s="188">
        <f t="shared" si="648"/>
        <v>2.5513761467889915</v>
      </c>
      <c r="CU263" s="188">
        <f t="shared" si="649"/>
        <v>5</v>
      </c>
      <c r="CV263" s="188"/>
      <c r="CW263" s="149">
        <f t="shared" si="650"/>
        <v>206.07368438170002</v>
      </c>
      <c r="CX263" s="149">
        <f t="shared" si="651"/>
        <v>5</v>
      </c>
      <c r="CY263" s="188">
        <f t="shared" si="652"/>
        <v>1.1384444444444444</v>
      </c>
      <c r="CZ263" s="188">
        <f t="shared" si="653"/>
        <v>0.22768888888888889</v>
      </c>
      <c r="DA263" s="188">
        <f t="shared" si="654"/>
        <v>2.5298765432098764</v>
      </c>
      <c r="DB263" s="172">
        <f t="shared" si="655"/>
        <v>350</v>
      </c>
      <c r="DC263" s="379">
        <f t="shared" si="656"/>
        <v>350</v>
      </c>
      <c r="DE263" s="188">
        <f t="shared" si="657"/>
        <v>1.179554390563565</v>
      </c>
      <c r="DF263" s="150">
        <f t="shared" si="658"/>
        <v>2.6212319790301444</v>
      </c>
      <c r="DG263" s="150">
        <f t="shared" si="659"/>
        <v>0.54107999567136011</v>
      </c>
      <c r="DH263" s="150"/>
      <c r="DI263" s="150">
        <f t="shared" si="660"/>
        <v>2.2222222222222219</v>
      </c>
      <c r="DJ263" s="314">
        <f t="shared" si="661"/>
        <v>507.6</v>
      </c>
      <c r="DK263" s="456">
        <f t="shared" si="662"/>
        <v>0.38888888888888884</v>
      </c>
      <c r="DM263" s="150">
        <f t="shared" si="663"/>
        <v>1.2042780884354387</v>
      </c>
      <c r="DN263" s="150">
        <f t="shared" si="664"/>
        <v>1.1384444444444444</v>
      </c>
      <c r="DO263" s="150">
        <f t="shared" si="665"/>
        <v>1.302551440329218</v>
      </c>
      <c r="DQ263" s="314">
        <f t="shared" si="666"/>
        <v>564</v>
      </c>
      <c r="DR263" s="144">
        <f t="shared" si="667"/>
        <v>350</v>
      </c>
      <c r="DT263">
        <f t="shared" si="668"/>
        <v>564</v>
      </c>
      <c r="DU263">
        <f t="shared" si="669"/>
        <v>350</v>
      </c>
      <c r="DW263" s="5">
        <f t="shared" si="670"/>
        <v>2.8571428571428572</v>
      </c>
      <c r="DX263" s="5">
        <f t="shared" si="671"/>
        <v>0.22768888888888889</v>
      </c>
      <c r="DY263" s="5">
        <f t="shared" si="672"/>
        <v>2.6294539682539684</v>
      </c>
      <c r="DZ263" s="5"/>
      <c r="EA263" s="150">
        <f t="shared" si="673"/>
        <v>7.9691111111111101E-2</v>
      </c>
      <c r="EB263" s="150">
        <f t="shared" si="699"/>
        <v>2.7217170814814815</v>
      </c>
      <c r="EC263" s="150">
        <f t="shared" si="700"/>
        <v>0.52386027086419751</v>
      </c>
      <c r="ED263" s="150">
        <f t="shared" si="701"/>
        <v>5.1955019932921074</v>
      </c>
      <c r="EE263" s="144">
        <f t="shared" si="674"/>
        <v>2.5683306666666663</v>
      </c>
      <c r="EF263" s="5">
        <f t="shared" si="675"/>
        <v>5.1493473544973543E-2</v>
      </c>
      <c r="EH263" s="150">
        <f t="shared" si="702"/>
        <v>0.18554794800392757</v>
      </c>
      <c r="EI263" s="150">
        <f t="shared" si="703"/>
        <v>0.63054781210759236</v>
      </c>
      <c r="EK263" s="456">
        <f t="shared" si="704"/>
        <v>6.8856082016936423E-4</v>
      </c>
      <c r="EL263" s="456">
        <f t="shared" si="705"/>
        <v>0.52117986666666671</v>
      </c>
      <c r="EM263" s="456">
        <f t="shared" si="706"/>
        <v>4.3749999999999997E-2</v>
      </c>
      <c r="EN263" s="456">
        <f t="shared" si="707"/>
        <v>0.14970060000000002</v>
      </c>
      <c r="EO263">
        <f t="shared" si="708"/>
        <v>2.7E-2</v>
      </c>
      <c r="EP263" s="144">
        <f t="shared" si="709"/>
        <v>70.75</v>
      </c>
      <c r="EQ263" s="144"/>
      <c r="ER263" s="144">
        <f t="shared" si="710"/>
        <v>742.31902748683603</v>
      </c>
      <c r="ES263" s="456">
        <f t="shared" si="711"/>
        <v>0.39479999999999993</v>
      </c>
      <c r="EV263" s="144">
        <f t="shared" si="712"/>
        <v>394.79999999999995</v>
      </c>
      <c r="EW263" s="456">
        <f t="shared" si="713"/>
        <v>1.0328412302540464E-3</v>
      </c>
      <c r="EX263" s="456">
        <f t="shared" si="714"/>
        <v>1.1927716300610148E-2</v>
      </c>
      <c r="EY263" s="456">
        <f t="shared" si="715"/>
        <v>0.15846002512976151</v>
      </c>
      <c r="EZ263" s="456"/>
      <c r="FA263" s="456">
        <f t="shared" si="716"/>
        <v>4.5361951358024696E-4</v>
      </c>
      <c r="FB263" s="144">
        <f t="shared" si="717"/>
        <v>171.87420217420595</v>
      </c>
      <c r="FC263" s="150">
        <f t="shared" si="718"/>
        <v>1.3089932296610418</v>
      </c>
      <c r="FD263" s="5">
        <f t="shared" si="719"/>
        <v>2.82</v>
      </c>
      <c r="FE263" s="150">
        <f t="shared" si="720"/>
        <v>0.68297520561241032</v>
      </c>
      <c r="FF263" s="5">
        <f t="shared" si="721"/>
        <v>68.297520561241029</v>
      </c>
      <c r="FI263" s="59">
        <f t="shared" si="676"/>
        <v>-50</v>
      </c>
      <c r="FJ263">
        <f t="shared" si="677"/>
        <v>-50</v>
      </c>
      <c r="FL263">
        <f t="shared" si="760"/>
        <v>0.92030888888888884</v>
      </c>
    </row>
    <row r="264" spans="5:168">
      <c r="E264" s="147">
        <v>48</v>
      </c>
      <c r="F264" s="188">
        <f t="shared" si="761"/>
        <v>0.57599999999999996</v>
      </c>
      <c r="G264" s="188"/>
      <c r="H264" s="188">
        <f t="shared" si="726"/>
        <v>2.88</v>
      </c>
      <c r="I264" s="465">
        <f t="shared" si="727"/>
        <v>59.968039536277345</v>
      </c>
      <c r="J264" s="149">
        <f t="shared" si="728"/>
        <v>5.4191762782335928</v>
      </c>
      <c r="K264" s="149">
        <f t="shared" si="729"/>
        <v>65.387215814510938</v>
      </c>
      <c r="L264" s="379"/>
      <c r="M264" s="188">
        <f t="shared" si="730"/>
        <v>8.2873099410676693E-2</v>
      </c>
      <c r="N264" s="149">
        <f t="shared" si="731"/>
        <v>12.797073552529755</v>
      </c>
      <c r="O264" s="149">
        <f t="shared" si="762"/>
        <v>2.88</v>
      </c>
      <c r="P264" s="188">
        <f t="shared" si="732"/>
        <v>2.5594147105059508</v>
      </c>
      <c r="Q264" s="188">
        <f t="shared" si="733"/>
        <v>5</v>
      </c>
      <c r="R264" s="188"/>
      <c r="S264" s="149">
        <f t="shared" si="734"/>
        <v>200.42935062753818</v>
      </c>
      <c r="T264" s="149">
        <f t="shared" si="735"/>
        <v>5</v>
      </c>
      <c r="U264" s="188">
        <f t="shared" si="736"/>
        <v>1.2560966200639767</v>
      </c>
      <c r="V264" s="188">
        <f t="shared" si="737"/>
        <v>0.25135321343378736</v>
      </c>
      <c r="W264" s="188">
        <f t="shared" si="738"/>
        <v>2.7814484465673979</v>
      </c>
      <c r="X264" s="172">
        <f t="shared" si="739"/>
        <v>350</v>
      </c>
      <c r="Y264" s="379">
        <f t="shared" si="680"/>
        <v>309.32921508077709</v>
      </c>
      <c r="AA264" s="188">
        <f t="shared" si="740"/>
        <v>1.1833439466976794</v>
      </c>
      <c r="AB264" s="150">
        <f t="shared" si="741"/>
        <v>2.6203479332103869</v>
      </c>
      <c r="AC264" s="150">
        <f t="shared" si="742"/>
        <v>0.54263525137610025</v>
      </c>
      <c r="AD264" s="150"/>
      <c r="AE264" s="150">
        <f t="shared" si="743"/>
        <v>2.2143586744351964</v>
      </c>
      <c r="AF264" s="314">
        <f t="shared" si="744"/>
        <v>520.24092271042491</v>
      </c>
      <c r="AG264" s="456">
        <f t="shared" si="745"/>
        <v>0.38751276802615936</v>
      </c>
      <c r="AI264" s="150">
        <f t="shared" si="746"/>
        <v>1.2191811335135971</v>
      </c>
      <c r="AJ264" s="150">
        <f t="shared" si="747"/>
        <v>1.2560966200639767</v>
      </c>
      <c r="AK264" s="150">
        <f t="shared" si="748"/>
        <v>1.3897012000473901</v>
      </c>
      <c r="AM264" s="314">
        <f t="shared" si="749"/>
        <v>576</v>
      </c>
      <c r="AN264" s="144">
        <f t="shared" si="750"/>
        <v>309.32921508077709</v>
      </c>
      <c r="AP264">
        <f t="shared" si="751"/>
        <v>576</v>
      </c>
      <c r="AQ264">
        <f t="shared" si="752"/>
        <v>309.32921508077709</v>
      </c>
      <c r="AS264" s="5">
        <f t="shared" si="763"/>
        <v>3.2328016600011855</v>
      </c>
      <c r="AT264" s="5">
        <f t="shared" si="753"/>
        <v>0.25135321343378736</v>
      </c>
      <c r="AU264" s="5">
        <f t="shared" si="722"/>
        <v>2.981448446567398</v>
      </c>
      <c r="AV264" s="5"/>
      <c r="AW264" s="150">
        <f t="shared" si="723"/>
        <v>7.7750892219504486E-2</v>
      </c>
      <c r="AX264" s="150">
        <f t="shared" si="631"/>
        <v>2.9283183161980331</v>
      </c>
      <c r="AY264" s="150">
        <f t="shared" si="632"/>
        <v>0.5792169935700493</v>
      </c>
      <c r="AZ264" s="150">
        <f t="shared" si="633"/>
        <v>5.0556498664673386</v>
      </c>
      <c r="BA264" s="144">
        <f t="shared" si="724"/>
        <v>2.8955890187572302</v>
      </c>
      <c r="BB264" s="5">
        <f t="shared" si="725"/>
        <v>5.966074868458128E-2</v>
      </c>
      <c r="BD264" s="150">
        <f t="shared" si="681"/>
        <v>0.2022158113849592</v>
      </c>
      <c r="BE264" s="150">
        <f t="shared" si="682"/>
        <v>0.69644454572586378</v>
      </c>
      <c r="BG264" s="456">
        <f t="shared" si="683"/>
        <v>8.1782468748154791E-4</v>
      </c>
      <c r="BH264" s="456">
        <f t="shared" si="754"/>
        <v>0.47636309046700182</v>
      </c>
      <c r="BI264" s="456">
        <f t="shared" si="755"/>
        <v>0.46374666499224199</v>
      </c>
      <c r="BJ264" s="456">
        <f t="shared" si="684"/>
        <v>0.13225333446444287</v>
      </c>
      <c r="BK264">
        <f t="shared" si="685"/>
        <v>2.6985617791324804E-2</v>
      </c>
      <c r="BL264" s="144">
        <f t="shared" si="686"/>
        <v>490.7322827835668</v>
      </c>
      <c r="BM264" s="456">
        <f t="shared" si="756"/>
        <v>0.60977355052088766</v>
      </c>
      <c r="BN264" s="144">
        <f t="shared" si="687"/>
        <v>609.77355052088762</v>
      </c>
      <c r="BO264" s="456">
        <f t="shared" si="637"/>
        <v>0.40319999999999995</v>
      </c>
      <c r="BR264" s="144">
        <f t="shared" si="688"/>
        <v>403.19999999999993</v>
      </c>
      <c r="BS264" s="456">
        <f t="shared" si="689"/>
        <v>1.2267370312223217E-3</v>
      </c>
      <c r="BT264" s="456">
        <f t="shared" si="690"/>
        <v>1.4551050158139144E-2</v>
      </c>
      <c r="BU264" s="456">
        <f t="shared" si="691"/>
        <v>0.14879213338585881</v>
      </c>
      <c r="BV264" s="456"/>
      <c r="BW264" s="456">
        <f t="shared" si="692"/>
        <v>4.8805305269967217E-4</v>
      </c>
      <c r="BX264" s="144">
        <f t="shared" si="693"/>
        <v>165.05797362791992</v>
      </c>
      <c r="BY264" s="150">
        <f t="shared" si="694"/>
        <v>1.668424506030413</v>
      </c>
      <c r="BZ264" s="5">
        <f t="shared" si="695"/>
        <v>2.88</v>
      </c>
      <c r="CA264" s="150">
        <f t="shared" si="696"/>
        <v>0.63318628157543899</v>
      </c>
      <c r="CB264" s="5">
        <f t="shared" si="697"/>
        <v>63.318628157543898</v>
      </c>
      <c r="CE264" s="59">
        <f t="shared" si="757"/>
        <v>-50</v>
      </c>
      <c r="CF264">
        <f t="shared" si="758"/>
        <v>-50</v>
      </c>
      <c r="CG264" s="150">
        <f t="shared" si="759"/>
        <v>0.90111333333333343</v>
      </c>
      <c r="CI264" s="147">
        <v>48</v>
      </c>
      <c r="CJ264" s="188">
        <f t="shared" si="698"/>
        <v>0.57599999999999996</v>
      </c>
      <c r="CK264" s="188"/>
      <c r="CL264" s="188">
        <f t="shared" si="641"/>
        <v>2.88</v>
      </c>
      <c r="CM264" s="465">
        <f t="shared" si="642"/>
        <v>60</v>
      </c>
      <c r="CN264" s="379">
        <f t="shared" si="643"/>
        <v>5.4</v>
      </c>
      <c r="CO264" s="379">
        <f t="shared" si="644"/>
        <v>65.400000000000006</v>
      </c>
      <c r="CP264" s="379"/>
      <c r="CQ264" s="188">
        <f t="shared" si="645"/>
        <v>8.2568807339449546E-2</v>
      </c>
      <c r="CR264" s="149">
        <f t="shared" si="646"/>
        <v>12.756880733944957</v>
      </c>
      <c r="CS264" s="149">
        <f t="shared" si="647"/>
        <v>2.88</v>
      </c>
      <c r="CT264" s="188">
        <f t="shared" si="648"/>
        <v>2.5513761467889915</v>
      </c>
      <c r="CU264" s="188">
        <f t="shared" si="649"/>
        <v>5</v>
      </c>
      <c r="CV264" s="188"/>
      <c r="CW264" s="149">
        <f t="shared" si="650"/>
        <v>200.53610761874054</v>
      </c>
      <c r="CX264" s="149">
        <f t="shared" si="651"/>
        <v>5</v>
      </c>
      <c r="CY264" s="188">
        <f t="shared" si="652"/>
        <v>1.1626666666666665</v>
      </c>
      <c r="CZ264" s="188">
        <f t="shared" si="653"/>
        <v>0.23253333333333329</v>
      </c>
      <c r="DA264" s="188">
        <f t="shared" si="654"/>
        <v>2.5837037037037032</v>
      </c>
      <c r="DB264" s="172">
        <f t="shared" si="655"/>
        <v>350</v>
      </c>
      <c r="DC264" s="379">
        <f t="shared" si="656"/>
        <v>350</v>
      </c>
      <c r="DE264" s="188">
        <f t="shared" si="657"/>
        <v>1.179554390563565</v>
      </c>
      <c r="DF264" s="150">
        <f t="shared" si="658"/>
        <v>2.6212319790301444</v>
      </c>
      <c r="DG264" s="150">
        <f t="shared" si="659"/>
        <v>0.54107999567136011</v>
      </c>
      <c r="DH264" s="150"/>
      <c r="DI264" s="150">
        <f t="shared" si="660"/>
        <v>2.2222222222222219</v>
      </c>
      <c r="DJ264" s="314">
        <f t="shared" si="661"/>
        <v>518.4</v>
      </c>
      <c r="DK264" s="456">
        <f t="shared" si="662"/>
        <v>0.38888888888888884</v>
      </c>
      <c r="DM264" s="150">
        <f t="shared" si="663"/>
        <v>1.217022126809064</v>
      </c>
      <c r="DN264" s="150">
        <f t="shared" si="664"/>
        <v>1.1626666666666665</v>
      </c>
      <c r="DO264" s="150">
        <f t="shared" si="665"/>
        <v>1.3204938271604936</v>
      </c>
      <c r="DQ264" s="314">
        <f t="shared" si="666"/>
        <v>576</v>
      </c>
      <c r="DR264" s="144">
        <f t="shared" si="667"/>
        <v>350</v>
      </c>
      <c r="DT264">
        <f t="shared" si="668"/>
        <v>576</v>
      </c>
      <c r="DU264">
        <f t="shared" si="669"/>
        <v>350</v>
      </c>
      <c r="DW264" s="5">
        <f t="shared" si="670"/>
        <v>2.8571428571428572</v>
      </c>
      <c r="DX264" s="5">
        <f t="shared" si="671"/>
        <v>0.23253333333333329</v>
      </c>
      <c r="DY264" s="5">
        <f t="shared" si="672"/>
        <v>2.6246095238095237</v>
      </c>
      <c r="DZ264" s="5"/>
      <c r="EA264" s="150">
        <f t="shared" si="673"/>
        <v>8.1386666666666649E-2</v>
      </c>
      <c r="EB264" s="150">
        <f t="shared" si="699"/>
        <v>2.8387669333333325</v>
      </c>
      <c r="EC264" s="150">
        <f t="shared" si="700"/>
        <v>0.53402055111111113</v>
      </c>
      <c r="ED264" s="150">
        <f t="shared" si="701"/>
        <v>5.3158383650719907</v>
      </c>
      <c r="EE264" s="144">
        <f t="shared" si="674"/>
        <v>2.6787839999999989</v>
      </c>
      <c r="EF264" s="5">
        <f t="shared" si="675"/>
        <v>5.2492190476190463E-2</v>
      </c>
      <c r="EH264" s="150">
        <f t="shared" si="702"/>
        <v>0.19150107884297851</v>
      </c>
      <c r="EI264" s="150">
        <f t="shared" si="703"/>
        <v>0.64337023767648838</v>
      </c>
      <c r="EK264" s="456">
        <f t="shared" si="704"/>
        <v>7.3345326396049345E-4</v>
      </c>
      <c r="EL264" s="456">
        <f t="shared" si="705"/>
        <v>0.53226879999999999</v>
      </c>
      <c r="EM264" s="456">
        <f t="shared" si="706"/>
        <v>4.3749999999999997E-2</v>
      </c>
      <c r="EN264" s="456">
        <f t="shared" si="707"/>
        <v>0.14970060000000002</v>
      </c>
      <c r="EO264">
        <f t="shared" si="708"/>
        <v>2.7E-2</v>
      </c>
      <c r="EP264" s="144">
        <f t="shared" si="709"/>
        <v>70.75</v>
      </c>
      <c r="EQ264" s="144"/>
      <c r="ER264" s="144">
        <f t="shared" si="710"/>
        <v>753.45285326396049</v>
      </c>
      <c r="ES264" s="456">
        <f t="shared" si="711"/>
        <v>0.40319999999999995</v>
      </c>
      <c r="EV264" s="144">
        <f t="shared" si="712"/>
        <v>403.19999999999993</v>
      </c>
      <c r="EW264" s="456">
        <f t="shared" si="713"/>
        <v>1.1001798959407402E-3</v>
      </c>
      <c r="EX264" s="456">
        <f t="shared" si="714"/>
        <v>1.2417757881837034E-2</v>
      </c>
      <c r="EY264" s="456">
        <f t="shared" si="715"/>
        <v>0.1670237264905963</v>
      </c>
      <c r="EZ264" s="456"/>
      <c r="FA264" s="456">
        <f t="shared" si="716"/>
        <v>4.7312782222222211E-4</v>
      </c>
      <c r="FB264" s="144">
        <f t="shared" si="717"/>
        <v>181.0147920905963</v>
      </c>
      <c r="FC264" s="150">
        <f t="shared" si="718"/>
        <v>1.3376676453545566</v>
      </c>
      <c r="FD264" s="5">
        <f t="shared" si="719"/>
        <v>2.88</v>
      </c>
      <c r="FE264" s="150">
        <f t="shared" si="720"/>
        <v>0.6828418553017338</v>
      </c>
      <c r="FF264" s="5">
        <f t="shared" si="721"/>
        <v>68.284185530173374</v>
      </c>
      <c r="FI264" s="59">
        <f t="shared" si="676"/>
        <v>-50</v>
      </c>
      <c r="FJ264">
        <f t="shared" si="677"/>
        <v>-50</v>
      </c>
      <c r="FL264">
        <f t="shared" si="760"/>
        <v>0.91861333333333339</v>
      </c>
    </row>
    <row r="265" spans="5:168">
      <c r="E265" s="147">
        <v>49</v>
      </c>
      <c r="F265" s="188">
        <f t="shared" si="761"/>
        <v>0.58799999999999997</v>
      </c>
      <c r="G265" s="188"/>
      <c r="H265" s="188">
        <f t="shared" si="726"/>
        <v>2.94</v>
      </c>
      <c r="I265" s="465">
        <f t="shared" si="727"/>
        <v>59.967334761009589</v>
      </c>
      <c r="J265" s="149">
        <f t="shared" si="728"/>
        <v>5.4195991433942465</v>
      </c>
      <c r="K265" s="149">
        <f t="shared" si="729"/>
        <v>65.386933904403833</v>
      </c>
      <c r="L265" s="379"/>
      <c r="M265" s="188">
        <f t="shared" si="730"/>
        <v>8.2879836533989726E-2</v>
      </c>
      <c r="N265" s="149">
        <f t="shared" si="731"/>
        <v>12.797963473606652</v>
      </c>
      <c r="O265" s="149">
        <f t="shared" si="762"/>
        <v>2.94</v>
      </c>
      <c r="P265" s="188">
        <f t="shared" si="732"/>
        <v>2.5595926947213306</v>
      </c>
      <c r="Q265" s="188">
        <f t="shared" si="733"/>
        <v>5</v>
      </c>
      <c r="R265" s="188"/>
      <c r="S265" s="149">
        <f t="shared" si="734"/>
        <v>195.11850693676109</v>
      </c>
      <c r="T265" s="149">
        <f t="shared" si="735"/>
        <v>5</v>
      </c>
      <c r="U265" s="188">
        <f t="shared" si="736"/>
        <v>1.2822747191116404</v>
      </c>
      <c r="V265" s="188">
        <f t="shared" si="737"/>
        <v>0.25659463924257003</v>
      </c>
      <c r="W265" s="188">
        <f t="shared" si="738"/>
        <v>2.8391946013377587</v>
      </c>
      <c r="X265" s="172">
        <f t="shared" si="739"/>
        <v>350</v>
      </c>
      <c r="Y265" s="379">
        <f t="shared" si="680"/>
        <v>303.41745997808948</v>
      </c>
      <c r="AA265" s="188">
        <f t="shared" si="740"/>
        <v>1.1834274783892944</v>
      </c>
      <c r="AB265" s="150">
        <f t="shared" si="741"/>
        <v>2.6203284348032967</v>
      </c>
      <c r="AC265" s="150">
        <f t="shared" si="742"/>
        <v>0.54266951762643068</v>
      </c>
      <c r="AD265" s="150"/>
      <c r="AE265" s="150">
        <f t="shared" si="743"/>
        <v>2.2141858987165808</v>
      </c>
      <c r="AF265" s="314">
        <f t="shared" si="744"/>
        <v>531.120716052636</v>
      </c>
      <c r="AG265" s="456">
        <f t="shared" si="745"/>
        <v>0.38748253227540164</v>
      </c>
      <c r="AI265" s="150">
        <f t="shared" si="746"/>
        <v>1.2318635314637694</v>
      </c>
      <c r="AJ265" s="150">
        <f t="shared" si="747"/>
        <v>1.2822747191116404</v>
      </c>
      <c r="AK265" s="150">
        <f t="shared" si="748"/>
        <v>1.409092384527141</v>
      </c>
      <c r="AM265" s="314">
        <f t="shared" si="749"/>
        <v>588</v>
      </c>
      <c r="AN265" s="144">
        <f t="shared" si="750"/>
        <v>303.41745997808948</v>
      </c>
      <c r="AP265">
        <f t="shared" si="751"/>
        <v>588</v>
      </c>
      <c r="AQ265">
        <f t="shared" si="752"/>
        <v>303.41745997808948</v>
      </c>
      <c r="AS265" s="5">
        <f t="shared" si="763"/>
        <v>3.2957892405803295</v>
      </c>
      <c r="AT265" s="5">
        <f t="shared" si="753"/>
        <v>0.25659463924257003</v>
      </c>
      <c r="AU265" s="5">
        <f t="shared" si="722"/>
        <v>3.0391946013377593</v>
      </c>
      <c r="AV265" s="5"/>
      <c r="AW265" s="150">
        <f t="shared" si="723"/>
        <v>7.7855293682974794E-2</v>
      </c>
      <c r="AX265" s="150">
        <f t="shared" si="631"/>
        <v>2.9933257291354902</v>
      </c>
      <c r="AY265" s="150">
        <f t="shared" si="632"/>
        <v>0.59122142213647477</v>
      </c>
      <c r="AZ265" s="150">
        <f t="shared" si="633"/>
        <v>5.0629520803197909</v>
      </c>
      <c r="BA265" s="144">
        <f t="shared" si="724"/>
        <v>3.0175529574926236</v>
      </c>
      <c r="BB265" s="5">
        <f t="shared" si="725"/>
        <v>6.2084022934756754E-2</v>
      </c>
      <c r="BD265" s="150">
        <f t="shared" si="681"/>
        <v>0.20656870468617347</v>
      </c>
      <c r="BE265" s="150">
        <f t="shared" si="682"/>
        <v>0.7109187872056052</v>
      </c>
      <c r="BG265" s="456">
        <f t="shared" si="683"/>
        <v>8.5341259511447095E-4</v>
      </c>
      <c r="BH265" s="456">
        <f t="shared" si="754"/>
        <v>0.47699507340393554</v>
      </c>
      <c r="BI265" s="456">
        <f t="shared" si="755"/>
        <v>0.45487840987103295</v>
      </c>
      <c r="BJ265" s="456">
        <f t="shared" si="684"/>
        <v>0.12972465207350592</v>
      </c>
      <c r="BK265">
        <f t="shared" si="685"/>
        <v>2.6985300642454316E-2</v>
      </c>
      <c r="BL265" s="144">
        <f t="shared" si="686"/>
        <v>481.86371051348726</v>
      </c>
      <c r="BM265" s="456">
        <f t="shared" si="756"/>
        <v>0.60792682930257391</v>
      </c>
      <c r="BN265" s="144">
        <f t="shared" si="687"/>
        <v>607.92682930257388</v>
      </c>
      <c r="BO265" s="456">
        <f t="shared" si="637"/>
        <v>0.41159999999999997</v>
      </c>
      <c r="BR265" s="144">
        <f t="shared" si="688"/>
        <v>411.59999999999997</v>
      </c>
      <c r="BS265" s="456">
        <f t="shared" si="689"/>
        <v>1.2801188926717063E-3</v>
      </c>
      <c r="BT265" s="456">
        <f t="shared" si="690"/>
        <v>1.5162165660056657E-2</v>
      </c>
      <c r="BU265" s="456">
        <f t="shared" si="691"/>
        <v>0.14928773370463613</v>
      </c>
      <c r="BV265" s="456"/>
      <c r="BW265" s="456">
        <f t="shared" si="692"/>
        <v>4.9888762152258171E-4</v>
      </c>
      <c r="BX265" s="144">
        <f t="shared" si="693"/>
        <v>166.22890587888708</v>
      </c>
      <c r="BY265" s="150">
        <f t="shared" si="694"/>
        <v>1.6672657544649303</v>
      </c>
      <c r="BZ265" s="5">
        <f t="shared" si="695"/>
        <v>2.94</v>
      </c>
      <c r="CA265" s="150">
        <f t="shared" si="696"/>
        <v>0.63812251271827058</v>
      </c>
      <c r="CB265" s="5">
        <f t="shared" si="697"/>
        <v>63.812251271827058</v>
      </c>
      <c r="CE265" s="59">
        <f t="shared" si="757"/>
        <v>-50</v>
      </c>
      <c r="CF265">
        <f t="shared" si="758"/>
        <v>-50</v>
      </c>
      <c r="CG265" s="150">
        <f t="shared" si="759"/>
        <v>0.90003933565682825</v>
      </c>
      <c r="CI265" s="147">
        <v>49</v>
      </c>
      <c r="CJ265" s="188">
        <f t="shared" si="698"/>
        <v>0.58799999999999997</v>
      </c>
      <c r="CK265" s="188"/>
      <c r="CL265" s="188">
        <f t="shared" si="641"/>
        <v>2.94</v>
      </c>
      <c r="CM265" s="465">
        <f t="shared" si="642"/>
        <v>60</v>
      </c>
      <c r="CN265" s="379">
        <f t="shared" si="643"/>
        <v>5.4</v>
      </c>
      <c r="CO265" s="379">
        <f t="shared" si="644"/>
        <v>65.400000000000006</v>
      </c>
      <c r="CP265" s="379"/>
      <c r="CQ265" s="188">
        <f t="shared" si="645"/>
        <v>8.2568807339449546E-2</v>
      </c>
      <c r="CR265" s="149">
        <f t="shared" si="646"/>
        <v>12.756880733944957</v>
      </c>
      <c r="CS265" s="149">
        <f t="shared" si="647"/>
        <v>2.94</v>
      </c>
      <c r="CT265" s="188">
        <f t="shared" si="648"/>
        <v>2.5513761467889915</v>
      </c>
      <c r="CU265" s="188">
        <f t="shared" si="649"/>
        <v>5</v>
      </c>
      <c r="CV265" s="188"/>
      <c r="CW265" s="149">
        <f t="shared" si="650"/>
        <v>195.22472469505104</v>
      </c>
      <c r="CX265" s="149">
        <f t="shared" si="651"/>
        <v>5</v>
      </c>
      <c r="CY265" s="188">
        <f t="shared" si="652"/>
        <v>1.1868888888888887</v>
      </c>
      <c r="CZ265" s="188">
        <f t="shared" si="653"/>
        <v>0.23737777777777774</v>
      </c>
      <c r="DA265" s="188">
        <f t="shared" si="654"/>
        <v>2.6375308641975304</v>
      </c>
      <c r="DB265" s="172">
        <f t="shared" si="655"/>
        <v>350</v>
      </c>
      <c r="DC265" s="379">
        <f t="shared" si="656"/>
        <v>347.83714007444581</v>
      </c>
      <c r="DE265" s="188">
        <f t="shared" si="657"/>
        <v>1.179554390563565</v>
      </c>
      <c r="DF265" s="150">
        <f t="shared" si="658"/>
        <v>2.6212319790301444</v>
      </c>
      <c r="DG265" s="150">
        <f t="shared" si="659"/>
        <v>0.54107999567136011</v>
      </c>
      <c r="DH265" s="150"/>
      <c r="DI265" s="150">
        <f t="shared" si="660"/>
        <v>2.2222222222222219</v>
      </c>
      <c r="DJ265" s="314">
        <f t="shared" si="661"/>
        <v>529.20000000000005</v>
      </c>
      <c r="DK265" s="456">
        <f t="shared" si="662"/>
        <v>0.38888888888888884</v>
      </c>
      <c r="DM265" s="150">
        <f t="shared" si="663"/>
        <v>1.2296340919151518</v>
      </c>
      <c r="DN265" s="150">
        <f t="shared" si="664"/>
        <v>1.1868888888888887</v>
      </c>
      <c r="DO265" s="150">
        <f t="shared" si="665"/>
        <v>1.3384362139917694</v>
      </c>
      <c r="DQ265" s="314">
        <f t="shared" si="666"/>
        <v>588</v>
      </c>
      <c r="DR265" s="144">
        <f t="shared" si="667"/>
        <v>347.83714007444581</v>
      </c>
      <c r="DT265">
        <f t="shared" si="668"/>
        <v>588</v>
      </c>
      <c r="DU265">
        <f t="shared" si="669"/>
        <v>347.83714007444581</v>
      </c>
      <c r="DW265" s="5">
        <f t="shared" si="670"/>
        <v>2.874908641975308</v>
      </c>
      <c r="DX265" s="5">
        <f t="shared" si="671"/>
        <v>0.23737777777777774</v>
      </c>
      <c r="DY265" s="5">
        <f t="shared" si="672"/>
        <v>2.6375308641975304</v>
      </c>
      <c r="DZ265" s="5"/>
      <c r="EA265" s="150">
        <f t="shared" si="673"/>
        <v>8.2568807339449546E-2</v>
      </c>
      <c r="EB265" s="150">
        <f t="shared" si="699"/>
        <v>2.9399999999999995</v>
      </c>
      <c r="EC265" s="150">
        <f t="shared" si="700"/>
        <v>0.5444444444444444</v>
      </c>
      <c r="ED265" s="150">
        <f t="shared" si="701"/>
        <v>5.3999999999999995</v>
      </c>
      <c r="EE265" s="144">
        <f t="shared" si="674"/>
        <v>2.7915626666666657</v>
      </c>
      <c r="EF265" s="5">
        <f t="shared" si="675"/>
        <v>5.3849588477366241E-2</v>
      </c>
      <c r="EH265" s="150">
        <f t="shared" si="702"/>
        <v>0.19690531659582911</v>
      </c>
      <c r="EI265" s="150">
        <f t="shared" si="703"/>
        <v>0.65635105531943039</v>
      </c>
      <c r="EK265" s="456">
        <f t="shared" si="704"/>
        <v>7.7543407407407378E-4</v>
      </c>
      <c r="EL265" s="456">
        <f t="shared" si="705"/>
        <v>0.54</v>
      </c>
      <c r="EM265" s="456">
        <f t="shared" si="706"/>
        <v>4.3479642509305721E-2</v>
      </c>
      <c r="EN265" s="456">
        <f t="shared" si="707"/>
        <v>0.1487755102040817</v>
      </c>
      <c r="EO265">
        <f t="shared" si="708"/>
        <v>2.7E-2</v>
      </c>
      <c r="EP265" s="144">
        <f t="shared" si="709"/>
        <v>70.479642509305719</v>
      </c>
      <c r="EQ265" s="144"/>
      <c r="ER265" s="144">
        <f t="shared" si="710"/>
        <v>760.03058678746163</v>
      </c>
      <c r="ES265" s="456">
        <f t="shared" si="711"/>
        <v>0.41159999999999997</v>
      </c>
      <c r="EV265" s="144">
        <f t="shared" si="712"/>
        <v>411.59999999999997</v>
      </c>
      <c r="EW265" s="456">
        <f t="shared" si="713"/>
        <v>1.1631511111111106E-3</v>
      </c>
      <c r="EX265" s="456">
        <f t="shared" si="714"/>
        <v>1.29239012345679E-2</v>
      </c>
      <c r="EY265" s="456">
        <f t="shared" si="715"/>
        <v>0.17315500288201618</v>
      </c>
      <c r="EZ265" s="456"/>
      <c r="FA265" s="456">
        <f t="shared" si="716"/>
        <v>4.8999999999999998E-4</v>
      </c>
      <c r="FB265" s="144">
        <f t="shared" si="717"/>
        <v>187.73205522769518</v>
      </c>
      <c r="FC265" s="150">
        <f t="shared" si="718"/>
        <v>1.359362642015157</v>
      </c>
      <c r="FD265" s="5">
        <f t="shared" si="719"/>
        <v>2.94</v>
      </c>
      <c r="FE265" s="150">
        <f t="shared" si="720"/>
        <v>0.68382228827805758</v>
      </c>
      <c r="FF265" s="5">
        <f t="shared" si="721"/>
        <v>68.382228827805761</v>
      </c>
      <c r="FI265" s="59">
        <f t="shared" si="676"/>
        <v>-50</v>
      </c>
      <c r="FJ265">
        <f t="shared" si="677"/>
        <v>-50</v>
      </c>
      <c r="FL265">
        <f t="shared" si="760"/>
        <v>0.91743119266055051</v>
      </c>
    </row>
    <row r="266" spans="5:168">
      <c r="E266" s="147">
        <v>50</v>
      </c>
      <c r="F266" s="188">
        <f t="shared" si="761"/>
        <v>0.6</v>
      </c>
      <c r="G266" s="188"/>
      <c r="H266" s="188">
        <f t="shared" si="726"/>
        <v>3</v>
      </c>
      <c r="I266" s="465">
        <f t="shared" si="727"/>
        <v>59.966681000233699</v>
      </c>
      <c r="J266" s="149">
        <f t="shared" si="728"/>
        <v>5.4199913998597804</v>
      </c>
      <c r="K266" s="149">
        <f t="shared" si="729"/>
        <v>65.386672400093474</v>
      </c>
      <c r="L266" s="379"/>
      <c r="M266" s="188">
        <f t="shared" si="730"/>
        <v>8.2886169076617888E-2</v>
      </c>
      <c r="N266" s="149">
        <f t="shared" si="731"/>
        <v>12.798801785398625</v>
      </c>
      <c r="O266" s="149">
        <f t="shared" si="762"/>
        <v>3</v>
      </c>
      <c r="P266" s="188">
        <f t="shared" si="732"/>
        <v>2.5597603570797252</v>
      </c>
      <c r="Q266" s="188">
        <f t="shared" si="733"/>
        <v>5</v>
      </c>
      <c r="R266" s="188"/>
      <c r="S266" s="149">
        <f t="shared" si="734"/>
        <v>190.02045672236349</v>
      </c>
      <c r="T266" s="149">
        <f t="shared" si="735"/>
        <v>5</v>
      </c>
      <c r="U266" s="188">
        <f t="shared" si="736"/>
        <v>1.3084526255500892</v>
      </c>
      <c r="V266" s="188">
        <f t="shared" si="737"/>
        <v>0.26183592696317276</v>
      </c>
      <c r="W266" s="188">
        <f t="shared" si="738"/>
        <v>2.8969476791065167</v>
      </c>
      <c r="X266" s="172">
        <f t="shared" si="739"/>
        <v>350</v>
      </c>
      <c r="Y266" s="379">
        <f t="shared" si="680"/>
        <v>297.72683128287588</v>
      </c>
      <c r="AA266" s="188">
        <f t="shared" si="740"/>
        <v>1.1835049624218472</v>
      </c>
      <c r="AB266" s="150">
        <f t="shared" si="741"/>
        <v>2.6203103476196636</v>
      </c>
      <c r="AC266" s="150">
        <f t="shared" si="742"/>
        <v>0.54270130241130776</v>
      </c>
      <c r="AD266" s="150"/>
      <c r="AE266" s="150">
        <f t="shared" si="743"/>
        <v>2.2140256533083154</v>
      </c>
      <c r="AF266" s="314">
        <f t="shared" si="744"/>
        <v>541.99913998597788</v>
      </c>
      <c r="AG266" s="456">
        <f t="shared" si="745"/>
        <v>0.38745448932895521</v>
      </c>
      <c r="AI266" s="150">
        <f t="shared" si="746"/>
        <v>1.2444151121665585</v>
      </c>
      <c r="AJ266" s="150">
        <f t="shared" si="747"/>
        <v>1.3084526255500892</v>
      </c>
      <c r="AK266" s="150">
        <f t="shared" si="748"/>
        <v>1.4284834263333994</v>
      </c>
      <c r="AM266" s="314">
        <f t="shared" si="749"/>
        <v>600</v>
      </c>
      <c r="AN266" s="144">
        <f t="shared" si="750"/>
        <v>297.72683128287588</v>
      </c>
      <c r="AP266">
        <f t="shared" si="751"/>
        <v>600</v>
      </c>
      <c r="AQ266">
        <f t="shared" si="752"/>
        <v>297.72683128287588</v>
      </c>
      <c r="AS266" s="5">
        <f t="shared" si="763"/>
        <v>3.3587836060696898</v>
      </c>
      <c r="AT266" s="5">
        <f t="shared" si="753"/>
        <v>0.26183592696317276</v>
      </c>
      <c r="AU266" s="5">
        <f t="shared" si="722"/>
        <v>3.0969476791065169</v>
      </c>
      <c r="AV266" s="5"/>
      <c r="AW266" s="150">
        <f t="shared" si="723"/>
        <v>7.7955580850759945E-2</v>
      </c>
      <c r="AX266" s="150">
        <f t="shared" si="631"/>
        <v>3.0583362444935061</v>
      </c>
      <c r="AY266" s="150">
        <f t="shared" si="632"/>
        <v>0.60322572055481505</v>
      </c>
      <c r="AZ266" s="150">
        <f t="shared" si="633"/>
        <v>5.0699698973057883</v>
      </c>
      <c r="BA266" s="144">
        <f t="shared" si="724"/>
        <v>3.1420311235580725</v>
      </c>
      <c r="BB266" s="5">
        <f t="shared" si="725"/>
        <v>6.4555592110693255E-2</v>
      </c>
      <c r="BD266" s="150">
        <f t="shared" si="681"/>
        <v>0.21092156329651521</v>
      </c>
      <c r="BE266" s="150">
        <f t="shared" si="682"/>
        <v>0.72539289485505365</v>
      </c>
      <c r="BG266" s="456">
        <f t="shared" si="683"/>
        <v>8.8975811726891749E-4</v>
      </c>
      <c r="BH266" s="456">
        <f t="shared" si="754"/>
        <v>0.47760238459139237</v>
      </c>
      <c r="BI266" s="456">
        <f t="shared" si="755"/>
        <v>0.44634224791876542</v>
      </c>
      <c r="BJ266" s="456">
        <f t="shared" si="684"/>
        <v>0.12729063342547578</v>
      </c>
      <c r="BK266">
        <f t="shared" si="685"/>
        <v>2.6985006450105164E-2</v>
      </c>
      <c r="BL266" s="144">
        <f t="shared" si="686"/>
        <v>473.32725436887057</v>
      </c>
      <c r="BM266" s="456">
        <f t="shared" si="756"/>
        <v>0.6061511551373524</v>
      </c>
      <c r="BN266" s="144">
        <f t="shared" si="687"/>
        <v>606.15115513735236</v>
      </c>
      <c r="BO266" s="456">
        <f t="shared" si="637"/>
        <v>0.42</v>
      </c>
      <c r="BR266" s="144">
        <f t="shared" si="688"/>
        <v>420</v>
      </c>
      <c r="BS266" s="456">
        <f t="shared" si="689"/>
        <v>1.3346371759033761E-3</v>
      </c>
      <c r="BT266" s="456">
        <f t="shared" si="690"/>
        <v>1.5785845557185849E-2</v>
      </c>
      <c r="BU266" s="456">
        <f t="shared" si="691"/>
        <v>0.1497648686359043</v>
      </c>
      <c r="BV266" s="456"/>
      <c r="BW266" s="456">
        <f t="shared" si="692"/>
        <v>5.0972270741558444E-4</v>
      </c>
      <c r="BX266" s="144">
        <f t="shared" si="693"/>
        <v>167.39507407640912</v>
      </c>
      <c r="BY266" s="150">
        <f t="shared" si="694"/>
        <v>1.6665051045794166</v>
      </c>
      <c r="BZ266" s="5">
        <f t="shared" si="695"/>
        <v>3</v>
      </c>
      <c r="CA266" s="150">
        <f t="shared" si="696"/>
        <v>0.64287939962949736</v>
      </c>
      <c r="CB266" s="5">
        <f t="shared" si="697"/>
        <v>64.287939962949736</v>
      </c>
      <c r="CE266" s="59">
        <f t="shared" si="757"/>
        <v>-50</v>
      </c>
      <c r="CF266">
        <f t="shared" si="758"/>
        <v>-50</v>
      </c>
      <c r="CG266" s="150">
        <f t="shared" si="759"/>
        <v>0.90038717279690261</v>
      </c>
      <c r="CI266" s="147">
        <v>50</v>
      </c>
      <c r="CJ266" s="188">
        <f t="shared" si="698"/>
        <v>0.6</v>
      </c>
      <c r="CK266" s="188"/>
      <c r="CL266" s="188">
        <f t="shared" si="641"/>
        <v>3</v>
      </c>
      <c r="CM266" s="465">
        <f t="shared" si="642"/>
        <v>60</v>
      </c>
      <c r="CN266" s="379">
        <f t="shared" si="643"/>
        <v>5.4</v>
      </c>
      <c r="CO266" s="379">
        <f t="shared" si="644"/>
        <v>65.400000000000006</v>
      </c>
      <c r="CP266" s="379"/>
      <c r="CQ266" s="188">
        <f t="shared" si="645"/>
        <v>8.2568807339449546E-2</v>
      </c>
      <c r="CR266" s="149">
        <f t="shared" si="646"/>
        <v>12.756880733944957</v>
      </c>
      <c r="CS266" s="149">
        <f t="shared" si="647"/>
        <v>3</v>
      </c>
      <c r="CT266" s="188">
        <f t="shared" si="648"/>
        <v>2.5513761467889915</v>
      </c>
      <c r="CU266" s="188">
        <f t="shared" si="649"/>
        <v>5</v>
      </c>
      <c r="CV266" s="188"/>
      <c r="CW266" s="149">
        <f t="shared" si="650"/>
        <v>190.12596708137821</v>
      </c>
      <c r="CX266" s="149">
        <f t="shared" si="651"/>
        <v>5</v>
      </c>
      <c r="CY266" s="188">
        <f t="shared" si="652"/>
        <v>1.211111111111111</v>
      </c>
      <c r="CZ266" s="188">
        <f t="shared" si="653"/>
        <v>0.24222222222222217</v>
      </c>
      <c r="DA266" s="188">
        <f t="shared" si="654"/>
        <v>2.6913580246913575</v>
      </c>
      <c r="DB266" s="172">
        <f t="shared" si="655"/>
        <v>350</v>
      </c>
      <c r="DC266" s="379">
        <f t="shared" si="656"/>
        <v>340.88039727295688</v>
      </c>
      <c r="DE266" s="188">
        <f t="shared" si="657"/>
        <v>1.179554390563565</v>
      </c>
      <c r="DF266" s="150">
        <f t="shared" si="658"/>
        <v>2.6212319790301444</v>
      </c>
      <c r="DG266" s="150">
        <f t="shared" si="659"/>
        <v>0.54107999567136011</v>
      </c>
      <c r="DH266" s="150"/>
      <c r="DI266" s="150">
        <f t="shared" si="660"/>
        <v>2.2222222222222219</v>
      </c>
      <c r="DJ266" s="314">
        <f t="shared" si="661"/>
        <v>540</v>
      </c>
      <c r="DK266" s="456">
        <f t="shared" si="662"/>
        <v>0.38888888888888884</v>
      </c>
      <c r="DM266" s="150">
        <f t="shared" si="663"/>
        <v>1.2421180068162376</v>
      </c>
      <c r="DN266" s="150">
        <f t="shared" si="664"/>
        <v>1.211111111111111</v>
      </c>
      <c r="DO266" s="150">
        <f t="shared" si="665"/>
        <v>1.3563786008230452</v>
      </c>
      <c r="DQ266" s="314">
        <f t="shared" si="666"/>
        <v>600</v>
      </c>
      <c r="DR266" s="144">
        <f t="shared" si="667"/>
        <v>340.88039727295688</v>
      </c>
      <c r="DT266">
        <f t="shared" si="668"/>
        <v>600</v>
      </c>
      <c r="DU266">
        <f t="shared" si="669"/>
        <v>340.88039727295688</v>
      </c>
      <c r="DW266" s="5">
        <f t="shared" si="670"/>
        <v>2.9335802469135799</v>
      </c>
      <c r="DX266" s="5">
        <f t="shared" si="671"/>
        <v>0.24222222222222217</v>
      </c>
      <c r="DY266" s="5">
        <f t="shared" si="672"/>
        <v>2.6913580246913575</v>
      </c>
      <c r="DZ266" s="5"/>
      <c r="EA266" s="150">
        <f t="shared" si="673"/>
        <v>8.2568807339449532E-2</v>
      </c>
      <c r="EB266" s="150">
        <f t="shared" si="699"/>
        <v>3</v>
      </c>
      <c r="EC266" s="150">
        <f t="shared" si="700"/>
        <v>0.55555555555555558</v>
      </c>
      <c r="ED266" s="150">
        <f t="shared" si="701"/>
        <v>5.3999999999999995</v>
      </c>
      <c r="EE266" s="144">
        <f t="shared" si="674"/>
        <v>2.9066666666666658</v>
      </c>
      <c r="EF266" s="5">
        <f t="shared" si="675"/>
        <v>5.6069958847736606E-2</v>
      </c>
      <c r="EH266" s="150">
        <f t="shared" si="702"/>
        <v>0.20092379244472358</v>
      </c>
      <c r="EI266" s="150">
        <f t="shared" si="703"/>
        <v>0.66974597481574538</v>
      </c>
      <c r="EK266" s="456">
        <f t="shared" si="704"/>
        <v>8.0740740740740729E-4</v>
      </c>
      <c r="EL266" s="456">
        <f t="shared" si="705"/>
        <v>0.54</v>
      </c>
      <c r="EM266" s="456">
        <f t="shared" si="706"/>
        <v>4.261004965911961E-2</v>
      </c>
      <c r="EN266" s="456">
        <f t="shared" si="707"/>
        <v>0.14580000000000004</v>
      </c>
      <c r="EO266">
        <f t="shared" si="708"/>
        <v>2.7E-2</v>
      </c>
      <c r="EP266" s="144">
        <f t="shared" si="709"/>
        <v>69.610049659119611</v>
      </c>
      <c r="EQ266" s="144"/>
      <c r="ER266" s="144">
        <f t="shared" si="710"/>
        <v>756.21745706652712</v>
      </c>
      <c r="ES266" s="456">
        <f t="shared" si="711"/>
        <v>0.42</v>
      </c>
      <c r="EV266" s="144">
        <f t="shared" si="712"/>
        <v>420</v>
      </c>
      <c r="EW266" s="456">
        <f t="shared" si="713"/>
        <v>1.2111111111111107E-3</v>
      </c>
      <c r="EX266" s="456">
        <f t="shared" si="714"/>
        <v>1.3456790123456791E-2</v>
      </c>
      <c r="EY266" s="456">
        <f t="shared" si="715"/>
        <v>0.17315500288201652</v>
      </c>
      <c r="EZ266" s="456"/>
      <c r="FA266" s="456">
        <f t="shared" si="716"/>
        <v>5.0000000000000012E-4</v>
      </c>
      <c r="FB266" s="144">
        <f t="shared" si="717"/>
        <v>188.32290411658443</v>
      </c>
      <c r="FC266" s="150">
        <f t="shared" si="718"/>
        <v>1.3645403611831115</v>
      </c>
      <c r="FD266" s="5">
        <f t="shared" si="719"/>
        <v>3</v>
      </c>
      <c r="FE266" s="150">
        <f t="shared" si="720"/>
        <v>0.68735760280305425</v>
      </c>
      <c r="FF266" s="5">
        <f t="shared" si="721"/>
        <v>68.735760280305428</v>
      </c>
      <c r="FI266" s="59">
        <f t="shared" si="676"/>
        <v>-50</v>
      </c>
      <c r="FJ266">
        <f t="shared" si="677"/>
        <v>-50</v>
      </c>
      <c r="FL266">
        <f t="shared" si="760"/>
        <v>0.91743119266055051</v>
      </c>
    </row>
    <row r="267" spans="5:168">
      <c r="E267" s="147">
        <v>51</v>
      </c>
      <c r="F267" s="188">
        <f t="shared" si="761"/>
        <v>0.61199999999999999</v>
      </c>
      <c r="G267" s="188"/>
      <c r="H267" s="188">
        <f t="shared" si="726"/>
        <v>3.06</v>
      </c>
      <c r="I267" s="465">
        <f t="shared" si="727"/>
        <v>59.96602722990243</v>
      </c>
      <c r="J267" s="149">
        <f t="shared" si="728"/>
        <v>5.4203836620585406</v>
      </c>
      <c r="K267" s="149">
        <f t="shared" si="729"/>
        <v>65.386410891960963</v>
      </c>
      <c r="L267" s="379"/>
      <c r="M267" s="188">
        <f t="shared" si="730"/>
        <v>8.2892501681984615E-2</v>
      </c>
      <c r="N267" s="149">
        <f t="shared" si="731"/>
        <v>12.799640083517804</v>
      </c>
      <c r="O267" s="149">
        <f t="shared" si="762"/>
        <v>3.06</v>
      </c>
      <c r="P267" s="188">
        <f t="shared" si="732"/>
        <v>2.559928016703561</v>
      </c>
      <c r="Q267" s="188">
        <f t="shared" si="733"/>
        <v>5</v>
      </c>
      <c r="R267" s="188"/>
      <c r="S267" s="149">
        <f t="shared" si="734"/>
        <v>185.12252542748658</v>
      </c>
      <c r="T267" s="149">
        <f t="shared" si="735"/>
        <v>5</v>
      </c>
      <c r="U267" s="188">
        <f t="shared" si="736"/>
        <v>1.3346308935918947</v>
      </c>
      <c r="V267" s="188">
        <f t="shared" si="737"/>
        <v>0.26707740137096281</v>
      </c>
      <c r="W267" s="188">
        <f t="shared" si="738"/>
        <v>2.9546931954666071</v>
      </c>
      <c r="X267" s="172">
        <f t="shared" si="739"/>
        <v>350</v>
      </c>
      <c r="Y267" s="379">
        <f t="shared" si="680"/>
        <v>292.24635950879019</v>
      </c>
      <c r="AA267" s="188">
        <f t="shared" si="740"/>
        <v>1.1835824463390621</v>
      </c>
      <c r="AB267" s="150">
        <f t="shared" si="741"/>
        <v>2.6202922600269898</v>
      </c>
      <c r="AC267" s="150">
        <f t="shared" si="742"/>
        <v>0.54273308656805952</v>
      </c>
      <c r="AD267" s="150"/>
      <c r="AE267" s="150">
        <f t="shared" si="743"/>
        <v>2.2138654287513422</v>
      </c>
      <c r="AF267" s="314">
        <f t="shared" si="744"/>
        <v>552.87913352997111</v>
      </c>
      <c r="AG267" s="456">
        <f t="shared" si="745"/>
        <v>0.38742645003148485</v>
      </c>
      <c r="AI267" s="150">
        <f t="shared" si="746"/>
        <v>1.2568431354900615</v>
      </c>
      <c r="AJ267" s="150">
        <f t="shared" si="747"/>
        <v>1.3346308935918947</v>
      </c>
      <c r="AK267" s="150">
        <f t="shared" si="748"/>
        <v>1.4478747359939961</v>
      </c>
      <c r="AM267" s="314">
        <f t="shared" si="749"/>
        <v>612</v>
      </c>
      <c r="AN267" s="144">
        <f t="shared" si="750"/>
        <v>292.24635950879019</v>
      </c>
      <c r="AP267">
        <f t="shared" si="751"/>
        <v>612</v>
      </c>
      <c r="AQ267">
        <f t="shared" si="752"/>
        <v>292.24635950879019</v>
      </c>
      <c r="AS267" s="5">
        <f t="shared" si="763"/>
        <v>3.4217705968375696</v>
      </c>
      <c r="AT267" s="5">
        <f t="shared" si="753"/>
        <v>0.26707740137096281</v>
      </c>
      <c r="AU267" s="5">
        <f t="shared" si="722"/>
        <v>3.1546931954666069</v>
      </c>
      <c r="AV267" s="5"/>
      <c r="AW267" s="150">
        <f t="shared" si="723"/>
        <v>7.8052398257731859E-2</v>
      </c>
      <c r="AX267" s="150">
        <f t="shared" si="631"/>
        <v>3.1233647698816571</v>
      </c>
      <c r="AY267" s="150">
        <f t="shared" si="632"/>
        <v>0.61522987577909372</v>
      </c>
      <c r="AZ267" s="150">
        <f t="shared" si="633"/>
        <v>5.0767443078514312</v>
      </c>
      <c r="BA267" s="144">
        <f t="shared" si="724"/>
        <v>3.2690273927805849</v>
      </c>
      <c r="BB267" s="5">
        <f t="shared" si="725"/>
        <v>6.7075209248049217E-2</v>
      </c>
      <c r="BD267" s="150">
        <f t="shared" si="681"/>
        <v>0.2152750367777112</v>
      </c>
      <c r="BE267" s="150">
        <f t="shared" si="682"/>
        <v>0.73986701457107928</v>
      </c>
      <c r="BG267" s="456">
        <f t="shared" si="683"/>
        <v>9.2686682919289819E-4</v>
      </c>
      <c r="BH267" s="456">
        <f t="shared" si="754"/>
        <v>0.47818841989742089</v>
      </c>
      <c r="BI267" s="456">
        <f t="shared" si="755"/>
        <v>0.43812132880359911</v>
      </c>
      <c r="BJ267" s="456">
        <f t="shared" si="684"/>
        <v>0.1249465038154135</v>
      </c>
      <c r="BK267">
        <f t="shared" si="685"/>
        <v>2.6984712253456094E-2</v>
      </c>
      <c r="BL267" s="144">
        <f t="shared" si="686"/>
        <v>465.10604105705522</v>
      </c>
      <c r="BM267" s="456">
        <f t="shared" si="756"/>
        <v>0.60444515764951534</v>
      </c>
      <c r="BN267" s="144">
        <f t="shared" si="687"/>
        <v>604.44515764951529</v>
      </c>
      <c r="BO267" s="456">
        <f t="shared" si="637"/>
        <v>0.42839999999999995</v>
      </c>
      <c r="BR267" s="144">
        <f t="shared" si="688"/>
        <v>428.39999999999992</v>
      </c>
      <c r="BS267" s="456">
        <f t="shared" si="689"/>
        <v>1.3903002437893471E-3</v>
      </c>
      <c r="BT267" s="456">
        <f t="shared" si="690"/>
        <v>1.6422095977509651E-2</v>
      </c>
      <c r="BU267" s="456">
        <f t="shared" si="691"/>
        <v>0.15022621075232467</v>
      </c>
      <c r="BV267" s="456"/>
      <c r="BW267" s="456">
        <f t="shared" si="692"/>
        <v>5.2056079498027626E-4</v>
      </c>
      <c r="BX267" s="144">
        <f t="shared" si="693"/>
        <v>168.55916776860394</v>
      </c>
      <c r="BY267" s="150">
        <f t="shared" si="694"/>
        <v>1.6661269993676864</v>
      </c>
      <c r="BZ267" s="5">
        <f t="shared" si="695"/>
        <v>3.06</v>
      </c>
      <c r="CA267" s="150">
        <f t="shared" si="696"/>
        <v>0.6474646154048338</v>
      </c>
      <c r="CB267" s="5">
        <f t="shared" si="697"/>
        <v>64.746461540483381</v>
      </c>
      <c r="CE267" s="59">
        <f t="shared" si="757"/>
        <v>-50</v>
      </c>
      <c r="CF267">
        <f t="shared" si="758"/>
        <v>-50</v>
      </c>
      <c r="CG267" s="150">
        <f t="shared" si="759"/>
        <v>0.90072136926481727</v>
      </c>
      <c r="CI267" s="147">
        <v>51</v>
      </c>
      <c r="CJ267" s="188">
        <f t="shared" si="698"/>
        <v>0.61199999999999999</v>
      </c>
      <c r="CK267" s="188"/>
      <c r="CL267" s="188">
        <f t="shared" si="641"/>
        <v>3.06</v>
      </c>
      <c r="CM267" s="465">
        <f t="shared" si="642"/>
        <v>60</v>
      </c>
      <c r="CN267" s="379">
        <f t="shared" si="643"/>
        <v>5.4</v>
      </c>
      <c r="CO267" s="379">
        <f t="shared" si="644"/>
        <v>65.400000000000006</v>
      </c>
      <c r="CP267" s="379"/>
      <c r="CQ267" s="188">
        <f t="shared" si="645"/>
        <v>8.2568807339449546E-2</v>
      </c>
      <c r="CR267" s="149">
        <f t="shared" si="646"/>
        <v>12.756880733944957</v>
      </c>
      <c r="CS267" s="149">
        <f t="shared" si="647"/>
        <v>3.06</v>
      </c>
      <c r="CT267" s="188">
        <f t="shared" si="648"/>
        <v>2.5513761467889915</v>
      </c>
      <c r="CU267" s="188">
        <f t="shared" si="649"/>
        <v>5</v>
      </c>
      <c r="CV267" s="188"/>
      <c r="CW267" s="149">
        <f t="shared" si="650"/>
        <v>185.22733052172697</v>
      </c>
      <c r="CX267" s="149">
        <f t="shared" si="651"/>
        <v>5</v>
      </c>
      <c r="CY267" s="188">
        <f t="shared" si="652"/>
        <v>1.2353333333333332</v>
      </c>
      <c r="CZ267" s="188">
        <f t="shared" si="653"/>
        <v>0.24706666666666663</v>
      </c>
      <c r="DA267" s="188">
        <f t="shared" si="654"/>
        <v>2.7451851851851847</v>
      </c>
      <c r="DB267" s="172">
        <f t="shared" si="655"/>
        <v>350</v>
      </c>
      <c r="DC267" s="379">
        <f t="shared" si="656"/>
        <v>334.19646791466363</v>
      </c>
      <c r="DE267" s="188">
        <f t="shared" si="657"/>
        <v>1.179554390563565</v>
      </c>
      <c r="DF267" s="150">
        <f t="shared" si="658"/>
        <v>2.6212319790301444</v>
      </c>
      <c r="DG267" s="150">
        <f t="shared" si="659"/>
        <v>0.54107999567136011</v>
      </c>
      <c r="DH267" s="150"/>
      <c r="DI267" s="150">
        <f t="shared" si="660"/>
        <v>2.2222222222222219</v>
      </c>
      <c r="DJ267" s="314">
        <f t="shared" si="661"/>
        <v>550.79999999999995</v>
      </c>
      <c r="DK267" s="456">
        <f t="shared" si="662"/>
        <v>0.38888888888888884</v>
      </c>
      <c r="DM267" s="150">
        <f t="shared" si="663"/>
        <v>1.2544776943869054</v>
      </c>
      <c r="DN267" s="150">
        <f t="shared" si="664"/>
        <v>1.2353333333333332</v>
      </c>
      <c r="DO267" s="150">
        <f t="shared" si="665"/>
        <v>1.3743209876543208</v>
      </c>
      <c r="DQ267" s="314">
        <f t="shared" si="666"/>
        <v>612</v>
      </c>
      <c r="DR267" s="144">
        <f t="shared" si="667"/>
        <v>334.19646791466363</v>
      </c>
      <c r="DT267">
        <f t="shared" si="668"/>
        <v>612</v>
      </c>
      <c r="DU267">
        <f t="shared" si="669"/>
        <v>334.19646791466363</v>
      </c>
      <c r="DW267" s="5">
        <f t="shared" si="670"/>
        <v>2.9922518518518513</v>
      </c>
      <c r="DX267" s="5">
        <f t="shared" si="671"/>
        <v>0.24706666666666663</v>
      </c>
      <c r="DY267" s="5">
        <f t="shared" si="672"/>
        <v>2.7451851851851847</v>
      </c>
      <c r="DZ267" s="5"/>
      <c r="EA267" s="150">
        <f t="shared" si="673"/>
        <v>8.2568807339449546E-2</v>
      </c>
      <c r="EB267" s="150">
        <f t="shared" si="699"/>
        <v>3.06</v>
      </c>
      <c r="EC267" s="150">
        <f t="shared" si="700"/>
        <v>0.56666666666666665</v>
      </c>
      <c r="ED267" s="150">
        <f t="shared" si="701"/>
        <v>5.4</v>
      </c>
      <c r="EE267" s="144">
        <f t="shared" si="674"/>
        <v>3.0240959999999997</v>
      </c>
      <c r="EF267" s="5">
        <f t="shared" si="675"/>
        <v>5.833518518518517E-2</v>
      </c>
      <c r="EH267" s="150">
        <f t="shared" si="702"/>
        <v>0.20494226829361806</v>
      </c>
      <c r="EI267" s="150">
        <f t="shared" si="703"/>
        <v>0.68314089431206027</v>
      </c>
      <c r="EK267" s="456">
        <f t="shared" si="704"/>
        <v>8.4002666666666654E-4</v>
      </c>
      <c r="EL267" s="456">
        <f t="shared" si="705"/>
        <v>0.54</v>
      </c>
      <c r="EM267" s="456">
        <f t="shared" si="706"/>
        <v>4.1774558489332952E-2</v>
      </c>
      <c r="EN267" s="456">
        <f t="shared" si="707"/>
        <v>0.14294117647058829</v>
      </c>
      <c r="EO267">
        <f t="shared" si="708"/>
        <v>2.7E-2</v>
      </c>
      <c r="EP267" s="144">
        <f t="shared" si="709"/>
        <v>68.774558489332946</v>
      </c>
      <c r="EQ267" s="144"/>
      <c r="ER267" s="144">
        <f t="shared" si="710"/>
        <v>752.55576162658804</v>
      </c>
      <c r="ES267" s="456">
        <f t="shared" si="711"/>
        <v>0.42839999999999995</v>
      </c>
      <c r="EV267" s="144">
        <f t="shared" si="712"/>
        <v>428.39999999999992</v>
      </c>
      <c r="EW267" s="456">
        <f t="shared" si="713"/>
        <v>1.2600399999999998E-3</v>
      </c>
      <c r="EX267" s="456">
        <f t="shared" si="714"/>
        <v>1.4000444444444444E-2</v>
      </c>
      <c r="EY267" s="456">
        <f t="shared" si="715"/>
        <v>0.17315500288201646</v>
      </c>
      <c r="EZ267" s="456"/>
      <c r="FA267" s="456">
        <f t="shared" si="716"/>
        <v>5.1000000000000004E-4</v>
      </c>
      <c r="FB267" s="144">
        <f t="shared" si="717"/>
        <v>188.92548732646091</v>
      </c>
      <c r="FC267" s="150">
        <f t="shared" si="718"/>
        <v>1.369881248953049</v>
      </c>
      <c r="FD267" s="5">
        <f t="shared" si="719"/>
        <v>3.06</v>
      </c>
      <c r="FE267" s="150">
        <f t="shared" si="720"/>
        <v>0.6907634376707491</v>
      </c>
      <c r="FF267" s="5">
        <f t="shared" si="721"/>
        <v>69.076343767074917</v>
      </c>
      <c r="FI267" s="59">
        <f t="shared" si="676"/>
        <v>-50</v>
      </c>
      <c r="FJ267">
        <f t="shared" si="677"/>
        <v>-50</v>
      </c>
      <c r="FL267">
        <f t="shared" si="760"/>
        <v>0.91743119266055051</v>
      </c>
    </row>
    <row r="268" spans="5:168">
      <c r="E268" s="147">
        <v>52</v>
      </c>
      <c r="F268" s="188">
        <f t="shared" si="761"/>
        <v>0.624</v>
      </c>
      <c r="G268" s="188"/>
      <c r="H268" s="188">
        <f t="shared" si="726"/>
        <v>3.12</v>
      </c>
      <c r="I268" s="465">
        <f t="shared" si="727"/>
        <v>59.96537345057709</v>
      </c>
      <c r="J268" s="149">
        <f t="shared" si="728"/>
        <v>5.4207759296537477</v>
      </c>
      <c r="K268" s="149">
        <f t="shared" si="729"/>
        <v>65.386149380230833</v>
      </c>
      <c r="L268" s="379"/>
      <c r="M268" s="188">
        <f t="shared" si="730"/>
        <v>8.2898834349381778E-2</v>
      </c>
      <c r="N268" s="149">
        <f t="shared" si="731"/>
        <v>12.800478367973882</v>
      </c>
      <c r="O268" s="149">
        <f t="shared" si="762"/>
        <v>3.12</v>
      </c>
      <c r="P268" s="188">
        <f t="shared" si="732"/>
        <v>2.5600956735947764</v>
      </c>
      <c r="Q268" s="188">
        <f t="shared" si="733"/>
        <v>5</v>
      </c>
      <c r="R268" s="188"/>
      <c r="S268" s="149">
        <f t="shared" si="734"/>
        <v>180.41317086294475</v>
      </c>
      <c r="T268" s="149">
        <f t="shared" si="735"/>
        <v>5</v>
      </c>
      <c r="U268" s="188">
        <f t="shared" si="736"/>
        <v>1.3608095232488691</v>
      </c>
      <c r="V268" s="188">
        <f t="shared" si="737"/>
        <v>0.2723190624743666</v>
      </c>
      <c r="W268" s="188">
        <f t="shared" si="738"/>
        <v>3.012431152089603</v>
      </c>
      <c r="X268" s="172">
        <f t="shared" si="739"/>
        <v>350</v>
      </c>
      <c r="Y268" s="379">
        <f t="shared" si="680"/>
        <v>286.96461394009134</v>
      </c>
      <c r="AA268" s="188">
        <f t="shared" si="740"/>
        <v>1.1836599300743464</v>
      </c>
      <c r="AB268" s="150">
        <f t="shared" si="741"/>
        <v>2.6202741720407974</v>
      </c>
      <c r="AC268" s="150">
        <f t="shared" si="742"/>
        <v>0.54276487006934959</v>
      </c>
      <c r="AD268" s="150"/>
      <c r="AE268" s="150">
        <f t="shared" si="743"/>
        <v>2.2137052251791749</v>
      </c>
      <c r="AF268" s="314">
        <f t="shared" si="744"/>
        <v>563.76069668398975</v>
      </c>
      <c r="AG268" s="456">
        <f t="shared" si="745"/>
        <v>0.38739841440635558</v>
      </c>
      <c r="AI268" s="150">
        <f t="shared" si="746"/>
        <v>1.2691512312047537</v>
      </c>
      <c r="AJ268" s="150">
        <f t="shared" si="747"/>
        <v>1.3608095232488691</v>
      </c>
      <c r="AK268" s="150">
        <f t="shared" si="748"/>
        <v>1.4672663135176807</v>
      </c>
      <c r="AM268" s="314">
        <f t="shared" si="749"/>
        <v>624</v>
      </c>
      <c r="AN268" s="144">
        <f t="shared" si="750"/>
        <v>286.96461394009134</v>
      </c>
      <c r="AP268">
        <f t="shared" si="751"/>
        <v>624</v>
      </c>
      <c r="AQ268">
        <f t="shared" si="752"/>
        <v>286.96461394009134</v>
      </c>
      <c r="AS268" s="5">
        <f t="shared" si="763"/>
        <v>3.4847502145639693</v>
      </c>
      <c r="AT268" s="5">
        <f t="shared" si="753"/>
        <v>0.2723190624743666</v>
      </c>
      <c r="AU268" s="5">
        <f t="shared" si="722"/>
        <v>3.2124311520896027</v>
      </c>
      <c r="AV268" s="5"/>
      <c r="AW268" s="150">
        <f t="shared" si="723"/>
        <v>7.814593463148424E-2</v>
      </c>
      <c r="AX268" s="150">
        <f t="shared" si="631"/>
        <v>3.1884108378709524</v>
      </c>
      <c r="AY268" s="150">
        <f t="shared" si="632"/>
        <v>0.62723389559958087</v>
      </c>
      <c r="AZ268" s="150">
        <f t="shared" si="633"/>
        <v>5.0832884833545382</v>
      </c>
      <c r="BA268" s="144">
        <f t="shared" si="724"/>
        <v>3.3985418996800951</v>
      </c>
      <c r="BB268" s="5">
        <f t="shared" si="725"/>
        <v>6.9642866497920439E-2</v>
      </c>
      <c r="BD268" s="150">
        <f t="shared" si="681"/>
        <v>0.21962911289415563</v>
      </c>
      <c r="BE268" s="150">
        <f t="shared" si="682"/>
        <v>0.75434115113185429</v>
      </c>
      <c r="BG268" s="456">
        <f t="shared" si="683"/>
        <v>9.6473894461347525E-4</v>
      </c>
      <c r="BH268" s="456">
        <f t="shared" si="754"/>
        <v>0.47875433650158694</v>
      </c>
      <c r="BI268" s="456">
        <f t="shared" si="755"/>
        <v>0.43019850605045645</v>
      </c>
      <c r="BJ268" s="456">
        <f t="shared" si="684"/>
        <v>0.12268737405928579</v>
      </c>
      <c r="BK268">
        <f t="shared" si="685"/>
        <v>2.6984418052759689E-2</v>
      </c>
      <c r="BL268" s="144">
        <f t="shared" si="686"/>
        <v>457.18292410321612</v>
      </c>
      <c r="BM268" s="456">
        <f t="shared" si="756"/>
        <v>0.6028051051962241</v>
      </c>
      <c r="BN268" s="144">
        <f t="shared" si="687"/>
        <v>602.80510519622408</v>
      </c>
      <c r="BO268" s="456">
        <f t="shared" si="637"/>
        <v>0.43679999999999997</v>
      </c>
      <c r="BR268" s="144">
        <f t="shared" si="688"/>
        <v>436.79999999999995</v>
      </c>
      <c r="BS268" s="456">
        <f t="shared" si="689"/>
        <v>1.4471084169202127E-3</v>
      </c>
      <c r="BT268" s="456">
        <f t="shared" si="690"/>
        <v>1.7070917168727929E-2</v>
      </c>
      <c r="BU268" s="456">
        <f t="shared" si="691"/>
        <v>0.1506725784338363</v>
      </c>
      <c r="BV268" s="456"/>
      <c r="BW268" s="456">
        <f t="shared" si="692"/>
        <v>5.3140180631182539E-4</v>
      </c>
      <c r="BX268" s="144">
        <f t="shared" si="693"/>
        <v>169.72200582579629</v>
      </c>
      <c r="BY268" s="150">
        <f t="shared" si="694"/>
        <v>1.6661113794344988</v>
      </c>
      <c r="BZ268" s="5">
        <f t="shared" si="695"/>
        <v>3.12</v>
      </c>
      <c r="CA268" s="150">
        <f t="shared" si="696"/>
        <v>0.65188620837500078</v>
      </c>
      <c r="CB268" s="5">
        <f t="shared" si="697"/>
        <v>65.188620837500082</v>
      </c>
      <c r="CE268" s="59">
        <f t="shared" si="757"/>
        <v>-50</v>
      </c>
      <c r="CF268">
        <f t="shared" si="758"/>
        <v>-50</v>
      </c>
      <c r="CG268" s="150">
        <f t="shared" si="759"/>
        <v>0.90104271202242747</v>
      </c>
      <c r="CI268" s="147">
        <v>52</v>
      </c>
      <c r="CJ268" s="188">
        <f t="shared" si="698"/>
        <v>0.624</v>
      </c>
      <c r="CK268" s="188"/>
      <c r="CL268" s="188">
        <f t="shared" si="641"/>
        <v>3.12</v>
      </c>
      <c r="CM268" s="465">
        <f t="shared" si="642"/>
        <v>60</v>
      </c>
      <c r="CN268" s="379">
        <f t="shared" si="643"/>
        <v>5.4</v>
      </c>
      <c r="CO268" s="379">
        <f t="shared" si="644"/>
        <v>65.400000000000006</v>
      </c>
      <c r="CP268" s="379"/>
      <c r="CQ268" s="188">
        <f t="shared" si="645"/>
        <v>8.2568807339449546E-2</v>
      </c>
      <c r="CR268" s="149">
        <f t="shared" si="646"/>
        <v>12.756880733944957</v>
      </c>
      <c r="CS268" s="149">
        <f t="shared" si="647"/>
        <v>3.12</v>
      </c>
      <c r="CT268" s="188">
        <f t="shared" si="648"/>
        <v>2.5513761467889915</v>
      </c>
      <c r="CU268" s="188">
        <f t="shared" si="649"/>
        <v>5</v>
      </c>
      <c r="CV268" s="188"/>
      <c r="CW268" s="149">
        <f t="shared" si="650"/>
        <v>180.51727270163994</v>
      </c>
      <c r="CX268" s="149">
        <f t="shared" si="651"/>
        <v>5</v>
      </c>
      <c r="CY268" s="188">
        <f t="shared" si="652"/>
        <v>1.2595555555555555</v>
      </c>
      <c r="CZ268" s="188">
        <f t="shared" si="653"/>
        <v>0.25191111111111114</v>
      </c>
      <c r="DA268" s="188">
        <f t="shared" si="654"/>
        <v>2.7990123456790119</v>
      </c>
      <c r="DB268" s="172">
        <f t="shared" si="655"/>
        <v>350</v>
      </c>
      <c r="DC268" s="379">
        <f t="shared" si="656"/>
        <v>327.76961276245851</v>
      </c>
      <c r="DE268" s="188">
        <f t="shared" si="657"/>
        <v>1.179554390563565</v>
      </c>
      <c r="DF268" s="150">
        <f t="shared" si="658"/>
        <v>2.6212319790301444</v>
      </c>
      <c r="DG268" s="150">
        <f t="shared" si="659"/>
        <v>0.54107999567136011</v>
      </c>
      <c r="DH268" s="150"/>
      <c r="DI268" s="150">
        <f t="shared" si="660"/>
        <v>2.2222222222222219</v>
      </c>
      <c r="DJ268" s="314">
        <f t="shared" si="661"/>
        <v>561.6</v>
      </c>
      <c r="DK268" s="456">
        <f t="shared" si="662"/>
        <v>0.38888888888888884</v>
      </c>
      <c r="DM268" s="150">
        <f t="shared" si="663"/>
        <v>1.2667167909881942</v>
      </c>
      <c r="DN268" s="150">
        <f t="shared" si="664"/>
        <v>1.2595555555555555</v>
      </c>
      <c r="DO268" s="150">
        <f t="shared" si="665"/>
        <v>1.3922633744855966</v>
      </c>
      <c r="DQ268" s="314">
        <f t="shared" si="666"/>
        <v>624</v>
      </c>
      <c r="DR268" s="144">
        <f t="shared" si="667"/>
        <v>327.76961276245851</v>
      </c>
      <c r="DT268">
        <f t="shared" si="668"/>
        <v>624</v>
      </c>
      <c r="DU268">
        <f t="shared" si="669"/>
        <v>327.76961276245851</v>
      </c>
      <c r="DW268" s="5">
        <f t="shared" si="670"/>
        <v>3.0509234567901231</v>
      </c>
      <c r="DX268" s="5">
        <f t="shared" si="671"/>
        <v>0.25191111111111114</v>
      </c>
      <c r="DY268" s="5">
        <f t="shared" si="672"/>
        <v>2.7990123456790119</v>
      </c>
      <c r="DZ268" s="5"/>
      <c r="EA268" s="150">
        <f t="shared" si="673"/>
        <v>8.256880733944956E-2</v>
      </c>
      <c r="EB268" s="150">
        <f t="shared" si="699"/>
        <v>3.1200000000000006</v>
      </c>
      <c r="EC268" s="150">
        <f t="shared" si="700"/>
        <v>0.57777777777777772</v>
      </c>
      <c r="ED268" s="150">
        <f t="shared" si="701"/>
        <v>5.4000000000000012</v>
      </c>
      <c r="EE268" s="144">
        <f t="shared" si="674"/>
        <v>3.1438506666666672</v>
      </c>
      <c r="EF268" s="5">
        <f t="shared" si="675"/>
        <v>6.0645267489711926E-2</v>
      </c>
      <c r="EH268" s="150">
        <f t="shared" si="702"/>
        <v>0.20896074414251256</v>
      </c>
      <c r="EI268" s="150">
        <f t="shared" si="703"/>
        <v>0.69653581380837515</v>
      </c>
      <c r="EK268" s="456">
        <f t="shared" si="704"/>
        <v>8.7329185185185197E-4</v>
      </c>
      <c r="EL268" s="456">
        <f t="shared" si="705"/>
        <v>0.54000000000000015</v>
      </c>
      <c r="EM268" s="456">
        <f t="shared" si="706"/>
        <v>4.0971201595307316E-2</v>
      </c>
      <c r="EN268" s="456">
        <f t="shared" si="707"/>
        <v>0.14019230769230773</v>
      </c>
      <c r="EO268">
        <f t="shared" si="708"/>
        <v>2.7E-2</v>
      </c>
      <c r="EP268" s="144">
        <f t="shared" si="709"/>
        <v>67.971201595307306</v>
      </c>
      <c r="EQ268" s="144"/>
      <c r="ER268" s="144">
        <f t="shared" si="710"/>
        <v>749.036801139467</v>
      </c>
      <c r="ES268" s="456">
        <f t="shared" si="711"/>
        <v>0.43679999999999997</v>
      </c>
      <c r="EV268" s="144">
        <f t="shared" si="712"/>
        <v>436.79999999999995</v>
      </c>
      <c r="EW268" s="456">
        <f t="shared" si="713"/>
        <v>1.3099377777777779E-3</v>
      </c>
      <c r="EX268" s="456">
        <f t="shared" si="714"/>
        <v>1.4554864197530864E-2</v>
      </c>
      <c r="EY268" s="456">
        <f t="shared" si="715"/>
        <v>0.17315500288201618</v>
      </c>
      <c r="EZ268" s="456"/>
      <c r="FA268" s="456">
        <f t="shared" si="716"/>
        <v>5.2000000000000006E-4</v>
      </c>
      <c r="FB268" s="144">
        <f t="shared" si="717"/>
        <v>189.53980485732484</v>
      </c>
      <c r="FC268" s="150">
        <f t="shared" si="718"/>
        <v>1.3753766059967918</v>
      </c>
      <c r="FD268" s="5">
        <f t="shared" si="719"/>
        <v>3.12</v>
      </c>
      <c r="FE268" s="150">
        <f t="shared" si="720"/>
        <v>0.69404641111446552</v>
      </c>
      <c r="FF268" s="5">
        <f t="shared" si="721"/>
        <v>69.404641111446551</v>
      </c>
      <c r="FI268" s="59">
        <f t="shared" si="676"/>
        <v>-50</v>
      </c>
      <c r="FJ268">
        <f t="shared" si="677"/>
        <v>-50</v>
      </c>
      <c r="FL268">
        <f t="shared" si="760"/>
        <v>0.9174311926605504</v>
      </c>
    </row>
    <row r="269" spans="5:168">
      <c r="E269" s="147">
        <v>53</v>
      </c>
      <c r="F269" s="188">
        <f t="shared" si="761"/>
        <v>0.63600000000000001</v>
      </c>
      <c r="G269" s="188"/>
      <c r="H269" s="188">
        <f t="shared" si="726"/>
        <v>3.18</v>
      </c>
      <c r="I269" s="465">
        <f t="shared" si="727"/>
        <v>59.964719662775842</v>
      </c>
      <c r="J269" s="149">
        <f t="shared" si="728"/>
        <v>5.4211682023344938</v>
      </c>
      <c r="K269" s="149">
        <f t="shared" si="729"/>
        <v>65.385887865110334</v>
      </c>
      <c r="L269" s="379"/>
      <c r="M269" s="188">
        <f t="shared" si="730"/>
        <v>8.290516707815572E-2</v>
      </c>
      <c r="N269" s="149">
        <f t="shared" si="731"/>
        <v>12.801316638775793</v>
      </c>
      <c r="O269" s="149">
        <f t="shared" si="762"/>
        <v>3.18</v>
      </c>
      <c r="P269" s="188">
        <f t="shared" si="732"/>
        <v>2.5602633277551585</v>
      </c>
      <c r="Q269" s="188">
        <f t="shared" si="733"/>
        <v>5</v>
      </c>
      <c r="R269" s="188"/>
      <c r="S269" s="149">
        <f t="shared" si="734"/>
        <v>175.88172202454285</v>
      </c>
      <c r="T269" s="149">
        <f t="shared" si="735"/>
        <v>5</v>
      </c>
      <c r="U269" s="188">
        <f t="shared" si="736"/>
        <v>1.3869885145328271</v>
      </c>
      <c r="V269" s="188">
        <f t="shared" si="737"/>
        <v>0.27756091028181523</v>
      </c>
      <c r="W269" s="188">
        <f t="shared" si="738"/>
        <v>3.0701615506463451</v>
      </c>
      <c r="X269" s="172">
        <f t="shared" si="739"/>
        <v>350</v>
      </c>
      <c r="Y269" s="379">
        <f t="shared" si="680"/>
        <v>281.8709780748685</v>
      </c>
      <c r="AA269" s="188">
        <f t="shared" si="740"/>
        <v>1.1837374135662224</v>
      </c>
      <c r="AB269" s="150">
        <f t="shared" si="741"/>
        <v>2.620256083675415</v>
      </c>
      <c r="AC269" s="150">
        <f t="shared" si="742"/>
        <v>0.54279665288994161</v>
      </c>
      <c r="AD269" s="150"/>
      <c r="AE269" s="150">
        <f t="shared" si="743"/>
        <v>2.213545042714685</v>
      </c>
      <c r="AF269" s="314">
        <f t="shared" si="744"/>
        <v>574.64382944745637</v>
      </c>
      <c r="AG269" s="456">
        <f t="shared" si="745"/>
        <v>0.38737038247506989</v>
      </c>
      <c r="AI269" s="150">
        <f t="shared" si="746"/>
        <v>1.2813428552526518</v>
      </c>
      <c r="AJ269" s="150">
        <f t="shared" si="747"/>
        <v>1.3869885145328271</v>
      </c>
      <c r="AK269" s="150">
        <f t="shared" si="748"/>
        <v>1.4866581589132053</v>
      </c>
      <c r="AM269" s="314">
        <f t="shared" si="749"/>
        <v>636</v>
      </c>
      <c r="AN269" s="144">
        <f t="shared" si="750"/>
        <v>281.8709780748685</v>
      </c>
      <c r="AP269">
        <f t="shared" si="751"/>
        <v>636</v>
      </c>
      <c r="AQ269">
        <f t="shared" si="752"/>
        <v>281.8709780748685</v>
      </c>
      <c r="AS269" s="5">
        <f t="shared" si="763"/>
        <v>3.5477224609281603</v>
      </c>
      <c r="AT269" s="5">
        <f t="shared" si="753"/>
        <v>0.27756091028181523</v>
      </c>
      <c r="AU269" s="5">
        <f t="shared" si="722"/>
        <v>3.2701615506463453</v>
      </c>
      <c r="AV269" s="5"/>
      <c r="AW269" s="150">
        <f t="shared" si="723"/>
        <v>7.8236365256486085E-2</v>
      </c>
      <c r="AX269" s="150">
        <f t="shared" si="631"/>
        <v>3.253474014327526</v>
      </c>
      <c r="AY269" s="150">
        <f t="shared" si="632"/>
        <v>0.63923778725164282</v>
      </c>
      <c r="AZ269" s="150">
        <f t="shared" si="633"/>
        <v>5.0896146617295654</v>
      </c>
      <c r="BA269" s="144">
        <f t="shared" si="724"/>
        <v>3.5305747787846897</v>
      </c>
      <c r="BB269" s="5">
        <f t="shared" si="725"/>
        <v>7.2258556013831771E-2</v>
      </c>
      <c r="BD269" s="150">
        <f t="shared" si="681"/>
        <v>0.22398378029012375</v>
      </c>
      <c r="BE269" s="150">
        <f t="shared" si="682"/>
        <v>0.76881530897583261</v>
      </c>
      <c r="BG269" s="456">
        <f t="shared" si="683"/>
        <v>1.0033746766610887E-3</v>
      </c>
      <c r="BH269" s="456">
        <f t="shared" si="754"/>
        <v>0.47930120915718982</v>
      </c>
      <c r="BI269" s="456">
        <f t="shared" si="755"/>
        <v>0.42255785453329814</v>
      </c>
      <c r="BJ269" s="456">
        <f t="shared" si="684"/>
        <v>0.12050870323126317</v>
      </c>
      <c r="BK269">
        <f t="shared" si="685"/>
        <v>2.6984123848249129E-2</v>
      </c>
      <c r="BL269" s="144">
        <f t="shared" si="686"/>
        <v>449.54197838154727</v>
      </c>
      <c r="BM269" s="456">
        <f t="shared" si="756"/>
        <v>0.60122753196757661</v>
      </c>
      <c r="BN269" s="144">
        <f t="shared" si="687"/>
        <v>601.22753196757662</v>
      </c>
      <c r="BO269" s="456">
        <f t="shared" si="637"/>
        <v>0.44519999999999998</v>
      </c>
      <c r="BR269" s="144">
        <f t="shared" si="688"/>
        <v>445.2</v>
      </c>
      <c r="BS269" s="456">
        <f t="shared" si="689"/>
        <v>1.5050620149916329E-3</v>
      </c>
      <c r="BT269" s="456">
        <f t="shared" si="690"/>
        <v>1.773230937946815E-2</v>
      </c>
      <c r="BU269" s="456">
        <f t="shared" si="691"/>
        <v>0.15110473458825374</v>
      </c>
      <c r="BV269" s="456"/>
      <c r="BW269" s="456">
        <f t="shared" si="692"/>
        <v>5.4224566905458757E-4</v>
      </c>
      <c r="BX269" s="144">
        <f t="shared" si="693"/>
        <v>170.8843516517681</v>
      </c>
      <c r="BY269" s="150">
        <f t="shared" si="694"/>
        <v>1.6664396170984295</v>
      </c>
      <c r="BZ269" s="5">
        <f t="shared" si="695"/>
        <v>3.18</v>
      </c>
      <c r="CA269" s="150">
        <f t="shared" si="696"/>
        <v>0.65615178383340111</v>
      </c>
      <c r="CB269" s="5">
        <f t="shared" si="697"/>
        <v>65.615178383340108</v>
      </c>
      <c r="CE269" s="59">
        <f t="shared" si="757"/>
        <v>-50</v>
      </c>
      <c r="CF269">
        <f t="shared" si="758"/>
        <v>-50</v>
      </c>
      <c r="CG269" s="150">
        <f t="shared" si="759"/>
        <v>0.9013519286382411</v>
      </c>
      <c r="CI269" s="147">
        <v>53</v>
      </c>
      <c r="CJ269" s="188">
        <f t="shared" si="698"/>
        <v>0.63600000000000001</v>
      </c>
      <c r="CK269" s="188"/>
      <c r="CL269" s="188">
        <f t="shared" si="641"/>
        <v>3.18</v>
      </c>
      <c r="CM269" s="465">
        <f t="shared" si="642"/>
        <v>60</v>
      </c>
      <c r="CN269" s="379">
        <f t="shared" si="643"/>
        <v>5.4</v>
      </c>
      <c r="CO269" s="379">
        <f t="shared" si="644"/>
        <v>65.400000000000006</v>
      </c>
      <c r="CP269" s="379"/>
      <c r="CQ269" s="188">
        <f t="shared" si="645"/>
        <v>8.2568807339449546E-2</v>
      </c>
      <c r="CR269" s="149">
        <f t="shared" si="646"/>
        <v>12.756880733944957</v>
      </c>
      <c r="CS269" s="149">
        <f t="shared" si="647"/>
        <v>3.18</v>
      </c>
      <c r="CT269" s="188">
        <f t="shared" si="648"/>
        <v>2.5513761467889915</v>
      </c>
      <c r="CU269" s="188">
        <f t="shared" si="649"/>
        <v>5</v>
      </c>
      <c r="CV269" s="188"/>
      <c r="CW269" s="149">
        <f t="shared" si="650"/>
        <v>175.98512250128047</v>
      </c>
      <c r="CX269" s="149">
        <f t="shared" si="651"/>
        <v>5</v>
      </c>
      <c r="CY269" s="188">
        <f t="shared" si="652"/>
        <v>1.2837777777777777</v>
      </c>
      <c r="CZ269" s="188">
        <f t="shared" si="653"/>
        <v>0.25675555555555557</v>
      </c>
      <c r="DA269" s="188">
        <f t="shared" si="654"/>
        <v>2.8528395061728391</v>
      </c>
      <c r="DB269" s="172">
        <f t="shared" si="655"/>
        <v>350</v>
      </c>
      <c r="DC269" s="379">
        <f t="shared" si="656"/>
        <v>321.58528044618572</v>
      </c>
      <c r="DE269" s="188">
        <f t="shared" si="657"/>
        <v>1.179554390563565</v>
      </c>
      <c r="DF269" s="150">
        <f t="shared" si="658"/>
        <v>2.6212319790301444</v>
      </c>
      <c r="DG269" s="150">
        <f t="shared" si="659"/>
        <v>0.54107999567136011</v>
      </c>
      <c r="DH269" s="150"/>
      <c r="DI269" s="150">
        <f t="shared" si="660"/>
        <v>2.2222222222222219</v>
      </c>
      <c r="DJ269" s="314">
        <f t="shared" si="661"/>
        <v>572.4</v>
      </c>
      <c r="DK269" s="456">
        <f t="shared" si="662"/>
        <v>0.38888888888888884</v>
      </c>
      <c r="DM269" s="150">
        <f t="shared" si="663"/>
        <v>1.2788387589639953</v>
      </c>
      <c r="DN269" s="150">
        <f t="shared" si="664"/>
        <v>1.2837777777777777</v>
      </c>
      <c r="DO269" s="150">
        <f t="shared" si="665"/>
        <v>1.4102057613168724</v>
      </c>
      <c r="DQ269" s="314">
        <f t="shared" si="666"/>
        <v>636</v>
      </c>
      <c r="DR269" s="144">
        <f t="shared" si="667"/>
        <v>321.58528044618572</v>
      </c>
      <c r="DT269">
        <f t="shared" si="668"/>
        <v>636</v>
      </c>
      <c r="DU269">
        <f t="shared" si="669"/>
        <v>321.58528044618572</v>
      </c>
      <c r="DW269" s="5">
        <f t="shared" si="670"/>
        <v>3.1095950617283945</v>
      </c>
      <c r="DX269" s="5">
        <f t="shared" si="671"/>
        <v>0.25675555555555557</v>
      </c>
      <c r="DY269" s="5">
        <f t="shared" si="672"/>
        <v>2.8528395061728391</v>
      </c>
      <c r="DZ269" s="5"/>
      <c r="EA269" s="150">
        <f t="shared" si="673"/>
        <v>8.256880733944956E-2</v>
      </c>
      <c r="EB269" s="150">
        <f t="shared" si="699"/>
        <v>3.18</v>
      </c>
      <c r="EC269" s="150">
        <f t="shared" si="700"/>
        <v>0.5888888888888888</v>
      </c>
      <c r="ED269" s="150">
        <f t="shared" si="701"/>
        <v>5.4000000000000012</v>
      </c>
      <c r="EE269" s="144">
        <f t="shared" si="674"/>
        <v>3.2659306666666668</v>
      </c>
      <c r="EF269" s="5">
        <f t="shared" si="675"/>
        <v>6.300020576131686E-2</v>
      </c>
      <c r="EH269" s="150">
        <f t="shared" si="702"/>
        <v>0.21297921999140701</v>
      </c>
      <c r="EI269" s="150">
        <f t="shared" si="703"/>
        <v>0.70993073330469003</v>
      </c>
      <c r="EK269" s="456">
        <f t="shared" si="704"/>
        <v>9.0720296296296292E-4</v>
      </c>
      <c r="EL269" s="456">
        <f t="shared" si="705"/>
        <v>0.54</v>
      </c>
      <c r="EM269" s="456">
        <f t="shared" si="706"/>
        <v>4.0198160055773209E-2</v>
      </c>
      <c r="EN269" s="456">
        <f t="shared" si="707"/>
        <v>0.13754716981132079</v>
      </c>
      <c r="EO269">
        <f t="shared" si="708"/>
        <v>2.7E-2</v>
      </c>
      <c r="EP269" s="144">
        <f t="shared" si="709"/>
        <v>67.198160055773215</v>
      </c>
      <c r="EQ269" s="144"/>
      <c r="ER269" s="144">
        <f t="shared" si="710"/>
        <v>745.65253283005711</v>
      </c>
      <c r="ES269" s="456">
        <f t="shared" si="711"/>
        <v>0.44519999999999998</v>
      </c>
      <c r="EV269" s="144">
        <f t="shared" si="712"/>
        <v>445.2</v>
      </c>
      <c r="EW269" s="456">
        <f t="shared" si="713"/>
        <v>1.3608044444444443E-3</v>
      </c>
      <c r="EX269" s="456">
        <f t="shared" si="714"/>
        <v>1.5120049382716046E-2</v>
      </c>
      <c r="EY269" s="456">
        <f t="shared" si="715"/>
        <v>0.17315500288201627</v>
      </c>
      <c r="EZ269" s="456"/>
      <c r="FA269" s="456">
        <f t="shared" si="716"/>
        <v>5.2999999999999998E-4</v>
      </c>
      <c r="FB269" s="144">
        <f t="shared" si="717"/>
        <v>190.16585670917678</v>
      </c>
      <c r="FC269" s="150">
        <f t="shared" si="718"/>
        <v>1.3810183895392336</v>
      </c>
      <c r="FD269" s="5">
        <f t="shared" si="719"/>
        <v>3.18</v>
      </c>
      <c r="FE269" s="150">
        <f t="shared" si="720"/>
        <v>0.69721271181308531</v>
      </c>
      <c r="FF269" s="5">
        <f t="shared" si="721"/>
        <v>69.721271181308538</v>
      </c>
      <c r="FI269" s="59">
        <f t="shared" si="676"/>
        <v>-50</v>
      </c>
      <c r="FJ269">
        <f t="shared" si="677"/>
        <v>-50</v>
      </c>
      <c r="FL269">
        <f t="shared" si="760"/>
        <v>0.9174311926605504</v>
      </c>
    </row>
    <row r="270" spans="5:168">
      <c r="E270" s="147">
        <v>54</v>
      </c>
      <c r="F270" s="188">
        <f t="shared" si="761"/>
        <v>0.64800000000000002</v>
      </c>
      <c r="G270" s="188"/>
      <c r="H270" s="188">
        <f t="shared" si="726"/>
        <v>3.24</v>
      </c>
      <c r="I270" s="465">
        <f t="shared" si="727"/>
        <v>59.964065866977826</v>
      </c>
      <c r="J270" s="149">
        <f t="shared" si="728"/>
        <v>5.4215604798133024</v>
      </c>
      <c r="K270" s="149">
        <f t="shared" si="729"/>
        <v>65.385626346791128</v>
      </c>
      <c r="L270" s="379"/>
      <c r="M270" s="188">
        <f t="shared" si="730"/>
        <v>8.2911499867702104E-2</v>
      </c>
      <c r="N270" s="149">
        <f t="shared" si="731"/>
        <v>12.802154895931794</v>
      </c>
      <c r="O270" s="149">
        <f t="shared" si="762"/>
        <v>3.24</v>
      </c>
      <c r="P270" s="188">
        <f t="shared" si="732"/>
        <v>2.5604309791863589</v>
      </c>
      <c r="Q270" s="188">
        <f t="shared" si="733"/>
        <v>5</v>
      </c>
      <c r="R270" s="188"/>
      <c r="S270" s="149">
        <f t="shared" si="734"/>
        <v>171.51829843013903</v>
      </c>
      <c r="T270" s="149">
        <f t="shared" si="735"/>
        <v>5</v>
      </c>
      <c r="U270" s="188">
        <f t="shared" si="736"/>
        <v>1.4131678674555843</v>
      </c>
      <c r="V270" s="188">
        <f t="shared" si="737"/>
        <v>0.28280294480174306</v>
      </c>
      <c r="W270" s="188">
        <f t="shared" si="738"/>
        <v>3.1278843928069544</v>
      </c>
      <c r="X270" s="172">
        <f t="shared" si="739"/>
        <v>350</v>
      </c>
      <c r="Y270" s="379">
        <f t="shared" si="680"/>
        <v>276.9555783975149</v>
      </c>
      <c r="AA270" s="188">
        <f t="shared" si="740"/>
        <v>1.1838148967578441</v>
      </c>
      <c r="AB270" s="150">
        <f t="shared" si="741"/>
        <v>2.6202379949440906</v>
      </c>
      <c r="AC270" s="150">
        <f t="shared" si="742"/>
        <v>0.54282843500650091</v>
      </c>
      <c r="AD270" s="150"/>
      <c r="AE270" s="150">
        <f t="shared" si="743"/>
        <v>2.2133848814711063</v>
      </c>
      <c r="AF270" s="314">
        <f t="shared" si="744"/>
        <v>585.52853181983653</v>
      </c>
      <c r="AG270" s="456">
        <f t="shared" si="745"/>
        <v>0.38734235425744362</v>
      </c>
      <c r="AI270" s="150">
        <f t="shared" si="746"/>
        <v>1.2934213011785411</v>
      </c>
      <c r="AJ270" s="150">
        <f t="shared" si="747"/>
        <v>1.4131678674555843</v>
      </c>
      <c r="AK270" s="150">
        <f t="shared" si="748"/>
        <v>1.5060502721893216</v>
      </c>
      <c r="AM270" s="314">
        <f t="shared" si="749"/>
        <v>648</v>
      </c>
      <c r="AN270" s="144">
        <f t="shared" si="750"/>
        <v>276.9555783975149</v>
      </c>
      <c r="AP270">
        <f t="shared" si="751"/>
        <v>648</v>
      </c>
      <c r="AQ270">
        <f t="shared" si="752"/>
        <v>276.9555783975149</v>
      </c>
      <c r="AS270" s="5">
        <f t="shared" si="763"/>
        <v>3.6106873376086974</v>
      </c>
      <c r="AT270" s="5">
        <f t="shared" si="753"/>
        <v>0.28280294480174306</v>
      </c>
      <c r="AU270" s="5">
        <f t="shared" si="722"/>
        <v>3.3278843928069541</v>
      </c>
      <c r="AV270" s="5"/>
      <c r="AW270" s="150">
        <f t="shared" si="723"/>
        <v>7.8323853150087233E-2</v>
      </c>
      <c r="AX270" s="150">
        <f t="shared" si="631"/>
        <v>3.3185538954999769</v>
      </c>
      <c r="AY270" s="150">
        <f t="shared" si="632"/>
        <v>0.65124155746428558</v>
      </c>
      <c r="AZ270" s="150">
        <f t="shared" si="633"/>
        <v>5.0957342286651723</v>
      </c>
      <c r="BA270" s="144">
        <f t="shared" si="724"/>
        <v>3.6651261646305899</v>
      </c>
      <c r="BB270" s="5">
        <f t="shared" si="725"/>
        <v>7.4922269951735954E-2</v>
      </c>
      <c r="BD270" s="150">
        <f t="shared" si="681"/>
        <v>0.22833902841202908</v>
      </c>
      <c r="BE270" s="150">
        <f t="shared" si="682"/>
        <v>0.7832894922314303</v>
      </c>
      <c r="BG270" s="456">
        <f t="shared" si="683"/>
        <v>1.0427742379229884E-3</v>
      </c>
      <c r="BH270" s="456">
        <f t="shared" si="754"/>
        <v>0.47983003740192037</v>
      </c>
      <c r="BI270" s="456">
        <f t="shared" si="755"/>
        <v>0.41518456363138806</v>
      </c>
      <c r="BJ270" s="456">
        <f t="shared" si="684"/>
        <v>0.11840626819805557</v>
      </c>
      <c r="BK270">
        <f t="shared" si="685"/>
        <v>2.6983829640140022E-2</v>
      </c>
      <c r="BL270" s="144">
        <f t="shared" si="686"/>
        <v>442.16839327152809</v>
      </c>
      <c r="BM270" s="456">
        <f t="shared" si="756"/>
        <v>0.59970921473161976</v>
      </c>
      <c r="BN270" s="144">
        <f t="shared" si="687"/>
        <v>599.7092147316198</v>
      </c>
      <c r="BO270" s="456">
        <f t="shared" si="637"/>
        <v>0.4536</v>
      </c>
      <c r="BR270" s="144">
        <f t="shared" si="688"/>
        <v>453.6</v>
      </c>
      <c r="BS270" s="456">
        <f t="shared" si="689"/>
        <v>1.5641613568844826E-3</v>
      </c>
      <c r="BT270" s="456">
        <f t="shared" si="690"/>
        <v>1.8406272859205156E-2</v>
      </c>
      <c r="BU270" s="456">
        <f t="shared" si="691"/>
        <v>0.15152339126393879</v>
      </c>
      <c r="BV270" s="456"/>
      <c r="BW270" s="456">
        <f t="shared" si="692"/>
        <v>5.5309231591666277E-4</v>
      </c>
      <c r="BX270" s="144">
        <f t="shared" si="693"/>
        <v>172.04691779594509</v>
      </c>
      <c r="BY270" s="150">
        <f t="shared" si="694"/>
        <v>1.6670943909053724</v>
      </c>
      <c r="BZ270" s="5">
        <f t="shared" si="695"/>
        <v>3.24</v>
      </c>
      <c r="CA270" s="150">
        <f t="shared" si="696"/>
        <v>0.66026852998892716</v>
      </c>
      <c r="CB270" s="5">
        <f t="shared" si="697"/>
        <v>66.026852998892721</v>
      </c>
      <c r="CE270" s="59">
        <f t="shared" si="757"/>
        <v>-50</v>
      </c>
      <c r="CF270">
        <f t="shared" si="758"/>
        <v>-50</v>
      </c>
      <c r="CG270" s="150">
        <f t="shared" si="759"/>
        <v>0.90164969278680251</v>
      </c>
      <c r="CI270" s="147">
        <v>54</v>
      </c>
      <c r="CJ270" s="188">
        <f t="shared" si="698"/>
        <v>0.64800000000000002</v>
      </c>
      <c r="CK270" s="188"/>
      <c r="CL270" s="188">
        <f t="shared" si="641"/>
        <v>3.24</v>
      </c>
      <c r="CM270" s="465">
        <f t="shared" si="642"/>
        <v>60</v>
      </c>
      <c r="CN270" s="379">
        <f t="shared" si="643"/>
        <v>5.4</v>
      </c>
      <c r="CO270" s="379">
        <f t="shared" si="644"/>
        <v>65.400000000000006</v>
      </c>
      <c r="CP270" s="379"/>
      <c r="CQ270" s="188">
        <f t="shared" si="645"/>
        <v>8.2568807339449546E-2</v>
      </c>
      <c r="CR270" s="149">
        <f t="shared" si="646"/>
        <v>12.756880733944957</v>
      </c>
      <c r="CS270" s="149">
        <f t="shared" si="647"/>
        <v>3.24</v>
      </c>
      <c r="CT270" s="188">
        <f t="shared" si="648"/>
        <v>2.5513761467889915</v>
      </c>
      <c r="CU270" s="188">
        <f t="shared" si="649"/>
        <v>5</v>
      </c>
      <c r="CV270" s="188"/>
      <c r="CW270" s="149">
        <f t="shared" si="650"/>
        <v>171.62099933158845</v>
      </c>
      <c r="CX270" s="149">
        <f t="shared" si="651"/>
        <v>5</v>
      </c>
      <c r="CY270" s="188">
        <f t="shared" si="652"/>
        <v>1.3080000000000001</v>
      </c>
      <c r="CZ270" s="188">
        <f t="shared" si="653"/>
        <v>0.2616</v>
      </c>
      <c r="DA270" s="188">
        <f t="shared" si="654"/>
        <v>2.9066666666666667</v>
      </c>
      <c r="DB270" s="172">
        <f t="shared" si="655"/>
        <v>350</v>
      </c>
      <c r="DC270" s="379">
        <f t="shared" si="656"/>
        <v>315.62999747496002</v>
      </c>
      <c r="DE270" s="188">
        <f t="shared" si="657"/>
        <v>1.179554390563565</v>
      </c>
      <c r="DF270" s="150">
        <f t="shared" si="658"/>
        <v>2.6212319790301444</v>
      </c>
      <c r="DG270" s="150">
        <f t="shared" si="659"/>
        <v>0.54107999567136011</v>
      </c>
      <c r="DH270" s="150"/>
      <c r="DI270" s="150">
        <f t="shared" si="660"/>
        <v>2.2222222222222219</v>
      </c>
      <c r="DJ270" s="314">
        <f t="shared" si="661"/>
        <v>583.20000000000005</v>
      </c>
      <c r="DK270" s="456">
        <f t="shared" si="662"/>
        <v>0.38888888888888884</v>
      </c>
      <c r="DM270" s="150">
        <f t="shared" si="663"/>
        <v>1.2908468980811452</v>
      </c>
      <c r="DN270" s="150">
        <f t="shared" si="664"/>
        <v>1.3080000000000001</v>
      </c>
      <c r="DO270" s="150">
        <f t="shared" si="665"/>
        <v>1.4281481481481482</v>
      </c>
      <c r="DQ270" s="314">
        <f t="shared" si="666"/>
        <v>648</v>
      </c>
      <c r="DR270" s="144">
        <f t="shared" si="667"/>
        <v>315.62999747496002</v>
      </c>
      <c r="DT270">
        <f t="shared" si="668"/>
        <v>648</v>
      </c>
      <c r="DU270">
        <f t="shared" si="669"/>
        <v>315.62999747496002</v>
      </c>
      <c r="DW270" s="5">
        <f t="shared" si="670"/>
        <v>3.1682666666666668</v>
      </c>
      <c r="DX270" s="5">
        <f t="shared" si="671"/>
        <v>0.2616</v>
      </c>
      <c r="DY270" s="5">
        <f t="shared" si="672"/>
        <v>2.9066666666666667</v>
      </c>
      <c r="DZ270" s="5"/>
      <c r="EA270" s="150">
        <f t="shared" si="673"/>
        <v>8.2568807339449532E-2</v>
      </c>
      <c r="EB270" s="150">
        <f t="shared" si="699"/>
        <v>3.24</v>
      </c>
      <c r="EC270" s="150">
        <f t="shared" si="700"/>
        <v>0.60000000000000009</v>
      </c>
      <c r="ED270" s="150">
        <f t="shared" si="701"/>
        <v>5.3999999999999995</v>
      </c>
      <c r="EE270" s="144">
        <f t="shared" si="674"/>
        <v>3.390336</v>
      </c>
      <c r="EF270" s="5">
        <f t="shared" si="675"/>
        <v>6.54E-2</v>
      </c>
      <c r="EH270" s="150">
        <f t="shared" si="702"/>
        <v>0.21699769584030151</v>
      </c>
      <c r="EI270" s="150">
        <f t="shared" si="703"/>
        <v>0.72332565280100514</v>
      </c>
      <c r="EK270" s="456">
        <f t="shared" si="704"/>
        <v>9.4176000000000025E-4</v>
      </c>
      <c r="EL270" s="456">
        <f t="shared" si="705"/>
        <v>0.54</v>
      </c>
      <c r="EM270" s="456">
        <f t="shared" si="706"/>
        <v>3.9453749684370001E-2</v>
      </c>
      <c r="EN270" s="456">
        <f t="shared" si="707"/>
        <v>0.13500000000000004</v>
      </c>
      <c r="EO270">
        <f t="shared" si="708"/>
        <v>2.7E-2</v>
      </c>
      <c r="EP270" s="144">
        <f t="shared" si="709"/>
        <v>66.453749684369996</v>
      </c>
      <c r="EQ270" s="144"/>
      <c r="ER270" s="144">
        <f t="shared" si="710"/>
        <v>742.39550968437004</v>
      </c>
      <c r="ES270" s="456">
        <f t="shared" si="711"/>
        <v>0.4536</v>
      </c>
      <c r="EV270" s="144">
        <f t="shared" si="712"/>
        <v>453.6</v>
      </c>
      <c r="EW270" s="456">
        <f t="shared" si="713"/>
        <v>1.4126400000000004E-3</v>
      </c>
      <c r="EX270" s="456">
        <f t="shared" si="714"/>
        <v>1.5696000000000005E-2</v>
      </c>
      <c r="EY270" s="456">
        <f t="shared" si="715"/>
        <v>0.17315500288201649</v>
      </c>
      <c r="EZ270" s="456"/>
      <c r="FA270" s="456">
        <f t="shared" si="716"/>
        <v>5.4000000000000012E-4</v>
      </c>
      <c r="FB270" s="144">
        <f t="shared" si="717"/>
        <v>190.8036428820165</v>
      </c>
      <c r="FC270" s="150">
        <f t="shared" si="718"/>
        <v>1.3867991525663868</v>
      </c>
      <c r="FD270" s="5">
        <f t="shared" si="719"/>
        <v>3.24</v>
      </c>
      <c r="FE270" s="150">
        <f t="shared" si="720"/>
        <v>0.7002681320633598</v>
      </c>
      <c r="FF270" s="5">
        <f t="shared" si="721"/>
        <v>70.026813206335987</v>
      </c>
      <c r="FI270" s="59">
        <f t="shared" si="676"/>
        <v>-50</v>
      </c>
      <c r="FJ270">
        <f t="shared" si="677"/>
        <v>-50</v>
      </c>
      <c r="FL270">
        <f t="shared" si="760"/>
        <v>0.91743119266055051</v>
      </c>
    </row>
    <row r="271" spans="5:168">
      <c r="E271" s="147">
        <v>55</v>
      </c>
      <c r="F271" s="188">
        <f t="shared" si="761"/>
        <v>0.66</v>
      </c>
      <c r="G271" s="188"/>
      <c r="H271" s="188">
        <f t="shared" si="726"/>
        <v>3.3000000000000003</v>
      </c>
      <c r="I271" s="465">
        <f t="shared" si="727"/>
        <v>59.96341206362672</v>
      </c>
      <c r="J271" s="149">
        <f t="shared" si="728"/>
        <v>5.4219527618239667</v>
      </c>
      <c r="K271" s="149">
        <f t="shared" si="729"/>
        <v>65.385364825450694</v>
      </c>
      <c r="L271" s="379"/>
      <c r="M271" s="188">
        <f t="shared" si="730"/>
        <v>8.2917832717461309E-2</v>
      </c>
      <c r="N271" s="149">
        <f t="shared" si="731"/>
        <v>12.802993139449505</v>
      </c>
      <c r="O271" s="149">
        <f t="shared" si="762"/>
        <v>3.3000000000000003</v>
      </c>
      <c r="P271" s="188">
        <f t="shared" si="732"/>
        <v>2.5605986278899011</v>
      </c>
      <c r="Q271" s="188">
        <f t="shared" si="733"/>
        <v>5</v>
      </c>
      <c r="R271" s="188"/>
      <c r="S271" s="149">
        <f t="shared" si="734"/>
        <v>167.31373825638283</v>
      </c>
      <c r="T271" s="149">
        <f t="shared" si="735"/>
        <v>5</v>
      </c>
      <c r="U271" s="188">
        <f t="shared" si="736"/>
        <v>1.4393475820289596</v>
      </c>
      <c r="V271" s="188">
        <f t="shared" si="737"/>
        <v>0.28804516604258856</v>
      </c>
      <c r="W271" s="188">
        <f t="shared" si="738"/>
        <v>3.1855996802408675</v>
      </c>
      <c r="X271" s="172">
        <f t="shared" si="739"/>
        <v>350</v>
      </c>
      <c r="Y271" s="379">
        <f t="shared" si="680"/>
        <v>272.20922049981982</v>
      </c>
      <c r="AA271" s="188">
        <f t="shared" si="740"/>
        <v>1.1838923795965708</v>
      </c>
      <c r="AB271" s="150">
        <f t="shared" si="741"/>
        <v>2.6202199058590945</v>
      </c>
      <c r="AC271" s="150">
        <f t="shared" si="742"/>
        <v>0.54286021639741955</v>
      </c>
      <c r="AD271" s="150"/>
      <c r="AE271" s="150">
        <f t="shared" si="743"/>
        <v>2.213224741552922</v>
      </c>
      <c r="AF271" s="314">
        <f t="shared" si="744"/>
        <v>596.41480380063626</v>
      </c>
      <c r="AG271" s="456">
        <f t="shared" si="745"/>
        <v>0.38731432977176139</v>
      </c>
      <c r="AI271" s="150">
        <f t="shared" si="746"/>
        <v>1.3053897106125996</v>
      </c>
      <c r="AJ271" s="150">
        <f t="shared" si="747"/>
        <v>1.4393475820289596</v>
      </c>
      <c r="AK271" s="150">
        <f t="shared" si="748"/>
        <v>1.5254426533547849</v>
      </c>
      <c r="AM271" s="314">
        <f t="shared" si="749"/>
        <v>660</v>
      </c>
      <c r="AN271" s="144">
        <f t="shared" si="750"/>
        <v>272.20922049981982</v>
      </c>
      <c r="AP271">
        <f t="shared" si="751"/>
        <v>660</v>
      </c>
      <c r="AQ271">
        <f t="shared" si="752"/>
        <v>272.20922049981982</v>
      </c>
      <c r="AS271" s="5">
        <f t="shared" si="763"/>
        <v>3.6736448462834561</v>
      </c>
      <c r="AT271" s="5">
        <f t="shared" si="753"/>
        <v>0.28804516604258856</v>
      </c>
      <c r="AU271" s="5">
        <f t="shared" si="722"/>
        <v>3.3855996802408677</v>
      </c>
      <c r="AV271" s="5"/>
      <c r="AW271" s="150">
        <f t="shared" si="723"/>
        <v>7.8408550117194206E-2</v>
      </c>
      <c r="AX271" s="150">
        <f t="shared" si="631"/>
        <v>3.3836501054072117</v>
      </c>
      <c r="AY271" s="150">
        <f t="shared" si="632"/>
        <v>0.66324521250368984</v>
      </c>
      <c r="AZ271" s="150">
        <f t="shared" si="633"/>
        <v>5.1016577905391021</v>
      </c>
      <c r="BA271" s="144">
        <f t="shared" si="724"/>
        <v>3.8021961917621692</v>
      </c>
      <c r="BB271" s="5">
        <f t="shared" si="725"/>
        <v>7.7634000470013217E-2</v>
      </c>
      <c r="BD271" s="150">
        <f t="shared" si="681"/>
        <v>0.23269484743878177</v>
      </c>
      <c r="BE271" s="150">
        <f t="shared" si="682"/>
        <v>0.79776370474364966</v>
      </c>
      <c r="BG271" s="456">
        <f t="shared" si="683"/>
        <v>1.0829378404911584E-3</v>
      </c>
      <c r="BH271" s="456">
        <f t="shared" si="754"/>
        <v>0.48034175202458551</v>
      </c>
      <c r="BI271" s="456">
        <f t="shared" si="755"/>
        <v>0.408064841408733</v>
      </c>
      <c r="BJ271" s="456">
        <f t="shared" si="684"/>
        <v>0.11637613629642113</v>
      </c>
      <c r="BK271">
        <f t="shared" si="685"/>
        <v>2.6983535428632022E-2</v>
      </c>
      <c r="BL271" s="144">
        <f t="shared" si="686"/>
        <v>435.04837683736503</v>
      </c>
      <c r="BM271" s="456">
        <f t="shared" si="756"/>
        <v>0.59824715197860379</v>
      </c>
      <c r="BN271" s="144">
        <f t="shared" si="687"/>
        <v>598.24715197860382</v>
      </c>
      <c r="BO271" s="456">
        <f t="shared" si="637"/>
        <v>0.46199999999999997</v>
      </c>
      <c r="BR271" s="144">
        <f t="shared" si="688"/>
        <v>461.99999999999994</v>
      </c>
      <c r="BS271" s="456">
        <f t="shared" si="689"/>
        <v>1.6244067607367376E-3</v>
      </c>
      <c r="BT271" s="456">
        <f t="shared" si="690"/>
        <v>1.9092807858189391E-2</v>
      </c>
      <c r="BU271" s="456">
        <f t="shared" si="691"/>
        <v>0.15192921381066696</v>
      </c>
      <c r="BV271" s="456"/>
      <c r="BW271" s="456">
        <f t="shared" si="692"/>
        <v>5.6394168423453545E-4</v>
      </c>
      <c r="BX271" s="144">
        <f t="shared" si="693"/>
        <v>173.21037011382765</v>
      </c>
      <c r="BY271" s="150">
        <f t="shared" si="694"/>
        <v>1.6680595731126904</v>
      </c>
      <c r="BZ271" s="5">
        <f t="shared" si="695"/>
        <v>3.3000000000000003</v>
      </c>
      <c r="CA271" s="150">
        <f t="shared" si="696"/>
        <v>0.66424324254477818</v>
      </c>
      <c r="CB271" s="5">
        <f t="shared" si="697"/>
        <v>66.424324254477824</v>
      </c>
      <c r="CE271" s="59">
        <f t="shared" si="757"/>
        <v>-50</v>
      </c>
      <c r="CF271">
        <f t="shared" si="758"/>
        <v>-50</v>
      </c>
      <c r="CG271" s="150">
        <f t="shared" si="759"/>
        <v>0.90193662914814332</v>
      </c>
      <c r="CI271" s="147">
        <v>55</v>
      </c>
      <c r="CJ271" s="188">
        <f t="shared" si="698"/>
        <v>0.66</v>
      </c>
      <c r="CK271" s="188"/>
      <c r="CL271" s="188">
        <f t="shared" si="641"/>
        <v>3.3000000000000003</v>
      </c>
      <c r="CM271" s="465">
        <f t="shared" si="642"/>
        <v>60</v>
      </c>
      <c r="CN271" s="379">
        <f t="shared" si="643"/>
        <v>5.4</v>
      </c>
      <c r="CO271" s="379">
        <f t="shared" si="644"/>
        <v>65.400000000000006</v>
      </c>
      <c r="CP271" s="379"/>
      <c r="CQ271" s="188">
        <f t="shared" si="645"/>
        <v>8.2568807339449546E-2</v>
      </c>
      <c r="CR271" s="149">
        <f t="shared" si="646"/>
        <v>12.756880733944957</v>
      </c>
      <c r="CS271" s="149">
        <f t="shared" si="647"/>
        <v>3.3000000000000003</v>
      </c>
      <c r="CT271" s="188">
        <f t="shared" si="648"/>
        <v>2.5513761467889915</v>
      </c>
      <c r="CU271" s="188">
        <f t="shared" si="649"/>
        <v>5</v>
      </c>
      <c r="CV271" s="188"/>
      <c r="CW271" s="149">
        <f t="shared" si="650"/>
        <v>167.41574127021252</v>
      </c>
      <c r="CX271" s="149">
        <f t="shared" si="651"/>
        <v>5</v>
      </c>
      <c r="CY271" s="188">
        <f t="shared" si="652"/>
        <v>1.3322222222222222</v>
      </c>
      <c r="CZ271" s="188">
        <f t="shared" si="653"/>
        <v>0.26644444444444448</v>
      </c>
      <c r="DA271" s="188">
        <f t="shared" si="654"/>
        <v>2.9604938271604939</v>
      </c>
      <c r="DB271" s="172">
        <f t="shared" si="655"/>
        <v>350</v>
      </c>
      <c r="DC271" s="379">
        <f t="shared" si="656"/>
        <v>309.89127024814258</v>
      </c>
      <c r="DE271" s="188">
        <f t="shared" si="657"/>
        <v>1.179554390563565</v>
      </c>
      <c r="DF271" s="150">
        <f t="shared" si="658"/>
        <v>2.6212319790301444</v>
      </c>
      <c r="DG271" s="150">
        <f t="shared" si="659"/>
        <v>0.54107999567136011</v>
      </c>
      <c r="DH271" s="150"/>
      <c r="DI271" s="150">
        <f t="shared" si="660"/>
        <v>2.2222222222222219</v>
      </c>
      <c r="DJ271" s="314">
        <f t="shared" si="661"/>
        <v>594.00000000000011</v>
      </c>
      <c r="DK271" s="456">
        <f t="shared" si="662"/>
        <v>0.38888888888888884</v>
      </c>
      <c r="DM271" s="150">
        <f t="shared" si="663"/>
        <v>1.3027443560203427</v>
      </c>
      <c r="DN271" s="150">
        <f t="shared" si="664"/>
        <v>1.3322222222222222</v>
      </c>
      <c r="DO271" s="150">
        <f t="shared" si="665"/>
        <v>1.4460905349794237</v>
      </c>
      <c r="DQ271" s="314">
        <f t="shared" si="666"/>
        <v>660</v>
      </c>
      <c r="DR271" s="144">
        <f t="shared" si="667"/>
        <v>309.89127024814258</v>
      </c>
      <c r="DT271">
        <f t="shared" si="668"/>
        <v>660</v>
      </c>
      <c r="DU271">
        <f t="shared" si="669"/>
        <v>309.89127024814258</v>
      </c>
      <c r="DW271" s="5">
        <f t="shared" si="670"/>
        <v>3.2269382716049382</v>
      </c>
      <c r="DX271" s="5">
        <f t="shared" si="671"/>
        <v>0.26644444444444448</v>
      </c>
      <c r="DY271" s="5">
        <f t="shared" si="672"/>
        <v>2.9604938271604935</v>
      </c>
      <c r="DZ271" s="5"/>
      <c r="EA271" s="150">
        <f t="shared" si="673"/>
        <v>8.256880733944956E-2</v>
      </c>
      <c r="EB271" s="150">
        <f t="shared" si="699"/>
        <v>3.3000000000000003</v>
      </c>
      <c r="EC271" s="150">
        <f t="shared" si="700"/>
        <v>0.61111111111111105</v>
      </c>
      <c r="ED271" s="150">
        <f t="shared" si="701"/>
        <v>5.4000000000000012</v>
      </c>
      <c r="EE271" s="144">
        <f t="shared" si="674"/>
        <v>3.5170666666666675</v>
      </c>
      <c r="EF271" s="5">
        <f t="shared" si="675"/>
        <v>6.7844650205761317E-2</v>
      </c>
      <c r="EH271" s="150">
        <f t="shared" si="702"/>
        <v>0.22101617168919596</v>
      </c>
      <c r="EI271" s="150">
        <f t="shared" si="703"/>
        <v>0.7367205722973198</v>
      </c>
      <c r="EK271" s="456">
        <f t="shared" si="704"/>
        <v>9.769629629629629E-4</v>
      </c>
      <c r="EL271" s="456">
        <f t="shared" si="705"/>
        <v>0.54</v>
      </c>
      <c r="EM271" s="456">
        <f t="shared" si="706"/>
        <v>3.873640878101782E-2</v>
      </c>
      <c r="EN271" s="456">
        <f t="shared" si="707"/>
        <v>0.13254545454545458</v>
      </c>
      <c r="EO271">
        <f t="shared" si="708"/>
        <v>2.7E-2</v>
      </c>
      <c r="EP271" s="144">
        <f t="shared" si="709"/>
        <v>65.736408781017815</v>
      </c>
      <c r="EQ271" s="144"/>
      <c r="ER271" s="144">
        <f t="shared" si="710"/>
        <v>739.25882628943543</v>
      </c>
      <c r="ES271" s="456">
        <f t="shared" si="711"/>
        <v>0.46199999999999997</v>
      </c>
      <c r="EV271" s="144">
        <f t="shared" si="712"/>
        <v>461.99999999999994</v>
      </c>
      <c r="EW271" s="456">
        <f t="shared" si="713"/>
        <v>1.4654444444444443E-3</v>
      </c>
      <c r="EX271" s="456">
        <f t="shared" si="714"/>
        <v>1.6282716049382712E-2</v>
      </c>
      <c r="EY271" s="456">
        <f t="shared" si="715"/>
        <v>0.17315500288201652</v>
      </c>
      <c r="EZ271" s="456"/>
      <c r="FA271" s="456">
        <f t="shared" si="716"/>
        <v>5.5000000000000003E-4</v>
      </c>
      <c r="FB271" s="144">
        <f t="shared" si="717"/>
        <v>191.45316337584367</v>
      </c>
      <c r="FC271" s="150">
        <f t="shared" si="718"/>
        <v>1.3927119896652791</v>
      </c>
      <c r="FD271" s="5">
        <f t="shared" si="719"/>
        <v>3.3000000000000003</v>
      </c>
      <c r="FE271" s="150">
        <f t="shared" si="720"/>
        <v>0.70321809803532853</v>
      </c>
      <c r="FF271" s="5">
        <f t="shared" si="721"/>
        <v>70.321809803532858</v>
      </c>
      <c r="FI271" s="59">
        <f t="shared" si="676"/>
        <v>-50</v>
      </c>
      <c r="FJ271">
        <f t="shared" si="677"/>
        <v>-50</v>
      </c>
      <c r="FL271">
        <f t="shared" si="760"/>
        <v>0.9174311926605504</v>
      </c>
    </row>
    <row r="272" spans="5:168">
      <c r="E272" s="147">
        <v>56</v>
      </c>
      <c r="F272" s="188">
        <f t="shared" si="761"/>
        <v>0.67200000000000004</v>
      </c>
      <c r="G272" s="188"/>
      <c r="H272" s="188">
        <f t="shared" si="726"/>
        <v>3.3600000000000003</v>
      </c>
      <c r="I272" s="465">
        <f t="shared" si="727"/>
        <v>59.962758253133977</v>
      </c>
      <c r="J272" s="149">
        <f t="shared" si="728"/>
        <v>5.4223450481196123</v>
      </c>
      <c r="K272" s="149">
        <f t="shared" si="729"/>
        <v>65.385103301253594</v>
      </c>
      <c r="L272" s="379"/>
      <c r="M272" s="188">
        <f t="shared" si="730"/>
        <v>8.2924165626914403E-2</v>
      </c>
      <c r="N272" s="149">
        <f t="shared" si="731"/>
        <v>12.803831369335992</v>
      </c>
      <c r="O272" s="149">
        <f t="shared" si="762"/>
        <v>3.3600000000000003</v>
      </c>
      <c r="P272" s="188">
        <f t="shared" si="732"/>
        <v>2.5607662738671984</v>
      </c>
      <c r="Q272" s="188">
        <f t="shared" si="733"/>
        <v>5</v>
      </c>
      <c r="R272" s="188"/>
      <c r="S272" s="149">
        <f t="shared" si="734"/>
        <v>163.25953417517368</v>
      </c>
      <c r="T272" s="149">
        <f t="shared" si="735"/>
        <v>5</v>
      </c>
      <c r="U272" s="188">
        <f t="shared" si="736"/>
        <v>1.465527658264772</v>
      </c>
      <c r="V272" s="188">
        <f t="shared" si="737"/>
        <v>0.29328757401279332</v>
      </c>
      <c r="W272" s="188">
        <f t="shared" si="738"/>
        <v>3.2433074146168437</v>
      </c>
      <c r="X272" s="172">
        <f t="shared" si="739"/>
        <v>350</v>
      </c>
      <c r="Y272" s="379">
        <f t="shared" si="680"/>
        <v>267.62333168110922</v>
      </c>
      <c r="AA272" s="188">
        <f t="shared" si="740"/>
        <v>1.1839698620335828</v>
      </c>
      <c r="AB272" s="150">
        <f t="shared" si="741"/>
        <v>2.6202018164318019</v>
      </c>
      <c r="AC272" s="150">
        <f t="shared" si="742"/>
        <v>0.54289199704265823</v>
      </c>
      <c r="AD272" s="150"/>
      <c r="AE272" s="150">
        <f t="shared" si="743"/>
        <v>2.2130646230566646</v>
      </c>
      <c r="AF272" s="314">
        <f t="shared" si="744"/>
        <v>607.30264538939662</v>
      </c>
      <c r="AG272" s="456">
        <f t="shared" si="745"/>
        <v>0.38728630903491629</v>
      </c>
      <c r="AI272" s="150">
        <f t="shared" si="746"/>
        <v>1.3172510828988815</v>
      </c>
      <c r="AJ272" s="150">
        <f t="shared" si="747"/>
        <v>1.465527658264772</v>
      </c>
      <c r="AK272" s="150">
        <f t="shared" si="748"/>
        <v>1.5448353024183497</v>
      </c>
      <c r="AM272" s="314">
        <f t="shared" si="749"/>
        <v>672</v>
      </c>
      <c r="AN272" s="144">
        <f t="shared" si="750"/>
        <v>267.62333168110922</v>
      </c>
      <c r="AP272">
        <f t="shared" si="751"/>
        <v>672</v>
      </c>
      <c r="AQ272">
        <f t="shared" si="752"/>
        <v>267.62333168110922</v>
      </c>
      <c r="AS272" s="5">
        <f t="shared" si="763"/>
        <v>3.7365949886296375</v>
      </c>
      <c r="AT272" s="5">
        <f t="shared" si="753"/>
        <v>0.29328757401279332</v>
      </c>
      <c r="AU272" s="5">
        <f t="shared" si="722"/>
        <v>3.4433074146168443</v>
      </c>
      <c r="AV272" s="5"/>
      <c r="AW272" s="150">
        <f t="shared" si="723"/>
        <v>7.849059769797366E-2</v>
      </c>
      <c r="AX272" s="150">
        <f t="shared" si="631"/>
        <v>3.4487622934912232</v>
      </c>
      <c r="AY272" s="150">
        <f t="shared" si="632"/>
        <v>0.67524875821232921</v>
      </c>
      <c r="AZ272" s="150">
        <f t="shared" si="633"/>
        <v>5.1073952399728428</v>
      </c>
      <c r="BA272" s="144">
        <f t="shared" si="724"/>
        <v>3.9417849947319419</v>
      </c>
      <c r="BB272" s="5">
        <f t="shared" si="725"/>
        <v>8.039373972946999E-2</v>
      </c>
      <c r="BD272" s="150">
        <f t="shared" si="681"/>
        <v>0.23705122821927915</v>
      </c>
      <c r="BE272" s="150">
        <f t="shared" si="682"/>
        <v>0.81223795009800337</v>
      </c>
      <c r="BG272" s="456">
        <f t="shared" si="683"/>
        <v>1.1238656960053754E-3</v>
      </c>
      <c r="BH272" s="456">
        <f t="shared" si="754"/>
        <v>0.48083722087593472</v>
      </c>
      <c r="BI272" s="456">
        <f t="shared" si="755"/>
        <v>0.4011858285123161</v>
      </c>
      <c r="BJ272" s="456">
        <f t="shared" si="684"/>
        <v>0.1144146407819141</v>
      </c>
      <c r="BK272">
        <f t="shared" si="685"/>
        <v>2.698324121391029E-2</v>
      </c>
      <c r="BL272" s="144">
        <f t="shared" si="686"/>
        <v>428.16906972622638</v>
      </c>
      <c r="BM272" s="456">
        <f t="shared" si="756"/>
        <v>0.59683854518057067</v>
      </c>
      <c r="BN272" s="144">
        <f t="shared" si="687"/>
        <v>596.83854518057069</v>
      </c>
      <c r="BO272" s="456">
        <f t="shared" si="637"/>
        <v>0.47039999999999998</v>
      </c>
      <c r="BR272" s="144">
        <f t="shared" si="688"/>
        <v>470.4</v>
      </c>
      <c r="BS272" s="456">
        <f t="shared" si="689"/>
        <v>1.6857985440080631E-3</v>
      </c>
      <c r="BT272" s="456">
        <f t="shared" si="690"/>
        <v>1.9791914627382199E-2</v>
      </c>
      <c r="BU272" s="456">
        <f t="shared" si="691"/>
        <v>0.15232282463938399</v>
      </c>
      <c r="BV272" s="456"/>
      <c r="BW272" s="456">
        <f t="shared" si="692"/>
        <v>5.7479371558187065E-4</v>
      </c>
      <c r="BX272" s="144">
        <f t="shared" si="693"/>
        <v>174.37533152635612</v>
      </c>
      <c r="BY272" s="150">
        <f t="shared" si="694"/>
        <v>1.6693201286064363</v>
      </c>
      <c r="BZ272" s="5">
        <f t="shared" si="695"/>
        <v>3.3600000000000003</v>
      </c>
      <c r="CA272" s="150">
        <f t="shared" si="696"/>
        <v>0.66808234792781329</v>
      </c>
      <c r="CB272" s="5">
        <f t="shared" si="697"/>
        <v>66.808234792781334</v>
      </c>
      <c r="CE272" s="59">
        <f t="shared" si="757"/>
        <v>-50</v>
      </c>
      <c r="CF272">
        <f t="shared" si="758"/>
        <v>-50</v>
      </c>
      <c r="CG272" s="150">
        <f t="shared" si="759"/>
        <v>0.90221331778229352</v>
      </c>
      <c r="CI272" s="147">
        <v>56</v>
      </c>
      <c r="CJ272" s="188">
        <f t="shared" si="698"/>
        <v>0.67200000000000004</v>
      </c>
      <c r="CK272" s="188"/>
      <c r="CL272" s="188">
        <f t="shared" si="641"/>
        <v>3.3600000000000003</v>
      </c>
      <c r="CM272" s="465">
        <f t="shared" si="642"/>
        <v>60</v>
      </c>
      <c r="CN272" s="379">
        <f t="shared" si="643"/>
        <v>5.4</v>
      </c>
      <c r="CO272" s="379">
        <f t="shared" si="644"/>
        <v>65.400000000000006</v>
      </c>
      <c r="CP272" s="379"/>
      <c r="CQ272" s="188">
        <f t="shared" si="645"/>
        <v>8.2568807339449546E-2</v>
      </c>
      <c r="CR272" s="149">
        <f t="shared" si="646"/>
        <v>12.756880733944957</v>
      </c>
      <c r="CS272" s="149">
        <f t="shared" si="647"/>
        <v>3.3600000000000003</v>
      </c>
      <c r="CT272" s="188">
        <f t="shared" si="648"/>
        <v>2.5513761467889915</v>
      </c>
      <c r="CU272" s="188">
        <f t="shared" si="649"/>
        <v>5</v>
      </c>
      <c r="CV272" s="188"/>
      <c r="CW272" s="149">
        <f t="shared" si="650"/>
        <v>163.36084089724949</v>
      </c>
      <c r="CX272" s="149">
        <f t="shared" si="651"/>
        <v>5</v>
      </c>
      <c r="CY272" s="188">
        <f t="shared" si="652"/>
        <v>1.3564444444444443</v>
      </c>
      <c r="CZ272" s="188">
        <f t="shared" si="653"/>
        <v>0.27128888888888886</v>
      </c>
      <c r="DA272" s="188">
        <f t="shared" si="654"/>
        <v>3.0143209876543202</v>
      </c>
      <c r="DB272" s="172">
        <f t="shared" si="655"/>
        <v>350</v>
      </c>
      <c r="DC272" s="379">
        <f t="shared" si="656"/>
        <v>304.35749756514008</v>
      </c>
      <c r="DE272" s="188">
        <f t="shared" si="657"/>
        <v>1.179554390563565</v>
      </c>
      <c r="DF272" s="150">
        <f t="shared" si="658"/>
        <v>2.6212319790301444</v>
      </c>
      <c r="DG272" s="150">
        <f t="shared" si="659"/>
        <v>0.54107999567136011</v>
      </c>
      <c r="DH272" s="150"/>
      <c r="DI272" s="150">
        <f t="shared" si="660"/>
        <v>2.2222222222222219</v>
      </c>
      <c r="DJ272" s="314">
        <f t="shared" si="661"/>
        <v>604.80000000000007</v>
      </c>
      <c r="DK272" s="456">
        <f t="shared" si="662"/>
        <v>0.38888888888888884</v>
      </c>
      <c r="DM272" s="150">
        <f t="shared" si="663"/>
        <v>1.3145341380123989</v>
      </c>
      <c r="DN272" s="150">
        <f t="shared" si="664"/>
        <v>1.3564444444444443</v>
      </c>
      <c r="DO272" s="150">
        <f t="shared" si="665"/>
        <v>1.4640329218106996</v>
      </c>
      <c r="DQ272" s="314">
        <f t="shared" si="666"/>
        <v>672</v>
      </c>
      <c r="DR272" s="144">
        <f t="shared" si="667"/>
        <v>304.35749756514008</v>
      </c>
      <c r="DT272">
        <f t="shared" si="668"/>
        <v>672</v>
      </c>
      <c r="DU272">
        <f t="shared" si="669"/>
        <v>304.35749756514008</v>
      </c>
      <c r="DW272" s="5">
        <f t="shared" si="670"/>
        <v>3.2856098765432091</v>
      </c>
      <c r="DX272" s="5">
        <f t="shared" si="671"/>
        <v>0.27128888888888886</v>
      </c>
      <c r="DY272" s="5">
        <f t="shared" si="672"/>
        <v>3.0143209876543202</v>
      </c>
      <c r="DZ272" s="5"/>
      <c r="EA272" s="150">
        <f t="shared" si="673"/>
        <v>8.2568807339449546E-2</v>
      </c>
      <c r="EB272" s="150">
        <f t="shared" si="699"/>
        <v>3.3600000000000008</v>
      </c>
      <c r="EC272" s="150">
        <f t="shared" si="700"/>
        <v>0.62222222222222223</v>
      </c>
      <c r="ED272" s="150">
        <f t="shared" si="701"/>
        <v>5.4000000000000012</v>
      </c>
      <c r="EE272" s="144">
        <f t="shared" si="674"/>
        <v>3.6461226666666664</v>
      </c>
      <c r="EF272" s="5">
        <f t="shared" si="675"/>
        <v>7.0334156378600812E-2</v>
      </c>
      <c r="EH272" s="150">
        <f t="shared" si="702"/>
        <v>0.22503464753809044</v>
      </c>
      <c r="EI272" s="150">
        <f t="shared" si="703"/>
        <v>0.7501154917936349</v>
      </c>
      <c r="EK272" s="456">
        <f t="shared" si="704"/>
        <v>1.0128118518518518E-3</v>
      </c>
      <c r="EL272" s="456">
        <f t="shared" si="705"/>
        <v>0.54</v>
      </c>
      <c r="EM272" s="456">
        <f t="shared" si="706"/>
        <v>3.804468719564251E-2</v>
      </c>
      <c r="EN272" s="456">
        <f t="shared" si="707"/>
        <v>0.13017857142857148</v>
      </c>
      <c r="EO272">
        <f t="shared" si="708"/>
        <v>2.7E-2</v>
      </c>
      <c r="EP272" s="144">
        <f t="shared" si="709"/>
        <v>65.04468719564251</v>
      </c>
      <c r="EQ272" s="144"/>
      <c r="ER272" s="144">
        <f t="shared" si="710"/>
        <v>736.23607047606583</v>
      </c>
      <c r="ES272" s="456">
        <f t="shared" si="711"/>
        <v>0.47039999999999998</v>
      </c>
      <c r="EV272" s="144">
        <f t="shared" si="712"/>
        <v>470.4</v>
      </c>
      <c r="EW272" s="456">
        <f t="shared" si="713"/>
        <v>1.5192177777777777E-3</v>
      </c>
      <c r="EX272" s="456">
        <f t="shared" si="714"/>
        <v>1.6880197530864199E-2</v>
      </c>
      <c r="EY272" s="456">
        <f t="shared" si="715"/>
        <v>0.17315500288201646</v>
      </c>
      <c r="EZ272" s="456"/>
      <c r="FA272" s="456">
        <f t="shared" si="716"/>
        <v>5.6000000000000017E-4</v>
      </c>
      <c r="FB272" s="144">
        <f t="shared" si="717"/>
        <v>192.11441819065845</v>
      </c>
      <c r="FC272" s="150">
        <f t="shared" si="718"/>
        <v>1.3987504886667244</v>
      </c>
      <c r="FD272" s="5">
        <f t="shared" si="719"/>
        <v>3.3600000000000003</v>
      </c>
      <c r="FE272" s="150">
        <f t="shared" si="720"/>
        <v>0.70606769739284714</v>
      </c>
      <c r="FF272" s="5">
        <f t="shared" si="721"/>
        <v>70.606769739284715</v>
      </c>
      <c r="FI272" s="59">
        <f t="shared" si="676"/>
        <v>-50</v>
      </c>
      <c r="FJ272">
        <f t="shared" si="677"/>
        <v>-50</v>
      </c>
      <c r="FL272">
        <f t="shared" si="760"/>
        <v>0.91743119266055051</v>
      </c>
    </row>
    <row r="273" spans="5:168">
      <c r="E273" s="147">
        <v>57</v>
      </c>
      <c r="F273" s="188">
        <f t="shared" si="761"/>
        <v>0.68399999999999994</v>
      </c>
      <c r="G273" s="188"/>
      <c r="H273" s="188">
        <f t="shared" si="726"/>
        <v>3.42</v>
      </c>
      <c r="I273" s="465">
        <f t="shared" si="727"/>
        <v>59.962104435881706</v>
      </c>
      <c r="J273" s="149">
        <f t="shared" si="728"/>
        <v>5.4227373384709781</v>
      </c>
      <c r="K273" s="149">
        <f t="shared" si="729"/>
        <v>65.38484177435268</v>
      </c>
      <c r="L273" s="379"/>
      <c r="M273" s="188">
        <f t="shared" si="730"/>
        <v>8.2930498595579577E-2</v>
      </c>
      <c r="N273" s="149">
        <f t="shared" si="731"/>
        <v>12.8046695855978</v>
      </c>
      <c r="O273" s="149">
        <f t="shared" si="762"/>
        <v>3.42</v>
      </c>
      <c r="P273" s="188">
        <f t="shared" si="732"/>
        <v>2.5609339171195602</v>
      </c>
      <c r="Q273" s="188">
        <f t="shared" si="733"/>
        <v>5</v>
      </c>
      <c r="R273" s="188"/>
      <c r="S273" s="149">
        <f t="shared" si="734"/>
        <v>159.34777594426242</v>
      </c>
      <c r="T273" s="149">
        <f t="shared" si="735"/>
        <v>5</v>
      </c>
      <c r="U273" s="188">
        <f t="shared" si="736"/>
        <v>1.4917080961748423</v>
      </c>
      <c r="V273" s="188">
        <f t="shared" si="737"/>
        <v>0.2985301687208019</v>
      </c>
      <c r="W273" s="188">
        <f t="shared" si="738"/>
        <v>3.3010075976029891</v>
      </c>
      <c r="X273" s="172">
        <f t="shared" si="739"/>
        <v>350</v>
      </c>
      <c r="Y273" s="379">
        <f t="shared" si="680"/>
        <v>263.1899092735012</v>
      </c>
      <c r="AA273" s="188">
        <f t="shared" si="740"/>
        <v>1.1840473440235431</v>
      </c>
      <c r="AB273" s="150">
        <f t="shared" si="741"/>
        <v>2.6201837266727797</v>
      </c>
      <c r="AC273" s="150">
        <f t="shared" si="742"/>
        <v>0.54292377692360738</v>
      </c>
      <c r="AD273" s="150"/>
      <c r="AE273" s="150">
        <f t="shared" si="743"/>
        <v>2.2129045260716205</v>
      </c>
      <c r="AF273" s="314">
        <f t="shared" si="744"/>
        <v>618.19205658569138</v>
      </c>
      <c r="AG273" s="456">
        <f t="shared" si="745"/>
        <v>0.38725829206253359</v>
      </c>
      <c r="AI273" s="150">
        <f t="shared" si="746"/>
        <v>1.3290082839532118</v>
      </c>
      <c r="AJ273" s="150">
        <f t="shared" si="747"/>
        <v>1.4917080961748423</v>
      </c>
      <c r="AK273" s="150">
        <f t="shared" si="748"/>
        <v>1.564228219388772</v>
      </c>
      <c r="AM273" s="314">
        <f t="shared" si="749"/>
        <v>683.99999999999989</v>
      </c>
      <c r="AN273" s="144">
        <f t="shared" si="750"/>
        <v>263.1899092735012</v>
      </c>
      <c r="AP273">
        <f t="shared" si="751"/>
        <v>683.99999999999989</v>
      </c>
      <c r="AQ273">
        <f t="shared" si="752"/>
        <v>263.1899092735012</v>
      </c>
      <c r="AS273" s="5">
        <f t="shared" si="763"/>
        <v>3.7995377663237915</v>
      </c>
      <c r="AT273" s="5">
        <f t="shared" si="753"/>
        <v>0.2985301687208019</v>
      </c>
      <c r="AU273" s="5">
        <f t="shared" si="722"/>
        <v>3.5010075976029897</v>
      </c>
      <c r="AV273" s="5"/>
      <c r="AW273" s="150">
        <f t="shared" si="723"/>
        <v>7.8570128021030847E-2</v>
      </c>
      <c r="AX273" s="150">
        <f t="shared" si="631"/>
        <v>3.5138901325039944</v>
      </c>
      <c r="AY273" s="150">
        <f t="shared" si="632"/>
        <v>0.68725220004418841</v>
      </c>
      <c r="AZ273" s="150">
        <f t="shared" si="633"/>
        <v>5.1129558148785277</v>
      </c>
      <c r="BA273" s="144">
        <f t="shared" si="724"/>
        <v>4.0838927081005698</v>
      </c>
      <c r="BB273" s="5">
        <f t="shared" si="725"/>
        <v>8.3201479893338245E-2</v>
      </c>
      <c r="BD273" s="150">
        <f t="shared" si="681"/>
        <v>0.24140816221619099</v>
      </c>
      <c r="BE273" s="150">
        <f t="shared" si="682"/>
        <v>0.8267122316420582</v>
      </c>
      <c r="BG273" s="456">
        <f t="shared" si="683"/>
        <v>1.1655580156919756E-3</v>
      </c>
      <c r="BH273" s="456">
        <f t="shared" si="754"/>
        <v>0.48131725409990872</v>
      </c>
      <c r="BI273" s="456">
        <f t="shared" si="755"/>
        <v>0.39453552065819775</v>
      </c>
      <c r="BJ273" s="456">
        <f t="shared" si="684"/>
        <v>0.112518358726397</v>
      </c>
      <c r="BK273">
        <f t="shared" si="685"/>
        <v>2.6982946996146766E-2</v>
      </c>
      <c r="BL273" s="144">
        <f t="shared" si="686"/>
        <v>421.51846765434453</v>
      </c>
      <c r="BM273" s="456">
        <f t="shared" si="756"/>
        <v>0.59548078192013187</v>
      </c>
      <c r="BN273" s="144">
        <f t="shared" si="687"/>
        <v>595.4807819201319</v>
      </c>
      <c r="BO273" s="456">
        <f t="shared" si="637"/>
        <v>0.47879999999999995</v>
      </c>
      <c r="BR273" s="144">
        <f t="shared" si="688"/>
        <v>478.79999999999995</v>
      </c>
      <c r="BS273" s="456">
        <f t="shared" si="689"/>
        <v>1.7483370235379634E-3</v>
      </c>
      <c r="BT273" s="456">
        <f t="shared" si="690"/>
        <v>2.0503593418397765E-2</v>
      </c>
      <c r="BU273" s="456">
        <f t="shared" si="691"/>
        <v>0.15270480662515323</v>
      </c>
      <c r="BV273" s="456"/>
      <c r="BW273" s="456">
        <f t="shared" si="692"/>
        <v>5.8564835541733242E-4</v>
      </c>
      <c r="BX273" s="144">
        <f t="shared" si="693"/>
        <v>175.5423854225063</v>
      </c>
      <c r="BY273" s="150">
        <f t="shared" si="694"/>
        <v>1.6708620239188485</v>
      </c>
      <c r="BZ273" s="5">
        <f t="shared" si="695"/>
        <v>3.42</v>
      </c>
      <c r="CA273" s="150">
        <f t="shared" si="696"/>
        <v>0.67179192520471198</v>
      </c>
      <c r="CB273" s="5">
        <f t="shared" si="697"/>
        <v>67.179192520471204</v>
      </c>
      <c r="CE273" s="59">
        <f t="shared" si="757"/>
        <v>-50</v>
      </c>
      <c r="CF273">
        <f t="shared" si="758"/>
        <v>-50</v>
      </c>
      <c r="CG273" s="150">
        <f t="shared" si="759"/>
        <v>0.90248029804331542</v>
      </c>
      <c r="CI273" s="147">
        <v>57</v>
      </c>
      <c r="CJ273" s="188">
        <f t="shared" si="698"/>
        <v>0.68399999999999994</v>
      </c>
      <c r="CK273" s="188"/>
      <c r="CL273" s="188">
        <f t="shared" si="641"/>
        <v>3.42</v>
      </c>
      <c r="CM273" s="465">
        <f t="shared" si="642"/>
        <v>60</v>
      </c>
      <c r="CN273" s="379">
        <f t="shared" si="643"/>
        <v>5.4</v>
      </c>
      <c r="CO273" s="379">
        <f t="shared" si="644"/>
        <v>65.400000000000006</v>
      </c>
      <c r="CP273" s="379"/>
      <c r="CQ273" s="188">
        <f t="shared" si="645"/>
        <v>8.2568807339449546E-2</v>
      </c>
      <c r="CR273" s="149">
        <f t="shared" si="646"/>
        <v>12.756880733944957</v>
      </c>
      <c r="CS273" s="149">
        <f t="shared" si="647"/>
        <v>3.42</v>
      </c>
      <c r="CT273" s="188">
        <f t="shared" si="648"/>
        <v>2.5513761467889915</v>
      </c>
      <c r="CU273" s="188">
        <f t="shared" si="649"/>
        <v>5</v>
      </c>
      <c r="CV273" s="188"/>
      <c r="CW273" s="149">
        <f t="shared" si="650"/>
        <v>159.44838788520542</v>
      </c>
      <c r="CX273" s="149">
        <f t="shared" si="651"/>
        <v>5</v>
      </c>
      <c r="CY273" s="188">
        <f t="shared" si="652"/>
        <v>1.3806666666666665</v>
      </c>
      <c r="CZ273" s="188">
        <f t="shared" si="653"/>
        <v>0.27613333333333329</v>
      </c>
      <c r="DA273" s="188">
        <f t="shared" si="654"/>
        <v>3.0681481481481474</v>
      </c>
      <c r="DB273" s="172">
        <f t="shared" si="655"/>
        <v>350</v>
      </c>
      <c r="DC273" s="379">
        <f t="shared" si="656"/>
        <v>299.01789234469908</v>
      </c>
      <c r="DE273" s="188">
        <f t="shared" si="657"/>
        <v>1.179554390563565</v>
      </c>
      <c r="DF273" s="150">
        <f t="shared" si="658"/>
        <v>2.6212319790301444</v>
      </c>
      <c r="DG273" s="150">
        <f t="shared" si="659"/>
        <v>0.54107999567136011</v>
      </c>
      <c r="DH273" s="150"/>
      <c r="DI273" s="150">
        <f t="shared" si="660"/>
        <v>2.2222222222222219</v>
      </c>
      <c r="DJ273" s="314">
        <f t="shared" si="661"/>
        <v>615.6</v>
      </c>
      <c r="DK273" s="456">
        <f t="shared" si="662"/>
        <v>0.38888888888888884</v>
      </c>
      <c r="DM273" s="150">
        <f t="shared" si="663"/>
        <v>1.3262191157034131</v>
      </c>
      <c r="DN273" s="150">
        <f t="shared" si="664"/>
        <v>1.3806666666666665</v>
      </c>
      <c r="DO273" s="150">
        <f t="shared" si="665"/>
        <v>1.4819753086419751</v>
      </c>
      <c r="DQ273" s="314">
        <f t="shared" si="666"/>
        <v>683.99999999999989</v>
      </c>
      <c r="DR273" s="144">
        <f t="shared" si="667"/>
        <v>299.01789234469908</v>
      </c>
      <c r="DT273">
        <f t="shared" si="668"/>
        <v>683.99999999999989</v>
      </c>
      <c r="DU273">
        <f t="shared" si="669"/>
        <v>299.01789234469908</v>
      </c>
      <c r="DW273" s="5">
        <f t="shared" si="670"/>
        <v>3.3442814814814801</v>
      </c>
      <c r="DX273" s="5">
        <f t="shared" si="671"/>
        <v>0.27613333333333329</v>
      </c>
      <c r="DY273" s="5">
        <f t="shared" si="672"/>
        <v>3.068148148148147</v>
      </c>
      <c r="DZ273" s="5"/>
      <c r="EA273" s="150">
        <f t="shared" si="673"/>
        <v>8.256880733944956E-2</v>
      </c>
      <c r="EB273" s="150">
        <f t="shared" si="699"/>
        <v>3.4200000000000004</v>
      </c>
      <c r="EC273" s="150">
        <f t="shared" si="700"/>
        <v>0.63333333333333319</v>
      </c>
      <c r="ED273" s="150">
        <f t="shared" si="701"/>
        <v>5.4000000000000021</v>
      </c>
      <c r="EE273" s="144">
        <f t="shared" si="674"/>
        <v>3.7775039999999991</v>
      </c>
      <c r="EF273" s="5">
        <f t="shared" si="675"/>
        <v>7.2868518518518471E-2</v>
      </c>
      <c r="EH273" s="150">
        <f t="shared" si="702"/>
        <v>0.22905312338698489</v>
      </c>
      <c r="EI273" s="150">
        <f t="shared" si="703"/>
        <v>0.76351041128994956</v>
      </c>
      <c r="EK273" s="456">
        <f t="shared" si="704"/>
        <v>1.0493066666666664E-3</v>
      </c>
      <c r="EL273" s="456">
        <f t="shared" si="705"/>
        <v>0.54000000000000015</v>
      </c>
      <c r="EM273" s="456">
        <f t="shared" si="706"/>
        <v>3.7377236543087382E-2</v>
      </c>
      <c r="EN273" s="456">
        <f t="shared" si="707"/>
        <v>0.12789473684210531</v>
      </c>
      <c r="EO273">
        <f t="shared" si="708"/>
        <v>2.7E-2</v>
      </c>
      <c r="EP273" s="144">
        <f t="shared" si="709"/>
        <v>64.377236543087392</v>
      </c>
      <c r="EQ273" s="144"/>
      <c r="ER273" s="144">
        <f t="shared" si="710"/>
        <v>733.3212800518595</v>
      </c>
      <c r="ES273" s="456">
        <f t="shared" si="711"/>
        <v>0.47879999999999995</v>
      </c>
      <c r="EV273" s="144">
        <f t="shared" si="712"/>
        <v>478.79999999999995</v>
      </c>
      <c r="EW273" s="456">
        <f t="shared" si="713"/>
        <v>1.5739599999999997E-3</v>
      </c>
      <c r="EX273" s="456">
        <f t="shared" si="714"/>
        <v>1.7488444444444438E-2</v>
      </c>
      <c r="EY273" s="456">
        <f t="shared" si="715"/>
        <v>0.17315500288201638</v>
      </c>
      <c r="EZ273" s="456"/>
      <c r="FA273" s="456">
        <f t="shared" si="716"/>
        <v>5.7000000000000009E-4</v>
      </c>
      <c r="FB273" s="144">
        <f t="shared" si="717"/>
        <v>192.78740732646079</v>
      </c>
      <c r="FC273" s="150">
        <f t="shared" si="718"/>
        <v>1.4049086873783203</v>
      </c>
      <c r="FD273" s="5">
        <f t="shared" si="719"/>
        <v>3.42</v>
      </c>
      <c r="FE273" s="150">
        <f t="shared" si="720"/>
        <v>0.7088217045322579</v>
      </c>
      <c r="FF273" s="5">
        <f t="shared" si="721"/>
        <v>70.882170453225797</v>
      </c>
      <c r="FI273" s="59">
        <f t="shared" si="676"/>
        <v>-50</v>
      </c>
      <c r="FJ273">
        <f t="shared" si="677"/>
        <v>-50</v>
      </c>
      <c r="FL273">
        <f t="shared" si="760"/>
        <v>0.9174311926605504</v>
      </c>
    </row>
    <row r="274" spans="5:168">
      <c r="E274" s="147">
        <v>58</v>
      </c>
      <c r="F274" s="188">
        <f t="shared" si="761"/>
        <v>0.69599999999999995</v>
      </c>
      <c r="G274" s="188"/>
      <c r="H274" s="188">
        <f t="shared" si="726"/>
        <v>3.4799999999999995</v>
      </c>
      <c r="I274" s="465">
        <f t="shared" si="727"/>
        <v>59.961450612225214</v>
      </c>
      <c r="J274" s="149">
        <f t="shared" si="728"/>
        <v>5.4231296326648719</v>
      </c>
      <c r="K274" s="149">
        <f t="shared" si="729"/>
        <v>65.384580244890088</v>
      </c>
      <c r="L274" s="379"/>
      <c r="M274" s="188">
        <f t="shared" si="730"/>
        <v>8.2936831623008786E-2</v>
      </c>
      <c r="N274" s="149">
        <f t="shared" si="731"/>
        <v>12.805507788241011</v>
      </c>
      <c r="O274" s="149">
        <f t="shared" si="762"/>
        <v>3.4799999999999995</v>
      </c>
      <c r="P274" s="188">
        <f t="shared" si="732"/>
        <v>2.5611015576482021</v>
      </c>
      <c r="Q274" s="188">
        <f t="shared" si="733"/>
        <v>5</v>
      </c>
      <c r="R274" s="188"/>
      <c r="S274" s="149">
        <f t="shared" si="734"/>
        <v>155.57109893684625</v>
      </c>
      <c r="T274" s="149">
        <f t="shared" si="735"/>
        <v>5</v>
      </c>
      <c r="U274" s="188">
        <f t="shared" si="736"/>
        <v>1.5178888957709933</v>
      </c>
      <c r="V274" s="188">
        <f t="shared" si="737"/>
        <v>0.30377295017506178</v>
      </c>
      <c r="W274" s="188">
        <f t="shared" si="738"/>
        <v>3.3587002308667682</v>
      </c>
      <c r="X274" s="172">
        <f t="shared" si="739"/>
        <v>350</v>
      </c>
      <c r="Y274" s="379">
        <f t="shared" si="680"/>
        <v>258.90147403697148</v>
      </c>
      <c r="AA274" s="188">
        <f t="shared" si="740"/>
        <v>1.1841248255242909</v>
      </c>
      <c r="AB274" s="150">
        <f t="shared" si="741"/>
        <v>2.6201656365918522</v>
      </c>
      <c r="AC274" s="150">
        <f t="shared" si="742"/>
        <v>0.54295555602296208</v>
      </c>
      <c r="AD274" s="150"/>
      <c r="AE274" s="150">
        <f t="shared" si="743"/>
        <v>2.2127444506804679</v>
      </c>
      <c r="AF274" s="314">
        <f t="shared" si="744"/>
        <v>629.08303738912514</v>
      </c>
      <c r="AG274" s="456">
        <f t="shared" si="745"/>
        <v>0.38723027886908185</v>
      </c>
      <c r="AI274" s="150">
        <f t="shared" si="746"/>
        <v>1.3406640544245496</v>
      </c>
      <c r="AJ274" s="150">
        <f t="shared" si="747"/>
        <v>1.5178888957709933</v>
      </c>
      <c r="AK274" s="150">
        <f t="shared" si="748"/>
        <v>1.5836214042748098</v>
      </c>
      <c r="AM274" s="314">
        <f t="shared" si="749"/>
        <v>696</v>
      </c>
      <c r="AN274" s="144">
        <f t="shared" si="750"/>
        <v>258.90147403697148</v>
      </c>
      <c r="AP274">
        <f t="shared" si="751"/>
        <v>696</v>
      </c>
      <c r="AQ274">
        <f t="shared" si="752"/>
        <v>258.90147403697148</v>
      </c>
      <c r="AS274" s="5">
        <f t="shared" si="763"/>
        <v>3.86247318104183</v>
      </c>
      <c r="AT274" s="5">
        <f t="shared" si="753"/>
        <v>0.30377295017506178</v>
      </c>
      <c r="AU274" s="5">
        <f t="shared" si="722"/>
        <v>3.5587002308667683</v>
      </c>
      <c r="AV274" s="5"/>
      <c r="AW274" s="150">
        <f t="shared" si="723"/>
        <v>7.8647264572882986E-2</v>
      </c>
      <c r="AX274" s="150">
        <f t="shared" si="631"/>
        <v>3.5790333166017132</v>
      </c>
      <c r="AY274" s="150">
        <f t="shared" si="632"/>
        <v>0.69925554309652538</v>
      </c>
      <c r="AZ274" s="150">
        <f t="shared" si="633"/>
        <v>5.1183481517395171</v>
      </c>
      <c r="BA274" s="144">
        <f t="shared" si="724"/>
        <v>4.2285194664368593</v>
      </c>
      <c r="BB274" s="5">
        <f t="shared" si="725"/>
        <v>8.6057213127274546E-2</v>
      </c>
      <c r="BD274" s="150">
        <f t="shared" si="681"/>
        <v>0.2457656414553121</v>
      </c>
      <c r="BE274" s="150">
        <f t="shared" si="682"/>
        <v>0.8411865525048654</v>
      </c>
      <c r="BG274" s="456">
        <f t="shared" si="683"/>
        <v>1.2080150103988205E-3</v>
      </c>
      <c r="BH274" s="456">
        <f t="shared" si="754"/>
        <v>0.48178260885165008</v>
      </c>
      <c r="BI274" s="456">
        <f t="shared" si="755"/>
        <v>0.38810269872250436</v>
      </c>
      <c r="BJ274" s="456">
        <f t="shared" si="684"/>
        <v>0.11068409108402744</v>
      </c>
      <c r="BK274">
        <f t="shared" si="685"/>
        <v>2.6982652775501346E-2</v>
      </c>
      <c r="BL274" s="144">
        <f t="shared" si="686"/>
        <v>415.08535149800571</v>
      </c>
      <c r="BM274" s="456">
        <f t="shared" si="756"/>
        <v>0.59417142067447826</v>
      </c>
      <c r="BN274" s="144">
        <f t="shared" si="687"/>
        <v>594.17142067447821</v>
      </c>
      <c r="BO274" s="456">
        <f t="shared" si="637"/>
        <v>0.48719999999999991</v>
      </c>
      <c r="BR274" s="144">
        <f t="shared" si="688"/>
        <v>487.19999999999993</v>
      </c>
      <c r="BS274" s="456">
        <f t="shared" si="689"/>
        <v>1.8120225155982307E-3</v>
      </c>
      <c r="BT274" s="456">
        <f t="shared" si="690"/>
        <v>2.1227844483450622E-2</v>
      </c>
      <c r="BU274" s="456">
        <f t="shared" si="691"/>
        <v>0.15307570619210858</v>
      </c>
      <c r="BV274" s="456"/>
      <c r="BW274" s="456">
        <f t="shared" si="692"/>
        <v>5.9650555276695232E-4</v>
      </c>
      <c r="BX274" s="144">
        <f t="shared" si="693"/>
        <v>176.71207874392439</v>
      </c>
      <c r="BY274" s="150">
        <f t="shared" si="694"/>
        <v>1.6726721451880062</v>
      </c>
      <c r="BZ274" s="5">
        <f t="shared" si="695"/>
        <v>3.4799999999999995</v>
      </c>
      <c r="CA274" s="150">
        <f t="shared" si="696"/>
        <v>0.67537772672959862</v>
      </c>
      <c r="CB274" s="5">
        <f t="shared" si="697"/>
        <v>67.537772672959861</v>
      </c>
      <c r="CE274" s="59">
        <f t="shared" si="757"/>
        <v>-50</v>
      </c>
      <c r="CF274">
        <f t="shared" si="758"/>
        <v>-50</v>
      </c>
      <c r="CG274" s="150">
        <f t="shared" si="759"/>
        <v>0.90273807208844026</v>
      </c>
      <c r="CI274" s="147">
        <v>58</v>
      </c>
      <c r="CJ274" s="188">
        <f t="shared" si="698"/>
        <v>0.69599999999999995</v>
      </c>
      <c r="CK274" s="188"/>
      <c r="CL274" s="188">
        <f t="shared" si="641"/>
        <v>3.4799999999999995</v>
      </c>
      <c r="CM274" s="465">
        <f t="shared" si="642"/>
        <v>60</v>
      </c>
      <c r="CN274" s="379">
        <f t="shared" si="643"/>
        <v>5.4</v>
      </c>
      <c r="CO274" s="379">
        <f t="shared" si="644"/>
        <v>65.400000000000006</v>
      </c>
      <c r="CP274" s="379"/>
      <c r="CQ274" s="188">
        <f t="shared" si="645"/>
        <v>8.2568807339449546E-2</v>
      </c>
      <c r="CR274" s="149">
        <f t="shared" si="646"/>
        <v>12.756880733944957</v>
      </c>
      <c r="CS274" s="149">
        <f t="shared" si="647"/>
        <v>3.4799999999999995</v>
      </c>
      <c r="CT274" s="188">
        <f t="shared" si="648"/>
        <v>2.5513761467889915</v>
      </c>
      <c r="CU274" s="188">
        <f t="shared" si="649"/>
        <v>5</v>
      </c>
      <c r="CV274" s="188"/>
      <c r="CW274" s="149">
        <f t="shared" si="650"/>
        <v>155.67101752801582</v>
      </c>
      <c r="CX274" s="149">
        <f t="shared" si="651"/>
        <v>5</v>
      </c>
      <c r="CY274" s="188">
        <f t="shared" si="652"/>
        <v>1.4048888888888886</v>
      </c>
      <c r="CZ274" s="188">
        <f t="shared" si="653"/>
        <v>0.28097777777777772</v>
      </c>
      <c r="DA274" s="188">
        <f t="shared" si="654"/>
        <v>3.121975308641975</v>
      </c>
      <c r="DB274" s="172">
        <f t="shared" si="655"/>
        <v>350</v>
      </c>
      <c r="DC274" s="379">
        <f t="shared" si="656"/>
        <v>293.86241144220423</v>
      </c>
      <c r="DE274" s="188">
        <f t="shared" si="657"/>
        <v>1.179554390563565</v>
      </c>
      <c r="DF274" s="150">
        <f t="shared" si="658"/>
        <v>2.6212319790301444</v>
      </c>
      <c r="DG274" s="150">
        <f t="shared" si="659"/>
        <v>0.54107999567136011</v>
      </c>
      <c r="DH274" s="150"/>
      <c r="DI274" s="150">
        <f t="shared" si="660"/>
        <v>2.2222222222222219</v>
      </c>
      <c r="DJ274" s="314">
        <f t="shared" si="661"/>
        <v>626.4</v>
      </c>
      <c r="DK274" s="456">
        <f t="shared" si="662"/>
        <v>0.38888888888888884</v>
      </c>
      <c r="DM274" s="150">
        <f t="shared" si="663"/>
        <v>1.3378020353229718</v>
      </c>
      <c r="DN274" s="150">
        <f t="shared" si="664"/>
        <v>1.4048888888888886</v>
      </c>
      <c r="DO274" s="150">
        <f t="shared" si="665"/>
        <v>1.4999176954732507</v>
      </c>
      <c r="DQ274" s="314">
        <f t="shared" si="666"/>
        <v>696</v>
      </c>
      <c r="DR274" s="144">
        <f t="shared" si="667"/>
        <v>293.86241144220423</v>
      </c>
      <c r="DT274">
        <f t="shared" si="668"/>
        <v>696</v>
      </c>
      <c r="DU274">
        <f t="shared" si="669"/>
        <v>293.86241144220423</v>
      </c>
      <c r="DW274" s="5">
        <f t="shared" si="670"/>
        <v>3.4029530864197524</v>
      </c>
      <c r="DX274" s="5">
        <f t="shared" si="671"/>
        <v>0.28097777777777772</v>
      </c>
      <c r="DY274" s="5">
        <f t="shared" si="672"/>
        <v>3.1219753086419746</v>
      </c>
      <c r="DZ274" s="5"/>
      <c r="EA274" s="150">
        <f t="shared" si="673"/>
        <v>8.2568807339449546E-2</v>
      </c>
      <c r="EB274" s="150">
        <f t="shared" si="699"/>
        <v>3.48</v>
      </c>
      <c r="EC274" s="150">
        <f t="shared" si="700"/>
        <v>0.64444444444444438</v>
      </c>
      <c r="ED274" s="150">
        <f t="shared" si="701"/>
        <v>5.4</v>
      </c>
      <c r="EE274" s="144">
        <f t="shared" si="674"/>
        <v>3.9112106666666655</v>
      </c>
      <c r="EF274" s="5">
        <f t="shared" si="675"/>
        <v>7.5447736625514364E-2</v>
      </c>
      <c r="EH274" s="150">
        <f t="shared" si="702"/>
        <v>0.23307159923587933</v>
      </c>
      <c r="EI274" s="150">
        <f t="shared" si="703"/>
        <v>0.77690533078626456</v>
      </c>
      <c r="EK274" s="456">
        <f t="shared" si="704"/>
        <v>1.086447407407407E-3</v>
      </c>
      <c r="EL274" s="456">
        <f t="shared" si="705"/>
        <v>0.54</v>
      </c>
      <c r="EM274" s="456">
        <f t="shared" si="706"/>
        <v>3.6732801430275533E-2</v>
      </c>
      <c r="EN274" s="456">
        <f t="shared" si="707"/>
        <v>0.12568965517241384</v>
      </c>
      <c r="EO274">
        <f t="shared" si="708"/>
        <v>2.7E-2</v>
      </c>
      <c r="EP274" s="144">
        <f t="shared" si="709"/>
        <v>63.732801430275529</v>
      </c>
      <c r="EQ274" s="144"/>
      <c r="ER274" s="144">
        <f t="shared" si="710"/>
        <v>730.50890401009678</v>
      </c>
      <c r="ES274" s="456">
        <f t="shared" si="711"/>
        <v>0.48719999999999991</v>
      </c>
      <c r="EV274" s="144">
        <f t="shared" si="712"/>
        <v>487.19999999999993</v>
      </c>
      <c r="EW274" s="456">
        <f t="shared" si="713"/>
        <v>1.6296711111111104E-3</v>
      </c>
      <c r="EX274" s="456">
        <f t="shared" si="714"/>
        <v>1.8107456790123454E-2</v>
      </c>
      <c r="EY274" s="456">
        <f t="shared" si="715"/>
        <v>0.17315500288201649</v>
      </c>
      <c r="EZ274" s="456"/>
      <c r="FA274" s="456">
        <f t="shared" si="716"/>
        <v>5.8000000000000011E-4</v>
      </c>
      <c r="FB274" s="144">
        <f t="shared" si="717"/>
        <v>193.47213078325103</v>
      </c>
      <c r="FC274" s="150">
        <f t="shared" si="718"/>
        <v>1.4111810347933478</v>
      </c>
      <c r="FD274" s="5">
        <f t="shared" si="719"/>
        <v>3.4799999999999995</v>
      </c>
      <c r="FE274" s="150">
        <f t="shared" si="720"/>
        <v>0.71148460366628608</v>
      </c>
      <c r="FF274" s="5">
        <f t="shared" si="721"/>
        <v>71.148460366628612</v>
      </c>
      <c r="FI274" s="59">
        <f t="shared" si="676"/>
        <v>-50</v>
      </c>
      <c r="FJ274">
        <f t="shared" si="677"/>
        <v>-50</v>
      </c>
      <c r="FL274">
        <f t="shared" si="760"/>
        <v>0.91743119266055051</v>
      </c>
    </row>
    <row r="275" spans="5:168">
      <c r="E275" s="147">
        <v>59</v>
      </c>
      <c r="F275" s="188">
        <f t="shared" si="761"/>
        <v>0.70799999999999996</v>
      </c>
      <c r="G275" s="188"/>
      <c r="H275" s="188">
        <f t="shared" si="726"/>
        <v>3.54</v>
      </c>
      <c r="I275" s="465">
        <f t="shared" si="727"/>
        <v>59.960796782495358</v>
      </c>
      <c r="J275" s="149">
        <f t="shared" si="728"/>
        <v>5.4235219305027851</v>
      </c>
      <c r="K275" s="149">
        <f t="shared" si="729"/>
        <v>65.384318712998137</v>
      </c>
      <c r="L275" s="379"/>
      <c r="M275" s="188">
        <f t="shared" si="730"/>
        <v>8.2943164708784864E-2</v>
      </c>
      <c r="N275" s="149">
        <f t="shared" si="731"/>
        <v>12.806345977271263</v>
      </c>
      <c r="O275" s="149">
        <f t="shared" si="762"/>
        <v>3.54</v>
      </c>
      <c r="P275" s="188">
        <f t="shared" si="732"/>
        <v>2.5612691954542526</v>
      </c>
      <c r="Q275" s="188">
        <f t="shared" si="733"/>
        <v>5</v>
      </c>
      <c r="R275" s="188"/>
      <c r="S275" s="149">
        <f t="shared" si="734"/>
        <v>151.92263790553361</v>
      </c>
      <c r="T275" s="149">
        <f t="shared" si="735"/>
        <v>5</v>
      </c>
      <c r="U275" s="188">
        <f t="shared" si="736"/>
        <v>1.5440700570650494</v>
      </c>
      <c r="V275" s="188">
        <f t="shared" si="737"/>
        <v>0.30901591838402331</v>
      </c>
      <c r="W275" s="188">
        <f t="shared" si="738"/>
        <v>3.4163853160750262</v>
      </c>
      <c r="X275" s="172">
        <f t="shared" si="739"/>
        <v>350</v>
      </c>
      <c r="Y275" s="379">
        <f t="shared" si="680"/>
        <v>254.75102805326543</v>
      </c>
      <c r="AA275" s="188">
        <f t="shared" si="740"/>
        <v>1.1842023064965683</v>
      </c>
      <c r="AB275" s="150">
        <f t="shared" si="741"/>
        <v>2.6201475461981678</v>
      </c>
      <c r="AC275" s="150">
        <f t="shared" si="742"/>
        <v>0.54298733432460899</v>
      </c>
      <c r="AD275" s="150"/>
      <c r="AE275" s="150">
        <f t="shared" si="743"/>
        <v>2.2125843969598455</v>
      </c>
      <c r="AF275" s="314">
        <f t="shared" si="744"/>
        <v>639.97558779932854</v>
      </c>
      <c r="AG275" s="456">
        <f t="shared" si="745"/>
        <v>0.38720226946797298</v>
      </c>
      <c r="AI275" s="150">
        <f t="shared" si="746"/>
        <v>1.3522210172256062</v>
      </c>
      <c r="AJ275" s="150">
        <f t="shared" si="747"/>
        <v>1.5440700570650494</v>
      </c>
      <c r="AK275" s="150">
        <f t="shared" si="748"/>
        <v>1.6030148570852218</v>
      </c>
      <c r="AM275" s="314">
        <f t="shared" si="749"/>
        <v>708</v>
      </c>
      <c r="AN275" s="144">
        <f t="shared" si="750"/>
        <v>254.75102805326543</v>
      </c>
      <c r="AP275">
        <f t="shared" si="751"/>
        <v>708</v>
      </c>
      <c r="AQ275">
        <f t="shared" si="752"/>
        <v>254.75102805326543</v>
      </c>
      <c r="AS275" s="5">
        <f t="shared" si="763"/>
        <v>3.9254012344590494</v>
      </c>
      <c r="AT275" s="5">
        <f t="shared" si="753"/>
        <v>0.30901591838402331</v>
      </c>
      <c r="AU275" s="5">
        <f t="shared" si="722"/>
        <v>3.6163853160750259</v>
      </c>
      <c r="AV275" s="5"/>
      <c r="AW275" s="150">
        <f t="shared" si="723"/>
        <v>7.8722122893153904E-2</v>
      </c>
      <c r="AX275" s="150">
        <f t="shared" si="631"/>
        <v>3.6441915596229535</v>
      </c>
      <c r="AY275" s="150">
        <f t="shared" si="632"/>
        <v>0.71125879213856769</v>
      </c>
      <c r="AZ275" s="150">
        <f t="shared" si="633"/>
        <v>5.1235803337711019</v>
      </c>
      <c r="BA275" s="144">
        <f t="shared" si="724"/>
        <v>4.3756654043177701</v>
      </c>
      <c r="BB275" s="5">
        <f t="shared" si="725"/>
        <v>8.8960931599359458E-2</v>
      </c>
      <c r="BD275" s="150">
        <f t="shared" si="681"/>
        <v>0.25012365847984885</v>
      </c>
      <c r="BE275" s="150">
        <f t="shared" si="682"/>
        <v>0.8556609156145194</v>
      </c>
      <c r="BG275" s="456">
        <f t="shared" si="683"/>
        <v>1.2512368906268815E-3</v>
      </c>
      <c r="BH275" s="456">
        <f t="shared" si="754"/>
        <v>0.48223399356007735</v>
      </c>
      <c r="BI275" s="456">
        <f t="shared" si="755"/>
        <v>0.38187686558084055</v>
      </c>
      <c r="BJ275" s="456">
        <f t="shared" si="684"/>
        <v>0.10890884468150583</v>
      </c>
      <c r="BK275">
        <f t="shared" si="685"/>
        <v>2.6982358552122911E-2</v>
      </c>
      <c r="BL275" s="144">
        <f t="shared" si="686"/>
        <v>408.85922413296345</v>
      </c>
      <c r="BM275" s="456">
        <f t="shared" si="756"/>
        <v>0.59290817706821453</v>
      </c>
      <c r="BN275" s="144">
        <f t="shared" si="687"/>
        <v>592.90817706821451</v>
      </c>
      <c r="BO275" s="456">
        <f t="shared" si="637"/>
        <v>0.49559999999999993</v>
      </c>
      <c r="BR275" s="144">
        <f t="shared" si="688"/>
        <v>495.59999999999991</v>
      </c>
      <c r="BS275" s="456">
        <f t="shared" si="689"/>
        <v>1.876855335940322E-3</v>
      </c>
      <c r="BT275" s="456">
        <f t="shared" si="690"/>
        <v>2.1964668075308329E-2</v>
      </c>
      <c r="BU275" s="456">
        <f t="shared" si="691"/>
        <v>0.15343603611448361</v>
      </c>
      <c r="BV275" s="456"/>
      <c r="BW275" s="456">
        <f t="shared" si="692"/>
        <v>6.0736525993715894E-4</v>
      </c>
      <c r="BX275" s="144">
        <f t="shared" si="693"/>
        <v>177.88492478566943</v>
      </c>
      <c r="BY275" s="150">
        <f t="shared" si="694"/>
        <v>1.6747382240508426</v>
      </c>
      <c r="BZ275" s="5">
        <f t="shared" si="695"/>
        <v>3.54</v>
      </c>
      <c r="CA275" s="150">
        <f t="shared" si="696"/>
        <v>0.67884519757352368</v>
      </c>
      <c r="CB275" s="5">
        <f t="shared" si="697"/>
        <v>67.884519757352365</v>
      </c>
      <c r="CE275" s="59">
        <f t="shared" si="757"/>
        <v>-50</v>
      </c>
      <c r="CF275">
        <f t="shared" si="758"/>
        <v>-50</v>
      </c>
      <c r="CG275" s="150">
        <f t="shared" si="759"/>
        <v>0.90298710803034032</v>
      </c>
      <c r="CI275" s="147">
        <v>59</v>
      </c>
      <c r="CJ275" s="188">
        <f t="shared" si="698"/>
        <v>0.70799999999999996</v>
      </c>
      <c r="CK275" s="188"/>
      <c r="CL275" s="188">
        <f t="shared" si="641"/>
        <v>3.54</v>
      </c>
      <c r="CM275" s="465">
        <f t="shared" si="642"/>
        <v>60</v>
      </c>
      <c r="CN275" s="379">
        <f t="shared" si="643"/>
        <v>5.4</v>
      </c>
      <c r="CO275" s="379">
        <f t="shared" si="644"/>
        <v>65.400000000000006</v>
      </c>
      <c r="CP275" s="379"/>
      <c r="CQ275" s="188">
        <f t="shared" si="645"/>
        <v>8.2568807339449546E-2</v>
      </c>
      <c r="CR275" s="149">
        <f t="shared" si="646"/>
        <v>12.756880733944957</v>
      </c>
      <c r="CS275" s="149">
        <f t="shared" si="647"/>
        <v>3.54</v>
      </c>
      <c r="CT275" s="188">
        <f t="shared" si="648"/>
        <v>2.5513761467889915</v>
      </c>
      <c r="CU275" s="188">
        <f t="shared" si="649"/>
        <v>5</v>
      </c>
      <c r="CV275" s="188"/>
      <c r="CW275" s="149">
        <f t="shared" si="650"/>
        <v>152.02186450449611</v>
      </c>
      <c r="CX275" s="149">
        <f t="shared" si="651"/>
        <v>5</v>
      </c>
      <c r="CY275" s="188">
        <f t="shared" si="652"/>
        <v>1.429111111111111</v>
      </c>
      <c r="CZ275" s="188">
        <f t="shared" si="653"/>
        <v>0.2858222222222222</v>
      </c>
      <c r="DA275" s="188">
        <f t="shared" si="654"/>
        <v>3.1758024691358018</v>
      </c>
      <c r="DB275" s="172">
        <f t="shared" si="655"/>
        <v>350</v>
      </c>
      <c r="DC275" s="379">
        <f t="shared" si="656"/>
        <v>288.88169260420079</v>
      </c>
      <c r="DE275" s="188">
        <f t="shared" si="657"/>
        <v>1.179554390563565</v>
      </c>
      <c r="DF275" s="150">
        <f t="shared" si="658"/>
        <v>2.6212319790301444</v>
      </c>
      <c r="DG275" s="150">
        <f t="shared" si="659"/>
        <v>0.54107999567136011</v>
      </c>
      <c r="DH275" s="150"/>
      <c r="DI275" s="150">
        <f t="shared" si="660"/>
        <v>2.2222222222222219</v>
      </c>
      <c r="DJ275" s="314">
        <f t="shared" si="661"/>
        <v>637.20000000000005</v>
      </c>
      <c r="DK275" s="456">
        <f t="shared" si="662"/>
        <v>0.38888888888888884</v>
      </c>
      <c r="DM275" s="150">
        <f t="shared" si="663"/>
        <v>1.3492855252211924</v>
      </c>
      <c r="DN275" s="150">
        <f t="shared" si="664"/>
        <v>1.429111111111111</v>
      </c>
      <c r="DO275" s="150">
        <f t="shared" si="665"/>
        <v>1.5178600823045265</v>
      </c>
      <c r="DQ275" s="314">
        <f t="shared" si="666"/>
        <v>708</v>
      </c>
      <c r="DR275" s="144">
        <f t="shared" si="667"/>
        <v>288.88169260420079</v>
      </c>
      <c r="DT275">
        <f t="shared" si="668"/>
        <v>708</v>
      </c>
      <c r="DU275">
        <f t="shared" si="669"/>
        <v>288.88169260420079</v>
      </c>
      <c r="DW275" s="5">
        <f t="shared" si="670"/>
        <v>3.4616246913580238</v>
      </c>
      <c r="DX275" s="5">
        <f t="shared" si="671"/>
        <v>0.2858222222222222</v>
      </c>
      <c r="DY275" s="5">
        <f t="shared" si="672"/>
        <v>3.1758024691358013</v>
      </c>
      <c r="DZ275" s="5"/>
      <c r="EA275" s="150">
        <f t="shared" si="673"/>
        <v>8.256880733944956E-2</v>
      </c>
      <c r="EB275" s="150">
        <f t="shared" si="699"/>
        <v>3.5400000000000005</v>
      </c>
      <c r="EC275" s="150">
        <f t="shared" si="700"/>
        <v>0.65555555555555545</v>
      </c>
      <c r="ED275" s="150">
        <f t="shared" si="701"/>
        <v>5.4000000000000012</v>
      </c>
      <c r="EE275" s="144">
        <f t="shared" si="674"/>
        <v>4.0472426666666657</v>
      </c>
      <c r="EF275" s="5">
        <f t="shared" si="675"/>
        <v>7.8071810699588448E-2</v>
      </c>
      <c r="EH275" s="150">
        <f t="shared" si="702"/>
        <v>0.23709007508477384</v>
      </c>
      <c r="EI275" s="150">
        <f t="shared" si="703"/>
        <v>0.79030025028257944</v>
      </c>
      <c r="EK275" s="456">
        <f t="shared" si="704"/>
        <v>1.1242340740740739E-3</v>
      </c>
      <c r="EL275" s="456">
        <f t="shared" si="705"/>
        <v>0.54000000000000015</v>
      </c>
      <c r="EM275" s="456">
        <f t="shared" si="706"/>
        <v>3.6110211575525096E-2</v>
      </c>
      <c r="EN275" s="456">
        <f t="shared" si="707"/>
        <v>0.12355932203389836</v>
      </c>
      <c r="EO275">
        <f t="shared" si="708"/>
        <v>2.7E-2</v>
      </c>
      <c r="EP275" s="144">
        <f t="shared" si="709"/>
        <v>63.110211575525099</v>
      </c>
      <c r="EQ275" s="144"/>
      <c r="ER275" s="144">
        <f t="shared" si="710"/>
        <v>727.79376768349766</v>
      </c>
      <c r="ES275" s="456">
        <f t="shared" si="711"/>
        <v>0.49559999999999993</v>
      </c>
      <c r="EV275" s="144">
        <f t="shared" si="712"/>
        <v>495.59999999999991</v>
      </c>
      <c r="EW275" s="456">
        <f t="shared" si="713"/>
        <v>1.6863511111111108E-3</v>
      </c>
      <c r="EX275" s="456">
        <f t="shared" si="714"/>
        <v>1.8737234567901231E-2</v>
      </c>
      <c r="EY275" s="456">
        <f t="shared" si="715"/>
        <v>0.1731550028820163</v>
      </c>
      <c r="EZ275" s="456"/>
      <c r="FA275" s="456">
        <f t="shared" si="716"/>
        <v>5.9000000000000014E-4</v>
      </c>
      <c r="FB275" s="144">
        <f t="shared" si="717"/>
        <v>194.16858856102866</v>
      </c>
      <c r="FC275" s="150">
        <f t="shared" si="718"/>
        <v>1.4175623562445265</v>
      </c>
      <c r="FD275" s="5">
        <f t="shared" si="719"/>
        <v>3.54</v>
      </c>
      <c r="FE275" s="150">
        <f t="shared" si="720"/>
        <v>0.71406060995703458</v>
      </c>
      <c r="FF275" s="5">
        <f t="shared" si="721"/>
        <v>71.406060995703456</v>
      </c>
      <c r="FI275" s="59">
        <f t="shared" si="676"/>
        <v>-50</v>
      </c>
      <c r="FJ275">
        <f t="shared" si="677"/>
        <v>-50</v>
      </c>
      <c r="FL275">
        <f t="shared" si="760"/>
        <v>0.9174311926605504</v>
      </c>
    </row>
    <row r="276" spans="5:168">
      <c r="E276" s="147">
        <v>60</v>
      </c>
      <c r="F276" s="188">
        <f t="shared" si="761"/>
        <v>0.72</v>
      </c>
      <c r="G276" s="188"/>
      <c r="H276" s="188">
        <f t="shared" si="726"/>
        <v>3.5999999999999996</v>
      </c>
      <c r="I276" s="465">
        <f t="shared" si="727"/>
        <v>59.960142947000584</v>
      </c>
      <c r="J276" s="149">
        <f t="shared" si="728"/>
        <v>5.4239142317996505</v>
      </c>
      <c r="K276" s="149">
        <f t="shared" si="729"/>
        <v>65.384057178800234</v>
      </c>
      <c r="L276" s="379"/>
      <c r="M276" s="188">
        <f t="shared" si="730"/>
        <v>8.2949497852519011E-2</v>
      </c>
      <c r="N276" s="149">
        <f t="shared" si="731"/>
        <v>12.807184152693818</v>
      </c>
      <c r="O276" s="149">
        <f t="shared" si="762"/>
        <v>3.5999999999999996</v>
      </c>
      <c r="P276" s="188">
        <f t="shared" si="732"/>
        <v>2.5614368305387636</v>
      </c>
      <c r="Q276" s="188">
        <f t="shared" si="733"/>
        <v>5</v>
      </c>
      <c r="R276" s="188"/>
      <c r="S276" s="149">
        <f t="shared" si="734"/>
        <v>148.395985370007</v>
      </c>
      <c r="T276" s="149">
        <f t="shared" si="735"/>
        <v>5</v>
      </c>
      <c r="U276" s="188">
        <f t="shared" si="736"/>
        <v>1.5702515800688344</v>
      </c>
      <c r="V276" s="188">
        <f t="shared" si="737"/>
        <v>0.31425907335613856</v>
      </c>
      <c r="W276" s="188">
        <f t="shared" si="738"/>
        <v>3.4740628548939854</v>
      </c>
      <c r="X276" s="172">
        <f t="shared" si="739"/>
        <v>350</v>
      </c>
      <c r="Y276" s="379">
        <f t="shared" si="680"/>
        <v>250.73201662001992</v>
      </c>
      <c r="AA276" s="188">
        <f t="shared" si="740"/>
        <v>1.1842797869037749</v>
      </c>
      <c r="AB276" s="150">
        <f t="shared" si="741"/>
        <v>2.6201294555002548</v>
      </c>
      <c r="AC276" s="150">
        <f t="shared" si="742"/>
        <v>0.54301911181352547</v>
      </c>
      <c r="AD276" s="150"/>
      <c r="AE276" s="150">
        <f t="shared" si="743"/>
        <v>2.2124243649808615</v>
      </c>
      <c r="AF276" s="314">
        <f t="shared" si="744"/>
        <v>650.86970781595812</v>
      </c>
      <c r="AG276" s="456">
        <f t="shared" si="745"/>
        <v>0.38717426387165077</v>
      </c>
      <c r="AI276" s="150">
        <f t="shared" si="746"/>
        <v>1.3636816844912976</v>
      </c>
      <c r="AJ276" s="150">
        <f t="shared" si="747"/>
        <v>1.5702515800688344</v>
      </c>
      <c r="AK276" s="150">
        <f t="shared" si="748"/>
        <v>1.6224085778287662</v>
      </c>
      <c r="AM276" s="314">
        <f t="shared" si="749"/>
        <v>720</v>
      </c>
      <c r="AN276" s="144">
        <f t="shared" si="750"/>
        <v>250.73201662001992</v>
      </c>
      <c r="AP276">
        <f t="shared" si="751"/>
        <v>720</v>
      </c>
      <c r="AQ276">
        <f t="shared" si="752"/>
        <v>250.73201662001992</v>
      </c>
      <c r="AS276" s="5">
        <f t="shared" si="763"/>
        <v>3.9883219282501239</v>
      </c>
      <c r="AT276" s="5">
        <f t="shared" si="753"/>
        <v>0.31425907335613856</v>
      </c>
      <c r="AU276" s="5">
        <f t="shared" si="722"/>
        <v>3.6740628548939851</v>
      </c>
      <c r="AV276" s="5"/>
      <c r="AW276" s="150">
        <f t="shared" si="723"/>
        <v>7.8794811203723392E-2</v>
      </c>
      <c r="AX276" s="150">
        <f t="shared" si="631"/>
        <v>3.7093645935304309</v>
      </c>
      <c r="AY276" s="150">
        <f t="shared" si="632"/>
        <v>0.72326195163748119</v>
      </c>
      <c r="AZ276" s="150">
        <f t="shared" si="633"/>
        <v>5.1286599345262758</v>
      </c>
      <c r="BA276" s="144">
        <f t="shared" si="724"/>
        <v>4.5253306563283955</v>
      </c>
      <c r="BB276" s="5">
        <f t="shared" si="725"/>
        <v>9.1912627480096112E-2</v>
      </c>
      <c r="BD276" s="150">
        <f t="shared" si="681"/>
        <v>0.25448220630908802</v>
      </c>
      <c r="BE276" s="150">
        <f t="shared" si="682"/>
        <v>0.87013532371404678</v>
      </c>
      <c r="BG276" s="456">
        <f t="shared" si="683"/>
        <v>1.2952238665588248E-3</v>
      </c>
      <c r="BH276" s="456">
        <f t="shared" si="754"/>
        <v>0.48267207178550275</v>
      </c>
      <c r="BI276" s="456">
        <f t="shared" si="755"/>
        <v>0.37584818894815297</v>
      </c>
      <c r="BJ276" s="456">
        <f t="shared" si="684"/>
        <v>0.10718981591930588</v>
      </c>
      <c r="BK276">
        <f t="shared" si="685"/>
        <v>2.6982064326150263E-2</v>
      </c>
      <c r="BL276" s="144">
        <f t="shared" si="686"/>
        <v>402.83025327430323</v>
      </c>
      <c r="BM276" s="456">
        <f t="shared" si="756"/>
        <v>0.5916889114322188</v>
      </c>
      <c r="BN276" s="144">
        <f t="shared" si="687"/>
        <v>591.68891143221879</v>
      </c>
      <c r="BO276" s="456">
        <f t="shared" si="637"/>
        <v>0.504</v>
      </c>
      <c r="BR276" s="144">
        <f t="shared" si="688"/>
        <v>504</v>
      </c>
      <c r="BS276" s="456">
        <f t="shared" si="689"/>
        <v>1.9428357998382371E-3</v>
      </c>
      <c r="BT276" s="456">
        <f t="shared" si="690"/>
        <v>2.271406444724847E-2</v>
      </c>
      <c r="BU276" s="456">
        <f t="shared" si="691"/>
        <v>0.15378627806368728</v>
      </c>
      <c r="BV276" s="456"/>
      <c r="BW276" s="456">
        <f t="shared" si="692"/>
        <v>6.1822743225507185E-4</v>
      </c>
      <c r="BX276" s="144">
        <f t="shared" si="693"/>
        <v>179.06140574302907</v>
      </c>
      <c r="BY276" s="150">
        <f t="shared" si="694"/>
        <v>1.6770487705887001</v>
      </c>
      <c r="BZ276" s="5">
        <f t="shared" si="695"/>
        <v>3.5999999999999996</v>
      </c>
      <c r="CA276" s="150">
        <f t="shared" si="696"/>
        <v>0.68219949378985734</v>
      </c>
      <c r="CB276" s="5">
        <f t="shared" si="697"/>
        <v>68.219949378985731</v>
      </c>
      <c r="CE276" s="59">
        <f t="shared" si="757"/>
        <v>-50</v>
      </c>
      <c r="CF276">
        <f t="shared" si="758"/>
        <v>-50</v>
      </c>
      <c r="CG276" s="150">
        <f t="shared" si="759"/>
        <v>0.90322784277417734</v>
      </c>
      <c r="CI276" s="147">
        <v>60</v>
      </c>
      <c r="CJ276" s="188">
        <f t="shared" si="698"/>
        <v>0.72</v>
      </c>
      <c r="CK276" s="188"/>
      <c r="CL276" s="188">
        <f t="shared" si="641"/>
        <v>3.5999999999999996</v>
      </c>
      <c r="CM276" s="465">
        <f t="shared" si="642"/>
        <v>60</v>
      </c>
      <c r="CN276" s="379">
        <f t="shared" si="643"/>
        <v>5.4</v>
      </c>
      <c r="CO276" s="379">
        <f t="shared" si="644"/>
        <v>65.400000000000006</v>
      </c>
      <c r="CP276" s="379"/>
      <c r="CQ276" s="188">
        <f t="shared" si="645"/>
        <v>8.2568807339449546E-2</v>
      </c>
      <c r="CR276" s="149">
        <f t="shared" si="646"/>
        <v>12.756880733944957</v>
      </c>
      <c r="CS276" s="149">
        <f t="shared" si="647"/>
        <v>3.5999999999999996</v>
      </c>
      <c r="CT276" s="188">
        <f t="shared" si="648"/>
        <v>2.5513761467889915</v>
      </c>
      <c r="CU276" s="188">
        <f t="shared" si="649"/>
        <v>5</v>
      </c>
      <c r="CV276" s="188"/>
      <c r="CW276" s="149">
        <f t="shared" si="650"/>
        <v>148.49452126554209</v>
      </c>
      <c r="CX276" s="149">
        <f t="shared" si="651"/>
        <v>5</v>
      </c>
      <c r="CY276" s="188">
        <f t="shared" si="652"/>
        <v>1.4533333333333331</v>
      </c>
      <c r="CZ276" s="188">
        <f t="shared" si="653"/>
        <v>0.29066666666666668</v>
      </c>
      <c r="DA276" s="188">
        <f t="shared" si="654"/>
        <v>3.2296296296296294</v>
      </c>
      <c r="DB276" s="172">
        <f t="shared" si="655"/>
        <v>350</v>
      </c>
      <c r="DC276" s="379">
        <f t="shared" si="656"/>
        <v>284.06699772746401</v>
      </c>
      <c r="DE276" s="188">
        <f t="shared" si="657"/>
        <v>1.179554390563565</v>
      </c>
      <c r="DF276" s="150">
        <f t="shared" si="658"/>
        <v>2.6212319790301444</v>
      </c>
      <c r="DG276" s="150">
        <f t="shared" si="659"/>
        <v>0.54107999567136011</v>
      </c>
      <c r="DH276" s="150"/>
      <c r="DI276" s="150">
        <f t="shared" si="660"/>
        <v>2.2222222222222219</v>
      </c>
      <c r="DJ276" s="314">
        <f t="shared" si="661"/>
        <v>648</v>
      </c>
      <c r="DK276" s="456">
        <f t="shared" si="662"/>
        <v>0.38888888888888884</v>
      </c>
      <c r="DM276" s="150">
        <f t="shared" si="663"/>
        <v>1.360672102833218</v>
      </c>
      <c r="DN276" s="150">
        <f t="shared" si="664"/>
        <v>1.4533333333333331</v>
      </c>
      <c r="DO276" s="150">
        <f t="shared" si="665"/>
        <v>1.5358024691358023</v>
      </c>
      <c r="DQ276" s="314">
        <f t="shared" si="666"/>
        <v>720</v>
      </c>
      <c r="DR276" s="144">
        <f t="shared" si="667"/>
        <v>284.06699772746401</v>
      </c>
      <c r="DT276">
        <f t="shared" si="668"/>
        <v>720</v>
      </c>
      <c r="DU276">
        <f t="shared" si="669"/>
        <v>284.06699772746401</v>
      </c>
      <c r="DW276" s="5">
        <f t="shared" si="670"/>
        <v>3.5202962962962965</v>
      </c>
      <c r="DX276" s="5">
        <f t="shared" si="671"/>
        <v>0.29066666666666668</v>
      </c>
      <c r="DY276" s="5">
        <f t="shared" si="672"/>
        <v>3.2296296296296299</v>
      </c>
      <c r="DZ276" s="5"/>
      <c r="EA276" s="150">
        <f t="shared" si="673"/>
        <v>8.2568807339449546E-2</v>
      </c>
      <c r="EB276" s="150">
        <f t="shared" si="699"/>
        <v>3.5999999999999992</v>
      </c>
      <c r="EC276" s="150">
        <f t="shared" si="700"/>
        <v>0.66666666666666663</v>
      </c>
      <c r="ED276" s="150">
        <f t="shared" si="701"/>
        <v>5.3999999999999995</v>
      </c>
      <c r="EE276" s="144">
        <f t="shared" si="674"/>
        <v>4.1856</v>
      </c>
      <c r="EF276" s="5">
        <f t="shared" si="675"/>
        <v>8.0740740740740724E-2</v>
      </c>
      <c r="EH276" s="150">
        <f t="shared" si="702"/>
        <v>0.24110855093366829</v>
      </c>
      <c r="EI276" s="150">
        <f t="shared" si="703"/>
        <v>0.80369516977889444</v>
      </c>
      <c r="EK276" s="456">
        <f t="shared" si="704"/>
        <v>1.1626666666666662E-3</v>
      </c>
      <c r="EL276" s="456">
        <f t="shared" si="705"/>
        <v>0.54</v>
      </c>
      <c r="EM276" s="456">
        <f t="shared" si="706"/>
        <v>3.5508374715932996E-2</v>
      </c>
      <c r="EN276" s="456">
        <f t="shared" si="707"/>
        <v>0.12150000000000001</v>
      </c>
      <c r="EO276">
        <f t="shared" si="708"/>
        <v>2.7E-2</v>
      </c>
      <c r="EP276" s="144">
        <f t="shared" si="709"/>
        <v>62.508374715933002</v>
      </c>
      <c r="EQ276" s="144"/>
      <c r="ER276" s="144">
        <f t="shared" si="710"/>
        <v>725.17104138259981</v>
      </c>
      <c r="ES276" s="456">
        <f t="shared" si="711"/>
        <v>0.504</v>
      </c>
      <c r="EV276" s="144">
        <f t="shared" si="712"/>
        <v>504</v>
      </c>
      <c r="EW276" s="456">
        <f t="shared" si="713"/>
        <v>1.7439999999999995E-3</v>
      </c>
      <c r="EX276" s="456">
        <f t="shared" si="714"/>
        <v>1.9377777777777775E-2</v>
      </c>
      <c r="EY276" s="456">
        <f t="shared" si="715"/>
        <v>0.17315500288201605</v>
      </c>
      <c r="EZ276" s="456"/>
      <c r="FA276" s="456">
        <f t="shared" si="716"/>
        <v>5.9999999999999984E-4</v>
      </c>
      <c r="FB276" s="144">
        <f t="shared" si="717"/>
        <v>194.87678065979381</v>
      </c>
      <c r="FC276" s="150">
        <f t="shared" si="718"/>
        <v>1.4240478220423936</v>
      </c>
      <c r="FD276" s="5">
        <f t="shared" si="719"/>
        <v>3.5999999999999996</v>
      </c>
      <c r="FE276" s="150">
        <f t="shared" si="720"/>
        <v>0.71655368888119297</v>
      </c>
      <c r="FF276" s="5">
        <f t="shared" si="721"/>
        <v>71.655368888119298</v>
      </c>
      <c r="FI276" s="59">
        <f t="shared" si="676"/>
        <v>-50</v>
      </c>
      <c r="FJ276">
        <f t="shared" si="677"/>
        <v>-50</v>
      </c>
      <c r="FL276">
        <f t="shared" si="760"/>
        <v>0.91743119266055051</v>
      </c>
    </row>
    <row r="277" spans="5:168">
      <c r="E277" s="147">
        <v>61</v>
      </c>
      <c r="F277" s="188">
        <f t="shared" si="761"/>
        <v>0.73199999999999998</v>
      </c>
      <c r="G277" s="188"/>
      <c r="H277" s="188">
        <f t="shared" si="726"/>
        <v>3.66</v>
      </c>
      <c r="I277" s="465">
        <f t="shared" si="727"/>
        <v>59.959489106028791</v>
      </c>
      <c r="J277" s="149">
        <f t="shared" si="728"/>
        <v>5.4243065363827272</v>
      </c>
      <c r="K277" s="149">
        <f t="shared" si="729"/>
        <v>65.383795642411513</v>
      </c>
      <c r="L277" s="379"/>
      <c r="M277" s="188">
        <f t="shared" si="730"/>
        <v>8.2955831053848308E-2</v>
      </c>
      <c r="N277" s="149">
        <f t="shared" si="731"/>
        <v>12.808022314513567</v>
      </c>
      <c r="O277" s="149">
        <f t="shared" si="762"/>
        <v>3.66</v>
      </c>
      <c r="P277" s="188">
        <f t="shared" si="732"/>
        <v>2.5616044629027135</v>
      </c>
      <c r="Q277" s="188">
        <f t="shared" si="733"/>
        <v>5</v>
      </c>
      <c r="R277" s="188"/>
      <c r="S277" s="149">
        <f t="shared" si="734"/>
        <v>144.98515409779904</v>
      </c>
      <c r="T277" s="149">
        <f t="shared" si="735"/>
        <v>5</v>
      </c>
      <c r="U277" s="188">
        <f t="shared" si="736"/>
        <v>1.5964334647941751</v>
      </c>
      <c r="V277" s="188">
        <f t="shared" si="737"/>
        <v>0.31950241509986266</v>
      </c>
      <c r="W277" s="188">
        <f t="shared" si="738"/>
        <v>3.5317328489892725</v>
      </c>
      <c r="X277" s="172">
        <f t="shared" si="739"/>
        <v>350</v>
      </c>
      <c r="Y277" s="379">
        <f t="shared" si="680"/>
        <v>246.83829370863168</v>
      </c>
      <c r="AA277" s="188">
        <f t="shared" si="740"/>
        <v>1.1843572667117468</v>
      </c>
      <c r="AB277" s="150">
        <f t="shared" si="741"/>
        <v>2.6201113645060738</v>
      </c>
      <c r="AC277" s="150">
        <f t="shared" si="742"/>
        <v>0.54305088847568983</v>
      </c>
      <c r="AD277" s="150"/>
      <c r="AE277" s="150">
        <f t="shared" si="743"/>
        <v>2.2122643548095575</v>
      </c>
      <c r="AF277" s="314">
        <f t="shared" si="744"/>
        <v>661.76539743869262</v>
      </c>
      <c r="AG277" s="456">
        <f t="shared" si="745"/>
        <v>0.38714626209167258</v>
      </c>
      <c r="AI277" s="150">
        <f t="shared" si="746"/>
        <v>1.3750484640172742</v>
      </c>
      <c r="AJ277" s="150">
        <f t="shared" si="747"/>
        <v>1.5964334647941751</v>
      </c>
      <c r="AK277" s="150">
        <f t="shared" si="748"/>
        <v>1.6418025665142038</v>
      </c>
      <c r="AM277" s="314">
        <f t="shared" si="749"/>
        <v>732</v>
      </c>
      <c r="AN277" s="144">
        <f t="shared" si="750"/>
        <v>246.83829370863168</v>
      </c>
      <c r="AP277">
        <f t="shared" si="751"/>
        <v>732</v>
      </c>
      <c r="AQ277">
        <f t="shared" si="752"/>
        <v>246.83829370863168</v>
      </c>
      <c r="AS277" s="5">
        <f t="shared" si="763"/>
        <v>4.0512352640891356</v>
      </c>
      <c r="AT277" s="5">
        <f t="shared" si="753"/>
        <v>0.31950241509986266</v>
      </c>
      <c r="AU277" s="5">
        <f t="shared" si="722"/>
        <v>3.7317328489892727</v>
      </c>
      <c r="AV277" s="5"/>
      <c r="AW277" s="150">
        <f t="shared" si="723"/>
        <v>7.8865430979037046E-2</v>
      </c>
      <c r="AX277" s="150">
        <f t="shared" si="631"/>
        <v>3.7745521669985056</v>
      </c>
      <c r="AY277" s="150">
        <f t="shared" si="632"/>
        <v>0.73526502578191255</v>
      </c>
      <c r="AZ277" s="150">
        <f t="shared" si="633"/>
        <v>5.1335940574413748</v>
      </c>
      <c r="BA277" s="144">
        <f t="shared" si="724"/>
        <v>4.6775153570619894</v>
      </c>
      <c r="BB277" s="5">
        <f t="shared" si="725"/>
        <v>9.4912292942409909E-2</v>
      </c>
      <c r="BD277" s="150">
        <f t="shared" si="681"/>
        <v>0.25884127840096677</v>
      </c>
      <c r="BE277" s="150">
        <f t="shared" si="682"/>
        <v>0.88460977937581686</v>
      </c>
      <c r="BG277" s="456">
        <f t="shared" si="683"/>
        <v>1.3399761480849357E-3</v>
      </c>
      <c r="BH277" s="456">
        <f t="shared" si="754"/>
        <v>0.48309746571647472</v>
      </c>
      <c r="BI277" s="456">
        <f t="shared" si="755"/>
        <v>0.3700074495643359</v>
      </c>
      <c r="BJ277" s="456">
        <f t="shared" si="684"/>
        <v>0.10552437599720131</v>
      </c>
      <c r="BK277">
        <f t="shared" si="685"/>
        <v>2.6981770097712954E-2</v>
      </c>
      <c r="BL277" s="144">
        <f t="shared" si="686"/>
        <v>396.98921966204887</v>
      </c>
      <c r="BM277" s="456">
        <f t="shared" si="756"/>
        <v>0.5905116175260221</v>
      </c>
      <c r="BN277" s="144">
        <f t="shared" si="687"/>
        <v>590.51161752602206</v>
      </c>
      <c r="BO277" s="456">
        <f t="shared" si="637"/>
        <v>0.51239999999999997</v>
      </c>
      <c r="BR277" s="144">
        <f t="shared" si="688"/>
        <v>512.4</v>
      </c>
      <c r="BS277" s="456">
        <f t="shared" si="689"/>
        <v>2.0099642221274032E-3</v>
      </c>
      <c r="BT277" s="456">
        <f t="shared" si="690"/>
        <v>2.3476033853019943E-2</v>
      </c>
      <c r="BU277" s="456">
        <f t="shared" si="691"/>
        <v>0.15412688492784019</v>
      </c>
      <c r="BV277" s="456"/>
      <c r="BW277" s="456">
        <f t="shared" si="692"/>
        <v>6.290920278330844E-4</v>
      </c>
      <c r="BX277" s="144">
        <f t="shared" si="693"/>
        <v>180.24197503082061</v>
      </c>
      <c r="BY277" s="150">
        <f t="shared" si="694"/>
        <v>1.6795930125546303</v>
      </c>
      <c r="BZ277" s="5">
        <f t="shared" si="695"/>
        <v>3.66</v>
      </c>
      <c r="CA277" s="150">
        <f t="shared" si="696"/>
        <v>0.68544549957168743</v>
      </c>
      <c r="CB277" s="5">
        <f t="shared" si="697"/>
        <v>68.544549957168741</v>
      </c>
      <c r="CE277" s="59">
        <f t="shared" si="757"/>
        <v>-50</v>
      </c>
      <c r="CF277">
        <f t="shared" si="758"/>
        <v>-50</v>
      </c>
      <c r="CG277" s="150">
        <f t="shared" si="759"/>
        <v>0.90346068457559314</v>
      </c>
      <c r="CI277" s="147">
        <v>61</v>
      </c>
      <c r="CJ277" s="188">
        <f t="shared" si="698"/>
        <v>0.73199999999999998</v>
      </c>
      <c r="CK277" s="188"/>
      <c r="CL277" s="188">
        <f t="shared" si="641"/>
        <v>3.66</v>
      </c>
      <c r="CM277" s="465">
        <f t="shared" si="642"/>
        <v>60</v>
      </c>
      <c r="CN277" s="379">
        <f t="shared" si="643"/>
        <v>5.4</v>
      </c>
      <c r="CO277" s="379">
        <f t="shared" si="644"/>
        <v>65.400000000000006</v>
      </c>
      <c r="CP277" s="379"/>
      <c r="CQ277" s="188">
        <f t="shared" si="645"/>
        <v>8.2568807339449546E-2</v>
      </c>
      <c r="CR277" s="149">
        <f t="shared" si="646"/>
        <v>12.756880733944957</v>
      </c>
      <c r="CS277" s="149">
        <f t="shared" si="647"/>
        <v>3.66</v>
      </c>
      <c r="CT277" s="188">
        <f t="shared" si="648"/>
        <v>2.5513761467889915</v>
      </c>
      <c r="CU277" s="188">
        <f t="shared" si="649"/>
        <v>5</v>
      </c>
      <c r="CV277" s="188"/>
      <c r="CW277" s="149">
        <f t="shared" si="650"/>
        <v>145.08300051449004</v>
      </c>
      <c r="CX277" s="149">
        <f t="shared" si="651"/>
        <v>5</v>
      </c>
      <c r="CY277" s="188">
        <f t="shared" si="652"/>
        <v>1.4775555555555555</v>
      </c>
      <c r="CZ277" s="188">
        <f t="shared" si="653"/>
        <v>0.29551111111111111</v>
      </c>
      <c r="DA277" s="188">
        <f t="shared" si="654"/>
        <v>3.2834567901234566</v>
      </c>
      <c r="DB277" s="172">
        <f t="shared" si="655"/>
        <v>350</v>
      </c>
      <c r="DC277" s="379">
        <f t="shared" si="656"/>
        <v>279.41016169914496</v>
      </c>
      <c r="DE277" s="188">
        <f t="shared" si="657"/>
        <v>1.179554390563565</v>
      </c>
      <c r="DF277" s="150">
        <f t="shared" si="658"/>
        <v>2.6212319790301444</v>
      </c>
      <c r="DG277" s="150">
        <f t="shared" si="659"/>
        <v>0.54107999567136011</v>
      </c>
      <c r="DH277" s="150"/>
      <c r="DI277" s="150">
        <f t="shared" si="660"/>
        <v>2.2222222222222219</v>
      </c>
      <c r="DJ277" s="314">
        <f t="shared" si="661"/>
        <v>658.8</v>
      </c>
      <c r="DK277" s="456">
        <f t="shared" si="662"/>
        <v>0.38888888888888884</v>
      </c>
      <c r="DM277" s="150">
        <f t="shared" si="663"/>
        <v>1.3719641811234411</v>
      </c>
      <c r="DN277" s="150">
        <f t="shared" si="664"/>
        <v>1.4775555555555555</v>
      </c>
      <c r="DO277" s="150">
        <f t="shared" si="665"/>
        <v>1.5537448559670781</v>
      </c>
      <c r="DQ277" s="314">
        <f t="shared" si="666"/>
        <v>732</v>
      </c>
      <c r="DR277" s="144">
        <f t="shared" si="667"/>
        <v>279.41016169914496</v>
      </c>
      <c r="DT277">
        <f t="shared" si="668"/>
        <v>732</v>
      </c>
      <c r="DU277">
        <f t="shared" si="669"/>
        <v>279.41016169914496</v>
      </c>
      <c r="DW277" s="5">
        <f t="shared" si="670"/>
        <v>3.5789679012345674</v>
      </c>
      <c r="DX277" s="5">
        <f t="shared" si="671"/>
        <v>0.29551111111111111</v>
      </c>
      <c r="DY277" s="5">
        <f t="shared" si="672"/>
        <v>3.2834567901234561</v>
      </c>
      <c r="DZ277" s="5"/>
      <c r="EA277" s="150">
        <f t="shared" si="673"/>
        <v>8.256880733944956E-2</v>
      </c>
      <c r="EB277" s="150">
        <f t="shared" si="699"/>
        <v>3.6599999999999997</v>
      </c>
      <c r="EC277" s="150">
        <f t="shared" si="700"/>
        <v>0.6777777777777777</v>
      </c>
      <c r="ED277" s="150">
        <f t="shared" si="701"/>
        <v>5.4</v>
      </c>
      <c r="EE277" s="144">
        <f t="shared" si="674"/>
        <v>4.3262826666666658</v>
      </c>
      <c r="EF277" s="5">
        <f t="shared" si="675"/>
        <v>8.3454526748971164E-2</v>
      </c>
      <c r="EH277" s="150">
        <f t="shared" si="702"/>
        <v>0.24512702678256279</v>
      </c>
      <c r="EI277" s="150">
        <f t="shared" si="703"/>
        <v>0.81709008927520921</v>
      </c>
      <c r="EK277" s="456">
        <f t="shared" si="704"/>
        <v>1.2017451851851853E-3</v>
      </c>
      <c r="EL277" s="456">
        <f t="shared" si="705"/>
        <v>0.54</v>
      </c>
      <c r="EM277" s="456">
        <f t="shared" si="706"/>
        <v>3.4926270212393119E-2</v>
      </c>
      <c r="EN277" s="456">
        <f t="shared" si="707"/>
        <v>0.11950819672131151</v>
      </c>
      <c r="EO277">
        <f t="shared" si="708"/>
        <v>2.7E-2</v>
      </c>
      <c r="EP277" s="144">
        <f t="shared" si="709"/>
        <v>61.926270212393121</v>
      </c>
      <c r="EQ277" s="144"/>
      <c r="ER277" s="144">
        <f t="shared" si="710"/>
        <v>722.63621211888994</v>
      </c>
      <c r="ES277" s="456">
        <f t="shared" si="711"/>
        <v>0.51239999999999997</v>
      </c>
      <c r="EV277" s="144">
        <f t="shared" si="712"/>
        <v>512.4</v>
      </c>
      <c r="EW277" s="456">
        <f t="shared" si="713"/>
        <v>1.8026177777777776E-3</v>
      </c>
      <c r="EX277" s="456">
        <f t="shared" si="714"/>
        <v>2.0029086419753078E-2</v>
      </c>
      <c r="EY277" s="456">
        <f t="shared" si="715"/>
        <v>0.17315500288201641</v>
      </c>
      <c r="EZ277" s="456"/>
      <c r="FA277" s="456">
        <f t="shared" si="716"/>
        <v>6.1000000000000008E-4</v>
      </c>
      <c r="FB277" s="144">
        <f t="shared" si="717"/>
        <v>195.59670707954726</v>
      </c>
      <c r="FC277" s="150">
        <f t="shared" si="718"/>
        <v>1.430632919198437</v>
      </c>
      <c r="FD277" s="5">
        <f t="shared" si="719"/>
        <v>3.66</v>
      </c>
      <c r="FE277" s="150">
        <f t="shared" si="720"/>
        <v>0.71896757399201694</v>
      </c>
      <c r="FF277" s="5">
        <f t="shared" si="721"/>
        <v>71.89675739920169</v>
      </c>
      <c r="FI277" s="59">
        <f t="shared" si="676"/>
        <v>-50</v>
      </c>
      <c r="FJ277">
        <f t="shared" si="677"/>
        <v>-50</v>
      </c>
      <c r="FL277">
        <f t="shared" si="760"/>
        <v>0.9174311926605504</v>
      </c>
    </row>
    <row r="278" spans="5:168">
      <c r="E278" s="147">
        <v>62</v>
      </c>
      <c r="F278" s="188">
        <f t="shared" si="761"/>
        <v>0.74399999999999999</v>
      </c>
      <c r="G278" s="188"/>
      <c r="H278" s="188">
        <f t="shared" si="726"/>
        <v>3.7199999999999998</v>
      </c>
      <c r="I278" s="465">
        <f t="shared" si="727"/>
        <v>59.958835259849025</v>
      </c>
      <c r="J278" s="149">
        <f t="shared" si="728"/>
        <v>5.4246988440905852</v>
      </c>
      <c r="K278" s="149">
        <f t="shared" si="729"/>
        <v>65.38353410393961</v>
      </c>
      <c r="L278" s="379"/>
      <c r="M278" s="188">
        <f t="shared" si="730"/>
        <v>8.2962164312433639E-2</v>
      </c>
      <c r="N278" s="149">
        <f t="shared" si="731"/>
        <v>12.808860462735067</v>
      </c>
      <c r="O278" s="149">
        <f t="shared" si="762"/>
        <v>3.7199999999999998</v>
      </c>
      <c r="P278" s="188">
        <f t="shared" si="732"/>
        <v>2.5617720925470135</v>
      </c>
      <c r="Q278" s="188">
        <f t="shared" si="733"/>
        <v>5</v>
      </c>
      <c r="R278" s="188"/>
      <c r="S278" s="149">
        <f t="shared" si="734"/>
        <v>141.68454321606197</v>
      </c>
      <c r="T278" s="149">
        <f t="shared" si="735"/>
        <v>5</v>
      </c>
      <c r="U278" s="188">
        <f t="shared" si="736"/>
        <v>1.6226157112528996</v>
      </c>
      <c r="V278" s="188">
        <f t="shared" si="737"/>
        <v>0.32474594362365244</v>
      </c>
      <c r="W278" s="188">
        <f t="shared" si="738"/>
        <v>3.589395300025922</v>
      </c>
      <c r="X278" s="172">
        <f t="shared" si="739"/>
        <v>350</v>
      </c>
      <c r="Y278" s="379">
        <f t="shared" si="680"/>
        <v>243.06409060300504</v>
      </c>
      <c r="AA278" s="188">
        <f t="shared" si="740"/>
        <v>1.1844347458885558</v>
      </c>
      <c r="AB278" s="150">
        <f t="shared" si="741"/>
        <v>2.6200932732230635</v>
      </c>
      <c r="AC278" s="150">
        <f t="shared" si="742"/>
        <v>0.5430826642979979</v>
      </c>
      <c r="AD278" s="150"/>
      <c r="AE278" s="150">
        <f t="shared" si="743"/>
        <v>2.212104366507321</v>
      </c>
      <c r="AF278" s="314">
        <f t="shared" si="744"/>
        <v>672.66265666723257</v>
      </c>
      <c r="AG278" s="456">
        <f t="shared" si="745"/>
        <v>0.38711826413878114</v>
      </c>
      <c r="AI278" s="150">
        <f t="shared" si="746"/>
        <v>1.386323665225232</v>
      </c>
      <c r="AJ278" s="150">
        <f t="shared" si="747"/>
        <v>1.6226157112528996</v>
      </c>
      <c r="AK278" s="150">
        <f t="shared" si="748"/>
        <v>1.661196823150296</v>
      </c>
      <c r="AM278" s="314">
        <f t="shared" si="749"/>
        <v>744</v>
      </c>
      <c r="AN278" s="144">
        <f t="shared" si="750"/>
        <v>243.06409060300504</v>
      </c>
      <c r="AP278">
        <f t="shared" si="751"/>
        <v>744</v>
      </c>
      <c r="AQ278">
        <f t="shared" si="752"/>
        <v>243.06409060300504</v>
      </c>
      <c r="AS278" s="5">
        <f t="shared" si="763"/>
        <v>4.1141412436495743</v>
      </c>
      <c r="AT278" s="5">
        <f t="shared" si="753"/>
        <v>0.32474594362365244</v>
      </c>
      <c r="AU278" s="5">
        <f t="shared" si="722"/>
        <v>3.7893953000259217</v>
      </c>
      <c r="AV278" s="5"/>
      <c r="AW278" s="150">
        <f t="shared" si="723"/>
        <v>7.8934077463897828E-2</v>
      </c>
      <c r="AX278" s="150">
        <f t="shared" si="631"/>
        <v>3.8397540441307383</v>
      </c>
      <c r="AY278" s="150">
        <f t="shared" si="632"/>
        <v>0.74726801850336277</v>
      </c>
      <c r="AZ278" s="150">
        <f t="shared" si="633"/>
        <v>5.1383893717558573</v>
      </c>
      <c r="BA278" s="144">
        <f t="shared" si="724"/>
        <v>4.8322196411199485</v>
      </c>
      <c r="BB278" s="5">
        <f t="shared" si="725"/>
        <v>9.7959920161647368E-2</v>
      </c>
      <c r="BD278" s="150">
        <f t="shared" si="681"/>
        <v>0.26320086861811792</v>
      </c>
      <c r="BE278" s="150">
        <f t="shared" si="682"/>
        <v>0.89908428501462134</v>
      </c>
      <c r="BG278" s="456">
        <f t="shared" si="683"/>
        <v>1.3854939448266353E-3</v>
      </c>
      <c r="BH278" s="456">
        <f t="shared" si="754"/>
        <v>0.48351075934460858</v>
      </c>
      <c r="BI278" s="456">
        <f t="shared" si="755"/>
        <v>0.36434599415126484</v>
      </c>
      <c r="BJ278" s="456">
        <f t="shared" si="684"/>
        <v>0.10391005750032928</v>
      </c>
      <c r="BK278">
        <f t="shared" si="685"/>
        <v>2.6981475866932059E-2</v>
      </c>
      <c r="BL278" s="144">
        <f t="shared" si="686"/>
        <v>391.32747001819689</v>
      </c>
      <c r="BM278" s="456">
        <f t="shared" si="756"/>
        <v>0.58937441229871101</v>
      </c>
      <c r="BN278" s="144">
        <f t="shared" si="687"/>
        <v>589.37441229871104</v>
      </c>
      <c r="BO278" s="456">
        <f t="shared" si="637"/>
        <v>0.52079999999999993</v>
      </c>
      <c r="BR278" s="144">
        <f t="shared" si="688"/>
        <v>520.79999999999995</v>
      </c>
      <c r="BS278" s="456">
        <f t="shared" si="689"/>
        <v>2.0782409172399531E-3</v>
      </c>
      <c r="BT278" s="456">
        <f t="shared" si="690"/>
        <v>2.4250576546807585E-2</v>
      </c>
      <c r="BU278" s="456">
        <f t="shared" si="691"/>
        <v>0.15445828292710301</v>
      </c>
      <c r="BV278" s="456"/>
      <c r="BW278" s="456">
        <f t="shared" si="692"/>
        <v>6.3995900735512319E-4</v>
      </c>
      <c r="BX278" s="144">
        <f t="shared" si="693"/>
        <v>181.42705939850563</v>
      </c>
      <c r="BY278" s="150">
        <f t="shared" si="694"/>
        <v>1.6823608402064669</v>
      </c>
      <c r="BZ278" s="5">
        <f t="shared" si="695"/>
        <v>3.7199999999999998</v>
      </c>
      <c r="CA278" s="150">
        <f t="shared" si="696"/>
        <v>0.68858784335809553</v>
      </c>
      <c r="CB278" s="5">
        <f t="shared" si="697"/>
        <v>68.85878433580956</v>
      </c>
      <c r="CE278" s="59">
        <f t="shared" si="757"/>
        <v>-50</v>
      </c>
      <c r="CF278">
        <f t="shared" si="758"/>
        <v>-50</v>
      </c>
      <c r="CG278" s="150">
        <f t="shared" si="759"/>
        <v>0.90368601535115711</v>
      </c>
      <c r="CI278" s="147">
        <v>62</v>
      </c>
      <c r="CJ278" s="188">
        <f t="shared" si="698"/>
        <v>0.74399999999999999</v>
      </c>
      <c r="CK278" s="188"/>
      <c r="CL278" s="188">
        <f t="shared" si="641"/>
        <v>3.7199999999999998</v>
      </c>
      <c r="CM278" s="465">
        <f t="shared" si="642"/>
        <v>60</v>
      </c>
      <c r="CN278" s="379">
        <f t="shared" si="643"/>
        <v>5.4</v>
      </c>
      <c r="CO278" s="379">
        <f t="shared" si="644"/>
        <v>65.400000000000006</v>
      </c>
      <c r="CP278" s="379"/>
      <c r="CQ278" s="188">
        <f t="shared" si="645"/>
        <v>8.2568807339449546E-2</v>
      </c>
      <c r="CR278" s="149">
        <f t="shared" si="646"/>
        <v>12.756880733944957</v>
      </c>
      <c r="CS278" s="149">
        <f t="shared" si="647"/>
        <v>3.7199999999999998</v>
      </c>
      <c r="CT278" s="188">
        <f t="shared" si="648"/>
        <v>2.5513761467889915</v>
      </c>
      <c r="CU278" s="188">
        <f t="shared" si="649"/>
        <v>5</v>
      </c>
      <c r="CV278" s="188"/>
      <c r="CW278" s="149">
        <f t="shared" si="650"/>
        <v>141.78170131851064</v>
      </c>
      <c r="CX278" s="149">
        <f t="shared" si="651"/>
        <v>5</v>
      </c>
      <c r="CY278" s="188">
        <f t="shared" si="652"/>
        <v>1.5017777777777774</v>
      </c>
      <c r="CZ278" s="188">
        <f t="shared" si="653"/>
        <v>0.30035555555555549</v>
      </c>
      <c r="DA278" s="188">
        <f t="shared" si="654"/>
        <v>3.3372839506172833</v>
      </c>
      <c r="DB278" s="172">
        <f t="shared" si="655"/>
        <v>350</v>
      </c>
      <c r="DC278" s="379">
        <f t="shared" si="656"/>
        <v>274.90354618786841</v>
      </c>
      <c r="DE278" s="188">
        <f t="shared" si="657"/>
        <v>1.179554390563565</v>
      </c>
      <c r="DF278" s="150">
        <f t="shared" si="658"/>
        <v>2.6212319790301444</v>
      </c>
      <c r="DG278" s="150">
        <f t="shared" si="659"/>
        <v>0.54107999567136011</v>
      </c>
      <c r="DH278" s="150"/>
      <c r="DI278" s="150">
        <f t="shared" si="660"/>
        <v>2.2222222222222219</v>
      </c>
      <c r="DJ278" s="314">
        <f t="shared" si="661"/>
        <v>669.6</v>
      </c>
      <c r="DK278" s="456">
        <f t="shared" si="662"/>
        <v>0.38888888888888884</v>
      </c>
      <c r="DM278" s="150">
        <f t="shared" si="663"/>
        <v>1.3831640745561813</v>
      </c>
      <c r="DN278" s="150">
        <f t="shared" si="664"/>
        <v>1.5017777777777774</v>
      </c>
      <c r="DO278" s="150">
        <f t="shared" si="665"/>
        <v>1.5716872427983537</v>
      </c>
      <c r="DQ278" s="314">
        <f t="shared" si="666"/>
        <v>744</v>
      </c>
      <c r="DR278" s="144">
        <f t="shared" si="667"/>
        <v>274.90354618786841</v>
      </c>
      <c r="DT278">
        <f t="shared" si="668"/>
        <v>744</v>
      </c>
      <c r="DU278">
        <f t="shared" si="669"/>
        <v>274.90354618786841</v>
      </c>
      <c r="DW278" s="5">
        <f t="shared" si="670"/>
        <v>3.6376395061728397</v>
      </c>
      <c r="DX278" s="5">
        <f t="shared" si="671"/>
        <v>0.30035555555555549</v>
      </c>
      <c r="DY278" s="5">
        <f t="shared" si="672"/>
        <v>3.3372839506172842</v>
      </c>
      <c r="DZ278" s="5"/>
      <c r="EA278" s="150">
        <f t="shared" si="673"/>
        <v>8.2568807339449518E-2</v>
      </c>
      <c r="EB278" s="150">
        <f t="shared" si="699"/>
        <v>3.7199999999999984</v>
      </c>
      <c r="EC278" s="150">
        <f t="shared" si="700"/>
        <v>0.68888888888888877</v>
      </c>
      <c r="ED278" s="150">
        <f t="shared" si="701"/>
        <v>5.3999999999999986</v>
      </c>
      <c r="EE278" s="144">
        <f t="shared" si="674"/>
        <v>4.469290666666665</v>
      </c>
      <c r="EF278" s="5">
        <f t="shared" si="675"/>
        <v>8.6213168724279823E-2</v>
      </c>
      <c r="EH278" s="150">
        <f t="shared" si="702"/>
        <v>0.24914550263145718</v>
      </c>
      <c r="EI278" s="150">
        <f t="shared" si="703"/>
        <v>0.8304850087715242</v>
      </c>
      <c r="EK278" s="456">
        <f t="shared" si="704"/>
        <v>1.2414696296296289E-3</v>
      </c>
      <c r="EL278" s="456">
        <f t="shared" si="705"/>
        <v>0.53999999999999992</v>
      </c>
      <c r="EM278" s="456">
        <f t="shared" si="706"/>
        <v>3.4362943273483548E-2</v>
      </c>
      <c r="EN278" s="456">
        <f t="shared" si="707"/>
        <v>0.11758064516129034</v>
      </c>
      <c r="EO278">
        <f t="shared" si="708"/>
        <v>2.7E-2</v>
      </c>
      <c r="EP278" s="144">
        <f t="shared" si="709"/>
        <v>61.362943273483545</v>
      </c>
      <c r="EQ278" s="144"/>
      <c r="ER278" s="144">
        <f t="shared" si="710"/>
        <v>720.18505806440351</v>
      </c>
      <c r="ES278" s="456">
        <f t="shared" si="711"/>
        <v>0.52079999999999993</v>
      </c>
      <c r="EV278" s="144">
        <f t="shared" si="712"/>
        <v>520.79999999999995</v>
      </c>
      <c r="EW278" s="456">
        <f t="shared" si="713"/>
        <v>1.8622044444444432E-3</v>
      </c>
      <c r="EX278" s="456">
        <f t="shared" si="714"/>
        <v>2.0691160493827156E-2</v>
      </c>
      <c r="EY278" s="456">
        <f t="shared" si="715"/>
        <v>0.17315500288201649</v>
      </c>
      <c r="EZ278" s="456"/>
      <c r="FA278" s="456">
        <f t="shared" si="716"/>
        <v>6.1999999999999978E-4</v>
      </c>
      <c r="FB278" s="144">
        <f t="shared" si="717"/>
        <v>196.32836782028809</v>
      </c>
      <c r="FC278" s="150">
        <f t="shared" si="718"/>
        <v>1.4373134258846916</v>
      </c>
      <c r="FD278" s="5">
        <f t="shared" si="719"/>
        <v>3.7199999999999998</v>
      </c>
      <c r="FE278" s="150">
        <f t="shared" si="720"/>
        <v>0.72130578322605376</v>
      </c>
      <c r="FF278" s="5">
        <f t="shared" si="721"/>
        <v>72.130578322605373</v>
      </c>
      <c r="FI278" s="59">
        <f t="shared" si="676"/>
        <v>-50</v>
      </c>
      <c r="FJ278">
        <f t="shared" si="677"/>
        <v>-50</v>
      </c>
      <c r="FL278">
        <f t="shared" si="760"/>
        <v>0.91743119266055051</v>
      </c>
    </row>
    <row r="279" spans="5:168">
      <c r="E279" s="147">
        <v>63</v>
      </c>
      <c r="F279" s="188">
        <f t="shared" si="761"/>
        <v>0.75600000000000001</v>
      </c>
      <c r="G279" s="188"/>
      <c r="H279" s="188">
        <f t="shared" si="726"/>
        <v>3.7800000000000002</v>
      </c>
      <c r="I279" s="465">
        <f t="shared" si="727"/>
        <v>59.958181408713003</v>
      </c>
      <c r="J279" s="149">
        <f t="shared" si="728"/>
        <v>5.4250911547721987</v>
      </c>
      <c r="K279" s="149">
        <f t="shared" si="729"/>
        <v>65.383272563485207</v>
      </c>
      <c r="L279" s="379"/>
      <c r="M279" s="188">
        <f t="shared" si="730"/>
        <v>8.2968497627957785E-2</v>
      </c>
      <c r="N279" s="149">
        <f t="shared" si="731"/>
        <v>12.80969859736258</v>
      </c>
      <c r="O279" s="149">
        <f t="shared" si="762"/>
        <v>3.7800000000000002</v>
      </c>
      <c r="P279" s="188">
        <f t="shared" si="732"/>
        <v>2.561939719472516</v>
      </c>
      <c r="Q279" s="188">
        <f t="shared" si="733"/>
        <v>5</v>
      </c>
      <c r="R279" s="188"/>
      <c r="S279" s="149">
        <f t="shared" si="734"/>
        <v>138.48890755088902</v>
      </c>
      <c r="T279" s="149">
        <f t="shared" si="735"/>
        <v>5</v>
      </c>
      <c r="U279" s="188">
        <f t="shared" si="736"/>
        <v>1.6487983194568354</v>
      </c>
      <c r="V279" s="188">
        <f t="shared" si="737"/>
        <v>0.32998965893596671</v>
      </c>
      <c r="W279" s="188">
        <f t="shared" si="738"/>
        <v>3.6470502096683806</v>
      </c>
      <c r="X279" s="172">
        <f t="shared" si="739"/>
        <v>350</v>
      </c>
      <c r="Y279" s="379">
        <f t="shared" si="680"/>
        <v>239.40398738260663</v>
      </c>
      <c r="AA279" s="188">
        <f t="shared" si="740"/>
        <v>1.1845122244043311</v>
      </c>
      <c r="AB279" s="150">
        <f t="shared" si="741"/>
        <v>2.6200751816581835</v>
      </c>
      <c r="AC279" s="150">
        <f t="shared" si="742"/>
        <v>0.54311443926819047</v>
      </c>
      <c r="AD279" s="150"/>
      <c r="AE279" s="150">
        <f t="shared" si="743"/>
        <v>2.2119444001312609</v>
      </c>
      <c r="AF279" s="314">
        <f t="shared" si="744"/>
        <v>683.56148550129706</v>
      </c>
      <c r="AG279" s="456">
        <f t="shared" si="745"/>
        <v>0.38709027002297064</v>
      </c>
      <c r="AI279" s="150">
        <f t="shared" si="746"/>
        <v>1.3975095046968344</v>
      </c>
      <c r="AJ279" s="150">
        <f t="shared" si="747"/>
        <v>1.6487983194568354</v>
      </c>
      <c r="AK279" s="150">
        <f t="shared" si="748"/>
        <v>1.6805913477458039</v>
      </c>
      <c r="AM279" s="314">
        <f t="shared" si="749"/>
        <v>756</v>
      </c>
      <c r="AN279" s="144">
        <f t="shared" si="750"/>
        <v>239.40398738260663</v>
      </c>
      <c r="AP279">
        <f t="shared" si="751"/>
        <v>756</v>
      </c>
      <c r="AQ279">
        <f t="shared" si="752"/>
        <v>239.40398738260663</v>
      </c>
      <c r="AS279" s="5">
        <f t="shared" si="763"/>
        <v>4.1770398686043473</v>
      </c>
      <c r="AT279" s="5">
        <f t="shared" si="753"/>
        <v>0.32998965893596671</v>
      </c>
      <c r="AU279" s="5">
        <f t="shared" si="722"/>
        <v>3.8470502096683807</v>
      </c>
      <c r="AV279" s="5"/>
      <c r="AW279" s="150">
        <f t="shared" si="723"/>
        <v>7.9000840144296841E-2</v>
      </c>
      <c r="AX279" s="150">
        <f t="shared" si="631"/>
        <v>3.9049700032937658</v>
      </c>
      <c r="AY279" s="150">
        <f t="shared" si="632"/>
        <v>0.75927093349562036</v>
      </c>
      <c r="AZ279" s="150">
        <f t="shared" si="633"/>
        <v>5.1430521451882898</v>
      </c>
      <c r="BA279" s="144">
        <f t="shared" si="724"/>
        <v>4.9894436431118168</v>
      </c>
      <c r="BB279" s="5">
        <f t="shared" si="725"/>
        <v>0.10105550131557528</v>
      </c>
      <c r="BD279" s="150">
        <f t="shared" si="681"/>
        <v>0.26756097119702255</v>
      </c>
      <c r="BE279" s="150">
        <f t="shared" si="682"/>
        <v>0.91355884289956979</v>
      </c>
      <c r="BG279" s="456">
        <f t="shared" si="683"/>
        <v>1.4317774661578785E-3</v>
      </c>
      <c r="BH279" s="456">
        <f t="shared" si="754"/>
        <v>0.4839125013514769</v>
      </c>
      <c r="BI279" s="456">
        <f t="shared" si="755"/>
        <v>0.35885569263638917</v>
      </c>
      <c r="BJ279" s="456">
        <f t="shared" si="684"/>
        <v>0.10234454220182898</v>
      </c>
      <c r="BK279">
        <f t="shared" si="685"/>
        <v>2.698118163392085E-2</v>
      </c>
      <c r="BL279" s="144">
        <f t="shared" si="686"/>
        <v>385.83687427030998</v>
      </c>
      <c r="BM279" s="456">
        <f t="shared" si="756"/>
        <v>0.58827552657846693</v>
      </c>
      <c r="BN279" s="144">
        <f t="shared" si="687"/>
        <v>588.27552657846695</v>
      </c>
      <c r="BO279" s="456">
        <f t="shared" si="637"/>
        <v>0.5292</v>
      </c>
      <c r="BR279" s="144">
        <f t="shared" si="688"/>
        <v>529.20000000000005</v>
      </c>
      <c r="BS279" s="456">
        <f t="shared" si="689"/>
        <v>2.1476661992368179E-3</v>
      </c>
      <c r="BT279" s="456">
        <f t="shared" si="690"/>
        <v>2.5037692783200022E-2</v>
      </c>
      <c r="BU279" s="456">
        <f t="shared" si="691"/>
        <v>0.15478087354542897</v>
      </c>
      <c r="BV279" s="456"/>
      <c r="BW279" s="456">
        <f t="shared" si="692"/>
        <v>6.5082833388229431E-4</v>
      </c>
      <c r="BX279" s="144">
        <f t="shared" si="693"/>
        <v>182.61706086174812</v>
      </c>
      <c r="BY279" s="150">
        <f t="shared" si="694"/>
        <v>1.6853427561515217</v>
      </c>
      <c r="BZ279" s="5">
        <f t="shared" si="695"/>
        <v>3.7800000000000002</v>
      </c>
      <c r="CA279" s="150">
        <f t="shared" si="696"/>
        <v>0.69163091294602119</v>
      </c>
      <c r="CB279" s="5">
        <f t="shared" si="697"/>
        <v>69.163091294602125</v>
      </c>
      <c r="CE279" s="59">
        <f t="shared" si="757"/>
        <v>-50</v>
      </c>
      <c r="CF279">
        <f t="shared" si="758"/>
        <v>-50</v>
      </c>
      <c r="CG279" s="150">
        <f t="shared" si="759"/>
        <v>0.90390419276876655</v>
      </c>
      <c r="CI279" s="147">
        <v>63</v>
      </c>
      <c r="CJ279" s="188">
        <f t="shared" si="698"/>
        <v>0.75600000000000001</v>
      </c>
      <c r="CK279" s="188"/>
      <c r="CL279" s="188">
        <f t="shared" si="641"/>
        <v>3.7800000000000002</v>
      </c>
      <c r="CM279" s="465">
        <f t="shared" si="642"/>
        <v>60</v>
      </c>
      <c r="CN279" s="379">
        <f t="shared" si="643"/>
        <v>5.4</v>
      </c>
      <c r="CO279" s="379">
        <f t="shared" si="644"/>
        <v>65.400000000000006</v>
      </c>
      <c r="CP279" s="379"/>
      <c r="CQ279" s="188">
        <f t="shared" si="645"/>
        <v>8.2568807339449546E-2</v>
      </c>
      <c r="CR279" s="149">
        <f t="shared" si="646"/>
        <v>12.756880733944957</v>
      </c>
      <c r="CS279" s="149">
        <f t="shared" si="647"/>
        <v>3.7800000000000002</v>
      </c>
      <c r="CT279" s="188">
        <f t="shared" si="648"/>
        <v>2.5513761467889915</v>
      </c>
      <c r="CU279" s="188">
        <f t="shared" si="649"/>
        <v>5</v>
      </c>
      <c r="CV279" s="188"/>
      <c r="CW279" s="149">
        <f t="shared" si="650"/>
        <v>138.58537844759181</v>
      </c>
      <c r="CX279" s="149">
        <f t="shared" si="651"/>
        <v>5</v>
      </c>
      <c r="CY279" s="188">
        <f t="shared" si="652"/>
        <v>1.526</v>
      </c>
      <c r="CZ279" s="188">
        <f t="shared" si="653"/>
        <v>0.30520000000000003</v>
      </c>
      <c r="DA279" s="188">
        <f t="shared" si="654"/>
        <v>3.391111111111111</v>
      </c>
      <c r="DB279" s="172">
        <f t="shared" si="655"/>
        <v>350</v>
      </c>
      <c r="DC279" s="379">
        <f t="shared" si="656"/>
        <v>270.53999783568003</v>
      </c>
      <c r="DE279" s="188">
        <f t="shared" si="657"/>
        <v>1.179554390563565</v>
      </c>
      <c r="DF279" s="150">
        <f t="shared" si="658"/>
        <v>2.6212319790301444</v>
      </c>
      <c r="DG279" s="150">
        <f t="shared" si="659"/>
        <v>0.54107999567136011</v>
      </c>
      <c r="DH279" s="150"/>
      <c r="DI279" s="150">
        <f t="shared" si="660"/>
        <v>2.2222222222222219</v>
      </c>
      <c r="DJ279" s="314">
        <f t="shared" si="661"/>
        <v>680.4</v>
      </c>
      <c r="DK279" s="456">
        <f t="shared" si="662"/>
        <v>0.38888888888888884</v>
      </c>
      <c r="DM279" s="150">
        <f t="shared" si="663"/>
        <v>1.3942740046346702</v>
      </c>
      <c r="DN279" s="150">
        <f t="shared" si="664"/>
        <v>1.526</v>
      </c>
      <c r="DO279" s="150">
        <f t="shared" si="665"/>
        <v>1.5896296296296297</v>
      </c>
      <c r="DQ279" s="314">
        <f t="shared" si="666"/>
        <v>756</v>
      </c>
      <c r="DR279" s="144">
        <f t="shared" si="667"/>
        <v>270.53999783568003</v>
      </c>
      <c r="DT279">
        <f t="shared" si="668"/>
        <v>756</v>
      </c>
      <c r="DU279">
        <f t="shared" si="669"/>
        <v>270.53999783568003</v>
      </c>
      <c r="DW279" s="5">
        <f t="shared" si="670"/>
        <v>3.6963111111111111</v>
      </c>
      <c r="DX279" s="5">
        <f t="shared" si="671"/>
        <v>0.30520000000000003</v>
      </c>
      <c r="DY279" s="5">
        <f t="shared" si="672"/>
        <v>3.391111111111111</v>
      </c>
      <c r="DZ279" s="5"/>
      <c r="EA279" s="150">
        <f t="shared" si="673"/>
        <v>8.2568807339449546E-2</v>
      </c>
      <c r="EB279" s="150">
        <f t="shared" si="699"/>
        <v>3.7800000000000002</v>
      </c>
      <c r="EC279" s="150">
        <f t="shared" si="700"/>
        <v>0.70000000000000007</v>
      </c>
      <c r="ED279" s="150">
        <f t="shared" si="701"/>
        <v>5.3999999999999995</v>
      </c>
      <c r="EE279" s="144">
        <f t="shared" si="674"/>
        <v>4.6146240000000001</v>
      </c>
      <c r="EF279" s="5">
        <f t="shared" si="675"/>
        <v>8.9016666666666647E-2</v>
      </c>
      <c r="EH279" s="150">
        <f t="shared" si="702"/>
        <v>0.25316397848035177</v>
      </c>
      <c r="EI279" s="150">
        <f t="shared" si="703"/>
        <v>0.84387992826783931</v>
      </c>
      <c r="EK279" s="456">
        <f t="shared" si="704"/>
        <v>1.2818400000000002E-3</v>
      </c>
      <c r="EL279" s="456">
        <f t="shared" si="705"/>
        <v>0.54</v>
      </c>
      <c r="EM279" s="456">
        <f t="shared" si="706"/>
        <v>3.381749972946E-2</v>
      </c>
      <c r="EN279" s="456">
        <f t="shared" si="707"/>
        <v>0.11571428571428574</v>
      </c>
      <c r="EO279">
        <f t="shared" si="708"/>
        <v>2.7E-2</v>
      </c>
      <c r="EP279" s="144">
        <f t="shared" si="709"/>
        <v>60.817499729460003</v>
      </c>
      <c r="EQ279" s="144"/>
      <c r="ER279" s="144">
        <f t="shared" si="710"/>
        <v>717.81362544374588</v>
      </c>
      <c r="ES279" s="456">
        <f t="shared" si="711"/>
        <v>0.5292</v>
      </c>
      <c r="EV279" s="144">
        <f t="shared" si="712"/>
        <v>529.20000000000005</v>
      </c>
      <c r="EW279" s="456">
        <f t="shared" si="713"/>
        <v>1.9227600000000001E-3</v>
      </c>
      <c r="EX279" s="456">
        <f t="shared" si="714"/>
        <v>2.1364000000000008E-2</v>
      </c>
      <c r="EY279" s="456">
        <f t="shared" si="715"/>
        <v>0.17315500288201607</v>
      </c>
      <c r="EZ279" s="456"/>
      <c r="FA279" s="456">
        <f t="shared" si="716"/>
        <v>6.3000000000000013E-4</v>
      </c>
      <c r="FB279" s="144">
        <f t="shared" si="717"/>
        <v>197.07176288201609</v>
      </c>
      <c r="FC279" s="150">
        <f t="shared" si="718"/>
        <v>1.4440853883257618</v>
      </c>
      <c r="FD279" s="5">
        <f t="shared" si="719"/>
        <v>3.7800000000000002</v>
      </c>
      <c r="FE279" s="150">
        <f t="shared" si="720"/>
        <v>0.72357163388775148</v>
      </c>
      <c r="FF279" s="5">
        <f t="shared" si="721"/>
        <v>72.357163388775149</v>
      </c>
      <c r="FI279" s="59">
        <f t="shared" si="676"/>
        <v>-50</v>
      </c>
      <c r="FJ279">
        <f t="shared" si="677"/>
        <v>-50</v>
      </c>
      <c r="FL279">
        <f t="shared" si="760"/>
        <v>0.91743119266055051</v>
      </c>
    </row>
    <row r="280" spans="5:168">
      <c r="E280" s="147">
        <v>64</v>
      </c>
      <c r="F280" s="188">
        <f t="shared" si="761"/>
        <v>0.76800000000000002</v>
      </c>
      <c r="G280" s="188"/>
      <c r="H280" s="188">
        <f t="shared" ref="H280:H311" si="764">F280*Vout</f>
        <v>3.84</v>
      </c>
      <c r="I280" s="465">
        <f t="shared" ref="I280:I316" si="765">VIN_max-F280*(Rdcr_pri+RON/1000)/CG280/Nps</f>
        <v>59.957527552856469</v>
      </c>
      <c r="J280" s="149">
        <f t="shared" ref="J280:J316" si="766">(T280+Vfwd1+F280/CG280*Rdcr_sec)*Nps</f>
        <v>5.4254834682861199</v>
      </c>
      <c r="K280" s="149">
        <f t="shared" ref="K280:K316" si="767">(Vout+Vfwd1+F280/CG280*Rdcr_sec)*Nps+I280</f>
        <v>65.383011021142593</v>
      </c>
      <c r="L280" s="379"/>
      <c r="M280" s="188">
        <f t="shared" ref="M280:M316" si="768">(Vout+Vfwd1+F280/FL280*Rdcr_sec)*Nps/((Vout+Vfwd1+F280/FL280*Rdcr_sec)*Nps+I280)</f>
        <v>8.2974831000123733E-2</v>
      </c>
      <c r="N280" s="149">
        <f t="shared" ref="N280:N311" si="769">M280*I280*(Isw_max+VIN_max/Lmag*ILIM_delay)*0.5*Efficiency</f>
        <v>12.810536718400085</v>
      </c>
      <c r="O280" s="149">
        <f t="shared" si="762"/>
        <v>3.84</v>
      </c>
      <c r="P280" s="188">
        <f t="shared" ref="P280:P311" si="770">N280/Vout</f>
        <v>2.562107343680017</v>
      </c>
      <c r="Q280" s="188">
        <f t="shared" ref="Q280:Q316" si="771">MIN(Vout,N280/F280)</f>
        <v>5</v>
      </c>
      <c r="R280" s="188"/>
      <c r="S280" s="149">
        <f t="shared" ref="S280:S316" si="772">(SQRT(Isw_max^2*Nps^2*I280^2+4*Isw_max*F280/Efficiency*(Nps^2*Vfwd1*I280-Nps*I280^2)+4*(F280/Efficiency)^2*Nps^2*Vfwd1^2+8*(F280/Efficiency)^2*Nps*Vfwd1*I280+4*(F280/Efficiency)^2*I280^2)-2*F280/Efficiency*I280-2*F280/Efficiency*Nps*Vfwd1+Isw_max*Nps*I280)/(4*F280/Efficiency*Nps)</f>
        <v>135.39332984118059</v>
      </c>
      <c r="T280" s="149">
        <f t="shared" ref="T280:T311" si="773">MIN(Vout, S280)</f>
        <v>5</v>
      </c>
      <c r="U280" s="188">
        <f t="shared" ref="U280:U316" si="774">MIN(2*(Vout+Vfwd1+F280/FL280*Rdcr_sec)*F280/(I280*M280), Isw_max)</f>
        <v>1.6749812894178124</v>
      </c>
      <c r="V280" s="188">
        <f t="shared" ref="V280:V311" si="775">L*U280/I280*1000000</f>
        <v>0.33523356104526641</v>
      </c>
      <c r="W280" s="188">
        <f t="shared" ref="W280:W316" si="776">L*U280/J280*1000000</f>
        <v>3.704697579580527</v>
      </c>
      <c r="X280" s="172">
        <f t="shared" ref="X280:X316" si="777">IF(1/((350000*L)*(1/I280+1/J280))&gt;Isw_min, 350, 0.001/((Isw_min*L)*(1/I280+1/J280)))</f>
        <v>350</v>
      </c>
      <c r="Y280" s="379">
        <f t="shared" si="680"/>
        <v>235.85288695334913</v>
      </c>
      <c r="AA280" s="188">
        <f t="shared" ref="AA280:AA316" si="778">1/((X280*1000*L)*(1/I280+1/J280))</f>
        <v>1.1845897022310949</v>
      </c>
      <c r="AB280" s="150">
        <f t="shared" ref="AB280:AB311" si="779">L*AA280/J280*1000000</f>
        <v>2.6200570898179514</v>
      </c>
      <c r="AC280" s="150">
        <f t="shared" ref="AC280:AC311" si="780">0.5*AB280*AA280*Nps*X280/1000</f>
        <v>0.54314621337478541</v>
      </c>
      <c r="AD280" s="150"/>
      <c r="AE280" s="150">
        <f t="shared" ref="AE280:AE316" si="781">L*Isw_min/J280*1000000</f>
        <v>2.2117844557345476</v>
      </c>
      <c r="AF280" s="314">
        <f t="shared" ref="AF280:AF311" si="782">MAX(12000,F280/(0.5*AE280/1000000*Isw_min*Nps))/1000</f>
        <v>694.46188394062324</v>
      </c>
      <c r="AG280" s="456">
        <f t="shared" ref="AG280:AG316" si="783">0.5*AE280/1000000*Isw_min*Nps*X280*1000</f>
        <v>0.38706227975354585</v>
      </c>
      <c r="AI280" s="150">
        <f t="shared" ref="AI280:AI316" si="784">SQRT(F280/(0.5*L/J280*Fsw_DCM*Nps))</f>
        <v>1.4086081113137618</v>
      </c>
      <c r="AJ280" s="150">
        <f t="shared" ref="AJ280:AJ311" si="785">MAX(IF(F280&gt;AC280,U280,AI280),Isw_min)</f>
        <v>1.6749812894178124</v>
      </c>
      <c r="AK280" s="150">
        <f t="shared" ref="AK280:AK311" si="786">IF(F280&gt;AG280, (AJ280-Isw_min)/1.08*0.8+1.2, AF280*0.2/350+1)</f>
        <v>1.6999861403094907</v>
      </c>
      <c r="AM280" s="314">
        <f t="shared" ref="AM280:AM316" si="787">F280*1000</f>
        <v>768</v>
      </c>
      <c r="AN280" s="144">
        <f t="shared" ref="AN280:AN316" si="788">IF(F280&gt;AG280, Y280, AF280)</f>
        <v>235.85288695334913</v>
      </c>
      <c r="AP280">
        <f t="shared" ref="AP280:AP316" si="789">IF(H280&gt;N280, "",AM280)</f>
        <v>768</v>
      </c>
      <c r="AQ280">
        <f t="shared" ref="AQ280:AQ316" si="790">IF(H280&gt;N280, "",AN280)</f>
        <v>235.85288695334913</v>
      </c>
      <c r="AS280" s="5">
        <f t="shared" si="763"/>
        <v>4.239931140625794</v>
      </c>
      <c r="AT280" s="5">
        <f t="shared" ref="AT280:AT316" si="791">L*AJ280/I280*1000000</f>
        <v>0.33523356104526641</v>
      </c>
      <c r="AU280" s="5">
        <f t="shared" si="722"/>
        <v>3.9046975795805277</v>
      </c>
      <c r="AV280" s="5"/>
      <c r="AW280" s="150">
        <f t="shared" si="723"/>
        <v>7.9065803176177882E-2</v>
      </c>
      <c r="AX280" s="150">
        <f t="shared" ref="AX280:AX316" si="792">0.5*L*AJ280^2*AN280*1000</f>
        <v>3.970199836055361</v>
      </c>
      <c r="AY280" s="150">
        <f t="shared" ref="AY280:AY316" si="793">AJ280*Nps/2*(1-AW280)</f>
        <v>0.77127377423246157</v>
      </c>
      <c r="AZ280" s="150">
        <f t="shared" ref="AZ280:AZ316" si="794">AX280/AY280</f>
        <v>5.1475882737051872</v>
      </c>
      <c r="BA280" s="144">
        <f t="shared" si="724"/>
        <v>5.1491874976552925</v>
      </c>
      <c r="BB280" s="5">
        <f t="shared" si="725"/>
        <v>0.10419902858438002</v>
      </c>
      <c r="BD280" s="150">
        <f t="shared" si="681"/>
        <v>0.27192158071994166</v>
      </c>
      <c r="BE280" s="150">
        <f t="shared" si="682"/>
        <v>0.92803345516492786</v>
      </c>
      <c r="BG280" s="456">
        <f t="shared" si="683"/>
        <v>1.4788269212246349E-3</v>
      </c>
      <c r="BH280" s="456">
        <f t="shared" ref="BH280:BH316" si="795">0.5*K280*AJ280*AN280*1000*Tfall</f>
        <v>0.48430320773756941</v>
      </c>
      <c r="BI280" s="456">
        <f t="shared" ref="BI280:BI316" si="796">Qg*Vdd*AN280*1000*0+Qg*I280*AN280*1000</f>
        <v>0.35352889919815428</v>
      </c>
      <c r="BJ280" s="456">
        <f t="shared" si="684"/>
        <v>0.10082564995524651</v>
      </c>
      <c r="BK280">
        <f t="shared" si="685"/>
        <v>2.6980887398785409E-2</v>
      </c>
      <c r="BL280" s="144">
        <f t="shared" si="686"/>
        <v>380.5097865969397</v>
      </c>
      <c r="BM280" s="456">
        <f t="shared" ref="BM280:BM316" si="797">(BH280+BI280*0+BJ280+BK280*0+BG280*(1+RdsonTC*(Ta-25)))/(1-BG280*RdsonTC*ThetaJA)</f>
        <v>0.58721329659393662</v>
      </c>
      <c r="BN280" s="144">
        <f t="shared" si="687"/>
        <v>587.21329659393666</v>
      </c>
      <c r="BO280" s="456">
        <f t="shared" ref="BO280:BO316" si="798">Vfwd2*F280</f>
        <v>0.53759999999999997</v>
      </c>
      <c r="BR280" s="144">
        <f t="shared" si="688"/>
        <v>537.6</v>
      </c>
      <c r="BS280" s="456">
        <f t="shared" si="689"/>
        <v>2.2182403818369525E-3</v>
      </c>
      <c r="BT280" s="456">
        <f t="shared" si="690"/>
        <v>2.5837382817160623E-2</v>
      </c>
      <c r="BU280" s="456">
        <f t="shared" si="691"/>
        <v>0.15509503529703564</v>
      </c>
      <c r="BV280" s="456"/>
      <c r="BW280" s="456">
        <f t="shared" si="692"/>
        <v>6.6169997267589346E-4</v>
      </c>
      <c r="BX280" s="144">
        <f t="shared" si="693"/>
        <v>183.81235846870911</v>
      </c>
      <c r="BY280" s="150">
        <f t="shared" si="694"/>
        <v>1.6885298296796893</v>
      </c>
      <c r="BZ280" s="5">
        <f t="shared" si="695"/>
        <v>3.84</v>
      </c>
      <c r="CA280" s="150">
        <f t="shared" si="696"/>
        <v>0.69457886966352522</v>
      </c>
      <c r="CB280" s="5">
        <f t="shared" si="697"/>
        <v>69.457886966352518</v>
      </c>
      <c r="CE280" s="59">
        <f t="shared" ref="CE280:CE316" si="799">IF(ABS(F280-Ioutmax_Vinmax)&lt;Iout/200, AN280, -50)</f>
        <v>-50</v>
      </c>
      <c r="CF280">
        <f t="shared" ref="CF280:CF316" si="800">IF(ABS(F280-Ioutmax_Vinmin)&lt;Iout/200, N280*CA280, -50)</f>
        <v>-50</v>
      </c>
      <c r="CG280" s="150">
        <f t="shared" ref="CG280:CG316" si="801">MIN(SQRT(2*DU280*1000*Ls1_*CL280)/CU280,1-EA280-0.00000005*DU280*1000)</f>
        <v>0.90411555214207562</v>
      </c>
      <c r="CI280" s="147">
        <v>64</v>
      </c>
      <c r="CJ280" s="188">
        <f t="shared" si="698"/>
        <v>0.76800000000000002</v>
      </c>
      <c r="CK280" s="188"/>
      <c r="CL280" s="188">
        <f t="shared" ref="CL280:CL316" si="802">CJ280*Vout</f>
        <v>3.84</v>
      </c>
      <c r="CM280" s="465">
        <f t="shared" ref="CM280:CM316" si="803">VIN_max</f>
        <v>60</v>
      </c>
      <c r="CN280" s="379">
        <f t="shared" ref="CN280:CN316" si="804">(CX280+Vfwd1)*Nps</f>
        <v>5.4</v>
      </c>
      <c r="CO280" s="379">
        <f t="shared" ref="CO280:CO316" si="805">(Vout+Vfwd1)*Nps+CM280</f>
        <v>65.400000000000006</v>
      </c>
      <c r="CP280" s="379"/>
      <c r="CQ280" s="188">
        <f t="shared" ref="CQ280:CQ316" si="806">(Vout+Vfwd1)*Nps/((Vout+Vfwd1)*Nps+CM280)</f>
        <v>8.2568807339449546E-2</v>
      </c>
      <c r="CR280" s="149">
        <f t="shared" ref="CR280:CR316" si="807">CQ280*CM280*(Isw_max+VIN_max/Lmag*ILIM_delay)*0.5*Efficiency</f>
        <v>12.756880733944957</v>
      </c>
      <c r="CS280" s="149">
        <f t="shared" ref="CS280:CS316" si="808">CX280*CJ280</f>
        <v>3.84</v>
      </c>
      <c r="CT280" s="188">
        <f t="shared" ref="CT280:CT316" si="809">CR280/Vout</f>
        <v>2.5513761467889915</v>
      </c>
      <c r="CU280" s="188">
        <f t="shared" ref="CU280:CU316" si="810">MIN(Vout,CR280/CJ280)</f>
        <v>5</v>
      </c>
      <c r="CV280" s="188"/>
      <c r="CW280" s="149">
        <f t="shared" ref="CW280:CW316" si="811">(SQRT(Isw_max^2*Nps^2*CM280^2+4*Isw_max*CJ280/Efficiency*(Nps^2*Vfwd1*CM280-Nps*CM280^2)+4*(CJ280/Efficiency)^2*Nps^2*Vfwd1^2+8*(CJ280/Efficiency)^2*Nps*Vfwd1*CM280+4*(CJ280/Efficiency)^2*CM280^2)-2*CJ280/Efficiency*CM280-2*CJ280/Efficiency*Nps*Vfwd1+Isw_max*Nps*CM280)/(4*CJ280/Efficiency*Nps)</f>
        <v>135.48911458809815</v>
      </c>
      <c r="CX280" s="149">
        <f t="shared" ref="CX280:CX316" si="812">MIN(Vout, CW280)</f>
        <v>5</v>
      </c>
      <c r="CY280" s="188">
        <f t="shared" ref="CY280:CY316" si="813">MIN(2*Vout*CJ280/(Efficiency*CM280*CQ280), Isw_max)</f>
        <v>1.5502222222222219</v>
      </c>
      <c r="CZ280" s="188">
        <f t="shared" ref="CZ280:CZ316" si="814">L*CY280/CM280*1000000</f>
        <v>0.3100444444444444</v>
      </c>
      <c r="DA280" s="188">
        <f t="shared" ref="DA280:DA316" si="815">L*CY280/CN280*1000000</f>
        <v>3.4449382716049377</v>
      </c>
      <c r="DB280" s="172">
        <f t="shared" ref="DB280:DB316" si="816">IF(1/((350000*L)*(1/CM280+1/CN280))&gt;Isw_min, 350, 0.001/((Isw_min*L)*(1/CM280+1/CN280)))</f>
        <v>350</v>
      </c>
      <c r="DC280" s="379">
        <f t="shared" ref="DC280:DC316" si="817">MIN(1/(CZ280+DA280)*1000, 350)</f>
        <v>266.31281036949753</v>
      </c>
      <c r="DE280" s="188">
        <f t="shared" ref="DE280:DE316" si="818">1/((DB280*1000*L)*(1/CM280+1/CN280))</f>
        <v>1.179554390563565</v>
      </c>
      <c r="DF280" s="150">
        <f t="shared" ref="DF280:DF316" si="819">L*DE280/CN280*1000000</f>
        <v>2.6212319790301444</v>
      </c>
      <c r="DG280" s="150">
        <f t="shared" ref="DG280:DG316" si="820">0.5*DF280*DE280*Nps*DB280/1000</f>
        <v>0.54107999567136011</v>
      </c>
      <c r="DH280" s="150"/>
      <c r="DI280" s="150">
        <f t="shared" ref="DI280:DI316" si="821">L*Isw_min/CN280*1000000</f>
        <v>2.2222222222222219</v>
      </c>
      <c r="DJ280" s="314">
        <f t="shared" ref="DJ280:DJ316" si="822">MAX(12000,CJ280/(0.5*DI280/1000000*Isw_min*Nps))/1000</f>
        <v>691.20000000000016</v>
      </c>
      <c r="DK280" s="456">
        <f t="shared" ref="DK280:DK316" si="823">0.5*DI280/1000000*Isw_min*Nps*DB280*1000</f>
        <v>0.38888888888888884</v>
      </c>
      <c r="DM280" s="150">
        <f t="shared" ref="DM280:DM316" si="824">SQRT(CJ280/(0.5*L/CN280*Fsw_DCM*Nps))</f>
        <v>1.4052961050458879</v>
      </c>
      <c r="DN280" s="150">
        <f t="shared" ref="DN280:DN316" si="825">MAX(IF(CJ280&gt;DG280,CY280,DM280),Isw_min)</f>
        <v>1.5502222222222219</v>
      </c>
      <c r="DO280" s="150">
        <f t="shared" ref="DO280:DO316" si="826">IF(CJ280&gt;DK280, (DN280-Isw_min)/1.08*0.8+1.2, DJ280*0.2/350+1)</f>
        <v>1.6075720164609051</v>
      </c>
      <c r="DQ280" s="314">
        <f t="shared" ref="DQ280:DQ316" si="827">CJ280*1000</f>
        <v>768</v>
      </c>
      <c r="DR280" s="144">
        <f t="shared" ref="DR280:DR316" si="828">IF(CJ280&gt;DK280, DC280, DJ280)</f>
        <v>266.31281036949753</v>
      </c>
      <c r="DT280">
        <f t="shared" ref="DT280:DT316" si="829">IF(CL280&gt;CR280, "",DQ280)</f>
        <v>768</v>
      </c>
      <c r="DU280">
        <f t="shared" ref="DU280:DU316" si="830">IF(CL280&gt;CR280, "",DR280)</f>
        <v>266.31281036949753</v>
      </c>
      <c r="DW280" s="5">
        <f t="shared" si="670"/>
        <v>3.7549827160493825</v>
      </c>
      <c r="DX280" s="5">
        <f t="shared" ref="DX280:DX316" si="831">L*DN280/CM280*1000000</f>
        <v>0.3100444444444444</v>
      </c>
      <c r="DY280" s="5">
        <f t="shared" ref="DY280:DY316" si="832">DW280-DX280</f>
        <v>3.4449382716049382</v>
      </c>
      <c r="DZ280" s="5"/>
      <c r="EA280" s="150">
        <f t="shared" ref="EA280:EA316" si="833">DX280/DW280</f>
        <v>8.2568807339449532E-2</v>
      </c>
      <c r="EB280" s="150">
        <f t="shared" si="699"/>
        <v>3.839999999999999</v>
      </c>
      <c r="EC280" s="150">
        <f t="shared" si="700"/>
        <v>0.71111111111111103</v>
      </c>
      <c r="ED280" s="150">
        <f t="shared" si="701"/>
        <v>5.3999999999999995</v>
      </c>
      <c r="EE280" s="144">
        <f t="shared" ref="EE280:EE316" si="834">CJ280*DX280/Vout_ripple*1000</f>
        <v>4.7622826666666658</v>
      </c>
      <c r="EF280" s="5">
        <f t="shared" ref="EF280:EF316" si="835">CL280/Efficiency/CM280*DY280/Vinripple1</f>
        <v>9.1865020576131662E-2</v>
      </c>
      <c r="EH280" s="150">
        <f t="shared" si="702"/>
        <v>0.25718245432924619</v>
      </c>
      <c r="EI280" s="150">
        <f t="shared" si="703"/>
        <v>0.85727484776415408</v>
      </c>
      <c r="EK280" s="456">
        <f t="shared" si="704"/>
        <v>1.3228562962962962E-3</v>
      </c>
      <c r="EL280" s="456">
        <f t="shared" si="705"/>
        <v>0.54</v>
      </c>
      <c r="EM280" s="456">
        <f t="shared" si="706"/>
        <v>3.3289101296187187E-2</v>
      </c>
      <c r="EN280" s="456">
        <f t="shared" si="707"/>
        <v>0.11390625000000001</v>
      </c>
      <c r="EO280">
        <f t="shared" si="708"/>
        <v>2.7E-2</v>
      </c>
      <c r="EP280" s="144">
        <f t="shared" si="709"/>
        <v>60.289101296187184</v>
      </c>
      <c r="EQ280" s="144"/>
      <c r="ER280" s="144">
        <f t="shared" si="710"/>
        <v>715.51820759248358</v>
      </c>
      <c r="ES280" s="456">
        <f t="shared" si="711"/>
        <v>0.53759999999999997</v>
      </c>
      <c r="EV280" s="144">
        <f t="shared" si="712"/>
        <v>537.6</v>
      </c>
      <c r="EW280" s="456">
        <f t="shared" si="713"/>
        <v>1.9842844444444441E-3</v>
      </c>
      <c r="EX280" s="456">
        <f t="shared" si="714"/>
        <v>2.2047604938271605E-2</v>
      </c>
      <c r="EY280" s="456">
        <f t="shared" si="715"/>
        <v>0.17315500288201607</v>
      </c>
      <c r="EZ280" s="456"/>
      <c r="FA280" s="456">
        <f t="shared" si="716"/>
        <v>6.3999999999999984E-4</v>
      </c>
      <c r="FB280" s="144">
        <f t="shared" si="717"/>
        <v>197.82689226473212</v>
      </c>
      <c r="FC280" s="150">
        <f t="shared" si="718"/>
        <v>1.4509450998572155</v>
      </c>
      <c r="FD280" s="5">
        <f t="shared" si="719"/>
        <v>3.84</v>
      </c>
      <c r="FE280" s="150">
        <f t="shared" si="720"/>
        <v>0.72576825643184772</v>
      </c>
      <c r="FF280" s="5">
        <f t="shared" si="721"/>
        <v>72.576825643184776</v>
      </c>
      <c r="FI280" s="59">
        <f t="shared" ref="FI280:FI316" si="836">IF(ABS(CJ280-Ioutmax_Vinmax)&lt;Iout/200, DR280, -50)</f>
        <v>-50</v>
      </c>
      <c r="FJ280">
        <f t="shared" ref="FJ280:FJ316" si="837">IF(ABS(CJ280-Ioutmax_Vinmin)&lt;Iout/200, CR280*FE280, -50)</f>
        <v>-50</v>
      </c>
      <c r="FL280">
        <f t="shared" ref="FL280:FL316" si="838">MIN(SQRT(2*L*DR280*1000*CJ280*(CX280+Vfwd1))/(Nps*(CX280+Vfwd1)), 1-EA280)</f>
        <v>0.91743119266055051</v>
      </c>
    </row>
    <row r="281" spans="5:168">
      <c r="E281" s="147">
        <v>65</v>
      </c>
      <c r="F281" s="188">
        <f t="shared" ref="F281:F312" si="839">IF(PLOT_TYPE=1, E281/100*Iout_max, min_I*EXP(N281*rr/100))</f>
        <v>0.78</v>
      </c>
      <c r="G281" s="188"/>
      <c r="H281" s="188">
        <f t="shared" si="764"/>
        <v>3.9000000000000004</v>
      </c>
      <c r="I281" s="465">
        <f t="shared" si="765"/>
        <v>59.956873692500444</v>
      </c>
      <c r="J281" s="149">
        <f t="shared" si="766"/>
        <v>5.4258757844997323</v>
      </c>
      <c r="K281" s="149">
        <f t="shared" si="767"/>
        <v>65.382749477000175</v>
      </c>
      <c r="L281" s="379"/>
      <c r="M281" s="188">
        <f t="shared" si="768"/>
        <v>8.298116442865297E-2</v>
      </c>
      <c r="N281" s="149">
        <f t="shared" si="769"/>
        <v>12.811374825851296</v>
      </c>
      <c r="O281" s="149">
        <f t="shared" si="762"/>
        <v>3.9000000000000004</v>
      </c>
      <c r="P281" s="188">
        <f t="shared" si="770"/>
        <v>2.5622749651702592</v>
      </c>
      <c r="Q281" s="188">
        <f t="shared" si="771"/>
        <v>5</v>
      </c>
      <c r="R281" s="188"/>
      <c r="S281" s="149">
        <f t="shared" si="772"/>
        <v>132.39319551749313</v>
      </c>
      <c r="T281" s="149">
        <f t="shared" si="773"/>
        <v>5</v>
      </c>
      <c r="U281" s="188">
        <f t="shared" si="774"/>
        <v>1.7011646211476614</v>
      </c>
      <c r="V281" s="188">
        <f t="shared" si="775"/>
        <v>0.34047764996001401</v>
      </c>
      <c r="W281" s="188">
        <f t="shared" si="776"/>
        <v>3.7623374114256678</v>
      </c>
      <c r="X281" s="172">
        <f t="shared" si="777"/>
        <v>350</v>
      </c>
      <c r="Y281" s="379">
        <f t="shared" ref="Y281:Y316" si="840">MIN(1/(V281+W281+0.2)*1000, 350)</f>
        <v>232.40599136462984</v>
      </c>
      <c r="AA281" s="188">
        <f t="shared" si="778"/>
        <v>1.1846671793426153</v>
      </c>
      <c r="AB281" s="150">
        <f t="shared" si="779"/>
        <v>2.620038997708479</v>
      </c>
      <c r="AC281" s="150">
        <f t="shared" si="780"/>
        <v>0.54317798660701744</v>
      </c>
      <c r="AD281" s="150"/>
      <c r="AE281" s="150">
        <f t="shared" si="781"/>
        <v>2.2116245333667188</v>
      </c>
      <c r="AF281" s="314">
        <f t="shared" si="782"/>
        <v>705.36385198496532</v>
      </c>
      <c r="AG281" s="456">
        <f t="shared" si="783"/>
        <v>0.38703429333917577</v>
      </c>
      <c r="AI281" s="150">
        <f t="shared" si="784"/>
        <v>1.4196215310376266</v>
      </c>
      <c r="AJ281" s="150">
        <f t="shared" si="785"/>
        <v>1.7011646211476614</v>
      </c>
      <c r="AK281" s="150">
        <f t="shared" si="786"/>
        <v>1.7193812008501195</v>
      </c>
      <c r="AM281" s="314">
        <f t="shared" si="787"/>
        <v>780</v>
      </c>
      <c r="AN281" s="144">
        <f t="shared" si="788"/>
        <v>232.40599136462984</v>
      </c>
      <c r="AP281">
        <f t="shared" si="789"/>
        <v>780</v>
      </c>
      <c r="AQ281">
        <f t="shared" si="790"/>
        <v>232.40599136462984</v>
      </c>
      <c r="AS281" s="5">
        <f t="shared" si="763"/>
        <v>4.3028150613856821</v>
      </c>
      <c r="AT281" s="5">
        <f t="shared" si="791"/>
        <v>0.34047764996001401</v>
      </c>
      <c r="AU281" s="5">
        <f t="shared" si="722"/>
        <v>3.962337411425668</v>
      </c>
      <c r="AV281" s="5"/>
      <c r="AW281" s="150">
        <f t="shared" si="723"/>
        <v>7.9129045776456478E-2</v>
      </c>
      <c r="AX281" s="150">
        <f t="shared" si="792"/>
        <v>4.0354433462159909</v>
      </c>
      <c r="AY281" s="150">
        <f t="shared" si="793"/>
        <v>0.78327654398378987</v>
      </c>
      <c r="AZ281" s="150">
        <f t="shared" si="794"/>
        <v>5.1520033086800892</v>
      </c>
      <c r="BA281" s="144">
        <f t="shared" si="724"/>
        <v>5.3114513393762186</v>
      </c>
      <c r="BB281" s="5">
        <f t="shared" si="725"/>
        <v>0.10739049415066636</v>
      </c>
      <c r="BD281" s="150">
        <f t="shared" ref="BD281:BD316" si="841">AJ281*SQRT(AW281/3)</f>
        <v>0.27628269208934003</v>
      </c>
      <c r="BE281" s="150">
        <f t="shared" ref="BE281:BE316" si="842">AJ281*Nps*SQRT((1-AW281)/3)</f>
        <v>0.94250812381999605</v>
      </c>
      <c r="BG281" s="456">
        <f t="shared" ref="BG281:BG316" si="843">Rdson*BD281^2</f>
        <v>1.5266425189626614E-3</v>
      </c>
      <c r="BH281" s="456">
        <f t="shared" si="795"/>
        <v>0.48468336421982083</v>
      </c>
      <c r="BI281" s="456">
        <f t="shared" si="796"/>
        <v>0.34835841674073648</v>
      </c>
      <c r="BJ281" s="456">
        <f t="shared" ref="BJ281:BJ316" si="844">0.5*(Coss+Csw)*K281^2*AN281*1000</f>
        <v>9.9351328564780877E-2</v>
      </c>
      <c r="BK281">
        <f t="shared" ref="BK281:BK316" si="845">I281*IQ</f>
        <v>2.69805931616252E-2</v>
      </c>
      <c r="BL281" s="144">
        <f t="shared" ref="BL281:BL316" si="846">(BK281+BI281)*1000</f>
        <v>375.33900990236168</v>
      </c>
      <c r="BM281" s="456">
        <f t="shared" si="797"/>
        <v>0.5861861562420152</v>
      </c>
      <c r="BN281" s="144">
        <f t="shared" ref="BN281:BN316" si="847">BM281*1000</f>
        <v>586.18615624201516</v>
      </c>
      <c r="BO281" s="456">
        <f t="shared" si="798"/>
        <v>0.54599999999999993</v>
      </c>
      <c r="BR281" s="144">
        <f t="shared" ref="BR281:BR316" si="848">SUM(BO281:BQ281)*1000</f>
        <v>545.99999999999989</v>
      </c>
      <c r="BS281" s="456">
        <f t="shared" ref="BS281:BS316" si="849">Rdcr_pri*BD281^2</f>
        <v>2.2899637784439919E-3</v>
      </c>
      <c r="BT281" s="456">
        <f t="shared" ref="BT281:BT316" si="850">Rdcr_sec*BE281^2</f>
        <v>2.6649646904000669E-2</v>
      </c>
      <c r="BU281" s="456">
        <f t="shared" ref="BU281:BU316" si="851">AJ281^2.5*AN281^2.5*k_core</f>
        <v>0.15540112534384179</v>
      </c>
      <c r="BV281" s="456"/>
      <c r="BW281" s="456">
        <f t="shared" ref="BW281:BW316" si="852">0.5*Lleak*0.000000001*AJ281^2*AN281*1000</f>
        <v>6.7257389103599844E-4</v>
      </c>
      <c r="BX281" s="144">
        <f t="shared" ref="BX281:BX316" si="853">SUM(BS281:BW281)*1000</f>
        <v>185.01330991732246</v>
      </c>
      <c r="BY281" s="150">
        <f t="shared" ref="BY281:BY316" si="854">SUM(BG281:BK281,BO281:BQ281,BS281:BW281)</f>
        <v>1.6919136551232485</v>
      </c>
      <c r="BZ281" s="5">
        <f t="shared" ref="BZ281:BZ316" si="855">MIN(H281,O281)</f>
        <v>3.9000000000000004</v>
      </c>
      <c r="CA281" s="150">
        <f t="shared" ref="CA281:CA316" si="856">BZ281/(BZ281+BY281)</f>
        <v>0.69743566165884263</v>
      </c>
      <c r="CB281" s="5">
        <f t="shared" ref="CB281:CB316" si="857">CA281*100</f>
        <v>69.74356616588426</v>
      </c>
      <c r="CE281" s="59">
        <f t="shared" si="799"/>
        <v>-50</v>
      </c>
      <c r="CF281">
        <f t="shared" si="800"/>
        <v>-50</v>
      </c>
      <c r="CG281" s="150">
        <f t="shared" si="801"/>
        <v>0.90432040815005221</v>
      </c>
      <c r="CI281" s="147">
        <v>65</v>
      </c>
      <c r="CJ281" s="188">
        <f t="shared" ref="CJ281:CJ316" si="858">IF(PLOT_TYPE=1, CI281/100*Iout_max, min_I*EXP(CR281*rr/100))</f>
        <v>0.78</v>
      </c>
      <c r="CK281" s="188"/>
      <c r="CL281" s="188">
        <f t="shared" si="802"/>
        <v>3.9000000000000004</v>
      </c>
      <c r="CM281" s="465">
        <f t="shared" si="803"/>
        <v>60</v>
      </c>
      <c r="CN281" s="379">
        <f t="shared" si="804"/>
        <v>5.4</v>
      </c>
      <c r="CO281" s="379">
        <f t="shared" si="805"/>
        <v>65.400000000000006</v>
      </c>
      <c r="CP281" s="379"/>
      <c r="CQ281" s="188">
        <f t="shared" si="806"/>
        <v>8.2568807339449546E-2</v>
      </c>
      <c r="CR281" s="149">
        <f t="shared" si="807"/>
        <v>12.756880733944957</v>
      </c>
      <c r="CS281" s="149">
        <f t="shared" si="808"/>
        <v>3.9000000000000004</v>
      </c>
      <c r="CT281" s="188">
        <f t="shared" si="809"/>
        <v>2.5513761467889915</v>
      </c>
      <c r="CU281" s="188">
        <f t="shared" si="810"/>
        <v>5</v>
      </c>
      <c r="CV281" s="188"/>
      <c r="CW281" s="149">
        <f t="shared" si="811"/>
        <v>132.48829512134179</v>
      </c>
      <c r="CX281" s="149">
        <f t="shared" si="812"/>
        <v>5</v>
      </c>
      <c r="CY281" s="188">
        <f t="shared" si="813"/>
        <v>1.5744444444444445</v>
      </c>
      <c r="CZ281" s="188">
        <f t="shared" si="814"/>
        <v>0.31488888888888888</v>
      </c>
      <c r="DA281" s="188">
        <f t="shared" si="815"/>
        <v>3.4987654320987653</v>
      </c>
      <c r="DB281" s="172">
        <f t="shared" si="816"/>
        <v>350</v>
      </c>
      <c r="DC281" s="379">
        <f t="shared" si="817"/>
        <v>262.21569020996679</v>
      </c>
      <c r="DE281" s="188">
        <f t="shared" si="818"/>
        <v>1.179554390563565</v>
      </c>
      <c r="DF281" s="150">
        <f t="shared" si="819"/>
        <v>2.6212319790301444</v>
      </c>
      <c r="DG281" s="150">
        <f t="shared" si="820"/>
        <v>0.54107999567136011</v>
      </c>
      <c r="DH281" s="150"/>
      <c r="DI281" s="150">
        <f t="shared" si="821"/>
        <v>2.2222222222222219</v>
      </c>
      <c r="DJ281" s="314">
        <f t="shared" si="822"/>
        <v>702.00000000000011</v>
      </c>
      <c r="DK281" s="456">
        <f t="shared" si="823"/>
        <v>0.38888888888888884</v>
      </c>
      <c r="DM281" s="150">
        <f t="shared" si="824"/>
        <v>1.4162324264449979</v>
      </c>
      <c r="DN281" s="150">
        <f t="shared" si="825"/>
        <v>1.5744444444444445</v>
      </c>
      <c r="DO281" s="150">
        <f t="shared" si="826"/>
        <v>1.6255144032921811</v>
      </c>
      <c r="DQ281" s="314">
        <f t="shared" si="827"/>
        <v>780</v>
      </c>
      <c r="DR281" s="144">
        <f t="shared" si="828"/>
        <v>262.21569020996679</v>
      </c>
      <c r="DT281">
        <f t="shared" si="829"/>
        <v>780</v>
      </c>
      <c r="DU281">
        <f t="shared" si="830"/>
        <v>262.21569020996679</v>
      </c>
      <c r="DW281" s="5">
        <f t="shared" ref="DW281:DW316" si="859">1/DR281*1000</f>
        <v>3.8136543209876539</v>
      </c>
      <c r="DX281" s="5">
        <f t="shared" si="831"/>
        <v>0.31488888888888888</v>
      </c>
      <c r="DY281" s="5">
        <f t="shared" si="832"/>
        <v>3.4987654320987649</v>
      </c>
      <c r="DZ281" s="5"/>
      <c r="EA281" s="150">
        <f t="shared" si="833"/>
        <v>8.2568807339449546E-2</v>
      </c>
      <c r="EB281" s="150">
        <f t="shared" ref="EB281:EB316" si="860">0.5*L*DN281^2*DR281*1000</f>
        <v>3.9000000000000004</v>
      </c>
      <c r="EC281" s="150">
        <f t="shared" ref="EC281:EC316" si="861">DN281*Nps/2*(1-EA281)</f>
        <v>0.72222222222222232</v>
      </c>
      <c r="ED281" s="150">
        <f t="shared" ref="ED281:ED316" si="862">EB281/EC281</f>
        <v>5.3999999999999995</v>
      </c>
      <c r="EE281" s="144">
        <f t="shared" si="834"/>
        <v>4.9122666666666674</v>
      </c>
      <c r="EF281" s="5">
        <f t="shared" si="835"/>
        <v>9.4758230452674869E-2</v>
      </c>
      <c r="EH281" s="150">
        <f t="shared" ref="EH281:EH316" si="863">DN281*SQRT(EA281/3)</f>
        <v>0.26120093017814072</v>
      </c>
      <c r="EI281" s="150">
        <f t="shared" ref="EI281:EI316" si="864">DN281*Nps*SQRT((1-EA281)/3)</f>
        <v>0.87066976726046919</v>
      </c>
      <c r="EK281" s="456">
        <f t="shared" ref="EK281:EK316" si="865">Rdson*EH281^2</f>
        <v>1.3645185185185188E-3</v>
      </c>
      <c r="EL281" s="456">
        <f t="shared" ref="EL281:EL316" si="866">0.5*CO281*DN281*DR281*1000*Trise</f>
        <v>0.54</v>
      </c>
      <c r="EM281" s="456">
        <f t="shared" ref="EM281:EM316" si="867">Qg*Vdd*DR281*1000</f>
        <v>3.2776961276245846E-2</v>
      </c>
      <c r="EN281" s="456">
        <f t="shared" ref="EN281:EN316" si="868">0.5*(Coss+Csw)*CO281^2*DR281*1000</f>
        <v>0.11215384615384617</v>
      </c>
      <c r="EO281">
        <f t="shared" ref="EO281:EO316" si="869">CM281*IQ</f>
        <v>2.7E-2</v>
      </c>
      <c r="EP281" s="144">
        <f t="shared" ref="EP281:EP316" si="870">(EO281+EM281)*1000</f>
        <v>59.776961276245849</v>
      </c>
      <c r="EQ281" s="144"/>
      <c r="ER281" s="144">
        <f t="shared" ref="ER281:ER316" si="871">SUM(EK281:EO281)*1000</f>
        <v>713.29532594861053</v>
      </c>
      <c r="ES281" s="456">
        <f t="shared" ref="ES281:ES316" si="872">Vfwd2*CJ281</f>
        <v>0.54599999999999993</v>
      </c>
      <c r="EV281" s="144">
        <f t="shared" ref="EV281:EV316" si="873">SUM(ES281:EU281)*1000</f>
        <v>545.99999999999989</v>
      </c>
      <c r="EW281" s="456">
        <f t="shared" ref="EW281:EW316" si="874">Rdcr_pri*EH281^2</f>
        <v>2.046777777777778E-3</v>
      </c>
      <c r="EX281" s="456">
        <f t="shared" ref="EX281:EX316" si="875">Rdcr_sec*EI281^2</f>
        <v>2.2741975308641988E-2</v>
      </c>
      <c r="EY281" s="456">
        <f t="shared" ref="EY281:EY316" si="876">DN281^2.5*DR281^2.5*k_core</f>
        <v>0.17315500288201635</v>
      </c>
      <c r="EZ281" s="456"/>
      <c r="FA281" s="456">
        <f t="shared" ref="FA281:FA316" si="877">0.5*Lleak*0.000000001*DN281^2*DR281*1000</f>
        <v>6.4999999999999997E-4</v>
      </c>
      <c r="FB281" s="144">
        <f t="shared" ref="FB281:FB316" si="878">SUM(EW281:FA281)*1000</f>
        <v>198.59375596843611</v>
      </c>
      <c r="FC281" s="150">
        <f t="shared" ref="FC281:FC316" si="879">SUM(EK281:EO281,ES281:EU281,EW281:FA281)</f>
        <v>1.4578890819170467</v>
      </c>
      <c r="FD281" s="5">
        <f t="shared" ref="FD281:FD316" si="880">MIN(CL281,CS281)</f>
        <v>3.9000000000000004</v>
      </c>
      <c r="FE281" s="150">
        <f t="shared" ref="FE281:FE316" si="881">FD281/(FD281+FC281)</f>
        <v>0.72789860715156574</v>
      </c>
      <c r="FF281" s="5">
        <f t="shared" ref="FF281:FF316" si="882">FE281*100</f>
        <v>72.789860715156578</v>
      </c>
      <c r="FI281" s="59">
        <f t="shared" si="836"/>
        <v>-50</v>
      </c>
      <c r="FJ281">
        <f t="shared" si="837"/>
        <v>-50</v>
      </c>
      <c r="FL281">
        <f t="shared" si="838"/>
        <v>0.91743119266055051</v>
      </c>
    </row>
    <row r="282" spans="5:168">
      <c r="E282" s="147">
        <v>66</v>
      </c>
      <c r="F282" s="188">
        <f t="shared" si="839"/>
        <v>0.79200000000000004</v>
      </c>
      <c r="G282" s="188"/>
      <c r="H282" s="188">
        <f t="shared" si="764"/>
        <v>3.96</v>
      </c>
      <c r="I282" s="465">
        <f t="shared" si="765"/>
        <v>59.956219827852387</v>
      </c>
      <c r="J282" s="149">
        <f t="shared" si="766"/>
        <v>5.42626810328857</v>
      </c>
      <c r="K282" s="149">
        <f t="shared" si="767"/>
        <v>65.382487931140957</v>
      </c>
      <c r="L282" s="379"/>
      <c r="M282" s="188">
        <f t="shared" si="768"/>
        <v>8.2987497913284192E-2</v>
      </c>
      <c r="N282" s="149">
        <f t="shared" si="769"/>
        <v>12.812212919719695</v>
      </c>
      <c r="O282" s="149">
        <f t="shared" si="762"/>
        <v>3.96</v>
      </c>
      <c r="P282" s="188">
        <f t="shared" si="770"/>
        <v>2.5624425839439389</v>
      </c>
      <c r="Q282" s="188">
        <f t="shared" si="771"/>
        <v>5</v>
      </c>
      <c r="R282" s="188"/>
      <c r="S282" s="149">
        <f t="shared" si="772"/>
        <v>129.48416977383121</v>
      </c>
      <c r="T282" s="149">
        <f t="shared" si="773"/>
        <v>5</v>
      </c>
      <c r="U282" s="188">
        <f t="shared" si="774"/>
        <v>1.7273483146582134</v>
      </c>
      <c r="V282" s="188">
        <f t="shared" si="775"/>
        <v>0.34572192568867355</v>
      </c>
      <c r="W282" s="188">
        <f t="shared" si="776"/>
        <v>3.8199697068665519</v>
      </c>
      <c r="X282" s="172">
        <f t="shared" si="777"/>
        <v>350</v>
      </c>
      <c r="Y282" s="379">
        <f t="shared" si="840"/>
        <v>229.05878018111486</v>
      </c>
      <c r="AA282" s="188">
        <f t="shared" si="778"/>
        <v>1.1847446557142725</v>
      </c>
      <c r="AB282" s="150">
        <f t="shared" si="779"/>
        <v>2.620020905335501</v>
      </c>
      <c r="AC282" s="150">
        <f t="shared" si="780"/>
        <v>0.54320975895478329</v>
      </c>
      <c r="AD282" s="150"/>
      <c r="AE282" s="150">
        <f t="shared" si="781"/>
        <v>2.211464633073962</v>
      </c>
      <c r="AF282" s="314">
        <f t="shared" si="782"/>
        <v>716.26738963409116</v>
      </c>
      <c r="AG282" s="456">
        <f t="shared" si="783"/>
        <v>0.38700631078794334</v>
      </c>
      <c r="AI282" s="150">
        <f t="shared" si="784"/>
        <v>1.4305517313601082</v>
      </c>
      <c r="AJ282" s="150">
        <f t="shared" si="785"/>
        <v>1.7273483146582134</v>
      </c>
      <c r="AK282" s="150">
        <f t="shared" si="786"/>
        <v>1.7387765293764543</v>
      </c>
      <c r="AM282" s="314">
        <f t="shared" si="787"/>
        <v>792</v>
      </c>
      <c r="AN282" s="144">
        <f t="shared" si="788"/>
        <v>229.05878018111486</v>
      </c>
      <c r="AP282">
        <f t="shared" si="789"/>
        <v>792</v>
      </c>
      <c r="AQ282">
        <f t="shared" si="790"/>
        <v>229.05878018111486</v>
      </c>
      <c r="AS282" s="5">
        <f t="shared" si="763"/>
        <v>4.3656916325552269</v>
      </c>
      <c r="AT282" s="5">
        <f t="shared" si="791"/>
        <v>0.34572192568867355</v>
      </c>
      <c r="AU282" s="5">
        <f t="shared" si="722"/>
        <v>4.0199697068665534</v>
      </c>
      <c r="AV282" s="5"/>
      <c r="AW282" s="150">
        <f t="shared" si="723"/>
        <v>7.9190642580113588E-2</v>
      </c>
      <c r="AX282" s="150">
        <f t="shared" si="792"/>
        <v>4.1007003489243701</v>
      </c>
      <c r="AY282" s="150">
        <f t="shared" si="793"/>
        <v>0.79527924583037668</v>
      </c>
      <c r="AZ282" s="150">
        <f t="shared" si="794"/>
        <v>5.1563024817059029</v>
      </c>
      <c r="BA282" s="144">
        <f t="shared" si="724"/>
        <v>5.4762353029085897</v>
      </c>
      <c r="BB282" s="5">
        <f t="shared" si="725"/>
        <v>0.11062989019945693</v>
      </c>
      <c r="BD282" s="150">
        <f t="shared" si="841"/>
        <v>0.2806443005045462</v>
      </c>
      <c r="BE282" s="150">
        <f t="shared" si="842"/>
        <v>0.95698285075813705</v>
      </c>
      <c r="BG282" s="456">
        <f t="shared" si="843"/>
        <v>1.5752244681137206E-3</v>
      </c>
      <c r="BH282" s="456">
        <f t="shared" si="795"/>
        <v>0.48505342842112353</v>
      </c>
      <c r="BI282" s="456">
        <f t="shared" si="796"/>
        <v>0.34333746445096602</v>
      </c>
      <c r="BJ282" s="456">
        <f t="shared" si="844"/>
        <v>9.7919644534392475E-2</v>
      </c>
      <c r="BK282">
        <f t="shared" si="845"/>
        <v>2.6980298922533574E-2</v>
      </c>
      <c r="BL282" s="144">
        <f t="shared" si="846"/>
        <v>370.31776337349959</v>
      </c>
      <c r="BM282" s="456">
        <f t="shared" si="797"/>
        <v>0.58519263002647248</v>
      </c>
      <c r="BN282" s="144">
        <f t="shared" si="847"/>
        <v>585.19263002647244</v>
      </c>
      <c r="BO282" s="456">
        <f t="shared" si="798"/>
        <v>0.5544</v>
      </c>
      <c r="BR282" s="144">
        <f t="shared" si="848"/>
        <v>554.4</v>
      </c>
      <c r="BS282" s="456">
        <f t="shared" si="849"/>
        <v>2.3628367021705809E-3</v>
      </c>
      <c r="BT282" s="456">
        <f t="shared" si="850"/>
        <v>2.7474485299355124E-2</v>
      </c>
      <c r="BU282" s="456">
        <f t="shared" si="851"/>
        <v>0.15569948097830563</v>
      </c>
      <c r="BV282" s="456"/>
      <c r="BW282" s="456">
        <f t="shared" si="852"/>
        <v>6.834500581540617E-4</v>
      </c>
      <c r="BX282" s="144">
        <f t="shared" si="853"/>
        <v>186.2202530379854</v>
      </c>
      <c r="BY282" s="150">
        <f t="shared" si="854"/>
        <v>1.6954863138351148</v>
      </c>
      <c r="BZ282" s="5">
        <f t="shared" si="855"/>
        <v>3.96</v>
      </c>
      <c r="CA282" s="150">
        <f t="shared" si="856"/>
        <v>0.70020503635780762</v>
      </c>
      <c r="CB282" s="5">
        <f t="shared" si="857"/>
        <v>70.020503635780756</v>
      </c>
      <c r="CE282" s="59">
        <f t="shared" si="799"/>
        <v>-50</v>
      </c>
      <c r="CF282">
        <f t="shared" si="800"/>
        <v>-50</v>
      </c>
      <c r="CG282" s="150">
        <f t="shared" si="801"/>
        <v>0.90451905640021124</v>
      </c>
      <c r="CI282" s="147">
        <v>66</v>
      </c>
      <c r="CJ282" s="188">
        <f t="shared" si="858"/>
        <v>0.79200000000000004</v>
      </c>
      <c r="CK282" s="188"/>
      <c r="CL282" s="188">
        <f t="shared" si="802"/>
        <v>3.96</v>
      </c>
      <c r="CM282" s="465">
        <f t="shared" si="803"/>
        <v>60</v>
      </c>
      <c r="CN282" s="379">
        <f t="shared" si="804"/>
        <v>5.4</v>
      </c>
      <c r="CO282" s="379">
        <f t="shared" si="805"/>
        <v>65.400000000000006</v>
      </c>
      <c r="CP282" s="379"/>
      <c r="CQ282" s="188">
        <f t="shared" si="806"/>
        <v>8.2568807339449546E-2</v>
      </c>
      <c r="CR282" s="149">
        <f t="shared" si="807"/>
        <v>12.756880733944957</v>
      </c>
      <c r="CS282" s="149">
        <f t="shared" si="808"/>
        <v>3.96</v>
      </c>
      <c r="CT282" s="188">
        <f t="shared" si="809"/>
        <v>2.5513761467889915</v>
      </c>
      <c r="CU282" s="188">
        <f t="shared" si="810"/>
        <v>5</v>
      </c>
      <c r="CV282" s="188"/>
      <c r="CW282" s="149">
        <f t="shared" si="811"/>
        <v>129.57858519512249</v>
      </c>
      <c r="CX282" s="149">
        <f t="shared" si="812"/>
        <v>5</v>
      </c>
      <c r="CY282" s="188">
        <f t="shared" si="813"/>
        <v>1.5986666666666665</v>
      </c>
      <c r="CZ282" s="188">
        <f t="shared" si="814"/>
        <v>0.31973333333333326</v>
      </c>
      <c r="DA282" s="188">
        <f t="shared" si="815"/>
        <v>3.5525925925925916</v>
      </c>
      <c r="DB282" s="172">
        <f t="shared" si="816"/>
        <v>350</v>
      </c>
      <c r="DC282" s="379">
        <f t="shared" si="817"/>
        <v>258.24272520678556</v>
      </c>
      <c r="DE282" s="188">
        <f t="shared" si="818"/>
        <v>1.179554390563565</v>
      </c>
      <c r="DF282" s="150">
        <f t="shared" si="819"/>
        <v>2.6212319790301444</v>
      </c>
      <c r="DG282" s="150">
        <f t="shared" si="820"/>
        <v>0.54107999567136011</v>
      </c>
      <c r="DH282" s="150"/>
      <c r="DI282" s="150">
        <f t="shared" si="821"/>
        <v>2.2222222222222219</v>
      </c>
      <c r="DJ282" s="314">
        <f t="shared" si="822"/>
        <v>712.80000000000007</v>
      </c>
      <c r="DK282" s="456">
        <f t="shared" si="823"/>
        <v>0.38888888888888884</v>
      </c>
      <c r="DM282" s="150">
        <f t="shared" si="824"/>
        <v>1.4270849409097655</v>
      </c>
      <c r="DN282" s="150">
        <f t="shared" si="825"/>
        <v>1.5986666666666665</v>
      </c>
      <c r="DO282" s="150">
        <f t="shared" si="826"/>
        <v>1.6434567901234567</v>
      </c>
      <c r="DQ282" s="314">
        <f t="shared" si="827"/>
        <v>792</v>
      </c>
      <c r="DR282" s="144">
        <f t="shared" si="828"/>
        <v>258.24272520678556</v>
      </c>
      <c r="DT282">
        <f t="shared" si="829"/>
        <v>792</v>
      </c>
      <c r="DU282">
        <f t="shared" si="830"/>
        <v>258.24272520678556</v>
      </c>
      <c r="DW282" s="5">
        <f t="shared" si="859"/>
        <v>3.8723259259259248</v>
      </c>
      <c r="DX282" s="5">
        <f t="shared" si="831"/>
        <v>0.31973333333333326</v>
      </c>
      <c r="DY282" s="5">
        <f t="shared" si="832"/>
        <v>3.5525925925925916</v>
      </c>
      <c r="DZ282" s="5"/>
      <c r="EA282" s="150">
        <f t="shared" si="833"/>
        <v>8.2568807339449546E-2</v>
      </c>
      <c r="EB282" s="150">
        <f t="shared" si="860"/>
        <v>3.9600000000000009</v>
      </c>
      <c r="EC282" s="150">
        <f t="shared" si="861"/>
        <v>0.73333333333333328</v>
      </c>
      <c r="ED282" s="150">
        <f t="shared" si="862"/>
        <v>5.4000000000000012</v>
      </c>
      <c r="EE282" s="144">
        <f t="shared" si="834"/>
        <v>5.0645759999999997</v>
      </c>
      <c r="EF282" s="5">
        <f t="shared" si="835"/>
        <v>9.7696296296296253E-2</v>
      </c>
      <c r="EH282" s="150">
        <f t="shared" si="863"/>
        <v>0.26521940602703514</v>
      </c>
      <c r="EI282" s="150">
        <f t="shared" si="864"/>
        <v>0.88406468675678385</v>
      </c>
      <c r="EK282" s="456">
        <f t="shared" si="865"/>
        <v>1.4068266666666664E-3</v>
      </c>
      <c r="EL282" s="456">
        <f t="shared" si="866"/>
        <v>0.54000000000000015</v>
      </c>
      <c r="EM282" s="456">
        <f t="shared" si="867"/>
        <v>3.2280340650848199E-2</v>
      </c>
      <c r="EN282" s="456">
        <f t="shared" si="868"/>
        <v>0.11045454545454551</v>
      </c>
      <c r="EO282">
        <f t="shared" si="869"/>
        <v>2.7E-2</v>
      </c>
      <c r="EP282" s="144">
        <f t="shared" si="870"/>
        <v>59.280340650848196</v>
      </c>
      <c r="EQ282" s="144"/>
      <c r="ER282" s="144">
        <f t="shared" si="871"/>
        <v>711.14171277206049</v>
      </c>
      <c r="ES282" s="456">
        <f t="shared" si="872"/>
        <v>0.5544</v>
      </c>
      <c r="EV282" s="144">
        <f t="shared" si="873"/>
        <v>554.4</v>
      </c>
      <c r="EW282" s="456">
        <f t="shared" si="874"/>
        <v>2.1102399999999998E-3</v>
      </c>
      <c r="EX282" s="456">
        <f t="shared" si="875"/>
        <v>2.344711111111111E-2</v>
      </c>
      <c r="EY282" s="456">
        <f t="shared" si="876"/>
        <v>0.17315500288201666</v>
      </c>
      <c r="EZ282" s="456"/>
      <c r="FA282" s="456">
        <f t="shared" si="877"/>
        <v>6.6E-4</v>
      </c>
      <c r="FB282" s="144">
        <f t="shared" si="878"/>
        <v>199.37235399312775</v>
      </c>
      <c r="FC282" s="150">
        <f t="shared" si="879"/>
        <v>1.4649140667651883</v>
      </c>
      <c r="FD282" s="5">
        <f t="shared" si="880"/>
        <v>3.96</v>
      </c>
      <c r="FE282" s="150">
        <f t="shared" si="881"/>
        <v>0.72996547987004357</v>
      </c>
      <c r="FF282" s="5">
        <f t="shared" si="882"/>
        <v>72.996547987004362</v>
      </c>
      <c r="FI282" s="59">
        <f t="shared" si="836"/>
        <v>-50</v>
      </c>
      <c r="FJ282">
        <f t="shared" si="837"/>
        <v>-50</v>
      </c>
      <c r="FL282">
        <f t="shared" si="838"/>
        <v>0.91743119266055051</v>
      </c>
    </row>
    <row r="283" spans="5:168">
      <c r="E283" s="147">
        <v>67</v>
      </c>
      <c r="F283" s="188">
        <f t="shared" si="839"/>
        <v>0.80400000000000005</v>
      </c>
      <c r="G283" s="188"/>
      <c r="H283" s="188">
        <f t="shared" si="764"/>
        <v>4.0200000000000005</v>
      </c>
      <c r="I283" s="465">
        <f t="shared" si="765"/>
        <v>59.955565959107162</v>
      </c>
      <c r="J283" s="149">
        <f t="shared" si="766"/>
        <v>5.4266604245357035</v>
      </c>
      <c r="K283" s="149">
        <f t="shared" si="767"/>
        <v>65.382226383642859</v>
      </c>
      <c r="L283" s="379"/>
      <c r="M283" s="188">
        <f t="shared" si="768"/>
        <v>8.2993831453771955E-2</v>
      </c>
      <c r="N283" s="149">
        <f t="shared" si="769"/>
        <v>12.81305100000854</v>
      </c>
      <c r="O283" s="149">
        <f t="shared" si="762"/>
        <v>4.0200000000000005</v>
      </c>
      <c r="P283" s="188">
        <f t="shared" si="770"/>
        <v>2.5626102000017079</v>
      </c>
      <c r="Q283" s="188">
        <f t="shared" si="771"/>
        <v>5</v>
      </c>
      <c r="R283" s="188"/>
      <c r="S283" s="149">
        <f t="shared" si="772"/>
        <v>126.66217669282754</v>
      </c>
      <c r="T283" s="149">
        <f t="shared" si="773"/>
        <v>5</v>
      </c>
      <c r="U283" s="188">
        <f t="shared" si="774"/>
        <v>1.7535323699613019</v>
      </c>
      <c r="V283" s="188">
        <f t="shared" si="775"/>
        <v>0.35096638823971127</v>
      </c>
      <c r="W283" s="188">
        <f t="shared" si="776"/>
        <v>3.8775944675653768</v>
      </c>
      <c r="X283" s="172">
        <f t="shared" si="777"/>
        <v>350</v>
      </c>
      <c r="Y283" s="379">
        <f t="shared" si="840"/>
        <v>225.80699070425339</v>
      </c>
      <c r="AA283" s="188">
        <f t="shared" si="778"/>
        <v>1.1848221313229352</v>
      </c>
      <c r="AB283" s="150">
        <f t="shared" si="779"/>
        <v>2.6200028127044046</v>
      </c>
      <c r="AC283" s="150">
        <f t="shared" si="780"/>
        <v>0.54324153040859058</v>
      </c>
      <c r="AD283" s="150"/>
      <c r="AE283" s="150">
        <f t="shared" si="781"/>
        <v>2.2113047548993636</v>
      </c>
      <c r="AF283" s="314">
        <f t="shared" si="782"/>
        <v>727.17249688778429</v>
      </c>
      <c r="AG283" s="456">
        <f t="shared" si="783"/>
        <v>0.38697833210738863</v>
      </c>
      <c r="AI283" s="150">
        <f t="shared" si="784"/>
        <v>1.4414006054507087</v>
      </c>
      <c r="AJ283" s="150">
        <f t="shared" si="785"/>
        <v>1.7535323699613019</v>
      </c>
      <c r="AK283" s="150">
        <f t="shared" si="786"/>
        <v>1.7581721258972607</v>
      </c>
      <c r="AM283" s="314">
        <f t="shared" si="787"/>
        <v>804</v>
      </c>
      <c r="AN283" s="144">
        <f t="shared" si="788"/>
        <v>225.80699070425339</v>
      </c>
      <c r="AP283">
        <f t="shared" si="789"/>
        <v>804</v>
      </c>
      <c r="AQ283">
        <f t="shared" si="790"/>
        <v>225.80699070425339</v>
      </c>
      <c r="AS283" s="5">
        <f t="shared" si="763"/>
        <v>4.4285608558050882</v>
      </c>
      <c r="AT283" s="5">
        <f t="shared" si="791"/>
        <v>0.35096638823971127</v>
      </c>
      <c r="AU283" s="5">
        <f t="shared" si="722"/>
        <v>4.077594467565377</v>
      </c>
      <c r="AV283" s="5"/>
      <c r="AW283" s="150">
        <f t="shared" si="723"/>
        <v>7.9250663966749874E-2</v>
      </c>
      <c r="AX283" s="150">
        <f t="shared" si="792"/>
        <v>4.1659706698686945</v>
      </c>
      <c r="AY283" s="150">
        <f t="shared" si="793"/>
        <v>0.80728188267734013</v>
      </c>
      <c r="AZ283" s="150">
        <f t="shared" si="794"/>
        <v>5.1604907272937988</v>
      </c>
      <c r="BA283" s="144">
        <f t="shared" si="724"/>
        <v>5.6435395228945566</v>
      </c>
      <c r="BB283" s="5">
        <f t="shared" si="725"/>
        <v>0.11391720891819125</v>
      </c>
      <c r="BD283" s="150">
        <f t="shared" si="841"/>
        <v>0.28500640144042638</v>
      </c>
      <c r="BE283" s="150">
        <f t="shared" si="842"/>
        <v>0.97145763776502991</v>
      </c>
      <c r="BG283" s="456">
        <f t="shared" si="843"/>
        <v>1.6245729772404298E-3</v>
      </c>
      <c r="BH283" s="456">
        <f t="shared" si="795"/>
        <v>0.48541383187258746</v>
      </c>
      <c r="BI283" s="456">
        <f t="shared" si="796"/>
        <v>0.33845964812990903</v>
      </c>
      <c r="BJ283" s="456">
        <f t="shared" si="844"/>
        <v>9.6528774608083887E-2</v>
      </c>
      <c r="BK283">
        <f t="shared" si="845"/>
        <v>2.6980004681598221E-2</v>
      </c>
      <c r="BL283" s="144">
        <f t="shared" si="846"/>
        <v>365.43965281150724</v>
      </c>
      <c r="BM283" s="456">
        <f t="shared" si="797"/>
        <v>0.5842313266005017</v>
      </c>
      <c r="BN283" s="144">
        <f t="shared" si="847"/>
        <v>584.23132660050169</v>
      </c>
      <c r="BO283" s="456">
        <f t="shared" si="798"/>
        <v>0.56279999999999997</v>
      </c>
      <c r="BR283" s="144">
        <f t="shared" si="848"/>
        <v>562.79999999999995</v>
      </c>
      <c r="BS283" s="456">
        <f t="shared" si="849"/>
        <v>2.4368594658606443E-3</v>
      </c>
      <c r="BT283" s="456">
        <f t="shared" si="850"/>
        <v>2.8311898259160362E-2</v>
      </c>
      <c r="BU283" s="456">
        <f t="shared" si="851"/>
        <v>0.15599042098454496</v>
      </c>
      <c r="BV283" s="456"/>
      <c r="BW283" s="456">
        <f t="shared" si="852"/>
        <v>6.9432844497811579E-4</v>
      </c>
      <c r="BX283" s="144">
        <f t="shared" si="853"/>
        <v>187.43350715454406</v>
      </c>
      <c r="BY283" s="150">
        <f t="shared" si="854"/>
        <v>1.6992403394239628</v>
      </c>
      <c r="BZ283" s="5">
        <f t="shared" si="855"/>
        <v>4.0200000000000005</v>
      </c>
      <c r="CA283" s="150">
        <f t="shared" si="856"/>
        <v>0.70289055214016249</v>
      </c>
      <c r="CB283" s="5">
        <f t="shared" si="857"/>
        <v>70.289055214016244</v>
      </c>
      <c r="CE283" s="59">
        <f t="shared" si="799"/>
        <v>-50</v>
      </c>
      <c r="CF283">
        <f t="shared" si="800"/>
        <v>-50</v>
      </c>
      <c r="CG283" s="150">
        <f t="shared" si="801"/>
        <v>0.90471177485185805</v>
      </c>
      <c r="CI283" s="147">
        <v>67</v>
      </c>
      <c r="CJ283" s="188">
        <f t="shared" si="858"/>
        <v>0.80400000000000005</v>
      </c>
      <c r="CK283" s="188"/>
      <c r="CL283" s="188">
        <f t="shared" si="802"/>
        <v>4.0200000000000005</v>
      </c>
      <c r="CM283" s="465">
        <f t="shared" si="803"/>
        <v>60</v>
      </c>
      <c r="CN283" s="379">
        <f t="shared" si="804"/>
        <v>5.4</v>
      </c>
      <c r="CO283" s="379">
        <f t="shared" si="805"/>
        <v>65.400000000000006</v>
      </c>
      <c r="CP283" s="379"/>
      <c r="CQ283" s="188">
        <f t="shared" si="806"/>
        <v>8.2568807339449546E-2</v>
      </c>
      <c r="CR283" s="149">
        <f t="shared" si="807"/>
        <v>12.756880733944957</v>
      </c>
      <c r="CS283" s="149">
        <f t="shared" si="808"/>
        <v>4.0200000000000005</v>
      </c>
      <c r="CT283" s="188">
        <f t="shared" si="809"/>
        <v>2.5513761467889915</v>
      </c>
      <c r="CU283" s="188">
        <f t="shared" si="810"/>
        <v>5</v>
      </c>
      <c r="CV283" s="188"/>
      <c r="CW283" s="149">
        <f t="shared" si="811"/>
        <v>126.75590884867826</v>
      </c>
      <c r="CX283" s="149">
        <f t="shared" si="812"/>
        <v>5</v>
      </c>
      <c r="CY283" s="188">
        <f t="shared" si="813"/>
        <v>1.6228888888888888</v>
      </c>
      <c r="CZ283" s="188">
        <f t="shared" si="814"/>
        <v>0.32457777777777774</v>
      </c>
      <c r="DA283" s="188">
        <f t="shared" si="815"/>
        <v>3.6064197530864193</v>
      </c>
      <c r="DB283" s="172">
        <f t="shared" si="816"/>
        <v>350</v>
      </c>
      <c r="DC283" s="379">
        <f t="shared" si="817"/>
        <v>254.38835617384842</v>
      </c>
      <c r="DE283" s="188">
        <f t="shared" si="818"/>
        <v>1.179554390563565</v>
      </c>
      <c r="DF283" s="150">
        <f t="shared" si="819"/>
        <v>2.6212319790301444</v>
      </c>
      <c r="DG283" s="150">
        <f t="shared" si="820"/>
        <v>0.54107999567136011</v>
      </c>
      <c r="DH283" s="150"/>
      <c r="DI283" s="150">
        <f t="shared" si="821"/>
        <v>2.2222222222222219</v>
      </c>
      <c r="DJ283" s="314">
        <f t="shared" si="822"/>
        <v>723.60000000000014</v>
      </c>
      <c r="DK283" s="456">
        <f t="shared" si="823"/>
        <v>0.38888888888888884</v>
      </c>
      <c r="DM283" s="150">
        <f t="shared" si="824"/>
        <v>1.4378555460923645</v>
      </c>
      <c r="DN283" s="150">
        <f t="shared" si="825"/>
        <v>1.6228888888888888</v>
      </c>
      <c r="DO283" s="150">
        <f t="shared" si="826"/>
        <v>1.6613991769547325</v>
      </c>
      <c r="DQ283" s="314">
        <f t="shared" si="827"/>
        <v>804</v>
      </c>
      <c r="DR283" s="144">
        <f t="shared" si="828"/>
        <v>254.38835617384842</v>
      </c>
      <c r="DT283">
        <f t="shared" si="829"/>
        <v>804</v>
      </c>
      <c r="DU283">
        <f t="shared" si="830"/>
        <v>254.38835617384842</v>
      </c>
      <c r="DW283" s="5">
        <f t="shared" si="859"/>
        <v>3.9309975308641967</v>
      </c>
      <c r="DX283" s="5">
        <f t="shared" si="831"/>
        <v>0.32457777777777774</v>
      </c>
      <c r="DY283" s="5">
        <f t="shared" si="832"/>
        <v>3.6064197530864188</v>
      </c>
      <c r="DZ283" s="5"/>
      <c r="EA283" s="150">
        <f t="shared" si="833"/>
        <v>8.2568807339449546E-2</v>
      </c>
      <c r="EB283" s="150">
        <f t="shared" si="860"/>
        <v>4.0200000000000005</v>
      </c>
      <c r="EC283" s="150">
        <f t="shared" si="861"/>
        <v>0.74444444444444446</v>
      </c>
      <c r="ED283" s="150">
        <f t="shared" si="862"/>
        <v>5.4</v>
      </c>
      <c r="EE283" s="144">
        <f t="shared" si="834"/>
        <v>5.2192106666666653</v>
      </c>
      <c r="EF283" s="5">
        <f t="shared" si="835"/>
        <v>0.10067921810699586</v>
      </c>
      <c r="EH283" s="150">
        <f t="shared" si="863"/>
        <v>0.26923788187592962</v>
      </c>
      <c r="EI283" s="150">
        <f t="shared" si="864"/>
        <v>0.89745960625309884</v>
      </c>
      <c r="EK283" s="456">
        <f t="shared" si="865"/>
        <v>1.4497807407407406E-3</v>
      </c>
      <c r="EL283" s="456">
        <f t="shared" si="866"/>
        <v>0.54</v>
      </c>
      <c r="EM283" s="456">
        <f t="shared" si="867"/>
        <v>3.1798544521731052E-2</v>
      </c>
      <c r="EN283" s="456">
        <f t="shared" si="868"/>
        <v>0.10880597014925376</v>
      </c>
      <c r="EO283">
        <f t="shared" si="869"/>
        <v>2.7E-2</v>
      </c>
      <c r="EP283" s="144">
        <f t="shared" si="870"/>
        <v>58.798544521731053</v>
      </c>
      <c r="EQ283" s="144"/>
      <c r="ER283" s="144">
        <f t="shared" si="871"/>
        <v>709.05429541172555</v>
      </c>
      <c r="ES283" s="456">
        <f t="shared" si="872"/>
        <v>0.56279999999999997</v>
      </c>
      <c r="EV283" s="144">
        <f t="shared" si="873"/>
        <v>562.79999999999995</v>
      </c>
      <c r="EW283" s="456">
        <f t="shared" si="874"/>
        <v>2.1746711111111107E-3</v>
      </c>
      <c r="EX283" s="456">
        <f t="shared" si="875"/>
        <v>2.4163012345679014E-2</v>
      </c>
      <c r="EY283" s="456">
        <f t="shared" si="876"/>
        <v>0.17315500288201627</v>
      </c>
      <c r="EZ283" s="456"/>
      <c r="FA283" s="456">
        <f t="shared" si="877"/>
        <v>6.7000000000000002E-4</v>
      </c>
      <c r="FB283" s="144">
        <f t="shared" si="878"/>
        <v>200.1626863388064</v>
      </c>
      <c r="FC283" s="150">
        <f t="shared" si="879"/>
        <v>1.472016981750532</v>
      </c>
      <c r="FD283" s="5">
        <f t="shared" si="880"/>
        <v>4.0200000000000005</v>
      </c>
      <c r="FE283" s="150">
        <f t="shared" si="881"/>
        <v>0.73197151672292537</v>
      </c>
      <c r="FF283" s="5">
        <f t="shared" si="882"/>
        <v>73.197151672292534</v>
      </c>
      <c r="FI283" s="59">
        <f t="shared" si="836"/>
        <v>-50</v>
      </c>
      <c r="FJ283">
        <f t="shared" si="837"/>
        <v>-50</v>
      </c>
      <c r="FL283">
        <f t="shared" si="838"/>
        <v>0.91743119266055051</v>
      </c>
    </row>
    <row r="284" spans="5:168">
      <c r="E284" s="147">
        <v>68</v>
      </c>
      <c r="F284" s="188">
        <f t="shared" si="839"/>
        <v>0.81600000000000006</v>
      </c>
      <c r="G284" s="188"/>
      <c r="H284" s="188">
        <f t="shared" si="764"/>
        <v>4.08</v>
      </c>
      <c r="I284" s="465">
        <f t="shared" si="765"/>
        <v>59.95491208644804</v>
      </c>
      <c r="J284" s="149">
        <f t="shared" si="766"/>
        <v>5.4270527481311772</v>
      </c>
      <c r="K284" s="149">
        <f t="shared" si="767"/>
        <v>65.381964834579222</v>
      </c>
      <c r="L284" s="379"/>
      <c r="M284" s="188">
        <f t="shared" si="768"/>
        <v>8.3000165049885444E-2</v>
      </c>
      <c r="N284" s="149">
        <f t="shared" si="769"/>
        <v>12.81388906672089</v>
      </c>
      <c r="O284" s="149">
        <f t="shared" si="762"/>
        <v>4.08</v>
      </c>
      <c r="P284" s="188">
        <f t="shared" si="770"/>
        <v>2.5627778133441779</v>
      </c>
      <c r="Q284" s="188">
        <f t="shared" si="771"/>
        <v>5</v>
      </c>
      <c r="R284" s="188"/>
      <c r="S284" s="149">
        <f t="shared" si="772"/>
        <v>123.92338021293762</v>
      </c>
      <c r="T284" s="149">
        <f t="shared" si="773"/>
        <v>5</v>
      </c>
      <c r="U284" s="188">
        <f t="shared" si="774"/>
        <v>1.7797167870687594</v>
      </c>
      <c r="V284" s="188">
        <f t="shared" si="775"/>
        <v>0.35621103762159417</v>
      </c>
      <c r="W284" s="188">
        <f t="shared" si="776"/>
        <v>3.9352116951837854</v>
      </c>
      <c r="X284" s="172">
        <f t="shared" si="777"/>
        <v>350</v>
      </c>
      <c r="Y284" s="379">
        <f t="shared" si="840"/>
        <v>222.64659986155249</v>
      </c>
      <c r="AA284" s="188">
        <f t="shared" si="778"/>
        <v>1.1848996061468515</v>
      </c>
      <c r="AB284" s="150">
        <f t="shared" si="779"/>
        <v>2.6199847198202568</v>
      </c>
      <c r="AC284" s="150">
        <f t="shared" si="780"/>
        <v>0.54327330095951354</v>
      </c>
      <c r="AD284" s="150"/>
      <c r="AE284" s="150">
        <f t="shared" si="781"/>
        <v>2.2111448988831439</v>
      </c>
      <c r="AF284" s="314">
        <f t="shared" si="782"/>
        <v>738.07917374584008</v>
      </c>
      <c r="AG284" s="456">
        <f t="shared" si="783"/>
        <v>0.38695035730455019</v>
      </c>
      <c r="AI284" s="150">
        <f t="shared" si="784"/>
        <v>1.4521699760268523</v>
      </c>
      <c r="AJ284" s="150">
        <f t="shared" si="785"/>
        <v>1.7797167870687594</v>
      </c>
      <c r="AK284" s="150">
        <f t="shared" si="786"/>
        <v>1.7775679904213031</v>
      </c>
      <c r="AM284" s="314">
        <f t="shared" si="787"/>
        <v>816.00000000000011</v>
      </c>
      <c r="AN284" s="144">
        <f t="shared" si="788"/>
        <v>222.64659986155249</v>
      </c>
      <c r="AP284">
        <f t="shared" si="789"/>
        <v>816.00000000000011</v>
      </c>
      <c r="AQ284">
        <f t="shared" si="790"/>
        <v>222.64659986155249</v>
      </c>
      <c r="AS284" s="5">
        <f t="shared" si="763"/>
        <v>4.49142273280538</v>
      </c>
      <c r="AT284" s="5">
        <f t="shared" si="791"/>
        <v>0.35621103762159417</v>
      </c>
      <c r="AU284" s="5">
        <f t="shared" si="722"/>
        <v>4.1352116951837861</v>
      </c>
      <c r="AV284" s="5"/>
      <c r="AW284" s="150">
        <f t="shared" si="723"/>
        <v>7.9309176359603495E-2</v>
      </c>
      <c r="AX284" s="150">
        <f t="shared" si="792"/>
        <v>4.2312541445360257</v>
      </c>
      <c r="AY284" s="150">
        <f t="shared" si="793"/>
        <v>0.81928445726648813</v>
      </c>
      <c r="AZ284" s="150">
        <f t="shared" si="794"/>
        <v>5.1645727036656428</v>
      </c>
      <c r="BA284" s="144">
        <f t="shared" si="724"/>
        <v>5.8133641339844182</v>
      </c>
      <c r="BB284" s="5">
        <f t="shared" si="725"/>
        <v>0.11725244249672472</v>
      </c>
      <c r="BD284" s="150">
        <f t="shared" si="841"/>
        <v>0.28936899062786869</v>
      </c>
      <c r="BE284" s="150">
        <f t="shared" si="842"/>
        <v>0.98593248652622811</v>
      </c>
      <c r="BG284" s="456">
        <f t="shared" si="843"/>
        <v>1.6746882547398311E-3</v>
      </c>
      <c r="BH284" s="456">
        <f t="shared" si="795"/>
        <v>0.48576498184696437</v>
      </c>
      <c r="BI284" s="456">
        <f t="shared" si="796"/>
        <v>0.33371893302614886</v>
      </c>
      <c r="BJ284" s="456">
        <f t="shared" si="844"/>
        <v>9.5176998023521114E-2</v>
      </c>
      <c r="BK284">
        <f t="shared" si="845"/>
        <v>2.6979710438901617E-2</v>
      </c>
      <c r="BL284" s="144">
        <f t="shared" si="846"/>
        <v>360.69864346505051</v>
      </c>
      <c r="BM284" s="456">
        <f t="shared" si="797"/>
        <v>0.58330093285376905</v>
      </c>
      <c r="BN284" s="144">
        <f t="shared" si="847"/>
        <v>583.30093285376904</v>
      </c>
      <c r="BO284" s="456">
        <f t="shared" si="798"/>
        <v>0.57120000000000004</v>
      </c>
      <c r="BR284" s="144">
        <f t="shared" si="848"/>
        <v>571.20000000000005</v>
      </c>
      <c r="BS284" s="456">
        <f t="shared" si="849"/>
        <v>2.5120323821097466E-3</v>
      </c>
      <c r="BT284" s="456">
        <f t="shared" si="850"/>
        <v>2.9161886039633728E-2</v>
      </c>
      <c r="BU284" s="456">
        <f t="shared" si="851"/>
        <v>0.15627424688921618</v>
      </c>
      <c r="BV284" s="456"/>
      <c r="BW284" s="456">
        <f t="shared" si="852"/>
        <v>7.0520902408933767E-4</v>
      </c>
      <c r="BX284" s="144">
        <f t="shared" si="853"/>
        <v>188.65337433504897</v>
      </c>
      <c r="BY284" s="150">
        <f t="shared" si="854"/>
        <v>1.7031686859253246</v>
      </c>
      <c r="BZ284" s="5">
        <f t="shared" si="855"/>
        <v>4.08</v>
      </c>
      <c r="CA284" s="150">
        <f t="shared" si="856"/>
        <v>0.70549558928302081</v>
      </c>
      <c r="CB284" s="5">
        <f t="shared" si="857"/>
        <v>70.549558928302076</v>
      </c>
      <c r="CE284" s="59">
        <f t="shared" si="799"/>
        <v>-50</v>
      </c>
      <c r="CF284">
        <f t="shared" si="800"/>
        <v>-50</v>
      </c>
      <c r="CG284" s="150">
        <f t="shared" si="801"/>
        <v>0.90489882511375053</v>
      </c>
      <c r="CI284" s="147">
        <v>68</v>
      </c>
      <c r="CJ284" s="188">
        <f t="shared" si="858"/>
        <v>0.81600000000000006</v>
      </c>
      <c r="CK284" s="188"/>
      <c r="CL284" s="188">
        <f t="shared" si="802"/>
        <v>4.08</v>
      </c>
      <c r="CM284" s="465">
        <f t="shared" si="803"/>
        <v>60</v>
      </c>
      <c r="CN284" s="379">
        <f t="shared" si="804"/>
        <v>5.4</v>
      </c>
      <c r="CO284" s="379">
        <f t="shared" si="805"/>
        <v>65.400000000000006</v>
      </c>
      <c r="CP284" s="379"/>
      <c r="CQ284" s="188">
        <f t="shared" si="806"/>
        <v>8.2568807339449546E-2</v>
      </c>
      <c r="CR284" s="149">
        <f t="shared" si="807"/>
        <v>12.756880733944957</v>
      </c>
      <c r="CS284" s="149">
        <f t="shared" si="808"/>
        <v>4.08</v>
      </c>
      <c r="CT284" s="188">
        <f t="shared" si="809"/>
        <v>2.5513761467889915</v>
      </c>
      <c r="CU284" s="188">
        <f t="shared" si="810"/>
        <v>5</v>
      </c>
      <c r="CV284" s="188"/>
      <c r="CW284" s="149">
        <f t="shared" si="811"/>
        <v>124.01642997967139</v>
      </c>
      <c r="CX284" s="149">
        <f t="shared" si="812"/>
        <v>5</v>
      </c>
      <c r="CY284" s="188">
        <f t="shared" si="813"/>
        <v>1.647111111111111</v>
      </c>
      <c r="CZ284" s="188">
        <f t="shared" si="814"/>
        <v>0.32942222222222223</v>
      </c>
      <c r="DA284" s="188">
        <f t="shared" si="815"/>
        <v>3.6602469135802465</v>
      </c>
      <c r="DB284" s="172">
        <f t="shared" si="816"/>
        <v>350</v>
      </c>
      <c r="DC284" s="379">
        <f t="shared" si="817"/>
        <v>250.64735093599771</v>
      </c>
      <c r="DE284" s="188">
        <f t="shared" si="818"/>
        <v>1.179554390563565</v>
      </c>
      <c r="DF284" s="150">
        <f t="shared" si="819"/>
        <v>2.6212319790301444</v>
      </c>
      <c r="DG284" s="150">
        <f t="shared" si="820"/>
        <v>0.54107999567136011</v>
      </c>
      <c r="DH284" s="150"/>
      <c r="DI284" s="150">
        <f t="shared" si="821"/>
        <v>2.2222222222222219</v>
      </c>
      <c r="DJ284" s="314">
        <f t="shared" si="822"/>
        <v>734.40000000000009</v>
      </c>
      <c r="DK284" s="456">
        <f t="shared" si="823"/>
        <v>0.38888888888888884</v>
      </c>
      <c r="DM284" s="150">
        <f t="shared" si="824"/>
        <v>1.4485460690933218</v>
      </c>
      <c r="DN284" s="150">
        <f t="shared" si="825"/>
        <v>1.647111111111111</v>
      </c>
      <c r="DO284" s="150">
        <f t="shared" si="826"/>
        <v>1.6793415637860081</v>
      </c>
      <c r="DQ284" s="314">
        <f t="shared" si="827"/>
        <v>816.00000000000011</v>
      </c>
      <c r="DR284" s="144">
        <f t="shared" si="828"/>
        <v>250.64735093599771</v>
      </c>
      <c r="DT284">
        <f t="shared" si="829"/>
        <v>816.00000000000011</v>
      </c>
      <c r="DU284">
        <f t="shared" si="830"/>
        <v>250.64735093599771</v>
      </c>
      <c r="DW284" s="5">
        <f t="shared" si="859"/>
        <v>3.9896691358024685</v>
      </c>
      <c r="DX284" s="5">
        <f t="shared" si="831"/>
        <v>0.32942222222222223</v>
      </c>
      <c r="DY284" s="5">
        <f t="shared" si="832"/>
        <v>3.6602469135802465</v>
      </c>
      <c r="DZ284" s="5"/>
      <c r="EA284" s="150">
        <f t="shared" si="833"/>
        <v>8.256880733944956E-2</v>
      </c>
      <c r="EB284" s="150">
        <f t="shared" si="860"/>
        <v>4.0799999999999992</v>
      </c>
      <c r="EC284" s="150">
        <f t="shared" si="861"/>
        <v>0.75555555555555542</v>
      </c>
      <c r="ED284" s="150">
        <f t="shared" si="862"/>
        <v>5.3999999999999995</v>
      </c>
      <c r="EE284" s="144">
        <f t="shared" si="834"/>
        <v>5.3761706666666678</v>
      </c>
      <c r="EF284" s="5">
        <f t="shared" si="835"/>
        <v>0.10370699588477364</v>
      </c>
      <c r="EH284" s="150">
        <f t="shared" si="863"/>
        <v>0.27325635772482409</v>
      </c>
      <c r="EI284" s="150">
        <f t="shared" si="864"/>
        <v>0.9108545257494135</v>
      </c>
      <c r="EK284" s="456">
        <f t="shared" si="865"/>
        <v>1.4933807407407408E-3</v>
      </c>
      <c r="EL284" s="456">
        <f t="shared" si="866"/>
        <v>0.54000000000000015</v>
      </c>
      <c r="EM284" s="456">
        <f t="shared" si="867"/>
        <v>3.1330918866999714E-2</v>
      </c>
      <c r="EN284" s="456">
        <f t="shared" si="868"/>
        <v>0.10720588235294122</v>
      </c>
      <c r="EO284">
        <f t="shared" si="869"/>
        <v>2.7E-2</v>
      </c>
      <c r="EP284" s="144">
        <f t="shared" si="870"/>
        <v>58.330918866999717</v>
      </c>
      <c r="EQ284" s="144"/>
      <c r="ER284" s="144">
        <f t="shared" si="871"/>
        <v>707.03018196068194</v>
      </c>
      <c r="ES284" s="456">
        <f t="shared" si="872"/>
        <v>0.57120000000000004</v>
      </c>
      <c r="EV284" s="144">
        <f t="shared" si="873"/>
        <v>571.20000000000005</v>
      </c>
      <c r="EW284" s="456">
        <f t="shared" si="874"/>
        <v>2.2400711111111109E-3</v>
      </c>
      <c r="EX284" s="456">
        <f t="shared" si="875"/>
        <v>2.4889679012345668E-2</v>
      </c>
      <c r="EY284" s="456">
        <f t="shared" si="876"/>
        <v>0.17315500288201632</v>
      </c>
      <c r="EZ284" s="456"/>
      <c r="FA284" s="456">
        <f t="shared" si="877"/>
        <v>6.7999999999999994E-4</v>
      </c>
      <c r="FB284" s="144">
        <f t="shared" si="878"/>
        <v>200.96475300547309</v>
      </c>
      <c r="FC284" s="150">
        <f t="shared" si="879"/>
        <v>1.4791949349661548</v>
      </c>
      <c r="FD284" s="5">
        <f t="shared" si="880"/>
        <v>4.08</v>
      </c>
      <c r="FE284" s="150">
        <f t="shared" si="881"/>
        <v>0.73391921811154115</v>
      </c>
      <c r="FF284" s="5">
        <f t="shared" si="882"/>
        <v>73.39192181115412</v>
      </c>
      <c r="FI284" s="59">
        <f t="shared" si="836"/>
        <v>-50</v>
      </c>
      <c r="FJ284">
        <f t="shared" si="837"/>
        <v>-50</v>
      </c>
      <c r="FL284">
        <f t="shared" si="838"/>
        <v>0.9174311926605504</v>
      </c>
    </row>
    <row r="285" spans="5:168">
      <c r="E285" s="147">
        <v>69</v>
      </c>
      <c r="F285" s="188">
        <f t="shared" si="839"/>
        <v>0.82799999999999996</v>
      </c>
      <c r="G285" s="188"/>
      <c r="H285" s="188">
        <f t="shared" si="764"/>
        <v>4.1399999999999997</v>
      </c>
      <c r="I285" s="465">
        <f t="shared" si="765"/>
        <v>59.954258210047506</v>
      </c>
      <c r="J285" s="149">
        <f t="shared" si="766"/>
        <v>5.4274450739714952</v>
      </c>
      <c r="K285" s="149">
        <f t="shared" si="767"/>
        <v>65.381703284018997</v>
      </c>
      <c r="L285" s="379"/>
      <c r="M285" s="188">
        <f t="shared" si="768"/>
        <v>8.3006498701407527E-2</v>
      </c>
      <c r="N285" s="149">
        <f t="shared" si="769"/>
        <v>12.814727119859613</v>
      </c>
      <c r="O285" s="149">
        <f t="shared" si="762"/>
        <v>4.1399999999999997</v>
      </c>
      <c r="P285" s="188">
        <f t="shared" si="770"/>
        <v>2.5629454239719225</v>
      </c>
      <c r="Q285" s="188">
        <f t="shared" si="771"/>
        <v>5</v>
      </c>
      <c r="R285" s="188"/>
      <c r="S285" s="149">
        <f t="shared" si="772"/>
        <v>121.26416675078315</v>
      </c>
      <c r="T285" s="149">
        <f t="shared" si="773"/>
        <v>5</v>
      </c>
      <c r="U285" s="188">
        <f t="shared" si="774"/>
        <v>1.8059015659924196</v>
      </c>
      <c r="V285" s="188">
        <f t="shared" si="775"/>
        <v>0.36145587384279076</v>
      </c>
      <c r="W285" s="188">
        <f t="shared" si="776"/>
        <v>3.9928213913828823</v>
      </c>
      <c r="X285" s="172">
        <f t="shared" si="777"/>
        <v>350</v>
      </c>
      <c r="Y285" s="379">
        <f t="shared" si="840"/>
        <v>219.57380760181891</v>
      </c>
      <c r="AA285" s="188">
        <f t="shared" si="778"/>
        <v>1.1849770801655473</v>
      </c>
      <c r="AB285" s="150">
        <f t="shared" si="779"/>
        <v>2.6199666266878281</v>
      </c>
      <c r="AC285" s="150">
        <f t="shared" si="780"/>
        <v>0.54330507059915112</v>
      </c>
      <c r="AD285" s="150"/>
      <c r="AE285" s="150">
        <f t="shared" si="781"/>
        <v>2.2109850650628662</v>
      </c>
      <c r="AF285" s="314">
        <f t="shared" si="782"/>
        <v>748.9874202080664</v>
      </c>
      <c r="AG285" s="456">
        <f t="shared" si="783"/>
        <v>0.38692238638600163</v>
      </c>
      <c r="AI285" s="150">
        <f t="shared" si="784"/>
        <v>1.4628615989687241</v>
      </c>
      <c r="AJ285" s="150">
        <f t="shared" si="785"/>
        <v>1.8059015659924196</v>
      </c>
      <c r="AK285" s="150">
        <f t="shared" si="786"/>
        <v>1.7969641229573479</v>
      </c>
      <c r="AM285" s="314">
        <f t="shared" si="787"/>
        <v>828</v>
      </c>
      <c r="AN285" s="144">
        <f t="shared" si="788"/>
        <v>219.57380760181891</v>
      </c>
      <c r="AP285">
        <f t="shared" si="789"/>
        <v>828</v>
      </c>
      <c r="AQ285">
        <f t="shared" si="790"/>
        <v>219.57380760181891</v>
      </c>
      <c r="AS285" s="5">
        <f t="shared" si="763"/>
        <v>4.5542772652256733</v>
      </c>
      <c r="AT285" s="5">
        <f t="shared" si="791"/>
        <v>0.36145587384279076</v>
      </c>
      <c r="AU285" s="5">
        <f t="shared" si="722"/>
        <v>4.1928213913828829</v>
      </c>
      <c r="AV285" s="5"/>
      <c r="AW285" s="150">
        <f t="shared" si="723"/>
        <v>7.9366242499704268E-2</v>
      </c>
      <c r="AX285" s="150">
        <f t="shared" si="792"/>
        <v>4.2965506175333017</v>
      </c>
      <c r="AY285" s="150">
        <f t="shared" si="793"/>
        <v>0.83128697218763481</v>
      </c>
      <c r="AZ285" s="150">
        <f t="shared" si="794"/>
        <v>5.1685528118242914</v>
      </c>
      <c r="BA285" s="144">
        <f t="shared" si="724"/>
        <v>5.9857092708366144</v>
      </c>
      <c r="BB285" s="5">
        <f t="shared" si="725"/>
        <v>0.12063558312732799</v>
      </c>
      <c r="BD285" s="150">
        <f t="shared" si="841"/>
        <v>0.29373206403590574</v>
      </c>
      <c r="BE285" s="150">
        <f t="shared" si="842"/>
        <v>1.000407398634092</v>
      </c>
      <c r="BG285" s="456">
        <f t="shared" si="843"/>
        <v>1.7255705088558687E-3</v>
      </c>
      <c r="BH285" s="456">
        <f t="shared" si="795"/>
        <v>0.48610726303961727</v>
      </c>
      <c r="BI285" s="456">
        <f t="shared" si="796"/>
        <v>0.3291096189280685</v>
      </c>
      <c r="BJ285" s="456">
        <f t="shared" si="844"/>
        <v>9.3862689409791089E-2</v>
      </c>
      <c r="BK285">
        <f t="shared" si="845"/>
        <v>2.6979416194521377E-2</v>
      </c>
      <c r="BL285" s="144">
        <f t="shared" si="846"/>
        <v>356.08903512258991</v>
      </c>
      <c r="BM285" s="456">
        <f t="shared" si="797"/>
        <v>0.58240020849114715</v>
      </c>
      <c r="BN285" s="144">
        <f t="shared" si="847"/>
        <v>582.40020849114717</v>
      </c>
      <c r="BO285" s="456">
        <f t="shared" si="798"/>
        <v>0.57959999999999989</v>
      </c>
      <c r="BR285" s="144">
        <f t="shared" si="848"/>
        <v>579.59999999999991</v>
      </c>
      <c r="BS285" s="456">
        <f t="shared" si="849"/>
        <v>2.588355763283803E-3</v>
      </c>
      <c r="BT285" s="456">
        <f t="shared" si="850"/>
        <v>3.0024448897254932E-2</v>
      </c>
      <c r="BU285" s="456">
        <f t="shared" si="851"/>
        <v>0.15655124411241922</v>
      </c>
      <c r="BV285" s="456"/>
      <c r="BW285" s="456">
        <f t="shared" si="852"/>
        <v>7.1609176958888359E-4</v>
      </c>
      <c r="BX285" s="144">
        <f t="shared" si="853"/>
        <v>189.88014054254685</v>
      </c>
      <c r="BY285" s="150">
        <f t="shared" si="854"/>
        <v>1.707264698623401</v>
      </c>
      <c r="BZ285" s="5">
        <f t="shared" si="855"/>
        <v>4.1399999999999997</v>
      </c>
      <c r="CA285" s="150">
        <f t="shared" si="856"/>
        <v>0.70802336021741308</v>
      </c>
      <c r="CB285" s="5">
        <f t="shared" si="857"/>
        <v>70.802336021741311</v>
      </c>
      <c r="CE285" s="59">
        <f t="shared" si="799"/>
        <v>-50</v>
      </c>
      <c r="CF285">
        <f t="shared" si="800"/>
        <v>-50</v>
      </c>
      <c r="CG285" s="150">
        <f t="shared" si="801"/>
        <v>0.90508045362892164</v>
      </c>
      <c r="CI285" s="147">
        <v>69</v>
      </c>
      <c r="CJ285" s="188">
        <f t="shared" si="858"/>
        <v>0.82799999999999996</v>
      </c>
      <c r="CK285" s="188"/>
      <c r="CL285" s="188">
        <f t="shared" si="802"/>
        <v>4.1399999999999997</v>
      </c>
      <c r="CM285" s="465">
        <f t="shared" si="803"/>
        <v>60</v>
      </c>
      <c r="CN285" s="379">
        <f t="shared" si="804"/>
        <v>5.4</v>
      </c>
      <c r="CO285" s="379">
        <f t="shared" si="805"/>
        <v>65.400000000000006</v>
      </c>
      <c r="CP285" s="379"/>
      <c r="CQ285" s="188">
        <f t="shared" si="806"/>
        <v>8.2568807339449546E-2</v>
      </c>
      <c r="CR285" s="149">
        <f t="shared" si="807"/>
        <v>12.756880733944957</v>
      </c>
      <c r="CS285" s="149">
        <f t="shared" si="808"/>
        <v>4.1399999999999997</v>
      </c>
      <c r="CT285" s="188">
        <f t="shared" si="809"/>
        <v>2.5513761467889915</v>
      </c>
      <c r="CU285" s="188">
        <f t="shared" si="810"/>
        <v>5</v>
      </c>
      <c r="CV285" s="188"/>
      <c r="CW285" s="149">
        <f t="shared" si="811"/>
        <v>121.35653496634153</v>
      </c>
      <c r="CX285" s="149">
        <f t="shared" si="812"/>
        <v>5</v>
      </c>
      <c r="CY285" s="188">
        <f t="shared" si="813"/>
        <v>1.6713333333333331</v>
      </c>
      <c r="CZ285" s="188">
        <f t="shared" si="814"/>
        <v>0.33426666666666666</v>
      </c>
      <c r="DA285" s="188">
        <f t="shared" si="815"/>
        <v>3.7140740740740736</v>
      </c>
      <c r="DB285" s="172">
        <f t="shared" si="816"/>
        <v>350</v>
      </c>
      <c r="DC285" s="379">
        <f t="shared" si="817"/>
        <v>247.01478063257741</v>
      </c>
      <c r="DE285" s="188">
        <f t="shared" si="818"/>
        <v>1.179554390563565</v>
      </c>
      <c r="DF285" s="150">
        <f t="shared" si="819"/>
        <v>2.6212319790301444</v>
      </c>
      <c r="DG285" s="150">
        <f t="shared" si="820"/>
        <v>0.54107999567136011</v>
      </c>
      <c r="DH285" s="150"/>
      <c r="DI285" s="150">
        <f t="shared" si="821"/>
        <v>2.2222222222222219</v>
      </c>
      <c r="DJ285" s="314">
        <f t="shared" si="822"/>
        <v>745.2</v>
      </c>
      <c r="DK285" s="456">
        <f t="shared" si="823"/>
        <v>0.38888888888888884</v>
      </c>
      <c r="DM285" s="150">
        <f t="shared" si="824"/>
        <v>1.4591582700799997</v>
      </c>
      <c r="DN285" s="150">
        <f t="shared" si="825"/>
        <v>1.6713333333333331</v>
      </c>
      <c r="DO285" s="150">
        <f t="shared" si="826"/>
        <v>1.6972839506172837</v>
      </c>
      <c r="DQ285" s="314">
        <f t="shared" si="827"/>
        <v>828</v>
      </c>
      <c r="DR285" s="144">
        <f t="shared" si="828"/>
        <v>247.01478063257741</v>
      </c>
      <c r="DT285">
        <f t="shared" si="829"/>
        <v>828</v>
      </c>
      <c r="DU285">
        <f t="shared" si="830"/>
        <v>247.01478063257741</v>
      </c>
      <c r="DW285" s="5">
        <f t="shared" si="859"/>
        <v>4.0483407407407404</v>
      </c>
      <c r="DX285" s="5">
        <f t="shared" si="831"/>
        <v>0.33426666666666666</v>
      </c>
      <c r="DY285" s="5">
        <f t="shared" si="832"/>
        <v>3.7140740740740736</v>
      </c>
      <c r="DZ285" s="5"/>
      <c r="EA285" s="150">
        <f t="shared" si="833"/>
        <v>8.2568807339449546E-2</v>
      </c>
      <c r="EB285" s="150">
        <f t="shared" si="860"/>
        <v>4.1399999999999997</v>
      </c>
      <c r="EC285" s="150">
        <f t="shared" si="861"/>
        <v>0.76666666666666661</v>
      </c>
      <c r="ED285" s="150">
        <f t="shared" si="862"/>
        <v>5.4</v>
      </c>
      <c r="EE285" s="144">
        <f t="shared" si="834"/>
        <v>5.535455999999999</v>
      </c>
      <c r="EF285" s="5">
        <f t="shared" si="835"/>
        <v>0.1067796296296296</v>
      </c>
      <c r="EH285" s="150">
        <f t="shared" si="863"/>
        <v>0.27727483357371857</v>
      </c>
      <c r="EI285" s="150">
        <f t="shared" si="864"/>
        <v>0.92424944524572861</v>
      </c>
      <c r="EK285" s="456">
        <f t="shared" si="865"/>
        <v>1.5376266666666666E-3</v>
      </c>
      <c r="EL285" s="456">
        <f t="shared" si="866"/>
        <v>0.54</v>
      </c>
      <c r="EM285" s="456">
        <f t="shared" si="867"/>
        <v>3.0876847579072175E-2</v>
      </c>
      <c r="EN285" s="456">
        <f t="shared" si="868"/>
        <v>0.10565217391304349</v>
      </c>
      <c r="EO285">
        <f t="shared" si="869"/>
        <v>2.7E-2</v>
      </c>
      <c r="EP285" s="144">
        <f t="shared" si="870"/>
        <v>57.876847579072177</v>
      </c>
      <c r="EQ285" s="144"/>
      <c r="ER285" s="144">
        <f t="shared" si="871"/>
        <v>705.06664815878241</v>
      </c>
      <c r="ES285" s="456">
        <f t="shared" si="872"/>
        <v>0.57959999999999989</v>
      </c>
      <c r="EV285" s="144">
        <f t="shared" si="873"/>
        <v>579.59999999999991</v>
      </c>
      <c r="EW285" s="456">
        <f t="shared" si="874"/>
        <v>2.3064399999999999E-3</v>
      </c>
      <c r="EX285" s="456">
        <f t="shared" si="875"/>
        <v>2.5627111111111114E-2</v>
      </c>
      <c r="EY285" s="456">
        <f t="shared" si="876"/>
        <v>0.17315500288201641</v>
      </c>
      <c r="EZ285" s="456"/>
      <c r="FA285" s="456">
        <f t="shared" si="877"/>
        <v>6.8999999999999986E-4</v>
      </c>
      <c r="FB285" s="144">
        <f t="shared" si="878"/>
        <v>201.77855399312753</v>
      </c>
      <c r="FC285" s="150">
        <f t="shared" si="879"/>
        <v>1.4864452021519097</v>
      </c>
      <c r="FD285" s="5">
        <f t="shared" si="880"/>
        <v>4.1399999999999997</v>
      </c>
      <c r="FE285" s="150">
        <f t="shared" si="881"/>
        <v>0.73581095189847412</v>
      </c>
      <c r="FF285" s="5">
        <f t="shared" si="882"/>
        <v>73.581095189847417</v>
      </c>
      <c r="FI285" s="59">
        <f t="shared" si="836"/>
        <v>-50</v>
      </c>
      <c r="FJ285">
        <f t="shared" si="837"/>
        <v>-50</v>
      </c>
      <c r="FL285">
        <f t="shared" si="838"/>
        <v>0.91743119266055051</v>
      </c>
    </row>
    <row r="286" spans="5:168">
      <c r="E286" s="147">
        <v>70</v>
      </c>
      <c r="F286" s="188">
        <f t="shared" si="839"/>
        <v>0.84</v>
      </c>
      <c r="G286" s="188"/>
      <c r="H286" s="188">
        <f t="shared" si="764"/>
        <v>4.2</v>
      </c>
      <c r="I286" s="465">
        <f t="shared" si="765"/>
        <v>59.953604330068075</v>
      </c>
      <c r="J286" s="149">
        <f t="shared" si="766"/>
        <v>5.4278374019591569</v>
      </c>
      <c r="K286" s="149">
        <f t="shared" si="767"/>
        <v>65.381441732027227</v>
      </c>
      <c r="L286" s="379"/>
      <c r="M286" s="188">
        <f t="shared" si="768"/>
        <v>8.3012832408133563E-2</v>
      </c>
      <c r="N286" s="149">
        <f t="shared" si="769"/>
        <v>12.815565159427392</v>
      </c>
      <c r="O286" s="149">
        <f t="shared" si="762"/>
        <v>4.2</v>
      </c>
      <c r="P286" s="188">
        <f t="shared" si="770"/>
        <v>2.5631130318854782</v>
      </c>
      <c r="Q286" s="188">
        <f t="shared" si="771"/>
        <v>5</v>
      </c>
      <c r="R286" s="188"/>
      <c r="S286" s="149">
        <f t="shared" si="772"/>
        <v>118.68112931313517</v>
      </c>
      <c r="T286" s="149">
        <f t="shared" si="773"/>
        <v>5</v>
      </c>
      <c r="U286" s="188">
        <f t="shared" si="774"/>
        <v>1.8320867067441191</v>
      </c>
      <c r="V286" s="188">
        <f t="shared" si="775"/>
        <v>0.36670089691177149</v>
      </c>
      <c r="W286" s="188">
        <f t="shared" si="776"/>
        <v>4.050423557823235</v>
      </c>
      <c r="X286" s="172">
        <f t="shared" si="777"/>
        <v>350</v>
      </c>
      <c r="Y286" s="379">
        <f t="shared" si="840"/>
        <v>216.58502165226852</v>
      </c>
      <c r="AA286" s="188">
        <f t="shared" si="778"/>
        <v>1.1850545533597316</v>
      </c>
      <c r="AB286" s="150">
        <f t="shared" si="779"/>
        <v>2.6199485333116077</v>
      </c>
      <c r="AC286" s="150">
        <f t="shared" si="780"/>
        <v>0.54333683931958754</v>
      </c>
      <c r="AD286" s="150"/>
      <c r="AE286" s="150">
        <f t="shared" si="781"/>
        <v>2.2108252534736295</v>
      </c>
      <c r="AF286" s="314">
        <f t="shared" si="782"/>
        <v>759.89723627428202</v>
      </c>
      <c r="AG286" s="456">
        <f t="shared" si="783"/>
        <v>0.38689441935788516</v>
      </c>
      <c r="AI286" s="150">
        <f t="shared" si="784"/>
        <v>1.4734771666991189</v>
      </c>
      <c r="AJ286" s="150">
        <f t="shared" si="785"/>
        <v>1.8320867067441191</v>
      </c>
      <c r="AK286" s="150">
        <f t="shared" si="786"/>
        <v>1.8163605235141622</v>
      </c>
      <c r="AM286" s="314">
        <f t="shared" si="787"/>
        <v>840</v>
      </c>
      <c r="AN286" s="144">
        <f t="shared" si="788"/>
        <v>216.58502165226852</v>
      </c>
      <c r="AP286">
        <f t="shared" si="789"/>
        <v>840</v>
      </c>
      <c r="AQ286">
        <f t="shared" si="790"/>
        <v>216.58502165226852</v>
      </c>
      <c r="AS286" s="5">
        <f t="shared" si="763"/>
        <v>4.6171244547350065</v>
      </c>
      <c r="AT286" s="5">
        <f t="shared" si="791"/>
        <v>0.36670089691177149</v>
      </c>
      <c r="AU286" s="5">
        <f t="shared" si="722"/>
        <v>4.2504235578232352</v>
      </c>
      <c r="AV286" s="5"/>
      <c r="AW286" s="150">
        <f t="shared" si="723"/>
        <v>7.9421921697542322E-2</v>
      </c>
      <c r="AX286" s="150">
        <f t="shared" si="792"/>
        <v>4.3618599419640143</v>
      </c>
      <c r="AY286" s="150">
        <f t="shared" si="793"/>
        <v>0.84328942988898969</v>
      </c>
      <c r="AZ286" s="150">
        <f t="shared" si="794"/>
        <v>5.1724352130658247</v>
      </c>
      <c r="BA286" s="144">
        <f t="shared" si="724"/>
        <v>6.16057506811776</v>
      </c>
      <c r="BB286" s="5">
        <f t="shared" si="725"/>
        <v>0.12406662300468592</v>
      </c>
      <c r="BD286" s="150">
        <f t="shared" si="841"/>
        <v>0.29809561785531274</v>
      </c>
      <c r="BE286" s="150">
        <f t="shared" si="842"/>
        <v>1.0148823755941523</v>
      </c>
      <c r="BG286" s="456">
        <f t="shared" si="843"/>
        <v>1.777219947690813E-3</v>
      </c>
      <c r="BH286" s="456">
        <f t="shared" si="795"/>
        <v>0.48644103911162245</v>
      </c>
      <c r="BI286" s="456">
        <f t="shared" si="796"/>
        <v>0.32462631729898334</v>
      </c>
      <c r="BJ286" s="456">
        <f t="shared" si="844"/>
        <v>9.2584312267662561E-2</v>
      </c>
      <c r="BK286">
        <f t="shared" si="845"/>
        <v>2.6979121948530634E-2</v>
      </c>
      <c r="BL286" s="144">
        <f t="shared" si="846"/>
        <v>351.60543924751397</v>
      </c>
      <c r="BM286" s="456">
        <f t="shared" si="797"/>
        <v>0.5815279810560825</v>
      </c>
      <c r="BN286" s="144">
        <f t="shared" si="847"/>
        <v>581.52798105608247</v>
      </c>
      <c r="BO286" s="456">
        <f t="shared" si="798"/>
        <v>0.58799999999999997</v>
      </c>
      <c r="BR286" s="144">
        <f t="shared" si="848"/>
        <v>588</v>
      </c>
      <c r="BS286" s="456">
        <f t="shared" si="849"/>
        <v>2.6658299215362195E-3</v>
      </c>
      <c r="BT286" s="456">
        <f t="shared" si="850"/>
        <v>3.0899587088748896E-2</v>
      </c>
      <c r="BU286" s="456">
        <f t="shared" si="851"/>
        <v>0.15682168302781646</v>
      </c>
      <c r="BV286" s="456"/>
      <c r="BW286" s="456">
        <f t="shared" si="852"/>
        <v>7.2697665699400244E-4</v>
      </c>
      <c r="BX286" s="144">
        <f t="shared" si="853"/>
        <v>191.11407669509558</v>
      </c>
      <c r="BY286" s="150">
        <f t="shared" si="854"/>
        <v>1.7115220872695853</v>
      </c>
      <c r="BZ286" s="5">
        <f t="shared" si="855"/>
        <v>4.2</v>
      </c>
      <c r="CA286" s="150">
        <f t="shared" si="856"/>
        <v>0.71047691914146205</v>
      </c>
      <c r="CB286" s="5">
        <f t="shared" si="857"/>
        <v>71.047691914146199</v>
      </c>
      <c r="CE286" s="59">
        <f t="shared" si="799"/>
        <v>-50</v>
      </c>
      <c r="CF286">
        <f t="shared" si="800"/>
        <v>-50</v>
      </c>
      <c r="CG286" s="150">
        <f t="shared" si="801"/>
        <v>0.90525689275794485</v>
      </c>
      <c r="CI286" s="147">
        <v>70</v>
      </c>
      <c r="CJ286" s="188">
        <f t="shared" si="858"/>
        <v>0.84</v>
      </c>
      <c r="CK286" s="188"/>
      <c r="CL286" s="188">
        <f t="shared" si="802"/>
        <v>4.2</v>
      </c>
      <c r="CM286" s="465">
        <f t="shared" si="803"/>
        <v>60</v>
      </c>
      <c r="CN286" s="379">
        <f t="shared" si="804"/>
        <v>5.4</v>
      </c>
      <c r="CO286" s="379">
        <f t="shared" si="805"/>
        <v>65.400000000000006</v>
      </c>
      <c r="CP286" s="379"/>
      <c r="CQ286" s="188">
        <f t="shared" si="806"/>
        <v>8.2568807339449546E-2</v>
      </c>
      <c r="CR286" s="149">
        <f t="shared" si="807"/>
        <v>12.756880733944957</v>
      </c>
      <c r="CS286" s="149">
        <f t="shared" si="808"/>
        <v>4.2</v>
      </c>
      <c r="CT286" s="188">
        <f t="shared" si="809"/>
        <v>2.5513761467889915</v>
      </c>
      <c r="CU286" s="188">
        <f t="shared" si="810"/>
        <v>5</v>
      </c>
      <c r="CV286" s="188"/>
      <c r="CW286" s="149">
        <f t="shared" si="811"/>
        <v>118.77281677931531</v>
      </c>
      <c r="CX286" s="149">
        <f t="shared" si="812"/>
        <v>5</v>
      </c>
      <c r="CY286" s="188">
        <f t="shared" si="813"/>
        <v>1.6955555555555555</v>
      </c>
      <c r="CZ286" s="188">
        <f t="shared" si="814"/>
        <v>0.33911111111111109</v>
      </c>
      <c r="DA286" s="188">
        <f t="shared" si="815"/>
        <v>3.7679012345679008</v>
      </c>
      <c r="DB286" s="172">
        <f t="shared" si="816"/>
        <v>350</v>
      </c>
      <c r="DC286" s="379">
        <f t="shared" si="817"/>
        <v>243.48599805211205</v>
      </c>
      <c r="DE286" s="188">
        <f t="shared" si="818"/>
        <v>1.179554390563565</v>
      </c>
      <c r="DF286" s="150">
        <f t="shared" si="819"/>
        <v>2.6212319790301444</v>
      </c>
      <c r="DG286" s="150">
        <f t="shared" si="820"/>
        <v>0.54107999567136011</v>
      </c>
      <c r="DH286" s="150"/>
      <c r="DI286" s="150">
        <f t="shared" si="821"/>
        <v>2.2222222222222219</v>
      </c>
      <c r="DJ286" s="314">
        <f t="shared" si="822"/>
        <v>756</v>
      </c>
      <c r="DK286" s="456">
        <f t="shared" si="823"/>
        <v>0.38888888888888884</v>
      </c>
      <c r="DM286" s="150">
        <f t="shared" si="824"/>
        <v>1.4696938456699069</v>
      </c>
      <c r="DN286" s="150">
        <f t="shared" si="825"/>
        <v>1.6955555555555555</v>
      </c>
      <c r="DO286" s="150">
        <f t="shared" si="826"/>
        <v>1.7152263374485597</v>
      </c>
      <c r="DQ286" s="314">
        <f t="shared" si="827"/>
        <v>840</v>
      </c>
      <c r="DR286" s="144">
        <f t="shared" si="828"/>
        <v>243.48599805211205</v>
      </c>
      <c r="DT286">
        <f t="shared" si="829"/>
        <v>840</v>
      </c>
      <c r="DU286">
        <f t="shared" si="830"/>
        <v>243.48599805211205</v>
      </c>
      <c r="DW286" s="5">
        <f t="shared" si="859"/>
        <v>4.1070123456790117</v>
      </c>
      <c r="DX286" s="5">
        <f t="shared" si="831"/>
        <v>0.33911111111111109</v>
      </c>
      <c r="DY286" s="5">
        <f t="shared" si="832"/>
        <v>3.7679012345679008</v>
      </c>
      <c r="DZ286" s="5"/>
      <c r="EA286" s="150">
        <f t="shared" si="833"/>
        <v>8.2568807339449546E-2</v>
      </c>
      <c r="EB286" s="150">
        <f t="shared" si="860"/>
        <v>4.2</v>
      </c>
      <c r="EC286" s="150">
        <f t="shared" si="861"/>
        <v>0.77777777777777779</v>
      </c>
      <c r="ED286" s="150">
        <f t="shared" si="862"/>
        <v>5.4</v>
      </c>
      <c r="EE286" s="144">
        <f t="shared" si="834"/>
        <v>5.6970666666666663</v>
      </c>
      <c r="EF286" s="5">
        <f t="shared" si="835"/>
        <v>0.10989711934156376</v>
      </c>
      <c r="EH286" s="150">
        <f t="shared" si="863"/>
        <v>0.28129330942261305</v>
      </c>
      <c r="EI286" s="150">
        <f t="shared" si="864"/>
        <v>0.9376443647420436</v>
      </c>
      <c r="EK286" s="456">
        <f t="shared" si="865"/>
        <v>1.5825185185185187E-3</v>
      </c>
      <c r="EL286" s="456">
        <f t="shared" si="866"/>
        <v>0.54000000000000015</v>
      </c>
      <c r="EM286" s="456">
        <f t="shared" si="867"/>
        <v>3.0435749756514002E-2</v>
      </c>
      <c r="EN286" s="456">
        <f t="shared" si="868"/>
        <v>0.10414285714285718</v>
      </c>
      <c r="EO286">
        <f t="shared" si="869"/>
        <v>2.7E-2</v>
      </c>
      <c r="EP286" s="144">
        <f t="shared" si="870"/>
        <v>57.435749756513999</v>
      </c>
      <c r="EQ286" s="144"/>
      <c r="ER286" s="144">
        <f t="shared" si="871"/>
        <v>703.16112541788993</v>
      </c>
      <c r="ES286" s="456">
        <f t="shared" si="872"/>
        <v>0.58799999999999997</v>
      </c>
      <c r="EV286" s="144">
        <f t="shared" si="873"/>
        <v>588</v>
      </c>
      <c r="EW286" s="456">
        <f t="shared" si="874"/>
        <v>2.373777777777778E-3</v>
      </c>
      <c r="EX286" s="456">
        <f t="shared" si="875"/>
        <v>2.6375308641975313E-2</v>
      </c>
      <c r="EY286" s="456">
        <f t="shared" si="876"/>
        <v>0.17315500288201627</v>
      </c>
      <c r="EZ286" s="456"/>
      <c r="FA286" s="456">
        <f t="shared" si="877"/>
        <v>7.000000000000001E-4</v>
      </c>
      <c r="FB286" s="144">
        <f t="shared" si="878"/>
        <v>202.60408930176936</v>
      </c>
      <c r="FC286" s="150">
        <f t="shared" si="879"/>
        <v>1.4937652147196592</v>
      </c>
      <c r="FD286" s="5">
        <f t="shared" si="880"/>
        <v>4.2</v>
      </c>
      <c r="FE286" s="150">
        <f t="shared" si="881"/>
        <v>0.73764896191048734</v>
      </c>
      <c r="FF286" s="5">
        <f t="shared" si="882"/>
        <v>73.764896191048734</v>
      </c>
      <c r="FI286" s="59">
        <f t="shared" si="836"/>
        <v>-50</v>
      </c>
      <c r="FJ286">
        <f t="shared" si="837"/>
        <v>-50</v>
      </c>
      <c r="FL286">
        <f t="shared" si="838"/>
        <v>0.91743119266055051</v>
      </c>
    </row>
    <row r="287" spans="5:168">
      <c r="E287" s="147">
        <v>71</v>
      </c>
      <c r="F287" s="188">
        <f t="shared" si="839"/>
        <v>0.85199999999999998</v>
      </c>
      <c r="G287" s="188"/>
      <c r="H287" s="188">
        <f t="shared" si="764"/>
        <v>4.26</v>
      </c>
      <c r="I287" s="465">
        <f t="shared" si="765"/>
        <v>59.95295044666296</v>
      </c>
      <c r="J287" s="149">
        <f t="shared" si="766"/>
        <v>5.4282297320022259</v>
      </c>
      <c r="K287" s="149">
        <f t="shared" si="767"/>
        <v>65.38118017866519</v>
      </c>
      <c r="L287" s="379"/>
      <c r="M287" s="188">
        <f t="shared" si="768"/>
        <v>8.3019166169870734E-2</v>
      </c>
      <c r="N287" s="149">
        <f t="shared" si="769"/>
        <v>12.816403185426761</v>
      </c>
      <c r="O287" s="149">
        <f t="shared" si="762"/>
        <v>4.26</v>
      </c>
      <c r="P287" s="188">
        <f t="shared" si="770"/>
        <v>2.5632806370853523</v>
      </c>
      <c r="Q287" s="188">
        <f t="shared" si="771"/>
        <v>5</v>
      </c>
      <c r="R287" s="188"/>
      <c r="S287" s="149">
        <f t="shared" si="772"/>
        <v>116.171052951677</v>
      </c>
      <c r="T287" s="149">
        <f t="shared" si="773"/>
        <v>5</v>
      </c>
      <c r="U287" s="188">
        <f t="shared" si="774"/>
        <v>1.8582722093356929</v>
      </c>
      <c r="V287" s="188">
        <f t="shared" si="775"/>
        <v>0.37194610683700746</v>
      </c>
      <c r="W287" s="188">
        <f t="shared" si="776"/>
        <v>4.1080181961648732</v>
      </c>
      <c r="X287" s="172">
        <f t="shared" si="777"/>
        <v>350</v>
      </c>
      <c r="Y287" s="379">
        <f t="shared" si="840"/>
        <v>213.67684350894891</v>
      </c>
      <c r="AA287" s="188">
        <f t="shared" si="778"/>
        <v>1.1851320257112152</v>
      </c>
      <c r="AB287" s="150">
        <f t="shared" si="779"/>
        <v>2.6199304396958327</v>
      </c>
      <c r="AC287" s="150">
        <f t="shared" si="780"/>
        <v>0.54336860711335944</v>
      </c>
      <c r="AD287" s="150"/>
      <c r="AE287" s="150">
        <f t="shared" si="781"/>
        <v>2.2106654641482444</v>
      </c>
      <c r="AF287" s="314">
        <f t="shared" si="782"/>
        <v>770.80862194431609</v>
      </c>
      <c r="AG287" s="456">
        <f t="shared" si="783"/>
        <v>0.38686645622594273</v>
      </c>
      <c r="AI287" s="150">
        <f t="shared" si="784"/>
        <v>1.4840183113467069</v>
      </c>
      <c r="AJ287" s="150">
        <f t="shared" si="785"/>
        <v>1.8582722093356929</v>
      </c>
      <c r="AK287" s="150">
        <f t="shared" si="786"/>
        <v>1.8357571921005134</v>
      </c>
      <c r="AM287" s="314">
        <f t="shared" si="787"/>
        <v>852</v>
      </c>
      <c r="AN287" s="144">
        <f t="shared" si="788"/>
        <v>213.67684350894891</v>
      </c>
      <c r="AP287">
        <f t="shared" si="789"/>
        <v>852</v>
      </c>
      <c r="AQ287">
        <f t="shared" si="790"/>
        <v>213.67684350894891</v>
      </c>
      <c r="AS287" s="5">
        <f t="shared" si="763"/>
        <v>4.6799643030018805</v>
      </c>
      <c r="AT287" s="5">
        <f t="shared" si="791"/>
        <v>0.37194610683700746</v>
      </c>
      <c r="AU287" s="5">
        <f t="shared" si="722"/>
        <v>4.3080181961648734</v>
      </c>
      <c r="AV287" s="5"/>
      <c r="AW287" s="150">
        <f t="shared" si="723"/>
        <v>7.9476270064374036E-2</v>
      </c>
      <c r="AX287" s="150">
        <f t="shared" si="792"/>
        <v>4.4271819788553248</v>
      </c>
      <c r="AY287" s="150">
        <f t="shared" si="793"/>
        <v>0.85529183268670417</v>
      </c>
      <c r="AZ287" s="150">
        <f t="shared" si="794"/>
        <v>5.1762238450802727</v>
      </c>
      <c r="BA287" s="144">
        <f t="shared" si="724"/>
        <v>6.3379616605026072</v>
      </c>
      <c r="BB287" s="5">
        <f t="shared" si="725"/>
        <v>0.12754555432589681</v>
      </c>
      <c r="BD287" s="150">
        <f t="shared" si="841"/>
        <v>0.30245964848354351</v>
      </c>
      <c r="BE287" s="150">
        <f t="shared" si="842"/>
        <v>1.0293574188309569</v>
      </c>
      <c r="BG287" s="456">
        <f t="shared" si="843"/>
        <v>1.8296367792157743E-3</v>
      </c>
      <c r="BH287" s="456">
        <f t="shared" si="795"/>
        <v>0.48676665410801734</v>
      </c>
      <c r="BI287" s="456">
        <f t="shared" si="796"/>
        <v>0.32026393026228422</v>
      </c>
      <c r="BJ287" s="456">
        <f t="shared" si="844"/>
        <v>9.1340412977362909E-2</v>
      </c>
      <c r="BK287">
        <f t="shared" si="845"/>
        <v>2.6978827700998333E-2</v>
      </c>
      <c r="BL287" s="144">
        <f t="shared" si="846"/>
        <v>347.2427579632826</v>
      </c>
      <c r="BM287" s="456">
        <f t="shared" si="797"/>
        <v>0.58068314135662558</v>
      </c>
      <c r="BN287" s="144">
        <f t="shared" si="847"/>
        <v>580.68314135662558</v>
      </c>
      <c r="BO287" s="456">
        <f t="shared" si="798"/>
        <v>0.59639999999999993</v>
      </c>
      <c r="BR287" s="144">
        <f t="shared" si="848"/>
        <v>596.4</v>
      </c>
      <c r="BS287" s="456">
        <f t="shared" si="849"/>
        <v>2.744455168823661E-3</v>
      </c>
      <c r="BT287" s="456">
        <f t="shared" si="850"/>
        <v>3.1787300871069901E-2</v>
      </c>
      <c r="BU287" s="456">
        <f t="shared" si="851"/>
        <v>0.15708581994020299</v>
      </c>
      <c r="BV287" s="456"/>
      <c r="BW287" s="456">
        <f t="shared" si="852"/>
        <v>7.3786366314255417E-4</v>
      </c>
      <c r="BX287" s="144">
        <f t="shared" si="853"/>
        <v>192.35543964323909</v>
      </c>
      <c r="BY287" s="150">
        <f t="shared" si="854"/>
        <v>1.7159349014711174</v>
      </c>
      <c r="BZ287" s="5">
        <f t="shared" si="855"/>
        <v>4.26</v>
      </c>
      <c r="CA287" s="150">
        <f t="shared" si="856"/>
        <v>0.71285917103134788</v>
      </c>
      <c r="CB287" s="5">
        <f t="shared" si="857"/>
        <v>71.285917103134793</v>
      </c>
      <c r="CE287" s="59">
        <f t="shared" si="799"/>
        <v>-50</v>
      </c>
      <c r="CF287">
        <f t="shared" si="800"/>
        <v>-50</v>
      </c>
      <c r="CG287" s="150">
        <f t="shared" si="801"/>
        <v>0.90542836177065755</v>
      </c>
      <c r="CI287" s="147">
        <v>71</v>
      </c>
      <c r="CJ287" s="188">
        <f t="shared" si="858"/>
        <v>0.85199999999999998</v>
      </c>
      <c r="CK287" s="188"/>
      <c r="CL287" s="188">
        <f t="shared" si="802"/>
        <v>4.26</v>
      </c>
      <c r="CM287" s="465">
        <f t="shared" si="803"/>
        <v>60</v>
      </c>
      <c r="CN287" s="379">
        <f t="shared" si="804"/>
        <v>5.4</v>
      </c>
      <c r="CO287" s="379">
        <f t="shared" si="805"/>
        <v>65.400000000000006</v>
      </c>
      <c r="CP287" s="379"/>
      <c r="CQ287" s="188">
        <f t="shared" si="806"/>
        <v>8.2568807339449546E-2</v>
      </c>
      <c r="CR287" s="149">
        <f t="shared" si="807"/>
        <v>12.756880733944957</v>
      </c>
      <c r="CS287" s="149">
        <f t="shared" si="808"/>
        <v>4.26</v>
      </c>
      <c r="CT287" s="188">
        <f t="shared" si="809"/>
        <v>2.5513761467889915</v>
      </c>
      <c r="CU287" s="188">
        <f t="shared" si="810"/>
        <v>5</v>
      </c>
      <c r="CV287" s="188"/>
      <c r="CW287" s="149">
        <f t="shared" si="811"/>
        <v>116.26206043621035</v>
      </c>
      <c r="CX287" s="149">
        <f t="shared" si="812"/>
        <v>5</v>
      </c>
      <c r="CY287" s="188">
        <f t="shared" si="813"/>
        <v>1.7197777777777776</v>
      </c>
      <c r="CZ287" s="188">
        <f t="shared" si="814"/>
        <v>0.34395555555555557</v>
      </c>
      <c r="DA287" s="188">
        <f t="shared" si="815"/>
        <v>3.8217283950617285</v>
      </c>
      <c r="DB287" s="172">
        <f t="shared" si="816"/>
        <v>350</v>
      </c>
      <c r="DC287" s="379">
        <f t="shared" si="817"/>
        <v>240.05661779785692</v>
      </c>
      <c r="DE287" s="188">
        <f t="shared" si="818"/>
        <v>1.179554390563565</v>
      </c>
      <c r="DF287" s="150">
        <f t="shared" si="819"/>
        <v>2.6212319790301444</v>
      </c>
      <c r="DG287" s="150">
        <f t="shared" si="820"/>
        <v>0.54107999567136011</v>
      </c>
      <c r="DH287" s="150"/>
      <c r="DI287" s="150">
        <f t="shared" si="821"/>
        <v>2.2222222222222219</v>
      </c>
      <c r="DJ287" s="314">
        <f t="shared" si="822"/>
        <v>766.8</v>
      </c>
      <c r="DK287" s="456">
        <f t="shared" si="823"/>
        <v>0.38888888888888884</v>
      </c>
      <c r="DM287" s="150">
        <f t="shared" si="824"/>
        <v>1.4801544320972535</v>
      </c>
      <c r="DN287" s="150">
        <f t="shared" si="825"/>
        <v>1.7197777777777776</v>
      </c>
      <c r="DO287" s="150">
        <f t="shared" si="826"/>
        <v>1.7331687242798353</v>
      </c>
      <c r="DQ287" s="314">
        <f t="shared" si="827"/>
        <v>852</v>
      </c>
      <c r="DR287" s="144">
        <f t="shared" si="828"/>
        <v>240.05661779785692</v>
      </c>
      <c r="DT287">
        <f t="shared" si="829"/>
        <v>852</v>
      </c>
      <c r="DU287">
        <f t="shared" si="830"/>
        <v>240.05661779785692</v>
      </c>
      <c r="DW287" s="5">
        <f t="shared" si="859"/>
        <v>4.1656839506172831</v>
      </c>
      <c r="DX287" s="5">
        <f t="shared" si="831"/>
        <v>0.34395555555555557</v>
      </c>
      <c r="DY287" s="5">
        <f t="shared" si="832"/>
        <v>3.8217283950617276</v>
      </c>
      <c r="DZ287" s="5"/>
      <c r="EA287" s="150">
        <f t="shared" si="833"/>
        <v>8.256880733944956E-2</v>
      </c>
      <c r="EB287" s="150">
        <f t="shared" si="860"/>
        <v>4.2599999999999989</v>
      </c>
      <c r="EC287" s="150">
        <f t="shared" si="861"/>
        <v>0.78888888888888875</v>
      </c>
      <c r="ED287" s="150">
        <f t="shared" si="862"/>
        <v>5.3999999999999995</v>
      </c>
      <c r="EE287" s="144">
        <f t="shared" si="834"/>
        <v>5.8610026666666668</v>
      </c>
      <c r="EF287" s="5">
        <f t="shared" si="835"/>
        <v>0.11305946502057608</v>
      </c>
      <c r="EH287" s="150">
        <f t="shared" si="863"/>
        <v>0.28531178527150752</v>
      </c>
      <c r="EI287" s="150">
        <f t="shared" si="864"/>
        <v>0.95103928423835826</v>
      </c>
      <c r="EK287" s="456">
        <f t="shared" si="865"/>
        <v>1.6280562962962964E-3</v>
      </c>
      <c r="EL287" s="456">
        <f t="shared" si="866"/>
        <v>0.54</v>
      </c>
      <c r="EM287" s="456">
        <f t="shared" si="867"/>
        <v>3.0007077224732111E-2</v>
      </c>
      <c r="EN287" s="456">
        <f t="shared" si="868"/>
        <v>0.10267605633802819</v>
      </c>
      <c r="EO287">
        <f t="shared" si="869"/>
        <v>2.7E-2</v>
      </c>
      <c r="EP287" s="144">
        <f t="shared" si="870"/>
        <v>57.007077224732114</v>
      </c>
      <c r="EQ287" s="144"/>
      <c r="ER287" s="144">
        <f t="shared" si="871"/>
        <v>701.31118985905664</v>
      </c>
      <c r="ES287" s="456">
        <f t="shared" si="872"/>
        <v>0.59639999999999993</v>
      </c>
      <c r="EV287" s="144">
        <f t="shared" si="873"/>
        <v>596.4</v>
      </c>
      <c r="EW287" s="456">
        <f t="shared" si="874"/>
        <v>2.4420844444444445E-3</v>
      </c>
      <c r="EX287" s="456">
        <f t="shared" si="875"/>
        <v>2.7134271604938261E-2</v>
      </c>
      <c r="EY287" s="456">
        <f t="shared" si="876"/>
        <v>0.17315500288201641</v>
      </c>
      <c r="EZ287" s="456"/>
      <c r="FA287" s="456">
        <f t="shared" si="877"/>
        <v>7.1000000000000002E-4</v>
      </c>
      <c r="FB287" s="144">
        <f t="shared" si="878"/>
        <v>203.44135893139909</v>
      </c>
      <c r="FC287" s="150">
        <f t="shared" si="879"/>
        <v>1.5011525487904556</v>
      </c>
      <c r="FD287" s="5">
        <f t="shared" si="880"/>
        <v>4.26</v>
      </c>
      <c r="FE287" s="150">
        <f t="shared" si="881"/>
        <v>0.73943537580763763</v>
      </c>
      <c r="FF287" s="5">
        <f t="shared" si="882"/>
        <v>73.94353758076376</v>
      </c>
      <c r="FI287" s="59">
        <f t="shared" si="836"/>
        <v>-50</v>
      </c>
      <c r="FJ287">
        <f t="shared" si="837"/>
        <v>-50</v>
      </c>
      <c r="FL287">
        <f t="shared" si="838"/>
        <v>0.9174311926605504</v>
      </c>
    </row>
    <row r="288" spans="5:168">
      <c r="E288" s="147">
        <v>72</v>
      </c>
      <c r="F288" s="188">
        <f t="shared" si="839"/>
        <v>0.86399999999999999</v>
      </c>
      <c r="G288" s="188"/>
      <c r="H288" s="188">
        <f t="shared" si="764"/>
        <v>4.32</v>
      </c>
      <c r="I288" s="465">
        <f t="shared" si="765"/>
        <v>59.952296559976766</v>
      </c>
      <c r="J288" s="149">
        <f t="shared" si="766"/>
        <v>5.4286220640139415</v>
      </c>
      <c r="K288" s="149">
        <f t="shared" si="767"/>
        <v>65.380918623990709</v>
      </c>
      <c r="L288" s="379"/>
      <c r="M288" s="188">
        <f t="shared" si="768"/>
        <v>8.3025499986437087E-2</v>
      </c>
      <c r="N288" s="149">
        <f t="shared" si="769"/>
        <v>12.817241197860101</v>
      </c>
      <c r="O288" s="149">
        <f t="shared" si="762"/>
        <v>4.32</v>
      </c>
      <c r="P288" s="188">
        <f t="shared" si="770"/>
        <v>2.5634482395720202</v>
      </c>
      <c r="Q288" s="188">
        <f t="shared" si="771"/>
        <v>5</v>
      </c>
      <c r="R288" s="188"/>
      <c r="S288" s="149">
        <f t="shared" si="772"/>
        <v>113.73090143000415</v>
      </c>
      <c r="T288" s="149">
        <f t="shared" si="773"/>
        <v>5</v>
      </c>
      <c r="U288" s="188">
        <f t="shared" si="774"/>
        <v>1.8844580737789776</v>
      </c>
      <c r="V288" s="188">
        <f t="shared" si="775"/>
        <v>0.37719150362697124</v>
      </c>
      <c r="W288" s="188">
        <f t="shared" si="776"/>
        <v>4.165605308067299</v>
      </c>
      <c r="X288" s="172">
        <f t="shared" si="777"/>
        <v>350</v>
      </c>
      <c r="Y288" s="379">
        <f t="shared" si="840"/>
        <v>210.84605554560324</v>
      </c>
      <c r="AA288" s="188">
        <f t="shared" si="778"/>
        <v>1.1852094972028318</v>
      </c>
      <c r="AB288" s="150">
        <f t="shared" si="779"/>
        <v>2.6199123458445008</v>
      </c>
      <c r="AC288" s="150">
        <f t="shared" si="780"/>
        <v>0.54340037397342411</v>
      </c>
      <c r="AD288" s="150"/>
      <c r="AE288" s="150">
        <f t="shared" si="781"/>
        <v>2.2105056971173935</v>
      </c>
      <c r="AF288" s="314">
        <f t="shared" si="782"/>
        <v>781.7215772180075</v>
      </c>
      <c r="AG288" s="456">
        <f t="shared" si="783"/>
        <v>0.38683849699554379</v>
      </c>
      <c r="AI288" s="150">
        <f t="shared" si="784"/>
        <v>1.4944866077094432</v>
      </c>
      <c r="AJ288" s="150">
        <f t="shared" si="785"/>
        <v>1.8844580737789776</v>
      </c>
      <c r="AK288" s="150">
        <f t="shared" si="786"/>
        <v>1.8551541287251685</v>
      </c>
      <c r="AM288" s="314">
        <f t="shared" si="787"/>
        <v>864</v>
      </c>
      <c r="AN288" s="144">
        <f t="shared" si="788"/>
        <v>210.84605554560324</v>
      </c>
      <c r="AP288">
        <f t="shared" si="789"/>
        <v>864</v>
      </c>
      <c r="AQ288">
        <f t="shared" si="790"/>
        <v>210.84605554560324</v>
      </c>
      <c r="AS288" s="5">
        <f t="shared" si="763"/>
        <v>4.7427968116942703</v>
      </c>
      <c r="AT288" s="5">
        <f t="shared" si="791"/>
        <v>0.37719150362697124</v>
      </c>
      <c r="AU288" s="5">
        <f t="shared" si="722"/>
        <v>4.3656053080672992</v>
      </c>
      <c r="AV288" s="5"/>
      <c r="AW288" s="150">
        <f t="shared" si="723"/>
        <v>7.9529340725061973E-2</v>
      </c>
      <c r="AX288" s="150">
        <f t="shared" si="792"/>
        <v>4.4925165966309049</v>
      </c>
      <c r="AY288" s="150">
        <f t="shared" si="793"/>
        <v>0.86729418277365755</v>
      </c>
      <c r="AZ288" s="150">
        <f t="shared" si="794"/>
        <v>5.1799224367717693</v>
      </c>
      <c r="BA288" s="144">
        <f t="shared" si="724"/>
        <v>6.5178691826740636</v>
      </c>
      <c r="BB288" s="5">
        <f t="shared" si="725"/>
        <v>0.13107236929047147</v>
      </c>
      <c r="BD288" s="150">
        <f t="shared" si="841"/>
        <v>0.30682415251087808</v>
      </c>
      <c r="BE288" s="150">
        <f t="shared" si="842"/>
        <v>1.0438325296934559</v>
      </c>
      <c r="BG288" s="456">
        <f t="shared" si="843"/>
        <v>1.8828212112803715E-3</v>
      </c>
      <c r="BH288" s="456">
        <f t="shared" si="795"/>
        <v>0.48708443376282384</v>
      </c>
      <c r="BI288" s="456">
        <f t="shared" si="796"/>
        <v>0.31601763126428345</v>
      </c>
      <c r="BJ288" s="456">
        <f t="shared" si="844"/>
        <v>9.0129615284738632E-2</v>
      </c>
      <c r="BK288">
        <f t="shared" si="845"/>
        <v>2.6978533451989545E-2</v>
      </c>
      <c r="BL288" s="144">
        <f t="shared" si="846"/>
        <v>342.99616471627297</v>
      </c>
      <c r="BM288" s="456">
        <f t="shared" si="797"/>
        <v>0.57986463925661791</v>
      </c>
      <c r="BN288" s="144">
        <f t="shared" si="847"/>
        <v>579.86463925661792</v>
      </c>
      <c r="BO288" s="456">
        <f t="shared" si="798"/>
        <v>0.6048</v>
      </c>
      <c r="BR288" s="144">
        <f t="shared" si="848"/>
        <v>604.79999999999995</v>
      </c>
      <c r="BS288" s="456">
        <f t="shared" si="849"/>
        <v>2.8242318169205568E-3</v>
      </c>
      <c r="BT288" s="456">
        <f t="shared" si="850"/>
        <v>3.2687590501387184E-2</v>
      </c>
      <c r="BU288" s="456">
        <f t="shared" si="851"/>
        <v>0.1573438979879177</v>
      </c>
      <c r="BV288" s="456"/>
      <c r="BW288" s="456">
        <f t="shared" si="852"/>
        <v>7.4875276610515077E-4</v>
      </c>
      <c r="BX288" s="144">
        <f t="shared" si="853"/>
        <v>193.60447307233059</v>
      </c>
      <c r="BY288" s="150">
        <f t="shared" si="854"/>
        <v>1.7204975080474467</v>
      </c>
      <c r="BZ288" s="5">
        <f t="shared" si="855"/>
        <v>4.32</v>
      </c>
      <c r="CA288" s="150">
        <f t="shared" si="856"/>
        <v>0.7151728800888808</v>
      </c>
      <c r="CB288" s="5">
        <f t="shared" si="857"/>
        <v>71.517288008888073</v>
      </c>
      <c r="CE288" s="59">
        <f t="shared" si="799"/>
        <v>-50</v>
      </c>
      <c r="CF288">
        <f t="shared" si="800"/>
        <v>-50</v>
      </c>
      <c r="CG288" s="150">
        <f t="shared" si="801"/>
        <v>0.90559506775523935</v>
      </c>
      <c r="CI288" s="147">
        <v>72</v>
      </c>
      <c r="CJ288" s="188">
        <f t="shared" si="858"/>
        <v>0.86399999999999999</v>
      </c>
      <c r="CK288" s="188"/>
      <c r="CL288" s="188">
        <f t="shared" si="802"/>
        <v>4.32</v>
      </c>
      <c r="CM288" s="465">
        <f t="shared" si="803"/>
        <v>60</v>
      </c>
      <c r="CN288" s="379">
        <f t="shared" si="804"/>
        <v>5.4</v>
      </c>
      <c r="CO288" s="379">
        <f t="shared" si="805"/>
        <v>65.400000000000006</v>
      </c>
      <c r="CP288" s="379"/>
      <c r="CQ288" s="188">
        <f t="shared" si="806"/>
        <v>8.2568807339449546E-2</v>
      </c>
      <c r="CR288" s="149">
        <f t="shared" si="807"/>
        <v>12.756880733944957</v>
      </c>
      <c r="CS288" s="149">
        <f t="shared" si="808"/>
        <v>4.32</v>
      </c>
      <c r="CT288" s="188">
        <f t="shared" si="809"/>
        <v>2.5513761467889915</v>
      </c>
      <c r="CU288" s="188">
        <f t="shared" si="810"/>
        <v>5</v>
      </c>
      <c r="CV288" s="188"/>
      <c r="CW288" s="149">
        <f t="shared" si="811"/>
        <v>113.82122966849013</v>
      </c>
      <c r="CX288" s="149">
        <f t="shared" si="812"/>
        <v>5</v>
      </c>
      <c r="CY288" s="188">
        <f t="shared" si="813"/>
        <v>1.744</v>
      </c>
      <c r="CZ288" s="188">
        <f t="shared" si="814"/>
        <v>0.3488</v>
      </c>
      <c r="DA288" s="188">
        <f t="shared" si="815"/>
        <v>3.8755555555555548</v>
      </c>
      <c r="DB288" s="172">
        <f t="shared" si="816"/>
        <v>350</v>
      </c>
      <c r="DC288" s="379">
        <f t="shared" si="817"/>
        <v>236.72249810622006</v>
      </c>
      <c r="DE288" s="188">
        <f t="shared" si="818"/>
        <v>1.179554390563565</v>
      </c>
      <c r="DF288" s="150">
        <f t="shared" si="819"/>
        <v>2.6212319790301444</v>
      </c>
      <c r="DG288" s="150">
        <f t="shared" si="820"/>
        <v>0.54107999567136011</v>
      </c>
      <c r="DH288" s="150"/>
      <c r="DI288" s="150">
        <f t="shared" si="821"/>
        <v>2.2222222222222219</v>
      </c>
      <c r="DJ288" s="314">
        <f t="shared" si="822"/>
        <v>777.6</v>
      </c>
      <c r="DK288" s="456">
        <f t="shared" si="823"/>
        <v>0.38888888888888884</v>
      </c>
      <c r="DM288" s="150">
        <f t="shared" si="824"/>
        <v>1.4905416081794851</v>
      </c>
      <c r="DN288" s="150">
        <f t="shared" si="825"/>
        <v>1.744</v>
      </c>
      <c r="DO288" s="150">
        <f t="shared" si="826"/>
        <v>1.7511111111111111</v>
      </c>
      <c r="DQ288" s="314">
        <f t="shared" si="827"/>
        <v>864</v>
      </c>
      <c r="DR288" s="144">
        <f t="shared" si="828"/>
        <v>236.72249810622006</v>
      </c>
      <c r="DT288">
        <f t="shared" si="829"/>
        <v>864</v>
      </c>
      <c r="DU288">
        <f t="shared" si="830"/>
        <v>236.72249810622006</v>
      </c>
      <c r="DW288" s="5">
        <f t="shared" si="859"/>
        <v>4.2243555555555545</v>
      </c>
      <c r="DX288" s="5">
        <f t="shared" si="831"/>
        <v>0.3488</v>
      </c>
      <c r="DY288" s="5">
        <f t="shared" si="832"/>
        <v>3.8755555555555548</v>
      </c>
      <c r="DZ288" s="5"/>
      <c r="EA288" s="150">
        <f t="shared" si="833"/>
        <v>8.256880733944956E-2</v>
      </c>
      <c r="EB288" s="150">
        <f t="shared" si="860"/>
        <v>4.32</v>
      </c>
      <c r="EC288" s="150">
        <f t="shared" si="861"/>
        <v>0.79999999999999993</v>
      </c>
      <c r="ED288" s="150">
        <f t="shared" si="862"/>
        <v>5.4000000000000012</v>
      </c>
      <c r="EE288" s="144">
        <f t="shared" si="834"/>
        <v>6.0272639999999997</v>
      </c>
      <c r="EF288" s="5">
        <f t="shared" si="835"/>
        <v>0.11626666666666663</v>
      </c>
      <c r="EH288" s="150">
        <f t="shared" si="863"/>
        <v>0.289330261120402</v>
      </c>
      <c r="EI288" s="150">
        <f t="shared" si="864"/>
        <v>0.96443420373467326</v>
      </c>
      <c r="EK288" s="456">
        <f t="shared" si="865"/>
        <v>1.6742400000000002E-3</v>
      </c>
      <c r="EL288" s="456">
        <f t="shared" si="866"/>
        <v>0.54000000000000015</v>
      </c>
      <c r="EM288" s="456">
        <f t="shared" si="867"/>
        <v>2.9590312263277505E-2</v>
      </c>
      <c r="EN288" s="456">
        <f t="shared" si="868"/>
        <v>0.10125000000000003</v>
      </c>
      <c r="EO288">
        <f t="shared" si="869"/>
        <v>2.7E-2</v>
      </c>
      <c r="EP288" s="144">
        <f t="shared" si="870"/>
        <v>56.590312263277504</v>
      </c>
      <c r="EQ288" s="144"/>
      <c r="ER288" s="144">
        <f t="shared" si="871"/>
        <v>699.51455226327778</v>
      </c>
      <c r="ES288" s="456">
        <f t="shared" si="872"/>
        <v>0.6048</v>
      </c>
      <c r="EV288" s="144">
        <f t="shared" si="873"/>
        <v>604.79999999999995</v>
      </c>
      <c r="EW288" s="456">
        <f t="shared" si="874"/>
        <v>2.5113600000000002E-3</v>
      </c>
      <c r="EX288" s="456">
        <f t="shared" si="875"/>
        <v>2.7903999999999998E-2</v>
      </c>
      <c r="EY288" s="456">
        <f t="shared" si="876"/>
        <v>0.1731550028820166</v>
      </c>
      <c r="EZ288" s="456"/>
      <c r="FA288" s="456">
        <f t="shared" si="877"/>
        <v>7.2000000000000005E-4</v>
      </c>
      <c r="FB288" s="144">
        <f t="shared" si="878"/>
        <v>204.29036288201661</v>
      </c>
      <c r="FC288" s="150">
        <f t="shared" si="879"/>
        <v>1.5086049151452943</v>
      </c>
      <c r="FD288" s="5">
        <f t="shared" si="880"/>
        <v>4.32</v>
      </c>
      <c r="FE288" s="150">
        <f t="shared" si="881"/>
        <v>0.74117221237190545</v>
      </c>
      <c r="FF288" s="5">
        <f t="shared" si="882"/>
        <v>74.117221237190549</v>
      </c>
      <c r="FI288" s="59">
        <f t="shared" si="836"/>
        <v>-50</v>
      </c>
      <c r="FJ288">
        <f t="shared" si="837"/>
        <v>-50</v>
      </c>
      <c r="FL288">
        <f t="shared" si="838"/>
        <v>0.9174311926605504</v>
      </c>
    </row>
    <row r="289" spans="5:168">
      <c r="E289" s="147">
        <v>73</v>
      </c>
      <c r="F289" s="188">
        <f t="shared" si="839"/>
        <v>0.876</v>
      </c>
      <c r="G289" s="188"/>
      <c r="H289" s="188">
        <f t="shared" si="764"/>
        <v>4.38</v>
      </c>
      <c r="I289" s="465">
        <f t="shared" si="765"/>
        <v>59.951642670146072</v>
      </c>
      <c r="J289" s="149">
        <f t="shared" si="766"/>
        <v>5.4290143979123577</v>
      </c>
      <c r="K289" s="149">
        <f t="shared" si="767"/>
        <v>65.380657068058426</v>
      </c>
      <c r="L289" s="379"/>
      <c r="M289" s="188">
        <f t="shared" si="768"/>
        <v>8.3031833857660733E-2</v>
      </c>
      <c r="N289" s="149">
        <f t="shared" si="769"/>
        <v>12.81807919672964</v>
      </c>
      <c r="O289" s="149">
        <f t="shared" si="762"/>
        <v>4.38</v>
      </c>
      <c r="P289" s="188">
        <f t="shared" si="770"/>
        <v>2.5636158393459278</v>
      </c>
      <c r="Q289" s="188">
        <f t="shared" si="771"/>
        <v>5</v>
      </c>
      <c r="R289" s="188"/>
      <c r="S289" s="149">
        <f t="shared" si="772"/>
        <v>111.35780498662676</v>
      </c>
      <c r="T289" s="149">
        <f t="shared" si="773"/>
        <v>5</v>
      </c>
      <c r="U289" s="188">
        <f t="shared" si="774"/>
        <v>1.9106443000858113</v>
      </c>
      <c r="V289" s="188">
        <f t="shared" si="775"/>
        <v>0.3824370872901367</v>
      </c>
      <c r="W289" s="188">
        <f t="shared" si="776"/>
        <v>4.2231848951894913</v>
      </c>
      <c r="X289" s="172">
        <f t="shared" si="777"/>
        <v>350</v>
      </c>
      <c r="Y289" s="379">
        <f t="shared" si="840"/>
        <v>208.08960913817344</v>
      </c>
      <c r="AA289" s="188">
        <f t="shared" si="778"/>
        <v>1.185286967818366</v>
      </c>
      <c r="AB289" s="150">
        <f t="shared" si="779"/>
        <v>2.6198942517613868</v>
      </c>
      <c r="AC289" s="150">
        <f t="shared" si="780"/>
        <v>0.54343213989312866</v>
      </c>
      <c r="AD289" s="150"/>
      <c r="AE289" s="150">
        <f t="shared" si="781"/>
        <v>2.2103459524097802</v>
      </c>
      <c r="AF289" s="314">
        <f t="shared" si="782"/>
        <v>792.63610209520425</v>
      </c>
      <c r="AG289" s="456">
        <f t="shared" si="783"/>
        <v>0.38681054167171153</v>
      </c>
      <c r="AI289" s="150">
        <f t="shared" si="784"/>
        <v>1.5048835760333319</v>
      </c>
      <c r="AJ289" s="150">
        <f t="shared" si="785"/>
        <v>1.9106443000858113</v>
      </c>
      <c r="AK289" s="150">
        <f t="shared" si="786"/>
        <v>1.8745513333968973</v>
      </c>
      <c r="AM289" s="314">
        <f t="shared" si="787"/>
        <v>876</v>
      </c>
      <c r="AN289" s="144">
        <f t="shared" si="788"/>
        <v>208.08960913817344</v>
      </c>
      <c r="AP289">
        <f t="shared" si="789"/>
        <v>876</v>
      </c>
      <c r="AQ289">
        <f t="shared" si="790"/>
        <v>208.08960913817344</v>
      </c>
      <c r="AS289" s="5">
        <f t="shared" si="763"/>
        <v>4.8056219824796287</v>
      </c>
      <c r="AT289" s="5">
        <f t="shared" si="791"/>
        <v>0.3824370872901367</v>
      </c>
      <c r="AU289" s="5">
        <f t="shared" si="722"/>
        <v>4.4231848951894923</v>
      </c>
      <c r="AV289" s="5"/>
      <c r="AW289" s="150">
        <f t="shared" si="723"/>
        <v>7.9581184014146059E-2</v>
      </c>
      <c r="AX289" s="150">
        <f t="shared" si="792"/>
        <v>4.557863670625335</v>
      </c>
      <c r="AY289" s="150">
        <f t="shared" si="793"/>
        <v>0.87929648222755152</v>
      </c>
      <c r="AZ289" s="150">
        <f t="shared" si="794"/>
        <v>5.1835345219154574</v>
      </c>
      <c r="BA289" s="144">
        <f t="shared" si="724"/>
        <v>6.7002977693231944</v>
      </c>
      <c r="BB289" s="5">
        <f t="shared" si="725"/>
        <v>0.13464706010033259</v>
      </c>
      <c r="BD289" s="150">
        <f t="shared" si="841"/>
        <v>0.31118912670767029</v>
      </c>
      <c r="BE289" s="150">
        <f t="shared" si="842"/>
        <v>1.0583077094599587</v>
      </c>
      <c r="BG289" s="456">
        <f t="shared" si="843"/>
        <v>1.9367734516216495E-3</v>
      </c>
      <c r="BH289" s="456">
        <f t="shared" si="795"/>
        <v>0.48739468670125663</v>
      </c>
      <c r="BI289" s="456">
        <f t="shared" si="796"/>
        <v>0.31188284726055343</v>
      </c>
      <c r="BJ289" s="456">
        <f t="shared" si="844"/>
        <v>8.8950615221828455E-2</v>
      </c>
      <c r="BK289">
        <f t="shared" si="845"/>
        <v>2.697823920156573E-2</v>
      </c>
      <c r="BL289" s="144">
        <f t="shared" si="846"/>
        <v>338.86108646211915</v>
      </c>
      <c r="BM289" s="456">
        <f t="shared" si="797"/>
        <v>0.57907147979847939</v>
      </c>
      <c r="BN289" s="144">
        <f t="shared" si="847"/>
        <v>579.07147979847934</v>
      </c>
      <c r="BO289" s="456">
        <f t="shared" si="798"/>
        <v>0.61319999999999997</v>
      </c>
      <c r="BR289" s="144">
        <f t="shared" si="848"/>
        <v>613.19999999999993</v>
      </c>
      <c r="BS289" s="456">
        <f t="shared" si="849"/>
        <v>2.905160177432474E-3</v>
      </c>
      <c r="BT289" s="456">
        <f t="shared" si="850"/>
        <v>3.3600456237071523E-2</v>
      </c>
      <c r="BU289" s="456">
        <f t="shared" si="851"/>
        <v>0.15759614797675195</v>
      </c>
      <c r="BV289" s="456"/>
      <c r="BW289" s="456">
        <f t="shared" si="852"/>
        <v>7.5964394510422248E-4</v>
      </c>
      <c r="BX289" s="144">
        <f t="shared" si="853"/>
        <v>194.86140833636017</v>
      </c>
      <c r="BY289" s="150">
        <f t="shared" si="854"/>
        <v>1.7252045701731862</v>
      </c>
      <c r="BZ289" s="5">
        <f t="shared" si="855"/>
        <v>4.38</v>
      </c>
      <c r="CA289" s="150">
        <f t="shared" si="856"/>
        <v>0.71742067766219875</v>
      </c>
      <c r="CB289" s="5">
        <f t="shared" si="857"/>
        <v>71.742067766219876</v>
      </c>
      <c r="CE289" s="59">
        <f t="shared" si="799"/>
        <v>-50</v>
      </c>
      <c r="CF289">
        <f t="shared" si="800"/>
        <v>-50</v>
      </c>
      <c r="CG289" s="150">
        <f t="shared" si="801"/>
        <v>0.90575720645257252</v>
      </c>
      <c r="CI289" s="147">
        <v>73</v>
      </c>
      <c r="CJ289" s="188">
        <f t="shared" si="858"/>
        <v>0.876</v>
      </c>
      <c r="CK289" s="188"/>
      <c r="CL289" s="188">
        <f t="shared" si="802"/>
        <v>4.38</v>
      </c>
      <c r="CM289" s="465">
        <f t="shared" si="803"/>
        <v>60</v>
      </c>
      <c r="CN289" s="379">
        <f t="shared" si="804"/>
        <v>5.4</v>
      </c>
      <c r="CO289" s="379">
        <f t="shared" si="805"/>
        <v>65.400000000000006</v>
      </c>
      <c r="CP289" s="379"/>
      <c r="CQ289" s="188">
        <f t="shared" si="806"/>
        <v>8.2568807339449546E-2</v>
      </c>
      <c r="CR289" s="149">
        <f t="shared" si="807"/>
        <v>12.756880733944957</v>
      </c>
      <c r="CS289" s="149">
        <f t="shared" si="808"/>
        <v>4.38</v>
      </c>
      <c r="CT289" s="188">
        <f t="shared" si="809"/>
        <v>2.5513761467889915</v>
      </c>
      <c r="CU289" s="188">
        <f t="shared" si="810"/>
        <v>5</v>
      </c>
      <c r="CV289" s="188"/>
      <c r="CW289" s="149">
        <f t="shared" si="811"/>
        <v>111.447454684333</v>
      </c>
      <c r="CX289" s="149">
        <f t="shared" si="812"/>
        <v>5</v>
      </c>
      <c r="CY289" s="188">
        <f t="shared" si="813"/>
        <v>1.7682222222222219</v>
      </c>
      <c r="CZ289" s="188">
        <f t="shared" si="814"/>
        <v>0.35364444444444437</v>
      </c>
      <c r="DA289" s="188">
        <f t="shared" si="815"/>
        <v>3.9293827160493815</v>
      </c>
      <c r="DB289" s="172">
        <f t="shared" si="816"/>
        <v>350</v>
      </c>
      <c r="DC289" s="379">
        <f t="shared" si="817"/>
        <v>233.47972415955954</v>
      </c>
      <c r="DE289" s="188">
        <f t="shared" si="818"/>
        <v>1.179554390563565</v>
      </c>
      <c r="DF289" s="150">
        <f t="shared" si="819"/>
        <v>2.6212319790301444</v>
      </c>
      <c r="DG289" s="150">
        <f t="shared" si="820"/>
        <v>0.54107999567136011</v>
      </c>
      <c r="DH289" s="150"/>
      <c r="DI289" s="150">
        <f t="shared" si="821"/>
        <v>2.2222222222222219</v>
      </c>
      <c r="DJ289" s="314">
        <f t="shared" si="822"/>
        <v>788.4</v>
      </c>
      <c r="DK289" s="456">
        <f t="shared" si="823"/>
        <v>0.38888888888888884</v>
      </c>
      <c r="DM289" s="150">
        <f t="shared" si="824"/>
        <v>1.5008568980990256</v>
      </c>
      <c r="DN289" s="150">
        <f t="shared" si="825"/>
        <v>1.7682222222222219</v>
      </c>
      <c r="DO289" s="150">
        <f t="shared" si="826"/>
        <v>1.7690534979423864</v>
      </c>
      <c r="DQ289" s="314">
        <f t="shared" si="827"/>
        <v>876</v>
      </c>
      <c r="DR289" s="144">
        <f t="shared" si="828"/>
        <v>233.47972415955954</v>
      </c>
      <c r="DT289">
        <f t="shared" si="829"/>
        <v>876</v>
      </c>
      <c r="DU289">
        <f t="shared" si="830"/>
        <v>233.47972415955954</v>
      </c>
      <c r="DW289" s="5">
        <f t="shared" si="859"/>
        <v>4.2830271604938259</v>
      </c>
      <c r="DX289" s="5">
        <f t="shared" si="831"/>
        <v>0.35364444444444437</v>
      </c>
      <c r="DY289" s="5">
        <f t="shared" si="832"/>
        <v>3.9293827160493815</v>
      </c>
      <c r="DZ289" s="5"/>
      <c r="EA289" s="150">
        <f t="shared" si="833"/>
        <v>8.2568807339449546E-2</v>
      </c>
      <c r="EB289" s="150">
        <f t="shared" si="860"/>
        <v>4.38</v>
      </c>
      <c r="EC289" s="150">
        <f t="shared" si="861"/>
        <v>0.81111111111111101</v>
      </c>
      <c r="ED289" s="150">
        <f t="shared" si="862"/>
        <v>5.4</v>
      </c>
      <c r="EE289" s="144">
        <f t="shared" si="834"/>
        <v>6.195850666666666</v>
      </c>
      <c r="EF289" s="5">
        <f t="shared" si="835"/>
        <v>0.11951872427983533</v>
      </c>
      <c r="EH289" s="150">
        <f t="shared" si="863"/>
        <v>0.29334873696929642</v>
      </c>
      <c r="EI289" s="150">
        <f t="shared" si="864"/>
        <v>0.97782912323098814</v>
      </c>
      <c r="EK289" s="456">
        <f t="shared" si="865"/>
        <v>1.721069629629629E-3</v>
      </c>
      <c r="EL289" s="456">
        <f t="shared" si="866"/>
        <v>0.54</v>
      </c>
      <c r="EM289" s="456">
        <f t="shared" si="867"/>
        <v>2.9184965519944941E-2</v>
      </c>
      <c r="EN289" s="456">
        <f t="shared" si="868"/>
        <v>9.9863013698630182E-2</v>
      </c>
      <c r="EO289">
        <f t="shared" si="869"/>
        <v>2.7E-2</v>
      </c>
      <c r="EP289" s="144">
        <f t="shared" si="870"/>
        <v>56.184965519944939</v>
      </c>
      <c r="EQ289" s="144"/>
      <c r="ER289" s="144">
        <f t="shared" si="871"/>
        <v>697.76904884820476</v>
      </c>
      <c r="ES289" s="456">
        <f t="shared" si="872"/>
        <v>0.61319999999999997</v>
      </c>
      <c r="EV289" s="144">
        <f t="shared" si="873"/>
        <v>613.19999999999993</v>
      </c>
      <c r="EW289" s="456">
        <f t="shared" si="874"/>
        <v>2.5816044444444434E-3</v>
      </c>
      <c r="EX289" s="456">
        <f t="shared" si="875"/>
        <v>2.8684493827160488E-2</v>
      </c>
      <c r="EY289" s="456">
        <f t="shared" si="876"/>
        <v>0.17315500288201652</v>
      </c>
      <c r="EZ289" s="456"/>
      <c r="FA289" s="456">
        <f t="shared" si="877"/>
        <v>7.2999999999999996E-4</v>
      </c>
      <c r="FB289" s="144">
        <f t="shared" si="878"/>
        <v>205.15110115362145</v>
      </c>
      <c r="FC289" s="150">
        <f t="shared" si="879"/>
        <v>1.516120150001826</v>
      </c>
      <c r="FD289" s="5">
        <f t="shared" si="880"/>
        <v>4.38</v>
      </c>
      <c r="FE289" s="150">
        <f t="shared" si="881"/>
        <v>0.74286138826371162</v>
      </c>
      <c r="FF289" s="5">
        <f t="shared" si="882"/>
        <v>74.286138826371158</v>
      </c>
      <c r="FI289" s="59">
        <f t="shared" si="836"/>
        <v>-50</v>
      </c>
      <c r="FJ289">
        <f t="shared" si="837"/>
        <v>-50</v>
      </c>
      <c r="FL289">
        <f t="shared" si="838"/>
        <v>0.91743119266055051</v>
      </c>
    </row>
    <row r="290" spans="5:168">
      <c r="E290" s="147">
        <v>74</v>
      </c>
      <c r="F290" s="188">
        <f t="shared" si="839"/>
        <v>0.88800000000000001</v>
      </c>
      <c r="G290" s="188"/>
      <c r="H290" s="188">
        <f t="shared" si="764"/>
        <v>4.4400000000000004</v>
      </c>
      <c r="I290" s="465">
        <f t="shared" si="765"/>
        <v>59.950988777299976</v>
      </c>
      <c r="J290" s="149">
        <f t="shared" si="766"/>
        <v>5.4294067336200138</v>
      </c>
      <c r="K290" s="149">
        <f t="shared" si="767"/>
        <v>65.380395510919996</v>
      </c>
      <c r="L290" s="379"/>
      <c r="M290" s="188">
        <f t="shared" si="768"/>
        <v>8.3038167783379316E-2</v>
      </c>
      <c r="N290" s="149">
        <f t="shared" si="769"/>
        <v>12.818917182037486</v>
      </c>
      <c r="O290" s="149">
        <f t="shared" si="762"/>
        <v>4.4400000000000004</v>
      </c>
      <c r="P290" s="188">
        <f t="shared" si="770"/>
        <v>2.5637834364074972</v>
      </c>
      <c r="Q290" s="188">
        <f t="shared" si="771"/>
        <v>5</v>
      </c>
      <c r="R290" s="188"/>
      <c r="S290" s="149">
        <f t="shared" si="772"/>
        <v>109.04904909030374</v>
      </c>
      <c r="T290" s="149">
        <f t="shared" si="773"/>
        <v>5</v>
      </c>
      <c r="U290" s="188">
        <f t="shared" si="774"/>
        <v>1.9368308882680323</v>
      </c>
      <c r="V290" s="188">
        <f t="shared" si="775"/>
        <v>0.38768285783497869</v>
      </c>
      <c r="W290" s="188">
        <f t="shared" si="776"/>
        <v>4.280756959189902</v>
      </c>
      <c r="X290" s="172">
        <f t="shared" si="777"/>
        <v>350</v>
      </c>
      <c r="Y290" s="379">
        <f t="shared" si="840"/>
        <v>205.40461371279787</v>
      </c>
      <c r="AA290" s="188">
        <f t="shared" si="778"/>
        <v>1.1853644375424901</v>
      </c>
      <c r="AB290" s="150">
        <f t="shared" si="779"/>
        <v>2.6198761574500598</v>
      </c>
      <c r="AC290" s="150">
        <f t="shared" si="780"/>
        <v>0.54346390486618479</v>
      </c>
      <c r="AD290" s="150"/>
      <c r="AE290" s="150">
        <f t="shared" si="781"/>
        <v>2.210186230052265</v>
      </c>
      <c r="AF290" s="314">
        <f t="shared" si="782"/>
        <v>803.55219657576197</v>
      </c>
      <c r="AG290" s="456">
        <f t="shared" si="783"/>
        <v>0.38678259025914641</v>
      </c>
      <c r="AI290" s="150">
        <f t="shared" si="784"/>
        <v>1.5152106846204232</v>
      </c>
      <c r="AJ290" s="150">
        <f t="shared" si="785"/>
        <v>1.9368308882680323</v>
      </c>
      <c r="AK290" s="150">
        <f t="shared" si="786"/>
        <v>1.8939488061244683</v>
      </c>
      <c r="AM290" s="314">
        <f t="shared" si="787"/>
        <v>888</v>
      </c>
      <c r="AN290" s="144">
        <f t="shared" si="788"/>
        <v>205.40461371279787</v>
      </c>
      <c r="AP290">
        <f t="shared" si="789"/>
        <v>888</v>
      </c>
      <c r="AQ290">
        <f t="shared" si="790"/>
        <v>205.40461371279787</v>
      </c>
      <c r="AS290" s="5">
        <f t="shared" si="763"/>
        <v>4.8684398170248802</v>
      </c>
      <c r="AT290" s="5">
        <f t="shared" si="791"/>
        <v>0.38768285783497869</v>
      </c>
      <c r="AU290" s="5">
        <f t="shared" si="722"/>
        <v>4.4807569591899012</v>
      </c>
      <c r="AV290" s="5"/>
      <c r="AW290" s="150">
        <f t="shared" si="723"/>
        <v>7.9631847656667337E-2</v>
      </c>
      <c r="AX290" s="150">
        <f t="shared" si="792"/>
        <v>4.6232230826362457</v>
      </c>
      <c r="AY290" s="150">
        <f t="shared" si="793"/>
        <v>0.89129873301837237</v>
      </c>
      <c r="AZ290" s="150">
        <f t="shared" si="794"/>
        <v>5.1870634517562442</v>
      </c>
      <c r="BA290" s="144">
        <f t="shared" si="724"/>
        <v>6.8852475551492223</v>
      </c>
      <c r="BB290" s="5">
        <f t="shared" si="725"/>
        <v>0.13826961895981338</v>
      </c>
      <c r="BD290" s="150">
        <f t="shared" si="841"/>
        <v>0.31555456801259341</v>
      </c>
      <c r="BE290" s="150">
        <f t="shared" si="842"/>
        <v>1.0727829593427076</v>
      </c>
      <c r="BG290" s="456">
        <f t="shared" si="843"/>
        <v>1.991493707872289E-3</v>
      </c>
      <c r="BH290" s="456">
        <f t="shared" si="795"/>
        <v>0.48769770554843883</v>
      </c>
      <c r="BI290" s="456">
        <f t="shared" si="796"/>
        <v>0.30785524228753952</v>
      </c>
      <c r="BJ290" s="456">
        <f t="shared" si="844"/>
        <v>8.7802176422436429E-2</v>
      </c>
      <c r="BK290">
        <f t="shared" si="845"/>
        <v>2.6977944949784987E-2</v>
      </c>
      <c r="BL290" s="144">
        <f t="shared" si="846"/>
        <v>334.83318723732452</v>
      </c>
      <c r="BM290" s="456">
        <f t="shared" si="797"/>
        <v>0.57830271962749935</v>
      </c>
      <c r="BN290" s="144">
        <f t="shared" si="847"/>
        <v>578.3027196274993</v>
      </c>
      <c r="BO290" s="456">
        <f t="shared" si="798"/>
        <v>0.62159999999999993</v>
      </c>
      <c r="BR290" s="144">
        <f t="shared" si="848"/>
        <v>621.59999999999991</v>
      </c>
      <c r="BS290" s="456">
        <f t="shared" si="849"/>
        <v>2.9872405618084331E-3</v>
      </c>
      <c r="BT290" s="456">
        <f t="shared" si="850"/>
        <v>3.4525898335682918E-2</v>
      </c>
      <c r="BU290" s="456">
        <f t="shared" si="851"/>
        <v>0.15784278915133365</v>
      </c>
      <c r="BV290" s="456"/>
      <c r="BW290" s="456">
        <f t="shared" si="852"/>
        <v>7.7053718043937434E-4</v>
      </c>
      <c r="BX290" s="144">
        <f t="shared" si="853"/>
        <v>196.1264652292644</v>
      </c>
      <c r="BY290" s="150">
        <f t="shared" si="854"/>
        <v>1.7300510281453361</v>
      </c>
      <c r="BZ290" s="5">
        <f t="shared" si="855"/>
        <v>4.4400000000000004</v>
      </c>
      <c r="CA290" s="150">
        <f t="shared" si="856"/>
        <v>0.71960506967389304</v>
      </c>
      <c r="CB290" s="5">
        <f t="shared" si="857"/>
        <v>71.960506967389307</v>
      </c>
      <c r="CE290" s="59">
        <f t="shared" si="799"/>
        <v>-50</v>
      </c>
      <c r="CF290">
        <f t="shared" si="800"/>
        <v>-50</v>
      </c>
      <c r="CG290" s="150">
        <f t="shared" si="801"/>
        <v>0.9059149630229506</v>
      </c>
      <c r="CI290" s="147">
        <v>74</v>
      </c>
      <c r="CJ290" s="188">
        <f t="shared" si="858"/>
        <v>0.88800000000000001</v>
      </c>
      <c r="CK290" s="188"/>
      <c r="CL290" s="188">
        <f t="shared" si="802"/>
        <v>4.4400000000000004</v>
      </c>
      <c r="CM290" s="465">
        <f t="shared" si="803"/>
        <v>60</v>
      </c>
      <c r="CN290" s="379">
        <f t="shared" si="804"/>
        <v>5.4</v>
      </c>
      <c r="CO290" s="379">
        <f t="shared" si="805"/>
        <v>65.400000000000006</v>
      </c>
      <c r="CP290" s="379"/>
      <c r="CQ290" s="188">
        <f t="shared" si="806"/>
        <v>8.2568807339449546E-2</v>
      </c>
      <c r="CR290" s="149">
        <f t="shared" si="807"/>
        <v>12.756880733944957</v>
      </c>
      <c r="CS290" s="149">
        <f t="shared" si="808"/>
        <v>4.4400000000000004</v>
      </c>
      <c r="CT290" s="188">
        <f t="shared" si="809"/>
        <v>2.5513761467889915</v>
      </c>
      <c r="CU290" s="188">
        <f t="shared" si="810"/>
        <v>5</v>
      </c>
      <c r="CV290" s="188"/>
      <c r="CW290" s="149">
        <f t="shared" si="811"/>
        <v>109.13802092384454</v>
      </c>
      <c r="CX290" s="149">
        <f t="shared" si="812"/>
        <v>5</v>
      </c>
      <c r="CY290" s="188">
        <f t="shared" si="813"/>
        <v>1.7924444444444445</v>
      </c>
      <c r="CZ290" s="188">
        <f t="shared" si="814"/>
        <v>0.35848888888888891</v>
      </c>
      <c r="DA290" s="188">
        <f t="shared" si="815"/>
        <v>3.98320987654321</v>
      </c>
      <c r="DB290" s="172">
        <f t="shared" si="816"/>
        <v>350</v>
      </c>
      <c r="DC290" s="379">
        <f t="shared" si="817"/>
        <v>230.32459275199784</v>
      </c>
      <c r="DE290" s="188">
        <f t="shared" si="818"/>
        <v>1.179554390563565</v>
      </c>
      <c r="DF290" s="150">
        <f t="shared" si="819"/>
        <v>2.6212319790301444</v>
      </c>
      <c r="DG290" s="150">
        <f t="shared" si="820"/>
        <v>0.54107999567136011</v>
      </c>
      <c r="DH290" s="150"/>
      <c r="DI290" s="150">
        <f t="shared" si="821"/>
        <v>2.2222222222222219</v>
      </c>
      <c r="DJ290" s="314">
        <f t="shared" si="822"/>
        <v>799.20000000000016</v>
      </c>
      <c r="DK290" s="456">
        <f t="shared" si="823"/>
        <v>0.38888888888888884</v>
      </c>
      <c r="DM290" s="150">
        <f t="shared" si="824"/>
        <v>1.5111017740141039</v>
      </c>
      <c r="DN290" s="150">
        <f t="shared" si="825"/>
        <v>1.7924444444444445</v>
      </c>
      <c r="DO290" s="150">
        <f t="shared" si="826"/>
        <v>1.7869958847736624</v>
      </c>
      <c r="DQ290" s="314">
        <f t="shared" si="827"/>
        <v>888</v>
      </c>
      <c r="DR290" s="144">
        <f t="shared" si="828"/>
        <v>230.32459275199784</v>
      </c>
      <c r="DT290">
        <f t="shared" si="829"/>
        <v>888</v>
      </c>
      <c r="DU290">
        <f t="shared" si="830"/>
        <v>230.32459275199784</v>
      </c>
      <c r="DW290" s="5">
        <f t="shared" si="859"/>
        <v>4.3416987654320991</v>
      </c>
      <c r="DX290" s="5">
        <f t="shared" si="831"/>
        <v>0.35848888888888891</v>
      </c>
      <c r="DY290" s="5">
        <f t="shared" si="832"/>
        <v>3.98320987654321</v>
      </c>
      <c r="DZ290" s="5"/>
      <c r="EA290" s="150">
        <f t="shared" si="833"/>
        <v>8.2568807339449546E-2</v>
      </c>
      <c r="EB290" s="150">
        <f t="shared" si="860"/>
        <v>4.4400000000000004</v>
      </c>
      <c r="EC290" s="150">
        <f t="shared" si="861"/>
        <v>0.8222222222222223</v>
      </c>
      <c r="ED290" s="150">
        <f t="shared" si="862"/>
        <v>5.4</v>
      </c>
      <c r="EE290" s="144">
        <f t="shared" si="834"/>
        <v>6.3667626666666681</v>
      </c>
      <c r="EF290" s="5">
        <f t="shared" si="835"/>
        <v>0.12281563786008232</v>
      </c>
      <c r="EH290" s="150">
        <f t="shared" si="863"/>
        <v>0.29736721281819095</v>
      </c>
      <c r="EI290" s="150">
        <f t="shared" si="864"/>
        <v>0.99122404272730336</v>
      </c>
      <c r="EK290" s="456">
        <f t="shared" si="865"/>
        <v>1.7685451851851856E-3</v>
      </c>
      <c r="EL290" s="456">
        <f t="shared" si="866"/>
        <v>0.54</v>
      </c>
      <c r="EM290" s="456">
        <f t="shared" si="867"/>
        <v>2.8790574093999731E-2</v>
      </c>
      <c r="EN290" s="456">
        <f t="shared" si="868"/>
        <v>9.8513513513513534E-2</v>
      </c>
      <c r="EO290">
        <f t="shared" si="869"/>
        <v>2.7E-2</v>
      </c>
      <c r="EP290" s="144">
        <f t="shared" si="870"/>
        <v>55.790574093999737</v>
      </c>
      <c r="EQ290" s="144"/>
      <c r="ER290" s="144">
        <f t="shared" si="871"/>
        <v>696.07263279269864</v>
      </c>
      <c r="ES290" s="456">
        <f t="shared" si="872"/>
        <v>0.62159999999999993</v>
      </c>
      <c r="EV290" s="144">
        <f t="shared" si="873"/>
        <v>621.59999999999991</v>
      </c>
      <c r="EW290" s="456">
        <f t="shared" si="874"/>
        <v>2.652817777777778E-3</v>
      </c>
      <c r="EX290" s="456">
        <f t="shared" si="875"/>
        <v>2.9475753086419764E-2</v>
      </c>
      <c r="EY290" s="456">
        <f t="shared" si="876"/>
        <v>0.17315500288201627</v>
      </c>
      <c r="EZ290" s="456"/>
      <c r="FA290" s="456">
        <f t="shared" si="877"/>
        <v>7.400000000000001E-4</v>
      </c>
      <c r="FB290" s="144">
        <f t="shared" si="878"/>
        <v>206.0235737462138</v>
      </c>
      <c r="FC290" s="150">
        <f t="shared" si="879"/>
        <v>1.5236962065389126</v>
      </c>
      <c r="FD290" s="5">
        <f t="shared" si="880"/>
        <v>4.4400000000000004</v>
      </c>
      <c r="FE290" s="150">
        <f t="shared" si="881"/>
        <v>0.74450472429023951</v>
      </c>
      <c r="FF290" s="5">
        <f t="shared" si="882"/>
        <v>74.450472429023947</v>
      </c>
      <c r="FI290" s="59">
        <f t="shared" si="836"/>
        <v>-50</v>
      </c>
      <c r="FJ290">
        <f t="shared" si="837"/>
        <v>-50</v>
      </c>
      <c r="FL290">
        <f t="shared" si="838"/>
        <v>0.91743119266055051</v>
      </c>
    </row>
    <row r="291" spans="5:168">
      <c r="E291" s="147">
        <v>75</v>
      </c>
      <c r="F291" s="188">
        <f t="shared" si="839"/>
        <v>0.89999999999999991</v>
      </c>
      <c r="G291" s="188"/>
      <c r="H291" s="188">
        <f t="shared" si="764"/>
        <v>4.5</v>
      </c>
      <c r="I291" s="465">
        <f t="shared" si="765"/>
        <v>59.950334881560615</v>
      </c>
      <c r="J291" s="149">
        <f t="shared" si="766"/>
        <v>5.4297990710636324</v>
      </c>
      <c r="K291" s="149">
        <f t="shared" si="767"/>
        <v>65.380133952624249</v>
      </c>
      <c r="L291" s="379"/>
      <c r="M291" s="188">
        <f t="shared" si="768"/>
        <v>8.304450176343918E-2</v>
      </c>
      <c r="N291" s="149">
        <f t="shared" si="769"/>
        <v>12.819755153785616</v>
      </c>
      <c r="O291" s="149">
        <f t="shared" si="762"/>
        <v>4.5</v>
      </c>
      <c r="P291" s="188">
        <f t="shared" si="770"/>
        <v>2.5639510307571234</v>
      </c>
      <c r="Q291" s="188">
        <f t="shared" si="771"/>
        <v>5</v>
      </c>
      <c r="R291" s="188"/>
      <c r="S291" s="149">
        <f t="shared" si="772"/>
        <v>106.80206409509893</v>
      </c>
      <c r="T291" s="149">
        <f t="shared" si="773"/>
        <v>5</v>
      </c>
      <c r="U291" s="188">
        <f t="shared" si="774"/>
        <v>1.9630178383374794</v>
      </c>
      <c r="V291" s="188">
        <f t="shared" si="775"/>
        <v>0.39292881526997314</v>
      </c>
      <c r="W291" s="188">
        <f t="shared" si="776"/>
        <v>4.3383215017264671</v>
      </c>
      <c r="X291" s="172">
        <f t="shared" si="777"/>
        <v>350</v>
      </c>
      <c r="Y291" s="379">
        <f t="shared" si="840"/>
        <v>202.78832663459011</v>
      </c>
      <c r="AA291" s="188">
        <f t="shared" si="778"/>
        <v>1.1854419063607031</v>
      </c>
      <c r="AB291" s="150">
        <f t="shared" si="779"/>
        <v>2.6198580629138957</v>
      </c>
      <c r="AC291" s="150">
        <f t="shared" si="780"/>
        <v>0.5434956688866438</v>
      </c>
      <c r="AD291" s="150"/>
      <c r="AE291" s="150">
        <f t="shared" si="781"/>
        <v>2.2100265300699871</v>
      </c>
      <c r="AF291" s="314">
        <f t="shared" si="782"/>
        <v>814.46986065954479</v>
      </c>
      <c r="AG291" s="456">
        <f t="shared" si="783"/>
        <v>0.3867546427622478</v>
      </c>
      <c r="AI291" s="150">
        <f t="shared" si="784"/>
        <v>1.5254693522786869</v>
      </c>
      <c r="AJ291" s="150">
        <f t="shared" si="785"/>
        <v>1.9630178383374794</v>
      </c>
      <c r="AK291" s="150">
        <f t="shared" si="786"/>
        <v>1.9133465469166513</v>
      </c>
      <c r="AM291" s="314">
        <f t="shared" si="787"/>
        <v>899.99999999999989</v>
      </c>
      <c r="AN291" s="144">
        <f t="shared" si="788"/>
        <v>202.78832663459011</v>
      </c>
      <c r="AP291">
        <f t="shared" si="789"/>
        <v>899.99999999999989</v>
      </c>
      <c r="AQ291">
        <f t="shared" si="790"/>
        <v>202.78832663459011</v>
      </c>
      <c r="AS291" s="5">
        <f t="shared" si="763"/>
        <v>4.9312503169964392</v>
      </c>
      <c r="AT291" s="5">
        <f t="shared" si="791"/>
        <v>0.39292881526997314</v>
      </c>
      <c r="AU291" s="5">
        <f t="shared" si="722"/>
        <v>4.5383215017264664</v>
      </c>
      <c r="AV291" s="5"/>
      <c r="AW291" s="150">
        <f t="shared" si="723"/>
        <v>7.9681376935109835E-2</v>
      </c>
      <c r="AX291" s="150">
        <f t="shared" si="792"/>
        <v>4.6885947205108387</v>
      </c>
      <c r="AY291" s="150">
        <f t="shared" si="793"/>
        <v>0.90330093701528313</v>
      </c>
      <c r="AZ291" s="150">
        <f t="shared" si="794"/>
        <v>5.1905124066438466</v>
      </c>
      <c r="BA291" s="144">
        <f t="shared" si="724"/>
        <v>7.0727186748595159</v>
      </c>
      <c r="BB291" s="5">
        <f t="shared" si="725"/>
        <v>0.14194003807565736</v>
      </c>
      <c r="BD291" s="150">
        <f t="shared" si="841"/>
        <v>0.31992047352179526</v>
      </c>
      <c r="BE291" s="150">
        <f t="shared" si="842"/>
        <v>1.0872582804921012</v>
      </c>
      <c r="BG291" s="456">
        <f t="shared" si="843"/>
        <v>2.0469821875681942E-3</v>
      </c>
      <c r="BH291" s="456">
        <f t="shared" si="795"/>
        <v>0.48799376795300375</v>
      </c>
      <c r="BI291" s="456">
        <f t="shared" si="796"/>
        <v>0.30393070229537433</v>
      </c>
      <c r="BJ291" s="456">
        <f t="shared" si="844"/>
        <v>8.6683125797326593E-2</v>
      </c>
      <c r="BK291">
        <f t="shared" si="845"/>
        <v>2.6977650696702275E-2</v>
      </c>
      <c r="BL291" s="144">
        <f t="shared" si="846"/>
        <v>330.90835299207663</v>
      </c>
      <c r="BM291" s="456">
        <f t="shared" si="797"/>
        <v>0.5775574636906381</v>
      </c>
      <c r="BN291" s="144">
        <f t="shared" si="847"/>
        <v>577.55746369063809</v>
      </c>
      <c r="BO291" s="456">
        <f t="shared" si="798"/>
        <v>0.62999999999999989</v>
      </c>
      <c r="BR291" s="144">
        <f t="shared" si="848"/>
        <v>629.99999999999989</v>
      </c>
      <c r="BS291" s="456">
        <f t="shared" si="849"/>
        <v>3.0704732813522911E-3</v>
      </c>
      <c r="BT291" s="456">
        <f t="shared" si="850"/>
        <v>3.5463917054959215E-2</v>
      </c>
      <c r="BU291" s="456">
        <f t="shared" si="851"/>
        <v>0.15808402990938389</v>
      </c>
      <c r="BV291" s="456"/>
      <c r="BW291" s="456">
        <f t="shared" si="852"/>
        <v>7.8143245341847321E-4</v>
      </c>
      <c r="BX291" s="144">
        <f t="shared" si="853"/>
        <v>197.39985269911386</v>
      </c>
      <c r="BY291" s="150">
        <f t="shared" si="854"/>
        <v>1.735032081629089</v>
      </c>
      <c r="BZ291" s="5">
        <f t="shared" si="855"/>
        <v>4.5</v>
      </c>
      <c r="CA291" s="150">
        <f t="shared" si="856"/>
        <v>0.72172844358873611</v>
      </c>
      <c r="CB291" s="5">
        <f t="shared" si="857"/>
        <v>72.172844358873618</v>
      </c>
      <c r="CE291" s="59">
        <f t="shared" si="799"/>
        <v>-50</v>
      </c>
      <c r="CF291">
        <f t="shared" si="800"/>
        <v>-50</v>
      </c>
      <c r="CG291" s="150">
        <f t="shared" si="801"/>
        <v>0.90606851275145195</v>
      </c>
      <c r="CI291" s="147">
        <v>75</v>
      </c>
      <c r="CJ291" s="188">
        <f t="shared" si="858"/>
        <v>0.89999999999999991</v>
      </c>
      <c r="CK291" s="188"/>
      <c r="CL291" s="188">
        <f t="shared" si="802"/>
        <v>4.5</v>
      </c>
      <c r="CM291" s="465">
        <f t="shared" si="803"/>
        <v>60</v>
      </c>
      <c r="CN291" s="379">
        <f t="shared" si="804"/>
        <v>5.4</v>
      </c>
      <c r="CO291" s="379">
        <f t="shared" si="805"/>
        <v>65.400000000000006</v>
      </c>
      <c r="CP291" s="379"/>
      <c r="CQ291" s="188">
        <f t="shared" si="806"/>
        <v>8.2568807339449546E-2</v>
      </c>
      <c r="CR291" s="149">
        <f t="shared" si="807"/>
        <v>12.756880733944957</v>
      </c>
      <c r="CS291" s="149">
        <f t="shared" si="808"/>
        <v>4.5</v>
      </c>
      <c r="CT291" s="188">
        <f t="shared" si="809"/>
        <v>2.5513761467889915</v>
      </c>
      <c r="CU291" s="188">
        <f t="shared" si="810"/>
        <v>5</v>
      </c>
      <c r="CV291" s="188"/>
      <c r="CW291" s="149">
        <f t="shared" si="811"/>
        <v>106.89035871400129</v>
      </c>
      <c r="CX291" s="149">
        <f t="shared" si="812"/>
        <v>5</v>
      </c>
      <c r="CY291" s="188">
        <f t="shared" si="813"/>
        <v>1.8166666666666664</v>
      </c>
      <c r="CZ291" s="188">
        <f t="shared" si="814"/>
        <v>0.36333333333333329</v>
      </c>
      <c r="DA291" s="188">
        <f t="shared" si="815"/>
        <v>4.0370370370370363</v>
      </c>
      <c r="DB291" s="172">
        <f t="shared" si="816"/>
        <v>350</v>
      </c>
      <c r="DC291" s="379">
        <f t="shared" si="817"/>
        <v>227.25359818197126</v>
      </c>
      <c r="DE291" s="188">
        <f t="shared" si="818"/>
        <v>1.179554390563565</v>
      </c>
      <c r="DF291" s="150">
        <f t="shared" si="819"/>
        <v>2.6212319790301444</v>
      </c>
      <c r="DG291" s="150">
        <f t="shared" si="820"/>
        <v>0.54107999567136011</v>
      </c>
      <c r="DH291" s="150"/>
      <c r="DI291" s="150">
        <f t="shared" si="821"/>
        <v>2.2222222222222219</v>
      </c>
      <c r="DJ291" s="314">
        <f t="shared" si="822"/>
        <v>810</v>
      </c>
      <c r="DK291" s="456">
        <f t="shared" si="823"/>
        <v>0.38888888888888884</v>
      </c>
      <c r="DM291" s="150">
        <f t="shared" si="824"/>
        <v>1.5212776585113299</v>
      </c>
      <c r="DN291" s="150">
        <f t="shared" si="825"/>
        <v>1.8166666666666664</v>
      </c>
      <c r="DO291" s="150">
        <f t="shared" si="826"/>
        <v>1.804938271604938</v>
      </c>
      <c r="DQ291" s="314">
        <f t="shared" si="827"/>
        <v>899.99999999999989</v>
      </c>
      <c r="DR291" s="144">
        <f t="shared" si="828"/>
        <v>227.25359818197126</v>
      </c>
      <c r="DT291">
        <f t="shared" si="829"/>
        <v>899.99999999999989</v>
      </c>
      <c r="DU291">
        <f t="shared" si="830"/>
        <v>227.25359818197126</v>
      </c>
      <c r="DW291" s="5">
        <f t="shared" si="859"/>
        <v>4.4003703703703696</v>
      </c>
      <c r="DX291" s="5">
        <f t="shared" si="831"/>
        <v>0.36333333333333329</v>
      </c>
      <c r="DY291" s="5">
        <f t="shared" si="832"/>
        <v>4.0370370370370363</v>
      </c>
      <c r="DZ291" s="5"/>
      <c r="EA291" s="150">
        <f t="shared" si="833"/>
        <v>8.2568807339449546E-2</v>
      </c>
      <c r="EB291" s="150">
        <f t="shared" si="860"/>
        <v>4.5</v>
      </c>
      <c r="EC291" s="150">
        <f t="shared" si="861"/>
        <v>0.83333333333333326</v>
      </c>
      <c r="ED291" s="150">
        <f t="shared" si="862"/>
        <v>5.4</v>
      </c>
      <c r="EE291" s="144">
        <f t="shared" si="834"/>
        <v>6.5399999999999983</v>
      </c>
      <c r="EF291" s="5">
        <f t="shared" si="835"/>
        <v>0.12615740740740736</v>
      </c>
      <c r="EH291" s="150">
        <f t="shared" si="863"/>
        <v>0.30138568866708537</v>
      </c>
      <c r="EI291" s="150">
        <f t="shared" si="864"/>
        <v>1.0046189622236181</v>
      </c>
      <c r="EK291" s="456">
        <f t="shared" si="865"/>
        <v>1.8166666666666661E-3</v>
      </c>
      <c r="EL291" s="456">
        <f t="shared" si="866"/>
        <v>0.54</v>
      </c>
      <c r="EM291" s="456">
        <f t="shared" si="867"/>
        <v>2.8406699772746406E-2</v>
      </c>
      <c r="EN291" s="456">
        <f t="shared" si="868"/>
        <v>9.7200000000000036E-2</v>
      </c>
      <c r="EO291">
        <f t="shared" si="869"/>
        <v>2.7E-2</v>
      </c>
      <c r="EP291" s="144">
        <f t="shared" si="870"/>
        <v>55.406699772746407</v>
      </c>
      <c r="EQ291" s="144"/>
      <c r="ER291" s="144">
        <f t="shared" si="871"/>
        <v>694.42336643941326</v>
      </c>
      <c r="ES291" s="456">
        <f t="shared" si="872"/>
        <v>0.62999999999999989</v>
      </c>
      <c r="EV291" s="144">
        <f t="shared" si="873"/>
        <v>629.99999999999989</v>
      </c>
      <c r="EW291" s="456">
        <f t="shared" si="874"/>
        <v>2.7249999999999991E-3</v>
      </c>
      <c r="EX291" s="456">
        <f t="shared" si="875"/>
        <v>3.0277777777777785E-2</v>
      </c>
      <c r="EY291" s="456">
        <f t="shared" si="876"/>
        <v>0.17315500288201618</v>
      </c>
      <c r="EZ291" s="456"/>
      <c r="FA291" s="456">
        <f t="shared" si="877"/>
        <v>7.4999999999999991E-4</v>
      </c>
      <c r="FB291" s="144">
        <f t="shared" si="878"/>
        <v>206.90778065979396</v>
      </c>
      <c r="FC291" s="150">
        <f t="shared" si="879"/>
        <v>1.5313311470992073</v>
      </c>
      <c r="FD291" s="5">
        <f t="shared" si="880"/>
        <v>4.5</v>
      </c>
      <c r="FE291" s="150">
        <f t="shared" si="881"/>
        <v>0.74610395122547579</v>
      </c>
      <c r="FF291" s="5">
        <f t="shared" si="882"/>
        <v>74.610395122547573</v>
      </c>
      <c r="FI291" s="59">
        <f t="shared" si="836"/>
        <v>-50</v>
      </c>
      <c r="FJ291">
        <f t="shared" si="837"/>
        <v>-50</v>
      </c>
      <c r="FL291">
        <f t="shared" si="838"/>
        <v>0.91743119266055051</v>
      </c>
    </row>
    <row r="292" spans="5:168">
      <c r="E292" s="147">
        <v>76</v>
      </c>
      <c r="F292" s="188">
        <f t="shared" si="839"/>
        <v>0.91199999999999992</v>
      </c>
      <c r="G292" s="188"/>
      <c r="H292" s="188">
        <f t="shared" si="764"/>
        <v>4.5599999999999996</v>
      </c>
      <c r="I292" s="465">
        <f t="shared" si="765"/>
        <v>59.949680983043599</v>
      </c>
      <c r="J292" s="149">
        <f t="shared" si="766"/>
        <v>5.4301914101738413</v>
      </c>
      <c r="K292" s="149">
        <f t="shared" si="767"/>
        <v>65.37987239321744</v>
      </c>
      <c r="L292" s="379"/>
      <c r="M292" s="188">
        <f t="shared" si="768"/>
        <v>8.3050835797695025E-2</v>
      </c>
      <c r="N292" s="149">
        <f t="shared" si="769"/>
        <v>12.820593111975906</v>
      </c>
      <c r="O292" s="149">
        <f t="shared" si="762"/>
        <v>4.5599999999999996</v>
      </c>
      <c r="P292" s="188">
        <f t="shared" si="770"/>
        <v>2.5641186223951813</v>
      </c>
      <c r="Q292" s="188">
        <f t="shared" si="771"/>
        <v>5</v>
      </c>
      <c r="R292" s="188"/>
      <c r="S292" s="149">
        <f t="shared" si="772"/>
        <v>104.61441571229605</v>
      </c>
      <c r="T292" s="149">
        <f t="shared" si="773"/>
        <v>5</v>
      </c>
      <c r="U292" s="188">
        <f t="shared" si="774"/>
        <v>1.989205150305992</v>
      </c>
      <c r="V292" s="188">
        <f t="shared" si="775"/>
        <v>0.39817495960359689</v>
      </c>
      <c r="W292" s="188">
        <f t="shared" si="776"/>
        <v>4.3958785244566023</v>
      </c>
      <c r="X292" s="172">
        <f t="shared" si="777"/>
        <v>350</v>
      </c>
      <c r="Y292" s="379">
        <f t="shared" si="840"/>
        <v>200.23814386284729</v>
      </c>
      <c r="AA292" s="188">
        <f t="shared" si="778"/>
        <v>1.1855193742592758</v>
      </c>
      <c r="AB292" s="150">
        <f t="shared" si="779"/>
        <v>2.6198399681560898</v>
      </c>
      <c r="AC292" s="150">
        <f t="shared" si="780"/>
        <v>0.54352743194887354</v>
      </c>
      <c r="AD292" s="150"/>
      <c r="AE292" s="150">
        <f t="shared" si="781"/>
        <v>2.2098668524864826</v>
      </c>
      <c r="AF292" s="314">
        <f t="shared" si="782"/>
        <v>825.3890943464238</v>
      </c>
      <c r="AG292" s="456">
        <f t="shared" si="783"/>
        <v>0.38672669918513447</v>
      </c>
      <c r="AI292" s="150">
        <f t="shared" si="784"/>
        <v>1.5356609506253314</v>
      </c>
      <c r="AJ292" s="150">
        <f t="shared" si="785"/>
        <v>1.989205150305992</v>
      </c>
      <c r="AK292" s="150">
        <f t="shared" si="786"/>
        <v>1.9327445557822163</v>
      </c>
      <c r="AM292" s="314">
        <f t="shared" si="787"/>
        <v>911.99999999999989</v>
      </c>
      <c r="AN292" s="144">
        <f t="shared" si="788"/>
        <v>200.23814386284729</v>
      </c>
      <c r="AP292">
        <f t="shared" si="789"/>
        <v>911.99999999999989</v>
      </c>
      <c r="AQ292">
        <f t="shared" si="790"/>
        <v>200.23814386284729</v>
      </c>
      <c r="AS292" s="5">
        <f t="shared" si="763"/>
        <v>4.9940534840602</v>
      </c>
      <c r="AT292" s="5">
        <f t="shared" si="791"/>
        <v>0.39817495960359689</v>
      </c>
      <c r="AU292" s="5">
        <f t="shared" si="722"/>
        <v>4.5958785244566034</v>
      </c>
      <c r="AV292" s="5"/>
      <c r="AW292" s="150">
        <f t="shared" si="723"/>
        <v>7.9729814843688435E-2</v>
      </c>
      <c r="AX292" s="150">
        <f t="shared" si="792"/>
        <v>4.7539784777637593</v>
      </c>
      <c r="AY292" s="150">
        <f t="shared" si="793"/>
        <v>0.91530309599299187</v>
      </c>
      <c r="AZ292" s="150">
        <f t="shared" si="794"/>
        <v>5.1938844067890697</v>
      </c>
      <c r="BA292" s="144">
        <f t="shared" si="724"/>
        <v>7.2627112631696065</v>
      </c>
      <c r="BB292" s="5">
        <f t="shared" si="725"/>
        <v>0.14565830965701695</v>
      </c>
      <c r="BD292" s="150">
        <f t="shared" si="841"/>
        <v>0.32428684047888096</v>
      </c>
      <c r="BE292" s="150">
        <f t="shared" si="842"/>
        <v>1.1017336740005965</v>
      </c>
      <c r="BG292" s="456">
        <f t="shared" si="843"/>
        <v>2.1032390981555039E-3</v>
      </c>
      <c r="BH292" s="456">
        <f t="shared" si="795"/>
        <v>0.48828313753310776</v>
      </c>
      <c r="BI292" s="456">
        <f t="shared" si="796"/>
        <v>0.30010532113036209</v>
      </c>
      <c r="BJ292" s="456">
        <f t="shared" si="844"/>
        <v>8.5592349537237544E-2</v>
      </c>
      <c r="BK292">
        <f t="shared" si="845"/>
        <v>2.6977356442369618E-2</v>
      </c>
      <c r="BL292" s="144">
        <f t="shared" si="846"/>
        <v>327.08267757273171</v>
      </c>
      <c r="BM292" s="456">
        <f t="shared" si="797"/>
        <v>0.57683486218555668</v>
      </c>
      <c r="BN292" s="144">
        <f t="shared" si="847"/>
        <v>576.83486218555663</v>
      </c>
      <c r="BO292" s="456">
        <f t="shared" si="798"/>
        <v>0.63839999999999986</v>
      </c>
      <c r="BR292" s="144">
        <f t="shared" si="848"/>
        <v>638.39999999999986</v>
      </c>
      <c r="BS292" s="456">
        <f t="shared" si="849"/>
        <v>3.1548586472332557E-3</v>
      </c>
      <c r="BT292" s="456">
        <f t="shared" si="850"/>
        <v>3.6414512652805577E-2</v>
      </c>
      <c r="BU292" s="456">
        <f t="shared" si="851"/>
        <v>0.15832006846372088</v>
      </c>
      <c r="BV292" s="456"/>
      <c r="BW292" s="456">
        <f t="shared" si="852"/>
        <v>7.9232974629395983E-4</v>
      </c>
      <c r="BX292" s="144">
        <f t="shared" si="853"/>
        <v>198.68176951005367</v>
      </c>
      <c r="BY292" s="150">
        <f t="shared" si="854"/>
        <v>1.740143173251286</v>
      </c>
      <c r="BZ292" s="5">
        <f t="shared" si="855"/>
        <v>4.5599999999999996</v>
      </c>
      <c r="CA292" s="150">
        <f t="shared" si="856"/>
        <v>0.72379307495114298</v>
      </c>
      <c r="CB292" s="5">
        <f t="shared" si="857"/>
        <v>72.379307495114304</v>
      </c>
      <c r="CE292" s="59">
        <f t="shared" si="799"/>
        <v>-50</v>
      </c>
      <c r="CF292">
        <f t="shared" si="800"/>
        <v>-50</v>
      </c>
      <c r="CG292" s="150">
        <f t="shared" si="801"/>
        <v>0.90621802169762433</v>
      </c>
      <c r="CI292" s="147">
        <v>76</v>
      </c>
      <c r="CJ292" s="188">
        <f t="shared" si="858"/>
        <v>0.91199999999999992</v>
      </c>
      <c r="CK292" s="188"/>
      <c r="CL292" s="188">
        <f t="shared" si="802"/>
        <v>4.5599999999999996</v>
      </c>
      <c r="CM292" s="465">
        <f t="shared" si="803"/>
        <v>60</v>
      </c>
      <c r="CN292" s="379">
        <f t="shared" si="804"/>
        <v>5.4</v>
      </c>
      <c r="CO292" s="379">
        <f t="shared" si="805"/>
        <v>65.400000000000006</v>
      </c>
      <c r="CP292" s="379"/>
      <c r="CQ292" s="188">
        <f t="shared" si="806"/>
        <v>8.2568807339449546E-2</v>
      </c>
      <c r="CR292" s="149">
        <f t="shared" si="807"/>
        <v>12.756880733944957</v>
      </c>
      <c r="CS292" s="149">
        <f t="shared" si="808"/>
        <v>4.5599999999999996</v>
      </c>
      <c r="CT292" s="188">
        <f t="shared" si="809"/>
        <v>2.5513761467889915</v>
      </c>
      <c r="CU292" s="188">
        <f t="shared" si="810"/>
        <v>5</v>
      </c>
      <c r="CV292" s="188"/>
      <c r="CW292" s="149">
        <f t="shared" si="811"/>
        <v>104.70203374046278</v>
      </c>
      <c r="CX292" s="149">
        <f t="shared" si="812"/>
        <v>5</v>
      </c>
      <c r="CY292" s="188">
        <f t="shared" si="813"/>
        <v>1.8408888888888886</v>
      </c>
      <c r="CZ292" s="188">
        <f t="shared" si="814"/>
        <v>0.36817777777777777</v>
      </c>
      <c r="DA292" s="188">
        <f t="shared" si="815"/>
        <v>4.0908641975308635</v>
      </c>
      <c r="DB292" s="172">
        <f t="shared" si="816"/>
        <v>350</v>
      </c>
      <c r="DC292" s="379">
        <f t="shared" si="817"/>
        <v>224.26341925852427</v>
      </c>
      <c r="DE292" s="188">
        <f t="shared" si="818"/>
        <v>1.179554390563565</v>
      </c>
      <c r="DF292" s="150">
        <f t="shared" si="819"/>
        <v>2.6212319790301444</v>
      </c>
      <c r="DG292" s="150">
        <f t="shared" si="820"/>
        <v>0.54107999567136011</v>
      </c>
      <c r="DH292" s="150"/>
      <c r="DI292" s="150">
        <f t="shared" si="821"/>
        <v>2.2222222222222219</v>
      </c>
      <c r="DJ292" s="314">
        <f t="shared" si="822"/>
        <v>820.8</v>
      </c>
      <c r="DK292" s="456">
        <f t="shared" si="823"/>
        <v>0.38888888888888884</v>
      </c>
      <c r="DM292" s="150">
        <f t="shared" si="824"/>
        <v>1.5313859269115859</v>
      </c>
      <c r="DN292" s="150">
        <f t="shared" si="825"/>
        <v>1.8408888888888886</v>
      </c>
      <c r="DO292" s="150">
        <f t="shared" si="826"/>
        <v>1.8228806584362136</v>
      </c>
      <c r="DQ292" s="314">
        <f t="shared" si="827"/>
        <v>911.99999999999989</v>
      </c>
      <c r="DR292" s="144">
        <f t="shared" si="828"/>
        <v>224.26341925852427</v>
      </c>
      <c r="DT292">
        <f t="shared" si="829"/>
        <v>911.99999999999989</v>
      </c>
      <c r="DU292">
        <f t="shared" si="830"/>
        <v>224.26341925852427</v>
      </c>
      <c r="DW292" s="5">
        <f t="shared" si="859"/>
        <v>4.4590419753086419</v>
      </c>
      <c r="DX292" s="5">
        <f t="shared" si="831"/>
        <v>0.36817777777777777</v>
      </c>
      <c r="DY292" s="5">
        <f t="shared" si="832"/>
        <v>4.0908641975308644</v>
      </c>
      <c r="DZ292" s="5"/>
      <c r="EA292" s="150">
        <f t="shared" si="833"/>
        <v>8.2568807339449546E-2</v>
      </c>
      <c r="EB292" s="150">
        <f t="shared" si="860"/>
        <v>4.5599999999999996</v>
      </c>
      <c r="EC292" s="150">
        <f t="shared" si="861"/>
        <v>0.84444444444444433</v>
      </c>
      <c r="ED292" s="150">
        <f t="shared" si="862"/>
        <v>5.4</v>
      </c>
      <c r="EE292" s="144">
        <f t="shared" si="834"/>
        <v>6.7155626666666661</v>
      </c>
      <c r="EF292" s="5">
        <f t="shared" si="835"/>
        <v>0.12954403292181069</v>
      </c>
      <c r="EH292" s="150">
        <f t="shared" si="863"/>
        <v>0.30540416451597985</v>
      </c>
      <c r="EI292" s="150">
        <f t="shared" si="864"/>
        <v>1.0180138817199329</v>
      </c>
      <c r="EK292" s="456">
        <f t="shared" si="865"/>
        <v>1.8654340740740739E-3</v>
      </c>
      <c r="EL292" s="456">
        <f t="shared" si="866"/>
        <v>0.54</v>
      </c>
      <c r="EM292" s="456">
        <f t="shared" si="867"/>
        <v>2.8032927407315535E-2</v>
      </c>
      <c r="EN292" s="456">
        <f t="shared" si="868"/>
        <v>9.5921052631578976E-2</v>
      </c>
      <c r="EO292">
        <f t="shared" si="869"/>
        <v>2.7E-2</v>
      </c>
      <c r="EP292" s="144">
        <f t="shared" si="870"/>
        <v>55.03292740731554</v>
      </c>
      <c r="EQ292" s="144"/>
      <c r="ER292" s="144">
        <f t="shared" si="871"/>
        <v>692.81941411296862</v>
      </c>
      <c r="ES292" s="456">
        <f t="shared" si="872"/>
        <v>0.63839999999999986</v>
      </c>
      <c r="EV292" s="144">
        <f t="shared" si="873"/>
        <v>638.39999999999986</v>
      </c>
      <c r="EW292" s="456">
        <f t="shared" si="874"/>
        <v>2.7981511111111108E-3</v>
      </c>
      <c r="EX292" s="456">
        <f t="shared" si="875"/>
        <v>3.1090567901234562E-2</v>
      </c>
      <c r="EY292" s="456">
        <f t="shared" si="876"/>
        <v>0.17315500288201652</v>
      </c>
      <c r="EZ292" s="456"/>
      <c r="FA292" s="456">
        <f t="shared" si="877"/>
        <v>7.5999999999999993E-4</v>
      </c>
      <c r="FB292" s="144">
        <f t="shared" si="878"/>
        <v>207.80372189436218</v>
      </c>
      <c r="FC292" s="150">
        <f t="shared" si="879"/>
        <v>1.5390231360073308</v>
      </c>
      <c r="FD292" s="5">
        <f t="shared" si="880"/>
        <v>4.5599999999999996</v>
      </c>
      <c r="FE292" s="150">
        <f t="shared" si="881"/>
        <v>0.74766071521826716</v>
      </c>
      <c r="FF292" s="5">
        <f t="shared" si="882"/>
        <v>74.766071521826717</v>
      </c>
      <c r="FI292" s="59">
        <f t="shared" si="836"/>
        <v>-50</v>
      </c>
      <c r="FJ292">
        <f t="shared" si="837"/>
        <v>-50</v>
      </c>
      <c r="FL292">
        <f t="shared" si="838"/>
        <v>0.91743119266055051</v>
      </c>
    </row>
    <row r="293" spans="5:168">
      <c r="E293" s="147">
        <v>77</v>
      </c>
      <c r="F293" s="188">
        <f t="shared" si="839"/>
        <v>0.92399999999999993</v>
      </c>
      <c r="G293" s="188"/>
      <c r="H293" s="188">
        <f t="shared" si="764"/>
        <v>4.6199999999999992</v>
      </c>
      <c r="I293" s="465">
        <f t="shared" si="765"/>
        <v>59.949027081858475</v>
      </c>
      <c r="J293" s="149">
        <f t="shared" si="766"/>
        <v>5.4305837508849164</v>
      </c>
      <c r="K293" s="149">
        <f t="shared" si="767"/>
        <v>65.379610832743396</v>
      </c>
      <c r="L293" s="379"/>
      <c r="M293" s="188">
        <f t="shared" si="768"/>
        <v>8.30571698860091E-2</v>
      </c>
      <c r="N293" s="149">
        <f t="shared" si="769"/>
        <v>12.821431056610116</v>
      </c>
      <c r="O293" s="149">
        <f t="shared" si="762"/>
        <v>4.6199999999999992</v>
      </c>
      <c r="P293" s="188">
        <f t="shared" si="770"/>
        <v>2.5642862113220231</v>
      </c>
      <c r="Q293" s="188">
        <f t="shared" si="771"/>
        <v>5</v>
      </c>
      <c r="R293" s="188"/>
      <c r="S293" s="149">
        <f t="shared" si="772"/>
        <v>102.48379622492082</v>
      </c>
      <c r="T293" s="149">
        <f t="shared" si="773"/>
        <v>5</v>
      </c>
      <c r="U293" s="188">
        <f t="shared" si="774"/>
        <v>2.0153928241854109</v>
      </c>
      <c r="V293" s="188">
        <f t="shared" si="775"/>
        <v>0.4034212908443281</v>
      </c>
      <c r="W293" s="188">
        <f t="shared" si="776"/>
        <v>4.4534280290372132</v>
      </c>
      <c r="X293" s="172">
        <f t="shared" si="777"/>
        <v>350</v>
      </c>
      <c r="Y293" s="379">
        <f t="shared" si="840"/>
        <v>197.75159130575506</v>
      </c>
      <c r="AA293" s="188">
        <f t="shared" si="778"/>
        <v>1.1855968412252</v>
      </c>
      <c r="AB293" s="150">
        <f t="shared" si="779"/>
        <v>2.6198218731796699</v>
      </c>
      <c r="AC293" s="150">
        <f t="shared" si="780"/>
        <v>0.54355919404753805</v>
      </c>
      <c r="AD293" s="150"/>
      <c r="AE293" s="150">
        <f t="shared" si="781"/>
        <v>2.2097071973237861</v>
      </c>
      <c r="AF293" s="314">
        <f t="shared" si="782"/>
        <v>836.30989763627701</v>
      </c>
      <c r="AG293" s="456">
        <f t="shared" si="783"/>
        <v>0.38669875953166255</v>
      </c>
      <c r="AI293" s="150">
        <f t="shared" si="784"/>
        <v>1.5457868062541362</v>
      </c>
      <c r="AJ293" s="150">
        <f t="shared" si="785"/>
        <v>2.0153928241854109</v>
      </c>
      <c r="AK293" s="150">
        <f t="shared" si="786"/>
        <v>1.9521428327299339</v>
      </c>
      <c r="AM293" s="314">
        <f t="shared" si="787"/>
        <v>923.99999999999989</v>
      </c>
      <c r="AN293" s="144">
        <f t="shared" si="788"/>
        <v>197.75159130575506</v>
      </c>
      <c r="AP293">
        <f t="shared" si="789"/>
        <v>923.99999999999989</v>
      </c>
      <c r="AQ293">
        <f t="shared" si="790"/>
        <v>197.75159130575506</v>
      </c>
      <c r="AS293" s="5">
        <f t="shared" si="763"/>
        <v>5.0568493198815414</v>
      </c>
      <c r="AT293" s="5">
        <f t="shared" si="791"/>
        <v>0.4034212908443281</v>
      </c>
      <c r="AU293" s="5">
        <f t="shared" si="722"/>
        <v>4.6534280290372134</v>
      </c>
      <c r="AV293" s="5"/>
      <c r="AW293" s="150">
        <f t="shared" si="723"/>
        <v>7.977720223108771E-2</v>
      </c>
      <c r="AX293" s="150">
        <f t="shared" si="792"/>
        <v>4.8193742532235815</v>
      </c>
      <c r="AY293" s="150">
        <f t="shared" si="793"/>
        <v>0.92730521163764412</v>
      </c>
      <c r="AZ293" s="150">
        <f t="shared" si="794"/>
        <v>5.1971823222177802</v>
      </c>
      <c r="BA293" s="144">
        <f t="shared" si="724"/>
        <v>7.4552254548031822</v>
      </c>
      <c r="BB293" s="5">
        <f t="shared" si="725"/>
        <v>0.14942442591545277</v>
      </c>
      <c r="BD293" s="150">
        <f t="shared" si="841"/>
        <v>0.32865366626565151</v>
      </c>
      <c r="BE293" s="150">
        <f t="shared" si="842"/>
        <v>1.1162091409063213</v>
      </c>
      <c r="BG293" s="456">
        <f t="shared" si="843"/>
        <v>2.1602646469970851E-3</v>
      </c>
      <c r="BH293" s="456">
        <f t="shared" si="795"/>
        <v>0.48856606475163045</v>
      </c>
      <c r="BI293" s="456">
        <f t="shared" si="796"/>
        <v>0.29637538756673298</v>
      </c>
      <c r="BJ293" s="456">
        <f t="shared" si="844"/>
        <v>8.4528789415087985E-2</v>
      </c>
      <c r="BK293">
        <f t="shared" si="845"/>
        <v>2.6977062186836313E-2</v>
      </c>
      <c r="BL293" s="144">
        <f t="shared" si="846"/>
        <v>323.35244975356932</v>
      </c>
      <c r="BM293" s="456">
        <f t="shared" si="797"/>
        <v>0.5761341077380272</v>
      </c>
      <c r="BN293" s="144">
        <f t="shared" si="847"/>
        <v>576.13410773802718</v>
      </c>
      <c r="BO293" s="456">
        <f t="shared" si="798"/>
        <v>0.64679999999999993</v>
      </c>
      <c r="BR293" s="144">
        <f t="shared" si="848"/>
        <v>646.79999999999995</v>
      </c>
      <c r="BS293" s="456">
        <f t="shared" si="849"/>
        <v>3.240396970495627E-3</v>
      </c>
      <c r="BT293" s="456">
        <f t="shared" si="850"/>
        <v>3.737768538728483E-2</v>
      </c>
      <c r="BU293" s="456">
        <f t="shared" si="851"/>
        <v>0.15855109345640606</v>
      </c>
      <c r="BV293" s="456"/>
      <c r="BW293" s="456">
        <f t="shared" si="852"/>
        <v>8.0322904220393027E-4</v>
      </c>
      <c r="BX293" s="144">
        <f t="shared" si="853"/>
        <v>199.97240485639045</v>
      </c>
      <c r="BY293" s="150">
        <f t="shared" si="854"/>
        <v>1.7453799734236755</v>
      </c>
      <c r="BZ293" s="5">
        <f t="shared" si="855"/>
        <v>4.6199999999999992</v>
      </c>
      <c r="CA293" s="150">
        <f t="shared" si="856"/>
        <v>0.72580113352056375</v>
      </c>
      <c r="CB293" s="5">
        <f t="shared" si="857"/>
        <v>72.580113352056372</v>
      </c>
      <c r="CE293" s="59">
        <f t="shared" si="799"/>
        <v>-50</v>
      </c>
      <c r="CF293">
        <f t="shared" si="800"/>
        <v>-50</v>
      </c>
      <c r="CG293" s="150">
        <f t="shared" si="801"/>
        <v>0.90636364729454544</v>
      </c>
      <c r="CI293" s="147">
        <v>77</v>
      </c>
      <c r="CJ293" s="188">
        <f t="shared" si="858"/>
        <v>0.92399999999999993</v>
      </c>
      <c r="CK293" s="188"/>
      <c r="CL293" s="188">
        <f t="shared" si="802"/>
        <v>4.6199999999999992</v>
      </c>
      <c r="CM293" s="465">
        <f t="shared" si="803"/>
        <v>60</v>
      </c>
      <c r="CN293" s="379">
        <f t="shared" si="804"/>
        <v>5.4</v>
      </c>
      <c r="CO293" s="379">
        <f t="shared" si="805"/>
        <v>65.400000000000006</v>
      </c>
      <c r="CP293" s="379"/>
      <c r="CQ293" s="188">
        <f t="shared" si="806"/>
        <v>8.2568807339449546E-2</v>
      </c>
      <c r="CR293" s="149">
        <f t="shared" si="807"/>
        <v>12.756880733944957</v>
      </c>
      <c r="CS293" s="149">
        <f t="shared" si="808"/>
        <v>4.6199999999999992</v>
      </c>
      <c r="CT293" s="188">
        <f t="shared" si="809"/>
        <v>2.5513761467889915</v>
      </c>
      <c r="CU293" s="188">
        <f t="shared" si="810"/>
        <v>5</v>
      </c>
      <c r="CV293" s="188"/>
      <c r="CW293" s="149">
        <f t="shared" si="811"/>
        <v>102.5707382619986</v>
      </c>
      <c r="CX293" s="149">
        <f t="shared" si="812"/>
        <v>5</v>
      </c>
      <c r="CY293" s="188">
        <f t="shared" si="813"/>
        <v>1.8651111111111105</v>
      </c>
      <c r="CZ293" s="188">
        <f t="shared" si="814"/>
        <v>0.37302222222222209</v>
      </c>
      <c r="DA293" s="188">
        <f t="shared" si="815"/>
        <v>4.1446913580246898</v>
      </c>
      <c r="DB293" s="172">
        <f t="shared" si="816"/>
        <v>350</v>
      </c>
      <c r="DC293" s="379">
        <f t="shared" si="817"/>
        <v>221.35090732010192</v>
      </c>
      <c r="DE293" s="188">
        <f t="shared" si="818"/>
        <v>1.179554390563565</v>
      </c>
      <c r="DF293" s="150">
        <f t="shared" si="819"/>
        <v>2.6212319790301444</v>
      </c>
      <c r="DG293" s="150">
        <f t="shared" si="820"/>
        <v>0.54107999567136011</v>
      </c>
      <c r="DH293" s="150"/>
      <c r="DI293" s="150">
        <f t="shared" si="821"/>
        <v>2.2222222222222219</v>
      </c>
      <c r="DJ293" s="314">
        <f t="shared" si="822"/>
        <v>831.6</v>
      </c>
      <c r="DK293" s="456">
        <f t="shared" si="823"/>
        <v>0.38888888888888884</v>
      </c>
      <c r="DM293" s="150">
        <f t="shared" si="824"/>
        <v>1.5414279094398156</v>
      </c>
      <c r="DN293" s="150">
        <f t="shared" si="825"/>
        <v>1.8651111111111105</v>
      </c>
      <c r="DO293" s="150">
        <f t="shared" si="826"/>
        <v>1.8408230452674892</v>
      </c>
      <c r="DQ293" s="314">
        <f t="shared" si="827"/>
        <v>923.99999999999989</v>
      </c>
      <c r="DR293" s="144">
        <f t="shared" si="828"/>
        <v>221.35090732010192</v>
      </c>
      <c r="DT293">
        <f t="shared" si="829"/>
        <v>923.99999999999989</v>
      </c>
      <c r="DU293">
        <f t="shared" si="830"/>
        <v>221.35090732010192</v>
      </c>
      <c r="DW293" s="5">
        <f t="shared" si="859"/>
        <v>4.5177135802469115</v>
      </c>
      <c r="DX293" s="5">
        <f t="shared" si="831"/>
        <v>0.37302222222222209</v>
      </c>
      <c r="DY293" s="5">
        <f t="shared" si="832"/>
        <v>4.1446913580246898</v>
      </c>
      <c r="DZ293" s="5"/>
      <c r="EA293" s="150">
        <f t="shared" si="833"/>
        <v>8.2568807339449546E-2</v>
      </c>
      <c r="EB293" s="150">
        <f t="shared" si="860"/>
        <v>4.6199999999999992</v>
      </c>
      <c r="EC293" s="150">
        <f t="shared" si="861"/>
        <v>0.85555555555555529</v>
      </c>
      <c r="ED293" s="150">
        <f t="shared" si="862"/>
        <v>5.4</v>
      </c>
      <c r="EE293" s="144">
        <f t="shared" si="834"/>
        <v>6.8934506666666646</v>
      </c>
      <c r="EF293" s="5">
        <f t="shared" si="835"/>
        <v>0.13297551440329208</v>
      </c>
      <c r="EH293" s="150">
        <f t="shared" si="863"/>
        <v>0.30942264036487427</v>
      </c>
      <c r="EI293" s="150">
        <f t="shared" si="864"/>
        <v>1.0314088012162477</v>
      </c>
      <c r="EK293" s="456">
        <f t="shared" si="865"/>
        <v>1.9148474074074065E-3</v>
      </c>
      <c r="EL293" s="456">
        <f t="shared" si="866"/>
        <v>0.54000000000000015</v>
      </c>
      <c r="EM293" s="456">
        <f t="shared" si="867"/>
        <v>2.7668863415012738E-2</v>
      </c>
      <c r="EN293" s="456">
        <f t="shared" si="868"/>
        <v>9.4675324675324732E-2</v>
      </c>
      <c r="EO293">
        <f t="shared" si="869"/>
        <v>2.7E-2</v>
      </c>
      <c r="EP293" s="144">
        <f t="shared" si="870"/>
        <v>54.668863415012737</v>
      </c>
      <c r="EQ293" s="144"/>
      <c r="ER293" s="144">
        <f t="shared" si="871"/>
        <v>691.259035497745</v>
      </c>
      <c r="ES293" s="456">
        <f t="shared" si="872"/>
        <v>0.64679999999999993</v>
      </c>
      <c r="EV293" s="144">
        <f t="shared" si="873"/>
        <v>646.79999999999995</v>
      </c>
      <c r="EW293" s="456">
        <f t="shared" si="874"/>
        <v>2.8722711111111095E-3</v>
      </c>
      <c r="EX293" s="456">
        <f t="shared" si="875"/>
        <v>3.1914123456790115E-2</v>
      </c>
      <c r="EY293" s="456">
        <f t="shared" si="876"/>
        <v>0.17315500288201613</v>
      </c>
      <c r="EZ293" s="456"/>
      <c r="FA293" s="456">
        <f t="shared" si="877"/>
        <v>7.6999999999999996E-4</v>
      </c>
      <c r="FB293" s="144">
        <f t="shared" si="878"/>
        <v>208.71139744991734</v>
      </c>
      <c r="FC293" s="150">
        <f t="shared" si="879"/>
        <v>1.5467704329476624</v>
      </c>
      <c r="FD293" s="5">
        <f t="shared" si="880"/>
        <v>4.6199999999999992</v>
      </c>
      <c r="FE293" s="150">
        <f t="shared" si="881"/>
        <v>0.74917658282143651</v>
      </c>
      <c r="FF293" s="5">
        <f t="shared" si="882"/>
        <v>74.917658282143648</v>
      </c>
      <c r="FI293" s="59">
        <f t="shared" si="836"/>
        <v>-50</v>
      </c>
      <c r="FJ293">
        <f t="shared" si="837"/>
        <v>-50</v>
      </c>
      <c r="FL293">
        <f t="shared" si="838"/>
        <v>0.91743119266055051</v>
      </c>
    </row>
    <row r="294" spans="5:168">
      <c r="E294" s="147">
        <v>78</v>
      </c>
      <c r="F294" s="188">
        <f t="shared" si="839"/>
        <v>0.93599999999999994</v>
      </c>
      <c r="G294" s="188"/>
      <c r="H294" s="188">
        <f t="shared" si="764"/>
        <v>4.68</v>
      </c>
      <c r="I294" s="465">
        <f t="shared" si="765"/>
        <v>59.948373178109101</v>
      </c>
      <c r="J294" s="149">
        <f t="shared" si="766"/>
        <v>5.4309760931345421</v>
      </c>
      <c r="K294" s="149">
        <f t="shared" si="767"/>
        <v>65.37934927124364</v>
      </c>
      <c r="L294" s="379"/>
      <c r="M294" s="188">
        <f t="shared" si="768"/>
        <v>8.3063504028250884E-2</v>
      </c>
      <c r="N294" s="149">
        <f t="shared" si="769"/>
        <v>12.822268987689904</v>
      </c>
      <c r="O294" s="149">
        <f t="shared" si="762"/>
        <v>4.68</v>
      </c>
      <c r="P294" s="188">
        <f t="shared" si="770"/>
        <v>2.5644537975379809</v>
      </c>
      <c r="Q294" s="188">
        <f t="shared" si="771"/>
        <v>5</v>
      </c>
      <c r="R294" s="188"/>
      <c r="S294" s="149">
        <f t="shared" si="772"/>
        <v>100.40801637823255</v>
      </c>
      <c r="T294" s="149">
        <f t="shared" si="773"/>
        <v>5</v>
      </c>
      <c r="U294" s="188">
        <f t="shared" si="774"/>
        <v>2.0415808599875778</v>
      </c>
      <c r="V294" s="188">
        <f t="shared" si="775"/>
        <v>0.40866780900064592</v>
      </c>
      <c r="W294" s="188">
        <f t="shared" si="776"/>
        <v>4.5109700171246949</v>
      </c>
      <c r="X294" s="172">
        <f t="shared" si="777"/>
        <v>350</v>
      </c>
      <c r="Y294" s="379">
        <f t="shared" si="840"/>
        <v>195.3263168142546</v>
      </c>
      <c r="AA294" s="188">
        <f t="shared" si="778"/>
        <v>1.185674307246142</v>
      </c>
      <c r="AB294" s="150">
        <f t="shared" si="779"/>
        <v>2.619803777987507</v>
      </c>
      <c r="AC294" s="150">
        <f t="shared" si="780"/>
        <v>0.54359095517757849</v>
      </c>
      <c r="AD294" s="150"/>
      <c r="AE294" s="150">
        <f t="shared" si="781"/>
        <v>2.2095475646025315</v>
      </c>
      <c r="AF294" s="314">
        <f t="shared" si="782"/>
        <v>847.23227052898858</v>
      </c>
      <c r="AG294" s="456">
        <f t="shared" si="783"/>
        <v>0.38667082380544304</v>
      </c>
      <c r="AI294" s="150">
        <f t="shared" si="784"/>
        <v>1.5558482027764868</v>
      </c>
      <c r="AJ294" s="150">
        <f t="shared" si="785"/>
        <v>2.0415808599875778</v>
      </c>
      <c r="AK294" s="150">
        <f t="shared" si="786"/>
        <v>1.9715413777685762</v>
      </c>
      <c r="AM294" s="314">
        <f t="shared" si="787"/>
        <v>936</v>
      </c>
      <c r="AN294" s="144">
        <f t="shared" si="788"/>
        <v>195.3263168142546</v>
      </c>
      <c r="AP294">
        <f t="shared" si="789"/>
        <v>936</v>
      </c>
      <c r="AQ294">
        <f t="shared" si="790"/>
        <v>195.3263168142546</v>
      </c>
      <c r="AS294" s="5">
        <f t="shared" si="763"/>
        <v>5.1196378261253406</v>
      </c>
      <c r="AT294" s="5">
        <f t="shared" si="791"/>
        <v>0.40866780900064592</v>
      </c>
      <c r="AU294" s="5">
        <f t="shared" si="722"/>
        <v>4.7109700171246942</v>
      </c>
      <c r="AV294" s="5"/>
      <c r="AW294" s="150">
        <f t="shared" si="723"/>
        <v>7.9823577932647452E-2</v>
      </c>
      <c r="AX294" s="150">
        <f t="shared" si="792"/>
        <v>4.8847819507054018</v>
      </c>
      <c r="AY294" s="150">
        <f t="shared" si="793"/>
        <v>0.93930728555227894</v>
      </c>
      <c r="AZ294" s="150">
        <f t="shared" si="794"/>
        <v>5.2004088819915042</v>
      </c>
      <c r="BA294" s="144">
        <f t="shared" si="724"/>
        <v>7.650261384492091</v>
      </c>
      <c r="BB294" s="5">
        <f t="shared" si="725"/>
        <v>0.15323837906493312</v>
      </c>
      <c r="BD294" s="150">
        <f t="shared" si="841"/>
        <v>0.33302094839353058</v>
      </c>
      <c r="BE294" s="150">
        <f t="shared" si="842"/>
        <v>1.1306846821964169</v>
      </c>
      <c r="BG294" s="456">
        <f t="shared" si="843"/>
        <v>2.2180590413785313E-3</v>
      </c>
      <c r="BH294" s="456">
        <f t="shared" si="795"/>
        <v>0.48884278772666773</v>
      </c>
      <c r="BI294" s="456">
        <f t="shared" si="796"/>
        <v>0.29273737329716248</v>
      </c>
      <c r="BJ294" s="456">
        <f t="shared" si="844"/>
        <v>8.3491439361566624E-2</v>
      </c>
      <c r="BK294">
        <f t="shared" si="845"/>
        <v>2.6976767930149095E-2</v>
      </c>
      <c r="BL294" s="144">
        <f t="shared" si="846"/>
        <v>319.71414122731159</v>
      </c>
      <c r="BM294" s="456">
        <f t="shared" si="797"/>
        <v>0.57545443278801822</v>
      </c>
      <c r="BN294" s="144">
        <f t="shared" si="847"/>
        <v>575.45443278801827</v>
      </c>
      <c r="BO294" s="456">
        <f t="shared" si="798"/>
        <v>0.65519999999999989</v>
      </c>
      <c r="BR294" s="144">
        <f t="shared" si="848"/>
        <v>655.19999999999993</v>
      </c>
      <c r="BS294" s="456">
        <f t="shared" si="849"/>
        <v>3.3270885620677966E-3</v>
      </c>
      <c r="BT294" s="456">
        <f t="shared" si="850"/>
        <v>3.8353435516608365E-2</v>
      </c>
      <c r="BU294" s="456">
        <f t="shared" si="851"/>
        <v>0.15877728452902373</v>
      </c>
      <c r="BV294" s="456"/>
      <c r="BW294" s="456">
        <f t="shared" si="852"/>
        <v>8.1413032511756691E-4</v>
      </c>
      <c r="BX294" s="144">
        <f t="shared" si="853"/>
        <v>201.27193893281748</v>
      </c>
      <c r="BY294" s="150">
        <f t="shared" si="854"/>
        <v>1.7507383662897418</v>
      </c>
      <c r="BZ294" s="5">
        <f t="shared" si="855"/>
        <v>4.68</v>
      </c>
      <c r="CA294" s="150">
        <f t="shared" si="856"/>
        <v>0.72775468903116913</v>
      </c>
      <c r="CB294" s="5">
        <f t="shared" si="857"/>
        <v>72.775468903116916</v>
      </c>
      <c r="CE294" s="59">
        <f t="shared" si="799"/>
        <v>-50</v>
      </c>
      <c r="CF294">
        <f t="shared" si="800"/>
        <v>-50</v>
      </c>
      <c r="CG294" s="150">
        <f t="shared" si="801"/>
        <v>0.90650553890180174</v>
      </c>
      <c r="CI294" s="147">
        <v>78</v>
      </c>
      <c r="CJ294" s="188">
        <f t="shared" si="858"/>
        <v>0.93599999999999994</v>
      </c>
      <c r="CK294" s="188"/>
      <c r="CL294" s="188">
        <f t="shared" si="802"/>
        <v>4.68</v>
      </c>
      <c r="CM294" s="465">
        <f t="shared" si="803"/>
        <v>60</v>
      </c>
      <c r="CN294" s="379">
        <f t="shared" si="804"/>
        <v>5.4</v>
      </c>
      <c r="CO294" s="379">
        <f t="shared" si="805"/>
        <v>65.400000000000006</v>
      </c>
      <c r="CP294" s="379"/>
      <c r="CQ294" s="188">
        <f t="shared" si="806"/>
        <v>8.2568807339449546E-2</v>
      </c>
      <c r="CR294" s="149">
        <f t="shared" si="807"/>
        <v>12.756880733944957</v>
      </c>
      <c r="CS294" s="149">
        <f t="shared" si="808"/>
        <v>4.68</v>
      </c>
      <c r="CT294" s="188">
        <f t="shared" si="809"/>
        <v>2.5513761467889915</v>
      </c>
      <c r="CU294" s="188">
        <f t="shared" si="810"/>
        <v>5</v>
      </c>
      <c r="CV294" s="188"/>
      <c r="CW294" s="149">
        <f t="shared" si="811"/>
        <v>100.49428300089259</v>
      </c>
      <c r="CX294" s="149">
        <f t="shared" si="812"/>
        <v>5</v>
      </c>
      <c r="CY294" s="188">
        <f t="shared" si="813"/>
        <v>1.8893333333333331</v>
      </c>
      <c r="CZ294" s="188">
        <f t="shared" si="814"/>
        <v>0.37786666666666668</v>
      </c>
      <c r="DA294" s="188">
        <f t="shared" si="815"/>
        <v>4.1985185185185179</v>
      </c>
      <c r="DB294" s="172">
        <f t="shared" si="816"/>
        <v>350</v>
      </c>
      <c r="DC294" s="379">
        <f t="shared" si="817"/>
        <v>218.51307517497236</v>
      </c>
      <c r="DE294" s="188">
        <f t="shared" si="818"/>
        <v>1.179554390563565</v>
      </c>
      <c r="DF294" s="150">
        <f t="shared" si="819"/>
        <v>2.6212319790301444</v>
      </c>
      <c r="DG294" s="150">
        <f t="shared" si="820"/>
        <v>0.54107999567136011</v>
      </c>
      <c r="DH294" s="150"/>
      <c r="DI294" s="150">
        <f t="shared" si="821"/>
        <v>2.2222222222222219</v>
      </c>
      <c r="DJ294" s="314">
        <f t="shared" si="822"/>
        <v>842.4</v>
      </c>
      <c r="DK294" s="456">
        <f t="shared" si="823"/>
        <v>0.38888888888888884</v>
      </c>
      <c r="DM294" s="150">
        <f t="shared" si="824"/>
        <v>1.5514048932684024</v>
      </c>
      <c r="DN294" s="150">
        <f t="shared" si="825"/>
        <v>1.8893333333333331</v>
      </c>
      <c r="DO294" s="150">
        <f t="shared" si="826"/>
        <v>1.8587654320987652</v>
      </c>
      <c r="DQ294" s="314">
        <f t="shared" si="827"/>
        <v>936</v>
      </c>
      <c r="DR294" s="144">
        <f t="shared" si="828"/>
        <v>218.51307517497236</v>
      </c>
      <c r="DT294">
        <f t="shared" si="829"/>
        <v>936</v>
      </c>
      <c r="DU294">
        <f t="shared" si="830"/>
        <v>218.51307517497236</v>
      </c>
      <c r="DW294" s="5">
        <f t="shared" si="859"/>
        <v>4.5763851851851847</v>
      </c>
      <c r="DX294" s="5">
        <f t="shared" si="831"/>
        <v>0.37786666666666668</v>
      </c>
      <c r="DY294" s="5">
        <f t="shared" si="832"/>
        <v>4.1985185185185179</v>
      </c>
      <c r="DZ294" s="5"/>
      <c r="EA294" s="150">
        <f t="shared" si="833"/>
        <v>8.256880733944956E-2</v>
      </c>
      <c r="EB294" s="150">
        <f t="shared" si="860"/>
        <v>4.68</v>
      </c>
      <c r="EC294" s="150">
        <f t="shared" si="861"/>
        <v>0.86666666666666647</v>
      </c>
      <c r="ED294" s="150">
        <f t="shared" si="862"/>
        <v>5.4000000000000012</v>
      </c>
      <c r="EE294" s="144">
        <f t="shared" si="834"/>
        <v>7.0736639999999991</v>
      </c>
      <c r="EF294" s="5">
        <f t="shared" si="835"/>
        <v>0.13645185185185182</v>
      </c>
      <c r="EH294" s="150">
        <f t="shared" si="863"/>
        <v>0.3134411162137688</v>
      </c>
      <c r="EI294" s="150">
        <f t="shared" si="864"/>
        <v>1.0448037207125627</v>
      </c>
      <c r="EK294" s="456">
        <f t="shared" si="865"/>
        <v>1.9649066666666665E-3</v>
      </c>
      <c r="EL294" s="456">
        <f t="shared" si="866"/>
        <v>0.54</v>
      </c>
      <c r="EM294" s="456">
        <f t="shared" si="867"/>
        <v>2.7314134396871543E-2</v>
      </c>
      <c r="EN294" s="456">
        <f t="shared" si="868"/>
        <v>9.3461538461538499E-2</v>
      </c>
      <c r="EO294">
        <f t="shared" si="869"/>
        <v>2.7E-2</v>
      </c>
      <c r="EP294" s="144">
        <f t="shared" si="870"/>
        <v>54.314134396871545</v>
      </c>
      <c r="EQ294" s="144"/>
      <c r="ER294" s="144">
        <f t="shared" si="871"/>
        <v>689.74057952507678</v>
      </c>
      <c r="ES294" s="456">
        <f t="shared" si="872"/>
        <v>0.65519999999999989</v>
      </c>
      <c r="EV294" s="144">
        <f t="shared" si="873"/>
        <v>655.19999999999993</v>
      </c>
      <c r="EW294" s="456">
        <f t="shared" si="874"/>
        <v>2.9473599999999996E-3</v>
      </c>
      <c r="EX294" s="456">
        <f t="shared" si="875"/>
        <v>3.2748444444444434E-2</v>
      </c>
      <c r="EY294" s="456">
        <f t="shared" si="876"/>
        <v>0.17315500288201641</v>
      </c>
      <c r="EZ294" s="456"/>
      <c r="FA294" s="456">
        <f t="shared" si="877"/>
        <v>7.7999999999999999E-4</v>
      </c>
      <c r="FB294" s="144">
        <f t="shared" si="878"/>
        <v>209.63080732646083</v>
      </c>
      <c r="FC294" s="150">
        <f t="shared" si="879"/>
        <v>1.5545713868515374</v>
      </c>
      <c r="FD294" s="5">
        <f t="shared" si="880"/>
        <v>4.68</v>
      </c>
      <c r="FE294" s="150">
        <f t="shared" si="881"/>
        <v>0.75065304567206226</v>
      </c>
      <c r="FF294" s="5">
        <f t="shared" si="882"/>
        <v>75.065304567206226</v>
      </c>
      <c r="FI294" s="59">
        <f t="shared" si="836"/>
        <v>-50</v>
      </c>
      <c r="FJ294">
        <f t="shared" si="837"/>
        <v>-50</v>
      </c>
      <c r="FL294">
        <f t="shared" si="838"/>
        <v>0.9174311926605504</v>
      </c>
    </row>
    <row r="295" spans="5:168">
      <c r="E295" s="147">
        <v>79</v>
      </c>
      <c r="F295" s="188">
        <f t="shared" si="839"/>
        <v>0.94799999999999995</v>
      </c>
      <c r="G295" s="188"/>
      <c r="H295" s="188">
        <f t="shared" si="764"/>
        <v>4.74</v>
      </c>
      <c r="I295" s="465">
        <f t="shared" si="765"/>
        <v>59.947719271894002</v>
      </c>
      <c r="J295" s="149">
        <f t="shared" si="766"/>
        <v>5.4313684368635977</v>
      </c>
      <c r="K295" s="149">
        <f t="shared" si="767"/>
        <v>65.379087708757595</v>
      </c>
      <c r="L295" s="379"/>
      <c r="M295" s="188">
        <f t="shared" si="768"/>
        <v>8.3069838224296574E-2</v>
      </c>
      <c r="N295" s="149">
        <f t="shared" si="769"/>
        <v>12.823106905216838</v>
      </c>
      <c r="O295" s="149">
        <f t="shared" si="762"/>
        <v>4.74</v>
      </c>
      <c r="P295" s="188">
        <f t="shared" si="770"/>
        <v>2.5646213810433673</v>
      </c>
      <c r="Q295" s="188">
        <f t="shared" si="771"/>
        <v>5</v>
      </c>
      <c r="R295" s="188"/>
      <c r="S295" s="149">
        <f t="shared" si="772"/>
        <v>98.384997886297711</v>
      </c>
      <c r="T295" s="149">
        <f t="shared" si="773"/>
        <v>5</v>
      </c>
      <c r="U295" s="188">
        <f t="shared" si="774"/>
        <v>2.0677692577243345</v>
      </c>
      <c r="V295" s="188">
        <f t="shared" si="775"/>
        <v>0.41391451408103019</v>
      </c>
      <c r="W295" s="188">
        <f t="shared" si="776"/>
        <v>4.5685044903749308</v>
      </c>
      <c r="X295" s="172">
        <f t="shared" si="777"/>
        <v>350</v>
      </c>
      <c r="Y295" s="379">
        <f t="shared" si="840"/>
        <v>192.9600827606138</v>
      </c>
      <c r="AA295" s="188">
        <f t="shared" si="778"/>
        <v>1.185751772310399</v>
      </c>
      <c r="AB295" s="150">
        <f t="shared" si="779"/>
        <v>2.6197856825823234</v>
      </c>
      <c r="AC295" s="150">
        <f t="shared" si="780"/>
        <v>0.54362271533419471</v>
      </c>
      <c r="AD295" s="150"/>
      <c r="AE295" s="150">
        <f t="shared" si="781"/>
        <v>2.2093879543420423</v>
      </c>
      <c r="AF295" s="314">
        <f t="shared" si="782"/>
        <v>858.15621302444845</v>
      </c>
      <c r="AG295" s="456">
        <f t="shared" si="783"/>
        <v>0.38664289200985741</v>
      </c>
      <c r="AI295" s="150">
        <f t="shared" si="784"/>
        <v>1.5658463827449891</v>
      </c>
      <c r="AJ295" s="150">
        <f t="shared" si="785"/>
        <v>2.0677692577243345</v>
      </c>
      <c r="AK295" s="150">
        <f t="shared" si="786"/>
        <v>1.9909401909069144</v>
      </c>
      <c r="AM295" s="314">
        <f t="shared" si="787"/>
        <v>948</v>
      </c>
      <c r="AN295" s="144">
        <f t="shared" si="788"/>
        <v>192.9600827606138</v>
      </c>
      <c r="AP295">
        <f t="shared" si="789"/>
        <v>948</v>
      </c>
      <c r="AQ295">
        <f t="shared" si="790"/>
        <v>192.9600827606138</v>
      </c>
      <c r="AS295" s="5">
        <f t="shared" si="763"/>
        <v>5.1824190044559604</v>
      </c>
      <c r="AT295" s="5">
        <f t="shared" si="791"/>
        <v>0.41391451408103019</v>
      </c>
      <c r="AU295" s="5">
        <f t="shared" si="722"/>
        <v>4.7685044903749301</v>
      </c>
      <c r="AV295" s="5"/>
      <c r="AW295" s="150">
        <f t="shared" si="723"/>
        <v>7.9868978892894835E-2</v>
      </c>
      <c r="AX295" s="150">
        <f t="shared" si="792"/>
        <v>4.9502014787073705</v>
      </c>
      <c r="AY295" s="150">
        <f t="shared" si="793"/>
        <v>0.95130931926188644</v>
      </c>
      <c r="AZ295" s="150">
        <f t="shared" si="794"/>
        <v>5.2035666827569749</v>
      </c>
      <c r="BA295" s="144">
        <f t="shared" si="724"/>
        <v>7.8478191869763325</v>
      </c>
      <c r="BB295" s="5">
        <f t="shared" si="725"/>
        <v>0.15710016132183266</v>
      </c>
      <c r="BD295" s="150">
        <f t="shared" si="841"/>
        <v>0.33738868449562232</v>
      </c>
      <c r="BE295" s="150">
        <f t="shared" si="842"/>
        <v>1.1451602988101397</v>
      </c>
      <c r="BG295" s="456">
        <f t="shared" si="843"/>
        <v>2.2766224885137315E-3</v>
      </c>
      <c r="BH295" s="456">
        <f t="shared" si="795"/>
        <v>0.489113532982836</v>
      </c>
      <c r="BI295" s="456">
        <f t="shared" si="796"/>
        <v>0.28918792180036773</v>
      </c>
      <c r="BJ295" s="456">
        <f t="shared" si="844"/>
        <v>8.2479342290813842E-2</v>
      </c>
      <c r="BK295">
        <f t="shared" si="845"/>
        <v>2.69764736723523E-2</v>
      </c>
      <c r="BL295" s="144">
        <f t="shared" si="846"/>
        <v>316.16439547272</v>
      </c>
      <c r="BM295" s="456">
        <f t="shared" si="797"/>
        <v>0.57479510716668414</v>
      </c>
      <c r="BN295" s="144">
        <f t="shared" si="847"/>
        <v>574.79510716668415</v>
      </c>
      <c r="BO295" s="456">
        <f t="shared" si="798"/>
        <v>0.66359999999999997</v>
      </c>
      <c r="BR295" s="144">
        <f t="shared" si="848"/>
        <v>663.6</v>
      </c>
      <c r="BS295" s="456">
        <f t="shared" si="849"/>
        <v>3.414933732770597E-3</v>
      </c>
      <c r="BT295" s="456">
        <f t="shared" si="850"/>
        <v>3.9341763299127856E-2</v>
      </c>
      <c r="BU295" s="456">
        <f t="shared" si="851"/>
        <v>0.1589988128526976</v>
      </c>
      <c r="BV295" s="456"/>
      <c r="BW295" s="456">
        <f t="shared" si="852"/>
        <v>8.250335797845617E-4</v>
      </c>
      <c r="BX295" s="144">
        <f t="shared" si="853"/>
        <v>202.58054346438061</v>
      </c>
      <c r="BY295" s="150">
        <f t="shared" si="854"/>
        <v>1.7562144366992642</v>
      </c>
      <c r="BZ295" s="5">
        <f t="shared" si="855"/>
        <v>4.74</v>
      </c>
      <c r="CA295" s="150">
        <f t="shared" si="856"/>
        <v>0.72965571660045148</v>
      </c>
      <c r="CB295" s="5">
        <f t="shared" si="857"/>
        <v>72.965571660045143</v>
      </c>
      <c r="CE295" s="59">
        <f t="shared" si="799"/>
        <v>-50</v>
      </c>
      <c r="CF295">
        <f t="shared" si="800"/>
        <v>-50</v>
      </c>
      <c r="CG295" s="150">
        <f t="shared" si="801"/>
        <v>0.90664383831646955</v>
      </c>
      <c r="CI295" s="147">
        <v>79</v>
      </c>
      <c r="CJ295" s="188">
        <f t="shared" si="858"/>
        <v>0.94799999999999995</v>
      </c>
      <c r="CK295" s="188"/>
      <c r="CL295" s="188">
        <f t="shared" si="802"/>
        <v>4.74</v>
      </c>
      <c r="CM295" s="465">
        <f t="shared" si="803"/>
        <v>60</v>
      </c>
      <c r="CN295" s="379">
        <f t="shared" si="804"/>
        <v>5.4</v>
      </c>
      <c r="CO295" s="379">
        <f t="shared" si="805"/>
        <v>65.400000000000006</v>
      </c>
      <c r="CP295" s="379"/>
      <c r="CQ295" s="188">
        <f t="shared" si="806"/>
        <v>8.2568807339449546E-2</v>
      </c>
      <c r="CR295" s="149">
        <f t="shared" si="807"/>
        <v>12.756880733944957</v>
      </c>
      <c r="CS295" s="149">
        <f t="shared" si="808"/>
        <v>4.74</v>
      </c>
      <c r="CT295" s="188">
        <f t="shared" si="809"/>
        <v>2.5513761467889915</v>
      </c>
      <c r="CU295" s="188">
        <f t="shared" si="810"/>
        <v>5</v>
      </c>
      <c r="CV295" s="188"/>
      <c r="CW295" s="149">
        <f t="shared" si="811"/>
        <v>98.470589649435979</v>
      </c>
      <c r="CX295" s="149">
        <f t="shared" si="812"/>
        <v>5</v>
      </c>
      <c r="CY295" s="188">
        <f t="shared" si="813"/>
        <v>1.9135555555555555</v>
      </c>
      <c r="CZ295" s="188">
        <f t="shared" si="814"/>
        <v>0.38271111111111111</v>
      </c>
      <c r="DA295" s="188">
        <f t="shared" si="815"/>
        <v>4.2523456790123459</v>
      </c>
      <c r="DB295" s="172">
        <f t="shared" si="816"/>
        <v>350</v>
      </c>
      <c r="DC295" s="379">
        <f t="shared" si="817"/>
        <v>215.74708688161823</v>
      </c>
      <c r="DE295" s="188">
        <f t="shared" si="818"/>
        <v>1.179554390563565</v>
      </c>
      <c r="DF295" s="150">
        <f t="shared" si="819"/>
        <v>2.6212319790301444</v>
      </c>
      <c r="DG295" s="150">
        <f t="shared" si="820"/>
        <v>0.54107999567136011</v>
      </c>
      <c r="DH295" s="150"/>
      <c r="DI295" s="150">
        <f t="shared" si="821"/>
        <v>2.2222222222222219</v>
      </c>
      <c r="DJ295" s="314">
        <f t="shared" si="822"/>
        <v>853.2</v>
      </c>
      <c r="DK295" s="456">
        <f t="shared" si="823"/>
        <v>0.38888888888888884</v>
      </c>
      <c r="DM295" s="150">
        <f t="shared" si="824"/>
        <v>1.5613181244430252</v>
      </c>
      <c r="DN295" s="150">
        <f t="shared" si="825"/>
        <v>1.9135555555555555</v>
      </c>
      <c r="DO295" s="150">
        <f t="shared" si="826"/>
        <v>1.876707818930041</v>
      </c>
      <c r="DQ295" s="314">
        <f t="shared" si="827"/>
        <v>948</v>
      </c>
      <c r="DR295" s="144">
        <f t="shared" si="828"/>
        <v>215.74708688161823</v>
      </c>
      <c r="DT295">
        <f t="shared" si="829"/>
        <v>948</v>
      </c>
      <c r="DU295">
        <f t="shared" si="830"/>
        <v>215.74708688161823</v>
      </c>
      <c r="DW295" s="5">
        <f t="shared" si="859"/>
        <v>4.6350567901234569</v>
      </c>
      <c r="DX295" s="5">
        <f t="shared" si="831"/>
        <v>0.38271111111111111</v>
      </c>
      <c r="DY295" s="5">
        <f t="shared" si="832"/>
        <v>4.2523456790123459</v>
      </c>
      <c r="DZ295" s="5"/>
      <c r="EA295" s="150">
        <f t="shared" si="833"/>
        <v>8.2568807339449532E-2</v>
      </c>
      <c r="EB295" s="150">
        <f t="shared" si="860"/>
        <v>4.7399999999999993</v>
      </c>
      <c r="EC295" s="150">
        <f t="shared" si="861"/>
        <v>0.87777777777777777</v>
      </c>
      <c r="ED295" s="150">
        <f t="shared" si="862"/>
        <v>5.3999999999999995</v>
      </c>
      <c r="EE295" s="144">
        <f t="shared" si="834"/>
        <v>7.2562026666666668</v>
      </c>
      <c r="EF295" s="5">
        <f t="shared" si="835"/>
        <v>0.13997304526748972</v>
      </c>
      <c r="EH295" s="150">
        <f t="shared" si="863"/>
        <v>0.31745959206266328</v>
      </c>
      <c r="EI295" s="150">
        <f t="shared" si="864"/>
        <v>1.0581986402088777</v>
      </c>
      <c r="EK295" s="456">
        <f t="shared" si="865"/>
        <v>2.0156118518518517E-3</v>
      </c>
      <c r="EL295" s="456">
        <f t="shared" si="866"/>
        <v>0.54</v>
      </c>
      <c r="EM295" s="456">
        <f t="shared" si="867"/>
        <v>2.6968385860202275E-2</v>
      </c>
      <c r="EN295" s="456">
        <f t="shared" si="868"/>
        <v>9.2278481012658245E-2</v>
      </c>
      <c r="EO295">
        <f t="shared" si="869"/>
        <v>2.7E-2</v>
      </c>
      <c r="EP295" s="144">
        <f t="shared" si="870"/>
        <v>53.968385860202275</v>
      </c>
      <c r="EQ295" s="144"/>
      <c r="ER295" s="144">
        <f t="shared" si="871"/>
        <v>688.26247872471231</v>
      </c>
      <c r="ES295" s="456">
        <f t="shared" si="872"/>
        <v>0.66359999999999997</v>
      </c>
      <c r="EV295" s="144">
        <f t="shared" si="873"/>
        <v>663.6</v>
      </c>
      <c r="EW295" s="456">
        <f t="shared" si="874"/>
        <v>3.0234177777777771E-3</v>
      </c>
      <c r="EX295" s="456">
        <f t="shared" si="875"/>
        <v>3.3593530864197529E-2</v>
      </c>
      <c r="EY295" s="456">
        <f t="shared" si="876"/>
        <v>0.17315500288201599</v>
      </c>
      <c r="EZ295" s="456"/>
      <c r="FA295" s="456">
        <f t="shared" si="877"/>
        <v>7.899999999999999E-4</v>
      </c>
      <c r="FB295" s="144">
        <f t="shared" si="878"/>
        <v>210.56195152399133</v>
      </c>
      <c r="FC295" s="150">
        <f t="shared" si="879"/>
        <v>1.5624244302487036</v>
      </c>
      <c r="FD295" s="5">
        <f t="shared" si="880"/>
        <v>4.74</v>
      </c>
      <c r="FE295" s="150">
        <f t="shared" si="881"/>
        <v>0.75209152485037445</v>
      </c>
      <c r="FF295" s="5">
        <f t="shared" si="882"/>
        <v>75.20915248503745</v>
      </c>
      <c r="FI295" s="59">
        <f t="shared" si="836"/>
        <v>-50</v>
      </c>
      <c r="FJ295">
        <f t="shared" si="837"/>
        <v>-50</v>
      </c>
      <c r="FL295">
        <f t="shared" si="838"/>
        <v>0.91743119266055051</v>
      </c>
    </row>
    <row r="296" spans="5:168">
      <c r="E296" s="147">
        <v>80</v>
      </c>
      <c r="F296" s="188">
        <f t="shared" si="839"/>
        <v>0.96</v>
      </c>
      <c r="G296" s="188"/>
      <c r="H296" s="188">
        <f t="shared" si="764"/>
        <v>4.8</v>
      </c>
      <c r="I296" s="465">
        <f t="shared" si="765"/>
        <v>59.947065363306741</v>
      </c>
      <c r="J296" s="149">
        <f t="shared" si="766"/>
        <v>5.4317607820159539</v>
      </c>
      <c r="K296" s="149">
        <f t="shared" si="767"/>
        <v>65.378826145322691</v>
      </c>
      <c r="L296" s="379"/>
      <c r="M296" s="188">
        <f t="shared" si="768"/>
        <v>8.3076172474028681E-2</v>
      </c>
      <c r="N296" s="149">
        <f t="shared" si="769"/>
        <v>12.823944809192399</v>
      </c>
      <c r="O296" s="149">
        <f t="shared" si="762"/>
        <v>4.8</v>
      </c>
      <c r="P296" s="188">
        <f t="shared" si="770"/>
        <v>2.56478896183848</v>
      </c>
      <c r="Q296" s="188">
        <f t="shared" si="771"/>
        <v>5</v>
      </c>
      <c r="R296" s="188"/>
      <c r="S296" s="149">
        <f t="shared" si="772"/>
        <v>96.412766500746216</v>
      </c>
      <c r="T296" s="149">
        <f t="shared" si="773"/>
        <v>5</v>
      </c>
      <c r="U296" s="188">
        <f t="shared" si="774"/>
        <v>2.0939580174075223</v>
      </c>
      <c r="V296" s="188">
        <f t="shared" si="775"/>
        <v>0.41916140609396146</v>
      </c>
      <c r="W296" s="188">
        <f t="shared" si="776"/>
        <v>4.6260314504432944</v>
      </c>
      <c r="X296" s="172">
        <f t="shared" si="777"/>
        <v>350</v>
      </c>
      <c r="Y296" s="379">
        <f t="shared" si="840"/>
        <v>190.65075915248136</v>
      </c>
      <c r="AA296" s="188">
        <f t="shared" si="778"/>
        <v>1.1858292364068603</v>
      </c>
      <c r="AB296" s="150">
        <f t="shared" si="779"/>
        <v>2.6197675869667063</v>
      </c>
      <c r="AC296" s="150">
        <f t="shared" si="780"/>
        <v>0.54365447451283011</v>
      </c>
      <c r="AD296" s="150"/>
      <c r="AE296" s="150">
        <f t="shared" si="781"/>
        <v>2.20922836656041</v>
      </c>
      <c r="AF296" s="314">
        <f t="shared" si="782"/>
        <v>869.0817251225526</v>
      </c>
      <c r="AG296" s="456">
        <f t="shared" si="783"/>
        <v>0.38661496414807173</v>
      </c>
      <c r="AI296" s="150">
        <f t="shared" si="784"/>
        <v>1.575782549467817</v>
      </c>
      <c r="AJ296" s="150">
        <f t="shared" si="785"/>
        <v>2.0939580174075223</v>
      </c>
      <c r="AK296" s="150">
        <f t="shared" si="786"/>
        <v>2.0103392721537201</v>
      </c>
      <c r="AM296" s="314">
        <f t="shared" si="787"/>
        <v>960</v>
      </c>
      <c r="AN296" s="144">
        <f t="shared" si="788"/>
        <v>190.65075915248136</v>
      </c>
      <c r="AP296">
        <f t="shared" si="789"/>
        <v>960</v>
      </c>
      <c r="AQ296">
        <f t="shared" si="790"/>
        <v>190.65075915248136</v>
      </c>
      <c r="AS296" s="5">
        <f t="shared" si="763"/>
        <v>5.2451928565372556</v>
      </c>
      <c r="AT296" s="5">
        <f t="shared" si="791"/>
        <v>0.41916140609396146</v>
      </c>
      <c r="AU296" s="5">
        <f t="shared" si="722"/>
        <v>4.8260314504432937</v>
      </c>
      <c r="AV296" s="5"/>
      <c r="AW296" s="150">
        <f t="shared" si="723"/>
        <v>7.9913440279235276E-2</v>
      </c>
      <c r="AX296" s="150">
        <f t="shared" si="792"/>
        <v>5.0156327501290967</v>
      </c>
      <c r="AY296" s="150">
        <f t="shared" si="793"/>
        <v>0.96331131421810012</v>
      </c>
      <c r="AZ296" s="150">
        <f t="shared" si="794"/>
        <v>5.2066581966808752</v>
      </c>
      <c r="BA296" s="144">
        <f t="shared" si="724"/>
        <v>8.047898997004058</v>
      </c>
      <c r="BB296" s="5">
        <f t="shared" si="725"/>
        <v>0.1610097649049316</v>
      </c>
      <c r="BD296" s="150">
        <f t="shared" si="841"/>
        <v>0.34175687231934626</v>
      </c>
      <c r="BE296" s="150">
        <f t="shared" si="842"/>
        <v>1.1596359916417358</v>
      </c>
      <c r="BG296" s="456">
        <f t="shared" si="843"/>
        <v>2.3359551955500386E-3</v>
      </c>
      <c r="BH296" s="456">
        <f t="shared" si="795"/>
        <v>0.48937851614836497</v>
      </c>
      <c r="BI296" s="456">
        <f t="shared" si="796"/>
        <v>0.28572383801194623</v>
      </c>
      <c r="BJ296" s="456">
        <f t="shared" si="844"/>
        <v>8.149158715514182E-2</v>
      </c>
      <c r="BK296">
        <f t="shared" si="845"/>
        <v>2.6976179413488031E-2</v>
      </c>
      <c r="BL296" s="144">
        <f t="shared" si="846"/>
        <v>312.70001742543423</v>
      </c>
      <c r="BM296" s="456">
        <f t="shared" si="797"/>
        <v>0.57415543584818063</v>
      </c>
      <c r="BN296" s="144">
        <f t="shared" si="847"/>
        <v>574.15543584818067</v>
      </c>
      <c r="BO296" s="456">
        <f t="shared" si="798"/>
        <v>0.67199999999999993</v>
      </c>
      <c r="BR296" s="144">
        <f t="shared" si="848"/>
        <v>671.99999999999989</v>
      </c>
      <c r="BS296" s="456">
        <f t="shared" si="849"/>
        <v>3.503932793325058E-3</v>
      </c>
      <c r="BT296" s="456">
        <f t="shared" si="850"/>
        <v>4.0342668993327363E-2</v>
      </c>
      <c r="BU296" s="456">
        <f t="shared" si="851"/>
        <v>0.15921584162112448</v>
      </c>
      <c r="BV296" s="456"/>
      <c r="BW296" s="456">
        <f t="shared" si="852"/>
        <v>8.3593879168818272E-4</v>
      </c>
      <c r="BX296" s="144">
        <f t="shared" si="853"/>
        <v>203.89838219946509</v>
      </c>
      <c r="BY296" s="150">
        <f t="shared" si="854"/>
        <v>1.761804458123956</v>
      </c>
      <c r="BZ296" s="5">
        <f t="shared" si="855"/>
        <v>4.8</v>
      </c>
      <c r="CA296" s="150">
        <f t="shared" si="856"/>
        <v>0.73150610180973563</v>
      </c>
      <c r="CB296" s="5">
        <f t="shared" si="857"/>
        <v>73.150610180973558</v>
      </c>
      <c r="CE296" s="59">
        <f t="shared" si="799"/>
        <v>-50</v>
      </c>
      <c r="CF296">
        <f t="shared" si="800"/>
        <v>-50</v>
      </c>
      <c r="CG296" s="150">
        <f t="shared" si="801"/>
        <v>0.90677868024577046</v>
      </c>
      <c r="CI296" s="147">
        <v>80</v>
      </c>
      <c r="CJ296" s="188">
        <f t="shared" si="858"/>
        <v>0.96</v>
      </c>
      <c r="CK296" s="188"/>
      <c r="CL296" s="188">
        <f t="shared" si="802"/>
        <v>4.8</v>
      </c>
      <c r="CM296" s="465">
        <f t="shared" si="803"/>
        <v>60</v>
      </c>
      <c r="CN296" s="379">
        <f t="shared" si="804"/>
        <v>5.4</v>
      </c>
      <c r="CO296" s="379">
        <f t="shared" si="805"/>
        <v>65.400000000000006</v>
      </c>
      <c r="CP296" s="379"/>
      <c r="CQ296" s="188">
        <f t="shared" si="806"/>
        <v>8.2568807339449546E-2</v>
      </c>
      <c r="CR296" s="149">
        <f t="shared" si="807"/>
        <v>12.756880733944957</v>
      </c>
      <c r="CS296" s="149">
        <f t="shared" si="808"/>
        <v>4.8</v>
      </c>
      <c r="CT296" s="188">
        <f t="shared" si="809"/>
        <v>2.5513761467889915</v>
      </c>
      <c r="CU296" s="188">
        <f t="shared" si="810"/>
        <v>5</v>
      </c>
      <c r="CV296" s="188"/>
      <c r="CW296" s="149">
        <f t="shared" si="811"/>
        <v>96.497683938608958</v>
      </c>
      <c r="CX296" s="149">
        <f t="shared" si="812"/>
        <v>5</v>
      </c>
      <c r="CY296" s="188">
        <f t="shared" si="813"/>
        <v>1.9377777777777776</v>
      </c>
      <c r="CZ296" s="188">
        <f t="shared" si="814"/>
        <v>0.38755555555555554</v>
      </c>
      <c r="DA296" s="188">
        <f t="shared" si="815"/>
        <v>4.3061728395061722</v>
      </c>
      <c r="DB296" s="172">
        <f t="shared" si="816"/>
        <v>350</v>
      </c>
      <c r="DC296" s="379">
        <f t="shared" si="817"/>
        <v>213.05024829559804</v>
      </c>
      <c r="DE296" s="188">
        <f t="shared" si="818"/>
        <v>1.179554390563565</v>
      </c>
      <c r="DF296" s="150">
        <f t="shared" si="819"/>
        <v>2.6212319790301444</v>
      </c>
      <c r="DG296" s="150">
        <f t="shared" si="820"/>
        <v>0.54107999567136011</v>
      </c>
      <c r="DH296" s="150"/>
      <c r="DI296" s="150">
        <f t="shared" si="821"/>
        <v>2.2222222222222219</v>
      </c>
      <c r="DJ296" s="314">
        <f t="shared" si="822"/>
        <v>864</v>
      </c>
      <c r="DK296" s="456">
        <f t="shared" si="823"/>
        <v>0.38888888888888884</v>
      </c>
      <c r="DM296" s="150">
        <f t="shared" si="824"/>
        <v>1.5711688096991452</v>
      </c>
      <c r="DN296" s="150">
        <f t="shared" si="825"/>
        <v>1.9377777777777776</v>
      </c>
      <c r="DO296" s="150">
        <f t="shared" si="826"/>
        <v>1.8946502057613168</v>
      </c>
      <c r="DQ296" s="314">
        <f t="shared" si="827"/>
        <v>960</v>
      </c>
      <c r="DR296" s="144">
        <f t="shared" si="828"/>
        <v>213.05024829559804</v>
      </c>
      <c r="DT296">
        <f t="shared" si="829"/>
        <v>960</v>
      </c>
      <c r="DU296">
        <f t="shared" si="830"/>
        <v>213.05024829559804</v>
      </c>
      <c r="DW296" s="5">
        <f t="shared" si="859"/>
        <v>4.6937283950617275</v>
      </c>
      <c r="DX296" s="5">
        <f t="shared" si="831"/>
        <v>0.38755555555555554</v>
      </c>
      <c r="DY296" s="5">
        <f t="shared" si="832"/>
        <v>4.3061728395061722</v>
      </c>
      <c r="DZ296" s="5"/>
      <c r="EA296" s="150">
        <f t="shared" si="833"/>
        <v>8.256880733944956E-2</v>
      </c>
      <c r="EB296" s="150">
        <f t="shared" si="860"/>
        <v>4.8000000000000007</v>
      </c>
      <c r="EC296" s="150">
        <f t="shared" si="861"/>
        <v>0.88888888888888873</v>
      </c>
      <c r="ED296" s="150">
        <f t="shared" si="862"/>
        <v>5.4000000000000021</v>
      </c>
      <c r="EE296" s="144">
        <f t="shared" si="834"/>
        <v>7.4410666666666661</v>
      </c>
      <c r="EF296" s="5">
        <f t="shared" si="835"/>
        <v>0.1435390946502057</v>
      </c>
      <c r="EH296" s="150">
        <f t="shared" si="863"/>
        <v>0.32147806791155775</v>
      </c>
      <c r="EI296" s="150">
        <f t="shared" si="864"/>
        <v>1.0715935597051924</v>
      </c>
      <c r="EK296" s="456">
        <f t="shared" si="865"/>
        <v>2.0669629629629627E-3</v>
      </c>
      <c r="EL296" s="456">
        <f t="shared" si="866"/>
        <v>0.54</v>
      </c>
      <c r="EM296" s="456">
        <f t="shared" si="867"/>
        <v>2.6631281036949755E-2</v>
      </c>
      <c r="EN296" s="456">
        <f t="shared" si="868"/>
        <v>9.1125000000000025E-2</v>
      </c>
      <c r="EO296">
        <f t="shared" si="869"/>
        <v>2.7E-2</v>
      </c>
      <c r="EP296" s="144">
        <f t="shared" si="870"/>
        <v>53.631281036949751</v>
      </c>
      <c r="EQ296" s="144"/>
      <c r="ER296" s="144">
        <f t="shared" si="871"/>
        <v>686.82324399991285</v>
      </c>
      <c r="ES296" s="456">
        <f t="shared" si="872"/>
        <v>0.67199999999999993</v>
      </c>
      <c r="EV296" s="144">
        <f t="shared" si="873"/>
        <v>671.99999999999989</v>
      </c>
      <c r="EW296" s="456">
        <f t="shared" si="874"/>
        <v>3.1004444444444439E-3</v>
      </c>
      <c r="EX296" s="456">
        <f t="shared" si="875"/>
        <v>3.4449382716049373E-2</v>
      </c>
      <c r="EY296" s="456">
        <f t="shared" si="876"/>
        <v>0.17315500288201624</v>
      </c>
      <c r="EZ296" s="456"/>
      <c r="FA296" s="456">
        <f t="shared" si="877"/>
        <v>8.0000000000000004E-4</v>
      </c>
      <c r="FB296" s="144">
        <f t="shared" si="878"/>
        <v>211.50483004251006</v>
      </c>
      <c r="FC296" s="150">
        <f t="shared" si="879"/>
        <v>1.5703280740424228</v>
      </c>
      <c r="FD296" s="5">
        <f t="shared" si="880"/>
        <v>4.8</v>
      </c>
      <c r="FE296" s="150">
        <f t="shared" si="881"/>
        <v>0.75349337494231461</v>
      </c>
      <c r="FF296" s="5">
        <f t="shared" si="882"/>
        <v>75.349337494231463</v>
      </c>
      <c r="FI296" s="59">
        <f t="shared" si="836"/>
        <v>-50</v>
      </c>
      <c r="FJ296">
        <f t="shared" si="837"/>
        <v>-50</v>
      </c>
      <c r="FL296">
        <f t="shared" si="838"/>
        <v>0.9174311926605504</v>
      </c>
    </row>
    <row r="297" spans="5:168">
      <c r="E297" s="147">
        <v>81</v>
      </c>
      <c r="F297" s="188">
        <f t="shared" si="839"/>
        <v>0.97199999999999998</v>
      </c>
      <c r="G297" s="188"/>
      <c r="H297" s="188">
        <f t="shared" si="764"/>
        <v>4.8599999999999994</v>
      </c>
      <c r="I297" s="465">
        <f t="shared" si="765"/>
        <v>59.946411452436195</v>
      </c>
      <c r="J297" s="149">
        <f t="shared" si="766"/>
        <v>5.4321531285382836</v>
      </c>
      <c r="K297" s="149">
        <f t="shared" si="767"/>
        <v>65.378564580974484</v>
      </c>
      <c r="L297" s="379"/>
      <c r="M297" s="188">
        <f t="shared" si="768"/>
        <v>8.3082506777335544E-2</v>
      </c>
      <c r="N297" s="149">
        <f t="shared" si="769"/>
        <v>12.824782699617987</v>
      </c>
      <c r="O297" s="149">
        <f t="shared" si="762"/>
        <v>4.8599999999999994</v>
      </c>
      <c r="P297" s="188">
        <f t="shared" si="770"/>
        <v>2.5649565399235974</v>
      </c>
      <c r="Q297" s="188">
        <f t="shared" si="771"/>
        <v>5</v>
      </c>
      <c r="R297" s="188"/>
      <c r="S297" s="149">
        <f t="shared" si="772"/>
        <v>94.489445593135173</v>
      </c>
      <c r="T297" s="149">
        <f t="shared" si="773"/>
        <v>5</v>
      </c>
      <c r="U297" s="188">
        <f t="shared" si="774"/>
        <v>2.1201471390489859</v>
      </c>
      <c r="V297" s="188">
        <f t="shared" si="775"/>
        <v>0.42440848504792172</v>
      </c>
      <c r="W297" s="188">
        <f t="shared" si="776"/>
        <v>4.6835508989846639</v>
      </c>
      <c r="X297" s="172">
        <f t="shared" si="777"/>
        <v>350</v>
      </c>
      <c r="Y297" s="379">
        <f t="shared" si="840"/>
        <v>188.39631723788281</v>
      </c>
      <c r="AA297" s="188">
        <f t="shared" si="778"/>
        <v>1.1859066995249683</v>
      </c>
      <c r="AB297" s="150">
        <f t="shared" si="779"/>
        <v>2.6197494911431098</v>
      </c>
      <c r="AC297" s="150">
        <f t="shared" si="780"/>
        <v>0.5436862327091545</v>
      </c>
      <c r="AD297" s="150"/>
      <c r="AE297" s="150">
        <f t="shared" si="781"/>
        <v>2.2090688012745754</v>
      </c>
      <c r="AF297" s="314">
        <f t="shared" si="782"/>
        <v>880.00880682320178</v>
      </c>
      <c r="AG297" s="456">
        <f t="shared" si="783"/>
        <v>0.38658704022305074</v>
      </c>
      <c r="AI297" s="150">
        <f t="shared" si="784"/>
        <v>1.5856578687212823</v>
      </c>
      <c r="AJ297" s="150">
        <f t="shared" si="785"/>
        <v>2.1201471390489859</v>
      </c>
      <c r="AK297" s="150">
        <f t="shared" si="786"/>
        <v>2.0297386215177671</v>
      </c>
      <c r="AM297" s="314">
        <f t="shared" si="787"/>
        <v>972</v>
      </c>
      <c r="AN297" s="144">
        <f t="shared" si="788"/>
        <v>188.39631723788281</v>
      </c>
      <c r="AP297">
        <f t="shared" si="789"/>
        <v>972</v>
      </c>
      <c r="AQ297">
        <f t="shared" si="790"/>
        <v>188.39631723788281</v>
      </c>
      <c r="AS297" s="5">
        <f t="shared" si="763"/>
        <v>5.3079593840325856</v>
      </c>
      <c r="AT297" s="5">
        <f t="shared" si="791"/>
        <v>0.42440848504792172</v>
      </c>
      <c r="AU297" s="5">
        <f t="shared" si="722"/>
        <v>4.8835508989846641</v>
      </c>
      <c r="AV297" s="5"/>
      <c r="AW297" s="150">
        <f t="shared" si="723"/>
        <v>7.9956995587537508E-2</v>
      </c>
      <c r="AX297" s="150">
        <f t="shared" si="792"/>
        <v>5.0810756820101606</v>
      </c>
      <c r="AY297" s="150">
        <f t="shared" si="793"/>
        <v>0.97531327180355787</v>
      </c>
      <c r="AZ297" s="150">
        <f t="shared" si="794"/>
        <v>5.2096857788207789</v>
      </c>
      <c r="BA297" s="144">
        <f t="shared" si="724"/>
        <v>8.2505009493315988</v>
      </c>
      <c r="BB297" s="5">
        <f t="shared" si="725"/>
        <v>0.16496718203541522</v>
      </c>
      <c r="BD297" s="150">
        <f t="shared" si="841"/>
        <v>0.34612550971960127</v>
      </c>
      <c r="BE297" s="150">
        <f t="shared" si="842"/>
        <v>1.1741117615431163</v>
      </c>
      <c r="BG297" s="456">
        <f t="shared" si="843"/>
        <v>2.3960573695730757E-3</v>
      </c>
      <c r="BH297" s="456">
        <f t="shared" si="795"/>
        <v>0.48963794260248994</v>
      </c>
      <c r="BI297" s="456">
        <f t="shared" si="796"/>
        <v>0.28234207873164546</v>
      </c>
      <c r="BJ297" s="456">
        <f t="shared" si="844"/>
        <v>8.0527306209741911E-2</v>
      </c>
      <c r="BK297">
        <f t="shared" si="845"/>
        <v>2.6975885153596287E-2</v>
      </c>
      <c r="BL297" s="144">
        <f t="shared" si="846"/>
        <v>309.31796388524174</v>
      </c>
      <c r="BM297" s="456">
        <f t="shared" si="797"/>
        <v>0.57353475686176791</v>
      </c>
      <c r="BN297" s="144">
        <f t="shared" si="847"/>
        <v>573.53475686176796</v>
      </c>
      <c r="BO297" s="456">
        <f t="shared" si="798"/>
        <v>0.68039999999999989</v>
      </c>
      <c r="BR297" s="144">
        <f t="shared" si="848"/>
        <v>680.39999999999986</v>
      </c>
      <c r="BS297" s="456">
        <f t="shared" si="849"/>
        <v>3.5940860543596134E-3</v>
      </c>
      <c r="BT297" s="456">
        <f t="shared" si="850"/>
        <v>4.1356152857816388E-2</v>
      </c>
      <c r="BU297" s="456">
        <f t="shared" si="851"/>
        <v>0.15942852650958994</v>
      </c>
      <c r="BV297" s="456"/>
      <c r="BW297" s="456">
        <f t="shared" si="852"/>
        <v>8.4684594700169347E-4</v>
      </c>
      <c r="BX297" s="144">
        <f t="shared" si="853"/>
        <v>205.22561136876763</v>
      </c>
      <c r="BY297" s="150">
        <f t="shared" si="854"/>
        <v>1.7675048814358141</v>
      </c>
      <c r="BZ297" s="5">
        <f t="shared" si="855"/>
        <v>4.8599999999999994</v>
      </c>
      <c r="CA297" s="150">
        <f t="shared" si="856"/>
        <v>0.73330764547805305</v>
      </c>
      <c r="CB297" s="5">
        <f t="shared" si="857"/>
        <v>73.330764547805302</v>
      </c>
      <c r="CE297" s="59">
        <f t="shared" si="799"/>
        <v>-50</v>
      </c>
      <c r="CF297">
        <f t="shared" si="800"/>
        <v>-50</v>
      </c>
      <c r="CG297" s="150">
        <f t="shared" si="801"/>
        <v>0.90691019274471851</v>
      </c>
      <c r="CI297" s="147">
        <v>81</v>
      </c>
      <c r="CJ297" s="188">
        <f t="shared" si="858"/>
        <v>0.97199999999999998</v>
      </c>
      <c r="CK297" s="188"/>
      <c r="CL297" s="188">
        <f t="shared" si="802"/>
        <v>4.8599999999999994</v>
      </c>
      <c r="CM297" s="465">
        <f t="shared" si="803"/>
        <v>60</v>
      </c>
      <c r="CN297" s="379">
        <f t="shared" si="804"/>
        <v>5.4</v>
      </c>
      <c r="CO297" s="379">
        <f t="shared" si="805"/>
        <v>65.400000000000006</v>
      </c>
      <c r="CP297" s="379"/>
      <c r="CQ297" s="188">
        <f t="shared" si="806"/>
        <v>8.2568807339449546E-2</v>
      </c>
      <c r="CR297" s="149">
        <f t="shared" si="807"/>
        <v>12.756880733944957</v>
      </c>
      <c r="CS297" s="149">
        <f t="shared" si="808"/>
        <v>4.8599999999999994</v>
      </c>
      <c r="CT297" s="188">
        <f t="shared" si="809"/>
        <v>2.5513761467889915</v>
      </c>
      <c r="CU297" s="188">
        <f t="shared" si="810"/>
        <v>5</v>
      </c>
      <c r="CV297" s="188"/>
      <c r="CW297" s="149">
        <f t="shared" si="811"/>
        <v>94.573689220375897</v>
      </c>
      <c r="CX297" s="149">
        <f t="shared" si="812"/>
        <v>5</v>
      </c>
      <c r="CY297" s="188">
        <f t="shared" si="813"/>
        <v>1.9619999999999995</v>
      </c>
      <c r="CZ297" s="188">
        <f t="shared" si="814"/>
        <v>0.39239999999999986</v>
      </c>
      <c r="DA297" s="188">
        <f t="shared" si="815"/>
        <v>4.3599999999999985</v>
      </c>
      <c r="DB297" s="172">
        <f t="shared" si="816"/>
        <v>350</v>
      </c>
      <c r="DC297" s="379">
        <f t="shared" si="817"/>
        <v>210.41999831664009</v>
      </c>
      <c r="DE297" s="188">
        <f t="shared" si="818"/>
        <v>1.179554390563565</v>
      </c>
      <c r="DF297" s="150">
        <f t="shared" si="819"/>
        <v>2.6212319790301444</v>
      </c>
      <c r="DG297" s="150">
        <f t="shared" si="820"/>
        <v>0.54107999567136011</v>
      </c>
      <c r="DH297" s="150"/>
      <c r="DI297" s="150">
        <f t="shared" si="821"/>
        <v>2.2222222222222219</v>
      </c>
      <c r="DJ297" s="314">
        <f t="shared" si="822"/>
        <v>874.8</v>
      </c>
      <c r="DK297" s="456">
        <f t="shared" si="823"/>
        <v>0.38888888888888884</v>
      </c>
      <c r="DM297" s="150">
        <f t="shared" si="824"/>
        <v>1.5809581181766237</v>
      </c>
      <c r="DN297" s="150">
        <f t="shared" si="825"/>
        <v>1.9619999999999995</v>
      </c>
      <c r="DO297" s="150">
        <f t="shared" si="826"/>
        <v>1.9125925925925922</v>
      </c>
      <c r="DQ297" s="314">
        <f t="shared" si="827"/>
        <v>972</v>
      </c>
      <c r="DR297" s="144">
        <f t="shared" si="828"/>
        <v>210.41999831664009</v>
      </c>
      <c r="DT297">
        <f t="shared" si="829"/>
        <v>972</v>
      </c>
      <c r="DU297">
        <f t="shared" si="830"/>
        <v>210.41999831664009</v>
      </c>
      <c r="DW297" s="5">
        <f t="shared" si="859"/>
        <v>4.7523999999999988</v>
      </c>
      <c r="DX297" s="5">
        <f t="shared" si="831"/>
        <v>0.39239999999999986</v>
      </c>
      <c r="DY297" s="5">
        <f t="shared" si="832"/>
        <v>4.3599999999999994</v>
      </c>
      <c r="DZ297" s="5"/>
      <c r="EA297" s="150">
        <f t="shared" si="833"/>
        <v>8.2568807339449532E-2</v>
      </c>
      <c r="EB297" s="150">
        <f t="shared" si="860"/>
        <v>4.8599999999999994</v>
      </c>
      <c r="EC297" s="150">
        <f t="shared" si="861"/>
        <v>0.8999999999999998</v>
      </c>
      <c r="ED297" s="150">
        <f t="shared" si="862"/>
        <v>5.4</v>
      </c>
      <c r="EE297" s="144">
        <f t="shared" si="834"/>
        <v>7.6282559999999968</v>
      </c>
      <c r="EF297" s="5">
        <f t="shared" si="835"/>
        <v>0.14714999999999995</v>
      </c>
      <c r="EH297" s="150">
        <f t="shared" si="863"/>
        <v>0.32549654376045217</v>
      </c>
      <c r="EI297" s="150">
        <f t="shared" si="864"/>
        <v>1.0849884792015074</v>
      </c>
      <c r="EK297" s="456">
        <f t="shared" si="865"/>
        <v>2.1189599999999992E-3</v>
      </c>
      <c r="EL297" s="456">
        <f t="shared" si="866"/>
        <v>0.54000000000000015</v>
      </c>
      <c r="EM297" s="456">
        <f t="shared" si="867"/>
        <v>2.6302499789580009E-2</v>
      </c>
      <c r="EN297" s="456">
        <f t="shared" si="868"/>
        <v>9.0000000000000052E-2</v>
      </c>
      <c r="EO297">
        <f t="shared" si="869"/>
        <v>2.7E-2</v>
      </c>
      <c r="EP297" s="144">
        <f t="shared" si="870"/>
        <v>53.302499789580011</v>
      </c>
      <c r="EQ297" s="144"/>
      <c r="ER297" s="144">
        <f t="shared" si="871"/>
        <v>685.42145978958024</v>
      </c>
      <c r="ES297" s="456">
        <f t="shared" si="872"/>
        <v>0.68039999999999989</v>
      </c>
      <c r="EV297" s="144">
        <f t="shared" si="873"/>
        <v>680.39999999999986</v>
      </c>
      <c r="EW297" s="456">
        <f t="shared" si="874"/>
        <v>3.1784399999999985E-3</v>
      </c>
      <c r="EX297" s="456">
        <f t="shared" si="875"/>
        <v>3.5316E-2</v>
      </c>
      <c r="EY297" s="456">
        <f t="shared" si="876"/>
        <v>0.17315500288201635</v>
      </c>
      <c r="EZ297" s="456"/>
      <c r="FA297" s="456">
        <f t="shared" si="877"/>
        <v>8.0999999999999996E-4</v>
      </c>
      <c r="FB297" s="144">
        <f t="shared" si="878"/>
        <v>212.45944288201633</v>
      </c>
      <c r="FC297" s="150">
        <f t="shared" si="879"/>
        <v>1.5782809026715963</v>
      </c>
      <c r="FD297" s="5">
        <f t="shared" si="880"/>
        <v>4.8599999999999994</v>
      </c>
      <c r="FE297" s="150">
        <f t="shared" si="881"/>
        <v>0.75485988782864677</v>
      </c>
      <c r="FF297" s="5">
        <f t="shared" si="882"/>
        <v>75.485988782864681</v>
      </c>
      <c r="FI297" s="59">
        <f t="shared" si="836"/>
        <v>-50</v>
      </c>
      <c r="FJ297">
        <f t="shared" si="837"/>
        <v>-50</v>
      </c>
      <c r="FL297">
        <f t="shared" si="838"/>
        <v>0.91743119266055051</v>
      </c>
    </row>
    <row r="298" spans="5:168">
      <c r="E298" s="147">
        <v>82</v>
      </c>
      <c r="F298" s="188">
        <f t="shared" si="839"/>
        <v>0.98399999999999987</v>
      </c>
      <c r="G298" s="188"/>
      <c r="H298" s="188">
        <f t="shared" si="764"/>
        <v>4.919999999999999</v>
      </c>
      <c r="I298" s="465">
        <f t="shared" si="765"/>
        <v>59.945757539366852</v>
      </c>
      <c r="J298" s="149">
        <f t="shared" si="766"/>
        <v>5.4325454763798913</v>
      </c>
      <c r="K298" s="149">
        <f t="shared" si="767"/>
        <v>65.378303015746738</v>
      </c>
      <c r="L298" s="379"/>
      <c r="M298" s="188">
        <f t="shared" si="768"/>
        <v>8.3088841134111135E-2</v>
      </c>
      <c r="N298" s="149">
        <f t="shared" si="769"/>
        <v>12.825620576494924</v>
      </c>
      <c r="O298" s="149">
        <f t="shared" si="762"/>
        <v>4.919999999999999</v>
      </c>
      <c r="P298" s="188">
        <f t="shared" si="770"/>
        <v>2.5651241152989845</v>
      </c>
      <c r="Q298" s="188">
        <f t="shared" si="771"/>
        <v>5</v>
      </c>
      <c r="R298" s="188"/>
      <c r="S298" s="149">
        <f t="shared" si="772"/>
        <v>92.613250207084448</v>
      </c>
      <c r="T298" s="149">
        <f t="shared" si="773"/>
        <v>5</v>
      </c>
      <c r="U298" s="188">
        <f t="shared" si="774"/>
        <v>2.1463366226605682</v>
      </c>
      <c r="V298" s="188">
        <f t="shared" si="775"/>
        <v>0.42965575095139347</v>
      </c>
      <c r="W298" s="188">
        <f t="shared" si="776"/>
        <v>4.7410628376534065</v>
      </c>
      <c r="X298" s="172">
        <f t="shared" si="777"/>
        <v>350</v>
      </c>
      <c r="Y298" s="379">
        <f t="shared" si="840"/>
        <v>186.1948235608038</v>
      </c>
      <c r="AA298" s="188">
        <f t="shared" si="778"/>
        <v>1.1859841616546865</v>
      </c>
      <c r="AB298" s="150">
        <f t="shared" si="779"/>
        <v>2.6197313951138703</v>
      </c>
      <c r="AC298" s="150">
        <f t="shared" si="780"/>
        <v>0.5437179899190524</v>
      </c>
      <c r="AD298" s="150"/>
      <c r="AE298" s="150">
        <f t="shared" si="781"/>
        <v>2.2089092585003987</v>
      </c>
      <c r="AF298" s="314">
        <f t="shared" si="782"/>
        <v>890.93745812630198</v>
      </c>
      <c r="AG298" s="456">
        <f t="shared" si="783"/>
        <v>0.38655912023756978</v>
      </c>
      <c r="AI298" s="150">
        <f t="shared" si="784"/>
        <v>1.5954734703675197</v>
      </c>
      <c r="AJ298" s="150">
        <f t="shared" si="785"/>
        <v>2.1463366226605682</v>
      </c>
      <c r="AK298" s="150">
        <f t="shared" si="786"/>
        <v>2.0491382390078283</v>
      </c>
      <c r="AM298" s="314">
        <f t="shared" si="787"/>
        <v>983.99999999999989</v>
      </c>
      <c r="AN298" s="144">
        <f t="shared" si="788"/>
        <v>186.1948235608038</v>
      </c>
      <c r="AP298">
        <f t="shared" si="789"/>
        <v>983.99999999999989</v>
      </c>
      <c r="AQ298">
        <f t="shared" si="790"/>
        <v>186.1948235608038</v>
      </c>
      <c r="AS298" s="5">
        <f t="shared" si="763"/>
        <v>5.3707185886048006</v>
      </c>
      <c r="AT298" s="5">
        <f t="shared" si="791"/>
        <v>0.42965575095139347</v>
      </c>
      <c r="AU298" s="5">
        <f t="shared" ref="AU298:AU316" si="883">AS298-AT298</f>
        <v>4.9410628376534067</v>
      </c>
      <c r="AV298" s="5"/>
      <c r="AW298" s="150">
        <f t="shared" ref="AW298:AW315" si="884">AT298/AS298</f>
        <v>7.9999676740279357E-2</v>
      </c>
      <c r="AX298" s="150">
        <f t="shared" si="792"/>
        <v>5.1465301952870117</v>
      </c>
      <c r="AY298" s="150">
        <f t="shared" si="793"/>
        <v>0.98731519333594997</v>
      </c>
      <c r="AZ298" s="150">
        <f t="shared" si="794"/>
        <v>5.2126516739784652</v>
      </c>
      <c r="BA298" s="144">
        <f t="shared" si="724"/>
        <v>8.4556251787234231</v>
      </c>
      <c r="BB298" s="5">
        <f t="shared" si="725"/>
        <v>0.1689724049368726</v>
      </c>
      <c r="BD298" s="150">
        <f t="shared" si="841"/>
        <v>0.35049459465241262</v>
      </c>
      <c r="BE298" s="150">
        <f t="shared" si="842"/>
        <v>1.1885876093263379</v>
      </c>
      <c r="BG298" s="456">
        <f t="shared" si="843"/>
        <v>2.4569292176111809E-3</v>
      </c>
      <c r="BH298" s="456">
        <f t="shared" si="795"/>
        <v>0.48989200807723154</v>
      </c>
      <c r="BI298" s="456">
        <f t="shared" si="796"/>
        <v>0.27903974370652834</v>
      </c>
      <c r="BJ298" s="456">
        <f t="shared" si="844"/>
        <v>7.9585672470118718E-2</v>
      </c>
      <c r="BK298">
        <f t="shared" si="845"/>
        <v>2.6975590892715083E-2</v>
      </c>
      <c r="BL298" s="144">
        <f t="shared" si="846"/>
        <v>306.01533459924343</v>
      </c>
      <c r="BM298" s="456">
        <f t="shared" si="797"/>
        <v>0.57293243935102667</v>
      </c>
      <c r="BN298" s="144">
        <f t="shared" si="847"/>
        <v>572.93243935102669</v>
      </c>
      <c r="BO298" s="456">
        <f t="shared" si="798"/>
        <v>0.68879999999999986</v>
      </c>
      <c r="BR298" s="144">
        <f t="shared" si="848"/>
        <v>688.79999999999984</v>
      </c>
      <c r="BS298" s="456">
        <f t="shared" si="849"/>
        <v>3.6853938264167709E-3</v>
      </c>
      <c r="BT298" s="456">
        <f t="shared" si="850"/>
        <v>4.2382215151322976E-2</v>
      </c>
      <c r="BU298" s="456">
        <f t="shared" si="851"/>
        <v>0.15963701610268433</v>
      </c>
      <c r="BV298" s="456"/>
      <c r="BW298" s="456">
        <f t="shared" si="852"/>
        <v>8.5775503254783539E-4</v>
      </c>
      <c r="BX298" s="144">
        <f t="shared" si="853"/>
        <v>206.56238011297194</v>
      </c>
      <c r="BY298" s="150">
        <f t="shared" si="854"/>
        <v>1.7733123244771767</v>
      </c>
      <c r="BZ298" s="5">
        <f t="shared" si="855"/>
        <v>4.919999999999999</v>
      </c>
      <c r="CA298" s="150">
        <f t="shared" si="856"/>
        <v>0.73506206814939079</v>
      </c>
      <c r="CB298" s="5">
        <f t="shared" si="857"/>
        <v>73.506206814939077</v>
      </c>
      <c r="CE298" s="59">
        <f t="shared" si="799"/>
        <v>-50</v>
      </c>
      <c r="CF298">
        <f t="shared" si="800"/>
        <v>-50</v>
      </c>
      <c r="CG298" s="150">
        <f t="shared" si="801"/>
        <v>0.90703849762174071</v>
      </c>
      <c r="CI298" s="147">
        <v>82</v>
      </c>
      <c r="CJ298" s="188">
        <f t="shared" si="858"/>
        <v>0.98399999999999987</v>
      </c>
      <c r="CK298" s="188"/>
      <c r="CL298" s="188">
        <f t="shared" si="802"/>
        <v>4.919999999999999</v>
      </c>
      <c r="CM298" s="465">
        <f t="shared" si="803"/>
        <v>60</v>
      </c>
      <c r="CN298" s="379">
        <f t="shared" si="804"/>
        <v>5.4</v>
      </c>
      <c r="CO298" s="379">
        <f t="shared" si="805"/>
        <v>65.400000000000006</v>
      </c>
      <c r="CP298" s="379"/>
      <c r="CQ298" s="188">
        <f t="shared" si="806"/>
        <v>8.2568807339449546E-2</v>
      </c>
      <c r="CR298" s="149">
        <f t="shared" si="807"/>
        <v>12.756880733944957</v>
      </c>
      <c r="CS298" s="149">
        <f t="shared" si="808"/>
        <v>4.919999999999999</v>
      </c>
      <c r="CT298" s="188">
        <f t="shared" si="809"/>
        <v>2.5513761467889915</v>
      </c>
      <c r="CU298" s="188">
        <f t="shared" si="810"/>
        <v>5</v>
      </c>
      <c r="CV298" s="188"/>
      <c r="CW298" s="149">
        <f t="shared" si="811"/>
        <v>92.696820519757352</v>
      </c>
      <c r="CX298" s="149">
        <f t="shared" si="812"/>
        <v>5</v>
      </c>
      <c r="CY298" s="188">
        <f t="shared" si="813"/>
        <v>1.9862222222222217</v>
      </c>
      <c r="CZ298" s="188">
        <f t="shared" si="814"/>
        <v>0.39724444444444434</v>
      </c>
      <c r="DA298" s="188">
        <f t="shared" si="815"/>
        <v>4.4138271604938257</v>
      </c>
      <c r="DB298" s="172">
        <f t="shared" si="816"/>
        <v>350</v>
      </c>
      <c r="DC298" s="379">
        <f t="shared" si="817"/>
        <v>207.85390077619326</v>
      </c>
      <c r="DE298" s="188">
        <f t="shared" si="818"/>
        <v>1.179554390563565</v>
      </c>
      <c r="DF298" s="150">
        <f t="shared" si="819"/>
        <v>2.6212319790301444</v>
      </c>
      <c r="DG298" s="150">
        <f t="shared" si="820"/>
        <v>0.54107999567136011</v>
      </c>
      <c r="DH298" s="150"/>
      <c r="DI298" s="150">
        <f t="shared" si="821"/>
        <v>2.2222222222222219</v>
      </c>
      <c r="DJ298" s="314">
        <f t="shared" si="822"/>
        <v>885.6</v>
      </c>
      <c r="DK298" s="456">
        <f t="shared" si="823"/>
        <v>0.38888888888888884</v>
      </c>
      <c r="DM298" s="150">
        <f t="shared" si="824"/>
        <v>1.5906871830393663</v>
      </c>
      <c r="DN298" s="150">
        <f t="shared" si="825"/>
        <v>1.9862222222222217</v>
      </c>
      <c r="DO298" s="150">
        <f t="shared" si="826"/>
        <v>1.930534979423868</v>
      </c>
      <c r="DQ298" s="314">
        <f t="shared" si="827"/>
        <v>983.99999999999989</v>
      </c>
      <c r="DR298" s="144">
        <f t="shared" si="828"/>
        <v>207.85390077619326</v>
      </c>
      <c r="DT298">
        <f t="shared" si="829"/>
        <v>983.99999999999989</v>
      </c>
      <c r="DU298">
        <f t="shared" si="830"/>
        <v>207.85390077619326</v>
      </c>
      <c r="DW298" s="5">
        <f t="shared" si="859"/>
        <v>4.8110716049382694</v>
      </c>
      <c r="DX298" s="5">
        <f t="shared" si="831"/>
        <v>0.39724444444444434</v>
      </c>
      <c r="DY298" s="5">
        <f t="shared" si="832"/>
        <v>4.4138271604938248</v>
      </c>
      <c r="DZ298" s="5"/>
      <c r="EA298" s="150">
        <f t="shared" si="833"/>
        <v>8.256880733944956E-2</v>
      </c>
      <c r="EB298" s="150">
        <f t="shared" si="860"/>
        <v>4.919999999999999</v>
      </c>
      <c r="EC298" s="150">
        <f t="shared" si="861"/>
        <v>0.91111111111111076</v>
      </c>
      <c r="ED298" s="150">
        <f t="shared" si="862"/>
        <v>5.4000000000000012</v>
      </c>
      <c r="EE298" s="144">
        <f t="shared" si="834"/>
        <v>7.8177706666666626</v>
      </c>
      <c r="EF298" s="5">
        <f t="shared" si="835"/>
        <v>0.15080576131687232</v>
      </c>
      <c r="EH298" s="150">
        <f t="shared" si="863"/>
        <v>0.32951501960934665</v>
      </c>
      <c r="EI298" s="150">
        <f t="shared" si="864"/>
        <v>1.098383398697822</v>
      </c>
      <c r="EK298" s="456">
        <f t="shared" si="865"/>
        <v>2.1716029629629623E-3</v>
      </c>
      <c r="EL298" s="456">
        <f t="shared" si="866"/>
        <v>0.54</v>
      </c>
      <c r="EM298" s="456">
        <f t="shared" si="867"/>
        <v>2.5981737597024157E-2</v>
      </c>
      <c r="EN298" s="456">
        <f t="shared" si="868"/>
        <v>8.8902439024390281E-2</v>
      </c>
      <c r="EO298">
        <f t="shared" si="869"/>
        <v>2.7E-2</v>
      </c>
      <c r="EP298" s="144">
        <f t="shared" si="870"/>
        <v>52.98173759702415</v>
      </c>
      <c r="EQ298" s="144"/>
      <c r="ER298" s="144">
        <f t="shared" si="871"/>
        <v>684.05577958437743</v>
      </c>
      <c r="ES298" s="456">
        <f t="shared" si="872"/>
        <v>0.68879999999999986</v>
      </c>
      <c r="EV298" s="144">
        <f t="shared" si="873"/>
        <v>688.79999999999984</v>
      </c>
      <c r="EW298" s="456">
        <f t="shared" si="874"/>
        <v>3.2574044444444433E-3</v>
      </c>
      <c r="EX298" s="456">
        <f t="shared" si="875"/>
        <v>3.6193382716049355E-2</v>
      </c>
      <c r="EY298" s="456">
        <f t="shared" si="876"/>
        <v>0.17315500288201621</v>
      </c>
      <c r="EZ298" s="456"/>
      <c r="FA298" s="456">
        <f t="shared" si="877"/>
        <v>8.1999999999999977E-4</v>
      </c>
      <c r="FB298" s="144">
        <f t="shared" si="878"/>
        <v>213.42579004250999</v>
      </c>
      <c r="FC298" s="150">
        <f t="shared" si="879"/>
        <v>1.5862815696268875</v>
      </c>
      <c r="FD298" s="5">
        <f t="shared" si="880"/>
        <v>4.919999999999999</v>
      </c>
      <c r="FE298" s="150">
        <f t="shared" si="881"/>
        <v>0.75619229622153361</v>
      </c>
      <c r="FF298" s="5">
        <f t="shared" si="882"/>
        <v>75.619229622153355</v>
      </c>
      <c r="FI298" s="59">
        <f t="shared" si="836"/>
        <v>-50</v>
      </c>
      <c r="FJ298">
        <f t="shared" si="837"/>
        <v>-50</v>
      </c>
      <c r="FL298">
        <f t="shared" si="838"/>
        <v>0.9174311926605504</v>
      </c>
    </row>
    <row r="299" spans="5:168">
      <c r="E299" s="147">
        <v>83</v>
      </c>
      <c r="F299" s="188">
        <f t="shared" si="839"/>
        <v>0.99599999999999989</v>
      </c>
      <c r="G299" s="188"/>
      <c r="H299" s="188">
        <f t="shared" si="764"/>
        <v>4.9799999999999995</v>
      </c>
      <c r="I299" s="465">
        <f t="shared" si="765"/>
        <v>59.945103624179076</v>
      </c>
      <c r="J299" s="149">
        <f t="shared" si="766"/>
        <v>5.4329378254925524</v>
      </c>
      <c r="K299" s="149">
        <f t="shared" si="767"/>
        <v>65.378041449671628</v>
      </c>
      <c r="L299" s="379"/>
      <c r="M299" s="188">
        <f t="shared" si="768"/>
        <v>8.3095175544254551E-2</v>
      </c>
      <c r="N299" s="149">
        <f t="shared" si="769"/>
        <v>12.826458439824453</v>
      </c>
      <c r="O299" s="149">
        <f t="shared" si="762"/>
        <v>4.9799999999999995</v>
      </c>
      <c r="P299" s="188">
        <f t="shared" si="770"/>
        <v>2.5652916879648906</v>
      </c>
      <c r="Q299" s="188">
        <f t="shared" si="771"/>
        <v>5</v>
      </c>
      <c r="R299" s="188"/>
      <c r="S299" s="149">
        <f t="shared" si="772"/>
        <v>90.78248154057404</v>
      </c>
      <c r="T299" s="149">
        <f t="shared" si="773"/>
        <v>5</v>
      </c>
      <c r="U299" s="188">
        <f t="shared" si="774"/>
        <v>2.172526468254115</v>
      </c>
      <c r="V299" s="188">
        <f t="shared" si="775"/>
        <v>0.4349032038128603</v>
      </c>
      <c r="W299" s="188">
        <f t="shared" si="776"/>
        <v>4.7985672681033922</v>
      </c>
      <c r="X299" s="172">
        <f t="shared" si="777"/>
        <v>350</v>
      </c>
      <c r="Y299" s="379">
        <f t="shared" si="840"/>
        <v>184.04443443074871</v>
      </c>
      <c r="AA299" s="188">
        <f t="shared" si="778"/>
        <v>1.186061622786466</v>
      </c>
      <c r="AB299" s="150">
        <f t="shared" si="779"/>
        <v>2.6197132988812082</v>
      </c>
      <c r="AC299" s="150">
        <f t="shared" si="780"/>
        <v>0.54374974613860805</v>
      </c>
      <c r="AD299" s="150"/>
      <c r="AE299" s="150">
        <f t="shared" si="781"/>
        <v>2.2087497382527244</v>
      </c>
      <c r="AF299" s="314">
        <f t="shared" si="782"/>
        <v>901.86767903176349</v>
      </c>
      <c r="AG299" s="456">
        <f t="shared" si="783"/>
        <v>0.38653120419422682</v>
      </c>
      <c r="AI299" s="150">
        <f t="shared" si="784"/>
        <v>1.6052304498836327</v>
      </c>
      <c r="AJ299" s="150">
        <f t="shared" si="785"/>
        <v>2.172526468254115</v>
      </c>
      <c r="AK299" s="150">
        <f t="shared" si="786"/>
        <v>2.0685381246326777</v>
      </c>
      <c r="AM299" s="314">
        <f t="shared" si="787"/>
        <v>995.99999999999989</v>
      </c>
      <c r="AN299" s="144">
        <f t="shared" si="788"/>
        <v>184.04443443074871</v>
      </c>
      <c r="AP299">
        <f t="shared" si="789"/>
        <v>995.99999999999989</v>
      </c>
      <c r="AQ299">
        <f t="shared" si="790"/>
        <v>184.04443443074871</v>
      </c>
      <c r="AS299" s="5">
        <f t="shared" si="763"/>
        <v>5.4334704719162525</v>
      </c>
      <c r="AT299" s="5">
        <f t="shared" si="791"/>
        <v>0.4349032038128603</v>
      </c>
      <c r="AU299" s="5">
        <f t="shared" si="883"/>
        <v>4.9985672681033924</v>
      </c>
      <c r="AV299" s="5"/>
      <c r="AW299" s="150">
        <f t="shared" si="884"/>
        <v>8.0041514177858514E-2</v>
      </c>
      <c r="AX299" s="150">
        <f t="shared" si="792"/>
        <v>5.2119962145668355</v>
      </c>
      <c r="AY299" s="150">
        <f t="shared" si="793"/>
        <v>0.9993170800717901</v>
      </c>
      <c r="AZ299" s="150">
        <f t="shared" si="794"/>
        <v>5.2155580230775298</v>
      </c>
      <c r="BA299" s="144">
        <f t="shared" si="724"/>
        <v>8.6632718199521754</v>
      </c>
      <c r="BB299" s="5">
        <f t="shared" si="725"/>
        <v>0.17302542583529609</v>
      </c>
      <c r="BD299" s="150">
        <f t="shared" si="841"/>
        <v>0.35486412516902682</v>
      </c>
      <c r="BE299" s="150">
        <f t="shared" si="842"/>
        <v>1.2030635357659161</v>
      </c>
      <c r="BG299" s="456">
        <f t="shared" si="843"/>
        <v>2.5185709466395744E-3</v>
      </c>
      <c r="BH299" s="456">
        <f t="shared" si="795"/>
        <v>0.49014089921726545</v>
      </c>
      <c r="BI299" s="456">
        <f t="shared" si="796"/>
        <v>0.2758140673351166</v>
      </c>
      <c r="BJ299" s="456">
        <f t="shared" si="844"/>
        <v>7.8665897346591157E-2</v>
      </c>
      <c r="BK299">
        <f t="shared" si="845"/>
        <v>2.6975296630880583E-2</v>
      </c>
      <c r="BL299" s="144">
        <f t="shared" si="846"/>
        <v>302.78936396599721</v>
      </c>
      <c r="BM299" s="456">
        <f t="shared" si="797"/>
        <v>0.57234788176823159</v>
      </c>
      <c r="BN299" s="144">
        <f t="shared" si="847"/>
        <v>572.34788176823156</v>
      </c>
      <c r="BO299" s="456">
        <f t="shared" si="798"/>
        <v>0.69719999999999993</v>
      </c>
      <c r="BR299" s="144">
        <f t="shared" si="848"/>
        <v>697.19999999999993</v>
      </c>
      <c r="BS299" s="456">
        <f t="shared" si="849"/>
        <v>3.7778564199593616E-3</v>
      </c>
      <c r="BT299" s="456">
        <f t="shared" si="850"/>
        <v>4.3420856132687632E-2</v>
      </c>
      <c r="BU299" s="456">
        <f t="shared" si="851"/>
        <v>0.15984145229316479</v>
      </c>
      <c r="BV299" s="456"/>
      <c r="BW299" s="456">
        <f t="shared" si="852"/>
        <v>8.6866603576113931E-4</v>
      </c>
      <c r="BX299" s="144">
        <f t="shared" si="853"/>
        <v>207.90883088157292</v>
      </c>
      <c r="BY299" s="150">
        <f t="shared" si="854"/>
        <v>1.7792235623580661</v>
      </c>
      <c r="BZ299" s="5">
        <f t="shared" si="855"/>
        <v>4.9799999999999995</v>
      </c>
      <c r="CA299" s="150">
        <f t="shared" si="856"/>
        <v>0.73677101431198189</v>
      </c>
      <c r="CB299" s="5">
        <f t="shared" si="857"/>
        <v>73.677101431198196</v>
      </c>
      <c r="CE299" s="59">
        <f t="shared" si="799"/>
        <v>-50</v>
      </c>
      <c r="CF299">
        <f t="shared" si="800"/>
        <v>-50</v>
      </c>
      <c r="CG299" s="150">
        <f t="shared" si="801"/>
        <v>0.90716371081497948</v>
      </c>
      <c r="CI299" s="147">
        <v>83</v>
      </c>
      <c r="CJ299" s="188">
        <f t="shared" si="858"/>
        <v>0.99599999999999989</v>
      </c>
      <c r="CK299" s="188"/>
      <c r="CL299" s="188">
        <f t="shared" si="802"/>
        <v>4.9799999999999995</v>
      </c>
      <c r="CM299" s="465">
        <f t="shared" si="803"/>
        <v>60</v>
      </c>
      <c r="CN299" s="379">
        <f t="shared" si="804"/>
        <v>5.4</v>
      </c>
      <c r="CO299" s="379">
        <f t="shared" si="805"/>
        <v>65.400000000000006</v>
      </c>
      <c r="CP299" s="379"/>
      <c r="CQ299" s="188">
        <f t="shared" si="806"/>
        <v>8.2568807339449546E-2</v>
      </c>
      <c r="CR299" s="149">
        <f t="shared" si="807"/>
        <v>12.756880733944957</v>
      </c>
      <c r="CS299" s="149">
        <f t="shared" si="808"/>
        <v>4.9799999999999995</v>
      </c>
      <c r="CT299" s="188">
        <f t="shared" si="809"/>
        <v>2.5513761467889915</v>
      </c>
      <c r="CU299" s="188">
        <f t="shared" si="810"/>
        <v>5</v>
      </c>
      <c r="CV299" s="188"/>
      <c r="CW299" s="149">
        <f t="shared" si="811"/>
        <v>90.865379017068634</v>
      </c>
      <c r="CX299" s="149">
        <f t="shared" si="812"/>
        <v>5</v>
      </c>
      <c r="CY299" s="188">
        <f t="shared" si="813"/>
        <v>2.010444444444444</v>
      </c>
      <c r="CZ299" s="188">
        <f t="shared" si="814"/>
        <v>0.40208888888888877</v>
      </c>
      <c r="DA299" s="188">
        <f t="shared" si="815"/>
        <v>4.4676543209876529</v>
      </c>
      <c r="DB299" s="172">
        <f t="shared" si="816"/>
        <v>350</v>
      </c>
      <c r="DC299" s="379">
        <f t="shared" si="817"/>
        <v>205.34963691141982</v>
      </c>
      <c r="DE299" s="188">
        <f t="shared" si="818"/>
        <v>1.179554390563565</v>
      </c>
      <c r="DF299" s="150">
        <f t="shared" si="819"/>
        <v>2.6212319790301444</v>
      </c>
      <c r="DG299" s="150">
        <f t="shared" si="820"/>
        <v>0.54107999567136011</v>
      </c>
      <c r="DH299" s="150"/>
      <c r="DI299" s="150">
        <f t="shared" si="821"/>
        <v>2.2222222222222219</v>
      </c>
      <c r="DJ299" s="314">
        <f t="shared" si="822"/>
        <v>896.4</v>
      </c>
      <c r="DK299" s="456">
        <f t="shared" si="823"/>
        <v>0.38888888888888884</v>
      </c>
      <c r="DM299" s="150">
        <f t="shared" si="824"/>
        <v>1.6003571030063439</v>
      </c>
      <c r="DN299" s="150">
        <f t="shared" si="825"/>
        <v>2.010444444444444</v>
      </c>
      <c r="DO299" s="150">
        <f t="shared" si="826"/>
        <v>1.9484773662551436</v>
      </c>
      <c r="DQ299" s="314">
        <f t="shared" si="827"/>
        <v>995.99999999999989</v>
      </c>
      <c r="DR299" s="144">
        <f t="shared" si="828"/>
        <v>205.34963691141982</v>
      </c>
      <c r="DT299">
        <f t="shared" si="829"/>
        <v>995.99999999999989</v>
      </c>
      <c r="DU299">
        <f t="shared" si="830"/>
        <v>205.34963691141982</v>
      </c>
      <c r="DW299" s="5">
        <f t="shared" si="859"/>
        <v>4.8697432098765416</v>
      </c>
      <c r="DX299" s="5">
        <f t="shared" si="831"/>
        <v>0.40208888888888877</v>
      </c>
      <c r="DY299" s="5">
        <f t="shared" si="832"/>
        <v>4.4676543209876529</v>
      </c>
      <c r="DZ299" s="5"/>
      <c r="EA299" s="150">
        <f t="shared" si="833"/>
        <v>8.2568807339449546E-2</v>
      </c>
      <c r="EB299" s="150">
        <f t="shared" si="860"/>
        <v>4.9799999999999995</v>
      </c>
      <c r="EC299" s="150">
        <f t="shared" si="861"/>
        <v>0.92222222222222205</v>
      </c>
      <c r="ED299" s="150">
        <f t="shared" si="862"/>
        <v>5.4</v>
      </c>
      <c r="EE299" s="144">
        <f t="shared" si="834"/>
        <v>8.0096106666666635</v>
      </c>
      <c r="EF299" s="5">
        <f t="shared" si="835"/>
        <v>0.15450637860082295</v>
      </c>
      <c r="EH299" s="150">
        <f t="shared" si="863"/>
        <v>0.33353349545824112</v>
      </c>
      <c r="EI299" s="150">
        <f t="shared" si="864"/>
        <v>1.1117783181941372</v>
      </c>
      <c r="EK299" s="456">
        <f t="shared" si="865"/>
        <v>2.2248918518518509E-3</v>
      </c>
      <c r="EL299" s="456">
        <f t="shared" si="866"/>
        <v>0.54</v>
      </c>
      <c r="EM299" s="456">
        <f t="shared" si="867"/>
        <v>2.5668704613927475E-2</v>
      </c>
      <c r="EN299" s="456">
        <f t="shared" si="868"/>
        <v>8.7831325301204854E-2</v>
      </c>
      <c r="EO299">
        <f t="shared" si="869"/>
        <v>2.7E-2</v>
      </c>
      <c r="EP299" s="144">
        <f t="shared" si="870"/>
        <v>52.668704613927474</v>
      </c>
      <c r="EQ299" s="144"/>
      <c r="ER299" s="144">
        <f t="shared" si="871"/>
        <v>682.72492176698415</v>
      </c>
      <c r="ES299" s="456">
        <f t="shared" si="872"/>
        <v>0.69719999999999993</v>
      </c>
      <c r="EV299" s="144">
        <f t="shared" si="873"/>
        <v>697.19999999999993</v>
      </c>
      <c r="EW299" s="456">
        <f t="shared" si="874"/>
        <v>3.3373377777777763E-3</v>
      </c>
      <c r="EX299" s="456">
        <f t="shared" si="875"/>
        <v>3.7081530864197527E-2</v>
      </c>
      <c r="EY299" s="456">
        <f t="shared" si="876"/>
        <v>0.17315500288201632</v>
      </c>
      <c r="EZ299" s="456"/>
      <c r="FA299" s="456">
        <f t="shared" si="877"/>
        <v>8.3000000000000001E-4</v>
      </c>
      <c r="FB299" s="144">
        <f t="shared" si="878"/>
        <v>214.40387152399163</v>
      </c>
      <c r="FC299" s="150">
        <f t="shared" si="879"/>
        <v>1.5943287932909758</v>
      </c>
      <c r="FD299" s="5">
        <f t="shared" si="880"/>
        <v>4.9799999999999995</v>
      </c>
      <c r="FE299" s="150">
        <f t="shared" si="881"/>
        <v>0.75749177696771575</v>
      </c>
      <c r="FF299" s="5">
        <f t="shared" si="882"/>
        <v>75.749177696771568</v>
      </c>
      <c r="FI299" s="59">
        <f t="shared" si="836"/>
        <v>-50</v>
      </c>
      <c r="FJ299">
        <f t="shared" si="837"/>
        <v>-50</v>
      </c>
      <c r="FL299">
        <f t="shared" si="838"/>
        <v>0.91743119266055051</v>
      </c>
    </row>
    <row r="300" spans="5:168">
      <c r="E300" s="147">
        <v>84</v>
      </c>
      <c r="F300" s="188">
        <f t="shared" si="839"/>
        <v>1.008</v>
      </c>
      <c r="G300" s="188"/>
      <c r="H300" s="188">
        <f t="shared" si="764"/>
        <v>5.04</v>
      </c>
      <c r="I300" s="465">
        <f t="shared" si="765"/>
        <v>59.944449706949392</v>
      </c>
      <c r="J300" s="149">
        <f t="shared" si="766"/>
        <v>5.433330175830366</v>
      </c>
      <c r="K300" s="149">
        <f t="shared" si="767"/>
        <v>65.377779882779762</v>
      </c>
      <c r="L300" s="379"/>
      <c r="M300" s="188">
        <f t="shared" si="768"/>
        <v>8.3101510007669813E-2</v>
      </c>
      <c r="N300" s="149">
        <f t="shared" si="769"/>
        <v>12.82729628960776</v>
      </c>
      <c r="O300" s="149">
        <f t="shared" si="762"/>
        <v>5.04</v>
      </c>
      <c r="P300" s="188">
        <f t="shared" si="770"/>
        <v>2.5654592579215523</v>
      </c>
      <c r="Q300" s="188">
        <f t="shared" si="771"/>
        <v>5</v>
      </c>
      <c r="R300" s="188"/>
      <c r="S300" s="149">
        <f t="shared" si="772"/>
        <v>88.995521822565976</v>
      </c>
      <c r="T300" s="149">
        <f t="shared" si="773"/>
        <v>5</v>
      </c>
      <c r="U300" s="188">
        <f t="shared" si="774"/>
        <v>2.1987166758414705</v>
      </c>
      <c r="V300" s="188">
        <f t="shared" si="775"/>
        <v>0.44015084364080609</v>
      </c>
      <c r="W300" s="188">
        <f t="shared" si="776"/>
        <v>4.856064191987989</v>
      </c>
      <c r="X300" s="172">
        <f t="shared" si="777"/>
        <v>350</v>
      </c>
      <c r="Y300" s="379">
        <f t="shared" si="840"/>
        <v>181.94339077302766</v>
      </c>
      <c r="AA300" s="188">
        <f t="shared" si="778"/>
        <v>1.1861390829112182</v>
      </c>
      <c r="AB300" s="150">
        <f t="shared" si="779"/>
        <v>2.6196952024472377</v>
      </c>
      <c r="AC300" s="150">
        <f t="shared" si="780"/>
        <v>0.54378150136409475</v>
      </c>
      <c r="AD300" s="150"/>
      <c r="AE300" s="150">
        <f t="shared" si="781"/>
        <v>2.2085902405454427</v>
      </c>
      <c r="AF300" s="314">
        <f t="shared" si="782"/>
        <v>912.7994695395015</v>
      </c>
      <c r="AG300" s="456">
        <f t="shared" si="783"/>
        <v>0.38650329209545248</v>
      </c>
      <c r="AI300" s="150">
        <f t="shared" si="784"/>
        <v>1.6149298698081522</v>
      </c>
      <c r="AJ300" s="150">
        <f t="shared" si="785"/>
        <v>2.1987166758414705</v>
      </c>
      <c r="AK300" s="150">
        <f t="shared" si="786"/>
        <v>2.0879382784010891</v>
      </c>
      <c r="AM300" s="314">
        <f t="shared" si="787"/>
        <v>1008</v>
      </c>
      <c r="AN300" s="144">
        <f t="shared" si="788"/>
        <v>181.94339077302766</v>
      </c>
      <c r="AP300">
        <f t="shared" si="789"/>
        <v>1008</v>
      </c>
      <c r="AQ300">
        <f t="shared" si="790"/>
        <v>181.94339077302766</v>
      </c>
      <c r="AS300" s="5">
        <f t="shared" si="763"/>
        <v>5.4962150356287944</v>
      </c>
      <c r="AT300" s="5">
        <f t="shared" si="791"/>
        <v>0.44015084364080609</v>
      </c>
      <c r="AU300" s="5">
        <f t="shared" si="883"/>
        <v>5.0560641919879883</v>
      </c>
      <c r="AV300" s="5"/>
      <c r="AW300" s="150">
        <f t="shared" si="884"/>
        <v>8.0082536943616986E-2</v>
      </c>
      <c r="AX300" s="150">
        <f t="shared" si="792"/>
        <v>5.2774736679169516</v>
      </c>
      <c r="AY300" s="150">
        <f t="shared" si="793"/>
        <v>1.0113189332099246</v>
      </c>
      <c r="AZ300" s="150">
        <f t="shared" si="794"/>
        <v>5.2184068691033589</v>
      </c>
      <c r="BA300" s="144">
        <f t="shared" si="724"/>
        <v>8.8734410077986503</v>
      </c>
      <c r="BB300" s="5">
        <f t="shared" si="725"/>
        <v>0.17712623695908003</v>
      </c>
      <c r="BD300" s="150">
        <f t="shared" si="841"/>
        <v>0.35923409941041279</v>
      </c>
      <c r="BE300" s="150">
        <f t="shared" si="842"/>
        <v>1.2175395416009749</v>
      </c>
      <c r="BG300" s="456">
        <f t="shared" si="843"/>
        <v>2.580982763584207E-3</v>
      </c>
      <c r="BH300" s="456">
        <f t="shared" si="795"/>
        <v>0.49038479410124908</v>
      </c>
      <c r="BI300" s="456">
        <f t="shared" si="796"/>
        <v>0.27266241094263988</v>
      </c>
      <c r="BJ300" s="456">
        <f t="shared" si="844"/>
        <v>7.7767228441639857E-2</v>
      </c>
      <c r="BK300">
        <f t="shared" si="845"/>
        <v>2.6975002368127225E-2</v>
      </c>
      <c r="BL300" s="144">
        <f t="shared" si="846"/>
        <v>299.6374133107671</v>
      </c>
      <c r="BM300" s="456">
        <f t="shared" si="797"/>
        <v>0.57178051019302834</v>
      </c>
      <c r="BN300" s="144">
        <f t="shared" si="847"/>
        <v>571.78051019302836</v>
      </c>
      <c r="BO300" s="456">
        <f t="shared" si="798"/>
        <v>0.7056</v>
      </c>
      <c r="BR300" s="144">
        <f t="shared" si="848"/>
        <v>705.6</v>
      </c>
      <c r="BS300" s="456">
        <f t="shared" si="849"/>
        <v>3.8714741453763101E-3</v>
      </c>
      <c r="BT300" s="456">
        <f t="shared" si="850"/>
        <v>4.447207606085736E-2</v>
      </c>
      <c r="BU300" s="456">
        <f t="shared" si="851"/>
        <v>0.16004197065421458</v>
      </c>
      <c r="BV300" s="456"/>
      <c r="BW300" s="456">
        <f t="shared" si="852"/>
        <v>8.7957894465282526E-4</v>
      </c>
      <c r="BX300" s="144">
        <f t="shared" si="853"/>
        <v>209.26509980510107</v>
      </c>
      <c r="BY300" s="150">
        <f t="shared" si="854"/>
        <v>1.7852355184223414</v>
      </c>
      <c r="BZ300" s="5">
        <f t="shared" si="855"/>
        <v>5.04</v>
      </c>
      <c r="CA300" s="150">
        <f t="shared" si="856"/>
        <v>0.73843605636703358</v>
      </c>
      <c r="CB300" s="5">
        <f t="shared" si="857"/>
        <v>73.843605636703359</v>
      </c>
      <c r="CE300" s="59">
        <f t="shared" si="799"/>
        <v>-50</v>
      </c>
      <c r="CF300">
        <f t="shared" si="800"/>
        <v>-50</v>
      </c>
      <c r="CG300" s="150">
        <f t="shared" si="801"/>
        <v>0.90728594274171237</v>
      </c>
      <c r="CI300" s="147">
        <v>84</v>
      </c>
      <c r="CJ300" s="188">
        <f t="shared" si="858"/>
        <v>1.008</v>
      </c>
      <c r="CK300" s="188"/>
      <c r="CL300" s="188">
        <f t="shared" si="802"/>
        <v>5.04</v>
      </c>
      <c r="CM300" s="465">
        <f t="shared" si="803"/>
        <v>60</v>
      </c>
      <c r="CN300" s="379">
        <f t="shared" si="804"/>
        <v>5.4</v>
      </c>
      <c r="CO300" s="379">
        <f t="shared" si="805"/>
        <v>65.400000000000006</v>
      </c>
      <c r="CP300" s="379"/>
      <c r="CQ300" s="188">
        <f t="shared" si="806"/>
        <v>8.2568807339449546E-2</v>
      </c>
      <c r="CR300" s="149">
        <f t="shared" si="807"/>
        <v>12.756880733944957</v>
      </c>
      <c r="CS300" s="149">
        <f t="shared" si="808"/>
        <v>5.04</v>
      </c>
      <c r="CT300" s="188">
        <f t="shared" si="809"/>
        <v>2.5513761467889915</v>
      </c>
      <c r="CU300" s="188">
        <f t="shared" si="810"/>
        <v>5</v>
      </c>
      <c r="CV300" s="188"/>
      <c r="CW300" s="149">
        <f t="shared" si="811"/>
        <v>89.077746924487286</v>
      </c>
      <c r="CX300" s="149">
        <f t="shared" si="812"/>
        <v>5</v>
      </c>
      <c r="CY300" s="188">
        <f t="shared" si="813"/>
        <v>2.0346666666666664</v>
      </c>
      <c r="CZ300" s="188">
        <f t="shared" si="814"/>
        <v>0.40693333333333331</v>
      </c>
      <c r="DA300" s="188">
        <f t="shared" si="815"/>
        <v>4.5214814814814801</v>
      </c>
      <c r="DB300" s="172">
        <f t="shared" si="816"/>
        <v>350</v>
      </c>
      <c r="DC300" s="379">
        <f t="shared" si="817"/>
        <v>202.90499837676009</v>
      </c>
      <c r="DE300" s="188">
        <f t="shared" si="818"/>
        <v>1.179554390563565</v>
      </c>
      <c r="DF300" s="150">
        <f t="shared" si="819"/>
        <v>2.6212319790301444</v>
      </c>
      <c r="DG300" s="150">
        <f t="shared" si="820"/>
        <v>0.54107999567136011</v>
      </c>
      <c r="DH300" s="150"/>
      <c r="DI300" s="150">
        <f t="shared" si="821"/>
        <v>2.2222222222222219</v>
      </c>
      <c r="DJ300" s="314">
        <f t="shared" si="822"/>
        <v>907.20000000000016</v>
      </c>
      <c r="DK300" s="456">
        <f t="shared" si="823"/>
        <v>0.38888888888888884</v>
      </c>
      <c r="DM300" s="150">
        <f t="shared" si="824"/>
        <v>1.6099689437998488</v>
      </c>
      <c r="DN300" s="150">
        <f t="shared" si="825"/>
        <v>2.0346666666666664</v>
      </c>
      <c r="DO300" s="150">
        <f t="shared" si="826"/>
        <v>1.9664197530864196</v>
      </c>
      <c r="DQ300" s="314">
        <f t="shared" si="827"/>
        <v>1008</v>
      </c>
      <c r="DR300" s="144">
        <f t="shared" si="828"/>
        <v>202.90499837676009</v>
      </c>
      <c r="DT300">
        <f t="shared" si="829"/>
        <v>1008</v>
      </c>
      <c r="DU300">
        <f t="shared" si="830"/>
        <v>202.90499837676009</v>
      </c>
      <c r="DW300" s="5">
        <f t="shared" si="859"/>
        <v>4.928414814814813</v>
      </c>
      <c r="DX300" s="5">
        <f t="shared" si="831"/>
        <v>0.40693333333333331</v>
      </c>
      <c r="DY300" s="5">
        <f t="shared" si="832"/>
        <v>4.5214814814814801</v>
      </c>
      <c r="DZ300" s="5"/>
      <c r="EA300" s="150">
        <f t="shared" si="833"/>
        <v>8.2568807339449574E-2</v>
      </c>
      <c r="EB300" s="150">
        <f t="shared" si="860"/>
        <v>5.0400000000000009</v>
      </c>
      <c r="EC300" s="150">
        <f t="shared" si="861"/>
        <v>0.93333333333333313</v>
      </c>
      <c r="ED300" s="150">
        <f t="shared" si="862"/>
        <v>5.4000000000000021</v>
      </c>
      <c r="EE300" s="144">
        <f t="shared" si="834"/>
        <v>8.2037759999999995</v>
      </c>
      <c r="EF300" s="5">
        <f t="shared" si="835"/>
        <v>0.15825185185185178</v>
      </c>
      <c r="EH300" s="150">
        <f t="shared" si="863"/>
        <v>0.33755197130713566</v>
      </c>
      <c r="EI300" s="150">
        <f t="shared" si="864"/>
        <v>1.125173237690452</v>
      </c>
      <c r="EK300" s="456">
        <f t="shared" si="865"/>
        <v>2.278826666666667E-3</v>
      </c>
      <c r="EL300" s="456">
        <f t="shared" si="866"/>
        <v>0.54000000000000015</v>
      </c>
      <c r="EM300" s="456">
        <f t="shared" si="867"/>
        <v>2.5363124797095009E-2</v>
      </c>
      <c r="EN300" s="456">
        <f t="shared" si="868"/>
        <v>8.6785714285714327E-2</v>
      </c>
      <c r="EO300">
        <f t="shared" si="869"/>
        <v>2.7E-2</v>
      </c>
      <c r="EP300" s="144">
        <f t="shared" si="870"/>
        <v>52.363124797095011</v>
      </c>
      <c r="EQ300" s="144"/>
      <c r="ER300" s="144">
        <f t="shared" si="871"/>
        <v>681.4276657494762</v>
      </c>
      <c r="ES300" s="456">
        <f t="shared" si="872"/>
        <v>0.7056</v>
      </c>
      <c r="EV300" s="144">
        <f t="shared" si="873"/>
        <v>705.6</v>
      </c>
      <c r="EW300" s="456">
        <f t="shared" si="874"/>
        <v>3.4182399999999999E-3</v>
      </c>
      <c r="EX300" s="456">
        <f t="shared" si="875"/>
        <v>3.7980444444444428E-2</v>
      </c>
      <c r="EY300" s="456">
        <f t="shared" si="876"/>
        <v>0.17315500288201643</v>
      </c>
      <c r="EZ300" s="456"/>
      <c r="FA300" s="456">
        <f t="shared" si="877"/>
        <v>8.4000000000000025E-4</v>
      </c>
      <c r="FB300" s="144">
        <f t="shared" si="878"/>
        <v>215.39368732646085</v>
      </c>
      <c r="FC300" s="150">
        <f t="shared" si="879"/>
        <v>1.602421353075937</v>
      </c>
      <c r="FD300" s="5">
        <f t="shared" si="880"/>
        <v>5.04</v>
      </c>
      <c r="FE300" s="150">
        <f t="shared" si="881"/>
        <v>0.75875945413581802</v>
      </c>
      <c r="FF300" s="5">
        <f t="shared" si="882"/>
        <v>75.875945413581803</v>
      </c>
      <c r="FI300" s="59">
        <f t="shared" si="836"/>
        <v>-50</v>
      </c>
      <c r="FJ300">
        <f t="shared" si="837"/>
        <v>-50</v>
      </c>
      <c r="FL300">
        <f t="shared" si="838"/>
        <v>0.9174311926605504</v>
      </c>
    </row>
    <row r="301" spans="5:168">
      <c r="E301" s="147">
        <v>85</v>
      </c>
      <c r="F301" s="188">
        <f t="shared" si="839"/>
        <v>1.02</v>
      </c>
      <c r="G301" s="188"/>
      <c r="H301" s="188">
        <f t="shared" si="764"/>
        <v>5.0999999999999996</v>
      </c>
      <c r="I301" s="465">
        <f t="shared" si="765"/>
        <v>59.943795787750645</v>
      </c>
      <c r="J301" s="149">
        <f t="shared" si="766"/>
        <v>5.4337225273496115</v>
      </c>
      <c r="K301" s="149">
        <f t="shared" si="767"/>
        <v>65.377518315100261</v>
      </c>
      <c r="L301" s="379"/>
      <c r="M301" s="188">
        <f t="shared" si="768"/>
        <v>8.3107844524265548E-2</v>
      </c>
      <c r="N301" s="149">
        <f t="shared" si="769"/>
        <v>12.828134125845965</v>
      </c>
      <c r="O301" s="149">
        <f t="shared" si="762"/>
        <v>5.0999999999999996</v>
      </c>
      <c r="P301" s="188">
        <f t="shared" si="770"/>
        <v>2.5656268251691929</v>
      </c>
      <c r="Q301" s="188">
        <f t="shared" si="771"/>
        <v>5</v>
      </c>
      <c r="R301" s="188"/>
      <c r="S301" s="149">
        <f t="shared" si="772"/>
        <v>87.250829551486945</v>
      </c>
      <c r="T301" s="149">
        <f t="shared" si="773"/>
        <v>5</v>
      </c>
      <c r="U301" s="188">
        <f t="shared" si="774"/>
        <v>2.2249072454344807</v>
      </c>
      <c r="V301" s="188">
        <f t="shared" si="775"/>
        <v>0.44539867044371612</v>
      </c>
      <c r="W301" s="188">
        <f t="shared" si="776"/>
        <v>4.9135536109600721</v>
      </c>
      <c r="X301" s="172">
        <f t="shared" si="777"/>
        <v>350</v>
      </c>
      <c r="Y301" s="379">
        <f t="shared" si="840"/>
        <v>179.89001332953922</v>
      </c>
      <c r="AA301" s="188">
        <f t="shared" si="778"/>
        <v>1.1862165420202846</v>
      </c>
      <c r="AB301" s="150">
        <f t="shared" si="779"/>
        <v>2.619677105813973</v>
      </c>
      <c r="AC301" s="150">
        <f t="shared" si="780"/>
        <v>0.5438132555919627</v>
      </c>
      <c r="AD301" s="150"/>
      <c r="AE301" s="150">
        <f t="shared" si="781"/>
        <v>2.2084307653915483</v>
      </c>
      <c r="AF301" s="314">
        <f t="shared" si="782"/>
        <v>923.73282964943394</v>
      </c>
      <c r="AG301" s="456">
        <f t="shared" si="783"/>
        <v>0.38647538394352093</v>
      </c>
      <c r="AI301" s="150">
        <f t="shared" si="784"/>
        <v>1.6245727611102065</v>
      </c>
      <c r="AJ301" s="150">
        <f t="shared" si="785"/>
        <v>2.2249072454344807</v>
      </c>
      <c r="AK301" s="150">
        <f t="shared" si="786"/>
        <v>2.1073387003218373</v>
      </c>
      <c r="AM301" s="314">
        <f t="shared" si="787"/>
        <v>1020</v>
      </c>
      <c r="AN301" s="144">
        <f t="shared" si="788"/>
        <v>179.89001332953922</v>
      </c>
      <c r="AP301">
        <f t="shared" si="789"/>
        <v>1020</v>
      </c>
      <c r="AQ301">
        <f t="shared" si="790"/>
        <v>179.89001332953922</v>
      </c>
      <c r="AS301" s="5">
        <f t="shared" si="763"/>
        <v>5.5589522814037888</v>
      </c>
      <c r="AT301" s="5">
        <f t="shared" si="791"/>
        <v>0.44539867044371612</v>
      </c>
      <c r="AU301" s="5">
        <f t="shared" si="883"/>
        <v>5.1135536109600723</v>
      </c>
      <c r="AV301" s="5"/>
      <c r="AW301" s="150">
        <f t="shared" si="884"/>
        <v>8.0122772763079136E-2</v>
      </c>
      <c r="AX301" s="150">
        <f t="shared" si="792"/>
        <v>5.3429624866685668</v>
      </c>
      <c r="AY301" s="150">
        <f t="shared" si="793"/>
        <v>1.0233207538948028</v>
      </c>
      <c r="AZ301" s="150">
        <f t="shared" si="794"/>
        <v>5.2212001626401321</v>
      </c>
      <c r="BA301" s="144">
        <f t="shared" si="724"/>
        <v>9.0861328770518099</v>
      </c>
      <c r="BB301" s="5">
        <f t="shared" si="725"/>
        <v>0.18127483053902055</v>
      </c>
      <c r="BD301" s="150">
        <f t="shared" si="841"/>
        <v>0.36360451560214213</v>
      </c>
      <c r="BE301" s="150">
        <f t="shared" si="842"/>
        <v>1.2320156275372542</v>
      </c>
      <c r="BG301" s="456">
        <f t="shared" si="843"/>
        <v>2.6441648753253682E-3</v>
      </c>
      <c r="BH301" s="456">
        <f t="shared" si="795"/>
        <v>0.49062386272766639</v>
      </c>
      <c r="BI301" s="456">
        <f t="shared" si="796"/>
        <v>0.26958225558204096</v>
      </c>
      <c r="BJ301" s="456">
        <f t="shared" si="844"/>
        <v>7.6888947497169596E-2</v>
      </c>
      <c r="BK301">
        <f t="shared" si="845"/>
        <v>2.697470810448779E-2</v>
      </c>
      <c r="BL301" s="144">
        <f t="shared" si="846"/>
        <v>296.55696368652872</v>
      </c>
      <c r="BM301" s="456">
        <f t="shared" si="797"/>
        <v>0.57122977676554298</v>
      </c>
      <c r="BN301" s="144">
        <f t="shared" si="847"/>
        <v>571.22977676554297</v>
      </c>
      <c r="BO301" s="456">
        <f t="shared" si="798"/>
        <v>0.71399999999999997</v>
      </c>
      <c r="BR301" s="144">
        <f t="shared" si="848"/>
        <v>714</v>
      </c>
      <c r="BS301" s="456">
        <f t="shared" si="849"/>
        <v>3.9662473129880521E-3</v>
      </c>
      <c r="BT301" s="456">
        <f t="shared" si="850"/>
        <v>4.5535875194880428E-2</v>
      </c>
      <c r="BU301" s="456">
        <f t="shared" si="851"/>
        <v>0.16023870078714805</v>
      </c>
      <c r="BV301" s="456"/>
      <c r="BW301" s="456">
        <f t="shared" si="852"/>
        <v>8.9049374777809456E-4</v>
      </c>
      <c r="BX301" s="144">
        <f t="shared" si="853"/>
        <v>210.63131704279462</v>
      </c>
      <c r="BY301" s="150">
        <f t="shared" si="854"/>
        <v>1.7913452558294845</v>
      </c>
      <c r="BZ301" s="5">
        <f t="shared" si="855"/>
        <v>5.0999999999999996</v>
      </c>
      <c r="CA301" s="150">
        <f t="shared" si="856"/>
        <v>0.74005869836311555</v>
      </c>
      <c r="CB301" s="5">
        <f t="shared" si="857"/>
        <v>74.005869836311561</v>
      </c>
      <c r="CE301" s="59">
        <f t="shared" si="799"/>
        <v>-50</v>
      </c>
      <c r="CF301">
        <f t="shared" si="800"/>
        <v>-50</v>
      </c>
      <c r="CG301" s="150">
        <f t="shared" si="801"/>
        <v>0.90740529862311059</v>
      </c>
      <c r="CI301" s="147">
        <v>85</v>
      </c>
      <c r="CJ301" s="188">
        <f t="shared" si="858"/>
        <v>1.02</v>
      </c>
      <c r="CK301" s="188"/>
      <c r="CL301" s="188">
        <f t="shared" si="802"/>
        <v>5.0999999999999996</v>
      </c>
      <c r="CM301" s="465">
        <f t="shared" si="803"/>
        <v>60</v>
      </c>
      <c r="CN301" s="379">
        <f t="shared" si="804"/>
        <v>5.4</v>
      </c>
      <c r="CO301" s="379">
        <f t="shared" si="805"/>
        <v>65.400000000000006</v>
      </c>
      <c r="CP301" s="379"/>
      <c r="CQ301" s="188">
        <f t="shared" si="806"/>
        <v>8.2568807339449546E-2</v>
      </c>
      <c r="CR301" s="149">
        <f t="shared" si="807"/>
        <v>12.756880733944957</v>
      </c>
      <c r="CS301" s="149">
        <f t="shared" si="808"/>
        <v>5.0999999999999996</v>
      </c>
      <c r="CT301" s="188">
        <f t="shared" si="809"/>
        <v>2.5513761467889915</v>
      </c>
      <c r="CU301" s="188">
        <f t="shared" si="810"/>
        <v>5</v>
      </c>
      <c r="CV301" s="188"/>
      <c r="CW301" s="149">
        <f t="shared" si="811"/>
        <v>87.332382724485385</v>
      </c>
      <c r="CX301" s="149">
        <f t="shared" si="812"/>
        <v>5</v>
      </c>
      <c r="CY301" s="188">
        <f t="shared" si="813"/>
        <v>2.0588888888888883</v>
      </c>
      <c r="CZ301" s="188">
        <f t="shared" si="814"/>
        <v>0.41177777777777774</v>
      </c>
      <c r="DA301" s="188">
        <f t="shared" si="815"/>
        <v>4.5753086419753073</v>
      </c>
      <c r="DB301" s="172">
        <f t="shared" si="816"/>
        <v>350</v>
      </c>
      <c r="DC301" s="379">
        <f t="shared" si="817"/>
        <v>200.51788074879818</v>
      </c>
      <c r="DE301" s="188">
        <f t="shared" si="818"/>
        <v>1.179554390563565</v>
      </c>
      <c r="DF301" s="150">
        <f t="shared" si="819"/>
        <v>2.6212319790301444</v>
      </c>
      <c r="DG301" s="150">
        <f t="shared" si="820"/>
        <v>0.54107999567136011</v>
      </c>
      <c r="DH301" s="150"/>
      <c r="DI301" s="150">
        <f t="shared" si="821"/>
        <v>2.2222222222222219</v>
      </c>
      <c r="DJ301" s="314">
        <f t="shared" si="822"/>
        <v>918.00000000000011</v>
      </c>
      <c r="DK301" s="456">
        <f t="shared" si="823"/>
        <v>0.38888888888888884</v>
      </c>
      <c r="DM301" s="150">
        <f t="shared" si="824"/>
        <v>1.6195237395163873</v>
      </c>
      <c r="DN301" s="150">
        <f t="shared" si="825"/>
        <v>2.0588888888888883</v>
      </c>
      <c r="DO301" s="150">
        <f t="shared" si="826"/>
        <v>1.9843621399176949</v>
      </c>
      <c r="DQ301" s="314">
        <f t="shared" si="827"/>
        <v>1020</v>
      </c>
      <c r="DR301" s="144">
        <f t="shared" si="828"/>
        <v>200.51788074879818</v>
      </c>
      <c r="DT301">
        <f t="shared" si="829"/>
        <v>1020</v>
      </c>
      <c r="DU301">
        <f t="shared" si="830"/>
        <v>200.51788074879818</v>
      </c>
      <c r="DW301" s="5">
        <f t="shared" si="859"/>
        <v>4.9870864197530853</v>
      </c>
      <c r="DX301" s="5">
        <f t="shared" si="831"/>
        <v>0.41177777777777774</v>
      </c>
      <c r="DY301" s="5">
        <f t="shared" si="832"/>
        <v>4.5753086419753073</v>
      </c>
      <c r="DZ301" s="5"/>
      <c r="EA301" s="150">
        <f t="shared" si="833"/>
        <v>8.2568807339449546E-2</v>
      </c>
      <c r="EB301" s="150">
        <f t="shared" si="860"/>
        <v>5.0999999999999979</v>
      </c>
      <c r="EC301" s="150">
        <f t="shared" si="861"/>
        <v>0.9444444444444442</v>
      </c>
      <c r="ED301" s="150">
        <f t="shared" si="862"/>
        <v>5.3999999999999995</v>
      </c>
      <c r="EE301" s="144">
        <f t="shared" si="834"/>
        <v>8.400266666666667</v>
      </c>
      <c r="EF301" s="5">
        <f t="shared" si="835"/>
        <v>0.16204218106995877</v>
      </c>
      <c r="EH301" s="150">
        <f t="shared" si="863"/>
        <v>0.34157044715603002</v>
      </c>
      <c r="EI301" s="150">
        <f t="shared" si="864"/>
        <v>1.138568157186767</v>
      </c>
      <c r="EK301" s="456">
        <f t="shared" si="865"/>
        <v>2.333407407407406E-3</v>
      </c>
      <c r="EL301" s="456">
        <f t="shared" si="866"/>
        <v>0.54</v>
      </c>
      <c r="EM301" s="456">
        <f t="shared" si="867"/>
        <v>2.5064735093599768E-2</v>
      </c>
      <c r="EN301" s="456">
        <f t="shared" si="868"/>
        <v>8.5764705882352979E-2</v>
      </c>
      <c r="EO301">
        <f t="shared" si="869"/>
        <v>2.7E-2</v>
      </c>
      <c r="EP301" s="144">
        <f t="shared" si="870"/>
        <v>52.064735093599765</v>
      </c>
      <c r="EQ301" s="144"/>
      <c r="ER301" s="144">
        <f t="shared" si="871"/>
        <v>680.16284838336014</v>
      </c>
      <c r="ES301" s="456">
        <f t="shared" si="872"/>
        <v>0.71399999999999997</v>
      </c>
      <c r="EV301" s="144">
        <f t="shared" si="873"/>
        <v>714</v>
      </c>
      <c r="EW301" s="456">
        <f t="shared" si="874"/>
        <v>3.5001111111111088E-3</v>
      </c>
      <c r="EX301" s="456">
        <f t="shared" si="875"/>
        <v>3.8890123456790111E-2</v>
      </c>
      <c r="EY301" s="456">
        <f t="shared" si="876"/>
        <v>0.17315500288201635</v>
      </c>
      <c r="EZ301" s="456"/>
      <c r="FA301" s="456">
        <f t="shared" si="877"/>
        <v>8.4999999999999984E-4</v>
      </c>
      <c r="FB301" s="144">
        <f t="shared" si="878"/>
        <v>216.39523744991757</v>
      </c>
      <c r="FC301" s="150">
        <f t="shared" si="879"/>
        <v>1.6105580858332778</v>
      </c>
      <c r="FD301" s="5">
        <f t="shared" si="880"/>
        <v>5.0999999999999996</v>
      </c>
      <c r="FE301" s="150">
        <f t="shared" si="881"/>
        <v>0.75999640190383833</v>
      </c>
      <c r="FF301" s="5">
        <f t="shared" si="882"/>
        <v>75.999640190383829</v>
      </c>
      <c r="FI301" s="59">
        <f t="shared" si="836"/>
        <v>-50</v>
      </c>
      <c r="FJ301">
        <f t="shared" si="837"/>
        <v>-50</v>
      </c>
      <c r="FL301">
        <f t="shared" si="838"/>
        <v>0.91743119266055051</v>
      </c>
    </row>
    <row r="302" spans="5:168">
      <c r="E302" s="147">
        <v>86</v>
      </c>
      <c r="F302" s="188">
        <f t="shared" si="839"/>
        <v>1.032</v>
      </c>
      <c r="G302" s="188"/>
      <c r="H302" s="188">
        <f t="shared" si="764"/>
        <v>5.16</v>
      </c>
      <c r="I302" s="465">
        <f t="shared" si="765"/>
        <v>59.94314186665229</v>
      </c>
      <c r="J302" s="149">
        <f t="shared" si="766"/>
        <v>5.4341148800086279</v>
      </c>
      <c r="K302" s="149">
        <f t="shared" si="767"/>
        <v>65.377256746660919</v>
      </c>
      <c r="L302" s="379"/>
      <c r="M302" s="188">
        <f t="shared" si="768"/>
        <v>8.3114179093954646E-2</v>
      </c>
      <c r="N302" s="149">
        <f t="shared" si="769"/>
        <v>12.82897194854012</v>
      </c>
      <c r="O302" s="149">
        <f t="shared" si="762"/>
        <v>5.16</v>
      </c>
      <c r="P302" s="188">
        <f t="shared" si="770"/>
        <v>2.565794389708024</v>
      </c>
      <c r="Q302" s="188">
        <f t="shared" si="771"/>
        <v>5</v>
      </c>
      <c r="R302" s="188"/>
      <c r="S302" s="149">
        <f t="shared" si="772"/>
        <v>85.546935066128356</v>
      </c>
      <c r="T302" s="149">
        <f t="shared" si="773"/>
        <v>5</v>
      </c>
      <c r="U302" s="188">
        <f t="shared" si="774"/>
        <v>2.2510981770449918</v>
      </c>
      <c r="V302" s="188">
        <f t="shared" si="775"/>
        <v>0.45064668423007598</v>
      </c>
      <c r="W302" s="188">
        <f t="shared" si="776"/>
        <v>4.9710355266720114</v>
      </c>
      <c r="X302" s="172">
        <f t="shared" si="777"/>
        <v>350</v>
      </c>
      <c r="Y302" s="379">
        <f t="shared" si="840"/>
        <v>177.88269818253104</v>
      </c>
      <c r="AA302" s="188">
        <f t="shared" si="778"/>
        <v>1.1862940001054145</v>
      </c>
      <c r="AB302" s="150">
        <f t="shared" si="779"/>
        <v>2.6196590089833314</v>
      </c>
      <c r="AC302" s="150">
        <f t="shared" si="780"/>
        <v>0.54384500881882891</v>
      </c>
      <c r="AD302" s="150"/>
      <c r="AE302" s="150">
        <f t="shared" si="781"/>
        <v>2.2082713128031899</v>
      </c>
      <c r="AF302" s="314">
        <f t="shared" si="782"/>
        <v>934.66775936148383</v>
      </c>
      <c r="AG302" s="456">
        <f t="shared" si="783"/>
        <v>0.38644747974055826</v>
      </c>
      <c r="AI302" s="150">
        <f t="shared" si="784"/>
        <v>1.6341601244863928</v>
      </c>
      <c r="AJ302" s="150">
        <f t="shared" si="785"/>
        <v>2.2510981770449918</v>
      </c>
      <c r="AK302" s="150">
        <f t="shared" si="786"/>
        <v>2.1267393904036975</v>
      </c>
      <c r="AM302" s="314">
        <f t="shared" si="787"/>
        <v>1032</v>
      </c>
      <c r="AN302" s="144">
        <f t="shared" si="788"/>
        <v>177.88269818253104</v>
      </c>
      <c r="AP302">
        <f t="shared" si="789"/>
        <v>1032</v>
      </c>
      <c r="AQ302">
        <f t="shared" si="790"/>
        <v>177.88269818253104</v>
      </c>
      <c r="AS302" s="5">
        <f t="shared" si="763"/>
        <v>5.6216822109020885</v>
      </c>
      <c r="AT302" s="5">
        <f t="shared" si="791"/>
        <v>0.45064668423007598</v>
      </c>
      <c r="AU302" s="5">
        <f t="shared" si="883"/>
        <v>5.1710355266720125</v>
      </c>
      <c r="AV302" s="5"/>
      <c r="AW302" s="150">
        <f t="shared" si="884"/>
        <v>8.016224811785698E-2</v>
      </c>
      <c r="AX302" s="150">
        <f t="shared" si="792"/>
        <v>5.4084626052337459</v>
      </c>
      <c r="AY302" s="150">
        <f t="shared" si="793"/>
        <v>1.0353225432195279</v>
      </c>
      <c r="AZ302" s="150">
        <f t="shared" si="794"/>
        <v>5.2239397670363923</v>
      </c>
      <c r="BA302" s="144">
        <f t="shared" si="724"/>
        <v>9.3013475625087683</v>
      </c>
      <c r="BB302" s="5">
        <f t="shared" si="725"/>
        <v>0.18547119880831381</v>
      </c>
      <c r="BD302" s="150">
        <f t="shared" si="841"/>
        <v>0.367975372049615</v>
      </c>
      <c r="BE302" s="150">
        <f t="shared" si="842"/>
        <v>1.2464917942489804</v>
      </c>
      <c r="BG302" s="456">
        <f t="shared" si="843"/>
        <v>2.7081174887010518E-3</v>
      </c>
      <c r="BH302" s="456">
        <f t="shared" si="795"/>
        <v>0.49085826746797812</v>
      </c>
      <c r="BI302" s="456">
        <f t="shared" si="796"/>
        <v>0.26657119531945872</v>
      </c>
      <c r="BJ302" s="456">
        <f t="shared" si="844"/>
        <v>7.6030368479917315E-2</v>
      </c>
      <c r="BK302">
        <f t="shared" si="845"/>
        <v>2.6974413839993529E-2</v>
      </c>
      <c r="BL302" s="144">
        <f t="shared" si="846"/>
        <v>293.54560915945228</v>
      </c>
      <c r="BM302" s="456">
        <f t="shared" si="797"/>
        <v>0.57069515822494232</v>
      </c>
      <c r="BN302" s="144">
        <f t="shared" si="847"/>
        <v>570.69515822494236</v>
      </c>
      <c r="BO302" s="456">
        <f t="shared" si="798"/>
        <v>0.72239999999999993</v>
      </c>
      <c r="BR302" s="144">
        <f t="shared" si="848"/>
        <v>722.4</v>
      </c>
      <c r="BS302" s="456">
        <f t="shared" si="849"/>
        <v>4.0621762330515778E-3</v>
      </c>
      <c r="BT302" s="456">
        <f t="shared" si="850"/>
        <v>4.661225379390127E-2</v>
      </c>
      <c r="BU302" s="456">
        <f t="shared" si="851"/>
        <v>0.1604317666464215</v>
      </c>
      <c r="BV302" s="456"/>
      <c r="BW302" s="456">
        <f t="shared" si="852"/>
        <v>9.0141043420562431E-4</v>
      </c>
      <c r="BX302" s="144">
        <f t="shared" si="853"/>
        <v>212.00760710757999</v>
      </c>
      <c r="BY302" s="150">
        <f t="shared" si="854"/>
        <v>1.7975499697036283</v>
      </c>
      <c r="BZ302" s="5">
        <f t="shared" si="855"/>
        <v>5.16</v>
      </c>
      <c r="CA302" s="150">
        <f t="shared" si="856"/>
        <v>0.741640379511324</v>
      </c>
      <c r="CB302" s="5">
        <f t="shared" si="857"/>
        <v>74.1640379511324</v>
      </c>
      <c r="CE302" s="59">
        <f t="shared" si="799"/>
        <v>-50</v>
      </c>
      <c r="CF302">
        <f t="shared" si="800"/>
        <v>-50</v>
      </c>
      <c r="CG302" s="150">
        <f t="shared" si="801"/>
        <v>0.9075218787863365</v>
      </c>
      <c r="CI302" s="147">
        <v>86</v>
      </c>
      <c r="CJ302" s="188">
        <f t="shared" si="858"/>
        <v>1.032</v>
      </c>
      <c r="CK302" s="188"/>
      <c r="CL302" s="188">
        <f t="shared" si="802"/>
        <v>5.16</v>
      </c>
      <c r="CM302" s="465">
        <f t="shared" si="803"/>
        <v>60</v>
      </c>
      <c r="CN302" s="379">
        <f t="shared" si="804"/>
        <v>5.4</v>
      </c>
      <c r="CO302" s="379">
        <f t="shared" si="805"/>
        <v>65.400000000000006</v>
      </c>
      <c r="CP302" s="379"/>
      <c r="CQ302" s="188">
        <f t="shared" si="806"/>
        <v>8.2568807339449546E-2</v>
      </c>
      <c r="CR302" s="149">
        <f t="shared" si="807"/>
        <v>12.756880733944957</v>
      </c>
      <c r="CS302" s="149">
        <f t="shared" si="808"/>
        <v>5.16</v>
      </c>
      <c r="CT302" s="188">
        <f t="shared" si="809"/>
        <v>2.5513761467889915</v>
      </c>
      <c r="CU302" s="188">
        <f t="shared" si="810"/>
        <v>5</v>
      </c>
      <c r="CV302" s="188"/>
      <c r="CW302" s="149">
        <f t="shared" si="811"/>
        <v>85.627816740682789</v>
      </c>
      <c r="CX302" s="149">
        <f t="shared" si="812"/>
        <v>5</v>
      </c>
      <c r="CY302" s="188">
        <f t="shared" si="813"/>
        <v>2.0831111111111111</v>
      </c>
      <c r="CZ302" s="188">
        <f t="shared" si="814"/>
        <v>0.41662222222222228</v>
      </c>
      <c r="DA302" s="188">
        <f t="shared" si="815"/>
        <v>4.6291358024691354</v>
      </c>
      <c r="DB302" s="172">
        <f t="shared" si="816"/>
        <v>350</v>
      </c>
      <c r="DC302" s="379">
        <f t="shared" si="817"/>
        <v>198.18627748427724</v>
      </c>
      <c r="DE302" s="188">
        <f t="shared" si="818"/>
        <v>1.179554390563565</v>
      </c>
      <c r="DF302" s="150">
        <f t="shared" si="819"/>
        <v>2.6212319790301444</v>
      </c>
      <c r="DG302" s="150">
        <f t="shared" si="820"/>
        <v>0.54107999567136011</v>
      </c>
      <c r="DH302" s="150"/>
      <c r="DI302" s="150">
        <f t="shared" si="821"/>
        <v>2.2222222222222219</v>
      </c>
      <c r="DJ302" s="314">
        <f t="shared" si="822"/>
        <v>928.80000000000007</v>
      </c>
      <c r="DK302" s="456">
        <f t="shared" si="823"/>
        <v>0.38888888888888884</v>
      </c>
      <c r="DM302" s="150">
        <f t="shared" si="824"/>
        <v>1.6290224939252023</v>
      </c>
      <c r="DN302" s="150">
        <f t="shared" si="825"/>
        <v>2.0831111111111111</v>
      </c>
      <c r="DO302" s="150">
        <f t="shared" si="826"/>
        <v>2.0023045267489712</v>
      </c>
      <c r="DQ302" s="314">
        <f t="shared" si="827"/>
        <v>1032</v>
      </c>
      <c r="DR302" s="144">
        <f t="shared" si="828"/>
        <v>198.18627748427724</v>
      </c>
      <c r="DT302">
        <f t="shared" si="829"/>
        <v>1032</v>
      </c>
      <c r="DU302">
        <f t="shared" si="830"/>
        <v>198.18627748427724</v>
      </c>
      <c r="DW302" s="5">
        <f t="shared" si="859"/>
        <v>5.0457580246913576</v>
      </c>
      <c r="DX302" s="5">
        <f t="shared" si="831"/>
        <v>0.41662222222222228</v>
      </c>
      <c r="DY302" s="5">
        <f t="shared" si="832"/>
        <v>4.6291358024691354</v>
      </c>
      <c r="DZ302" s="5"/>
      <c r="EA302" s="150">
        <f t="shared" si="833"/>
        <v>8.256880733944956E-2</v>
      </c>
      <c r="EB302" s="150">
        <f t="shared" si="860"/>
        <v>5.16</v>
      </c>
      <c r="EC302" s="150">
        <f t="shared" si="861"/>
        <v>0.95555555555555549</v>
      </c>
      <c r="ED302" s="150">
        <f t="shared" si="862"/>
        <v>5.4</v>
      </c>
      <c r="EE302" s="144">
        <f t="shared" si="834"/>
        <v>8.5990826666666695</v>
      </c>
      <c r="EF302" s="5">
        <f t="shared" si="835"/>
        <v>0.16587736625514402</v>
      </c>
      <c r="EH302" s="150">
        <f t="shared" si="863"/>
        <v>0.34558892300492461</v>
      </c>
      <c r="EI302" s="150">
        <f t="shared" si="864"/>
        <v>1.151963076683082</v>
      </c>
      <c r="EK302" s="456">
        <f t="shared" si="865"/>
        <v>2.3886340740740743E-3</v>
      </c>
      <c r="EL302" s="456">
        <f t="shared" si="866"/>
        <v>0.54</v>
      </c>
      <c r="EM302" s="456">
        <f t="shared" si="867"/>
        <v>2.4773284685534656E-2</v>
      </c>
      <c r="EN302" s="456">
        <f t="shared" si="868"/>
        <v>8.4767441860465143E-2</v>
      </c>
      <c r="EO302">
        <f t="shared" si="869"/>
        <v>2.7E-2</v>
      </c>
      <c r="EP302" s="144">
        <f t="shared" si="870"/>
        <v>51.773284685534662</v>
      </c>
      <c r="EQ302" s="144"/>
      <c r="ER302" s="144">
        <f t="shared" si="871"/>
        <v>678.92936062007391</v>
      </c>
      <c r="ES302" s="456">
        <f t="shared" si="872"/>
        <v>0.72239999999999993</v>
      </c>
      <c r="EV302" s="144">
        <f t="shared" si="873"/>
        <v>722.4</v>
      </c>
      <c r="EW302" s="456">
        <f t="shared" si="874"/>
        <v>3.5829511111111112E-3</v>
      </c>
      <c r="EX302" s="456">
        <f t="shared" si="875"/>
        <v>3.9810567901234564E-2</v>
      </c>
      <c r="EY302" s="456">
        <f t="shared" si="876"/>
        <v>0.17315500288201641</v>
      </c>
      <c r="EZ302" s="456"/>
      <c r="FA302" s="456">
        <f t="shared" si="877"/>
        <v>8.5999999999999998E-4</v>
      </c>
      <c r="FB302" s="144">
        <f t="shared" si="878"/>
        <v>217.40852189436208</v>
      </c>
      <c r="FC302" s="150">
        <f t="shared" si="879"/>
        <v>1.6187378825144361</v>
      </c>
      <c r="FD302" s="5">
        <f t="shared" si="880"/>
        <v>5.16</v>
      </c>
      <c r="FE302" s="150">
        <f t="shared" si="881"/>
        <v>0.76120364726154632</v>
      </c>
      <c r="FF302" s="5">
        <f t="shared" si="882"/>
        <v>76.120364726154634</v>
      </c>
      <c r="FI302" s="59">
        <f t="shared" si="836"/>
        <v>-50</v>
      </c>
      <c r="FJ302">
        <f t="shared" si="837"/>
        <v>-50</v>
      </c>
      <c r="FL302">
        <f t="shared" si="838"/>
        <v>0.9174311926605504</v>
      </c>
    </row>
    <row r="303" spans="5:168">
      <c r="E303" s="147">
        <v>87</v>
      </c>
      <c r="F303" s="188">
        <f t="shared" si="839"/>
        <v>1.044</v>
      </c>
      <c r="G303" s="188"/>
      <c r="H303" s="188">
        <f t="shared" si="764"/>
        <v>5.2200000000000006</v>
      </c>
      <c r="I303" s="465">
        <f t="shared" si="765"/>
        <v>59.942487943720522</v>
      </c>
      <c r="J303" s="149">
        <f t="shared" si="766"/>
        <v>5.4345072337676879</v>
      </c>
      <c r="K303" s="149">
        <f t="shared" si="767"/>
        <v>65.376995177488212</v>
      </c>
      <c r="L303" s="379"/>
      <c r="M303" s="188">
        <f t="shared" si="768"/>
        <v>8.312051371665416E-2</v>
      </c>
      <c r="N303" s="149">
        <f t="shared" si="769"/>
        <v>12.829809757691226</v>
      </c>
      <c r="O303" s="149">
        <f t="shared" si="762"/>
        <v>5.2200000000000006</v>
      </c>
      <c r="P303" s="188">
        <f t="shared" si="770"/>
        <v>2.5659619515382452</v>
      </c>
      <c r="Q303" s="188">
        <f t="shared" si="771"/>
        <v>5</v>
      </c>
      <c r="R303" s="188"/>
      <c r="S303" s="149">
        <f t="shared" si="772"/>
        <v>83.882436422228679</v>
      </c>
      <c r="T303" s="149">
        <f t="shared" si="773"/>
        <v>5</v>
      </c>
      <c r="U303" s="188">
        <f t="shared" si="774"/>
        <v>2.2772894706848521</v>
      </c>
      <c r="V303" s="188">
        <f t="shared" si="775"/>
        <v>0.45589488500837255</v>
      </c>
      <c r="W303" s="188">
        <f t="shared" si="776"/>
        <v>5.0285099407756917</v>
      </c>
      <c r="X303" s="172">
        <f t="shared" si="777"/>
        <v>350</v>
      </c>
      <c r="Y303" s="379">
        <f t="shared" si="840"/>
        <v>175.91991257625946</v>
      </c>
      <c r="AA303" s="188">
        <f t="shared" si="778"/>
        <v>1.1863714571587396</v>
      </c>
      <c r="AB303" s="150">
        <f t="shared" si="779"/>
        <v>2.6196409119571427</v>
      </c>
      <c r="AC303" s="150">
        <f t="shared" si="780"/>
        <v>0.54387676104146787</v>
      </c>
      <c r="AD303" s="150"/>
      <c r="AE303" s="150">
        <f t="shared" si="781"/>
        <v>2.2081118827917217</v>
      </c>
      <c r="AF303" s="314">
        <f t="shared" si="782"/>
        <v>945.60425867557785</v>
      </c>
      <c r="AG303" s="456">
        <f t="shared" si="783"/>
        <v>0.38641957948855127</v>
      </c>
      <c r="AI303" s="150">
        <f t="shared" si="784"/>
        <v>1.6436929315899589</v>
      </c>
      <c r="AJ303" s="150">
        <f t="shared" si="785"/>
        <v>2.2772894706848521</v>
      </c>
      <c r="AK303" s="150">
        <f t="shared" si="786"/>
        <v>2.1461403486554458</v>
      </c>
      <c r="AM303" s="314">
        <f t="shared" si="787"/>
        <v>1044</v>
      </c>
      <c r="AN303" s="144">
        <f t="shared" si="788"/>
        <v>175.91991257625946</v>
      </c>
      <c r="AP303">
        <f t="shared" si="789"/>
        <v>1044</v>
      </c>
      <c r="AQ303">
        <f t="shared" si="790"/>
        <v>175.91991257625946</v>
      </c>
      <c r="AS303" s="5">
        <f t="shared" si="763"/>
        <v>5.684404825784064</v>
      </c>
      <c r="AT303" s="5">
        <f t="shared" si="791"/>
        <v>0.45589488500837255</v>
      </c>
      <c r="AU303" s="5">
        <f t="shared" si="883"/>
        <v>5.2285099407756919</v>
      </c>
      <c r="AV303" s="5"/>
      <c r="AW303" s="150">
        <f t="shared" si="884"/>
        <v>8.0200988314636762E-2</v>
      </c>
      <c r="AX303" s="150">
        <f t="shared" si="792"/>
        <v>5.4739739609345328</v>
      </c>
      <c r="AY303" s="150">
        <f t="shared" si="793"/>
        <v>1.0473243022287055</v>
      </c>
      <c r="AZ303" s="150">
        <f t="shared" si="794"/>
        <v>5.2266274632278842</v>
      </c>
      <c r="BA303" s="144">
        <f t="shared" si="724"/>
        <v>9.5190851989748193</v>
      </c>
      <c r="BB303" s="5">
        <f t="shared" si="725"/>
        <v>0.18971533400255608</v>
      </c>
      <c r="BD303" s="150">
        <f t="shared" si="841"/>
        <v>0.37234666713360565</v>
      </c>
      <c r="BE303" s="150">
        <f t="shared" si="842"/>
        <v>1.2609680423806124</v>
      </c>
      <c r="BG303" s="456">
        <f t="shared" si="843"/>
        <v>2.7728408105100826E-3</v>
      </c>
      <c r="BH303" s="456">
        <f t="shared" si="795"/>
        <v>0.49108816348961121</v>
      </c>
      <c r="BI303" s="456">
        <f t="shared" si="796"/>
        <v>0.26362693096657003</v>
      </c>
      <c r="BJ303" s="456">
        <f t="shared" si="844"/>
        <v>7.5190835794278127E-2</v>
      </c>
      <c r="BK303">
        <f t="shared" si="845"/>
        <v>2.6974119574674233E-2</v>
      </c>
      <c r="BL303" s="144">
        <f t="shared" si="846"/>
        <v>290.60105054124426</v>
      </c>
      <c r="BM303" s="456">
        <f t="shared" si="797"/>
        <v>0.57017615454525261</v>
      </c>
      <c r="BN303" s="144">
        <f t="shared" si="847"/>
        <v>570.17615454525264</v>
      </c>
      <c r="BO303" s="456">
        <f t="shared" si="798"/>
        <v>0.73080000000000001</v>
      </c>
      <c r="BR303" s="144">
        <f t="shared" si="848"/>
        <v>730.8</v>
      </c>
      <c r="BS303" s="456">
        <f t="shared" si="849"/>
        <v>4.1592612157651237E-3</v>
      </c>
      <c r="BT303" s="456">
        <f t="shared" si="850"/>
        <v>4.770121211715582E-2</v>
      </c>
      <c r="BU303" s="456">
        <f t="shared" si="851"/>
        <v>0.16062128684365987</v>
      </c>
      <c r="BV303" s="456"/>
      <c r="BW303" s="456">
        <f t="shared" si="852"/>
        <v>9.1232899348908875E-4</v>
      </c>
      <c r="BX303" s="144">
        <f t="shared" si="853"/>
        <v>213.39408917006992</v>
      </c>
      <c r="BY303" s="150">
        <f t="shared" si="854"/>
        <v>1.8038469798057135</v>
      </c>
      <c r="BZ303" s="5">
        <f t="shared" si="855"/>
        <v>5.2200000000000006</v>
      </c>
      <c r="CA303" s="150">
        <f t="shared" si="856"/>
        <v>0.74318247749531552</v>
      </c>
      <c r="CB303" s="5">
        <f t="shared" si="857"/>
        <v>74.318247749531551</v>
      </c>
      <c r="CE303" s="59">
        <f t="shared" si="799"/>
        <v>-50</v>
      </c>
      <c r="CF303">
        <f t="shared" si="800"/>
        <v>-50</v>
      </c>
      <c r="CG303" s="150">
        <f t="shared" si="801"/>
        <v>0.90763577894581027</v>
      </c>
      <c r="CI303" s="147">
        <v>87</v>
      </c>
      <c r="CJ303" s="188">
        <f t="shared" si="858"/>
        <v>1.044</v>
      </c>
      <c r="CK303" s="188"/>
      <c r="CL303" s="188">
        <f t="shared" si="802"/>
        <v>5.2200000000000006</v>
      </c>
      <c r="CM303" s="465">
        <f t="shared" si="803"/>
        <v>60</v>
      </c>
      <c r="CN303" s="379">
        <f t="shared" si="804"/>
        <v>5.4</v>
      </c>
      <c r="CO303" s="379">
        <f t="shared" si="805"/>
        <v>65.400000000000006</v>
      </c>
      <c r="CP303" s="379"/>
      <c r="CQ303" s="188">
        <f t="shared" si="806"/>
        <v>8.2568807339449546E-2</v>
      </c>
      <c r="CR303" s="149">
        <f t="shared" si="807"/>
        <v>12.756880733944957</v>
      </c>
      <c r="CS303" s="149">
        <f t="shared" si="808"/>
        <v>5.2200000000000006</v>
      </c>
      <c r="CT303" s="188">
        <f t="shared" si="809"/>
        <v>2.5513761467889915</v>
      </c>
      <c r="CU303" s="188">
        <f t="shared" si="810"/>
        <v>5</v>
      </c>
      <c r="CV303" s="188"/>
      <c r="CW303" s="149">
        <f t="shared" si="811"/>
        <v>83.962647014386292</v>
      </c>
      <c r="CX303" s="149">
        <f t="shared" si="812"/>
        <v>5</v>
      </c>
      <c r="CY303" s="188">
        <f t="shared" si="813"/>
        <v>2.1073333333333335</v>
      </c>
      <c r="CZ303" s="188">
        <f t="shared" si="814"/>
        <v>0.42146666666666671</v>
      </c>
      <c r="DA303" s="188">
        <f t="shared" si="815"/>
        <v>4.6829629629629625</v>
      </c>
      <c r="DB303" s="172">
        <f t="shared" si="816"/>
        <v>350</v>
      </c>
      <c r="DC303" s="379">
        <f t="shared" si="817"/>
        <v>195.90827429480279</v>
      </c>
      <c r="DE303" s="188">
        <f t="shared" si="818"/>
        <v>1.179554390563565</v>
      </c>
      <c r="DF303" s="150">
        <f t="shared" si="819"/>
        <v>2.6212319790301444</v>
      </c>
      <c r="DG303" s="150">
        <f t="shared" si="820"/>
        <v>0.54107999567136011</v>
      </c>
      <c r="DH303" s="150"/>
      <c r="DI303" s="150">
        <f t="shared" si="821"/>
        <v>2.2222222222222219</v>
      </c>
      <c r="DJ303" s="314">
        <f t="shared" si="822"/>
        <v>939.60000000000014</v>
      </c>
      <c r="DK303" s="456">
        <f t="shared" si="823"/>
        <v>0.38888888888888884</v>
      </c>
      <c r="DM303" s="150">
        <f t="shared" si="824"/>
        <v>1.6384661816990391</v>
      </c>
      <c r="DN303" s="150">
        <f t="shared" si="825"/>
        <v>2.1073333333333335</v>
      </c>
      <c r="DO303" s="150">
        <f t="shared" si="826"/>
        <v>2.0202469135802472</v>
      </c>
      <c r="DQ303" s="314">
        <f t="shared" si="827"/>
        <v>1044</v>
      </c>
      <c r="DR303" s="144">
        <f t="shared" si="828"/>
        <v>195.90827429480279</v>
      </c>
      <c r="DT303">
        <f t="shared" si="829"/>
        <v>1044</v>
      </c>
      <c r="DU303">
        <f t="shared" si="830"/>
        <v>195.90827429480279</v>
      </c>
      <c r="DW303" s="5">
        <f t="shared" si="859"/>
        <v>5.104429629629629</v>
      </c>
      <c r="DX303" s="5">
        <f t="shared" si="831"/>
        <v>0.42146666666666671</v>
      </c>
      <c r="DY303" s="5">
        <f t="shared" si="832"/>
        <v>4.6829629629629625</v>
      </c>
      <c r="DZ303" s="5"/>
      <c r="EA303" s="150">
        <f t="shared" si="833"/>
        <v>8.256880733944956E-2</v>
      </c>
      <c r="EB303" s="150">
        <f t="shared" si="860"/>
        <v>5.2200000000000015</v>
      </c>
      <c r="EC303" s="150">
        <f t="shared" si="861"/>
        <v>0.96666666666666667</v>
      </c>
      <c r="ED303" s="150">
        <f t="shared" si="862"/>
        <v>5.4000000000000012</v>
      </c>
      <c r="EE303" s="144">
        <f t="shared" si="834"/>
        <v>8.800224</v>
      </c>
      <c r="EF303" s="5">
        <f t="shared" si="835"/>
        <v>0.16975740740740738</v>
      </c>
      <c r="EH303" s="150">
        <f t="shared" si="863"/>
        <v>0.34960739885381908</v>
      </c>
      <c r="EI303" s="150">
        <f t="shared" si="864"/>
        <v>1.1653579961793969</v>
      </c>
      <c r="EK303" s="456">
        <f t="shared" si="865"/>
        <v>2.4445066666666667E-3</v>
      </c>
      <c r="EL303" s="456">
        <f t="shared" si="866"/>
        <v>0.54000000000000026</v>
      </c>
      <c r="EM303" s="456">
        <f t="shared" si="867"/>
        <v>2.4488534286850348E-2</v>
      </c>
      <c r="EN303" s="456">
        <f t="shared" si="868"/>
        <v>8.3793103448275882E-2</v>
      </c>
      <c r="EO303">
        <f t="shared" si="869"/>
        <v>2.7E-2</v>
      </c>
      <c r="EP303" s="144">
        <f t="shared" si="870"/>
        <v>51.488534286850353</v>
      </c>
      <c r="EQ303" s="144"/>
      <c r="ER303" s="144">
        <f t="shared" si="871"/>
        <v>677.72614440179314</v>
      </c>
      <c r="ES303" s="456">
        <f t="shared" si="872"/>
        <v>0.73080000000000001</v>
      </c>
      <c r="EV303" s="144">
        <f t="shared" si="873"/>
        <v>730.8</v>
      </c>
      <c r="EW303" s="456">
        <f t="shared" si="874"/>
        <v>3.6667599999999998E-3</v>
      </c>
      <c r="EX303" s="456">
        <f t="shared" si="875"/>
        <v>4.074177777777778E-2</v>
      </c>
      <c r="EY303" s="456">
        <f t="shared" si="876"/>
        <v>0.17315500288201663</v>
      </c>
      <c r="EZ303" s="456"/>
      <c r="FA303" s="456">
        <f t="shared" si="877"/>
        <v>8.7000000000000033E-4</v>
      </c>
      <c r="FB303" s="144">
        <f t="shared" si="878"/>
        <v>218.43354065979443</v>
      </c>
      <c r="FC303" s="150">
        <f t="shared" si="879"/>
        <v>1.6269596850615875</v>
      </c>
      <c r="FD303" s="5">
        <f t="shared" si="880"/>
        <v>5.2200000000000006</v>
      </c>
      <c r="FE303" s="150">
        <f t="shared" si="881"/>
        <v>0.76238217254130758</v>
      </c>
      <c r="FF303" s="5">
        <f t="shared" si="882"/>
        <v>76.23821725413076</v>
      </c>
      <c r="FI303" s="59">
        <f t="shared" si="836"/>
        <v>-50</v>
      </c>
      <c r="FJ303">
        <f t="shared" si="837"/>
        <v>-50</v>
      </c>
      <c r="FL303">
        <f t="shared" si="838"/>
        <v>0.9174311926605504</v>
      </c>
    </row>
    <row r="304" spans="5:168">
      <c r="E304" s="147">
        <v>88</v>
      </c>
      <c r="F304" s="188">
        <f t="shared" si="839"/>
        <v>1.056</v>
      </c>
      <c r="G304" s="188"/>
      <c r="H304" s="188">
        <f t="shared" si="764"/>
        <v>5.28</v>
      </c>
      <c r="I304" s="465">
        <f t="shared" si="765"/>
        <v>59.941834019018515</v>
      </c>
      <c r="J304" s="149">
        <f t="shared" si="766"/>
        <v>5.4348995885888893</v>
      </c>
      <c r="K304" s="149">
        <f t="shared" si="767"/>
        <v>65.376733607607406</v>
      </c>
      <c r="L304" s="379"/>
      <c r="M304" s="188">
        <f t="shared" si="768"/>
        <v>8.3126848392284916E-2</v>
      </c>
      <c r="N304" s="149">
        <f t="shared" si="769"/>
        <v>12.830647553300231</v>
      </c>
      <c r="O304" s="149">
        <f t="shared" si="762"/>
        <v>5.28</v>
      </c>
      <c r="P304" s="188">
        <f t="shared" si="770"/>
        <v>2.5661295106600464</v>
      </c>
      <c r="Q304" s="188">
        <f t="shared" si="771"/>
        <v>5</v>
      </c>
      <c r="R304" s="188"/>
      <c r="S304" s="149">
        <f t="shared" si="772"/>
        <v>82.255995550433624</v>
      </c>
      <c r="T304" s="149">
        <f t="shared" si="773"/>
        <v>5</v>
      </c>
      <c r="U304" s="188">
        <f t="shared" si="774"/>
        <v>2.3034811263659085</v>
      </c>
      <c r="V304" s="188">
        <f t="shared" si="775"/>
        <v>0.46114327278709294</v>
      </c>
      <c r="W304" s="188">
        <f t="shared" si="776"/>
        <v>5.0859768549224986</v>
      </c>
      <c r="X304" s="172">
        <f t="shared" si="777"/>
        <v>350</v>
      </c>
      <c r="Y304" s="379">
        <f t="shared" si="840"/>
        <v>174.00019101367408</v>
      </c>
      <c r="AA304" s="188">
        <f t="shared" si="778"/>
        <v>1.1864489131727514</v>
      </c>
      <c r="AB304" s="150">
        <f t="shared" si="779"/>
        <v>2.6196228147371521</v>
      </c>
      <c r="AC304" s="150">
        <f t="shared" si="780"/>
        <v>0.54390851225680159</v>
      </c>
      <c r="AD304" s="150"/>
      <c r="AE304" s="150">
        <f t="shared" si="781"/>
        <v>2.2079524753677493</v>
      </c>
      <c r="AF304" s="314">
        <f t="shared" si="782"/>
        <v>956.54232759164449</v>
      </c>
      <c r="AG304" s="456">
        <f t="shared" si="783"/>
        <v>0.38639168318935613</v>
      </c>
      <c r="AI304" s="150">
        <f t="shared" si="784"/>
        <v>1.6531721261965646</v>
      </c>
      <c r="AJ304" s="150">
        <f t="shared" si="785"/>
        <v>2.3034811263659085</v>
      </c>
      <c r="AK304" s="150">
        <f t="shared" si="786"/>
        <v>2.1655415750858582</v>
      </c>
      <c r="AM304" s="314">
        <f t="shared" si="787"/>
        <v>1056</v>
      </c>
      <c r="AN304" s="144">
        <f t="shared" si="788"/>
        <v>174.00019101367408</v>
      </c>
      <c r="AP304">
        <f t="shared" si="789"/>
        <v>1056</v>
      </c>
      <c r="AQ304">
        <f t="shared" si="790"/>
        <v>174.00019101367408</v>
      </c>
      <c r="AS304" s="5">
        <f t="shared" si="763"/>
        <v>5.747120127709592</v>
      </c>
      <c r="AT304" s="5">
        <f t="shared" si="791"/>
        <v>0.46114327278709294</v>
      </c>
      <c r="AU304" s="5">
        <f t="shared" si="883"/>
        <v>5.2859768549224988</v>
      </c>
      <c r="AV304" s="5"/>
      <c r="AW304" s="150">
        <f t="shared" si="884"/>
        <v>8.023901754962498E-2</v>
      </c>
      <c r="AX304" s="150">
        <f t="shared" si="792"/>
        <v>5.5394964938433322</v>
      </c>
      <c r="AY304" s="150">
        <f t="shared" si="793"/>
        <v>1.0593260319211022</v>
      </c>
      <c r="AZ304" s="150">
        <f t="shared" si="794"/>
        <v>5.2292649542439547</v>
      </c>
      <c r="BA304" s="144">
        <f t="shared" si="724"/>
        <v>9.7393459212634035</v>
      </c>
      <c r="BB304" s="5">
        <f t="shared" si="725"/>
        <v>0.19400722835974232</v>
      </c>
      <c r="BD304" s="150">
        <f t="shared" si="841"/>
        <v>0.37671839930610268</v>
      </c>
      <c r="BE304" s="150">
        <f t="shared" si="842"/>
        <v>1.2754443725484721</v>
      </c>
      <c r="BG304" s="456">
        <f t="shared" si="843"/>
        <v>2.8383350475150444E-3</v>
      </c>
      <c r="BH304" s="456">
        <f t="shared" si="795"/>
        <v>0.4913136991511084</v>
      </c>
      <c r="BI304" s="456">
        <f t="shared" si="796"/>
        <v>0.26074726422547928</v>
      </c>
      <c r="BJ304" s="456">
        <f t="shared" si="844"/>
        <v>7.4369722612765962E-2</v>
      </c>
      <c r="BK304">
        <f t="shared" si="845"/>
        <v>2.6973825308558332E-2</v>
      </c>
      <c r="BL304" s="144">
        <f t="shared" si="846"/>
        <v>287.72108953403762</v>
      </c>
      <c r="BM304" s="456">
        <f t="shared" si="797"/>
        <v>0.56967228766097111</v>
      </c>
      <c r="BN304" s="144">
        <f t="shared" si="847"/>
        <v>569.67228766097116</v>
      </c>
      <c r="BO304" s="456">
        <f t="shared" si="798"/>
        <v>0.73919999999999997</v>
      </c>
      <c r="BR304" s="144">
        <f t="shared" si="848"/>
        <v>739.19999999999993</v>
      </c>
      <c r="BS304" s="456">
        <f t="shared" si="849"/>
        <v>4.2575025712725664E-3</v>
      </c>
      <c r="BT304" s="456">
        <f t="shared" si="850"/>
        <v>4.8802750423966965E-2</v>
      </c>
      <c r="BU304" s="456">
        <f t="shared" si="851"/>
        <v>0.16080737493227079</v>
      </c>
      <c r="BV304" s="456"/>
      <c r="BW304" s="456">
        <f t="shared" si="852"/>
        <v>9.232494156405554E-4</v>
      </c>
      <c r="BX304" s="144">
        <f t="shared" si="853"/>
        <v>214.7908773431509</v>
      </c>
      <c r="BY304" s="150">
        <f t="shared" si="854"/>
        <v>1.8102337236885777</v>
      </c>
      <c r="BZ304" s="5">
        <f t="shared" si="855"/>
        <v>5.28</v>
      </c>
      <c r="CA304" s="150">
        <f t="shared" si="856"/>
        <v>0.74468631158934018</v>
      </c>
      <c r="CB304" s="5">
        <f t="shared" si="857"/>
        <v>74.468631158934016</v>
      </c>
      <c r="CE304" s="59">
        <f t="shared" si="799"/>
        <v>-50</v>
      </c>
      <c r="CF304">
        <f t="shared" si="800"/>
        <v>-50</v>
      </c>
      <c r="CG304" s="150">
        <f t="shared" si="801"/>
        <v>0.907747090465296</v>
      </c>
      <c r="CI304" s="147">
        <v>88</v>
      </c>
      <c r="CJ304" s="188">
        <f t="shared" si="858"/>
        <v>1.056</v>
      </c>
      <c r="CK304" s="188"/>
      <c r="CL304" s="188">
        <f t="shared" si="802"/>
        <v>5.28</v>
      </c>
      <c r="CM304" s="465">
        <f t="shared" si="803"/>
        <v>60</v>
      </c>
      <c r="CN304" s="379">
        <f t="shared" si="804"/>
        <v>5.4</v>
      </c>
      <c r="CO304" s="379">
        <f t="shared" si="805"/>
        <v>65.400000000000006</v>
      </c>
      <c r="CP304" s="379"/>
      <c r="CQ304" s="188">
        <f t="shared" si="806"/>
        <v>8.2568807339449546E-2</v>
      </c>
      <c r="CR304" s="149">
        <f t="shared" si="807"/>
        <v>12.756880733944957</v>
      </c>
      <c r="CS304" s="149">
        <f t="shared" si="808"/>
        <v>5.28</v>
      </c>
      <c r="CT304" s="188">
        <f t="shared" si="809"/>
        <v>2.5513761467889915</v>
      </c>
      <c r="CU304" s="188">
        <f t="shared" si="810"/>
        <v>5</v>
      </c>
      <c r="CV304" s="188"/>
      <c r="CW304" s="149">
        <f t="shared" si="811"/>
        <v>82.335535462509526</v>
      </c>
      <c r="CX304" s="149">
        <f t="shared" si="812"/>
        <v>5</v>
      </c>
      <c r="CY304" s="188">
        <f t="shared" si="813"/>
        <v>2.1315555555555554</v>
      </c>
      <c r="CZ304" s="188">
        <f t="shared" si="814"/>
        <v>0.42631111111111109</v>
      </c>
      <c r="DA304" s="188">
        <f t="shared" si="815"/>
        <v>4.7367901234567897</v>
      </c>
      <c r="DB304" s="172">
        <f t="shared" si="816"/>
        <v>350</v>
      </c>
      <c r="DC304" s="379">
        <f t="shared" si="817"/>
        <v>193.68204390508913</v>
      </c>
      <c r="DE304" s="188">
        <f t="shared" si="818"/>
        <v>1.179554390563565</v>
      </c>
      <c r="DF304" s="150">
        <f t="shared" si="819"/>
        <v>2.6212319790301444</v>
      </c>
      <c r="DG304" s="150">
        <f t="shared" si="820"/>
        <v>0.54107999567136011</v>
      </c>
      <c r="DH304" s="150"/>
      <c r="DI304" s="150">
        <f t="shared" si="821"/>
        <v>2.2222222222222219</v>
      </c>
      <c r="DJ304" s="314">
        <f t="shared" si="822"/>
        <v>950.40000000000009</v>
      </c>
      <c r="DK304" s="456">
        <f t="shared" si="823"/>
        <v>0.38888888888888884</v>
      </c>
      <c r="DM304" s="150">
        <f t="shared" si="824"/>
        <v>1.6478557495814286</v>
      </c>
      <c r="DN304" s="150">
        <f t="shared" si="825"/>
        <v>2.1315555555555554</v>
      </c>
      <c r="DO304" s="150">
        <f t="shared" si="826"/>
        <v>2.0381893004115224</v>
      </c>
      <c r="DQ304" s="314">
        <f t="shared" si="827"/>
        <v>1056</v>
      </c>
      <c r="DR304" s="144">
        <f t="shared" si="828"/>
        <v>193.68204390508913</v>
      </c>
      <c r="DT304">
        <f t="shared" si="829"/>
        <v>1056</v>
      </c>
      <c r="DU304">
        <f t="shared" si="830"/>
        <v>193.68204390508913</v>
      </c>
      <c r="DW304" s="5">
        <f t="shared" si="859"/>
        <v>5.1631012345679004</v>
      </c>
      <c r="DX304" s="5">
        <f t="shared" si="831"/>
        <v>0.42631111111111109</v>
      </c>
      <c r="DY304" s="5">
        <f t="shared" si="832"/>
        <v>4.7367901234567888</v>
      </c>
      <c r="DZ304" s="5"/>
      <c r="EA304" s="150">
        <f t="shared" si="833"/>
        <v>8.2568807339449546E-2</v>
      </c>
      <c r="EB304" s="150">
        <f t="shared" si="860"/>
        <v>5.2800000000000011</v>
      </c>
      <c r="EC304" s="150">
        <f t="shared" si="861"/>
        <v>0.97777777777777775</v>
      </c>
      <c r="ED304" s="150">
        <f t="shared" si="862"/>
        <v>5.4000000000000012</v>
      </c>
      <c r="EE304" s="144">
        <f t="shared" si="834"/>
        <v>9.0036906666666656</v>
      </c>
      <c r="EF304" s="5">
        <f t="shared" si="835"/>
        <v>0.1736823045267489</v>
      </c>
      <c r="EH304" s="150">
        <f t="shared" si="863"/>
        <v>0.35362587470271351</v>
      </c>
      <c r="EI304" s="150">
        <f t="shared" si="864"/>
        <v>1.1787529156757119</v>
      </c>
      <c r="EK304" s="456">
        <f t="shared" si="865"/>
        <v>2.5010251851851845E-3</v>
      </c>
      <c r="EL304" s="456">
        <f t="shared" si="866"/>
        <v>0.54000000000000015</v>
      </c>
      <c r="EM304" s="456">
        <f t="shared" si="867"/>
        <v>2.4210255488136139E-2</v>
      </c>
      <c r="EN304" s="456">
        <f t="shared" si="868"/>
        <v>8.2840909090909118E-2</v>
      </c>
      <c r="EO304">
        <f t="shared" si="869"/>
        <v>2.7E-2</v>
      </c>
      <c r="EP304" s="144">
        <f t="shared" si="870"/>
        <v>51.210255488136141</v>
      </c>
      <c r="EQ304" s="144"/>
      <c r="ER304" s="144">
        <f t="shared" si="871"/>
        <v>676.55218976423055</v>
      </c>
      <c r="ES304" s="456">
        <f t="shared" si="872"/>
        <v>0.73919999999999997</v>
      </c>
      <c r="EV304" s="144">
        <f t="shared" si="873"/>
        <v>739.19999999999993</v>
      </c>
      <c r="EW304" s="456">
        <f t="shared" si="874"/>
        <v>3.7515377777777767E-3</v>
      </c>
      <c r="EX304" s="456">
        <f t="shared" si="875"/>
        <v>4.1683753086419764E-2</v>
      </c>
      <c r="EY304" s="456">
        <f t="shared" si="876"/>
        <v>0.17315500288201652</v>
      </c>
      <c r="EZ304" s="456"/>
      <c r="FA304" s="456">
        <f t="shared" si="877"/>
        <v>8.8000000000000003E-4</v>
      </c>
      <c r="FB304" s="144">
        <f t="shared" si="878"/>
        <v>219.47029374621405</v>
      </c>
      <c r="FC304" s="150">
        <f t="shared" si="879"/>
        <v>1.6352224835104445</v>
      </c>
      <c r="FD304" s="5">
        <f t="shared" si="880"/>
        <v>5.28</v>
      </c>
      <c r="FE304" s="150">
        <f t="shared" si="881"/>
        <v>0.76353291778974841</v>
      </c>
      <c r="FF304" s="5">
        <f t="shared" si="882"/>
        <v>76.353291778974835</v>
      </c>
      <c r="FI304" s="59">
        <f t="shared" si="836"/>
        <v>-50</v>
      </c>
      <c r="FJ304">
        <f t="shared" si="837"/>
        <v>-50</v>
      </c>
      <c r="FL304">
        <f t="shared" si="838"/>
        <v>0.91743119266055051</v>
      </c>
    </row>
    <row r="305" spans="5:168">
      <c r="E305" s="147">
        <v>89</v>
      </c>
      <c r="F305" s="188">
        <f t="shared" si="839"/>
        <v>1.0680000000000001</v>
      </c>
      <c r="G305" s="188"/>
      <c r="H305" s="188">
        <f t="shared" si="764"/>
        <v>5.34</v>
      </c>
      <c r="I305" s="465">
        <f t="shared" si="765"/>
        <v>59.941180092606579</v>
      </c>
      <c r="J305" s="149">
        <f t="shared" si="766"/>
        <v>5.4352919444360532</v>
      </c>
      <c r="K305" s="149">
        <f t="shared" si="767"/>
        <v>65.376472037042632</v>
      </c>
      <c r="L305" s="379"/>
      <c r="M305" s="188">
        <f t="shared" si="768"/>
        <v>8.3133183120771378E-2</v>
      </c>
      <c r="N305" s="149">
        <f t="shared" si="769"/>
        <v>12.831485335368033</v>
      </c>
      <c r="O305" s="149">
        <f t="shared" si="762"/>
        <v>5.34</v>
      </c>
      <c r="P305" s="188">
        <f t="shared" si="770"/>
        <v>2.5662970670736067</v>
      </c>
      <c r="Q305" s="188">
        <f t="shared" si="771"/>
        <v>5</v>
      </c>
      <c r="R305" s="188"/>
      <c r="S305" s="149">
        <f t="shared" si="772"/>
        <v>80.666334673515195</v>
      </c>
      <c r="T305" s="149">
        <f t="shared" si="773"/>
        <v>5</v>
      </c>
      <c r="U305" s="188">
        <f t="shared" si="774"/>
        <v>2.3296731441000089</v>
      </c>
      <c r="V305" s="188">
        <f t="shared" si="775"/>
        <v>0.46639184757472502</v>
      </c>
      <c r="W305" s="188">
        <f t="shared" si="776"/>
        <v>5.1434362707633232</v>
      </c>
      <c r="X305" s="172">
        <f t="shared" si="777"/>
        <v>350</v>
      </c>
      <c r="Y305" s="379">
        <f t="shared" si="840"/>
        <v>172.1221316072357</v>
      </c>
      <c r="AA305" s="188">
        <f t="shared" si="778"/>
        <v>1.1865263681402831</v>
      </c>
      <c r="AB305" s="150">
        <f t="shared" si="779"/>
        <v>2.6196047173250259</v>
      </c>
      <c r="AC305" s="150">
        <f t="shared" si="780"/>
        <v>0.54394026246189275</v>
      </c>
      <c r="AD305" s="150"/>
      <c r="AE305" s="150">
        <f t="shared" si="781"/>
        <v>2.2077930905411702</v>
      </c>
      <c r="AF305" s="314">
        <f t="shared" si="782"/>
        <v>967.48196610961747</v>
      </c>
      <c r="AG305" s="456">
        <f t="shared" si="783"/>
        <v>0.38636379084470479</v>
      </c>
      <c r="AI305" s="150">
        <f t="shared" si="784"/>
        <v>1.6625986253105773</v>
      </c>
      <c r="AJ305" s="150">
        <f t="shared" si="785"/>
        <v>2.3296731441000089</v>
      </c>
      <c r="AK305" s="150">
        <f t="shared" si="786"/>
        <v>2.18494306970371</v>
      </c>
      <c r="AM305" s="314">
        <f t="shared" si="787"/>
        <v>1068</v>
      </c>
      <c r="AN305" s="144">
        <f t="shared" si="788"/>
        <v>172.1221316072357</v>
      </c>
      <c r="AP305">
        <f t="shared" si="789"/>
        <v>1068</v>
      </c>
      <c r="AQ305">
        <f t="shared" si="790"/>
        <v>172.1221316072357</v>
      </c>
      <c r="AS305" s="5">
        <f t="shared" si="763"/>
        <v>5.8098281183380482</v>
      </c>
      <c r="AT305" s="5">
        <f t="shared" si="791"/>
        <v>0.46639184757472502</v>
      </c>
      <c r="AU305" s="5">
        <f t="shared" si="883"/>
        <v>5.3434362707633234</v>
      </c>
      <c r="AV305" s="5"/>
      <c r="AW305" s="150">
        <f t="shared" si="884"/>
        <v>8.0276358968798631E-2</v>
      </c>
      <c r="AX305" s="150">
        <f t="shared" si="792"/>
        <v>5.6050301466337045</v>
      </c>
      <c r="AY305" s="150">
        <f t="shared" si="793"/>
        <v>1.0713277332521334</v>
      </c>
      <c r="AZ305" s="150">
        <f t="shared" si="794"/>
        <v>5.2318538694214682</v>
      </c>
      <c r="BA305" s="144">
        <f t="shared" si="724"/>
        <v>9.9621298641961271</v>
      </c>
      <c r="BB305" s="5">
        <f t="shared" si="725"/>
        <v>0.19834687412026536</v>
      </c>
      <c r="BD305" s="150">
        <f t="shared" si="841"/>
        <v>0.38109056708642292</v>
      </c>
      <c r="BE305" s="150">
        <f t="shared" si="842"/>
        <v>1.2899207853422714</v>
      </c>
      <c r="BG305" s="456">
        <f t="shared" si="843"/>
        <v>2.904600406445028E-3</v>
      </c>
      <c r="BH305" s="456">
        <f t="shared" si="795"/>
        <v>0.49153501637155095</v>
      </c>
      <c r="BI305" s="456">
        <f t="shared" si="796"/>
        <v>0.25793009221481616</v>
      </c>
      <c r="BJ305" s="456">
        <f t="shared" si="844"/>
        <v>7.356642931517321E-2</v>
      </c>
      <c r="BK305">
        <f t="shared" si="845"/>
        <v>2.6973531041672959E-2</v>
      </c>
      <c r="BL305" s="144">
        <f t="shared" si="846"/>
        <v>284.90362325648908</v>
      </c>
      <c r="BM305" s="456">
        <f t="shared" si="797"/>
        <v>0.56918310027565133</v>
      </c>
      <c r="BN305" s="144">
        <f t="shared" si="847"/>
        <v>569.18310027565133</v>
      </c>
      <c r="BO305" s="456">
        <f t="shared" si="798"/>
        <v>0.74760000000000004</v>
      </c>
      <c r="BR305" s="144">
        <f t="shared" si="848"/>
        <v>747.6</v>
      </c>
      <c r="BS305" s="456">
        <f t="shared" si="849"/>
        <v>4.3569006096675416E-3</v>
      </c>
      <c r="BT305" s="456">
        <f t="shared" si="850"/>
        <v>4.9916868973740668E-2</v>
      </c>
      <c r="BU305" s="456">
        <f t="shared" si="851"/>
        <v>0.16099013967406037</v>
      </c>
      <c r="BV305" s="456"/>
      <c r="BW305" s="456">
        <f t="shared" si="852"/>
        <v>9.3417169110561742E-4</v>
      </c>
      <c r="BX305" s="144">
        <f t="shared" si="853"/>
        <v>216.19808094857422</v>
      </c>
      <c r="BY305" s="150">
        <f t="shared" si="854"/>
        <v>1.8167077502982323</v>
      </c>
      <c r="BZ305" s="5">
        <f t="shared" si="855"/>
        <v>5.34</v>
      </c>
      <c r="CA305" s="150">
        <f t="shared" si="856"/>
        <v>0.74615314559651713</v>
      </c>
      <c r="CB305" s="5">
        <f t="shared" si="857"/>
        <v>74.615314559651708</v>
      </c>
      <c r="CE305" s="59">
        <f t="shared" si="799"/>
        <v>-50</v>
      </c>
      <c r="CF305">
        <f t="shared" si="800"/>
        <v>-50</v>
      </c>
      <c r="CG305" s="150">
        <f t="shared" si="801"/>
        <v>0.90785590060232135</v>
      </c>
      <c r="CI305" s="147">
        <v>89</v>
      </c>
      <c r="CJ305" s="188">
        <f t="shared" si="858"/>
        <v>1.0680000000000001</v>
      </c>
      <c r="CK305" s="188"/>
      <c r="CL305" s="188">
        <f t="shared" si="802"/>
        <v>5.34</v>
      </c>
      <c r="CM305" s="465">
        <f t="shared" si="803"/>
        <v>60</v>
      </c>
      <c r="CN305" s="379">
        <f t="shared" si="804"/>
        <v>5.4</v>
      </c>
      <c r="CO305" s="379">
        <f t="shared" si="805"/>
        <v>65.400000000000006</v>
      </c>
      <c r="CP305" s="379"/>
      <c r="CQ305" s="188">
        <f t="shared" si="806"/>
        <v>8.2568807339449546E-2</v>
      </c>
      <c r="CR305" s="149">
        <f t="shared" si="807"/>
        <v>12.756880733944957</v>
      </c>
      <c r="CS305" s="149">
        <f t="shared" si="808"/>
        <v>5.34</v>
      </c>
      <c r="CT305" s="188">
        <f t="shared" si="809"/>
        <v>2.5513761467889915</v>
      </c>
      <c r="CU305" s="188">
        <f t="shared" si="810"/>
        <v>5</v>
      </c>
      <c r="CV305" s="188"/>
      <c r="CW305" s="149">
        <f t="shared" si="811"/>
        <v>80.745204294754913</v>
      </c>
      <c r="CX305" s="149">
        <f t="shared" si="812"/>
        <v>5</v>
      </c>
      <c r="CY305" s="188">
        <f t="shared" si="813"/>
        <v>2.1557777777777773</v>
      </c>
      <c r="CZ305" s="188">
        <f t="shared" si="814"/>
        <v>0.43115555555555551</v>
      </c>
      <c r="DA305" s="188">
        <f t="shared" si="815"/>
        <v>4.790617283950616</v>
      </c>
      <c r="DB305" s="172">
        <f t="shared" si="816"/>
        <v>350</v>
      </c>
      <c r="DC305" s="379">
        <f t="shared" si="817"/>
        <v>191.50584116458253</v>
      </c>
      <c r="DE305" s="188">
        <f t="shared" si="818"/>
        <v>1.179554390563565</v>
      </c>
      <c r="DF305" s="150">
        <f t="shared" si="819"/>
        <v>2.6212319790301444</v>
      </c>
      <c r="DG305" s="150">
        <f t="shared" si="820"/>
        <v>0.54107999567136011</v>
      </c>
      <c r="DH305" s="150"/>
      <c r="DI305" s="150">
        <f t="shared" si="821"/>
        <v>2.2222222222222219</v>
      </c>
      <c r="DJ305" s="314">
        <f t="shared" si="822"/>
        <v>961.20000000000016</v>
      </c>
      <c r="DK305" s="456">
        <f t="shared" si="823"/>
        <v>0.38888888888888884</v>
      </c>
      <c r="DM305" s="150">
        <f t="shared" si="824"/>
        <v>1.6571921174944428</v>
      </c>
      <c r="DN305" s="150">
        <f t="shared" si="825"/>
        <v>2.1557777777777773</v>
      </c>
      <c r="DO305" s="150">
        <f t="shared" si="826"/>
        <v>2.0561316872427979</v>
      </c>
      <c r="DQ305" s="314">
        <f t="shared" si="827"/>
        <v>1068</v>
      </c>
      <c r="DR305" s="144">
        <f t="shared" si="828"/>
        <v>191.50584116458253</v>
      </c>
      <c r="DT305">
        <f t="shared" si="829"/>
        <v>1068</v>
      </c>
      <c r="DU305">
        <f t="shared" si="830"/>
        <v>191.50584116458253</v>
      </c>
      <c r="DW305" s="5">
        <f t="shared" si="859"/>
        <v>5.2217728395061718</v>
      </c>
      <c r="DX305" s="5">
        <f t="shared" si="831"/>
        <v>0.43115555555555551</v>
      </c>
      <c r="DY305" s="5">
        <f t="shared" si="832"/>
        <v>4.790617283950616</v>
      </c>
      <c r="DZ305" s="5"/>
      <c r="EA305" s="150">
        <f t="shared" si="833"/>
        <v>8.2568807339449546E-2</v>
      </c>
      <c r="EB305" s="150">
        <f t="shared" si="860"/>
        <v>5.339999999999999</v>
      </c>
      <c r="EC305" s="150">
        <f t="shared" si="861"/>
        <v>0.98888888888888871</v>
      </c>
      <c r="ED305" s="150">
        <f t="shared" si="862"/>
        <v>5.4</v>
      </c>
      <c r="EE305" s="144">
        <f t="shared" si="834"/>
        <v>9.2094826666666663</v>
      </c>
      <c r="EF305" s="5">
        <f t="shared" si="835"/>
        <v>0.17765205761316866</v>
      </c>
      <c r="EH305" s="150">
        <f t="shared" si="863"/>
        <v>0.35764435055160793</v>
      </c>
      <c r="EI305" s="150">
        <f t="shared" si="864"/>
        <v>1.1921478351720267</v>
      </c>
      <c r="EK305" s="456">
        <f t="shared" si="865"/>
        <v>2.5581896296296286E-3</v>
      </c>
      <c r="EL305" s="456">
        <f t="shared" si="866"/>
        <v>0.54000000000000015</v>
      </c>
      <c r="EM305" s="456">
        <f t="shared" si="867"/>
        <v>2.3938230145572816E-2</v>
      </c>
      <c r="EN305" s="456">
        <f t="shared" si="868"/>
        <v>8.1910112359550605E-2</v>
      </c>
      <c r="EO305">
        <f t="shared" si="869"/>
        <v>2.7E-2</v>
      </c>
      <c r="EP305" s="144">
        <f t="shared" si="870"/>
        <v>50.938230145572817</v>
      </c>
      <c r="EQ305" s="144"/>
      <c r="ER305" s="144">
        <f t="shared" si="871"/>
        <v>675.40653213475321</v>
      </c>
      <c r="ES305" s="456">
        <f t="shared" si="872"/>
        <v>0.74760000000000004</v>
      </c>
      <c r="EV305" s="144">
        <f t="shared" si="873"/>
        <v>747.6</v>
      </c>
      <c r="EW305" s="456">
        <f t="shared" si="874"/>
        <v>3.8372844444444429E-3</v>
      </c>
      <c r="EX305" s="456">
        <f t="shared" si="875"/>
        <v>4.263649382716049E-2</v>
      </c>
      <c r="EY305" s="456">
        <f t="shared" si="876"/>
        <v>0.17315500288201655</v>
      </c>
      <c r="EZ305" s="456"/>
      <c r="FA305" s="456">
        <f t="shared" si="877"/>
        <v>8.8999999999999984E-4</v>
      </c>
      <c r="FB305" s="144">
        <f t="shared" si="878"/>
        <v>220.51878115362146</v>
      </c>
      <c r="FC305" s="150">
        <f t="shared" si="879"/>
        <v>1.6435253132883747</v>
      </c>
      <c r="FD305" s="5">
        <f t="shared" si="880"/>
        <v>5.34</v>
      </c>
      <c r="FE305" s="150">
        <f t="shared" si="881"/>
        <v>0.76465678299167239</v>
      </c>
      <c r="FF305" s="5">
        <f t="shared" si="882"/>
        <v>76.465678299167237</v>
      </c>
      <c r="FI305" s="59">
        <f t="shared" si="836"/>
        <v>-50</v>
      </c>
      <c r="FJ305">
        <f t="shared" si="837"/>
        <v>-50</v>
      </c>
      <c r="FL305">
        <f t="shared" si="838"/>
        <v>0.91743119266055051</v>
      </c>
    </row>
    <row r="306" spans="5:168">
      <c r="E306" s="147">
        <v>90</v>
      </c>
      <c r="F306" s="188">
        <f t="shared" si="839"/>
        <v>1.08</v>
      </c>
      <c r="G306" s="188"/>
      <c r="H306" s="188">
        <f t="shared" si="764"/>
        <v>5.4</v>
      </c>
      <c r="I306" s="465">
        <f t="shared" si="765"/>
        <v>59.940526164542291</v>
      </c>
      <c r="J306" s="149">
        <f t="shared" si="766"/>
        <v>5.4356843012746241</v>
      </c>
      <c r="K306" s="149">
        <f t="shared" si="767"/>
        <v>65.376210465816911</v>
      </c>
      <c r="L306" s="379"/>
      <c r="M306" s="188">
        <f t="shared" si="768"/>
        <v>8.3139517902041452E-2</v>
      </c>
      <c r="N306" s="149">
        <f t="shared" si="769"/>
        <v>12.832323103895476</v>
      </c>
      <c r="O306" s="149">
        <f t="shared" si="762"/>
        <v>5.4</v>
      </c>
      <c r="P306" s="188">
        <f t="shared" si="770"/>
        <v>2.5664646207790951</v>
      </c>
      <c r="Q306" s="188">
        <f t="shared" si="771"/>
        <v>5</v>
      </c>
      <c r="R306" s="188"/>
      <c r="S306" s="149">
        <f t="shared" si="772"/>
        <v>79.112232962697888</v>
      </c>
      <c r="T306" s="149">
        <f t="shared" si="773"/>
        <v>5</v>
      </c>
      <c r="U306" s="188">
        <f t="shared" si="774"/>
        <v>2.3558655238990034</v>
      </c>
      <c r="V306" s="188">
        <f t="shared" si="775"/>
        <v>0.47164060937975771</v>
      </c>
      <c r="W306" s="188">
        <f t="shared" si="776"/>
        <v>5.2008881899485706</v>
      </c>
      <c r="X306" s="172">
        <f t="shared" si="777"/>
        <v>350</v>
      </c>
      <c r="Y306" s="379">
        <f t="shared" si="840"/>
        <v>170.28439266477076</v>
      </c>
      <c r="AA306" s="188">
        <f t="shared" si="778"/>
        <v>1.1866038220544883</v>
      </c>
      <c r="AB306" s="150">
        <f t="shared" si="779"/>
        <v>2.6195866197223543</v>
      </c>
      <c r="AC306" s="150">
        <f t="shared" si="780"/>
        <v>0.54397201165393505</v>
      </c>
      <c r="AD306" s="150"/>
      <c r="AE306" s="150">
        <f t="shared" si="781"/>
        <v>2.2076337283212153</v>
      </c>
      <c r="AF306" s="314">
        <f t="shared" si="782"/>
        <v>978.42317422943245</v>
      </c>
      <c r="AG306" s="456">
        <f t="shared" si="783"/>
        <v>0.38633590245621269</v>
      </c>
      <c r="AI306" s="150">
        <f t="shared" si="784"/>
        <v>1.6719733202155662</v>
      </c>
      <c r="AJ306" s="150">
        <f t="shared" si="785"/>
        <v>2.3558655238990034</v>
      </c>
      <c r="AK306" s="150">
        <f t="shared" si="786"/>
        <v>2.2043448325177804</v>
      </c>
      <c r="AM306" s="314">
        <f t="shared" si="787"/>
        <v>1080</v>
      </c>
      <c r="AN306" s="144">
        <f t="shared" si="788"/>
        <v>170.28439266477076</v>
      </c>
      <c r="AP306">
        <f t="shared" si="789"/>
        <v>1080</v>
      </c>
      <c r="AQ306">
        <f t="shared" si="790"/>
        <v>170.28439266477076</v>
      </c>
      <c r="AS306" s="5">
        <f t="shared" si="763"/>
        <v>5.8725287993283297</v>
      </c>
      <c r="AT306" s="5">
        <f t="shared" si="791"/>
        <v>0.47164060937975771</v>
      </c>
      <c r="AU306" s="5">
        <f t="shared" si="883"/>
        <v>5.4008881899485717</v>
      </c>
      <c r="AV306" s="5"/>
      <c r="AW306" s="150">
        <f t="shared" si="884"/>
        <v>8.0313034724274424E-2</v>
      </c>
      <c r="AX306" s="150">
        <f t="shared" si="792"/>
        <v>5.6705748644407361</v>
      </c>
      <c r="AY306" s="150">
        <f t="shared" si="793"/>
        <v>1.083329407136191</v>
      </c>
      <c r="AZ306" s="150">
        <f t="shared" si="794"/>
        <v>5.2343957683481017</v>
      </c>
      <c r="BA306" s="144">
        <f t="shared" si="724"/>
        <v>10.187437162602768</v>
      </c>
      <c r="BB306" s="5">
        <f t="shared" si="725"/>
        <v>0.20273426352691543</v>
      </c>
      <c r="BD306" s="150">
        <f t="shared" si="841"/>
        <v>0.38546316905757566</v>
      </c>
      <c r="BE306" s="150">
        <f t="shared" si="842"/>
        <v>1.304397281326539</v>
      </c>
      <c r="BG306" s="456">
        <f t="shared" si="843"/>
        <v>2.971637093998183E-3</v>
      </c>
      <c r="BH306" s="456">
        <f t="shared" si="795"/>
        <v>0.49175225097618619</v>
      </c>
      <c r="BI306" s="456">
        <f t="shared" si="796"/>
        <v>0.25517340234839714</v>
      </c>
      <c r="BJ306" s="456">
        <f t="shared" si="844"/>
        <v>7.2780382028260704E-2</v>
      </c>
      <c r="BK306">
        <f t="shared" si="845"/>
        <v>2.6973236774044031E-2</v>
      </c>
      <c r="BL306" s="144">
        <f t="shared" si="846"/>
        <v>282.14663912244117</v>
      </c>
      <c r="BM306" s="456">
        <f t="shared" si="797"/>
        <v>0.56870815474722214</v>
      </c>
      <c r="BN306" s="144">
        <f t="shared" si="847"/>
        <v>568.70815474722212</v>
      </c>
      <c r="BO306" s="456">
        <f t="shared" si="798"/>
        <v>0.75600000000000001</v>
      </c>
      <c r="BR306" s="144">
        <f t="shared" si="848"/>
        <v>756</v>
      </c>
      <c r="BS306" s="456">
        <f t="shared" si="849"/>
        <v>4.4574556409972743E-3</v>
      </c>
      <c r="BT306" s="456">
        <f t="shared" si="850"/>
        <v>5.104356802596198E-2</v>
      </c>
      <c r="BU306" s="456">
        <f t="shared" si="851"/>
        <v>0.16116968528917941</v>
      </c>
      <c r="BV306" s="456"/>
      <c r="BW306" s="456">
        <f t="shared" si="852"/>
        <v>9.4509581074012268E-4</v>
      </c>
      <c r="BX306" s="144">
        <f t="shared" si="853"/>
        <v>217.61580476687877</v>
      </c>
      <c r="BY306" s="150">
        <f t="shared" si="854"/>
        <v>1.823266713987765</v>
      </c>
      <c r="BZ306" s="5">
        <f t="shared" si="855"/>
        <v>5.4</v>
      </c>
      <c r="CA306" s="150">
        <f t="shared" si="856"/>
        <v>0.74758419061876369</v>
      </c>
      <c r="CB306" s="5">
        <f t="shared" si="857"/>
        <v>74.758419061876367</v>
      </c>
      <c r="CE306" s="59">
        <f t="shared" si="799"/>
        <v>-50</v>
      </c>
      <c r="CF306">
        <f t="shared" si="800"/>
        <v>-50</v>
      </c>
      <c r="CG306" s="150">
        <f t="shared" si="801"/>
        <v>0.90796229273630169</v>
      </c>
      <c r="CI306" s="147">
        <v>90</v>
      </c>
      <c r="CJ306" s="188">
        <f t="shared" si="858"/>
        <v>1.08</v>
      </c>
      <c r="CK306" s="188"/>
      <c r="CL306" s="188">
        <f t="shared" si="802"/>
        <v>5.4</v>
      </c>
      <c r="CM306" s="465">
        <f t="shared" si="803"/>
        <v>60</v>
      </c>
      <c r="CN306" s="379">
        <f t="shared" si="804"/>
        <v>5.4</v>
      </c>
      <c r="CO306" s="379">
        <f t="shared" si="805"/>
        <v>65.400000000000006</v>
      </c>
      <c r="CP306" s="379"/>
      <c r="CQ306" s="188">
        <f t="shared" si="806"/>
        <v>8.2568807339449546E-2</v>
      </c>
      <c r="CR306" s="149">
        <f t="shared" si="807"/>
        <v>12.756880733944957</v>
      </c>
      <c r="CS306" s="149">
        <f t="shared" si="808"/>
        <v>5.4</v>
      </c>
      <c r="CT306" s="188">
        <f t="shared" si="809"/>
        <v>2.5513761467889915</v>
      </c>
      <c r="CU306" s="188">
        <f t="shared" si="810"/>
        <v>5</v>
      </c>
      <c r="CV306" s="188"/>
      <c r="CW306" s="149">
        <f t="shared" si="811"/>
        <v>79.190432669905093</v>
      </c>
      <c r="CX306" s="149">
        <f t="shared" si="812"/>
        <v>5</v>
      </c>
      <c r="CY306" s="188">
        <f t="shared" si="813"/>
        <v>2.1799999999999997</v>
      </c>
      <c r="CZ306" s="188">
        <f t="shared" si="814"/>
        <v>0.43599999999999994</v>
      </c>
      <c r="DA306" s="188">
        <f t="shared" si="815"/>
        <v>4.8444444444444441</v>
      </c>
      <c r="DB306" s="172">
        <f t="shared" si="816"/>
        <v>350</v>
      </c>
      <c r="DC306" s="379">
        <f t="shared" si="817"/>
        <v>189.37799848497602</v>
      </c>
      <c r="DE306" s="188">
        <f t="shared" si="818"/>
        <v>1.179554390563565</v>
      </c>
      <c r="DF306" s="150">
        <f t="shared" si="819"/>
        <v>2.6212319790301444</v>
      </c>
      <c r="DG306" s="150">
        <f t="shared" si="820"/>
        <v>0.54107999567136011</v>
      </c>
      <c r="DH306" s="150"/>
      <c r="DI306" s="150">
        <f t="shared" si="821"/>
        <v>2.2222222222222219</v>
      </c>
      <c r="DJ306" s="314">
        <f t="shared" si="822"/>
        <v>972.00000000000011</v>
      </c>
      <c r="DK306" s="456">
        <f t="shared" si="823"/>
        <v>0.38888888888888884</v>
      </c>
      <c r="DM306" s="150">
        <f t="shared" si="824"/>
        <v>1.6664761795905927</v>
      </c>
      <c r="DN306" s="150">
        <f t="shared" si="825"/>
        <v>2.1799999999999997</v>
      </c>
      <c r="DO306" s="150">
        <f t="shared" si="826"/>
        <v>2.074074074074074</v>
      </c>
      <c r="DQ306" s="314">
        <f t="shared" si="827"/>
        <v>1080</v>
      </c>
      <c r="DR306" s="144">
        <f t="shared" si="828"/>
        <v>189.37799848497602</v>
      </c>
      <c r="DT306">
        <f t="shared" si="829"/>
        <v>1080</v>
      </c>
      <c r="DU306">
        <f t="shared" si="830"/>
        <v>189.37799848497602</v>
      </c>
      <c r="DW306" s="5">
        <f t="shared" si="859"/>
        <v>5.2804444444444441</v>
      </c>
      <c r="DX306" s="5">
        <f t="shared" si="831"/>
        <v>0.43599999999999994</v>
      </c>
      <c r="DY306" s="5">
        <f t="shared" si="832"/>
        <v>4.8444444444444441</v>
      </c>
      <c r="DZ306" s="5"/>
      <c r="EA306" s="150">
        <f t="shared" si="833"/>
        <v>8.2568807339449532E-2</v>
      </c>
      <c r="EB306" s="150">
        <f t="shared" si="860"/>
        <v>5.3999999999999986</v>
      </c>
      <c r="EC306" s="150">
        <f t="shared" si="861"/>
        <v>0.99999999999999989</v>
      </c>
      <c r="ED306" s="150">
        <f t="shared" si="862"/>
        <v>5.3999999999999995</v>
      </c>
      <c r="EE306" s="144">
        <f t="shared" si="834"/>
        <v>9.4176000000000002</v>
      </c>
      <c r="EF306" s="5">
        <f t="shared" si="835"/>
        <v>0.18166666666666664</v>
      </c>
      <c r="EH306" s="150">
        <f t="shared" si="863"/>
        <v>0.36166282640050246</v>
      </c>
      <c r="EI306" s="150">
        <f t="shared" si="864"/>
        <v>1.2055427546683417</v>
      </c>
      <c r="EK306" s="456">
        <f t="shared" si="865"/>
        <v>2.6159999999999994E-3</v>
      </c>
      <c r="EL306" s="456">
        <f t="shared" si="866"/>
        <v>0.54</v>
      </c>
      <c r="EM306" s="456">
        <f t="shared" si="867"/>
        <v>2.3672249810621999E-2</v>
      </c>
      <c r="EN306" s="456">
        <f t="shared" si="868"/>
        <v>8.1000000000000016E-2</v>
      </c>
      <c r="EO306">
        <f t="shared" si="869"/>
        <v>2.7E-2</v>
      </c>
      <c r="EP306" s="144">
        <f t="shared" si="870"/>
        <v>50.672249810622006</v>
      </c>
      <c r="EQ306" s="144"/>
      <c r="ER306" s="144">
        <f t="shared" si="871"/>
        <v>674.28824981062212</v>
      </c>
      <c r="ES306" s="456">
        <f t="shared" si="872"/>
        <v>0.75600000000000001</v>
      </c>
      <c r="EV306" s="144">
        <f t="shared" si="873"/>
        <v>756</v>
      </c>
      <c r="EW306" s="456">
        <f t="shared" si="874"/>
        <v>3.9239999999999987E-3</v>
      </c>
      <c r="EX306" s="456">
        <f t="shared" si="875"/>
        <v>4.3600000000000007E-2</v>
      </c>
      <c r="EY306" s="456">
        <f t="shared" si="876"/>
        <v>0.17315500288201666</v>
      </c>
      <c r="EZ306" s="456"/>
      <c r="FA306" s="456">
        <f t="shared" si="877"/>
        <v>8.9999999999999998E-4</v>
      </c>
      <c r="FB306" s="144">
        <f t="shared" si="878"/>
        <v>221.57900288201668</v>
      </c>
      <c r="FC306" s="150">
        <f t="shared" si="879"/>
        <v>1.6518672526926386</v>
      </c>
      <c r="FD306" s="5">
        <f t="shared" si="880"/>
        <v>5.4</v>
      </c>
      <c r="FE306" s="150">
        <f t="shared" si="881"/>
        <v>0.76575463015672895</v>
      </c>
      <c r="FF306" s="5">
        <f t="shared" si="882"/>
        <v>76.575463015672895</v>
      </c>
      <c r="FI306" s="59">
        <f t="shared" si="836"/>
        <v>-50</v>
      </c>
      <c r="FJ306">
        <f t="shared" si="837"/>
        <v>-50</v>
      </c>
      <c r="FL306">
        <f t="shared" si="838"/>
        <v>0.91743119266055051</v>
      </c>
    </row>
    <row r="307" spans="5:168">
      <c r="E307" s="147">
        <v>91</v>
      </c>
      <c r="F307" s="188">
        <f t="shared" si="839"/>
        <v>1.0920000000000001</v>
      </c>
      <c r="G307" s="188"/>
      <c r="H307" s="188">
        <f t="shared" si="764"/>
        <v>5.4600000000000009</v>
      </c>
      <c r="I307" s="465">
        <f t="shared" si="765"/>
        <v>59.939872234880703</v>
      </c>
      <c r="J307" s="149">
        <f t="shared" si="766"/>
        <v>5.4360766590715803</v>
      </c>
      <c r="K307" s="149">
        <f t="shared" si="767"/>
        <v>65.375948893952284</v>
      </c>
      <c r="L307" s="379"/>
      <c r="M307" s="188">
        <f t="shared" si="768"/>
        <v>8.3145852736026246E-2</v>
      </c>
      <c r="N307" s="149">
        <f t="shared" si="769"/>
        <v>12.833160858883371</v>
      </c>
      <c r="O307" s="149">
        <f t="shared" si="762"/>
        <v>5.4600000000000009</v>
      </c>
      <c r="P307" s="188">
        <f t="shared" si="770"/>
        <v>2.566632171776674</v>
      </c>
      <c r="Q307" s="188">
        <f t="shared" si="771"/>
        <v>5</v>
      </c>
      <c r="R307" s="188"/>
      <c r="S307" s="149">
        <f t="shared" si="772"/>
        <v>77.592523414711735</v>
      </c>
      <c r="T307" s="149">
        <f t="shared" si="773"/>
        <v>5</v>
      </c>
      <c r="U307" s="188">
        <f t="shared" si="774"/>
        <v>2.3820582657747411</v>
      </c>
      <c r="V307" s="188">
        <f t="shared" si="775"/>
        <v>0.47688955821068046</v>
      </c>
      <c r="W307" s="188">
        <f t="shared" si="776"/>
        <v>5.2583326141281521</v>
      </c>
      <c r="X307" s="172">
        <f t="shared" si="777"/>
        <v>350</v>
      </c>
      <c r="Y307" s="379">
        <f t="shared" si="840"/>
        <v>168.48568949289057</v>
      </c>
      <c r="AA307" s="188">
        <f t="shared" si="778"/>
        <v>1.1866812749088245</v>
      </c>
      <c r="AB307" s="150">
        <f t="shared" si="779"/>
        <v>2.6195685219306588</v>
      </c>
      <c r="AC307" s="150">
        <f t="shared" si="780"/>
        <v>0.5440037598302474</v>
      </c>
      <c r="AD307" s="150"/>
      <c r="AE307" s="150">
        <f t="shared" si="781"/>
        <v>2.2074743887164874</v>
      </c>
      <c r="AF307" s="314">
        <f t="shared" si="782"/>
        <v>989.36595195102757</v>
      </c>
      <c r="AG307" s="456">
        <f t="shared" si="783"/>
        <v>0.38630801802538522</v>
      </c>
      <c r="AI307" s="150">
        <f t="shared" si="784"/>
        <v>1.6812970774723965</v>
      </c>
      <c r="AJ307" s="150">
        <f t="shared" si="785"/>
        <v>2.3820582657747411</v>
      </c>
      <c r="AK307" s="150">
        <f t="shared" si="786"/>
        <v>2.2237468635368454</v>
      </c>
      <c r="AM307" s="314">
        <f t="shared" si="787"/>
        <v>1092</v>
      </c>
      <c r="AN307" s="144">
        <f t="shared" si="788"/>
        <v>168.48568949289057</v>
      </c>
      <c r="AP307">
        <f t="shared" si="789"/>
        <v>1092</v>
      </c>
      <c r="AQ307">
        <f t="shared" si="790"/>
        <v>168.48568949289057</v>
      </c>
      <c r="AS307" s="5">
        <f t="shared" si="763"/>
        <v>5.9352221723388325</v>
      </c>
      <c r="AT307" s="5">
        <f t="shared" si="791"/>
        <v>0.47688955821068046</v>
      </c>
      <c r="AU307" s="5">
        <f t="shared" si="883"/>
        <v>5.4583326141281523</v>
      </c>
      <c r="AV307" s="5"/>
      <c r="AW307" s="150">
        <f t="shared" si="884"/>
        <v>8.0349066027086469E-2</v>
      </c>
      <c r="AX307" s="150">
        <f t="shared" si="792"/>
        <v>5.7361305947303327</v>
      </c>
      <c r="AY307" s="150">
        <f t="shared" si="793"/>
        <v>1.0953310544488197</v>
      </c>
      <c r="AZ307" s="150">
        <f t="shared" si="794"/>
        <v>5.2368921445551493</v>
      </c>
      <c r="BA307" s="144">
        <f t="shared" si="724"/>
        <v>10.415267951321264</v>
      </c>
      <c r="BB307" s="5">
        <f t="shared" si="725"/>
        <v>0.20716938882487865</v>
      </c>
      <c r="BD307" s="150">
        <f t="shared" si="841"/>
        <v>0.38983620386286139</v>
      </c>
      <c r="BE307" s="150">
        <f t="shared" si="842"/>
        <v>1.3188738610419557</v>
      </c>
      <c r="BG307" s="456">
        <f t="shared" si="843"/>
        <v>3.0394453168441282E-3</v>
      </c>
      <c r="BH307" s="456">
        <f t="shared" si="795"/>
        <v>0.49196553302003243</v>
      </c>
      <c r="BI307" s="456">
        <f t="shared" si="796"/>
        <v>0.25247526754024102</v>
      </c>
      <c r="BJ307" s="456">
        <f t="shared" si="844"/>
        <v>7.2011031258505429E-2</v>
      </c>
      <c r="BK307">
        <f t="shared" si="845"/>
        <v>2.6972942505696314E-2</v>
      </c>
      <c r="BL307" s="144">
        <f t="shared" si="846"/>
        <v>279.44821004593734</v>
      </c>
      <c r="BM307" s="456">
        <f t="shared" si="797"/>
        <v>0.5682470320443429</v>
      </c>
      <c r="BN307" s="144">
        <f t="shared" si="847"/>
        <v>568.24703204434286</v>
      </c>
      <c r="BO307" s="456">
        <f t="shared" si="798"/>
        <v>0.76439999999999997</v>
      </c>
      <c r="BR307" s="144">
        <f t="shared" si="848"/>
        <v>764.4</v>
      </c>
      <c r="BS307" s="456">
        <f t="shared" si="849"/>
        <v>4.5591679752661918E-3</v>
      </c>
      <c r="BT307" s="456">
        <f t="shared" si="850"/>
        <v>5.2182847840191476E-2</v>
      </c>
      <c r="BU307" s="456">
        <f t="shared" si="851"/>
        <v>0.16134611169058879</v>
      </c>
      <c r="BV307" s="456"/>
      <c r="BW307" s="456">
        <f t="shared" si="852"/>
        <v>9.5602176578838869E-4</v>
      </c>
      <c r="BX307" s="144">
        <f t="shared" si="853"/>
        <v>219.04414927183484</v>
      </c>
      <c r="BY307" s="150">
        <f t="shared" si="854"/>
        <v>1.8299083689131541</v>
      </c>
      <c r="BZ307" s="5">
        <f t="shared" si="855"/>
        <v>5.4600000000000009</v>
      </c>
      <c r="CA307" s="150">
        <f t="shared" si="856"/>
        <v>0.74898060766901342</v>
      </c>
      <c r="CB307" s="5">
        <f t="shared" si="857"/>
        <v>74.898060766901338</v>
      </c>
      <c r="CE307" s="59">
        <f t="shared" si="799"/>
        <v>-50</v>
      </c>
      <c r="CF307">
        <f t="shared" si="800"/>
        <v>-50</v>
      </c>
      <c r="CG307" s="150">
        <f t="shared" si="801"/>
        <v>0.908066346581623</v>
      </c>
      <c r="CI307" s="147">
        <v>91</v>
      </c>
      <c r="CJ307" s="188">
        <f t="shared" si="858"/>
        <v>1.0920000000000001</v>
      </c>
      <c r="CK307" s="188"/>
      <c r="CL307" s="188">
        <f t="shared" si="802"/>
        <v>5.4600000000000009</v>
      </c>
      <c r="CM307" s="465">
        <f t="shared" si="803"/>
        <v>60</v>
      </c>
      <c r="CN307" s="379">
        <f t="shared" si="804"/>
        <v>5.4</v>
      </c>
      <c r="CO307" s="379">
        <f t="shared" si="805"/>
        <v>65.400000000000006</v>
      </c>
      <c r="CP307" s="379"/>
      <c r="CQ307" s="188">
        <f t="shared" si="806"/>
        <v>8.2568807339449546E-2</v>
      </c>
      <c r="CR307" s="149">
        <f t="shared" si="807"/>
        <v>12.756880733944957</v>
      </c>
      <c r="CS307" s="149">
        <f t="shared" si="808"/>
        <v>5.4600000000000009</v>
      </c>
      <c r="CT307" s="188">
        <f t="shared" si="809"/>
        <v>2.5513761467889915</v>
      </c>
      <c r="CU307" s="188">
        <f t="shared" si="810"/>
        <v>5</v>
      </c>
      <c r="CV307" s="188"/>
      <c r="CW307" s="149">
        <f t="shared" si="811"/>
        <v>77.670053572844083</v>
      </c>
      <c r="CX307" s="149">
        <f t="shared" si="812"/>
        <v>5</v>
      </c>
      <c r="CY307" s="188">
        <f t="shared" si="813"/>
        <v>2.2042222222222225</v>
      </c>
      <c r="CZ307" s="188">
        <f t="shared" si="814"/>
        <v>0.44084444444444454</v>
      </c>
      <c r="DA307" s="188">
        <f t="shared" si="815"/>
        <v>4.8982716049382722</v>
      </c>
      <c r="DB307" s="172">
        <f t="shared" si="816"/>
        <v>350</v>
      </c>
      <c r="DC307" s="379">
        <f t="shared" si="817"/>
        <v>187.29692157854768</v>
      </c>
      <c r="DE307" s="188">
        <f t="shared" si="818"/>
        <v>1.179554390563565</v>
      </c>
      <c r="DF307" s="150">
        <f t="shared" si="819"/>
        <v>2.6212319790301444</v>
      </c>
      <c r="DG307" s="150">
        <f t="shared" si="820"/>
        <v>0.54107999567136011</v>
      </c>
      <c r="DH307" s="150"/>
      <c r="DI307" s="150">
        <f t="shared" si="821"/>
        <v>2.2222222222222219</v>
      </c>
      <c r="DJ307" s="314">
        <f t="shared" si="822"/>
        <v>982.80000000000007</v>
      </c>
      <c r="DK307" s="456">
        <f t="shared" si="823"/>
        <v>0.38888888888888884</v>
      </c>
      <c r="DM307" s="150">
        <f t="shared" si="824"/>
        <v>1.6757088052522731</v>
      </c>
      <c r="DN307" s="150">
        <f t="shared" si="825"/>
        <v>2.2042222222222225</v>
      </c>
      <c r="DO307" s="150">
        <f t="shared" si="826"/>
        <v>2.09201646090535</v>
      </c>
      <c r="DQ307" s="314">
        <f t="shared" si="827"/>
        <v>1092</v>
      </c>
      <c r="DR307" s="144">
        <f t="shared" si="828"/>
        <v>187.29692157854768</v>
      </c>
      <c r="DT307">
        <f t="shared" si="829"/>
        <v>1092</v>
      </c>
      <c r="DU307">
        <f t="shared" si="830"/>
        <v>187.29692157854768</v>
      </c>
      <c r="DW307" s="5">
        <f t="shared" si="859"/>
        <v>5.3391160493827163</v>
      </c>
      <c r="DX307" s="5">
        <f t="shared" si="831"/>
        <v>0.44084444444444454</v>
      </c>
      <c r="DY307" s="5">
        <f t="shared" si="832"/>
        <v>4.8982716049382722</v>
      </c>
      <c r="DZ307" s="5"/>
      <c r="EA307" s="150">
        <f t="shared" si="833"/>
        <v>8.256880733944956E-2</v>
      </c>
      <c r="EB307" s="150">
        <f t="shared" si="860"/>
        <v>5.4600000000000017</v>
      </c>
      <c r="EC307" s="150">
        <f t="shared" si="861"/>
        <v>1.0111111111111113</v>
      </c>
      <c r="ED307" s="150">
        <f t="shared" si="862"/>
        <v>5.4</v>
      </c>
      <c r="EE307" s="144">
        <f t="shared" si="834"/>
        <v>9.6280426666666692</v>
      </c>
      <c r="EF307" s="5">
        <f t="shared" si="835"/>
        <v>0.18572613168724281</v>
      </c>
      <c r="EH307" s="150">
        <f t="shared" si="863"/>
        <v>0.36568130224939704</v>
      </c>
      <c r="EI307" s="150">
        <f t="shared" si="864"/>
        <v>1.2189376741646567</v>
      </c>
      <c r="EK307" s="456">
        <f t="shared" si="865"/>
        <v>2.6744562962962978E-3</v>
      </c>
      <c r="EL307" s="456">
        <f t="shared" si="866"/>
        <v>0.54</v>
      </c>
      <c r="EM307" s="456">
        <f t="shared" si="867"/>
        <v>2.3412115197318461E-2</v>
      </c>
      <c r="EN307" s="456">
        <f t="shared" si="868"/>
        <v>8.01098901098901E-2</v>
      </c>
      <c r="EO307">
        <f t="shared" si="869"/>
        <v>2.7E-2</v>
      </c>
      <c r="EP307" s="144">
        <f t="shared" si="870"/>
        <v>50.412115197318464</v>
      </c>
      <c r="EQ307" s="144"/>
      <c r="ER307" s="144">
        <f t="shared" si="871"/>
        <v>673.19646160350487</v>
      </c>
      <c r="ES307" s="456">
        <f t="shared" si="872"/>
        <v>0.76439999999999997</v>
      </c>
      <c r="EV307" s="144">
        <f t="shared" si="873"/>
        <v>764.4</v>
      </c>
      <c r="EW307" s="456">
        <f t="shared" si="874"/>
        <v>4.0116844444444463E-3</v>
      </c>
      <c r="EX307" s="456">
        <f t="shared" si="875"/>
        <v>4.4574271604938286E-2</v>
      </c>
      <c r="EY307" s="456">
        <f t="shared" si="876"/>
        <v>0.17315500288201641</v>
      </c>
      <c r="EZ307" s="456"/>
      <c r="FA307" s="456">
        <f t="shared" si="877"/>
        <v>9.1000000000000022E-4</v>
      </c>
      <c r="FB307" s="144">
        <f t="shared" si="878"/>
        <v>222.65095893139915</v>
      </c>
      <c r="FC307" s="150">
        <f t="shared" si="879"/>
        <v>1.6602474205349038</v>
      </c>
      <c r="FD307" s="5">
        <f t="shared" si="880"/>
        <v>5.4600000000000009</v>
      </c>
      <c r="FE307" s="150">
        <f t="shared" si="881"/>
        <v>0.76682728527849686</v>
      </c>
      <c r="FF307" s="5">
        <f t="shared" si="882"/>
        <v>76.68272852784969</v>
      </c>
      <c r="FI307" s="59">
        <f t="shared" si="836"/>
        <v>-50</v>
      </c>
      <c r="FJ307">
        <f t="shared" si="837"/>
        <v>-50</v>
      </c>
      <c r="FL307">
        <f t="shared" si="838"/>
        <v>0.9174311926605504</v>
      </c>
    </row>
    <row r="308" spans="5:168">
      <c r="E308" s="147">
        <v>92</v>
      </c>
      <c r="F308" s="188">
        <f t="shared" si="839"/>
        <v>1.1040000000000001</v>
      </c>
      <c r="G308" s="188"/>
      <c r="H308" s="188">
        <f t="shared" si="764"/>
        <v>5.5200000000000005</v>
      </c>
      <c r="I308" s="465">
        <f t="shared" si="765"/>
        <v>59.939218303674416</v>
      </c>
      <c r="J308" s="149">
        <f t="shared" si="766"/>
        <v>5.4364690177953516</v>
      </c>
      <c r="K308" s="149">
        <f t="shared" si="767"/>
        <v>65.375687321469769</v>
      </c>
      <c r="L308" s="379"/>
      <c r="M308" s="188">
        <f t="shared" si="768"/>
        <v>8.3152187622659954E-2</v>
      </c>
      <c r="N308" s="149">
        <f t="shared" si="769"/>
        <v>12.833998600332476</v>
      </c>
      <c r="O308" s="149">
        <f t="shared" si="762"/>
        <v>5.5200000000000005</v>
      </c>
      <c r="P308" s="188">
        <f t="shared" si="770"/>
        <v>2.5667997200664954</v>
      </c>
      <c r="Q308" s="188">
        <f t="shared" si="771"/>
        <v>5</v>
      </c>
      <c r="R308" s="188"/>
      <c r="S308" s="149">
        <f t="shared" si="772"/>
        <v>76.106089932791605</v>
      </c>
      <c r="T308" s="149">
        <f t="shared" si="773"/>
        <v>5</v>
      </c>
      <c r="U308" s="188">
        <f t="shared" si="774"/>
        <v>2.4082513697390708</v>
      </c>
      <c r="V308" s="188">
        <f t="shared" si="775"/>
        <v>0.4821386940759832</v>
      </c>
      <c r="W308" s="188">
        <f t="shared" si="776"/>
        <v>5.3157695449514861</v>
      </c>
      <c r="X308" s="172">
        <f t="shared" si="777"/>
        <v>350</v>
      </c>
      <c r="Y308" s="379">
        <f t="shared" si="840"/>
        <v>166.72479140196799</v>
      </c>
      <c r="AA308" s="188">
        <f t="shared" si="778"/>
        <v>1.186758726697035</v>
      </c>
      <c r="AB308" s="150">
        <f t="shared" si="779"/>
        <v>2.6195504239513916</v>
      </c>
      <c r="AC308" s="150">
        <f t="shared" si="780"/>
        <v>0.54403550698826553</v>
      </c>
      <c r="AD308" s="150"/>
      <c r="AE308" s="150">
        <f t="shared" si="781"/>
        <v>2.2073150717349908</v>
      </c>
      <c r="AF308" s="314">
        <f t="shared" si="782"/>
        <v>1000.3102992743449</v>
      </c>
      <c r="AG308" s="456">
        <f t="shared" si="783"/>
        <v>0.38628013755362334</v>
      </c>
      <c r="AI308" s="150">
        <f t="shared" si="784"/>
        <v>1.690570739868086</v>
      </c>
      <c r="AJ308" s="150">
        <f t="shared" si="785"/>
        <v>2.4082513697390708</v>
      </c>
      <c r="AK308" s="150">
        <f t="shared" si="786"/>
        <v>2.243149162769682</v>
      </c>
      <c r="AM308" s="314">
        <f t="shared" si="787"/>
        <v>1104</v>
      </c>
      <c r="AN308" s="144">
        <f t="shared" si="788"/>
        <v>166.72479140196799</v>
      </c>
      <c r="AP308">
        <f t="shared" si="789"/>
        <v>1104</v>
      </c>
      <c r="AQ308">
        <f t="shared" si="790"/>
        <v>166.72479140196799</v>
      </c>
      <c r="AS308" s="5">
        <f t="shared" si="763"/>
        <v>5.9979082390274696</v>
      </c>
      <c r="AT308" s="5">
        <f t="shared" si="791"/>
        <v>0.4821386940759832</v>
      </c>
      <c r="AU308" s="5">
        <f t="shared" si="883"/>
        <v>5.5157695449514863</v>
      </c>
      <c r="AV308" s="5"/>
      <c r="AW308" s="150">
        <f t="shared" si="884"/>
        <v>8.0384473196635553E-2</v>
      </c>
      <c r="AX308" s="150">
        <f t="shared" si="792"/>
        <v>5.8016972871767374</v>
      </c>
      <c r="AY308" s="150">
        <f t="shared" si="793"/>
        <v>1.1073326760287598</v>
      </c>
      <c r="AZ308" s="150">
        <f t="shared" si="794"/>
        <v>5.2393444289781392</v>
      </c>
      <c r="BA308" s="144">
        <f t="shared" si="724"/>
        <v>10.64562236519771</v>
      </c>
      <c r="BB308" s="5">
        <f t="shared" si="725"/>
        <v>0.21165224226173665</v>
      </c>
      <c r="BD308" s="150">
        <f t="shared" si="841"/>
        <v>0.39420967020268444</v>
      </c>
      <c r="BE308" s="150">
        <f t="shared" si="842"/>
        <v>1.3333505250066069</v>
      </c>
      <c r="BG308" s="456">
        <f t="shared" si="843"/>
        <v>3.1080252816261845E-3</v>
      </c>
      <c r="BH308" s="456">
        <f t="shared" si="795"/>
        <v>0.49217498709107577</v>
      </c>
      <c r="BI308" s="456">
        <f t="shared" si="796"/>
        <v>0.24983384171192843</v>
      </c>
      <c r="BJ308" s="456">
        <f t="shared" si="844"/>
        <v>7.1257850611058812E-2</v>
      </c>
      <c r="BK308">
        <f t="shared" si="845"/>
        <v>2.6972648236653487E-2</v>
      </c>
      <c r="BL308" s="144">
        <f t="shared" si="846"/>
        <v>276.80648994858194</v>
      </c>
      <c r="BM308" s="456">
        <f t="shared" si="797"/>
        <v>0.5677993307685606</v>
      </c>
      <c r="BN308" s="144">
        <f t="shared" si="847"/>
        <v>567.79933076856059</v>
      </c>
      <c r="BO308" s="456">
        <f t="shared" si="798"/>
        <v>0.77280000000000004</v>
      </c>
      <c r="BR308" s="144">
        <f t="shared" si="848"/>
        <v>772.80000000000007</v>
      </c>
      <c r="BS308" s="456">
        <f t="shared" si="849"/>
        <v>4.6620379224392768E-3</v>
      </c>
      <c r="BT308" s="456">
        <f t="shared" si="850"/>
        <v>5.3334708676061826E-2</v>
      </c>
      <c r="BU308" s="456">
        <f t="shared" si="851"/>
        <v>0.1615195147041639</v>
      </c>
      <c r="BV308" s="456"/>
      <c r="BW308" s="456">
        <f t="shared" si="852"/>
        <v>9.6694954786278947E-4</v>
      </c>
      <c r="BX308" s="144">
        <f t="shared" si="853"/>
        <v>220.48321085052777</v>
      </c>
      <c r="BY308" s="150">
        <f t="shared" si="854"/>
        <v>1.8366305637828706</v>
      </c>
      <c r="BZ308" s="5">
        <f t="shared" si="855"/>
        <v>5.5200000000000005</v>
      </c>
      <c r="CA308" s="150">
        <f t="shared" si="856"/>
        <v>0.75034351013564393</v>
      </c>
      <c r="CB308" s="5">
        <f t="shared" si="857"/>
        <v>75.03435101356439</v>
      </c>
      <c r="CE308" s="59">
        <f t="shared" si="799"/>
        <v>-50</v>
      </c>
      <c r="CF308">
        <f t="shared" si="800"/>
        <v>-50</v>
      </c>
      <c r="CG308" s="150">
        <f t="shared" si="801"/>
        <v>0.90816813838682886</v>
      </c>
      <c r="CI308" s="147">
        <v>92</v>
      </c>
      <c r="CJ308" s="188">
        <f t="shared" si="858"/>
        <v>1.1040000000000001</v>
      </c>
      <c r="CK308" s="188"/>
      <c r="CL308" s="188">
        <f t="shared" si="802"/>
        <v>5.5200000000000005</v>
      </c>
      <c r="CM308" s="465">
        <f t="shared" si="803"/>
        <v>60</v>
      </c>
      <c r="CN308" s="379">
        <f t="shared" si="804"/>
        <v>5.4</v>
      </c>
      <c r="CO308" s="379">
        <f t="shared" si="805"/>
        <v>65.400000000000006</v>
      </c>
      <c r="CP308" s="379"/>
      <c r="CQ308" s="188">
        <f t="shared" si="806"/>
        <v>8.2568807339449546E-2</v>
      </c>
      <c r="CR308" s="149">
        <f t="shared" si="807"/>
        <v>12.756880733944957</v>
      </c>
      <c r="CS308" s="149">
        <f t="shared" si="808"/>
        <v>5.5200000000000005</v>
      </c>
      <c r="CT308" s="188">
        <f t="shared" si="809"/>
        <v>2.5513761467889915</v>
      </c>
      <c r="CU308" s="188">
        <f t="shared" si="810"/>
        <v>5</v>
      </c>
      <c r="CV308" s="188"/>
      <c r="CW308" s="149">
        <f t="shared" si="811"/>
        <v>76.182950895526631</v>
      </c>
      <c r="CX308" s="149">
        <f t="shared" si="812"/>
        <v>5</v>
      </c>
      <c r="CY308" s="188">
        <f t="shared" si="813"/>
        <v>2.2284444444444444</v>
      </c>
      <c r="CZ308" s="188">
        <f t="shared" si="814"/>
        <v>0.44568888888888891</v>
      </c>
      <c r="DA308" s="188">
        <f t="shared" si="815"/>
        <v>4.9520987654320985</v>
      </c>
      <c r="DB308" s="172">
        <f t="shared" si="816"/>
        <v>350</v>
      </c>
      <c r="DC308" s="379">
        <f t="shared" si="817"/>
        <v>185.26108547443303</v>
      </c>
      <c r="DE308" s="188">
        <f t="shared" si="818"/>
        <v>1.179554390563565</v>
      </c>
      <c r="DF308" s="150">
        <f t="shared" si="819"/>
        <v>2.6212319790301444</v>
      </c>
      <c r="DG308" s="150">
        <f t="shared" si="820"/>
        <v>0.54107999567136011</v>
      </c>
      <c r="DH308" s="150"/>
      <c r="DI308" s="150">
        <f t="shared" si="821"/>
        <v>2.2222222222222219</v>
      </c>
      <c r="DJ308" s="314">
        <f t="shared" si="822"/>
        <v>993.60000000000014</v>
      </c>
      <c r="DK308" s="456">
        <f t="shared" si="823"/>
        <v>0.38888888888888884</v>
      </c>
      <c r="DM308" s="150">
        <f t="shared" si="824"/>
        <v>1.6848908400419131</v>
      </c>
      <c r="DN308" s="150">
        <f t="shared" si="825"/>
        <v>2.2284444444444444</v>
      </c>
      <c r="DO308" s="150">
        <f t="shared" si="826"/>
        <v>2.1099588477366256</v>
      </c>
      <c r="DQ308" s="314">
        <f t="shared" si="827"/>
        <v>1104</v>
      </c>
      <c r="DR308" s="144">
        <f t="shared" si="828"/>
        <v>185.26108547443303</v>
      </c>
      <c r="DT308">
        <f t="shared" si="829"/>
        <v>1104</v>
      </c>
      <c r="DU308">
        <f t="shared" si="830"/>
        <v>185.26108547443303</v>
      </c>
      <c r="DW308" s="5">
        <f t="shared" si="859"/>
        <v>5.3977876543209886</v>
      </c>
      <c r="DX308" s="5">
        <f t="shared" si="831"/>
        <v>0.44568888888888891</v>
      </c>
      <c r="DY308" s="5">
        <f t="shared" si="832"/>
        <v>4.9520987654320994</v>
      </c>
      <c r="DZ308" s="5"/>
      <c r="EA308" s="150">
        <f t="shared" si="833"/>
        <v>8.2568807339449532E-2</v>
      </c>
      <c r="EB308" s="150">
        <f t="shared" si="860"/>
        <v>5.52</v>
      </c>
      <c r="EC308" s="150">
        <f t="shared" si="861"/>
        <v>1.0222222222222224</v>
      </c>
      <c r="ED308" s="150">
        <f t="shared" si="862"/>
        <v>5.3999999999999986</v>
      </c>
      <c r="EE308" s="144">
        <f t="shared" si="834"/>
        <v>9.8408106666666679</v>
      </c>
      <c r="EF308" s="5">
        <f t="shared" si="835"/>
        <v>0.18983045267489715</v>
      </c>
      <c r="EH308" s="150">
        <f t="shared" si="863"/>
        <v>0.36969977809829146</v>
      </c>
      <c r="EI308" s="150">
        <f t="shared" si="864"/>
        <v>1.2323325936609717</v>
      </c>
      <c r="EK308" s="456">
        <f t="shared" si="865"/>
        <v>2.733558518518519E-3</v>
      </c>
      <c r="EL308" s="456">
        <f t="shared" si="866"/>
        <v>0.54</v>
      </c>
      <c r="EM308" s="456">
        <f t="shared" si="867"/>
        <v>2.3157635684304127E-2</v>
      </c>
      <c r="EN308" s="456">
        <f t="shared" si="868"/>
        <v>7.9239130434782604E-2</v>
      </c>
      <c r="EO308">
        <f t="shared" si="869"/>
        <v>2.7E-2</v>
      </c>
      <c r="EP308" s="144">
        <f t="shared" si="870"/>
        <v>50.157635684304125</v>
      </c>
      <c r="EQ308" s="144"/>
      <c r="ER308" s="144">
        <f t="shared" si="871"/>
        <v>672.13032463760533</v>
      </c>
      <c r="ES308" s="456">
        <f t="shared" si="872"/>
        <v>0.77280000000000004</v>
      </c>
      <c r="EV308" s="144">
        <f t="shared" si="873"/>
        <v>772.80000000000007</v>
      </c>
      <c r="EW308" s="456">
        <f t="shared" si="874"/>
        <v>4.1003377777777787E-3</v>
      </c>
      <c r="EX308" s="456">
        <f t="shared" si="875"/>
        <v>4.5559308641975327E-2</v>
      </c>
      <c r="EY308" s="456">
        <f t="shared" si="876"/>
        <v>0.17315500288201632</v>
      </c>
      <c r="EZ308" s="456"/>
      <c r="FA308" s="456">
        <f t="shared" si="877"/>
        <v>9.2000000000000003E-4</v>
      </c>
      <c r="FB308" s="144">
        <f t="shared" si="878"/>
        <v>223.73464930176942</v>
      </c>
      <c r="FC308" s="150">
        <f t="shared" si="879"/>
        <v>1.6686649739393749</v>
      </c>
      <c r="FD308" s="5">
        <f t="shared" si="880"/>
        <v>5.5200000000000005</v>
      </c>
      <c r="FE308" s="150">
        <f t="shared" si="881"/>
        <v>0.76787554017488879</v>
      </c>
      <c r="FF308" s="5">
        <f t="shared" si="882"/>
        <v>76.787554017488873</v>
      </c>
      <c r="FI308" s="59">
        <f t="shared" si="836"/>
        <v>-50</v>
      </c>
      <c r="FJ308">
        <f t="shared" si="837"/>
        <v>-50</v>
      </c>
      <c r="FL308">
        <f t="shared" si="838"/>
        <v>0.91743119266055051</v>
      </c>
    </row>
    <row r="309" spans="5:168">
      <c r="E309" s="147">
        <v>93</v>
      </c>
      <c r="F309" s="188">
        <f t="shared" si="839"/>
        <v>1.1160000000000001</v>
      </c>
      <c r="G309" s="188"/>
      <c r="H309" s="188">
        <f t="shared" si="764"/>
        <v>5.58</v>
      </c>
      <c r="I309" s="465">
        <f t="shared" si="765"/>
        <v>59.938564370973772</v>
      </c>
      <c r="J309" s="149">
        <f t="shared" si="766"/>
        <v>5.436861377415739</v>
      </c>
      <c r="K309" s="149">
        <f t="shared" si="767"/>
        <v>65.375425748389517</v>
      </c>
      <c r="L309" s="379"/>
      <c r="M309" s="188">
        <f t="shared" si="768"/>
        <v>8.3158522561879611E-2</v>
      </c>
      <c r="N309" s="149">
        <f t="shared" si="769"/>
        <v>12.834836328243512</v>
      </c>
      <c r="O309" s="149">
        <f t="shared" si="762"/>
        <v>5.58</v>
      </c>
      <c r="P309" s="188">
        <f t="shared" si="770"/>
        <v>2.5669672656487021</v>
      </c>
      <c r="Q309" s="188">
        <f t="shared" si="771"/>
        <v>5</v>
      </c>
      <c r="R309" s="188"/>
      <c r="S309" s="149">
        <f t="shared" si="772"/>
        <v>74.651864596286231</v>
      </c>
      <c r="T309" s="149">
        <f t="shared" si="773"/>
        <v>5</v>
      </c>
      <c r="U309" s="188">
        <f t="shared" si="774"/>
        <v>2.4344448358038453</v>
      </c>
      <c r="V309" s="188">
        <f t="shared" si="775"/>
        <v>0.48738801698415679</v>
      </c>
      <c r="W309" s="188">
        <f t="shared" si="776"/>
        <v>5.3731989840675123</v>
      </c>
      <c r="X309" s="172">
        <f t="shared" si="777"/>
        <v>350</v>
      </c>
      <c r="Y309" s="379">
        <f t="shared" si="840"/>
        <v>165.00051889800017</v>
      </c>
      <c r="AA309" s="188">
        <f t="shared" si="778"/>
        <v>1.1868361774131351</v>
      </c>
      <c r="AB309" s="150">
        <f t="shared" si="779"/>
        <v>2.619532325785944</v>
      </c>
      <c r="AC309" s="150">
        <f t="shared" si="780"/>
        <v>0.54406725312553761</v>
      </c>
      <c r="AD309" s="150"/>
      <c r="AE309" s="150">
        <f t="shared" si="781"/>
        <v>2.2071557773841692</v>
      </c>
      <c r="AF309" s="314">
        <f t="shared" si="782"/>
        <v>1011.2562161993276</v>
      </c>
      <c r="AG309" s="456">
        <f t="shared" si="783"/>
        <v>0.38625226104222959</v>
      </c>
      <c r="AI309" s="150">
        <f t="shared" si="784"/>
        <v>1.6997951273183547</v>
      </c>
      <c r="AJ309" s="150">
        <f t="shared" si="785"/>
        <v>2.4344448358038453</v>
      </c>
      <c r="AK309" s="150">
        <f t="shared" si="786"/>
        <v>2.2625517302250704</v>
      </c>
      <c r="AM309" s="314">
        <f t="shared" si="787"/>
        <v>1116</v>
      </c>
      <c r="AN309" s="144">
        <f t="shared" si="788"/>
        <v>165.00051889800017</v>
      </c>
      <c r="AP309">
        <f t="shared" si="789"/>
        <v>1116</v>
      </c>
      <c r="AQ309">
        <f t="shared" si="790"/>
        <v>165.00051889800017</v>
      </c>
      <c r="AS309" s="5">
        <f t="shared" si="763"/>
        <v>6.060587001051668</v>
      </c>
      <c r="AT309" s="5">
        <f t="shared" si="791"/>
        <v>0.48738801698415679</v>
      </c>
      <c r="AU309" s="5">
        <f t="shared" si="883"/>
        <v>5.5731989840675116</v>
      </c>
      <c r="AV309" s="5"/>
      <c r="AW309" s="150">
        <f t="shared" si="884"/>
        <v>8.0419275707053192E-2</v>
      </c>
      <c r="AX309" s="150">
        <f t="shared" si="792"/>
        <v>5.8672748935477115</v>
      </c>
      <c r="AY309" s="150">
        <f t="shared" si="793"/>
        <v>1.1193342726798621</v>
      </c>
      <c r="AZ309" s="150">
        <f t="shared" si="794"/>
        <v>5.2417539932021677</v>
      </c>
      <c r="BA309" s="144">
        <f t="shared" ref="BA309:BA316" si="885">F309*AT309/Vout_ripple*1000</f>
        <v>10.87850053908638</v>
      </c>
      <c r="BB309" s="5">
        <f t="shared" ref="BB309:BB316" si="886">H309/Efficiency/I309*AU309/Vinripple1</f>
        <v>0.21618281608746595</v>
      </c>
      <c r="BD309" s="150">
        <f t="shared" si="841"/>
        <v>0.39858356683156787</v>
      </c>
      <c r="BE309" s="150">
        <f t="shared" si="842"/>
        <v>1.3478272737171588</v>
      </c>
      <c r="BG309" s="456">
        <f t="shared" si="843"/>
        <v>3.1773771949634988E-3</v>
      </c>
      <c r="BH309" s="456">
        <f t="shared" si="795"/>
        <v>0.49238073259455145</v>
      </c>
      <c r="BI309" s="456">
        <f t="shared" si="796"/>
        <v>0.2472473555802964</v>
      </c>
      <c r="BJ309" s="456">
        <f t="shared" si="844"/>
        <v>7.0520335588641014E-2</v>
      </c>
      <c r="BK309">
        <f t="shared" si="845"/>
        <v>2.6972353966938197E-2</v>
      </c>
      <c r="BL309" s="144">
        <f t="shared" si="846"/>
        <v>274.21970954723457</v>
      </c>
      <c r="BM309" s="456">
        <f t="shared" si="797"/>
        <v>0.56736466623748749</v>
      </c>
      <c r="BN309" s="144">
        <f t="shared" si="847"/>
        <v>567.36466623748754</v>
      </c>
      <c r="BO309" s="456">
        <f t="shared" si="798"/>
        <v>0.78120000000000001</v>
      </c>
      <c r="BR309" s="144">
        <f t="shared" si="848"/>
        <v>781.2</v>
      </c>
      <c r="BS309" s="456">
        <f t="shared" si="849"/>
        <v>4.7660657924452482E-3</v>
      </c>
      <c r="BT309" s="456">
        <f t="shared" si="850"/>
        <v>5.4499150793274866E-2</v>
      </c>
      <c r="BU309" s="456">
        <f t="shared" si="851"/>
        <v>0.16168998627544101</v>
      </c>
      <c r="BV309" s="456"/>
      <c r="BW309" s="456">
        <f t="shared" si="852"/>
        <v>9.7787914892461859E-4</v>
      </c>
      <c r="BX309" s="144">
        <f t="shared" si="853"/>
        <v>221.93308201008574</v>
      </c>
      <c r="BY309" s="150">
        <f t="shared" si="854"/>
        <v>1.8434312369354764</v>
      </c>
      <c r="BZ309" s="5">
        <f t="shared" si="855"/>
        <v>5.58</v>
      </c>
      <c r="CA309" s="150">
        <f t="shared" si="856"/>
        <v>0.7516739661083629</v>
      </c>
      <c r="CB309" s="5">
        <f t="shared" si="857"/>
        <v>75.167396610836292</v>
      </c>
      <c r="CE309" s="59">
        <f t="shared" si="799"/>
        <v>-50</v>
      </c>
      <c r="CF309">
        <f t="shared" si="800"/>
        <v>-50</v>
      </c>
      <c r="CG309" s="150">
        <f t="shared" si="801"/>
        <v>0.90826774112095476</v>
      </c>
      <c r="CI309" s="147">
        <v>93</v>
      </c>
      <c r="CJ309" s="188">
        <f t="shared" si="858"/>
        <v>1.1160000000000001</v>
      </c>
      <c r="CK309" s="188"/>
      <c r="CL309" s="188">
        <f t="shared" si="802"/>
        <v>5.58</v>
      </c>
      <c r="CM309" s="465">
        <f t="shared" si="803"/>
        <v>60</v>
      </c>
      <c r="CN309" s="379">
        <f t="shared" si="804"/>
        <v>5.4</v>
      </c>
      <c r="CO309" s="379">
        <f t="shared" si="805"/>
        <v>65.400000000000006</v>
      </c>
      <c r="CP309" s="379"/>
      <c r="CQ309" s="188">
        <f t="shared" si="806"/>
        <v>8.2568807339449546E-2</v>
      </c>
      <c r="CR309" s="149">
        <f t="shared" si="807"/>
        <v>12.756880733944957</v>
      </c>
      <c r="CS309" s="149">
        <f t="shared" si="808"/>
        <v>5.58</v>
      </c>
      <c r="CT309" s="188">
        <f t="shared" si="809"/>
        <v>2.5513761467889915</v>
      </c>
      <c r="CU309" s="188">
        <f t="shared" si="810"/>
        <v>5</v>
      </c>
      <c r="CV309" s="188"/>
      <c r="CW309" s="149">
        <f t="shared" si="811"/>
        <v>74.728056706559755</v>
      </c>
      <c r="CX309" s="149">
        <f t="shared" si="812"/>
        <v>5</v>
      </c>
      <c r="CY309" s="188">
        <f t="shared" si="813"/>
        <v>2.2526666666666664</v>
      </c>
      <c r="CZ309" s="188">
        <f t="shared" si="814"/>
        <v>0.45053333333333334</v>
      </c>
      <c r="DA309" s="188">
        <f t="shared" si="815"/>
        <v>5.0059259259259257</v>
      </c>
      <c r="DB309" s="172">
        <f t="shared" si="816"/>
        <v>350</v>
      </c>
      <c r="DC309" s="379">
        <f t="shared" si="817"/>
        <v>183.26903079191229</v>
      </c>
      <c r="DE309" s="188">
        <f t="shared" si="818"/>
        <v>1.179554390563565</v>
      </c>
      <c r="DF309" s="150">
        <f t="shared" si="819"/>
        <v>2.6212319790301444</v>
      </c>
      <c r="DG309" s="150">
        <f t="shared" si="820"/>
        <v>0.54107999567136011</v>
      </c>
      <c r="DH309" s="150"/>
      <c r="DI309" s="150">
        <f t="shared" si="821"/>
        <v>2.2222222222222219</v>
      </c>
      <c r="DJ309" s="314">
        <f t="shared" si="822"/>
        <v>1004.4000000000001</v>
      </c>
      <c r="DK309" s="456">
        <f t="shared" si="823"/>
        <v>0.38888888888888884</v>
      </c>
      <c r="DM309" s="150">
        <f t="shared" si="824"/>
        <v>1.6940231066057767</v>
      </c>
      <c r="DN309" s="150">
        <f t="shared" si="825"/>
        <v>2.2526666666666664</v>
      </c>
      <c r="DO309" s="150">
        <f t="shared" si="826"/>
        <v>2.1279012345679007</v>
      </c>
      <c r="DQ309" s="314">
        <f t="shared" si="827"/>
        <v>1116</v>
      </c>
      <c r="DR309" s="144">
        <f t="shared" si="828"/>
        <v>183.26903079191229</v>
      </c>
      <c r="DT309">
        <f t="shared" si="829"/>
        <v>1116</v>
      </c>
      <c r="DU309">
        <f t="shared" si="830"/>
        <v>183.26903079191229</v>
      </c>
      <c r="DW309" s="5">
        <f t="shared" si="859"/>
        <v>5.4564592592592582</v>
      </c>
      <c r="DX309" s="5">
        <f t="shared" si="831"/>
        <v>0.45053333333333334</v>
      </c>
      <c r="DY309" s="5">
        <f t="shared" si="832"/>
        <v>5.0059259259259248</v>
      </c>
      <c r="DZ309" s="5"/>
      <c r="EA309" s="150">
        <f t="shared" si="833"/>
        <v>8.256880733944956E-2</v>
      </c>
      <c r="EB309" s="150">
        <f t="shared" si="860"/>
        <v>5.58</v>
      </c>
      <c r="EC309" s="150">
        <f t="shared" si="861"/>
        <v>1.0333333333333332</v>
      </c>
      <c r="ED309" s="150">
        <f t="shared" si="862"/>
        <v>5.4</v>
      </c>
      <c r="EE309" s="144">
        <f t="shared" si="834"/>
        <v>10.055904000000004</v>
      </c>
      <c r="EF309" s="5">
        <f t="shared" si="835"/>
        <v>0.19397962962962956</v>
      </c>
      <c r="EH309" s="150">
        <f t="shared" si="863"/>
        <v>0.37371825394718589</v>
      </c>
      <c r="EI309" s="150">
        <f t="shared" si="864"/>
        <v>1.245727513157286</v>
      </c>
      <c r="EK309" s="456">
        <f t="shared" si="865"/>
        <v>2.7933066666666661E-3</v>
      </c>
      <c r="EL309" s="456">
        <f t="shared" si="866"/>
        <v>0.54</v>
      </c>
      <c r="EM309" s="456">
        <f t="shared" si="867"/>
        <v>2.2908628848989032E-2</v>
      </c>
      <c r="EN309" s="456">
        <f t="shared" si="868"/>
        <v>7.838709677419356E-2</v>
      </c>
      <c r="EO309">
        <f t="shared" si="869"/>
        <v>2.7E-2</v>
      </c>
      <c r="EP309" s="144">
        <f t="shared" si="870"/>
        <v>49.908628848989025</v>
      </c>
      <c r="EQ309" s="144"/>
      <c r="ER309" s="144">
        <f t="shared" si="871"/>
        <v>671.08903228984923</v>
      </c>
      <c r="ES309" s="456">
        <f t="shared" si="872"/>
        <v>0.78120000000000001</v>
      </c>
      <c r="EV309" s="144">
        <f t="shared" si="873"/>
        <v>781.2</v>
      </c>
      <c r="EW309" s="456">
        <f t="shared" si="874"/>
        <v>4.1899599999999995E-3</v>
      </c>
      <c r="EX309" s="456">
        <f t="shared" si="875"/>
        <v>4.6555111111111089E-2</v>
      </c>
      <c r="EY309" s="456">
        <f t="shared" si="876"/>
        <v>0.17315500288201655</v>
      </c>
      <c r="EZ309" s="456"/>
      <c r="FA309" s="456">
        <f t="shared" si="877"/>
        <v>9.2999999999999984E-4</v>
      </c>
      <c r="FB309" s="144">
        <f t="shared" si="878"/>
        <v>224.83007399312763</v>
      </c>
      <c r="FC309" s="150">
        <f t="shared" si="879"/>
        <v>1.6771191062829771</v>
      </c>
      <c r="FD309" s="5">
        <f t="shared" si="880"/>
        <v>5.58</v>
      </c>
      <c r="FE309" s="150">
        <f t="shared" si="881"/>
        <v>0.768900154218086</v>
      </c>
      <c r="FF309" s="5">
        <f t="shared" si="882"/>
        <v>76.890015421808599</v>
      </c>
      <c r="FI309" s="59">
        <f t="shared" si="836"/>
        <v>-50</v>
      </c>
      <c r="FJ309">
        <f t="shared" si="837"/>
        <v>-50</v>
      </c>
      <c r="FL309">
        <f t="shared" si="838"/>
        <v>0.9174311926605504</v>
      </c>
    </row>
    <row r="310" spans="5:168">
      <c r="E310" s="147">
        <v>94</v>
      </c>
      <c r="F310" s="188">
        <f t="shared" si="839"/>
        <v>1.1279999999999999</v>
      </c>
      <c r="G310" s="188"/>
      <c r="H310" s="188">
        <f t="shared" si="764"/>
        <v>5.64</v>
      </c>
      <c r="I310" s="465">
        <f t="shared" si="765"/>
        <v>59.937910436826932</v>
      </c>
      <c r="J310" s="149">
        <f t="shared" si="766"/>
        <v>5.4372537379038421</v>
      </c>
      <c r="K310" s="149">
        <f t="shared" si="767"/>
        <v>65.37516417473077</v>
      </c>
      <c r="L310" s="379"/>
      <c r="M310" s="188">
        <f t="shared" si="768"/>
        <v>8.3164857553625002E-2</v>
      </c>
      <c r="N310" s="149">
        <f t="shared" si="769"/>
        <v>12.835674042617162</v>
      </c>
      <c r="O310" s="149">
        <f t="shared" si="762"/>
        <v>5.64</v>
      </c>
      <c r="P310" s="188">
        <f t="shared" si="770"/>
        <v>2.5671348085234325</v>
      </c>
      <c r="Q310" s="188">
        <f t="shared" si="771"/>
        <v>5</v>
      </c>
      <c r="R310" s="188"/>
      <c r="S310" s="149">
        <f t="shared" si="772"/>
        <v>73.228825104846393</v>
      </c>
      <c r="T310" s="149">
        <f t="shared" si="773"/>
        <v>5</v>
      </c>
      <c r="U310" s="188">
        <f t="shared" si="774"/>
        <v>2.4606386639809146</v>
      </c>
      <c r="V310" s="188">
        <f t="shared" si="775"/>
        <v>0.49263752694369289</v>
      </c>
      <c r="W310" s="188">
        <f t="shared" si="776"/>
        <v>5.430620933124672</v>
      </c>
      <c r="X310" s="172">
        <f t="shared" si="777"/>
        <v>350</v>
      </c>
      <c r="Y310" s="379">
        <f t="shared" si="840"/>
        <v>163.31174104789221</v>
      </c>
      <c r="AA310" s="188">
        <f t="shared" si="778"/>
        <v>1.1869136270513965</v>
      </c>
      <c r="AB310" s="150">
        <f t="shared" si="779"/>
        <v>2.6195142274356455</v>
      </c>
      <c r="AC310" s="150">
        <f t="shared" si="780"/>
        <v>0.5440989982397163</v>
      </c>
      <c r="AD310" s="150"/>
      <c r="AE310" s="150">
        <f t="shared" si="781"/>
        <v>2.2069965056709333</v>
      </c>
      <c r="AF310" s="314">
        <f t="shared" si="782"/>
        <v>1022.2037027259222</v>
      </c>
      <c r="AG310" s="456">
        <f t="shared" si="783"/>
        <v>0.38622438849241331</v>
      </c>
      <c r="AI310" s="150">
        <f t="shared" si="784"/>
        <v>1.7089710377266052</v>
      </c>
      <c r="AJ310" s="150">
        <f t="shared" si="785"/>
        <v>2.4606386639809146</v>
      </c>
      <c r="AK310" s="150">
        <f t="shared" si="786"/>
        <v>2.2819545659117884</v>
      </c>
      <c r="AM310" s="314">
        <f t="shared" si="787"/>
        <v>1128</v>
      </c>
      <c r="AN310" s="144">
        <f t="shared" si="788"/>
        <v>163.31174104789221</v>
      </c>
      <c r="AP310">
        <f t="shared" si="789"/>
        <v>1128</v>
      </c>
      <c r="AQ310">
        <f t="shared" si="790"/>
        <v>163.31174104789221</v>
      </c>
      <c r="AS310" s="5">
        <f t="shared" si="763"/>
        <v>6.1232584600683646</v>
      </c>
      <c r="AT310" s="5">
        <f t="shared" si="791"/>
        <v>0.49263752694369289</v>
      </c>
      <c r="AU310" s="5">
        <f t="shared" si="883"/>
        <v>5.6306209331246713</v>
      </c>
      <c r="AV310" s="5"/>
      <c r="AW310" s="150">
        <f t="shared" si="884"/>
        <v>8.0453492230702403E-2</v>
      </c>
      <c r="AX310" s="150">
        <f t="shared" si="792"/>
        <v>5.9328633675967826</v>
      </c>
      <c r="AY310" s="150">
        <f t="shared" si="793"/>
        <v>1.1313358451728801</v>
      </c>
      <c r="AZ310" s="150">
        <f t="shared" si="794"/>
        <v>5.2441221525073995</v>
      </c>
      <c r="BA310" s="144">
        <f t="shared" si="885"/>
        <v>11.11390260784971</v>
      </c>
      <c r="BB310" s="5">
        <f t="shared" si="886"/>
        <v>0.2207611025544364</v>
      </c>
      <c r="BD310" s="150">
        <f t="shared" si="841"/>
        <v>0.4029578925553518</v>
      </c>
      <c r="BE310" s="150">
        <f t="shared" si="842"/>
        <v>1.362304107649956</v>
      </c>
      <c r="BG310" s="456">
        <f t="shared" si="843"/>
        <v>3.2475012634530088E-3</v>
      </c>
      <c r="BH310" s="456">
        <f t="shared" si="795"/>
        <v>0.49258288401966638</v>
      </c>
      <c r="BI310" s="456">
        <f t="shared" si="796"/>
        <v>0.24471411270527088</v>
      </c>
      <c r="BJ310" s="456">
        <f t="shared" si="844"/>
        <v>6.9798002464610723E-2</v>
      </c>
      <c r="BK310">
        <f t="shared" si="845"/>
        <v>2.6972059696572119E-2</v>
      </c>
      <c r="BL310" s="144">
        <f t="shared" si="846"/>
        <v>271.68617240184301</v>
      </c>
      <c r="BM310" s="456">
        <f t="shared" si="797"/>
        <v>0.56694266962459494</v>
      </c>
      <c r="BN310" s="144">
        <f t="shared" si="847"/>
        <v>566.94266962459494</v>
      </c>
      <c r="BO310" s="456">
        <f t="shared" si="798"/>
        <v>0.78959999999999986</v>
      </c>
      <c r="BR310" s="144">
        <f t="shared" si="848"/>
        <v>789.59999999999991</v>
      </c>
      <c r="BS310" s="456">
        <f t="shared" si="849"/>
        <v>4.871251895179513E-3</v>
      </c>
      <c r="BT310" s="456">
        <f t="shared" si="850"/>
        <v>5.5676174451598288E-2</v>
      </c>
      <c r="BU310" s="456">
        <f t="shared" si="851"/>
        <v>0.16185761466394988</v>
      </c>
      <c r="BV310" s="456"/>
      <c r="BW310" s="456">
        <f t="shared" si="852"/>
        <v>9.8881056126613048E-4</v>
      </c>
      <c r="BX310" s="144">
        <f t="shared" si="853"/>
        <v>223.39385157199379</v>
      </c>
      <c r="BY310" s="150">
        <f t="shared" si="854"/>
        <v>1.8503084117215669</v>
      </c>
      <c r="BZ310" s="5">
        <f t="shared" si="855"/>
        <v>5.64</v>
      </c>
      <c r="CA310" s="150">
        <f t="shared" si="856"/>
        <v>0.75297300057417882</v>
      </c>
      <c r="CB310" s="5">
        <f t="shared" si="857"/>
        <v>75.297300057417885</v>
      </c>
      <c r="CE310" s="59">
        <f t="shared" si="799"/>
        <v>-50</v>
      </c>
      <c r="CF310">
        <f t="shared" si="800"/>
        <v>-50</v>
      </c>
      <c r="CG310" s="150">
        <f t="shared" si="801"/>
        <v>0.90836522464797187</v>
      </c>
      <c r="CI310" s="147">
        <v>94</v>
      </c>
      <c r="CJ310" s="188">
        <f t="shared" si="858"/>
        <v>1.1279999999999999</v>
      </c>
      <c r="CK310" s="188"/>
      <c r="CL310" s="188">
        <f t="shared" si="802"/>
        <v>5.64</v>
      </c>
      <c r="CM310" s="465">
        <f t="shared" si="803"/>
        <v>60</v>
      </c>
      <c r="CN310" s="379">
        <f t="shared" si="804"/>
        <v>5.4</v>
      </c>
      <c r="CO310" s="379">
        <f t="shared" si="805"/>
        <v>65.400000000000006</v>
      </c>
      <c r="CP310" s="379"/>
      <c r="CQ310" s="188">
        <f t="shared" si="806"/>
        <v>8.2568807339449546E-2</v>
      </c>
      <c r="CR310" s="149">
        <f t="shared" si="807"/>
        <v>12.756880733944957</v>
      </c>
      <c r="CS310" s="149">
        <f t="shared" si="808"/>
        <v>5.64</v>
      </c>
      <c r="CT310" s="188">
        <f t="shared" si="809"/>
        <v>2.5513761467889915</v>
      </c>
      <c r="CU310" s="188">
        <f t="shared" si="810"/>
        <v>5</v>
      </c>
      <c r="CV310" s="188"/>
      <c r="CW310" s="149">
        <f t="shared" si="811"/>
        <v>73.304348695365306</v>
      </c>
      <c r="CX310" s="149">
        <f t="shared" si="812"/>
        <v>5</v>
      </c>
      <c r="CY310" s="188">
        <f t="shared" si="813"/>
        <v>2.2768888888888887</v>
      </c>
      <c r="CZ310" s="188">
        <f t="shared" si="814"/>
        <v>0.45537777777777777</v>
      </c>
      <c r="DA310" s="188">
        <f t="shared" si="815"/>
        <v>5.0597530864197529</v>
      </c>
      <c r="DB310" s="172">
        <f t="shared" si="816"/>
        <v>350</v>
      </c>
      <c r="DC310" s="379">
        <f t="shared" si="817"/>
        <v>181.31936025157279</v>
      </c>
      <c r="DE310" s="188">
        <f t="shared" si="818"/>
        <v>1.179554390563565</v>
      </c>
      <c r="DF310" s="150">
        <f t="shared" si="819"/>
        <v>2.6212319790301444</v>
      </c>
      <c r="DG310" s="150">
        <f t="shared" si="820"/>
        <v>0.54107999567136011</v>
      </c>
      <c r="DH310" s="150"/>
      <c r="DI310" s="150">
        <f t="shared" si="821"/>
        <v>2.2222222222222219</v>
      </c>
      <c r="DJ310" s="314">
        <f t="shared" si="822"/>
        <v>1015.2</v>
      </c>
      <c r="DK310" s="456">
        <f t="shared" si="823"/>
        <v>0.38888888888888884</v>
      </c>
      <c r="DM310" s="150">
        <f t="shared" si="824"/>
        <v>1.7031064055341429</v>
      </c>
      <c r="DN310" s="150">
        <f t="shared" si="825"/>
        <v>2.2768888888888887</v>
      </c>
      <c r="DO310" s="150">
        <f t="shared" si="826"/>
        <v>2.1458436213991767</v>
      </c>
      <c r="DQ310" s="314">
        <f t="shared" si="827"/>
        <v>1128</v>
      </c>
      <c r="DR310" s="144">
        <f t="shared" si="828"/>
        <v>181.31936025157279</v>
      </c>
      <c r="DT310">
        <f t="shared" si="829"/>
        <v>1128</v>
      </c>
      <c r="DU310">
        <f t="shared" si="830"/>
        <v>181.31936025157279</v>
      </c>
      <c r="DW310" s="5">
        <f t="shared" si="859"/>
        <v>5.5151308641975305</v>
      </c>
      <c r="DX310" s="5">
        <f t="shared" si="831"/>
        <v>0.45537777777777777</v>
      </c>
      <c r="DY310" s="5">
        <f t="shared" si="832"/>
        <v>5.0597530864197529</v>
      </c>
      <c r="DZ310" s="5"/>
      <c r="EA310" s="150">
        <f t="shared" si="833"/>
        <v>8.2568807339449546E-2</v>
      </c>
      <c r="EB310" s="150">
        <f t="shared" si="860"/>
        <v>5.64</v>
      </c>
      <c r="EC310" s="150">
        <f t="shared" si="861"/>
        <v>1.0444444444444445</v>
      </c>
      <c r="ED310" s="150">
        <f t="shared" si="862"/>
        <v>5.3999999999999995</v>
      </c>
      <c r="EE310" s="144">
        <f t="shared" si="834"/>
        <v>10.273322666666665</v>
      </c>
      <c r="EF310" s="5">
        <f t="shared" si="835"/>
        <v>0.19817366255144028</v>
      </c>
      <c r="EH310" s="150">
        <f t="shared" si="863"/>
        <v>0.37773672979608036</v>
      </c>
      <c r="EI310" s="150">
        <f t="shared" si="864"/>
        <v>1.2591224326536015</v>
      </c>
      <c r="EK310" s="456">
        <f t="shared" si="865"/>
        <v>2.8537007407407407E-3</v>
      </c>
      <c r="EL310" s="456">
        <f t="shared" si="866"/>
        <v>0.54</v>
      </c>
      <c r="EM310" s="456">
        <f t="shared" si="867"/>
        <v>2.2664920031446597E-2</v>
      </c>
      <c r="EN310" s="456">
        <f t="shared" si="868"/>
        <v>7.7553191489361711E-2</v>
      </c>
      <c r="EO310">
        <f t="shared" si="869"/>
        <v>2.7E-2</v>
      </c>
      <c r="EP310" s="144">
        <f t="shared" si="870"/>
        <v>49.664920031446599</v>
      </c>
      <c r="EQ310" s="144"/>
      <c r="ER310" s="144">
        <f t="shared" si="871"/>
        <v>670.0718122615491</v>
      </c>
      <c r="ES310" s="456">
        <f t="shared" si="872"/>
        <v>0.78959999999999986</v>
      </c>
      <c r="EV310" s="144">
        <f t="shared" si="873"/>
        <v>789.59999999999991</v>
      </c>
      <c r="EW310" s="456">
        <f t="shared" si="874"/>
        <v>4.2805511111111104E-3</v>
      </c>
      <c r="EX310" s="456">
        <f t="shared" si="875"/>
        <v>4.756167901234569E-2</v>
      </c>
      <c r="EY310" s="456">
        <f t="shared" si="876"/>
        <v>0.17315500288201643</v>
      </c>
      <c r="EZ310" s="456"/>
      <c r="FA310" s="456">
        <f t="shared" si="877"/>
        <v>9.4000000000000008E-4</v>
      </c>
      <c r="FB310" s="144">
        <f t="shared" si="878"/>
        <v>225.93723300547325</v>
      </c>
      <c r="FC310" s="150">
        <f t="shared" si="879"/>
        <v>1.6856090452670218</v>
      </c>
      <c r="FD310" s="5">
        <f t="shared" si="880"/>
        <v>5.64</v>
      </c>
      <c r="FE310" s="150">
        <f t="shared" si="881"/>
        <v>0.76990185596157756</v>
      </c>
      <c r="FF310" s="5">
        <f t="shared" si="882"/>
        <v>76.990185596157758</v>
      </c>
      <c r="FI310" s="59">
        <f t="shared" si="836"/>
        <v>-50</v>
      </c>
      <c r="FJ310">
        <f t="shared" si="837"/>
        <v>-50</v>
      </c>
      <c r="FL310">
        <f t="shared" si="838"/>
        <v>0.91743119266055051</v>
      </c>
    </row>
    <row r="311" spans="5:168">
      <c r="E311" s="147">
        <v>95</v>
      </c>
      <c r="F311" s="188">
        <f t="shared" si="839"/>
        <v>1.1399999999999999</v>
      </c>
      <c r="G311" s="188"/>
      <c r="H311" s="188">
        <f t="shared" si="764"/>
        <v>5.6999999999999993</v>
      </c>
      <c r="I311" s="465">
        <f t="shared" si="765"/>
        <v>59.937256501280018</v>
      </c>
      <c r="J311" s="149">
        <f t="shared" si="766"/>
        <v>5.4376460992319888</v>
      </c>
      <c r="K311" s="149">
        <f t="shared" si="767"/>
        <v>65.374902600512002</v>
      </c>
      <c r="L311" s="379"/>
      <c r="M311" s="188">
        <f t="shared" si="768"/>
        <v>8.317119259783852E-2</v>
      </c>
      <c r="N311" s="149">
        <f t="shared" si="769"/>
        <v>12.836511743454075</v>
      </c>
      <c r="O311" s="149">
        <f t="shared" si="762"/>
        <v>5.6999999999999993</v>
      </c>
      <c r="P311" s="188">
        <f t="shared" si="770"/>
        <v>2.5673023486908151</v>
      </c>
      <c r="Q311" s="188">
        <f t="shared" si="771"/>
        <v>5</v>
      </c>
      <c r="R311" s="188"/>
      <c r="S311" s="149">
        <f t="shared" si="772"/>
        <v>71.835992384344166</v>
      </c>
      <c r="T311" s="149">
        <f t="shared" si="773"/>
        <v>5</v>
      </c>
      <c r="U311" s="188">
        <f t="shared" si="774"/>
        <v>2.4868328542821314</v>
      </c>
      <c r="V311" s="188">
        <f t="shared" si="775"/>
        <v>0.49788722396308338</v>
      </c>
      <c r="W311" s="188">
        <f t="shared" si="776"/>
        <v>5.4880353937709287</v>
      </c>
      <c r="X311" s="172">
        <f t="shared" si="777"/>
        <v>350</v>
      </c>
      <c r="Y311" s="379">
        <f t="shared" si="840"/>
        <v>161.65737300579323</v>
      </c>
      <c r="AA311" s="188">
        <f t="shared" si="778"/>
        <v>1.1869910756063338</v>
      </c>
      <c r="AB311" s="150">
        <f t="shared" si="779"/>
        <v>2.61949612890177</v>
      </c>
      <c r="AC311" s="150">
        <f t="shared" si="780"/>
        <v>0.54413074232855441</v>
      </c>
      <c r="AD311" s="150"/>
      <c r="AE311" s="150">
        <f t="shared" si="781"/>
        <v>2.2068372566016898</v>
      </c>
      <c r="AF311" s="314">
        <f t="shared" si="782"/>
        <v>1033.1527588540778</v>
      </c>
      <c r="AG311" s="456">
        <f t="shared" si="783"/>
        <v>0.38619651990529569</v>
      </c>
      <c r="AI311" s="150">
        <f t="shared" si="784"/>
        <v>1.718099247801874</v>
      </c>
      <c r="AJ311" s="150">
        <f t="shared" si="785"/>
        <v>2.4868328542821314</v>
      </c>
      <c r="AK311" s="150">
        <f t="shared" si="786"/>
        <v>2.301357669838616</v>
      </c>
      <c r="AM311" s="314">
        <f t="shared" si="787"/>
        <v>1140</v>
      </c>
      <c r="AN311" s="144">
        <f t="shared" si="788"/>
        <v>161.65737300579323</v>
      </c>
      <c r="AP311">
        <f t="shared" si="789"/>
        <v>1140</v>
      </c>
      <c r="AQ311">
        <f t="shared" si="790"/>
        <v>161.65737300579323</v>
      </c>
      <c r="AS311" s="5">
        <f t="shared" si="763"/>
        <v>6.1859226177340112</v>
      </c>
      <c r="AT311" s="5">
        <f t="shared" si="791"/>
        <v>0.49788722396308338</v>
      </c>
      <c r="AU311" s="5">
        <f t="shared" si="883"/>
        <v>5.688035393770928</v>
      </c>
      <c r="AV311" s="5"/>
      <c r="AW311" s="150">
        <f t="shared" si="884"/>
        <v>8.048714067901909E-2</v>
      </c>
      <c r="AX311" s="150">
        <f t="shared" si="792"/>
        <v>5.9984626649620969</v>
      </c>
      <c r="AY311" s="150">
        <f t="shared" si="793"/>
        <v>1.1433373942471594</v>
      </c>
      <c r="AZ311" s="150">
        <f t="shared" si="794"/>
        <v>5.2464501687289236</v>
      </c>
      <c r="BA311" s="144">
        <f t="shared" si="885"/>
        <v>11.351828706358299</v>
      </c>
      <c r="BB311" s="5">
        <f t="shared" si="886"/>
        <v>0.22538709391741099</v>
      </c>
      <c r="BD311" s="150">
        <f t="shared" si="841"/>
        <v>0.40733264622856524</v>
      </c>
      <c r="BE311" s="150">
        <f t="shared" si="842"/>
        <v>1.3767810272620595</v>
      </c>
      <c r="BG311" s="456">
        <f t="shared" si="843"/>
        <v>3.3183976936713099E-3</v>
      </c>
      <c r="BH311" s="456">
        <f t="shared" si="795"/>
        <v>0.49278155119001943</v>
      </c>
      <c r="BI311" s="456">
        <f t="shared" si="796"/>
        <v>0.24223248577928322</v>
      </c>
      <c r="BJ311" s="456">
        <f t="shared" si="844"/>
        <v>6.9090387224921529E-2</v>
      </c>
      <c r="BK311">
        <f t="shared" si="845"/>
        <v>2.6971765425576007E-2</v>
      </c>
      <c r="BL311" s="144">
        <f t="shared" si="846"/>
        <v>269.20425120485925</v>
      </c>
      <c r="BM311" s="456">
        <f t="shared" si="797"/>
        <v>0.56653298715159306</v>
      </c>
      <c r="BN311" s="144">
        <f t="shared" si="847"/>
        <v>566.53298715159303</v>
      </c>
      <c r="BO311" s="456">
        <f t="shared" si="798"/>
        <v>0.79799999999999993</v>
      </c>
      <c r="BR311" s="144">
        <f t="shared" si="848"/>
        <v>797.99999999999989</v>
      </c>
      <c r="BS311" s="456">
        <f t="shared" si="849"/>
        <v>4.9775965405069646E-3</v>
      </c>
      <c r="BT311" s="456">
        <f t="shared" si="850"/>
        <v>5.6865779910863154E-2</v>
      </c>
      <c r="BU311" s="456">
        <f t="shared" si="851"/>
        <v>0.16202248462598834</v>
      </c>
      <c r="BV311" s="456"/>
      <c r="BW311" s="456">
        <f t="shared" si="852"/>
        <v>9.9974377749368292E-4</v>
      </c>
      <c r="BX311" s="144">
        <f t="shared" si="853"/>
        <v>224.86560485485214</v>
      </c>
      <c r="BY311" s="150">
        <f t="shared" si="854"/>
        <v>1.8572601921683236</v>
      </c>
      <c r="BZ311" s="5">
        <f t="shared" si="855"/>
        <v>5.6999999999999993</v>
      </c>
      <c r="CA311" s="150">
        <f t="shared" si="856"/>
        <v>0.75424159749150566</v>
      </c>
      <c r="CB311" s="5">
        <f t="shared" si="857"/>
        <v>75.424159749150562</v>
      </c>
      <c r="CE311" s="59">
        <f t="shared" si="799"/>
        <v>-50</v>
      </c>
      <c r="CF311">
        <f t="shared" si="800"/>
        <v>-50</v>
      </c>
      <c r="CG311" s="150">
        <f t="shared" si="801"/>
        <v>0.90846065589020952</v>
      </c>
      <c r="CI311" s="147">
        <v>95</v>
      </c>
      <c r="CJ311" s="188">
        <f t="shared" si="858"/>
        <v>1.1399999999999999</v>
      </c>
      <c r="CK311" s="188"/>
      <c r="CL311" s="188">
        <f t="shared" si="802"/>
        <v>5.6999999999999993</v>
      </c>
      <c r="CM311" s="465">
        <f t="shared" si="803"/>
        <v>60</v>
      </c>
      <c r="CN311" s="379">
        <f t="shared" si="804"/>
        <v>5.4</v>
      </c>
      <c r="CO311" s="379">
        <f t="shared" si="805"/>
        <v>65.400000000000006</v>
      </c>
      <c r="CP311" s="379"/>
      <c r="CQ311" s="188">
        <f t="shared" si="806"/>
        <v>8.2568807339449546E-2</v>
      </c>
      <c r="CR311" s="149">
        <f t="shared" si="807"/>
        <v>12.756880733944957</v>
      </c>
      <c r="CS311" s="149">
        <f t="shared" si="808"/>
        <v>5.6999999999999993</v>
      </c>
      <c r="CT311" s="188">
        <f t="shared" si="809"/>
        <v>2.5513761467889915</v>
      </c>
      <c r="CU311" s="188">
        <f t="shared" si="810"/>
        <v>5</v>
      </c>
      <c r="CV311" s="188"/>
      <c r="CW311" s="149">
        <f t="shared" si="811"/>
        <v>71.910847778075464</v>
      </c>
      <c r="CX311" s="149">
        <f t="shared" si="812"/>
        <v>5</v>
      </c>
      <c r="CY311" s="188">
        <f t="shared" si="813"/>
        <v>2.3011111111111107</v>
      </c>
      <c r="CZ311" s="188">
        <f t="shared" si="814"/>
        <v>0.46022222222222214</v>
      </c>
      <c r="DA311" s="188">
        <f t="shared" si="815"/>
        <v>5.1135802469135792</v>
      </c>
      <c r="DB311" s="172">
        <f t="shared" si="816"/>
        <v>350</v>
      </c>
      <c r="DC311" s="379">
        <f t="shared" si="817"/>
        <v>179.41073540681944</v>
      </c>
      <c r="DE311" s="188">
        <f t="shared" si="818"/>
        <v>1.179554390563565</v>
      </c>
      <c r="DF311" s="150">
        <f t="shared" si="819"/>
        <v>2.6212319790301444</v>
      </c>
      <c r="DG311" s="150">
        <f t="shared" si="820"/>
        <v>0.54107999567136011</v>
      </c>
      <c r="DH311" s="150"/>
      <c r="DI311" s="150">
        <f t="shared" si="821"/>
        <v>2.2222222222222219</v>
      </c>
      <c r="DJ311" s="314">
        <f t="shared" si="822"/>
        <v>1026</v>
      </c>
      <c r="DK311" s="456">
        <f t="shared" si="823"/>
        <v>0.38888888888888884</v>
      </c>
      <c r="DM311" s="150">
        <f t="shared" si="824"/>
        <v>1.7121415161804154</v>
      </c>
      <c r="DN311" s="150">
        <f t="shared" si="825"/>
        <v>2.3011111111111107</v>
      </c>
      <c r="DO311" s="150">
        <f t="shared" si="826"/>
        <v>2.1637860082304523</v>
      </c>
      <c r="DQ311" s="314">
        <f t="shared" si="827"/>
        <v>1140</v>
      </c>
      <c r="DR311" s="144">
        <f t="shared" si="828"/>
        <v>179.41073540681944</v>
      </c>
      <c r="DT311">
        <f t="shared" si="829"/>
        <v>1140</v>
      </c>
      <c r="DU311">
        <f t="shared" si="830"/>
        <v>179.41073540681944</v>
      </c>
      <c r="DW311" s="5">
        <f t="shared" si="859"/>
        <v>5.573802469135801</v>
      </c>
      <c r="DX311" s="5">
        <f t="shared" si="831"/>
        <v>0.46022222222222214</v>
      </c>
      <c r="DY311" s="5">
        <f t="shared" si="832"/>
        <v>5.1135802469135792</v>
      </c>
      <c r="DZ311" s="5"/>
      <c r="EA311" s="150">
        <f t="shared" si="833"/>
        <v>8.2568807339449546E-2</v>
      </c>
      <c r="EB311" s="150">
        <f t="shared" si="860"/>
        <v>5.6999999999999993</v>
      </c>
      <c r="EC311" s="150">
        <f t="shared" si="861"/>
        <v>1.0555555555555554</v>
      </c>
      <c r="ED311" s="150">
        <f t="shared" si="862"/>
        <v>5.4</v>
      </c>
      <c r="EE311" s="144">
        <f t="shared" si="834"/>
        <v>10.493066666666664</v>
      </c>
      <c r="EF311" s="5">
        <f t="shared" si="835"/>
        <v>0.20241255144032913</v>
      </c>
      <c r="EH311" s="150">
        <f t="shared" si="863"/>
        <v>0.38175520564497478</v>
      </c>
      <c r="EI311" s="150">
        <f t="shared" si="864"/>
        <v>1.272517352149916</v>
      </c>
      <c r="EK311" s="456">
        <f t="shared" si="865"/>
        <v>2.9147407407407399E-3</v>
      </c>
      <c r="EL311" s="456">
        <f t="shared" si="866"/>
        <v>0.54000000000000015</v>
      </c>
      <c r="EM311" s="456">
        <f t="shared" si="867"/>
        <v>2.2426341925852432E-2</v>
      </c>
      <c r="EN311" s="456">
        <f t="shared" si="868"/>
        <v>7.67368421052632E-2</v>
      </c>
      <c r="EO311">
        <f t="shared" si="869"/>
        <v>2.7E-2</v>
      </c>
      <c r="EP311" s="144">
        <f t="shared" si="870"/>
        <v>49.426341925852434</v>
      </c>
      <c r="EQ311" s="144"/>
      <c r="ER311" s="144">
        <f t="shared" si="871"/>
        <v>669.0779247718566</v>
      </c>
      <c r="ES311" s="456">
        <f t="shared" si="872"/>
        <v>0.79799999999999993</v>
      </c>
      <c r="EV311" s="144">
        <f t="shared" si="873"/>
        <v>797.99999999999989</v>
      </c>
      <c r="EW311" s="456">
        <f t="shared" si="874"/>
        <v>4.3721111111111096E-3</v>
      </c>
      <c r="EX311" s="456">
        <f t="shared" si="875"/>
        <v>4.8579012345678997E-2</v>
      </c>
      <c r="EY311" s="456">
        <f t="shared" si="876"/>
        <v>0.17315500288201663</v>
      </c>
      <c r="EZ311" s="456"/>
      <c r="FA311" s="456">
        <f t="shared" si="877"/>
        <v>9.5000000000000011E-4</v>
      </c>
      <c r="FB311" s="144">
        <f t="shared" si="878"/>
        <v>227.05612633880673</v>
      </c>
      <c r="FC311" s="150">
        <f t="shared" si="879"/>
        <v>1.6941340511106633</v>
      </c>
      <c r="FD311" s="5">
        <f t="shared" si="880"/>
        <v>5.6999999999999993</v>
      </c>
      <c r="FE311" s="150">
        <f t="shared" si="881"/>
        <v>0.77088134467129521</v>
      </c>
      <c r="FF311" s="5">
        <f t="shared" si="882"/>
        <v>77.088134467129521</v>
      </c>
      <c r="FI311" s="59">
        <f t="shared" si="836"/>
        <v>-50</v>
      </c>
      <c r="FJ311">
        <f t="shared" si="837"/>
        <v>-50</v>
      </c>
      <c r="FL311">
        <f t="shared" si="838"/>
        <v>0.91743119266055051</v>
      </c>
    </row>
    <row r="312" spans="5:168">
      <c r="E312" s="147">
        <v>96</v>
      </c>
      <c r="F312" s="188">
        <f t="shared" si="839"/>
        <v>1.1519999999999999</v>
      </c>
      <c r="G312" s="188"/>
      <c r="H312" s="188">
        <f>F312*Vout</f>
        <v>5.76</v>
      </c>
      <c r="I312" s="465">
        <f t="shared" si="765"/>
        <v>59.936602564377218</v>
      </c>
      <c r="J312" s="149">
        <f t="shared" si="766"/>
        <v>5.4380384613736705</v>
      </c>
      <c r="K312" s="149">
        <f t="shared" si="767"/>
        <v>65.37464102575089</v>
      </c>
      <c r="L312" s="379"/>
      <c r="M312" s="188">
        <f t="shared" si="768"/>
        <v>8.3177527694465E-2</v>
      </c>
      <c r="N312" s="149">
        <f>M312*I312*(Isw_max+VIN_max/Lmag*ILIM_delay)*0.5*Efficiency</f>
        <v>12.837349430754868</v>
      </c>
      <c r="O312" s="149">
        <f t="shared" si="762"/>
        <v>5.76</v>
      </c>
      <c r="P312" s="188">
        <f>N312/Vout</f>
        <v>2.5674698861509735</v>
      </c>
      <c r="Q312" s="188">
        <f t="shared" si="771"/>
        <v>5</v>
      </c>
      <c r="R312" s="188"/>
      <c r="S312" s="149">
        <f t="shared" si="772"/>
        <v>70.472428342746895</v>
      </c>
      <c r="T312" s="149">
        <f>MIN(Vout, S312)</f>
        <v>5</v>
      </c>
      <c r="U312" s="188">
        <f t="shared" si="774"/>
        <v>2.5130274067193477</v>
      </c>
      <c r="V312" s="188">
        <f>L*U312/I312*1000000</f>
        <v>0.5031371080508209</v>
      </c>
      <c r="W312" s="188">
        <f t="shared" si="776"/>
        <v>5.5454423676537523</v>
      </c>
      <c r="X312" s="172">
        <f t="shared" si="777"/>
        <v>350</v>
      </c>
      <c r="Y312" s="379">
        <f t="shared" si="840"/>
        <v>160.03637368911637</v>
      </c>
      <c r="AA312" s="188">
        <f t="shared" si="778"/>
        <v>1.1870685230726914</v>
      </c>
      <c r="AB312" s="150">
        <f>L*AA312/J312*1000000</f>
        <v>2.619478030185538</v>
      </c>
      <c r="AC312" s="150">
        <f>0.5*AB312*AA312*Nps*X312/1000</f>
        <v>0.5441624853898992</v>
      </c>
      <c r="AD312" s="150"/>
      <c r="AE312" s="150">
        <f t="shared" si="781"/>
        <v>2.2066780301823665</v>
      </c>
      <c r="AF312" s="314">
        <f>MAX(12000,F312/(0.5*AE312/1000000*Isw_min*Nps))/1000</f>
        <v>1044.1033845837446</v>
      </c>
      <c r="AG312" s="456">
        <f t="shared" si="783"/>
        <v>0.38616865528191419</v>
      </c>
      <c r="AI312" s="150">
        <f t="shared" si="784"/>
        <v>1.7271805138381244</v>
      </c>
      <c r="AJ312" s="150">
        <f>MAX(IF(F312&gt;AC312,U312,AI312),Isw_min)</f>
        <v>2.5130274067193477</v>
      </c>
      <c r="AK312" s="150">
        <f>IF(F312&gt;AG312, (AJ312-Isw_min)/1.08*0.8+1.2, AF312*0.2/350+1)</f>
        <v>2.3207610420143316</v>
      </c>
      <c r="AM312" s="314">
        <f t="shared" si="787"/>
        <v>1152</v>
      </c>
      <c r="AN312" s="144">
        <f t="shared" si="788"/>
        <v>160.03637368911637</v>
      </c>
      <c r="AP312">
        <f t="shared" si="789"/>
        <v>1152</v>
      </c>
      <c r="AQ312">
        <f t="shared" si="790"/>
        <v>160.03637368911637</v>
      </c>
      <c r="AS312" s="5">
        <f t="shared" si="763"/>
        <v>6.2485794757045738</v>
      </c>
      <c r="AT312" s="5">
        <f t="shared" si="791"/>
        <v>0.5031371080508209</v>
      </c>
      <c r="AU312" s="5">
        <f t="shared" si="883"/>
        <v>5.7454423676537534</v>
      </c>
      <c r="AV312" s="5"/>
      <c r="AW312" s="150">
        <f t="shared" si="884"/>
        <v>8.0520238240882488E-2</v>
      </c>
      <c r="AX312" s="150">
        <f t="shared" si="792"/>
        <v>6.0640727430713897</v>
      </c>
      <c r="AY312" s="150">
        <f t="shared" si="793"/>
        <v>1.1553389206122193</v>
      </c>
      <c r="AZ312" s="150">
        <f t="shared" si="794"/>
        <v>5.2487392529440715</v>
      </c>
      <c r="BA312" s="144">
        <f t="shared" si="885"/>
        <v>11.592278969490913</v>
      </c>
      <c r="BB312" s="5">
        <f t="shared" si="886"/>
        <v>0.23006078243354439</v>
      </c>
      <c r="BD312" s="150">
        <f t="shared" si="841"/>
        <v>0.41170782675195683</v>
      </c>
      <c r="BE312" s="150">
        <f t="shared" si="842"/>
        <v>1.3912580329922162</v>
      </c>
      <c r="BG312" s="456">
        <f t="shared" si="843"/>
        <v>3.3900666921763863E-3</v>
      </c>
      <c r="BH312" s="456">
        <f t="shared" si="795"/>
        <v>0.49297683949886756</v>
      </c>
      <c r="BI312" s="456">
        <f t="shared" si="796"/>
        <v>0.23980091314121807</v>
      </c>
      <c r="BJ312" s="456">
        <f t="shared" si="844"/>
        <v>6.8397044574101132E-2</v>
      </c>
      <c r="BK312">
        <f t="shared" si="845"/>
        <v>2.6971471153969747E-2</v>
      </c>
      <c r="BL312" s="144">
        <f t="shared" si="846"/>
        <v>266.77238429518781</v>
      </c>
      <c r="BM312" s="456">
        <f t="shared" si="797"/>
        <v>0.566135279329677</v>
      </c>
      <c r="BN312" s="144">
        <f t="shared" si="847"/>
        <v>566.13527932967702</v>
      </c>
      <c r="BO312" s="456">
        <f t="shared" si="798"/>
        <v>0.80639999999999989</v>
      </c>
      <c r="BR312" s="144">
        <f t="shared" si="848"/>
        <v>806.39999999999986</v>
      </c>
      <c r="BS312" s="456">
        <f t="shared" si="849"/>
        <v>5.0851000382645794E-3</v>
      </c>
      <c r="BT312" s="456">
        <f t="shared" si="850"/>
        <v>5.8067967430961112E-2</v>
      </c>
      <c r="BU312" s="456">
        <f t="shared" si="851"/>
        <v>0.16218467758663621</v>
      </c>
      <c r="BV312" s="456"/>
      <c r="BW312" s="456">
        <f t="shared" si="852"/>
        <v>1.0106787905118982E-3</v>
      </c>
      <c r="BX312" s="144">
        <f t="shared" si="853"/>
        <v>226.34842384637381</v>
      </c>
      <c r="BY312" s="150">
        <f t="shared" si="854"/>
        <v>1.8642847589067066</v>
      </c>
      <c r="BZ312" s="5">
        <f t="shared" si="855"/>
        <v>5.76</v>
      </c>
      <c r="CA312" s="150">
        <f t="shared" si="856"/>
        <v>0.75548070174991233</v>
      </c>
      <c r="CB312" s="5">
        <f t="shared" si="857"/>
        <v>75.548070174991238</v>
      </c>
      <c r="CE312" s="59">
        <f t="shared" si="799"/>
        <v>-50</v>
      </c>
      <c r="CF312">
        <f t="shared" si="800"/>
        <v>-50</v>
      </c>
      <c r="CG312" s="150">
        <f t="shared" si="801"/>
        <v>0.90855409898156725</v>
      </c>
      <c r="CI312" s="147">
        <v>96</v>
      </c>
      <c r="CJ312" s="188">
        <f t="shared" si="858"/>
        <v>1.1519999999999999</v>
      </c>
      <c r="CK312" s="188"/>
      <c r="CL312" s="188">
        <f t="shared" si="802"/>
        <v>5.76</v>
      </c>
      <c r="CM312" s="465">
        <f t="shared" si="803"/>
        <v>60</v>
      </c>
      <c r="CN312" s="379">
        <f t="shared" si="804"/>
        <v>5.4</v>
      </c>
      <c r="CO312" s="379">
        <f t="shared" si="805"/>
        <v>65.400000000000006</v>
      </c>
      <c r="CP312" s="379"/>
      <c r="CQ312" s="188">
        <f t="shared" si="806"/>
        <v>8.2568807339449546E-2</v>
      </c>
      <c r="CR312" s="149">
        <f t="shared" si="807"/>
        <v>12.756880733944957</v>
      </c>
      <c r="CS312" s="149">
        <f t="shared" si="808"/>
        <v>5.76</v>
      </c>
      <c r="CT312" s="188">
        <f t="shared" si="809"/>
        <v>2.5513761467889915</v>
      </c>
      <c r="CU312" s="188">
        <f t="shared" si="810"/>
        <v>5</v>
      </c>
      <c r="CV312" s="188"/>
      <c r="CW312" s="149">
        <f t="shared" si="811"/>
        <v>70.546615853384722</v>
      </c>
      <c r="CX312" s="149">
        <f t="shared" si="812"/>
        <v>5</v>
      </c>
      <c r="CY312" s="188">
        <f t="shared" si="813"/>
        <v>2.325333333333333</v>
      </c>
      <c r="CZ312" s="188">
        <f t="shared" si="814"/>
        <v>0.46506666666666657</v>
      </c>
      <c r="DA312" s="188">
        <f t="shared" si="815"/>
        <v>5.1674074074074063</v>
      </c>
      <c r="DB312" s="172">
        <f t="shared" si="816"/>
        <v>350</v>
      </c>
      <c r="DC312" s="379">
        <f t="shared" si="817"/>
        <v>177.54187357966504</v>
      </c>
      <c r="DE312" s="188">
        <f t="shared" si="818"/>
        <v>1.179554390563565</v>
      </c>
      <c r="DF312" s="150">
        <f t="shared" si="819"/>
        <v>2.6212319790301444</v>
      </c>
      <c r="DG312" s="150">
        <f t="shared" si="820"/>
        <v>0.54107999567136011</v>
      </c>
      <c r="DH312" s="150"/>
      <c r="DI312" s="150">
        <f t="shared" si="821"/>
        <v>2.2222222222222219</v>
      </c>
      <c r="DJ312" s="314">
        <f t="shared" si="822"/>
        <v>1036.8</v>
      </c>
      <c r="DK312" s="456">
        <f t="shared" si="823"/>
        <v>0.38888888888888884</v>
      </c>
      <c r="DM312" s="150">
        <f t="shared" si="824"/>
        <v>1.721129197441527</v>
      </c>
      <c r="DN312" s="150">
        <f t="shared" si="825"/>
        <v>2.325333333333333</v>
      </c>
      <c r="DO312" s="150">
        <f t="shared" si="826"/>
        <v>2.1817283950617279</v>
      </c>
      <c r="DQ312" s="314">
        <f t="shared" si="827"/>
        <v>1152</v>
      </c>
      <c r="DR312" s="144">
        <f t="shared" si="828"/>
        <v>177.54187357966504</v>
      </c>
      <c r="DT312">
        <f t="shared" si="829"/>
        <v>1152</v>
      </c>
      <c r="DU312">
        <f t="shared" si="830"/>
        <v>177.54187357966504</v>
      </c>
      <c r="DW312" s="5">
        <f t="shared" si="859"/>
        <v>5.6324740740740733</v>
      </c>
      <c r="DX312" s="5">
        <f t="shared" si="831"/>
        <v>0.46506666666666657</v>
      </c>
      <c r="DY312" s="5">
        <f t="shared" si="832"/>
        <v>5.1674074074074063</v>
      </c>
      <c r="DZ312" s="5"/>
      <c r="EA312" s="150">
        <f t="shared" si="833"/>
        <v>8.2568807339449532E-2</v>
      </c>
      <c r="EB312" s="150">
        <f t="shared" si="860"/>
        <v>5.76</v>
      </c>
      <c r="EC312" s="150">
        <f t="shared" si="861"/>
        <v>1.0666666666666667</v>
      </c>
      <c r="ED312" s="150">
        <f t="shared" si="862"/>
        <v>5.3999999999999995</v>
      </c>
      <c r="EE312" s="144">
        <f t="shared" si="834"/>
        <v>10.715135999999996</v>
      </c>
      <c r="EF312" s="5">
        <f t="shared" si="835"/>
        <v>0.20669629629629624</v>
      </c>
      <c r="EH312" s="150">
        <f t="shared" si="863"/>
        <v>0.38577368149386926</v>
      </c>
      <c r="EI312" s="150">
        <f t="shared" si="864"/>
        <v>1.285912271646231</v>
      </c>
      <c r="EK312" s="456">
        <f t="shared" si="865"/>
        <v>2.9764266666666658E-3</v>
      </c>
      <c r="EL312" s="456">
        <f t="shared" si="866"/>
        <v>0.54</v>
      </c>
      <c r="EM312" s="456">
        <f t="shared" si="867"/>
        <v>2.2192734197458128E-2</v>
      </c>
      <c r="EN312" s="456">
        <f t="shared" si="868"/>
        <v>7.5937500000000019E-2</v>
      </c>
      <c r="EO312">
        <f t="shared" si="869"/>
        <v>2.7E-2</v>
      </c>
      <c r="EP312" s="144">
        <f t="shared" si="870"/>
        <v>49.19273419745813</v>
      </c>
      <c r="EQ312" s="144"/>
      <c r="ER312" s="144">
        <f t="shared" si="871"/>
        <v>668.10666086412482</v>
      </c>
      <c r="ES312" s="456">
        <f t="shared" si="872"/>
        <v>0.80639999999999989</v>
      </c>
      <c r="EV312" s="144">
        <f t="shared" si="873"/>
        <v>806.39999999999986</v>
      </c>
      <c r="EW312" s="456">
        <f t="shared" si="874"/>
        <v>4.464639999999998E-3</v>
      </c>
      <c r="EX312" s="456">
        <f t="shared" si="875"/>
        <v>4.9607111111111102E-2</v>
      </c>
      <c r="EY312" s="456">
        <f t="shared" si="876"/>
        <v>0.17315500288201671</v>
      </c>
      <c r="EZ312" s="456"/>
      <c r="FA312" s="456">
        <f t="shared" si="877"/>
        <v>9.5999999999999992E-4</v>
      </c>
      <c r="FB312" s="144">
        <f t="shared" si="878"/>
        <v>228.18675399312778</v>
      </c>
      <c r="FC312" s="150">
        <f t="shared" si="879"/>
        <v>1.7026934148572526</v>
      </c>
      <c r="FD312" s="5">
        <f t="shared" si="880"/>
        <v>5.76</v>
      </c>
      <c r="FE312" s="150">
        <f t="shared" si="881"/>
        <v>0.77183929176731136</v>
      </c>
      <c r="FF312" s="5">
        <f t="shared" si="882"/>
        <v>77.183929176731141</v>
      </c>
      <c r="FI312" s="59">
        <f t="shared" si="836"/>
        <v>-50</v>
      </c>
      <c r="FJ312">
        <f t="shared" si="837"/>
        <v>-50</v>
      </c>
      <c r="FL312">
        <f t="shared" si="838"/>
        <v>0.91743119266055051</v>
      </c>
    </row>
    <row r="313" spans="5:168">
      <c r="E313" s="147">
        <v>97</v>
      </c>
      <c r="F313" s="188">
        <f>IF(PLOT_TYPE=1, E313/100*Iout_max, min_I*EXP(N313*rr/100))</f>
        <v>1.1639999999999999</v>
      </c>
      <c r="G313" s="188"/>
      <c r="H313" s="188">
        <f>F313*Vout</f>
        <v>5.8199999999999994</v>
      </c>
      <c r="I313" s="465">
        <f t="shared" si="765"/>
        <v>59.935948626160858</v>
      </c>
      <c r="J313" s="149">
        <f t="shared" si="766"/>
        <v>5.4384308243034836</v>
      </c>
      <c r="K313" s="149">
        <f t="shared" si="767"/>
        <v>65.374379450464346</v>
      </c>
      <c r="L313" s="379"/>
      <c r="M313" s="188">
        <f t="shared" si="768"/>
        <v>8.3183862843451556E-2</v>
      </c>
      <c r="N313" s="149">
        <f>M313*I313*(Isw_max+VIN_max/Lmag*ILIM_delay)*0.5*Efficiency</f>
        <v>12.838187104520115</v>
      </c>
      <c r="O313" s="149">
        <f t="shared" si="762"/>
        <v>5.8199999999999994</v>
      </c>
      <c r="P313" s="188">
        <f>N313/Vout</f>
        <v>2.5676374209040231</v>
      </c>
      <c r="Q313" s="188">
        <f t="shared" si="771"/>
        <v>5</v>
      </c>
      <c r="R313" s="188"/>
      <c r="S313" s="149">
        <f t="shared" si="772"/>
        <v>69.137233765141175</v>
      </c>
      <c r="T313" s="149">
        <f>MIN(Vout, S313)</f>
        <v>5</v>
      </c>
      <c r="U313" s="188">
        <f t="shared" si="774"/>
        <v>2.5392223213044169</v>
      </c>
      <c r="V313" s="188">
        <f>L*U313/I313*1000000</f>
        <v>0.50838717921539922</v>
      </c>
      <c r="W313" s="188">
        <f t="shared" si="776"/>
        <v>5.6028418564201328</v>
      </c>
      <c r="X313" s="172">
        <f t="shared" si="777"/>
        <v>350</v>
      </c>
      <c r="Y313" s="379">
        <f t="shared" si="840"/>
        <v>158.44774359378027</v>
      </c>
      <c r="AA313" s="188">
        <f t="shared" si="778"/>
        <v>1.1871459694454325</v>
      </c>
      <c r="AB313" s="150">
        <f>L*AA313/J313*1000000</f>
        <v>2.6194599312881186</v>
      </c>
      <c r="AC313" s="150">
        <f>0.5*AB313*AA313*Nps*X313/1000</f>
        <v>0.54419422742168744</v>
      </c>
      <c r="AD313" s="150"/>
      <c r="AE313" s="150">
        <f t="shared" si="781"/>
        <v>2.2065188264184417</v>
      </c>
      <c r="AF313" s="314">
        <f>MAX(12000,F313/(0.5*AE313/1000000*Isw_min*Nps))/1000</f>
        <v>1055.0555799148756</v>
      </c>
      <c r="AG313" s="456">
        <f t="shared" si="783"/>
        <v>0.38614079462322726</v>
      </c>
      <c r="AI313" s="150">
        <f t="shared" si="784"/>
        <v>1.7362155724570902</v>
      </c>
      <c r="AJ313" s="150">
        <f>MAX(IF(F313&gt;AC313,U313,AI313),Isw_min)</f>
        <v>2.5392223213044169</v>
      </c>
      <c r="AK313" s="150">
        <f>IF(F313&gt;AG313, (AJ313-Isw_min)/1.08*0.8+1.2, AF313*0.2/350+1)</f>
        <v>2.3401646824477162</v>
      </c>
      <c r="AM313" s="314">
        <f t="shared" si="787"/>
        <v>1164</v>
      </c>
      <c r="AN313" s="144">
        <f t="shared" si="788"/>
        <v>158.44774359378027</v>
      </c>
      <c r="AP313">
        <f t="shared" si="789"/>
        <v>1164</v>
      </c>
      <c r="AQ313">
        <f t="shared" si="790"/>
        <v>158.44774359378027</v>
      </c>
      <c r="AS313" s="5">
        <f t="shared" si="763"/>
        <v>6.3112290356355327</v>
      </c>
      <c r="AT313" s="5">
        <f t="shared" si="791"/>
        <v>0.50838717921539922</v>
      </c>
      <c r="AU313" s="5">
        <f t="shared" si="883"/>
        <v>5.8028418564201338</v>
      </c>
      <c r="AV313" s="5"/>
      <c r="AW313" s="150">
        <f t="shared" si="884"/>
        <v>8.0552801418686787E-2</v>
      </c>
      <c r="AX313" s="150">
        <f t="shared" si="792"/>
        <v>6.1296935610526342</v>
      </c>
      <c r="AY313" s="150">
        <f t="shared" si="793"/>
        <v>1.1673404249492427</v>
      </c>
      <c r="AZ313" s="150">
        <f t="shared" si="794"/>
        <v>5.2509905679991853</v>
      </c>
      <c r="BA313" s="144">
        <f t="shared" si="885"/>
        <v>11.835253532134493</v>
      </c>
      <c r="BB313" s="5">
        <f t="shared" si="886"/>
        <v>0.23478216036238256</v>
      </c>
      <c r="BD313" s="150">
        <f t="shared" si="841"/>
        <v>0.41608343307017587</v>
      </c>
      <c r="BE313" s="150">
        <f t="shared" si="842"/>
        <v>1.4057351252617734</v>
      </c>
      <c r="BG313" s="456">
        <f t="shared" si="843"/>
        <v>3.4625084655092704E-3</v>
      </c>
      <c r="BH313" s="456">
        <f t="shared" si="795"/>
        <v>0.49316885013029754</v>
      </c>
      <c r="BI313" s="456">
        <f t="shared" si="796"/>
        <v>0.23741789549919806</v>
      </c>
      <c r="BJ313" s="456">
        <f t="shared" si="844"/>
        <v>6.771754700077888E-2</v>
      </c>
      <c r="BK313">
        <f t="shared" si="845"/>
        <v>2.6971176881772384E-2</v>
      </c>
      <c r="BL313" s="144">
        <f t="shared" si="846"/>
        <v>264.38907238097045</v>
      </c>
      <c r="BM313" s="456">
        <f t="shared" si="797"/>
        <v>0.56574922024622842</v>
      </c>
      <c r="BN313" s="144">
        <f t="shared" si="847"/>
        <v>565.74922024622845</v>
      </c>
      <c r="BO313" s="456">
        <f t="shared" si="798"/>
        <v>0.81479999999999986</v>
      </c>
      <c r="BR313" s="144">
        <f t="shared" si="848"/>
        <v>814.79999999999984</v>
      </c>
      <c r="BS313" s="456">
        <f t="shared" si="849"/>
        <v>5.1937626982639052E-3</v>
      </c>
      <c r="BT313" s="456">
        <f t="shared" si="850"/>
        <v>5.9282737271842009E-2</v>
      </c>
      <c r="BU313" s="456">
        <f t="shared" si="851"/>
        <v>0.16234427180173641</v>
      </c>
      <c r="BV313" s="456"/>
      <c r="BW313" s="456">
        <f t="shared" si="852"/>
        <v>1.0216155935087725E-3</v>
      </c>
      <c r="BX313" s="144">
        <f t="shared" si="853"/>
        <v>227.84238736535113</v>
      </c>
      <c r="BY313" s="150">
        <f t="shared" si="854"/>
        <v>1.8713803653429073</v>
      </c>
      <c r="BZ313" s="5">
        <f t="shared" si="855"/>
        <v>5.8199999999999994</v>
      </c>
      <c r="CA313" s="150">
        <f t="shared" si="856"/>
        <v>0.75669122102252506</v>
      </c>
      <c r="CB313" s="5">
        <f t="shared" si="857"/>
        <v>75.669122102252501</v>
      </c>
      <c r="CE313" s="59">
        <f t="shared" si="799"/>
        <v>-50</v>
      </c>
      <c r="CF313">
        <f t="shared" si="800"/>
        <v>-50</v>
      </c>
      <c r="CG313" s="150">
        <f t="shared" si="801"/>
        <v>0.90864561541124744</v>
      </c>
      <c r="CI313" s="147">
        <v>97</v>
      </c>
      <c r="CJ313" s="188">
        <f t="shared" si="858"/>
        <v>1.1639999999999999</v>
      </c>
      <c r="CK313" s="188"/>
      <c r="CL313" s="188">
        <f t="shared" si="802"/>
        <v>5.8199999999999994</v>
      </c>
      <c r="CM313" s="465">
        <f t="shared" si="803"/>
        <v>60</v>
      </c>
      <c r="CN313" s="379">
        <f t="shared" si="804"/>
        <v>5.4</v>
      </c>
      <c r="CO313" s="379">
        <f t="shared" si="805"/>
        <v>65.400000000000006</v>
      </c>
      <c r="CP313" s="379"/>
      <c r="CQ313" s="188">
        <f t="shared" si="806"/>
        <v>8.2568807339449546E-2</v>
      </c>
      <c r="CR313" s="149">
        <f t="shared" si="807"/>
        <v>12.756880733944957</v>
      </c>
      <c r="CS313" s="149">
        <f t="shared" si="808"/>
        <v>5.8199999999999994</v>
      </c>
      <c r="CT313" s="188">
        <f t="shared" si="809"/>
        <v>2.5513761467889915</v>
      </c>
      <c r="CU313" s="188">
        <f t="shared" si="810"/>
        <v>5</v>
      </c>
      <c r="CV313" s="188"/>
      <c r="CW313" s="149">
        <f t="shared" si="811"/>
        <v>69.21075369755367</v>
      </c>
      <c r="CX313" s="149">
        <f t="shared" si="812"/>
        <v>5</v>
      </c>
      <c r="CY313" s="188">
        <f t="shared" si="813"/>
        <v>2.349555555555555</v>
      </c>
      <c r="CZ313" s="188">
        <f t="shared" si="814"/>
        <v>0.469911111111111</v>
      </c>
      <c r="DA313" s="188">
        <f t="shared" si="815"/>
        <v>5.2212345679012326</v>
      </c>
      <c r="DB313" s="172">
        <f t="shared" si="816"/>
        <v>350</v>
      </c>
      <c r="DC313" s="379">
        <f t="shared" si="817"/>
        <v>175.71154498606029</v>
      </c>
      <c r="DE313" s="188">
        <f t="shared" si="818"/>
        <v>1.179554390563565</v>
      </c>
      <c r="DF313" s="150">
        <f t="shared" si="819"/>
        <v>2.6212319790301444</v>
      </c>
      <c r="DG313" s="150">
        <f t="shared" si="820"/>
        <v>0.54107999567136011</v>
      </c>
      <c r="DH313" s="150"/>
      <c r="DI313" s="150">
        <f t="shared" si="821"/>
        <v>2.2222222222222219</v>
      </c>
      <c r="DJ313" s="314">
        <f t="shared" si="822"/>
        <v>1047.5999999999999</v>
      </c>
      <c r="DK313" s="456">
        <f t="shared" si="823"/>
        <v>0.38888888888888884</v>
      </c>
      <c r="DM313" s="150">
        <f t="shared" si="824"/>
        <v>1.7300701885018588</v>
      </c>
      <c r="DN313" s="150">
        <f t="shared" si="825"/>
        <v>2.349555555555555</v>
      </c>
      <c r="DO313" s="150">
        <f t="shared" si="826"/>
        <v>2.1996707818930035</v>
      </c>
      <c r="DQ313" s="314">
        <f t="shared" si="827"/>
        <v>1164</v>
      </c>
      <c r="DR313" s="144">
        <f t="shared" si="828"/>
        <v>175.71154498606029</v>
      </c>
      <c r="DT313">
        <f t="shared" si="829"/>
        <v>1164</v>
      </c>
      <c r="DU313">
        <f t="shared" si="830"/>
        <v>175.71154498606029</v>
      </c>
      <c r="DW313" s="5">
        <f t="shared" si="859"/>
        <v>5.6911456790123438</v>
      </c>
      <c r="DX313" s="5">
        <f t="shared" si="831"/>
        <v>0.469911111111111</v>
      </c>
      <c r="DY313" s="5">
        <f t="shared" si="832"/>
        <v>5.2212345679012326</v>
      </c>
      <c r="DZ313" s="5"/>
      <c r="EA313" s="150">
        <f t="shared" si="833"/>
        <v>8.2568807339449546E-2</v>
      </c>
      <c r="EB313" s="150">
        <f t="shared" si="860"/>
        <v>5.8199999999999994</v>
      </c>
      <c r="EC313" s="150">
        <f t="shared" si="861"/>
        <v>1.0777777777777775</v>
      </c>
      <c r="ED313" s="150">
        <f t="shared" si="862"/>
        <v>5.4000000000000012</v>
      </c>
      <c r="EE313" s="144">
        <f t="shared" si="834"/>
        <v>10.939530666666665</v>
      </c>
      <c r="EF313" s="5">
        <f t="shared" si="835"/>
        <v>0.21102489711934144</v>
      </c>
      <c r="EH313" s="150">
        <f t="shared" si="863"/>
        <v>0.38979215734276368</v>
      </c>
      <c r="EI313" s="150">
        <f t="shared" si="864"/>
        <v>1.2993071911425458</v>
      </c>
      <c r="EK313" s="456">
        <f t="shared" si="865"/>
        <v>3.0387585185185167E-3</v>
      </c>
      <c r="EL313" s="456">
        <f t="shared" si="866"/>
        <v>0.54000000000000015</v>
      </c>
      <c r="EM313" s="456">
        <f t="shared" si="867"/>
        <v>2.1963943123257536E-2</v>
      </c>
      <c r="EN313" s="456">
        <f t="shared" si="868"/>
        <v>7.5154639175257776E-2</v>
      </c>
      <c r="EO313">
        <f t="shared" si="869"/>
        <v>2.7E-2</v>
      </c>
      <c r="EP313" s="144">
        <f t="shared" si="870"/>
        <v>48.963943123257536</v>
      </c>
      <c r="EQ313" s="144"/>
      <c r="ER313" s="144">
        <f t="shared" si="871"/>
        <v>667.15734081703408</v>
      </c>
      <c r="ES313" s="456">
        <f t="shared" si="872"/>
        <v>0.81479999999999986</v>
      </c>
      <c r="EV313" s="144">
        <f t="shared" si="873"/>
        <v>814.79999999999984</v>
      </c>
      <c r="EW313" s="456">
        <f t="shared" si="874"/>
        <v>4.5581377777777748E-3</v>
      </c>
      <c r="EX313" s="456">
        <f t="shared" si="875"/>
        <v>5.0645975308641955E-2</v>
      </c>
      <c r="EY313" s="456">
        <f t="shared" si="876"/>
        <v>0.1731550028820166</v>
      </c>
      <c r="EZ313" s="456"/>
      <c r="FA313" s="456">
        <f t="shared" si="877"/>
        <v>9.7000000000000005E-4</v>
      </c>
      <c r="FB313" s="144">
        <f t="shared" si="878"/>
        <v>229.32911596843633</v>
      </c>
      <c r="FC313" s="150">
        <f t="shared" si="879"/>
        <v>1.71128645678547</v>
      </c>
      <c r="FD313" s="5">
        <f t="shared" si="880"/>
        <v>5.8199999999999994</v>
      </c>
      <c r="FE313" s="150">
        <f t="shared" si="881"/>
        <v>0.77277634218206492</v>
      </c>
      <c r="FF313" s="5">
        <f t="shared" si="882"/>
        <v>77.277634218206487</v>
      </c>
      <c r="FI313" s="59">
        <f t="shared" si="836"/>
        <v>-50</v>
      </c>
      <c r="FJ313">
        <f t="shared" si="837"/>
        <v>-50</v>
      </c>
      <c r="FL313">
        <f t="shared" si="838"/>
        <v>0.91743119266055051</v>
      </c>
    </row>
    <row r="314" spans="5:168">
      <c r="E314" s="147">
        <v>98</v>
      </c>
      <c r="F314" s="188">
        <f>IF(PLOT_TYPE=1, E314/100*Iout_max, min_I*EXP(N314*rr/100))</f>
        <v>1.1759999999999999</v>
      </c>
      <c r="G314" s="188"/>
      <c r="H314" s="188">
        <f>F314*Vout</f>
        <v>5.88</v>
      </c>
      <c r="I314" s="465">
        <f t="shared" si="765"/>
        <v>59.935294686671547</v>
      </c>
      <c r="J314" s="149">
        <f t="shared" si="766"/>
        <v>5.4388231879970705</v>
      </c>
      <c r="K314" s="149">
        <f t="shared" si="767"/>
        <v>65.374117874668613</v>
      </c>
      <c r="L314" s="379"/>
      <c r="M314" s="188">
        <f t="shared" si="768"/>
        <v>8.3190198044747574E-2</v>
      </c>
      <c r="N314" s="149">
        <f>M314*I314*(Isw_max+VIN_max/Lmag*ILIM_delay)*0.5*Efficiency</f>
        <v>12.839024764750373</v>
      </c>
      <c r="O314" s="149">
        <f t="shared" si="762"/>
        <v>5.88</v>
      </c>
      <c r="P314" s="188">
        <f>N314/Vout</f>
        <v>2.5678049529500746</v>
      </c>
      <c r="Q314" s="188">
        <f t="shared" si="771"/>
        <v>5</v>
      </c>
      <c r="R314" s="188"/>
      <c r="S314" s="149">
        <f t="shared" si="772"/>
        <v>67.829546337985974</v>
      </c>
      <c r="T314" s="149">
        <f>MIN(Vout, S314)</f>
        <v>5</v>
      </c>
      <c r="U314" s="188">
        <f t="shared" si="774"/>
        <v>2.5654175980491924</v>
      </c>
      <c r="V314" s="188">
        <f>L*U314/I314*1000000</f>
        <v>0.51363743746531221</v>
      </c>
      <c r="W314" s="188">
        <f t="shared" si="776"/>
        <v>5.6602338617165753</v>
      </c>
      <c r="X314" s="172">
        <f t="shared" si="777"/>
        <v>350</v>
      </c>
      <c r="Y314" s="379">
        <f t="shared" si="840"/>
        <v>156.89052273903837</v>
      </c>
      <c r="AA314" s="188">
        <f t="shared" si="778"/>
        <v>1.1872234147197269</v>
      </c>
      <c r="AB314" s="150">
        <f>L*AA314/J314*1000000</f>
        <v>2.6194418322106334</v>
      </c>
      <c r="AC314" s="150">
        <f>0.5*AB314*AA314*Nps*X314/1000</f>
        <v>0.54422596842194104</v>
      </c>
      <c r="AD314" s="150"/>
      <c r="AE314" s="150">
        <f t="shared" si="781"/>
        <v>2.2063596453149605</v>
      </c>
      <c r="AF314" s="314">
        <f>MAX(12000,F314/(0.5*AE314/1000000*Isw_min*Nps))/1000</f>
        <v>1066.0093448474258</v>
      </c>
      <c r="AG314" s="456">
        <f t="shared" si="783"/>
        <v>0.38611293793011808</v>
      </c>
      <c r="AI314" s="150">
        <f t="shared" si="784"/>
        <v>1.7452051413167335</v>
      </c>
      <c r="AJ314" s="150">
        <f>MAX(IF(F314&gt;AC314,U314,AI314),Isw_min)</f>
        <v>2.5654175980491924</v>
      </c>
      <c r="AK314" s="150">
        <f>IF(F314&gt;AG314, (AJ314-Isw_min)/1.08*0.8+1.2, AF314*0.2/350+1)</f>
        <v>2.3595685911475499</v>
      </c>
      <c r="AM314" s="314">
        <f t="shared" si="787"/>
        <v>1176</v>
      </c>
      <c r="AN314" s="144">
        <f t="shared" si="788"/>
        <v>156.89052273903837</v>
      </c>
      <c r="AP314">
        <f t="shared" si="789"/>
        <v>1176</v>
      </c>
      <c r="AQ314">
        <f t="shared" si="790"/>
        <v>156.89052273903837</v>
      </c>
      <c r="AS314" s="5">
        <f t="shared" si="763"/>
        <v>6.3738712991818876</v>
      </c>
      <c r="AT314" s="5">
        <f t="shared" si="791"/>
        <v>0.51363743746531221</v>
      </c>
      <c r="AU314" s="5">
        <f t="shared" si="883"/>
        <v>5.8602338617165755</v>
      </c>
      <c r="AV314" s="5"/>
      <c r="AW314" s="150">
        <f t="shared" si="884"/>
        <v>8.0584846062272966E-2</v>
      </c>
      <c r="AX314" s="150">
        <f t="shared" si="792"/>
        <v>6.1953250796500088</v>
      </c>
      <c r="AY314" s="150">
        <f t="shared" si="793"/>
        <v>1.1793419079124761</v>
      </c>
      <c r="AZ314" s="150">
        <f t="shared" si="794"/>
        <v>5.2532052308869446</v>
      </c>
      <c r="BA314" s="144">
        <f t="shared" si="885"/>
        <v>12.080752529184142</v>
      </c>
      <c r="BB314" s="5">
        <f t="shared" si="886"/>
        <v>0.23955121996586184</v>
      </c>
      <c r="BD314" s="150">
        <f t="shared" si="841"/>
        <v>0.42045946416958957</v>
      </c>
      <c r="BE314" s="150">
        <f t="shared" si="842"/>
        <v>1.4202123044755377</v>
      </c>
      <c r="BG314" s="456">
        <f t="shared" si="843"/>
        <v>3.5357232201955677E-3</v>
      </c>
      <c r="BH314" s="456">
        <f t="shared" si="795"/>
        <v>0.49335768026728011</v>
      </c>
      <c r="BI314" s="456">
        <f t="shared" si="796"/>
        <v>0.23508199284775522</v>
      </c>
      <c r="BJ314" s="456">
        <f t="shared" si="844"/>
        <v>6.7051483898641365E-2</v>
      </c>
      <c r="BK314">
        <f t="shared" si="845"/>
        <v>2.6970882609002194E-2</v>
      </c>
      <c r="BL314" s="144">
        <f t="shared" si="846"/>
        <v>262.05287545675742</v>
      </c>
      <c r="BM314" s="456">
        <f t="shared" si="797"/>
        <v>0.56537449689382724</v>
      </c>
      <c r="BN314" s="144">
        <f t="shared" si="847"/>
        <v>565.3744968938272</v>
      </c>
      <c r="BO314" s="456">
        <f t="shared" si="798"/>
        <v>0.82319999999999993</v>
      </c>
      <c r="BR314" s="144">
        <f t="shared" si="848"/>
        <v>823.19999999999993</v>
      </c>
      <c r="BS314" s="456">
        <f t="shared" si="849"/>
        <v>5.3035848302933506E-3</v>
      </c>
      <c r="BT314" s="456">
        <f t="shared" si="850"/>
        <v>6.0510089693511522E-2</v>
      </c>
      <c r="BU314" s="456">
        <f t="shared" si="851"/>
        <v>0.16250134251051976</v>
      </c>
      <c r="BV314" s="456"/>
      <c r="BW314" s="456">
        <f t="shared" si="852"/>
        <v>1.0325541799416681E-3</v>
      </c>
      <c r="BX314" s="144">
        <f t="shared" si="853"/>
        <v>229.34757121426631</v>
      </c>
      <c r="BY314" s="150">
        <f t="shared" si="854"/>
        <v>1.8785453340571405</v>
      </c>
      <c r="BZ314" s="5">
        <f t="shared" si="855"/>
        <v>5.88</v>
      </c>
      <c r="CA314" s="150">
        <f t="shared" si="856"/>
        <v>0.75787402751762978</v>
      </c>
      <c r="CB314" s="5">
        <f t="shared" si="857"/>
        <v>75.787402751762983</v>
      </c>
      <c r="CE314" s="59">
        <f t="shared" si="799"/>
        <v>-50</v>
      </c>
      <c r="CF314">
        <f t="shared" si="800"/>
        <v>-50</v>
      </c>
      <c r="CG314" s="150">
        <f t="shared" si="801"/>
        <v>0.90873526415868933</v>
      </c>
      <c r="CI314" s="147">
        <v>98</v>
      </c>
      <c r="CJ314" s="188">
        <f t="shared" si="858"/>
        <v>1.1759999999999999</v>
      </c>
      <c r="CK314" s="188"/>
      <c r="CL314" s="188">
        <f t="shared" si="802"/>
        <v>5.88</v>
      </c>
      <c r="CM314" s="465">
        <f t="shared" si="803"/>
        <v>60</v>
      </c>
      <c r="CN314" s="379">
        <f t="shared" si="804"/>
        <v>5.4</v>
      </c>
      <c r="CO314" s="379">
        <f t="shared" si="805"/>
        <v>65.400000000000006</v>
      </c>
      <c r="CP314" s="379"/>
      <c r="CQ314" s="188">
        <f t="shared" si="806"/>
        <v>8.2568807339449546E-2</v>
      </c>
      <c r="CR314" s="149">
        <f t="shared" si="807"/>
        <v>12.756880733944957</v>
      </c>
      <c r="CS314" s="149">
        <f t="shared" si="808"/>
        <v>5.88</v>
      </c>
      <c r="CT314" s="188">
        <f t="shared" si="809"/>
        <v>2.5513761467889915</v>
      </c>
      <c r="CU314" s="188">
        <f t="shared" si="810"/>
        <v>5</v>
      </c>
      <c r="CV314" s="188"/>
      <c r="CW314" s="149">
        <f t="shared" si="811"/>
        <v>67.902398988643142</v>
      </c>
      <c r="CX314" s="149">
        <f t="shared" si="812"/>
        <v>5</v>
      </c>
      <c r="CY314" s="188">
        <f t="shared" si="813"/>
        <v>2.3737777777777773</v>
      </c>
      <c r="CZ314" s="188">
        <f t="shared" si="814"/>
        <v>0.47475555555555549</v>
      </c>
      <c r="DA314" s="188">
        <f t="shared" si="815"/>
        <v>5.2750617283950607</v>
      </c>
      <c r="DB314" s="172">
        <f t="shared" si="816"/>
        <v>350</v>
      </c>
      <c r="DC314" s="379">
        <f t="shared" si="817"/>
        <v>173.91857003722291</v>
      </c>
      <c r="DE314" s="188">
        <f t="shared" si="818"/>
        <v>1.179554390563565</v>
      </c>
      <c r="DF314" s="150">
        <f t="shared" si="819"/>
        <v>2.6212319790301444</v>
      </c>
      <c r="DG314" s="150">
        <f t="shared" si="820"/>
        <v>0.54107999567136011</v>
      </c>
      <c r="DH314" s="150"/>
      <c r="DI314" s="150">
        <f t="shared" si="821"/>
        <v>2.2222222222222219</v>
      </c>
      <c r="DJ314" s="314">
        <f t="shared" si="822"/>
        <v>1058.4000000000001</v>
      </c>
      <c r="DK314" s="456">
        <f t="shared" si="823"/>
        <v>0.38888888888888884</v>
      </c>
      <c r="DM314" s="150">
        <f t="shared" si="824"/>
        <v>1.7389652095427326</v>
      </c>
      <c r="DN314" s="150">
        <f t="shared" si="825"/>
        <v>2.3737777777777773</v>
      </c>
      <c r="DO314" s="150">
        <f t="shared" si="826"/>
        <v>2.2176131687242795</v>
      </c>
      <c r="DQ314" s="314">
        <f t="shared" si="827"/>
        <v>1176</v>
      </c>
      <c r="DR314" s="144">
        <f t="shared" si="828"/>
        <v>173.91857003722291</v>
      </c>
      <c r="DT314">
        <f t="shared" si="829"/>
        <v>1176</v>
      </c>
      <c r="DU314">
        <f t="shared" si="830"/>
        <v>173.91857003722291</v>
      </c>
      <c r="DW314" s="5">
        <f t="shared" si="859"/>
        <v>5.7498172839506161</v>
      </c>
      <c r="DX314" s="5">
        <f t="shared" si="831"/>
        <v>0.47475555555555549</v>
      </c>
      <c r="DY314" s="5">
        <f t="shared" si="832"/>
        <v>5.2750617283950607</v>
      </c>
      <c r="DZ314" s="5"/>
      <c r="EA314" s="150">
        <f t="shared" si="833"/>
        <v>8.2568807339449546E-2</v>
      </c>
      <c r="EB314" s="150">
        <f t="shared" si="860"/>
        <v>5.879999999999999</v>
      </c>
      <c r="EC314" s="150">
        <f t="shared" si="861"/>
        <v>1.0888888888888888</v>
      </c>
      <c r="ED314" s="150">
        <f t="shared" si="862"/>
        <v>5.3999999999999995</v>
      </c>
      <c r="EE314" s="144">
        <f t="shared" si="834"/>
        <v>11.166250666666663</v>
      </c>
      <c r="EF314" s="5">
        <f t="shared" si="835"/>
        <v>0.21539835390946496</v>
      </c>
      <c r="EH314" s="150">
        <f t="shared" si="863"/>
        <v>0.39381063319165821</v>
      </c>
      <c r="EI314" s="150">
        <f t="shared" si="864"/>
        <v>1.3127021106388608</v>
      </c>
      <c r="EK314" s="456">
        <f t="shared" si="865"/>
        <v>3.1017362962962951E-3</v>
      </c>
      <c r="EL314" s="456">
        <f t="shared" si="866"/>
        <v>0.54</v>
      </c>
      <c r="EM314" s="456">
        <f t="shared" si="867"/>
        <v>2.1739821254652861E-2</v>
      </c>
      <c r="EN314" s="456">
        <f t="shared" si="868"/>
        <v>7.4387755102040848E-2</v>
      </c>
      <c r="EO314">
        <f t="shared" si="869"/>
        <v>2.7E-2</v>
      </c>
      <c r="EP314" s="144">
        <f t="shared" si="870"/>
        <v>48.73982125465286</v>
      </c>
      <c r="EQ314" s="144"/>
      <c r="ER314" s="144">
        <f t="shared" si="871"/>
        <v>666.22931265299007</v>
      </c>
      <c r="ES314" s="456">
        <f t="shared" si="872"/>
        <v>0.82319999999999993</v>
      </c>
      <c r="EV314" s="144">
        <f t="shared" si="873"/>
        <v>823.19999999999993</v>
      </c>
      <c r="EW314" s="456">
        <f t="shared" si="874"/>
        <v>4.6526044444444425E-3</v>
      </c>
      <c r="EX314" s="456">
        <f t="shared" si="875"/>
        <v>5.1695604938271598E-2</v>
      </c>
      <c r="EY314" s="456">
        <f t="shared" si="876"/>
        <v>0.17315500288201632</v>
      </c>
      <c r="EZ314" s="456"/>
      <c r="FA314" s="456">
        <f t="shared" si="877"/>
        <v>9.7999999999999997E-4</v>
      </c>
      <c r="FB314" s="144">
        <f t="shared" si="878"/>
        <v>230.48321226473237</v>
      </c>
      <c r="FC314" s="150">
        <f t="shared" si="879"/>
        <v>1.7199125249177223</v>
      </c>
      <c r="FD314" s="5">
        <f t="shared" si="880"/>
        <v>5.88</v>
      </c>
      <c r="FE314" s="150">
        <f t="shared" si="881"/>
        <v>0.77369311564065113</v>
      </c>
      <c r="FF314" s="5">
        <f t="shared" si="882"/>
        <v>77.369311564065114</v>
      </c>
      <c r="FI314" s="59">
        <f t="shared" si="836"/>
        <v>-50</v>
      </c>
      <c r="FJ314">
        <f t="shared" si="837"/>
        <v>-50</v>
      </c>
      <c r="FL314">
        <f t="shared" si="838"/>
        <v>0.91743119266055051</v>
      </c>
    </row>
    <row r="315" spans="5:168">
      <c r="E315" s="147">
        <v>99</v>
      </c>
      <c r="F315" s="188">
        <f>IF(PLOT_TYPE=1, E315/100*Iout_max, min_I*EXP(N315*rr/100))</f>
        <v>1.1879999999999999</v>
      </c>
      <c r="G315" s="188"/>
      <c r="H315" s="188">
        <f>F315*Vout</f>
        <v>5.9399999999999995</v>
      </c>
      <c r="I315" s="465">
        <f t="shared" si="765"/>
        <v>59.934640745948222</v>
      </c>
      <c r="J315" s="149">
        <f t="shared" si="766"/>
        <v>5.4392155524310679</v>
      </c>
      <c r="K315" s="149">
        <f t="shared" si="767"/>
        <v>65.373856298379295</v>
      </c>
      <c r="L315" s="379"/>
      <c r="M315" s="188">
        <f t="shared" si="768"/>
        <v>8.3196533298304481E-2</v>
      </c>
      <c r="N315" s="149">
        <f>M315*I315*(Isw_max+VIN_max/Lmag*ILIM_delay)*0.5*Efficiency</f>
        <v>12.839862411446161</v>
      </c>
      <c r="O315" s="149">
        <f t="shared" si="762"/>
        <v>5.9399999999999995</v>
      </c>
      <c r="P315" s="188">
        <f>N315/Vout</f>
        <v>2.5679724822892322</v>
      </c>
      <c r="Q315" s="188">
        <f t="shared" si="771"/>
        <v>5</v>
      </c>
      <c r="R315" s="188"/>
      <c r="S315" s="149">
        <f t="shared" si="772"/>
        <v>66.548538793475856</v>
      </c>
      <c r="T315" s="149">
        <f>MIN(Vout, S315)</f>
        <v>5</v>
      </c>
      <c r="U315" s="188">
        <f t="shared" si="774"/>
        <v>2.5916132369655291</v>
      </c>
      <c r="V315" s="188">
        <f>L*U315/I315*1000000</f>
        <v>0.51888788280905429</v>
      </c>
      <c r="W315" s="188">
        <f t="shared" si="776"/>
        <v>5.7176183851890974</v>
      </c>
      <c r="X315" s="172">
        <f t="shared" si="777"/>
        <v>350</v>
      </c>
      <c r="Y315" s="379">
        <f t="shared" si="840"/>
        <v>155.36378873301629</v>
      </c>
      <c r="AA315" s="188">
        <f t="shared" si="778"/>
        <v>1.1873008588909406</v>
      </c>
      <c r="AB315" s="150">
        <f>L*AA315/J315*1000000</f>
        <v>2.6194237329541554</v>
      </c>
      <c r="AC315" s="150">
        <f>0.5*AB315*AA315*Nps*X315/1000</f>
        <v>0.54425770838876197</v>
      </c>
      <c r="AD315" s="150"/>
      <c r="AE315" s="150">
        <f t="shared" si="781"/>
        <v>2.2062004868765639</v>
      </c>
      <c r="AF315" s="314">
        <f>MAX(12000,F315/(0.5*AE315/1000000*Isw_min*Nps))/1000</f>
        <v>1076.9646793813515</v>
      </c>
      <c r="AG315" s="456">
        <f t="shared" si="783"/>
        <v>0.38608508520339868</v>
      </c>
      <c r="AI315" s="150">
        <f t="shared" si="784"/>
        <v>1.7541499197872386</v>
      </c>
      <c r="AJ315" s="150">
        <f>MAX(IF(F315&gt;AC315,U315,AI315),Isw_min)</f>
        <v>2.5916132369655291</v>
      </c>
      <c r="AK315" s="150">
        <f>IF(F315&gt;AG315, (AJ315-Isw_min)/1.08*0.8+1.2, AF315*0.2/350+1)</f>
        <v>2.378972768122614</v>
      </c>
      <c r="AM315" s="314">
        <f t="shared" si="787"/>
        <v>1188</v>
      </c>
      <c r="AN315" s="144">
        <f t="shared" si="788"/>
        <v>155.36378873301629</v>
      </c>
      <c r="AP315">
        <f t="shared" si="789"/>
        <v>1188</v>
      </c>
      <c r="AQ315">
        <f t="shared" si="790"/>
        <v>155.36378873301629</v>
      </c>
      <c r="AS315" s="5">
        <f t="shared" si="763"/>
        <v>6.4365062679981522</v>
      </c>
      <c r="AT315" s="5">
        <f t="shared" si="791"/>
        <v>0.51888788280905429</v>
      </c>
      <c r="AU315" s="5">
        <f t="shared" si="883"/>
        <v>5.9176183851890976</v>
      </c>
      <c r="AV315" s="5"/>
      <c r="AW315" s="150">
        <f t="shared" si="884"/>
        <v>8.0616387400868017E-2</v>
      </c>
      <c r="AX315" s="150">
        <f t="shared" si="792"/>
        <v>6.2609672611447946</v>
      </c>
      <c r="AY315" s="150">
        <f t="shared" si="793"/>
        <v>1.1913433701305491</v>
      </c>
      <c r="AZ315" s="150">
        <f t="shared" si="794"/>
        <v>5.2553843149844441</v>
      </c>
      <c r="BA315" s="144">
        <f t="shared" si="885"/>
        <v>12.32877609554313</v>
      </c>
      <c r="BB315" s="5">
        <f t="shared" si="886"/>
        <v>0.24436795350830792</v>
      </c>
      <c r="BD315" s="150">
        <f t="shared" si="841"/>
        <v>0.42483591907623092</v>
      </c>
      <c r="BE315" s="150">
        <f t="shared" si="842"/>
        <v>1.4346895710225853</v>
      </c>
      <c r="BG315" s="456">
        <f t="shared" si="843"/>
        <v>3.6097111627469165E-3</v>
      </c>
      <c r="BH315" s="456">
        <f t="shared" si="795"/>
        <v>0.49354342328750472</v>
      </c>
      <c r="BI315" s="456">
        <f t="shared" si="796"/>
        <v>0.23279182156606826</v>
      </c>
      <c r="BJ315" s="456">
        <f t="shared" si="844"/>
        <v>6.6398460739017395E-2</v>
      </c>
      <c r="BK315">
        <f t="shared" si="845"/>
        <v>2.6970588335676698E-2</v>
      </c>
      <c r="BL315" s="144">
        <f t="shared" si="846"/>
        <v>259.76240990174495</v>
      </c>
      <c r="BM315" s="456">
        <f t="shared" si="797"/>
        <v>0.56501080853867347</v>
      </c>
      <c r="BN315" s="144">
        <f t="shared" si="847"/>
        <v>565.01080853867347</v>
      </c>
      <c r="BO315" s="456">
        <f t="shared" si="798"/>
        <v>0.83159999999999989</v>
      </c>
      <c r="BR315" s="144">
        <f t="shared" si="848"/>
        <v>831.59999999999991</v>
      </c>
      <c r="BS315" s="456">
        <f t="shared" si="849"/>
        <v>5.4145667441203747E-3</v>
      </c>
      <c r="BT315" s="456">
        <f t="shared" si="850"/>
        <v>6.175002495602909E-2</v>
      </c>
      <c r="BU315" s="456">
        <f t="shared" si="851"/>
        <v>0.16265596207950084</v>
      </c>
      <c r="BV315" s="456"/>
      <c r="BW315" s="456">
        <f t="shared" si="852"/>
        <v>1.0434945435241324E-3</v>
      </c>
      <c r="BX315" s="144">
        <f t="shared" si="853"/>
        <v>230.86404832317442</v>
      </c>
      <c r="BY315" s="150">
        <f t="shared" si="854"/>
        <v>1.8857780534141884</v>
      </c>
      <c r="BZ315" s="5">
        <f t="shared" si="855"/>
        <v>5.9399999999999995</v>
      </c>
      <c r="CA315" s="150">
        <f t="shared" si="856"/>
        <v>0.75902995963558262</v>
      </c>
      <c r="CB315" s="5">
        <f t="shared" si="857"/>
        <v>75.902995963558268</v>
      </c>
      <c r="CE315" s="59">
        <f t="shared" si="799"/>
        <v>-50</v>
      </c>
      <c r="CF315">
        <f t="shared" si="800"/>
        <v>-50</v>
      </c>
      <c r="CG315" s="150">
        <f t="shared" si="801"/>
        <v>0.90882310182032433</v>
      </c>
      <c r="CI315" s="147">
        <v>99</v>
      </c>
      <c r="CJ315" s="188">
        <f t="shared" si="858"/>
        <v>1.1879999999999999</v>
      </c>
      <c r="CK315" s="188"/>
      <c r="CL315" s="188">
        <f t="shared" si="802"/>
        <v>5.9399999999999995</v>
      </c>
      <c r="CM315" s="465">
        <f t="shared" si="803"/>
        <v>60</v>
      </c>
      <c r="CN315" s="379">
        <f t="shared" si="804"/>
        <v>5.4</v>
      </c>
      <c r="CO315" s="379">
        <f t="shared" si="805"/>
        <v>65.400000000000006</v>
      </c>
      <c r="CP315" s="379"/>
      <c r="CQ315" s="188">
        <f t="shared" si="806"/>
        <v>8.2568807339449546E-2</v>
      </c>
      <c r="CR315" s="149">
        <f t="shared" si="807"/>
        <v>12.756880733944957</v>
      </c>
      <c r="CS315" s="149">
        <f t="shared" si="808"/>
        <v>5.9399999999999995</v>
      </c>
      <c r="CT315" s="188">
        <f t="shared" si="809"/>
        <v>2.5513761467889915</v>
      </c>
      <c r="CU315" s="188">
        <f t="shared" si="810"/>
        <v>5</v>
      </c>
      <c r="CV315" s="188"/>
      <c r="CW315" s="149">
        <f t="shared" si="811"/>
        <v>66.620724450860521</v>
      </c>
      <c r="CX315" s="149">
        <f t="shared" si="812"/>
        <v>5</v>
      </c>
      <c r="CY315" s="188">
        <f t="shared" si="813"/>
        <v>2.3979999999999997</v>
      </c>
      <c r="CZ315" s="188">
        <f t="shared" si="814"/>
        <v>0.47959999999999992</v>
      </c>
      <c r="DA315" s="188">
        <f t="shared" si="815"/>
        <v>5.3288888888888879</v>
      </c>
      <c r="DB315" s="172">
        <f t="shared" si="816"/>
        <v>350</v>
      </c>
      <c r="DC315" s="379">
        <f t="shared" si="817"/>
        <v>172.16181680452368</v>
      </c>
      <c r="DE315" s="188">
        <f t="shared" si="818"/>
        <v>1.179554390563565</v>
      </c>
      <c r="DF315" s="150">
        <f t="shared" si="819"/>
        <v>2.6212319790301444</v>
      </c>
      <c r="DG315" s="150">
        <f t="shared" si="820"/>
        <v>0.54107999567136011</v>
      </c>
      <c r="DH315" s="150"/>
      <c r="DI315" s="150">
        <f t="shared" si="821"/>
        <v>2.2222222222222219</v>
      </c>
      <c r="DJ315" s="314">
        <f t="shared" si="822"/>
        <v>1069.2</v>
      </c>
      <c r="DK315" s="456">
        <f t="shared" si="823"/>
        <v>0.38888888888888884</v>
      </c>
      <c r="DM315" s="150">
        <f t="shared" si="824"/>
        <v>1.7478149624194042</v>
      </c>
      <c r="DN315" s="150">
        <f t="shared" si="825"/>
        <v>2.3979999999999997</v>
      </c>
      <c r="DO315" s="150">
        <f t="shared" si="826"/>
        <v>2.2355555555555551</v>
      </c>
      <c r="DQ315" s="314">
        <f t="shared" si="827"/>
        <v>1188</v>
      </c>
      <c r="DR315" s="144">
        <f t="shared" si="828"/>
        <v>172.16181680452368</v>
      </c>
      <c r="DT315">
        <f t="shared" si="829"/>
        <v>1188</v>
      </c>
      <c r="DU315">
        <f t="shared" si="830"/>
        <v>172.16181680452368</v>
      </c>
      <c r="DW315" s="5">
        <f t="shared" si="859"/>
        <v>5.8084888888888875</v>
      </c>
      <c r="DX315" s="5">
        <f t="shared" si="831"/>
        <v>0.47959999999999992</v>
      </c>
      <c r="DY315" s="5">
        <f t="shared" si="832"/>
        <v>5.3288888888888879</v>
      </c>
      <c r="DZ315" s="5"/>
      <c r="EA315" s="150">
        <f t="shared" si="833"/>
        <v>8.2568807339449546E-2</v>
      </c>
      <c r="EB315" s="150">
        <f t="shared" si="860"/>
        <v>5.9400000000000013</v>
      </c>
      <c r="EC315" s="150">
        <f t="shared" si="861"/>
        <v>1.0999999999999999</v>
      </c>
      <c r="ED315" s="150">
        <f t="shared" si="862"/>
        <v>5.4000000000000021</v>
      </c>
      <c r="EE315" s="144">
        <f t="shared" si="834"/>
        <v>11.395295999999998</v>
      </c>
      <c r="EF315" s="5">
        <f t="shared" si="835"/>
        <v>0.21981666666666655</v>
      </c>
      <c r="EH315" s="150">
        <f t="shared" si="863"/>
        <v>0.39782910904055269</v>
      </c>
      <c r="EI315" s="150">
        <f t="shared" si="864"/>
        <v>1.3260970301351758</v>
      </c>
      <c r="EK315" s="456">
        <f t="shared" si="865"/>
        <v>3.1653599999999994E-3</v>
      </c>
      <c r="EL315" s="456">
        <f t="shared" si="866"/>
        <v>0.54</v>
      </c>
      <c r="EM315" s="456">
        <f t="shared" si="867"/>
        <v>2.1520227100565458E-2</v>
      </c>
      <c r="EN315" s="456">
        <f t="shared" si="868"/>
        <v>7.3636363636363666E-2</v>
      </c>
      <c r="EO315">
        <f t="shared" si="869"/>
        <v>2.7E-2</v>
      </c>
      <c r="EP315" s="144">
        <f t="shared" si="870"/>
        <v>48.520227100565457</v>
      </c>
      <c r="EQ315" s="144"/>
      <c r="ER315" s="144">
        <f t="shared" si="871"/>
        <v>665.32195073692913</v>
      </c>
      <c r="ES315" s="456">
        <f t="shared" si="872"/>
        <v>0.83159999999999989</v>
      </c>
      <c r="EV315" s="144">
        <f t="shared" si="873"/>
        <v>831.59999999999991</v>
      </c>
      <c r="EW315" s="456">
        <f t="shared" si="874"/>
        <v>4.7480399999999985E-3</v>
      </c>
      <c r="EX315" s="456">
        <f t="shared" si="875"/>
        <v>5.2755999999999997E-2</v>
      </c>
      <c r="EY315" s="456">
        <f t="shared" si="876"/>
        <v>0.1731550028820166</v>
      </c>
      <c r="EZ315" s="456"/>
      <c r="FA315" s="456">
        <f t="shared" si="877"/>
        <v>9.8999999999999999E-4</v>
      </c>
      <c r="FB315" s="144">
        <f t="shared" si="878"/>
        <v>231.6490428820166</v>
      </c>
      <c r="FC315" s="150">
        <f t="shared" si="879"/>
        <v>1.7285709936189457</v>
      </c>
      <c r="FD315" s="5">
        <f t="shared" si="880"/>
        <v>5.9399999999999995</v>
      </c>
      <c r="FE315" s="150">
        <f t="shared" si="881"/>
        <v>0.77459020786828503</v>
      </c>
      <c r="FF315" s="5">
        <f t="shared" si="882"/>
        <v>77.459020786828503</v>
      </c>
      <c r="FI315" s="59">
        <f t="shared" si="836"/>
        <v>-50</v>
      </c>
      <c r="FJ315">
        <f t="shared" si="837"/>
        <v>-50</v>
      </c>
      <c r="FL315">
        <f t="shared" si="838"/>
        <v>0.91743119266055051</v>
      </c>
    </row>
    <row r="316" spans="5:168">
      <c r="E316" s="147">
        <v>100</v>
      </c>
      <c r="F316" s="188">
        <f>IF(PLOT_TYPE=1, E316/100*Iout_max, min_I*EXP(N316*rr/100))</f>
        <v>1.2</v>
      </c>
      <c r="G316" s="188"/>
      <c r="H316" s="188">
        <f>F316*Vout</f>
        <v>6</v>
      </c>
      <c r="I316" s="465">
        <f t="shared" si="765"/>
        <v>59.933986804028244</v>
      </c>
      <c r="J316" s="149">
        <f t="shared" si="766"/>
        <v>5.4396079175830536</v>
      </c>
      <c r="K316" s="149">
        <f t="shared" si="767"/>
        <v>65.373594721611298</v>
      </c>
      <c r="L316" s="379"/>
      <c r="M316" s="188">
        <f t="shared" si="768"/>
        <v>8.3202868604075678E-2</v>
      </c>
      <c r="N316" s="149">
        <f>M316*I316*(Isw_max+VIN_max/Lmag*ILIM_delay)*0.5*Efficiency</f>
        <v>12.840700044607967</v>
      </c>
      <c r="O316" s="149">
        <f t="shared" si="762"/>
        <v>6</v>
      </c>
      <c r="P316" s="188">
        <f>N316/Vout</f>
        <v>2.5681400089215933</v>
      </c>
      <c r="Q316" s="188">
        <f t="shared" si="771"/>
        <v>5</v>
      </c>
      <c r="R316" s="188"/>
      <c r="S316" s="149">
        <f t="shared" si="772"/>
        <v>65.293417165626934</v>
      </c>
      <c r="T316" s="149">
        <f>MIN(Vout, S316)</f>
        <v>5</v>
      </c>
      <c r="U316" s="188">
        <f t="shared" si="774"/>
        <v>2.6178092380652811</v>
      </c>
      <c r="V316" s="188">
        <f>L*U316/I316*1000000</f>
        <v>0.52413851525512101</v>
      </c>
      <c r="W316" s="188">
        <f t="shared" si="776"/>
        <v>5.7749954284832405</v>
      </c>
      <c r="X316" s="172">
        <f t="shared" si="777"/>
        <v>350</v>
      </c>
      <c r="Y316" s="379">
        <f t="shared" si="840"/>
        <v>153.86665495076576</v>
      </c>
      <c r="AA316" s="188">
        <f t="shared" si="778"/>
        <v>1.1873783019546262</v>
      </c>
      <c r="AB316" s="150">
        <f>L*AA316/J316*1000000</f>
        <v>2.6194056335197184</v>
      </c>
      <c r="AC316" s="150">
        <f>0.5*AB316*AA316*Nps*X316/1000</f>
        <v>0.54428944732032947</v>
      </c>
      <c r="AD316" s="150"/>
      <c r="AE316" s="150">
        <f t="shared" si="781"/>
        <v>2.2060413511075048</v>
      </c>
      <c r="AF316" s="314">
        <f>MAX(12000,F316/(0.5*AE316/1000000*Isw_min*Nps))/1000</f>
        <v>1087.9215835166106</v>
      </c>
      <c r="AG316" s="456">
        <f t="shared" si="783"/>
        <v>0.38605723644381335</v>
      </c>
      <c r="AI316" s="150">
        <f t="shared" si="784"/>
        <v>1.763050589596348</v>
      </c>
      <c r="AJ316" s="150">
        <f>MAX(IF(F316&gt;AC316,U316,AI316),Isw_min)</f>
        <v>2.6178092380652811</v>
      </c>
      <c r="AK316" s="150">
        <f>IF(F316&gt;AG316, (AJ316-Isw_min)/1.08*0.8+1.2, AF316*0.2/350+1)</f>
        <v>2.3983772133816896</v>
      </c>
      <c r="AM316" s="314">
        <f t="shared" si="787"/>
        <v>1200</v>
      </c>
      <c r="AN316" s="144">
        <f t="shared" si="788"/>
        <v>153.86665495076576</v>
      </c>
      <c r="AP316">
        <f t="shared" si="789"/>
        <v>1200</v>
      </c>
      <c r="AQ316">
        <f t="shared" si="790"/>
        <v>153.86665495076576</v>
      </c>
      <c r="AS316" s="5">
        <f t="shared" si="763"/>
        <v>6.4991339437383617</v>
      </c>
      <c r="AT316" s="5">
        <f t="shared" si="791"/>
        <v>0.52413851525512101</v>
      </c>
      <c r="AU316" s="5">
        <f t="shared" si="883"/>
        <v>5.9749954284832407</v>
      </c>
      <c r="AV316" s="5"/>
      <c r="AW316" s="150">
        <f>AT316/AS316</f>
        <v>8.0647440073166377E-2</v>
      </c>
      <c r="AX316" s="150">
        <f t="shared" si="792"/>
        <v>6.3266200692808576</v>
      </c>
      <c r="AY316" s="150">
        <f t="shared" si="793"/>
        <v>1.2033448122077151</v>
      </c>
      <c r="AZ316" s="150">
        <f t="shared" si="794"/>
        <v>5.2575288521614452</v>
      </c>
      <c r="BA316" s="144">
        <f t="shared" si="885"/>
        <v>12.579324366122904</v>
      </c>
      <c r="BB316" s="5">
        <f t="shared" si="886"/>
        <v>0.24923235325643533</v>
      </c>
      <c r="BD316" s="150">
        <f t="shared" si="841"/>
        <v>0.42921279685386565</v>
      </c>
      <c r="BE316" s="150">
        <f t="shared" si="842"/>
        <v>1.4491669252770221</v>
      </c>
      <c r="BG316" s="456">
        <f t="shared" si="843"/>
        <v>3.6844724996623552E-3</v>
      </c>
      <c r="BH316" s="456">
        <f t="shared" si="795"/>
        <v>0.49372616894782068</v>
      </c>
      <c r="BI316" s="456">
        <f t="shared" si="796"/>
        <v>0.23054605168497905</v>
      </c>
      <c r="BJ316" s="456">
        <f t="shared" si="844"/>
        <v>6.5758098291588823E-2</v>
      </c>
      <c r="BK316">
        <f t="shared" si="845"/>
        <v>2.697029406181271E-2</v>
      </c>
      <c r="BL316" s="144">
        <f t="shared" si="846"/>
        <v>257.51634574679179</v>
      </c>
      <c r="BM316" s="456">
        <f t="shared" si="797"/>
        <v>0.56465786612573998</v>
      </c>
      <c r="BN316" s="144">
        <f t="shared" si="847"/>
        <v>564.65786612573993</v>
      </c>
      <c r="BO316" s="456">
        <f t="shared" si="798"/>
        <v>0.84</v>
      </c>
      <c r="BR316" s="144">
        <f t="shared" si="848"/>
        <v>840</v>
      </c>
      <c r="BS316" s="456">
        <f t="shared" si="849"/>
        <v>5.5267087494935323E-3</v>
      </c>
      <c r="BT316" s="456">
        <f t="shared" si="850"/>
        <v>6.3002543319505749E-2</v>
      </c>
      <c r="BU316" s="456">
        <f t="shared" si="851"/>
        <v>0.16280820013821787</v>
      </c>
      <c r="BV316" s="456"/>
      <c r="BW316" s="456">
        <f t="shared" si="852"/>
        <v>1.0544366782134762E-3</v>
      </c>
      <c r="BX316" s="144">
        <f t="shared" si="853"/>
        <v>232.3918888854306</v>
      </c>
      <c r="BY316" s="150">
        <f t="shared" si="854"/>
        <v>1.8930769743712943</v>
      </c>
      <c r="BZ316" s="5">
        <f t="shared" si="855"/>
        <v>6</v>
      </c>
      <c r="CA316" s="150">
        <f t="shared" si="856"/>
        <v>0.76015982353674139</v>
      </c>
      <c r="CB316" s="5">
        <f t="shared" si="857"/>
        <v>76.015982353674133</v>
      </c>
      <c r="CE316" s="59">
        <f t="shared" si="799"/>
        <v>-50</v>
      </c>
      <c r="CF316">
        <f t="shared" si="800"/>
        <v>-50</v>
      </c>
      <c r="CG316" s="150">
        <f t="shared" si="801"/>
        <v>0.90890918272872656</v>
      </c>
      <c r="CI316" s="147">
        <v>100</v>
      </c>
      <c r="CJ316" s="188">
        <f t="shared" si="858"/>
        <v>1.2</v>
      </c>
      <c r="CK316" s="188"/>
      <c r="CL316" s="188">
        <f t="shared" si="802"/>
        <v>6</v>
      </c>
      <c r="CM316" s="465">
        <f t="shared" si="803"/>
        <v>60</v>
      </c>
      <c r="CN316" s="379">
        <f t="shared" si="804"/>
        <v>5.4</v>
      </c>
      <c r="CO316" s="379">
        <f t="shared" si="805"/>
        <v>65.400000000000006</v>
      </c>
      <c r="CP316" s="379"/>
      <c r="CQ316" s="188">
        <f t="shared" si="806"/>
        <v>8.2568807339449546E-2</v>
      </c>
      <c r="CR316" s="149">
        <f t="shared" si="807"/>
        <v>12.756880733944957</v>
      </c>
      <c r="CS316" s="149">
        <f t="shared" si="808"/>
        <v>6</v>
      </c>
      <c r="CT316" s="188">
        <f t="shared" si="809"/>
        <v>2.5513761467889915</v>
      </c>
      <c r="CU316" s="188">
        <f t="shared" si="810"/>
        <v>5</v>
      </c>
      <c r="CV316" s="188"/>
      <c r="CW316" s="149">
        <f t="shared" si="811"/>
        <v>65.364936110629344</v>
      </c>
      <c r="CX316" s="149">
        <f t="shared" si="812"/>
        <v>5</v>
      </c>
      <c r="CY316" s="188">
        <f t="shared" si="813"/>
        <v>2.4222222222222221</v>
      </c>
      <c r="CZ316" s="188">
        <f t="shared" si="814"/>
        <v>0.48444444444444434</v>
      </c>
      <c r="DA316" s="188">
        <f t="shared" si="815"/>
        <v>5.3827160493827151</v>
      </c>
      <c r="DB316" s="172">
        <f t="shared" si="816"/>
        <v>350</v>
      </c>
      <c r="DC316" s="379">
        <f t="shared" si="817"/>
        <v>170.44019863647844</v>
      </c>
      <c r="DE316" s="188">
        <f t="shared" si="818"/>
        <v>1.179554390563565</v>
      </c>
      <c r="DF316" s="150">
        <f t="shared" si="819"/>
        <v>2.6212319790301444</v>
      </c>
      <c r="DG316" s="150">
        <f t="shared" si="820"/>
        <v>0.54107999567136011</v>
      </c>
      <c r="DH316" s="150"/>
      <c r="DI316" s="150">
        <f t="shared" si="821"/>
        <v>2.2222222222222219</v>
      </c>
      <c r="DJ316" s="314">
        <f t="shared" si="822"/>
        <v>1080</v>
      </c>
      <c r="DK316" s="456">
        <f t="shared" si="823"/>
        <v>0.38888888888888884</v>
      </c>
      <c r="DM316" s="150">
        <f t="shared" si="824"/>
        <v>1.7566201313073597</v>
      </c>
      <c r="DN316" s="150">
        <f t="shared" si="825"/>
        <v>2.4222222222222221</v>
      </c>
      <c r="DO316" s="150">
        <f t="shared" si="826"/>
        <v>2.2534979423868311</v>
      </c>
      <c r="DQ316" s="314">
        <f t="shared" si="827"/>
        <v>1200</v>
      </c>
      <c r="DR316" s="144">
        <f t="shared" si="828"/>
        <v>170.44019863647844</v>
      </c>
      <c r="DT316">
        <f t="shared" si="829"/>
        <v>1200</v>
      </c>
      <c r="DU316">
        <f t="shared" si="830"/>
        <v>170.44019863647844</v>
      </c>
      <c r="DW316" s="5">
        <f t="shared" si="859"/>
        <v>5.8671604938271598</v>
      </c>
      <c r="DX316" s="5">
        <f t="shared" si="831"/>
        <v>0.48444444444444434</v>
      </c>
      <c r="DY316" s="5">
        <f t="shared" si="832"/>
        <v>5.3827160493827151</v>
      </c>
      <c r="DZ316" s="5"/>
      <c r="EA316" s="150">
        <f t="shared" si="833"/>
        <v>8.2568807339449532E-2</v>
      </c>
      <c r="EB316" s="150">
        <f t="shared" si="860"/>
        <v>6</v>
      </c>
      <c r="EC316" s="150">
        <f t="shared" si="861"/>
        <v>1.1111111111111112</v>
      </c>
      <c r="ED316" s="150">
        <f t="shared" si="862"/>
        <v>5.3999999999999995</v>
      </c>
      <c r="EE316" s="144">
        <f t="shared" si="834"/>
        <v>11.626666666666663</v>
      </c>
      <c r="EF316" s="5">
        <f t="shared" si="835"/>
        <v>0.22427983539094642</v>
      </c>
      <c r="EH316" s="150">
        <f t="shared" si="863"/>
        <v>0.40184758488944716</v>
      </c>
      <c r="EI316" s="150">
        <f t="shared" si="864"/>
        <v>1.3394919496314908</v>
      </c>
      <c r="EK316" s="456">
        <f t="shared" si="865"/>
        <v>3.2296296296296292E-3</v>
      </c>
      <c r="EL316" s="456">
        <f t="shared" si="866"/>
        <v>0.54</v>
      </c>
      <c r="EM316" s="456">
        <f t="shared" si="867"/>
        <v>2.1305024829559805E-2</v>
      </c>
      <c r="EN316" s="456">
        <f t="shared" si="868"/>
        <v>7.290000000000002E-2</v>
      </c>
      <c r="EO316">
        <f t="shared" si="869"/>
        <v>2.7E-2</v>
      </c>
      <c r="EP316" s="144">
        <f t="shared" si="870"/>
        <v>48.305024829559805</v>
      </c>
      <c r="EQ316" s="144"/>
      <c r="ER316" s="144">
        <f t="shared" si="871"/>
        <v>664.43465445918935</v>
      </c>
      <c r="ES316" s="456">
        <f t="shared" si="872"/>
        <v>0.84</v>
      </c>
      <c r="EV316" s="144">
        <f t="shared" si="873"/>
        <v>840</v>
      </c>
      <c r="EW316" s="456">
        <f t="shared" si="874"/>
        <v>4.8444444444444429E-3</v>
      </c>
      <c r="EX316" s="456">
        <f t="shared" si="875"/>
        <v>5.3827160493827166E-2</v>
      </c>
      <c r="EY316" s="456">
        <f t="shared" si="876"/>
        <v>0.17315500288201627</v>
      </c>
      <c r="EZ316" s="456"/>
      <c r="FA316" s="456">
        <f t="shared" si="877"/>
        <v>1.0000000000000002E-3</v>
      </c>
      <c r="FB316" s="144">
        <f t="shared" si="878"/>
        <v>232.82660782028788</v>
      </c>
      <c r="FC316" s="150">
        <f t="shared" si="879"/>
        <v>1.7372612622794772</v>
      </c>
      <c r="FD316" s="5">
        <f t="shared" si="880"/>
        <v>6</v>
      </c>
      <c r="FE316" s="150">
        <f t="shared" si="881"/>
        <v>0.77546819172968418</v>
      </c>
      <c r="FF316" s="5">
        <f t="shared" si="882"/>
        <v>77.546819172968412</v>
      </c>
      <c r="FI316" s="59">
        <f t="shared" si="836"/>
        <v>-50</v>
      </c>
      <c r="FJ316">
        <f t="shared" si="837"/>
        <v>-50</v>
      </c>
      <c r="FL316">
        <f t="shared" si="838"/>
        <v>0.91743119266055051</v>
      </c>
    </row>
    <row r="317" spans="5:168">
      <c r="E317" s="147"/>
      <c r="F317" s="188"/>
      <c r="G317" s="188"/>
      <c r="CE317" s="59"/>
      <c r="CI317" s="147"/>
      <c r="CJ317" s="188"/>
      <c r="CK317" s="188"/>
      <c r="FI317" s="59"/>
    </row>
    <row r="318" spans="5:168" ht="45" customHeight="1" thickBot="1">
      <c r="E318" s="211" t="s">
        <v>25</v>
      </c>
      <c r="F318" s="380" t="s">
        <v>194</v>
      </c>
      <c r="G318" s="230"/>
      <c r="H318" s="455" t="s">
        <v>223</v>
      </c>
      <c r="I318" s="212" t="s">
        <v>412</v>
      </c>
      <c r="J318" s="213" t="s">
        <v>418</v>
      </c>
      <c r="K318" s="455" t="s">
        <v>413</v>
      </c>
      <c r="L318" s="455"/>
      <c r="M318" s="214" t="s">
        <v>48</v>
      </c>
      <c r="N318" s="455" t="s">
        <v>402</v>
      </c>
      <c r="O318" s="455" t="s">
        <v>656</v>
      </c>
      <c r="P318" s="455" t="s">
        <v>403</v>
      </c>
      <c r="Q318" s="455" t="s">
        <v>433</v>
      </c>
      <c r="R318" s="455" t="s">
        <v>654</v>
      </c>
      <c r="S318" s="455" t="s">
        <v>657</v>
      </c>
      <c r="T318" s="455" t="s">
        <v>655</v>
      </c>
      <c r="U318" s="455" t="s">
        <v>414</v>
      </c>
      <c r="V318" s="455" t="s">
        <v>466</v>
      </c>
      <c r="W318" s="455" t="s">
        <v>465</v>
      </c>
      <c r="X318" s="469" t="s">
        <v>420</v>
      </c>
      <c r="Y318" s="466" t="s">
        <v>425</v>
      </c>
      <c r="AA318" s="215" t="s">
        <v>417</v>
      </c>
      <c r="AB318" s="215" t="s">
        <v>464</v>
      </c>
      <c r="AC318" s="215" t="s">
        <v>423</v>
      </c>
      <c r="AD318" s="468"/>
      <c r="AE318" s="215" t="s">
        <v>463</v>
      </c>
      <c r="AF318" s="215" t="s">
        <v>681</v>
      </c>
      <c r="AG318" s="215" t="s">
        <v>427</v>
      </c>
      <c r="AH318" s="468"/>
      <c r="AI318" s="215" t="s">
        <v>429</v>
      </c>
      <c r="AJ318" s="470" t="s">
        <v>430</v>
      </c>
      <c r="AK318" s="470" t="s">
        <v>431</v>
      </c>
      <c r="AM318" s="467" t="s">
        <v>275</v>
      </c>
      <c r="AN318" s="467" t="s">
        <v>432</v>
      </c>
      <c r="AP318" s="215" t="s">
        <v>275</v>
      </c>
      <c r="AQ318" s="215" t="s">
        <v>432</v>
      </c>
      <c r="AR318" s="471"/>
      <c r="AS318" s="215" t="s">
        <v>467</v>
      </c>
      <c r="AT318" s="215" t="s">
        <v>461</v>
      </c>
      <c r="AU318" s="215" t="s">
        <v>462</v>
      </c>
      <c r="AV318" s="215" t="s">
        <v>653</v>
      </c>
      <c r="AW318" s="215" t="s">
        <v>48</v>
      </c>
      <c r="AX318" s="471" t="s">
        <v>651</v>
      </c>
      <c r="AY318" s="468" t="s">
        <v>650</v>
      </c>
      <c r="AZ318" s="468" t="s">
        <v>652</v>
      </c>
      <c r="BA318" s="215" t="s">
        <v>481</v>
      </c>
      <c r="BB318" s="215" t="s">
        <v>514</v>
      </c>
      <c r="BC318" s="468"/>
      <c r="BD318" s="479" t="s">
        <v>456</v>
      </c>
      <c r="BE318" s="215" t="s">
        <v>457</v>
      </c>
      <c r="BF318" s="468"/>
      <c r="BG318" s="479" t="s">
        <v>474</v>
      </c>
      <c r="BH318" s="215" t="s">
        <v>475</v>
      </c>
      <c r="BI318" s="215" t="s">
        <v>473</v>
      </c>
      <c r="BJ318" s="215" t="s">
        <v>469</v>
      </c>
      <c r="BK318" s="215" t="s">
        <v>478</v>
      </c>
      <c r="BL318" s="215" t="s">
        <v>777</v>
      </c>
      <c r="BM318" s="215" t="s">
        <v>776</v>
      </c>
      <c r="BN318" s="215" t="s">
        <v>491</v>
      </c>
      <c r="BO318" s="479" t="s">
        <v>476</v>
      </c>
      <c r="BP318" s="215" t="s">
        <v>477</v>
      </c>
      <c r="BQ318" s="215" t="s">
        <v>483</v>
      </c>
      <c r="BR318" s="215" t="s">
        <v>487</v>
      </c>
      <c r="BS318" s="479" t="s">
        <v>458</v>
      </c>
      <c r="BT318" s="215" t="s">
        <v>459</v>
      </c>
      <c r="BU318" s="215" t="s">
        <v>468</v>
      </c>
      <c r="BV318" s="215" t="s">
        <v>666</v>
      </c>
      <c r="BW318" s="215" t="s">
        <v>484</v>
      </c>
      <c r="BX318" s="215" t="s">
        <v>667</v>
      </c>
      <c r="BY318" s="479" t="s">
        <v>482</v>
      </c>
      <c r="BZ318" s="215" t="s">
        <v>223</v>
      </c>
      <c r="CA318" s="215" t="s">
        <v>47</v>
      </c>
      <c r="CB318" s="215" t="s">
        <v>485</v>
      </c>
      <c r="CC318" s="215"/>
      <c r="CE318" s="490" t="s">
        <v>664</v>
      </c>
      <c r="CF318" s="490" t="s">
        <v>665</v>
      </c>
      <c r="CG318" s="667" t="s">
        <v>828</v>
      </c>
      <c r="CI318" s="211" t="s">
        <v>25</v>
      </c>
      <c r="CJ318" s="380" t="s">
        <v>194</v>
      </c>
      <c r="CK318" s="230"/>
      <c r="CL318" s="455" t="s">
        <v>223</v>
      </c>
      <c r="CM318" s="212" t="s">
        <v>412</v>
      </c>
      <c r="CN318" s="213" t="s">
        <v>418</v>
      </c>
      <c r="CO318" s="455" t="s">
        <v>413</v>
      </c>
      <c r="CP318" s="455"/>
      <c r="CQ318" s="214" t="s">
        <v>48</v>
      </c>
      <c r="CR318" s="455" t="s">
        <v>402</v>
      </c>
      <c r="CS318" s="455" t="s">
        <v>656</v>
      </c>
      <c r="CT318" s="455" t="s">
        <v>403</v>
      </c>
      <c r="CU318" s="455" t="s">
        <v>433</v>
      </c>
      <c r="CV318" s="455" t="s">
        <v>654</v>
      </c>
      <c r="CW318" s="455" t="s">
        <v>657</v>
      </c>
      <c r="CX318" s="455" t="s">
        <v>655</v>
      </c>
      <c r="CY318" s="455" t="s">
        <v>414</v>
      </c>
      <c r="CZ318" s="455" t="s">
        <v>466</v>
      </c>
      <c r="DA318" s="455" t="s">
        <v>465</v>
      </c>
      <c r="DB318" s="469" t="s">
        <v>420</v>
      </c>
      <c r="DC318" s="466" t="s">
        <v>425</v>
      </c>
      <c r="DE318" s="215" t="s">
        <v>417</v>
      </c>
      <c r="DF318" s="215" t="s">
        <v>464</v>
      </c>
      <c r="DG318" s="215" t="s">
        <v>423</v>
      </c>
      <c r="DH318" s="468"/>
      <c r="DI318" s="215" t="s">
        <v>463</v>
      </c>
      <c r="DJ318" s="215" t="s">
        <v>681</v>
      </c>
      <c r="DK318" s="215" t="s">
        <v>427</v>
      </c>
      <c r="DL318" s="468"/>
      <c r="DM318" s="215" t="s">
        <v>429</v>
      </c>
      <c r="DN318" s="470" t="s">
        <v>430</v>
      </c>
      <c r="DO318" s="470" t="s">
        <v>431</v>
      </c>
      <c r="DQ318" s="467" t="s">
        <v>275</v>
      </c>
      <c r="DR318" s="467" t="s">
        <v>432</v>
      </c>
      <c r="DT318" s="215" t="s">
        <v>275</v>
      </c>
      <c r="DU318" s="215" t="s">
        <v>432</v>
      </c>
      <c r="DV318" s="471"/>
      <c r="DW318" s="215" t="s">
        <v>467</v>
      </c>
      <c r="DX318" s="215" t="s">
        <v>461</v>
      </c>
      <c r="DY318" s="215" t="s">
        <v>462</v>
      </c>
      <c r="DZ318" s="215" t="s">
        <v>653</v>
      </c>
      <c r="EA318" s="215" t="s">
        <v>48</v>
      </c>
      <c r="EB318" s="471" t="s">
        <v>651</v>
      </c>
      <c r="EC318" s="468" t="s">
        <v>650</v>
      </c>
      <c r="ED318" s="468" t="s">
        <v>652</v>
      </c>
      <c r="EE318" s="215" t="s">
        <v>481</v>
      </c>
      <c r="EF318" s="215" t="s">
        <v>514</v>
      </c>
      <c r="EG318" s="468"/>
      <c r="EH318" s="479" t="s">
        <v>456</v>
      </c>
      <c r="EI318" s="215" t="s">
        <v>457</v>
      </c>
      <c r="EJ318" s="468"/>
      <c r="EK318" s="479" t="s">
        <v>474</v>
      </c>
      <c r="EL318" s="215" t="s">
        <v>475</v>
      </c>
      <c r="EM318" s="215" t="s">
        <v>473</v>
      </c>
      <c r="EN318" s="215" t="s">
        <v>469</v>
      </c>
      <c r="EO318" s="215" t="s">
        <v>478</v>
      </c>
      <c r="EP318" s="215" t="s">
        <v>777</v>
      </c>
      <c r="EQ318" s="215" t="s">
        <v>776</v>
      </c>
      <c r="ER318" s="215" t="s">
        <v>491</v>
      </c>
      <c r="ES318" s="479" t="s">
        <v>476</v>
      </c>
      <c r="ET318" s="215" t="s">
        <v>477</v>
      </c>
      <c r="EU318" s="215" t="s">
        <v>483</v>
      </c>
      <c r="EV318" s="215" t="s">
        <v>487</v>
      </c>
      <c r="EW318" s="479" t="s">
        <v>458</v>
      </c>
      <c r="EX318" s="215" t="s">
        <v>459</v>
      </c>
      <c r="EY318" s="215" t="s">
        <v>468</v>
      </c>
      <c r="EZ318" s="215" t="s">
        <v>666</v>
      </c>
      <c r="FA318" s="215" t="s">
        <v>484</v>
      </c>
      <c r="FB318" s="215" t="s">
        <v>667</v>
      </c>
      <c r="FC318" s="479" t="s">
        <v>482</v>
      </c>
      <c r="FD318" s="215" t="s">
        <v>223</v>
      </c>
      <c r="FE318" s="215" t="s">
        <v>47</v>
      </c>
      <c r="FF318" s="215" t="s">
        <v>485</v>
      </c>
      <c r="FG318" s="215"/>
      <c r="FI318" s="490" t="s">
        <v>664</v>
      </c>
      <c r="FJ318" s="490" t="s">
        <v>665</v>
      </c>
      <c r="FL318" t="s">
        <v>825</v>
      </c>
    </row>
    <row r="319" spans="5:168">
      <c r="CE319" s="59"/>
      <c r="FI319" s="59"/>
    </row>
    <row r="320" spans="5:168">
      <c r="E320" s="59" t="s">
        <v>904</v>
      </c>
      <c r="CE320" s="59"/>
      <c r="FI320" s="59"/>
    </row>
    <row r="321" spans="5:165">
      <c r="F321" s="59" t="s">
        <v>905</v>
      </c>
      <c r="G321" s="59" t="s">
        <v>906</v>
      </c>
      <c r="N321">
        <f>Efficiency</f>
        <v>1</v>
      </c>
      <c r="CE321" s="59"/>
      <c r="FI321" s="59"/>
    </row>
    <row r="322" spans="5:165">
      <c r="F322">
        <f>'Design Converter'!E73</f>
        <v>5.0000000000000001E-4</v>
      </c>
      <c r="G322" s="754">
        <f>F322*Vout</f>
        <v>2.5000000000000001E-3</v>
      </c>
    </row>
    <row r="323" spans="5:165">
      <c r="E323" t="s">
        <v>907</v>
      </c>
    </row>
    <row r="324" spans="5:165">
      <c r="F324" t="s">
        <v>908</v>
      </c>
      <c r="G324" t="s">
        <v>909</v>
      </c>
      <c r="H324" t="s">
        <v>910</v>
      </c>
      <c r="I324" s="59" t="s">
        <v>660</v>
      </c>
    </row>
    <row r="325" spans="5:165">
      <c r="F325" s="755">
        <v>1.9999999999999999E-7</v>
      </c>
      <c r="G325">
        <f>VIN_max</f>
        <v>60</v>
      </c>
      <c r="H325">
        <f>15000</f>
        <v>15000</v>
      </c>
      <c r="I325">
        <f>L*0.9</f>
        <v>1.08E-5</v>
      </c>
    </row>
    <row r="326" spans="5:165">
      <c r="G326" s="59" t="s">
        <v>911</v>
      </c>
    </row>
    <row r="327" spans="5:165">
      <c r="G327" s="754">
        <f>0.5*(G325/I325*F325)^2*H325*I325</f>
        <v>0.10000000000000002</v>
      </c>
    </row>
    <row r="328" spans="5:165">
      <c r="E328" s="59" t="s">
        <v>912</v>
      </c>
    </row>
    <row r="329" spans="5:165">
      <c r="G329" t="str">
        <f>IF(G327&gt;G322, "Yes", "No")</f>
        <v>Yes</v>
      </c>
      <c r="H329">
        <f>(Vout*1.05)^2/(G327-G322)</f>
        <v>282.69230769230762</v>
      </c>
    </row>
  </sheetData>
  <sheetProtection algorithmName="SHA-512" hashValue="VK9QLheCludiINuQfxcfr4LD7XKmIutxyBhDX9CBej4SI+A2YK/orixBMJ17m2Jn48eh8hMMGdtnWNAzP5Gq+g==" saltValue="O7wVceKtoOG+YSWrHwWkjA==" spinCount="100000" sheet="1" selectLockedCells="1" selectUnlockedCells="1"/>
  <mergeCells count="2">
    <mergeCell ref="M3:AA3"/>
    <mergeCell ref="CQ3:DE3"/>
  </mergeCells>
  <phoneticPr fontId="83"/>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sheetPr>
  <dimension ref="A1:FM329"/>
  <sheetViews>
    <sheetView topLeftCell="A67" zoomScale="70" zoomScaleNormal="70" workbookViewId="0">
      <selection activeCell="BG107" sqref="BG107"/>
    </sheetView>
  </sheetViews>
  <sheetFormatPr defaultRowHeight="12.75"/>
  <cols>
    <col min="1" max="1" width="2.85546875" customWidth="1"/>
    <col min="2" max="2" width="3.5703125" customWidth="1"/>
    <col min="3" max="3" width="2.85546875" customWidth="1"/>
    <col min="4" max="4" width="3.7109375" customWidth="1"/>
    <col min="5" max="5" width="6.140625" customWidth="1"/>
    <col min="6" max="7" width="7.7109375" customWidth="1"/>
    <col min="8" max="9" width="7.85546875" customWidth="1"/>
    <col min="10" max="10" width="6.28515625" customWidth="1"/>
    <col min="11" max="11" width="9.5703125" customWidth="1"/>
    <col min="12" max="12" width="9.28515625" customWidth="1"/>
    <col min="13" max="13" width="7.85546875" customWidth="1"/>
    <col min="14" max="14" width="8.42578125" customWidth="1"/>
    <col min="15" max="16" width="9.5703125" customWidth="1"/>
    <col min="17" max="18" width="8.85546875" customWidth="1"/>
    <col min="19" max="19" width="8.5703125" customWidth="1"/>
    <col min="20" max="20" width="7.5703125" customWidth="1"/>
    <col min="21" max="21" width="9" customWidth="1"/>
    <col min="22" max="22" width="8.85546875" customWidth="1"/>
    <col min="23" max="23" width="10" customWidth="1"/>
    <col min="24" max="24" width="9.5703125" customWidth="1"/>
    <col min="25" max="25" width="1.85546875" customWidth="1"/>
    <col min="26" max="26" width="9.85546875" customWidth="1"/>
    <col min="27" max="27" width="10.42578125" customWidth="1"/>
    <col min="28" max="28" width="10.140625" customWidth="1"/>
    <col min="29" max="29" width="2" customWidth="1"/>
    <col min="30" max="30" width="9.140625" customWidth="1"/>
    <col min="31" max="31" width="9.42578125" customWidth="1"/>
    <col min="32" max="32" width="10.42578125" customWidth="1"/>
    <col min="33" max="33" width="2.140625" customWidth="1"/>
    <col min="35" max="35" width="8" customWidth="1"/>
    <col min="37" max="37" width="2.28515625" customWidth="1"/>
    <col min="38" max="38" width="6.5703125" customWidth="1"/>
    <col min="39" max="39" width="7.5703125" customWidth="1"/>
    <col min="40" max="40" width="2" customWidth="1"/>
    <col min="41" max="41" width="6.42578125" customWidth="1"/>
    <col min="42" max="42" width="7.5703125" customWidth="1"/>
    <col min="43" max="43" width="2.140625" customWidth="1"/>
    <col min="44" max="46" width="7" customWidth="1"/>
    <col min="47" max="47" width="8.42578125" customWidth="1"/>
    <col min="48" max="48" width="2.140625" customWidth="1"/>
    <col min="49" max="50" width="9.42578125" customWidth="1"/>
    <col min="51" max="51" width="9.85546875" customWidth="1"/>
    <col min="52" max="52" width="2" customWidth="1"/>
    <col min="56" max="56" width="2.140625" customWidth="1"/>
    <col min="57" max="57" width="9" customWidth="1"/>
    <col min="58" max="59" width="8.140625" customWidth="1"/>
    <col min="60" max="60" width="8.7109375" customWidth="1"/>
    <col min="61" max="64" width="7.5703125" customWidth="1"/>
    <col min="65" max="66" width="10.28515625" customWidth="1"/>
    <col min="67" max="67" width="9.42578125" customWidth="1"/>
    <col min="68" max="68" width="9.5703125" customWidth="1"/>
    <col min="69" max="69" width="10" customWidth="1"/>
    <col min="70" max="70" width="8.7109375" customWidth="1"/>
    <col min="73" max="74" width="9.85546875" customWidth="1"/>
    <col min="75" max="75" width="12.140625" customWidth="1"/>
    <col min="76" max="76" width="9.140625" customWidth="1"/>
    <col min="78" max="78" width="7.7109375" customWidth="1"/>
    <col min="79" max="79" width="10.42578125" customWidth="1"/>
    <col min="80" max="80" width="12.42578125" bestFit="1" customWidth="1"/>
    <col min="81" max="81" width="6.5703125" customWidth="1"/>
    <col min="82" max="82" width="5" customWidth="1"/>
    <col min="83" max="83" width="9.5703125" customWidth="1"/>
    <col min="85" max="85" width="15" customWidth="1"/>
    <col min="86" max="86" width="16.7109375" customWidth="1"/>
    <col min="87" max="87" width="6.140625" customWidth="1"/>
    <col min="88" max="89" width="7.7109375" customWidth="1"/>
    <col min="90" max="91" width="7.85546875" customWidth="1"/>
    <col min="92" max="92" width="6.28515625" customWidth="1"/>
    <col min="93" max="93" width="9.5703125" customWidth="1"/>
    <col min="94" max="94" width="9.28515625" customWidth="1"/>
    <col min="95" max="95" width="1.85546875" customWidth="1"/>
    <col min="96" max="96" width="8.42578125" customWidth="1"/>
    <col min="97" max="98" width="9.5703125" customWidth="1"/>
    <col min="99" max="100" width="8.85546875" customWidth="1"/>
    <col min="101" max="101" width="8.5703125" customWidth="1"/>
    <col min="102" max="102" width="7.5703125" customWidth="1"/>
    <col min="103" max="103" width="9" customWidth="1"/>
    <col min="104" max="104" width="8.85546875" customWidth="1"/>
    <col min="105" max="105" width="10" customWidth="1"/>
    <col min="106" max="106" width="9.5703125" customWidth="1"/>
    <col min="107" max="107" width="1.85546875" customWidth="1"/>
    <col min="108" max="108" width="9.85546875" customWidth="1"/>
    <col min="109" max="109" width="10.42578125" customWidth="1"/>
    <col min="110" max="110" width="10.140625" customWidth="1"/>
    <col min="111" max="111" width="2" customWidth="1"/>
    <col min="113" max="113" width="9.42578125" customWidth="1"/>
    <col min="114" max="114" width="10.42578125" customWidth="1"/>
    <col min="115" max="115" width="2.140625" customWidth="1"/>
    <col min="117" max="117" width="8" customWidth="1"/>
    <col min="119" max="119" width="2.28515625" customWidth="1"/>
    <col min="120" max="120" width="6.5703125" customWidth="1"/>
    <col min="121" max="121" width="7.5703125" customWidth="1"/>
    <col min="122" max="122" width="2" customWidth="1"/>
    <col min="123" max="123" width="6.42578125" customWidth="1"/>
    <col min="124" max="124" width="7.5703125" customWidth="1"/>
    <col min="125" max="125" width="2.140625" customWidth="1"/>
    <col min="126" max="128" width="7" customWidth="1"/>
    <col min="129" max="129" width="8.42578125" customWidth="1"/>
    <col min="130" max="130" width="2.140625" customWidth="1"/>
    <col min="131" max="132" width="9.42578125" customWidth="1"/>
    <col min="133" max="133" width="9.85546875" customWidth="1"/>
    <col min="134" max="134" width="2" customWidth="1"/>
    <col min="138" max="138" width="2.140625" customWidth="1"/>
    <col min="139" max="139" width="9" customWidth="1"/>
    <col min="140" max="141" width="8.140625" customWidth="1"/>
    <col min="142" max="142" width="8.7109375" customWidth="1"/>
    <col min="143" max="146" width="7.5703125" customWidth="1"/>
    <col min="147" max="148" width="10.28515625" customWidth="1"/>
    <col min="149" max="149" width="9.42578125" customWidth="1"/>
    <col min="150" max="150" width="9.5703125" customWidth="1"/>
    <col min="151" max="151" width="10" customWidth="1"/>
    <col min="152" max="152" width="8.7109375" customWidth="1"/>
    <col min="155" max="156" width="9.85546875" customWidth="1"/>
    <col min="157" max="157" width="12.140625" customWidth="1"/>
    <col min="160" max="160" width="7.7109375" customWidth="1"/>
    <col min="161" max="161" width="10.42578125" customWidth="1"/>
    <col min="162" max="162" width="12.42578125" bestFit="1" customWidth="1"/>
    <col min="163" max="163" width="6.5703125" customWidth="1"/>
    <col min="164" max="164" width="5" customWidth="1"/>
    <col min="165" max="165" width="9.5703125" customWidth="1"/>
    <col min="168" max="168" width="17.42578125" customWidth="1"/>
    <col min="169" max="169" width="14.140625" customWidth="1"/>
  </cols>
  <sheetData>
    <row r="1" spans="2:169" ht="25.5">
      <c r="B1" s="159" t="s">
        <v>515</v>
      </c>
      <c r="CI1" s="665" t="s">
        <v>823</v>
      </c>
    </row>
    <row r="2" spans="2:169" ht="13.5" thickBot="1">
      <c r="AW2">
        <f>Vout_ripple</f>
        <v>50</v>
      </c>
      <c r="EA2">
        <f>Vout_ripple</f>
        <v>50</v>
      </c>
    </row>
    <row r="3" spans="2:169">
      <c r="E3" s="191" t="s">
        <v>421</v>
      </c>
      <c r="F3" s="464"/>
      <c r="G3" s="464"/>
      <c r="H3" s="464"/>
      <c r="I3" s="464"/>
      <c r="J3" s="192"/>
      <c r="K3" s="193"/>
      <c r="L3" s="452"/>
      <c r="M3" s="452"/>
      <c r="N3" s="814" t="s">
        <v>189</v>
      </c>
      <c r="O3" s="815"/>
      <c r="P3" s="817"/>
      <c r="Q3" s="814"/>
      <c r="R3" s="817"/>
      <c r="S3" s="814"/>
      <c r="T3" s="814"/>
      <c r="U3" s="815"/>
      <c r="V3" s="815"/>
      <c r="W3" s="814"/>
      <c r="X3" s="815"/>
      <c r="Y3" s="814"/>
      <c r="Z3" s="816"/>
      <c r="AA3" s="461"/>
      <c r="AB3" s="461"/>
      <c r="AC3" s="461"/>
      <c r="AD3" s="461"/>
      <c r="AE3" s="461"/>
      <c r="AF3" s="461"/>
      <c r="AG3" s="461"/>
      <c r="AH3" s="461"/>
      <c r="AI3" s="461"/>
      <c r="AJ3" s="461"/>
      <c r="AK3" s="461"/>
      <c r="AL3" s="461"/>
      <c r="AM3" s="461"/>
      <c r="AN3" s="461"/>
      <c r="AO3" s="461"/>
      <c r="AP3" s="461"/>
      <c r="AQ3" s="461"/>
      <c r="AR3" s="461" t="s">
        <v>460</v>
      </c>
      <c r="AS3" s="461"/>
      <c r="AT3" s="461"/>
      <c r="AU3" s="461"/>
      <c r="AV3" s="461"/>
      <c r="AW3" s="461" t="s">
        <v>470</v>
      </c>
      <c r="AX3" s="461" t="s">
        <v>470</v>
      </c>
      <c r="AY3" s="461"/>
      <c r="AZ3" s="461"/>
      <c r="BA3" s="480" t="s">
        <v>471</v>
      </c>
      <c r="BB3" s="461"/>
      <c r="BC3" s="461"/>
      <c r="BD3" s="461"/>
      <c r="BE3" s="480" t="s">
        <v>888</v>
      </c>
      <c r="BF3" s="461"/>
      <c r="BG3" s="461"/>
      <c r="BH3" s="461"/>
      <c r="BI3" s="461"/>
      <c r="BJ3" s="461"/>
      <c r="BK3" s="461"/>
      <c r="BL3" s="461"/>
      <c r="BM3" s="480" t="s">
        <v>489</v>
      </c>
      <c r="BN3" s="461"/>
      <c r="BO3" s="461"/>
      <c r="BP3" s="461"/>
      <c r="BQ3" s="461"/>
      <c r="BR3" s="481" t="s">
        <v>490</v>
      </c>
      <c r="BS3" s="461"/>
      <c r="BT3" s="461"/>
      <c r="BU3" s="461"/>
      <c r="BV3" s="461"/>
      <c r="BW3" s="461"/>
      <c r="BX3" s="461"/>
      <c r="BY3" s="480"/>
      <c r="BZ3" s="461"/>
      <c r="CA3" s="461"/>
      <c r="CB3" s="461"/>
      <c r="CC3" s="461"/>
      <c r="CI3" s="191" t="s">
        <v>421</v>
      </c>
      <c r="CJ3" s="464"/>
      <c r="CK3" s="464"/>
      <c r="CL3" s="464"/>
      <c r="CM3" s="464"/>
      <c r="CN3" s="192"/>
      <c r="CO3" s="193"/>
      <c r="CP3" s="452"/>
      <c r="CQ3" s="452"/>
      <c r="CR3" s="814" t="s">
        <v>189</v>
      </c>
      <c r="CS3" s="815"/>
      <c r="CT3" s="817"/>
      <c r="CU3" s="814"/>
      <c r="CV3" s="817"/>
      <c r="CW3" s="814"/>
      <c r="CX3" s="814"/>
      <c r="CY3" s="815"/>
      <c r="CZ3" s="815"/>
      <c r="DA3" s="814"/>
      <c r="DB3" s="815"/>
      <c r="DC3" s="814"/>
      <c r="DD3" s="816"/>
      <c r="DE3" s="461"/>
      <c r="DF3" s="461"/>
      <c r="DG3" s="461"/>
      <c r="DH3" s="461"/>
      <c r="DI3" s="461"/>
      <c r="DJ3" s="461"/>
      <c r="DK3" s="461"/>
      <c r="DL3" s="461"/>
      <c r="DM3" s="461"/>
      <c r="DN3" s="461"/>
      <c r="DO3" s="461"/>
      <c r="DP3" s="461"/>
      <c r="DQ3" s="461"/>
      <c r="DR3" s="461"/>
      <c r="DS3" s="461"/>
      <c r="DT3" s="461"/>
      <c r="DU3" s="461"/>
      <c r="DV3" s="461" t="s">
        <v>460</v>
      </c>
      <c r="DW3" s="461"/>
      <c r="DX3" s="461"/>
      <c r="DY3" s="461"/>
      <c r="DZ3" s="461"/>
      <c r="EA3" s="461" t="s">
        <v>470</v>
      </c>
      <c r="EB3" s="461" t="s">
        <v>470</v>
      </c>
      <c r="EC3" s="461"/>
      <c r="ED3" s="461"/>
      <c r="EE3" s="480" t="s">
        <v>471</v>
      </c>
      <c r="EF3" s="461"/>
      <c r="EG3" s="461"/>
      <c r="EH3" s="461"/>
      <c r="EI3" s="480" t="s">
        <v>493</v>
      </c>
      <c r="EJ3" s="461"/>
      <c r="EK3" s="461"/>
      <c r="EL3" s="461"/>
      <c r="EM3" s="461"/>
      <c r="EN3" s="461"/>
      <c r="EO3" s="461"/>
      <c r="EP3" s="461"/>
      <c r="EQ3" s="480" t="s">
        <v>489</v>
      </c>
      <c r="ER3" s="461"/>
      <c r="ES3" s="461"/>
      <c r="ET3" s="461"/>
      <c r="EU3" s="461"/>
      <c r="EV3" s="481" t="s">
        <v>490</v>
      </c>
      <c r="EW3" s="461"/>
      <c r="EX3" s="461"/>
      <c r="EY3" s="461"/>
      <c r="EZ3" s="461"/>
      <c r="FA3" s="461"/>
      <c r="FB3" s="461"/>
      <c r="FC3" s="480"/>
      <c r="FD3" s="461"/>
      <c r="FE3" s="461"/>
      <c r="FF3" s="461"/>
      <c r="FG3" s="461"/>
    </row>
    <row r="4" spans="2:169" ht="45" customHeight="1" thickBot="1">
      <c r="E4" s="211" t="s">
        <v>25</v>
      </c>
      <c r="F4" s="516" t="s">
        <v>580</v>
      </c>
      <c r="G4" s="380" t="s">
        <v>579</v>
      </c>
      <c r="H4" s="517" t="s">
        <v>581</v>
      </c>
      <c r="I4" s="518" t="s">
        <v>582</v>
      </c>
      <c r="J4" s="212" t="s">
        <v>412</v>
      </c>
      <c r="K4" s="213" t="s">
        <v>586</v>
      </c>
      <c r="L4" s="519" t="s">
        <v>413</v>
      </c>
      <c r="M4" s="520"/>
      <c r="N4" s="214" t="s">
        <v>48</v>
      </c>
      <c r="O4" s="520" t="s">
        <v>590</v>
      </c>
      <c r="P4" s="520" t="s">
        <v>606</v>
      </c>
      <c r="Q4" s="520" t="s">
        <v>583</v>
      </c>
      <c r="R4" s="520" t="s">
        <v>584</v>
      </c>
      <c r="S4" s="520" t="s">
        <v>585</v>
      </c>
      <c r="T4" s="520" t="s">
        <v>414</v>
      </c>
      <c r="U4" s="520" t="s">
        <v>466</v>
      </c>
      <c r="V4" s="520" t="s">
        <v>465</v>
      </c>
      <c r="W4" s="521" t="s">
        <v>420</v>
      </c>
      <c r="X4" s="522" t="s">
        <v>425</v>
      </c>
      <c r="Z4" s="215" t="s">
        <v>417</v>
      </c>
      <c r="AA4" s="215" t="s">
        <v>464</v>
      </c>
      <c r="AB4" s="215" t="s">
        <v>587</v>
      </c>
      <c r="AC4" s="468"/>
      <c r="AD4" s="215" t="s">
        <v>463</v>
      </c>
      <c r="AE4" s="521" t="s">
        <v>426</v>
      </c>
      <c r="AF4" s="215" t="s">
        <v>588</v>
      </c>
      <c r="AG4" s="468"/>
      <c r="AH4" s="215" t="s">
        <v>429</v>
      </c>
      <c r="AI4" s="470" t="s">
        <v>430</v>
      </c>
      <c r="AJ4" s="470" t="s">
        <v>431</v>
      </c>
      <c r="AL4" s="467" t="s">
        <v>275</v>
      </c>
      <c r="AM4" s="467" t="s">
        <v>432</v>
      </c>
      <c r="AO4" s="215" t="s">
        <v>275</v>
      </c>
      <c r="AP4" s="215" t="s">
        <v>432</v>
      </c>
      <c r="AQ4" s="471"/>
      <c r="AR4" s="215" t="s">
        <v>467</v>
      </c>
      <c r="AS4" s="215" t="s">
        <v>461</v>
      </c>
      <c r="AT4" s="215" t="s">
        <v>462</v>
      </c>
      <c r="AU4" s="215" t="s">
        <v>48</v>
      </c>
      <c r="AV4" s="468"/>
      <c r="AW4" s="215" t="s">
        <v>591</v>
      </c>
      <c r="AX4" s="215" t="s">
        <v>592</v>
      </c>
      <c r="AY4" s="215" t="s">
        <v>514</v>
      </c>
      <c r="AZ4" s="468"/>
      <c r="BA4" s="479" t="s">
        <v>456</v>
      </c>
      <c r="BB4" s="215" t="s">
        <v>599</v>
      </c>
      <c r="BC4" s="215" t="s">
        <v>598</v>
      </c>
      <c r="BD4" s="468"/>
      <c r="BE4" s="479" t="s">
        <v>474</v>
      </c>
      <c r="BF4" s="215" t="s">
        <v>475</v>
      </c>
      <c r="BG4" s="215" t="s">
        <v>473</v>
      </c>
      <c r="BH4" s="215" t="s">
        <v>469</v>
      </c>
      <c r="BI4" s="215" t="s">
        <v>478</v>
      </c>
      <c r="BJ4" s="215" t="s">
        <v>491</v>
      </c>
      <c r="BK4" s="215" t="s">
        <v>776</v>
      </c>
      <c r="BL4" s="215" t="s">
        <v>778</v>
      </c>
      <c r="BM4" s="479" t="s">
        <v>601</v>
      </c>
      <c r="BN4" s="215" t="s">
        <v>600</v>
      </c>
      <c r="BO4" s="215" t="s">
        <v>477</v>
      </c>
      <c r="BP4" s="215" t="s">
        <v>483</v>
      </c>
      <c r="BQ4" s="215" t="s">
        <v>487</v>
      </c>
      <c r="BR4" s="479" t="s">
        <v>458</v>
      </c>
      <c r="BS4" s="215" t="s">
        <v>603</v>
      </c>
      <c r="BT4" s="215" t="s">
        <v>602</v>
      </c>
      <c r="BU4" s="215" t="s">
        <v>468</v>
      </c>
      <c r="BV4" s="215" t="s">
        <v>673</v>
      </c>
      <c r="BW4" s="215" t="s">
        <v>484</v>
      </c>
      <c r="BX4" s="215" t="s">
        <v>667</v>
      </c>
      <c r="BY4" s="479" t="s">
        <v>482</v>
      </c>
      <c r="BZ4" s="215" t="s">
        <v>223</v>
      </c>
      <c r="CA4" s="215" t="s">
        <v>47</v>
      </c>
      <c r="CB4" s="215" t="s">
        <v>485</v>
      </c>
      <c r="CC4" s="215" t="s">
        <v>604</v>
      </c>
      <c r="CE4" s="490" t="s">
        <v>497</v>
      </c>
      <c r="CG4" s="668" t="s">
        <v>829</v>
      </c>
      <c r="CH4" s="669" t="s">
        <v>830</v>
      </c>
      <c r="CI4" s="211" t="s">
        <v>25</v>
      </c>
      <c r="CJ4" s="516" t="s">
        <v>580</v>
      </c>
      <c r="CK4" s="380" t="s">
        <v>579</v>
      </c>
      <c r="CL4" s="517" t="s">
        <v>581</v>
      </c>
      <c r="CM4" s="518" t="s">
        <v>582</v>
      </c>
      <c r="CN4" s="212" t="s">
        <v>412</v>
      </c>
      <c r="CO4" s="213" t="s">
        <v>586</v>
      </c>
      <c r="CP4" s="519" t="s">
        <v>413</v>
      </c>
      <c r="CQ4" s="520"/>
      <c r="CR4" s="214" t="s">
        <v>48</v>
      </c>
      <c r="CS4" s="520" t="s">
        <v>590</v>
      </c>
      <c r="CT4" s="520" t="s">
        <v>606</v>
      </c>
      <c r="CU4" s="520" t="s">
        <v>583</v>
      </c>
      <c r="CV4" s="520" t="s">
        <v>584</v>
      </c>
      <c r="CW4" s="520" t="s">
        <v>585</v>
      </c>
      <c r="CX4" s="520" t="s">
        <v>414</v>
      </c>
      <c r="CY4" s="520" t="s">
        <v>466</v>
      </c>
      <c r="CZ4" s="520" t="s">
        <v>465</v>
      </c>
      <c r="DA4" s="521" t="s">
        <v>420</v>
      </c>
      <c r="DB4" s="522" t="s">
        <v>425</v>
      </c>
      <c r="DD4" s="215" t="s">
        <v>417</v>
      </c>
      <c r="DE4" s="215" t="s">
        <v>464</v>
      </c>
      <c r="DF4" s="215" t="s">
        <v>587</v>
      </c>
      <c r="DG4" s="468"/>
      <c r="DH4" s="215" t="s">
        <v>463</v>
      </c>
      <c r="DI4" s="521" t="s">
        <v>426</v>
      </c>
      <c r="DJ4" s="215" t="s">
        <v>588</v>
      </c>
      <c r="DK4" s="468"/>
      <c r="DL4" s="215" t="s">
        <v>429</v>
      </c>
      <c r="DM4" s="470" t="s">
        <v>430</v>
      </c>
      <c r="DN4" s="470" t="s">
        <v>431</v>
      </c>
      <c r="DP4" s="467" t="s">
        <v>275</v>
      </c>
      <c r="DQ4" s="467" t="s">
        <v>432</v>
      </c>
      <c r="DS4" s="215" t="s">
        <v>275</v>
      </c>
      <c r="DT4" s="215" t="s">
        <v>432</v>
      </c>
      <c r="DU4" s="471"/>
      <c r="DV4" s="215" t="s">
        <v>467</v>
      </c>
      <c r="DW4" s="215" t="s">
        <v>461</v>
      </c>
      <c r="DX4" s="215" t="s">
        <v>462</v>
      </c>
      <c r="DY4" s="215" t="s">
        <v>48</v>
      </c>
      <c r="DZ4" s="468"/>
      <c r="EA4" s="215" t="s">
        <v>591</v>
      </c>
      <c r="EB4" s="215" t="s">
        <v>592</v>
      </c>
      <c r="EC4" s="215" t="s">
        <v>514</v>
      </c>
      <c r="ED4" s="468"/>
      <c r="EE4" s="479" t="s">
        <v>456</v>
      </c>
      <c r="EF4" s="215" t="s">
        <v>599</v>
      </c>
      <c r="EG4" s="215" t="s">
        <v>598</v>
      </c>
      <c r="EH4" s="468"/>
      <c r="EI4" s="479" t="s">
        <v>474</v>
      </c>
      <c r="EJ4" s="215" t="s">
        <v>475</v>
      </c>
      <c r="EK4" s="215" t="s">
        <v>473</v>
      </c>
      <c r="EL4" s="215" t="s">
        <v>469</v>
      </c>
      <c r="EM4" s="215" t="s">
        <v>478</v>
      </c>
      <c r="EN4" s="215" t="s">
        <v>491</v>
      </c>
      <c r="EO4" s="215" t="s">
        <v>776</v>
      </c>
      <c r="EP4" s="215" t="s">
        <v>778</v>
      </c>
      <c r="EQ4" s="479" t="s">
        <v>601</v>
      </c>
      <c r="ER4" s="215" t="s">
        <v>600</v>
      </c>
      <c r="ES4" s="215" t="s">
        <v>477</v>
      </c>
      <c r="ET4" s="215" t="s">
        <v>483</v>
      </c>
      <c r="EU4" s="215" t="s">
        <v>487</v>
      </c>
      <c r="EV4" s="479" t="s">
        <v>458</v>
      </c>
      <c r="EW4" s="215" t="s">
        <v>603</v>
      </c>
      <c r="EX4" s="215" t="s">
        <v>602</v>
      </c>
      <c r="EY4" s="215" t="s">
        <v>468</v>
      </c>
      <c r="EZ4" s="215" t="s">
        <v>673</v>
      </c>
      <c r="FA4" s="215" t="s">
        <v>484</v>
      </c>
      <c r="FB4" s="215" t="s">
        <v>486</v>
      </c>
      <c r="FC4" s="479" t="s">
        <v>482</v>
      </c>
      <c r="FD4" s="215" t="s">
        <v>223</v>
      </c>
      <c r="FE4" s="215" t="s">
        <v>47</v>
      </c>
      <c r="FF4" s="215" t="s">
        <v>485</v>
      </c>
      <c r="FG4" s="215" t="s">
        <v>604</v>
      </c>
      <c r="FI4" s="490" t="s">
        <v>497</v>
      </c>
      <c r="FL4" s="668" t="s">
        <v>876</v>
      </c>
      <c r="FM4" s="668" t="s">
        <v>875</v>
      </c>
    </row>
    <row r="5" spans="2:169">
      <c r="E5" s="147">
        <v>0.1</v>
      </c>
      <c r="F5" s="188">
        <v>1.0000000000000001E-9</v>
      </c>
      <c r="G5" s="188">
        <v>1.0000000000000001E-9</v>
      </c>
      <c r="H5" s="188">
        <f t="shared" ref="H5:H36" si="0">F5*Vout</f>
        <v>5.0000000000000001E-9</v>
      </c>
      <c r="I5" s="188">
        <f>G5*Vout2</f>
        <v>8.0000000000000005E-9</v>
      </c>
      <c r="J5" s="465">
        <f t="shared" ref="J5:J36" si="1">Vin-(F5/CG5/Nps+G5/CH5/(Nps/Nsec1sec2))*(Rdcr_pri+RON/1000)</f>
        <v>47.999983090341843</v>
      </c>
      <c r="K5" s="379">
        <f t="shared" ref="K5:K36" si="2">MAX((S5+Vfwd2+Rdcr_sec*F5/CG5)*Nps,(Vout2+Vfwd22+Rdcr_sec2*G5/CH5)*Nps/Nsec1sec2)</f>
        <v>5.7000045000000004</v>
      </c>
      <c r="L5" s="149">
        <f t="shared" ref="L5:L36" si="3">MAX((Vout+Vfwd2+F5/CG5*Rdcr_sec)*Nps+J5, (Vout2+Vfwd22+G5/CH5*Rdcr_sec2)*Nps/Nsec1sec2+J5)</f>
        <v>53.699987590341841</v>
      </c>
      <c r="M5" s="379"/>
      <c r="N5" s="188">
        <f t="shared" ref="N5:N36" si="4">MAX((Vout+Vfwd2+F5/CG5*Rdcr_sec)*Nps/((Vout+Vfwd2+F5/CG5*Rdcr_sec)*Nps+J5), (Vout2+Vfwd22+G5/CH5*Rdcr_sec2)*Nps/Nsec1sec2/((Vout2+Vfwd22+G5/CH5*Rdcr_sec2)*Nps/Nsec1sec2+J5))</f>
        <v>0.10614535972490931</v>
      </c>
      <c r="O5" s="149">
        <f>N5*J5*Isw_max*0.5*Efficiency*(Pout/Pout_total)</f>
        <v>12.737438679784747</v>
      </c>
      <c r="P5" s="149">
        <f t="shared" ref="P5:P36" si="5">N5*J5*Isw_max*0.5*Efficiency*(Pout2/Pout_total)</f>
        <v>4.245812893261582</v>
      </c>
      <c r="Q5" s="188">
        <f t="shared" ref="Q5:Q68" si="6">O5/Vout</f>
        <v>2.5474877359569494</v>
      </c>
      <c r="R5" s="188">
        <f t="shared" ref="R5:R36" si="7">O5/Vout2</f>
        <v>1.5921798349730933</v>
      </c>
      <c r="S5" s="379">
        <f t="shared" ref="S5:S36" si="8">MIN(Vout,O5/F5)</f>
        <v>5</v>
      </c>
      <c r="T5" s="188">
        <f t="shared" ref="T5:T36" si="9">MIN(2*(Vout*F5+Vout2*G5)/(Efficiency*J5*N5), Isw_max)</f>
        <v>5.1030667651542682E-9</v>
      </c>
      <c r="U5" s="188">
        <f t="shared" ref="U5:U68" si="10">L*T5/J5*1000000</f>
        <v>1.2757671407216139E-9</v>
      </c>
      <c r="V5" s="188">
        <f t="shared" ref="V5:V68" si="11">L*T5/K5*1000000</f>
        <v>1.0743289971411639E-8</v>
      </c>
      <c r="W5" s="172">
        <f t="shared" ref="W5:W68" si="12">IF(1/((350000*L)*(1/J5+1/K5))&gt;Isw_min, 350, 0.001/((Isw_min*L)*(1/J5+1/K5)))</f>
        <v>350</v>
      </c>
      <c r="X5" s="379">
        <f>MIN(1/(U5+V5+0.2)*1000, 350)</f>
        <v>350</v>
      </c>
      <c r="Z5" s="188">
        <f t="shared" ref="Z5:Z68" si="13">1/((W5*1000*L)*(1/J5+1/K5))</f>
        <v>1.2130893980747379</v>
      </c>
      <c r="AA5" s="150">
        <f t="shared" ref="AA5:AA68" si="14">L*Z5/K5*1000000</f>
        <v>2.5538704007859736</v>
      </c>
      <c r="AB5" s="150">
        <f t="shared" ref="AB5:AB36" si="15">0.5*AA5*Z5*Nps*W5/1000*(Pout/Pout_total)</f>
        <v>0.5421627937688106</v>
      </c>
      <c r="AC5" s="150"/>
      <c r="AD5" s="150">
        <f t="shared" ref="AD5:AD68" si="16">L*Isw_min/K5*1000000</f>
        <v>2.1052614958461873</v>
      </c>
      <c r="AE5" s="314">
        <f t="shared" ref="AE5:AE36" si="17">MAX(10, F5/(0.5*AD5/1000000*Isw_min*Nps)/1000*Pout_total/Pout)</f>
        <v>10</v>
      </c>
      <c r="AF5" s="456">
        <f t="shared" ref="AF5:AF36" si="18">0.5*AD5/1000000*Isw_min*Nps*W5*1000*(Pout/Pout_total)</f>
        <v>0.36842076177308275</v>
      </c>
      <c r="AH5" s="150">
        <f t="shared" ref="AH5:AH36" si="19">SQRT((H5+I5)/(0.5*L*Fsw_DCM))</f>
        <v>7.8679579246944311E-5</v>
      </c>
      <c r="AI5" s="150">
        <f t="shared" ref="AI5:AI36" si="20">MAX(IF(F5&gt;AB5,T5,AH5),Isw_min)</f>
        <v>1</v>
      </c>
      <c r="AJ5" s="150">
        <f t="shared" ref="AJ5:AJ36" si="21">IF(F5&gt;AF5, (AI5-Isw_min)/1.08*0.8+1.2, AE5*0.2/350+1)</f>
        <v>1.0057142857142858</v>
      </c>
      <c r="AL5" s="314">
        <f t="shared" ref="AL5:AL36" si="22">F5*1000</f>
        <v>1.0000000000000002E-6</v>
      </c>
      <c r="AM5" s="144">
        <f t="shared" ref="AM5:AM36" si="23">IF(F5&gt;AF5, X5, AE5)</f>
        <v>10</v>
      </c>
      <c r="AO5">
        <f>IF(H5&gt;O5, "",AL5)</f>
        <v>1.0000000000000002E-6</v>
      </c>
      <c r="AP5" s="144">
        <f t="shared" ref="AP5:AP68" si="24">IF(H5&gt;O5, "",AM5)</f>
        <v>10</v>
      </c>
      <c r="AQ5" s="144"/>
      <c r="AR5" s="5">
        <f>1/AM5*1000</f>
        <v>100</v>
      </c>
      <c r="AS5" s="5">
        <f t="shared" ref="AS5:AS68" si="25">L*AI5/J5*1000000</f>
        <v>0.25000008807116725</v>
      </c>
      <c r="AT5" s="5">
        <f>AR5-AS5</f>
        <v>99.749999911928839</v>
      </c>
      <c r="AU5" s="150">
        <f>AS5/AR5</f>
        <v>2.5000008807116725E-3</v>
      </c>
      <c r="AW5" s="5">
        <f t="shared" ref="AW5:AW36" si="26">F5*AS5/Vout_ripple*1000</f>
        <v>5.0000017614233459E-9</v>
      </c>
      <c r="AX5" s="5">
        <f t="shared" ref="AX5:AX36" si="27">G5*AS5/Vout_ripple2*1000</f>
        <v>3.1250011008895912E-9</v>
      </c>
      <c r="AY5" s="5">
        <f t="shared" ref="AY5:AY68" si="28">H5/Efficiency/J5*AT5/Vinripple1</f>
        <v>4.3294286047015858E-9</v>
      </c>
      <c r="AZ5" s="5"/>
      <c r="BA5" s="150">
        <f>AI5*SQRT(AU5/3)</f>
        <v>2.8867518544272053E-2</v>
      </c>
      <c r="BB5" s="150">
        <f t="shared" ref="BB5:BB36" si="29">AI5*Npri_sec1*SQRT((1-AU5)/3)*(Pout/Pout_total)</f>
        <v>0.5766281294789819</v>
      </c>
      <c r="BC5" s="150">
        <f t="shared" ref="BC5:BC36" si="30">AI5*Npri_sec2*SQRT((1-AU5)/3)*(Pout2/Pout_total)</f>
        <v>0.12889334658941948</v>
      </c>
      <c r="BD5" s="150"/>
      <c r="BE5" s="456">
        <f t="shared" ref="BE5:BE68" si="31">Rdson*BA5^2</f>
        <v>1.666667253807782E-5</v>
      </c>
      <c r="BF5" s="456">
        <f t="shared" ref="BF5:BF36" si="32">0.5*L5*AI5*AM5*1000*Tfall</f>
        <v>1.0068747673189094E-2</v>
      </c>
      <c r="BG5" s="456">
        <f t="shared" ref="BG5:BG36" si="33">Qg*Vdd*AM5*1000*0+Qg*J5*AM5*1000</f>
        <v>1.199999577258546E-2</v>
      </c>
      <c r="BH5" s="456">
        <f t="shared" ref="BH5:BH68" si="34">0.5*(Coss+Csw)*L5^2*AM5*1000</f>
        <v>2.8836886672028677E-3</v>
      </c>
      <c r="BI5">
        <f t="shared" ref="BI5:BI68" si="35">J5*IQ</f>
        <v>2.1599992390653827E-2</v>
      </c>
      <c r="BJ5" s="144">
        <f>(BG5+BI5)*1000</f>
        <v>33.599988163239288</v>
      </c>
      <c r="BK5">
        <f t="shared" ref="BK5:BK36" si="36">(BF5+BG5*0+BH5+BI5*0+BE5*(1+RdsonTC*(Ta-25)))/(1-BE5*RdsonTC*ThetaJA)</f>
        <v>1.2973654390204805E-2</v>
      </c>
      <c r="BL5" s="144">
        <f>BK5*1000</f>
        <v>12.973654390204805</v>
      </c>
      <c r="BM5" s="150">
        <f t="shared" ref="BM5:BM36" si="37">Vfwd2*F5*(1+Diode_TC/1000*(Ta-25))</f>
        <v>6.212499999999999E-10</v>
      </c>
      <c r="BN5" s="150">
        <f t="shared" ref="BN5:BN36" si="38">Vfwd22*G5*(1+Diode_TC/1000*(Ta-25))</f>
        <v>4.4374999999999999E-10</v>
      </c>
      <c r="BO5" s="456"/>
      <c r="BQ5" s="144">
        <f>SUM(BM5:BP5)*1000</f>
        <v>1.065E-6</v>
      </c>
      <c r="BR5" s="456">
        <f t="shared" ref="BR5:BR68" si="39">Rdcr_pri*BA5^2</f>
        <v>2.5000008807116726E-5</v>
      </c>
      <c r="BS5" s="456">
        <f>Rdcr_sec*BB5^2</f>
        <v>9.9749999911928847E-3</v>
      </c>
      <c r="BT5" s="456">
        <f t="shared" ref="BT5:BT36" si="40">Rdcr_sec2*BC5^2</f>
        <v>8.3067473975101066E-5</v>
      </c>
      <c r="BU5" s="456">
        <f t="shared" ref="BU5:BU68" si="41">AI5^2.5*AM5^2.5*k_core</f>
        <v>1.5811388300841911E-5</v>
      </c>
      <c r="BV5" s="456">
        <f t="shared" ref="BV5:BV36" si="42">(BU5+(BR5+BS5+BT5)*(1+Ltc*(Ta-25)))/(1-(BR5+BS5+BT5)*Ltc*ThetaCa)</f>
        <v>1.2528921452860796E-2</v>
      </c>
      <c r="BW5" s="538">
        <f t="shared" ref="BW5:BW36" si="43">0.5*Lleak*0.000000001*AI5^2*AM5*1000</f>
        <v>1.0000000000000001E-5</v>
      </c>
      <c r="BX5" s="144">
        <f>(BV5+BW5)*1000</f>
        <v>12.538921452860796</v>
      </c>
      <c r="BY5" s="150">
        <f>SUM(BK5,BM5:BP5,BV5:BW5)</f>
        <v>2.55125769080656E-2</v>
      </c>
      <c r="BZ5" s="5">
        <f>MIN(H5+I5,O5+P5)</f>
        <v>1.3000000000000001E-8</v>
      </c>
      <c r="CA5" s="150">
        <f>BZ5/(BZ5+BY5)</f>
        <v>5.0955234442466991E-7</v>
      </c>
      <c r="CB5" s="5">
        <f>CA5*100</f>
        <v>5.0955234442466989E-5</v>
      </c>
      <c r="CC5">
        <v>0</v>
      </c>
      <c r="CE5" s="59">
        <f t="shared" ref="CE5:CE36" si="44">IF(ABS(F5-Ioutmax_Vinnom)&lt;Iout/200, AM5, -50)</f>
        <v>-50</v>
      </c>
      <c r="CF5">
        <f t="shared" ref="CF5:CF36" si="45">IF(ABS(F5-Ioutmax_Vinnom)&lt;Iout/200, (O5+P5)*CA5, -50)</f>
        <v>-50</v>
      </c>
      <c r="CG5" s="150">
        <f t="shared" ref="CG5:CG36" si="46">MIN(SQRT(2*DT5*1000*Ls1_*(CL5+CJ5*Vfwd1))/(CW5+Vfwd1), 1-DY5)</f>
        <v>6.6666666666666666E-6</v>
      </c>
      <c r="CH5" s="150">
        <f t="shared" ref="CH5:CH36" si="47">MIN(SQRT(2*DT5*1000*Ls2_*(CM5+CK5*Vfwd22))/(Vout2+Vfwd22), 1-DY5)</f>
        <v>7.9239226600955886E-6</v>
      </c>
      <c r="CI5" s="147">
        <v>0.1</v>
      </c>
      <c r="CJ5" s="188">
        <v>1.0000000000000001E-9</v>
      </c>
      <c r="CK5" s="188">
        <v>1.0000000000000001E-9</v>
      </c>
      <c r="CL5" s="188">
        <f t="shared" ref="CL5:CL68" si="48">CJ5*Vout</f>
        <v>5.0000000000000001E-9</v>
      </c>
      <c r="CM5" s="188">
        <f>CK5*Vout2</f>
        <v>8.0000000000000005E-9</v>
      </c>
      <c r="CN5" s="465">
        <f>Vin</f>
        <v>48</v>
      </c>
      <c r="CO5" s="379">
        <f t="shared" ref="CO5:CO36" si="49">(CW5+Vfwd2)*Nps</f>
        <v>5.7</v>
      </c>
      <c r="CP5" s="379">
        <f t="shared" ref="CP5:CP36" si="50">(Vout+Vfwd2)*Nps+CN5</f>
        <v>53.7</v>
      </c>
      <c r="CQ5" s="379"/>
      <c r="CR5" s="188">
        <f>(Vout+Vfwd2)*Nps/((Vout+Vfwd2)*Nps+CN5)</f>
        <v>0.10614525139664804</v>
      </c>
      <c r="CS5" s="149">
        <f>CR5*CN5*Isw_max*0.5*Efficiency*(Pout/Pout_total)</f>
        <v>12.737430167597765</v>
      </c>
      <c r="CT5" s="149">
        <f t="shared" ref="CT5:CT68" si="51">CR5*CN5*Isw_max*0.5*Efficiency*(Pout2/Pout_total)</f>
        <v>4.2458100558659213</v>
      </c>
      <c r="CU5" s="188">
        <f t="shared" ref="CU5:CU68" si="52">CS5/Vout</f>
        <v>2.5474860335195531</v>
      </c>
      <c r="CV5" s="188">
        <f t="shared" ref="CV5:CV68" si="53">CS5/Vout2</f>
        <v>1.5921787709497206</v>
      </c>
      <c r="CW5" s="379">
        <f t="shared" ref="CW5:CW68" si="54">MIN(Vout,CS5/CJ5)</f>
        <v>5</v>
      </c>
      <c r="CX5" s="188">
        <f t="shared" ref="CX5:CX68" si="55">MIN(2*(Vout*CJ5+Vout2*CK5)/(Efficiency*CN5*CR5), Isw_max)</f>
        <v>5.1030701754385967E-9</v>
      </c>
      <c r="CY5" s="188">
        <f t="shared" ref="CY5:CY68" si="56">L*CX5/CN5*1000000</f>
        <v>1.2757675438596492E-9</v>
      </c>
      <c r="CZ5" s="188">
        <f t="shared" ref="CZ5:CZ68" si="57">L*CX5/CO5*1000000</f>
        <v>1.0743305632502309E-8</v>
      </c>
      <c r="DA5" s="172">
        <f t="shared" ref="DA5:DA68" si="58">IF(1/((350000*L)*(1/CN5+1/CO5))&gt;Isw_min, 350, 0.001/((Isw_min*L)*(1/CN5+1/CO5)))</f>
        <v>350</v>
      </c>
      <c r="DB5" s="379">
        <f>MIN(1/(CY5+CZ5)*1000, 350)</f>
        <v>350</v>
      </c>
      <c r="DD5" s="188">
        <f t="shared" ref="DD5:DD68" si="59">1/((DA5*1000*L)*(1/CN5+1/CO5))</f>
        <v>1.2130885873902635</v>
      </c>
      <c r="DE5" s="150">
        <f t="shared" ref="DE5:DE68" si="60">L*DD5/CO5*1000000</f>
        <v>2.5538707102952913</v>
      </c>
      <c r="DF5" s="150">
        <f t="shared" ref="DF5:DF68" si="61">0.5*DE5*DD5*Nps*DA5/1000*(Pout/Pout_total)</f>
        <v>0.54216249715765974</v>
      </c>
      <c r="DG5" s="150"/>
      <c r="DH5" s="150">
        <f t="shared" ref="DH5:DH68" si="62">L*Isw_min/CO5*1000000</f>
        <v>2.1052631578947367</v>
      </c>
      <c r="DI5" s="314">
        <f t="shared" ref="DI5:DI68" si="63">MAX(10, CJ5/(0.5*DH5/1000000*Isw_min*Nps)/1000*Pout_total/Pout)</f>
        <v>10</v>
      </c>
      <c r="DJ5" s="456">
        <f t="shared" ref="DJ5:DJ68" si="64">0.5*DH5/1000000*Isw_min*Nps*DA5*1000*(Pout/Pout_total)</f>
        <v>0.36842105263157893</v>
      </c>
      <c r="DL5" s="150">
        <f t="shared" ref="DL5:DL68" si="65">SQRT((CL5+CM5)/(0.5*L*Fsw_DCM))</f>
        <v>7.8679579246944311E-5</v>
      </c>
      <c r="DM5" s="150">
        <f t="shared" ref="DM5:DM68" si="66">MAX(IF(CJ5&gt;DF5,CX5,DL5),Isw_min)</f>
        <v>1</v>
      </c>
      <c r="DN5" s="150">
        <f t="shared" ref="DN5:DN68" si="67">IF(CJ5&gt;DJ5, (DM5-Isw_min)/1.08*0.8+1.2, DI5*0.2/350+1)</f>
        <v>1.0057142857142858</v>
      </c>
      <c r="DP5" s="314">
        <f t="shared" ref="DP5:DP68" si="68">CJ5*1000</f>
        <v>1.0000000000000002E-6</v>
      </c>
      <c r="DQ5" s="144">
        <f t="shared" ref="DQ5:DQ68" si="69">IF(CJ5&gt;DJ5, DB5, DI5)</f>
        <v>10</v>
      </c>
      <c r="DS5">
        <f>IF(CL5&gt;CS5, "",DP5)</f>
        <v>1.0000000000000002E-6</v>
      </c>
      <c r="DT5" s="144">
        <f t="shared" ref="DT5:DT68" si="70">IF(CL5&gt;CS5, "",DQ5)</f>
        <v>10</v>
      </c>
      <c r="DU5" s="144"/>
      <c r="DV5" s="5">
        <f>1/DQ5*1000</f>
        <v>100</v>
      </c>
      <c r="DW5" s="5">
        <f t="shared" ref="DW5:DW68" si="71">L*DM5/CN5*1000000</f>
        <v>0.25</v>
      </c>
      <c r="DX5" s="5">
        <f>DV5-DW5</f>
        <v>99.75</v>
      </c>
      <c r="DY5" s="150">
        <f>DW5/DV5</f>
        <v>2.5000000000000001E-3</v>
      </c>
      <c r="EA5" s="5">
        <f t="shared" ref="EA5:EA68" si="72">CJ5*DW5/Vout_ripple*1000</f>
        <v>5.0000000000000001E-9</v>
      </c>
      <c r="EB5" s="5">
        <f t="shared" ref="EB5:EB68" si="73">CK5*DW5/Vout_ripple2*1000</f>
        <v>3.1250000000000003E-9</v>
      </c>
      <c r="EC5" s="5">
        <f t="shared" ref="EC5:EC68" si="74">CL5/Efficiency/CN5*DX5/Vinripple1</f>
        <v>4.329427083333333E-9</v>
      </c>
      <c r="ED5" s="5"/>
      <c r="EE5" s="150">
        <f>DM5*SQRT(DY5/3)</f>
        <v>2.8867513459481291E-2</v>
      </c>
      <c r="EF5" s="150">
        <f t="shared" ref="EF5:EF68" si="75">DM5*Npri_sec1*SQRT((1-DY5)/3)*(Pout/Pout_total)</f>
        <v>0.57662812973353983</v>
      </c>
      <c r="EG5" s="150">
        <f t="shared" ref="EG5:EG68" si="76">DM5*Npri_sec2*SQRT((1-DY5)/3)*(Pout2/Pout_total)</f>
        <v>0.12889334664632068</v>
      </c>
      <c r="EH5" s="150"/>
      <c r="EI5" s="456">
        <f t="shared" ref="EI5:EI68" si="77">Rdson*EE5^2</f>
        <v>1.6666666666666671E-5</v>
      </c>
      <c r="EJ5" s="456">
        <f t="shared" ref="EJ5:EJ68" si="78">0.5*CP5*DM5*DQ5*1000*Trise</f>
        <v>1.074E-2</v>
      </c>
      <c r="EK5" s="456">
        <f t="shared" ref="EK5:EK68" si="79">Qg*Vdd*DQ5*1000</f>
        <v>1.2499999999999998E-3</v>
      </c>
      <c r="EL5" s="456">
        <f t="shared" ref="EL5:EL68" si="80">0.5*(Coss+Csw)*CP5^2*DQ5*1000</f>
        <v>2.8836900000000004E-3</v>
      </c>
      <c r="EM5">
        <f t="shared" ref="EM5:EM68" si="81">CN5*IQ</f>
        <v>2.1600000000000001E-2</v>
      </c>
      <c r="EN5" s="144">
        <f>(EK5+EM5)*1000</f>
        <v>22.85</v>
      </c>
      <c r="EO5">
        <f t="shared" ref="EO5:EO68" si="82">(EJ5+EK5+EL5+EM5+EI5*(1+RdsonTC*(Ta-25)))/(1-EI5*RdsonTC*ThetaJA)</f>
        <v>3.6495001186871372E-2</v>
      </c>
      <c r="EP5" s="144">
        <f>EO5*1000</f>
        <v>36.49500118687137</v>
      </c>
      <c r="EQ5" s="150">
        <f t="shared" ref="EQ5:EQ68" si="83">Vfwd2*CJ5*(1+Diode_TC/1000*(Ta-25))</f>
        <v>6.212499999999999E-10</v>
      </c>
      <c r="ER5" s="150">
        <f t="shared" ref="ER5:ER36" si="84">Vfwd22*CK5*(1+Diode_TC/1000*(Ta-25))</f>
        <v>4.4374999999999999E-10</v>
      </c>
      <c r="ES5" s="456"/>
      <c r="EU5" s="144">
        <f>SUM(EQ5:ET5)*1000</f>
        <v>1.065E-6</v>
      </c>
      <c r="EV5" s="456">
        <f t="shared" ref="EV5:EV68" si="85">Rdcr_pri*EE5^2</f>
        <v>2.5000000000000005E-5</v>
      </c>
      <c r="EW5" s="456">
        <f>Rdcr_sec*EF5^2</f>
        <v>9.9749999999999995E-3</v>
      </c>
      <c r="EX5" s="456">
        <f t="shared" ref="EX5:EX68" si="86">Rdcr_sec2*EG5^2</f>
        <v>8.3067474048442938E-5</v>
      </c>
      <c r="EY5" s="456">
        <f t="shared" ref="EY5:EY68" si="87">DM5^2.5*DQ5^2.5*k_core</f>
        <v>1.5811388300841911E-5</v>
      </c>
      <c r="EZ5" s="456">
        <f t="shared" ref="EZ5:EZ68" si="88">(EY5+(EV5+EW5+EX5)*(1+Ltc*(Ta-25)))/(1-(EV5+EW5+EX5)*Ltc*ThetaCa)</f>
        <v>1.2528921452951886E-2</v>
      </c>
      <c r="FA5" s="538">
        <f t="shared" ref="FA5:FA68" si="89">0.5*Lleak*0.000000001*DM5^2*DQ5*1000</f>
        <v>1.0000000000000001E-5</v>
      </c>
      <c r="FB5" s="144">
        <f>(EZ5+FA5)*1000</f>
        <v>12.538921452951886</v>
      </c>
      <c r="FC5" s="150">
        <f>SUM(EO5,EQ5:ET5,EZ5:FA5)</f>
        <v>4.9033923704823269E-2</v>
      </c>
      <c r="FD5" s="5">
        <f>MIN(CL5+CM5,CS5+CT5)</f>
        <v>1.3000000000000001E-8</v>
      </c>
      <c r="FE5" s="150">
        <f>FD5/(FD5+FC5)</f>
        <v>2.6512250236520869E-7</v>
      </c>
      <c r="FF5" s="5">
        <f>FE5*100</f>
        <v>2.6512250236520869E-5</v>
      </c>
      <c r="FG5">
        <v>0</v>
      </c>
      <c r="FI5" s="59">
        <f t="shared" ref="FI5:FI68" si="90">IF(ABS(CJ5-Ioutmax_Vinnom)&lt;Iout/200, DQ5, -50)</f>
        <v>-50</v>
      </c>
      <c r="FJ5">
        <f t="shared" ref="FJ5:FJ68" si="91">IF(ABS(CJ5-Ioutmax_Vinnom)&lt;Iout/200, (CS5+CT5)*FE5, -50)</f>
        <v>-50</v>
      </c>
      <c r="FL5">
        <f t="shared" ref="FL5:FL68" si="92">MIN(SQRT(2*DQ5*1000*L*CJ5*(Vout+Vfwd1))/(Nps*(Vout+Vfwd1)),1-DY5)</f>
        <v>6.6666666666666666E-6</v>
      </c>
      <c r="FM5">
        <f>MIN(,)</f>
        <v>0</v>
      </c>
    </row>
    <row r="6" spans="2:169">
      <c r="E6" s="147">
        <v>1</v>
      </c>
      <c r="F6" s="188">
        <f>IF(PLOT_TYPE=1, E6/100*Iout, min_I*EXP(O6*rr/100))</f>
        <v>1.2E-2</v>
      </c>
      <c r="G6" s="188">
        <f t="shared" ref="G6:G37" si="93">IF(PLOT_TYPE=1, E6/100*Iout2, min_I*EXP(Q6*rr/100))</f>
        <v>2.5000000000000001E-3</v>
      </c>
      <c r="H6" s="188">
        <f t="shared" si="0"/>
        <v>0.06</v>
      </c>
      <c r="I6" s="188">
        <f>G6*Vout2</f>
        <v>0.02</v>
      </c>
      <c r="J6" s="465">
        <f t="shared" si="1"/>
        <v>47.961732285704137</v>
      </c>
      <c r="K6" s="379">
        <f t="shared" si="2"/>
        <v>5.7145999279017685</v>
      </c>
      <c r="L6" s="149">
        <f t="shared" si="3"/>
        <v>53.676332213605903</v>
      </c>
      <c r="M6" s="379"/>
      <c r="N6" s="188">
        <f t="shared" si="4"/>
        <v>0.1064640539364802</v>
      </c>
      <c r="O6" s="149">
        <f t="shared" ref="O6:O37" si="94">N6*J6*Isw_max*0.5*Efficiency*Pout/(Pout+Pout2)</f>
        <v>9.57412584928543</v>
      </c>
      <c r="P6" s="149">
        <f t="shared" si="5"/>
        <v>4.255167044126857</v>
      </c>
      <c r="Q6" s="188">
        <f t="shared" si="6"/>
        <v>1.914825169857086</v>
      </c>
      <c r="R6" s="188">
        <f t="shared" si="7"/>
        <v>1.1967657311606787</v>
      </c>
      <c r="S6" s="379">
        <f t="shared" si="8"/>
        <v>5</v>
      </c>
      <c r="T6" s="188">
        <f t="shared" si="9"/>
        <v>3.1334453371781271E-2</v>
      </c>
      <c r="U6" s="188">
        <f t="shared" si="10"/>
        <v>7.8398636275581919E-3</v>
      </c>
      <c r="V6" s="188">
        <f t="shared" si="11"/>
        <v>6.5798733980566904E-2</v>
      </c>
      <c r="W6" s="172">
        <f t="shared" si="12"/>
        <v>350</v>
      </c>
      <c r="X6" s="379">
        <f t="shared" ref="X6:X69" si="95">MIN(1/(U6+V6+0.2)*1000, 350)</f>
        <v>350</v>
      </c>
      <c r="Z6" s="188">
        <f t="shared" si="13"/>
        <v>1.2157620126076734</v>
      </c>
      <c r="AA6" s="150">
        <f t="shared" si="14"/>
        <v>2.5529598458957707</v>
      </c>
      <c r="AB6" s="150">
        <f t="shared" si="15"/>
        <v>0.54316353006174312</v>
      </c>
      <c r="AC6" s="150"/>
      <c r="AD6" s="150">
        <f t="shared" si="16"/>
        <v>2.0998845328453366</v>
      </c>
      <c r="AE6" s="314">
        <f t="shared" si="17"/>
        <v>11.429199855803537</v>
      </c>
      <c r="AF6" s="456">
        <f t="shared" si="18"/>
        <v>0.36747979324793389</v>
      </c>
      <c r="AH6" s="150">
        <f t="shared" si="19"/>
        <v>0.19518001458970663</v>
      </c>
      <c r="AI6" s="150">
        <f t="shared" si="20"/>
        <v>1</v>
      </c>
      <c r="AJ6" s="150">
        <f t="shared" si="21"/>
        <v>1.0065309713461734</v>
      </c>
      <c r="AL6" s="314">
        <f t="shared" si="22"/>
        <v>12</v>
      </c>
      <c r="AM6" s="144">
        <f t="shared" si="23"/>
        <v>11.429199855803537</v>
      </c>
      <c r="AO6">
        <f t="shared" ref="AO6:AO69" si="96">IF(H6&gt;O6, "",AL6)</f>
        <v>12</v>
      </c>
      <c r="AP6" s="144">
        <f t="shared" si="24"/>
        <v>11.429199855803537</v>
      </c>
      <c r="AQ6" s="144"/>
      <c r="AR6" s="5">
        <f t="shared" ref="AR6:AR69" si="97">1/AM6*1000</f>
        <v>87.495188868555701</v>
      </c>
      <c r="AS6" s="5">
        <f t="shared" si="25"/>
        <v>0.25019947003825832</v>
      </c>
      <c r="AT6" s="5">
        <f t="shared" ref="AT6:AT69" si="98">AR6-AS6</f>
        <v>87.244989398517447</v>
      </c>
      <c r="AU6" s="150">
        <f t="shared" ref="AU6:AU69" si="99">AS6/AR6</f>
        <v>2.8595797468833834E-3</v>
      </c>
      <c r="AW6" s="5">
        <f t="shared" si="26"/>
        <v>6.0047872809181994E-2</v>
      </c>
      <c r="AX6" s="5">
        <f t="shared" si="27"/>
        <v>7.8187334386955725E-3</v>
      </c>
      <c r="AY6" s="5">
        <f t="shared" si="28"/>
        <v>4.5476354397921928E-2</v>
      </c>
      <c r="AZ6" s="5"/>
      <c r="BA6" s="150">
        <f t="shared" ref="BA6:BA69" si="100">AI6*SQRT(AU6/3)</f>
        <v>3.0873827896150615E-2</v>
      </c>
      <c r="BB6" s="150">
        <f t="shared" si="29"/>
        <v>0.57652418863771204</v>
      </c>
      <c r="BC6" s="150">
        <f t="shared" si="30"/>
        <v>0.12887011275431209</v>
      </c>
      <c r="BD6" s="150"/>
      <c r="BE6" s="456">
        <f t="shared" si="31"/>
        <v>1.9063864979222559E-5</v>
      </c>
      <c r="BF6" s="456">
        <f t="shared" si="32"/>
        <v>1.1502703657421388E-2</v>
      </c>
      <c r="BG6" s="456">
        <f t="shared" si="33"/>
        <v>1.3704105593096439E-2</v>
      </c>
      <c r="BH6" s="456">
        <f t="shared" si="34"/>
        <v>3.2929223619755205E-3</v>
      </c>
      <c r="BI6">
        <f t="shared" si="35"/>
        <v>2.158277952856686E-2</v>
      </c>
      <c r="BJ6" s="144">
        <f t="shared" ref="BJ6:BJ69" si="101">(BG6+BI6)*1000</f>
        <v>35.286885121663303</v>
      </c>
      <c r="BK6">
        <f t="shared" si="36"/>
        <v>1.4819904255778249E-2</v>
      </c>
      <c r="BL6" s="144">
        <f t="shared" ref="BL6:BL69" si="102">BK6*1000</f>
        <v>14.819904255778249</v>
      </c>
      <c r="BM6" s="150">
        <f t="shared" si="37"/>
        <v>7.454999999999999E-3</v>
      </c>
      <c r="BN6" s="150">
        <f t="shared" si="38"/>
        <v>1.1093749999999999E-3</v>
      </c>
      <c r="BO6" s="456"/>
      <c r="BQ6" s="144">
        <f t="shared" ref="BQ6:BQ69" si="103">SUM(BM6:BP6)*1000</f>
        <v>8.5643749999999983</v>
      </c>
      <c r="BR6" s="456">
        <f t="shared" si="39"/>
        <v>2.8595797468833837E-5</v>
      </c>
      <c r="BS6" s="456">
        <f t="shared" ref="BS6:BS68" si="104">Rdcr_sec*BB6^2</f>
        <v>9.9714042025311651E-3</v>
      </c>
      <c r="BT6" s="456">
        <f t="shared" si="40"/>
        <v>8.303752980654557E-5</v>
      </c>
      <c r="BU6" s="456">
        <f t="shared" si="41"/>
        <v>2.2080533983903758E-5</v>
      </c>
      <c r="BV6" s="456">
        <f t="shared" si="42"/>
        <v>1.2535158468806661E-2</v>
      </c>
      <c r="BW6" s="538">
        <f t="shared" si="43"/>
        <v>1.1429199855803538E-5</v>
      </c>
      <c r="BX6" s="144">
        <f t="shared" ref="BX6:BX69" si="105">(BV6+BW6)*1000</f>
        <v>12.546587668662465</v>
      </c>
      <c r="BY6" s="150">
        <f t="shared" ref="BY6:BY69" si="106">SUM(BK6,BM6:BP6,BV6:BW6)</f>
        <v>3.593086692444071E-2</v>
      </c>
      <c r="BZ6" s="5">
        <f t="shared" ref="BZ6:BZ69" si="107">MIN(H6+I6,O6+P6)</f>
        <v>0.08</v>
      </c>
      <c r="CA6" s="150">
        <f t="shared" ref="CA6:CA69" si="108">BZ6/(BZ6+BY6)</f>
        <v>0.69006643461176675</v>
      </c>
      <c r="CB6" s="5">
        <f t="shared" ref="CB6:CB69" si="109">CA6*100</f>
        <v>69.006643461176679</v>
      </c>
      <c r="CC6">
        <f t="shared" ref="CC6:CC37" si="110">F6/Iout*100</f>
        <v>1</v>
      </c>
      <c r="CE6" s="59">
        <f t="shared" si="44"/>
        <v>-50</v>
      </c>
      <c r="CF6">
        <f t="shared" si="45"/>
        <v>-50</v>
      </c>
      <c r="CG6" s="150">
        <f t="shared" si="46"/>
        <v>2.4657656011875903E-2</v>
      </c>
      <c r="CH6" s="150">
        <f t="shared" si="47"/>
        <v>1.3377121081198774E-2</v>
      </c>
      <c r="CI6" s="147">
        <v>1</v>
      </c>
      <c r="CJ6" s="188">
        <f>IF(PLOT_TYPE=1, CI6/100*Iout, min_I*EXP(CS6*rr/100))</f>
        <v>1.2E-2</v>
      </c>
      <c r="CK6" s="188">
        <f t="shared" ref="CK6:CK69" si="111">IF(PLOT_TYPE=1, CI6/100*Iout2, min_I*EXP(CU6*rr/100))</f>
        <v>2.5000000000000001E-3</v>
      </c>
      <c r="CL6" s="188">
        <f t="shared" si="48"/>
        <v>0.06</v>
      </c>
      <c r="CM6" s="188">
        <f>CK6*Vout2</f>
        <v>0.02</v>
      </c>
      <c r="CN6" s="465">
        <f t="shared" ref="CN6:CN69" si="112">Vin</f>
        <v>48</v>
      </c>
      <c r="CO6" s="379">
        <f t="shared" si="49"/>
        <v>5.7</v>
      </c>
      <c r="CP6" s="379">
        <f t="shared" si="50"/>
        <v>53.7</v>
      </c>
      <c r="CQ6" s="379"/>
      <c r="CR6" s="188">
        <f t="shared" ref="CR6:CR68" si="113">(Vout+Vfwd1)*Nps/((Vout+Vfwd1)*Nps+CN6)</f>
        <v>0.10112359550561799</v>
      </c>
      <c r="CS6" s="149">
        <f t="shared" ref="CS6:CS69" si="114">CR6*CN6*Isw_max*0.5*Efficiency*Pout/(Pout+Pout2)</f>
        <v>9.1011235955056193</v>
      </c>
      <c r="CT6" s="149">
        <f t="shared" si="51"/>
        <v>4.0449438202247192</v>
      </c>
      <c r="CU6" s="188">
        <f t="shared" si="52"/>
        <v>1.8202247191011238</v>
      </c>
      <c r="CV6" s="188">
        <f t="shared" si="53"/>
        <v>1.1376404494382024</v>
      </c>
      <c r="CW6" s="379">
        <f t="shared" si="54"/>
        <v>5</v>
      </c>
      <c r="CX6" s="188">
        <f t="shared" si="55"/>
        <v>3.2962962962962965E-2</v>
      </c>
      <c r="CY6" s="188">
        <f t="shared" si="56"/>
        <v>8.2407407407407412E-3</v>
      </c>
      <c r="CZ6" s="188">
        <f t="shared" si="57"/>
        <v>6.9395711500974663E-2</v>
      </c>
      <c r="DA6" s="172">
        <f t="shared" si="58"/>
        <v>350</v>
      </c>
      <c r="DB6" s="379">
        <f t="shared" ref="DB6:DB69" si="115">MIN(1/(CY6+CZ6)*1000, 350)</f>
        <v>350</v>
      </c>
      <c r="DD6" s="188">
        <f t="shared" si="59"/>
        <v>1.2130885873902635</v>
      </c>
      <c r="DE6" s="150">
        <f t="shared" si="60"/>
        <v>2.5538707102952913</v>
      </c>
      <c r="DF6" s="150">
        <f t="shared" si="61"/>
        <v>0.54216249715765974</v>
      </c>
      <c r="DG6" s="150"/>
      <c r="DH6" s="150">
        <f t="shared" si="62"/>
        <v>2.1052631578947367</v>
      </c>
      <c r="DI6" s="314">
        <f t="shared" si="63"/>
        <v>11.4</v>
      </c>
      <c r="DJ6" s="456">
        <f t="shared" si="64"/>
        <v>0.36842105263157893</v>
      </c>
      <c r="DL6" s="150">
        <f t="shared" si="65"/>
        <v>0.19518001458970663</v>
      </c>
      <c r="DM6" s="150">
        <f t="shared" si="66"/>
        <v>1</v>
      </c>
      <c r="DN6" s="150">
        <f t="shared" si="67"/>
        <v>1.0065142857142857</v>
      </c>
      <c r="DP6" s="314">
        <f t="shared" si="68"/>
        <v>12</v>
      </c>
      <c r="DQ6" s="144">
        <f t="shared" si="69"/>
        <v>11.4</v>
      </c>
      <c r="DS6">
        <f t="shared" ref="DS6:DS69" si="116">IF(CL6&gt;CS6, "",DP6)</f>
        <v>12</v>
      </c>
      <c r="DT6" s="144">
        <f t="shared" si="70"/>
        <v>11.4</v>
      </c>
      <c r="DU6" s="144"/>
      <c r="DV6" s="5">
        <f t="shared" ref="DV6:DV69" si="117">1/DQ6*1000</f>
        <v>87.719298245614027</v>
      </c>
      <c r="DW6" s="5">
        <f t="shared" si="71"/>
        <v>0.25</v>
      </c>
      <c r="DX6" s="5">
        <f t="shared" ref="DX6:DX69" si="118">DV6-DW6</f>
        <v>87.469298245614027</v>
      </c>
      <c r="DY6" s="150">
        <f t="shared" ref="DY6:DY69" si="119">DW6/DV6</f>
        <v>2.8500000000000001E-3</v>
      </c>
      <c r="EA6" s="5">
        <f t="shared" si="72"/>
        <v>6.0000000000000005E-2</v>
      </c>
      <c r="EB6" s="5">
        <f t="shared" si="73"/>
        <v>7.8125E-3</v>
      </c>
      <c r="EC6" s="5">
        <f t="shared" si="74"/>
        <v>4.5556926169590631E-2</v>
      </c>
      <c r="ED6" s="5"/>
      <c r="EE6" s="150">
        <f t="shared" ref="EE6:EE69" si="120">DM6*SQRT(DY6/3)</f>
        <v>3.0822070014844882E-2</v>
      </c>
      <c r="EF6" s="150">
        <f t="shared" si="75"/>
        <v>0.57652695802827236</v>
      </c>
      <c r="EG6" s="150">
        <f t="shared" si="76"/>
        <v>0.12887073179455499</v>
      </c>
      <c r="EH6" s="150"/>
      <c r="EI6" s="456">
        <f t="shared" si="77"/>
        <v>1.9000000000000001E-5</v>
      </c>
      <c r="EJ6" s="456">
        <f t="shared" si="78"/>
        <v>1.2243600000000002E-2</v>
      </c>
      <c r="EK6" s="456">
        <f t="shared" si="79"/>
        <v>1.4249999999999998E-3</v>
      </c>
      <c r="EL6" s="456">
        <f t="shared" si="80"/>
        <v>3.2874066000000007E-3</v>
      </c>
      <c r="EM6">
        <f t="shared" si="81"/>
        <v>2.1600000000000001E-2</v>
      </c>
      <c r="EN6" s="144">
        <f t="shared" ref="EN6:EN69" si="121">(EK6+EM6)*1000</f>
        <v>23.024999999999999</v>
      </c>
      <c r="EO6">
        <f t="shared" si="82"/>
        <v>3.858031076695493E-2</v>
      </c>
      <c r="EP6" s="144">
        <f t="shared" ref="EP6:EP69" si="122">EO6*1000</f>
        <v>38.580310766954931</v>
      </c>
      <c r="EQ6" s="150">
        <f t="shared" si="83"/>
        <v>7.454999999999999E-3</v>
      </c>
      <c r="ER6" s="150">
        <f t="shared" si="84"/>
        <v>1.1093749999999999E-3</v>
      </c>
      <c r="ES6" s="456"/>
      <c r="EU6" s="144">
        <f t="shared" ref="EU6:EU69" si="123">SUM(EQ6:ET6)*1000</f>
        <v>8.5643749999999983</v>
      </c>
      <c r="EV6" s="456">
        <f t="shared" si="85"/>
        <v>2.8499999999999998E-5</v>
      </c>
      <c r="EW6" s="456">
        <f t="shared" ref="EW6:EW69" si="124">Rdcr_sec*EF6^2</f>
        <v>9.9714999999999995E-3</v>
      </c>
      <c r="EX6" s="456">
        <f t="shared" si="86"/>
        <v>8.3038327566320639E-5</v>
      </c>
      <c r="EY6" s="456">
        <f t="shared" si="87"/>
        <v>2.1939773143767918E-5</v>
      </c>
      <c r="EZ6" s="456">
        <f t="shared" si="88"/>
        <v>1.2535018585152472E-2</v>
      </c>
      <c r="FA6" s="538">
        <f t="shared" si="89"/>
        <v>1.1400000000000001E-5</v>
      </c>
      <c r="FB6" s="144">
        <f t="shared" ref="FB6:FB69" si="125">(EZ6+FA6)*1000</f>
        <v>12.546418585152471</v>
      </c>
      <c r="FC6" s="150">
        <f t="shared" ref="FC6:FC69" si="126">SUM(EO6,EQ6:ET6,EZ6:FA6)</f>
        <v>5.9691104352107401E-2</v>
      </c>
      <c r="FD6" s="5">
        <f t="shared" ref="FD6:FD69" si="127">MIN(CL6+CM6,CS6+CT6)</f>
        <v>0.08</v>
      </c>
      <c r="FE6" s="150">
        <f t="shared" ref="FE6:FE69" si="128">FD6/(FD6+FC6)</f>
        <v>0.5726921579655555</v>
      </c>
      <c r="FF6" s="5">
        <f t="shared" ref="FF6:FF69" si="129">FE6*100</f>
        <v>57.26921579655555</v>
      </c>
      <c r="FG6">
        <f t="shared" ref="FG6:FG69" si="130">CJ6/Iout*100</f>
        <v>1</v>
      </c>
      <c r="FI6" s="59">
        <f t="shared" si="90"/>
        <v>-50</v>
      </c>
      <c r="FJ6">
        <f t="shared" si="91"/>
        <v>-50</v>
      </c>
      <c r="FL6">
        <f t="shared" si="92"/>
        <v>2.4657656011875903E-2</v>
      </c>
    </row>
    <row r="7" spans="2:169">
      <c r="E7" s="147">
        <v>2</v>
      </c>
      <c r="F7" s="188">
        <f>IF(PLOT_TYPE=1, E7/100*Iout, min_I*EXP(O7*rr/100))</f>
        <v>2.4E-2</v>
      </c>
      <c r="G7" s="188">
        <f t="shared" si="93"/>
        <v>5.0000000000000001E-3</v>
      </c>
      <c r="H7" s="188">
        <f t="shared" si="0"/>
        <v>0.12</v>
      </c>
      <c r="I7" s="188">
        <f>G7*Vout2</f>
        <v>0.04</v>
      </c>
      <c r="J7" s="465">
        <f t="shared" si="1"/>
        <v>47.961732285704137</v>
      </c>
      <c r="K7" s="379">
        <f t="shared" si="2"/>
        <v>5.7145999279017685</v>
      </c>
      <c r="L7" s="149">
        <f t="shared" si="3"/>
        <v>53.676332213605903</v>
      </c>
      <c r="M7" s="379"/>
      <c r="N7" s="188">
        <f t="shared" si="4"/>
        <v>0.1064640539364802</v>
      </c>
      <c r="O7" s="149">
        <f t="shared" si="94"/>
        <v>9.57412584928543</v>
      </c>
      <c r="P7" s="149">
        <f t="shared" si="5"/>
        <v>4.255167044126857</v>
      </c>
      <c r="Q7" s="188">
        <f t="shared" si="6"/>
        <v>1.914825169857086</v>
      </c>
      <c r="R7" s="188">
        <f t="shared" si="7"/>
        <v>1.1967657311606787</v>
      </c>
      <c r="S7" s="379">
        <f t="shared" si="8"/>
        <v>5</v>
      </c>
      <c r="T7" s="188">
        <f t="shared" si="9"/>
        <v>6.2668906743562541E-2</v>
      </c>
      <c r="U7" s="188">
        <f t="shared" si="10"/>
        <v>1.5679727255116384E-2</v>
      </c>
      <c r="V7" s="188">
        <f t="shared" si="11"/>
        <v>0.13159746796113381</v>
      </c>
      <c r="W7" s="172">
        <f t="shared" si="12"/>
        <v>350</v>
      </c>
      <c r="X7" s="379">
        <f t="shared" si="95"/>
        <v>350</v>
      </c>
      <c r="Z7" s="188">
        <f t="shared" si="13"/>
        <v>1.2157620126076734</v>
      </c>
      <c r="AA7" s="150">
        <f t="shared" si="14"/>
        <v>2.5529598458957707</v>
      </c>
      <c r="AB7" s="150">
        <f t="shared" si="15"/>
        <v>0.54316353006174312</v>
      </c>
      <c r="AC7" s="150"/>
      <c r="AD7" s="150">
        <f t="shared" si="16"/>
        <v>2.0998845328453366</v>
      </c>
      <c r="AE7" s="314">
        <f t="shared" si="17"/>
        <v>22.858399711607074</v>
      </c>
      <c r="AF7" s="456">
        <f t="shared" si="18"/>
        <v>0.36747979324793389</v>
      </c>
      <c r="AH7" s="150">
        <f t="shared" si="19"/>
        <v>0.27602622373694169</v>
      </c>
      <c r="AI7" s="150">
        <f t="shared" si="20"/>
        <v>1</v>
      </c>
      <c r="AJ7" s="150">
        <f t="shared" si="21"/>
        <v>1.0130619426923468</v>
      </c>
      <c r="AL7" s="314">
        <f t="shared" si="22"/>
        <v>24</v>
      </c>
      <c r="AM7" s="144">
        <f t="shared" si="23"/>
        <v>22.858399711607074</v>
      </c>
      <c r="AO7">
        <f t="shared" si="96"/>
        <v>24</v>
      </c>
      <c r="AP7" s="144">
        <f t="shared" si="24"/>
        <v>22.858399711607074</v>
      </c>
      <c r="AQ7" s="144"/>
      <c r="AR7" s="5">
        <f t="shared" si="97"/>
        <v>43.74759443427785</v>
      </c>
      <c r="AS7" s="5">
        <f t="shared" si="25"/>
        <v>0.25019947003825832</v>
      </c>
      <c r="AT7" s="5">
        <f t="shared" si="98"/>
        <v>43.497394964239589</v>
      </c>
      <c r="AU7" s="150">
        <f t="shared" si="99"/>
        <v>5.7191594937667668E-3</v>
      </c>
      <c r="AW7" s="5">
        <f t="shared" si="26"/>
        <v>0.12009574561836399</v>
      </c>
      <c r="AX7" s="5">
        <f t="shared" si="27"/>
        <v>1.5637466877391145E-2</v>
      </c>
      <c r="AY7" s="5">
        <f t="shared" si="28"/>
        <v>4.5345938200406458E-2</v>
      </c>
      <c r="AZ7" s="5"/>
      <c r="BA7" s="150">
        <f t="shared" si="100"/>
        <v>4.3662186133108995E-2</v>
      </c>
      <c r="BB7" s="150">
        <f t="shared" si="29"/>
        <v>0.57569692272532691</v>
      </c>
      <c r="BC7" s="150">
        <f t="shared" si="30"/>
        <v>0.12868519449154367</v>
      </c>
      <c r="BD7" s="150"/>
      <c r="BE7" s="456">
        <f t="shared" si="31"/>
        <v>3.8127729958445112E-5</v>
      </c>
      <c r="BF7" s="456">
        <f t="shared" si="32"/>
        <v>2.3005407314842775E-2</v>
      </c>
      <c r="BG7" s="456">
        <f t="shared" si="33"/>
        <v>2.7408211186192879E-2</v>
      </c>
      <c r="BH7" s="456">
        <f t="shared" si="34"/>
        <v>6.585844723951041E-3</v>
      </c>
      <c r="BI7">
        <f t="shared" si="35"/>
        <v>2.158277952856686E-2</v>
      </c>
      <c r="BJ7" s="144">
        <f t="shared" si="101"/>
        <v>48.990990714759732</v>
      </c>
      <c r="BK7">
        <f t="shared" si="36"/>
        <v>2.963994276848821E-2</v>
      </c>
      <c r="BL7" s="144">
        <f t="shared" si="102"/>
        <v>29.639942768488211</v>
      </c>
      <c r="BM7" s="150">
        <f t="shared" si="37"/>
        <v>1.4909999999999998E-2</v>
      </c>
      <c r="BN7" s="150">
        <f t="shared" si="38"/>
        <v>2.2187499999999998E-3</v>
      </c>
      <c r="BO7" s="456"/>
      <c r="BQ7" s="144">
        <f t="shared" si="103"/>
        <v>17.128749999999997</v>
      </c>
      <c r="BR7" s="456">
        <f t="shared" si="39"/>
        <v>5.7191594937667661E-5</v>
      </c>
      <c r="BS7" s="456">
        <f t="shared" si="104"/>
        <v>9.9428084050623301E-3</v>
      </c>
      <c r="BT7" s="456">
        <f t="shared" si="40"/>
        <v>8.2799396406632106E-5</v>
      </c>
      <c r="BU7" s="456">
        <f t="shared" si="41"/>
        <v>1.2490636249790689E-4</v>
      </c>
      <c r="BV7" s="456">
        <f t="shared" si="42"/>
        <v>1.2637771543265199E-2</v>
      </c>
      <c r="BW7" s="538">
        <f t="shared" si="43"/>
        <v>2.2858399711607075E-5</v>
      </c>
      <c r="BX7" s="144">
        <f t="shared" si="105"/>
        <v>12.660629942976806</v>
      </c>
      <c r="BY7" s="150">
        <f t="shared" si="106"/>
        <v>5.9429322711465012E-2</v>
      </c>
      <c r="BZ7" s="5">
        <f t="shared" si="107"/>
        <v>0.16</v>
      </c>
      <c r="CA7" s="150">
        <f t="shared" si="108"/>
        <v>0.72916417014324642</v>
      </c>
      <c r="CB7" s="5">
        <f t="shared" si="109"/>
        <v>72.916417014324637</v>
      </c>
      <c r="CC7">
        <f t="shared" si="110"/>
        <v>2</v>
      </c>
      <c r="CE7" s="59">
        <f t="shared" si="44"/>
        <v>-50</v>
      </c>
      <c r="CF7">
        <f t="shared" si="45"/>
        <v>-50</v>
      </c>
      <c r="CG7" s="150">
        <f t="shared" si="46"/>
        <v>4.9315312023751806E-2</v>
      </c>
      <c r="CH7" s="150">
        <f t="shared" si="47"/>
        <v>2.6754242162397548E-2</v>
      </c>
      <c r="CI7" s="147">
        <v>2</v>
      </c>
      <c r="CJ7" s="188">
        <f>IF(PLOT_TYPE=1, CI7/100*Iout, min_I*EXP(CS7*rr/100))</f>
        <v>2.4E-2</v>
      </c>
      <c r="CK7" s="188">
        <f t="shared" si="111"/>
        <v>5.0000000000000001E-3</v>
      </c>
      <c r="CL7" s="188">
        <f t="shared" si="48"/>
        <v>0.12</v>
      </c>
      <c r="CM7" s="188">
        <f>CK7*Vout2</f>
        <v>0.04</v>
      </c>
      <c r="CN7" s="465">
        <f t="shared" si="112"/>
        <v>48</v>
      </c>
      <c r="CO7" s="379">
        <f t="shared" si="49"/>
        <v>5.7</v>
      </c>
      <c r="CP7" s="379">
        <f t="shared" si="50"/>
        <v>53.7</v>
      </c>
      <c r="CQ7" s="379"/>
      <c r="CR7" s="188">
        <f t="shared" si="113"/>
        <v>0.10112359550561799</v>
      </c>
      <c r="CS7" s="149">
        <f t="shared" si="114"/>
        <v>9.1011235955056193</v>
      </c>
      <c r="CT7" s="149">
        <f t="shared" si="51"/>
        <v>4.0449438202247192</v>
      </c>
      <c r="CU7" s="188">
        <f t="shared" si="52"/>
        <v>1.8202247191011238</v>
      </c>
      <c r="CV7" s="188">
        <f t="shared" si="53"/>
        <v>1.1376404494382024</v>
      </c>
      <c r="CW7" s="379">
        <f t="shared" si="54"/>
        <v>5</v>
      </c>
      <c r="CX7" s="188">
        <f t="shared" si="55"/>
        <v>6.5925925925925929E-2</v>
      </c>
      <c r="CY7" s="188">
        <f t="shared" si="56"/>
        <v>1.6481481481481482E-2</v>
      </c>
      <c r="CZ7" s="188">
        <f t="shared" si="57"/>
        <v>0.13879142300194933</v>
      </c>
      <c r="DA7" s="172">
        <f t="shared" si="58"/>
        <v>350</v>
      </c>
      <c r="DB7" s="379">
        <f t="shared" si="115"/>
        <v>350</v>
      </c>
      <c r="DD7" s="188">
        <f t="shared" si="59"/>
        <v>1.2130885873902635</v>
      </c>
      <c r="DE7" s="150">
        <f t="shared" si="60"/>
        <v>2.5538707102952913</v>
      </c>
      <c r="DF7" s="150">
        <f t="shared" si="61"/>
        <v>0.54216249715765974</v>
      </c>
      <c r="DG7" s="150"/>
      <c r="DH7" s="150">
        <f t="shared" si="62"/>
        <v>2.1052631578947367</v>
      </c>
      <c r="DI7" s="314">
        <f t="shared" si="63"/>
        <v>22.8</v>
      </c>
      <c r="DJ7" s="456">
        <f t="shared" si="64"/>
        <v>0.36842105263157893</v>
      </c>
      <c r="DL7" s="150">
        <f t="shared" si="65"/>
        <v>0.27602622373694169</v>
      </c>
      <c r="DM7" s="150">
        <f t="shared" si="66"/>
        <v>1</v>
      </c>
      <c r="DN7" s="150">
        <f t="shared" si="67"/>
        <v>1.0130285714285714</v>
      </c>
      <c r="DP7" s="314">
        <f t="shared" si="68"/>
        <v>24</v>
      </c>
      <c r="DQ7" s="144">
        <f t="shared" si="69"/>
        <v>22.8</v>
      </c>
      <c r="DS7">
        <f t="shared" si="116"/>
        <v>24</v>
      </c>
      <c r="DT7" s="144">
        <f t="shared" si="70"/>
        <v>22.8</v>
      </c>
      <c r="DU7" s="144"/>
      <c r="DV7" s="5">
        <f t="shared" si="117"/>
        <v>43.859649122807014</v>
      </c>
      <c r="DW7" s="5">
        <f t="shared" si="71"/>
        <v>0.25</v>
      </c>
      <c r="DX7" s="5">
        <f t="shared" si="118"/>
        <v>43.609649122807014</v>
      </c>
      <c r="DY7" s="150">
        <f t="shared" si="119"/>
        <v>5.7000000000000002E-3</v>
      </c>
      <c r="EA7" s="5">
        <f t="shared" si="72"/>
        <v>0.12000000000000001</v>
      </c>
      <c r="EB7" s="5">
        <f t="shared" si="73"/>
        <v>1.5625E-2</v>
      </c>
      <c r="EC7" s="5">
        <f t="shared" si="74"/>
        <v>4.5426717836257298E-2</v>
      </c>
      <c r="ED7" s="5"/>
      <c r="EE7" s="150">
        <f t="shared" si="120"/>
        <v>4.3588989435406733E-2</v>
      </c>
      <c r="EF7" s="150">
        <f t="shared" si="75"/>
        <v>0.57570246945217574</v>
      </c>
      <c r="EG7" s="150">
        <f t="shared" si="76"/>
        <v>0.1286864343481334</v>
      </c>
      <c r="EH7" s="150"/>
      <c r="EI7" s="456">
        <f t="shared" si="77"/>
        <v>3.7999999999999995E-5</v>
      </c>
      <c r="EJ7" s="456">
        <f t="shared" si="78"/>
        <v>2.4487200000000004E-2</v>
      </c>
      <c r="EK7" s="456">
        <f t="shared" si="79"/>
        <v>2.8499999999999997E-3</v>
      </c>
      <c r="EL7" s="456">
        <f t="shared" si="80"/>
        <v>6.5748132000000015E-3</v>
      </c>
      <c r="EM7">
        <f t="shared" si="81"/>
        <v>2.1600000000000001E-2</v>
      </c>
      <c r="EN7" s="144">
        <f t="shared" si="121"/>
        <v>24.45</v>
      </c>
      <c r="EO7">
        <f t="shared" si="82"/>
        <v>5.5560774847123948E-2</v>
      </c>
      <c r="EP7" s="144">
        <f t="shared" si="122"/>
        <v>55.560774847123945</v>
      </c>
      <c r="EQ7" s="150">
        <f t="shared" si="83"/>
        <v>1.4909999999999998E-2</v>
      </c>
      <c r="ER7" s="150">
        <f t="shared" si="84"/>
        <v>2.2187499999999998E-3</v>
      </c>
      <c r="ES7" s="456"/>
      <c r="EU7" s="144">
        <f t="shared" si="123"/>
        <v>17.128749999999997</v>
      </c>
      <c r="EV7" s="456">
        <f t="shared" si="85"/>
        <v>5.699999999999999E-5</v>
      </c>
      <c r="EW7" s="456">
        <f t="shared" si="124"/>
        <v>9.9430000000000004E-3</v>
      </c>
      <c r="EX7" s="456">
        <f t="shared" si="86"/>
        <v>8.2800991926182245E-5</v>
      </c>
      <c r="EY7" s="456">
        <f t="shared" si="87"/>
        <v>1.2411009894122238E-4</v>
      </c>
      <c r="EZ7" s="456">
        <f t="shared" si="88"/>
        <v>1.2636976618560454E-2</v>
      </c>
      <c r="FA7" s="538">
        <f t="shared" si="89"/>
        <v>2.2800000000000002E-5</v>
      </c>
      <c r="FB7" s="144">
        <f t="shared" si="125"/>
        <v>12.659776618560453</v>
      </c>
      <c r="FC7" s="150">
        <f t="shared" si="126"/>
        <v>8.534930146568441E-2</v>
      </c>
      <c r="FD7" s="5">
        <f t="shared" si="127"/>
        <v>0.16</v>
      </c>
      <c r="FE7" s="150">
        <f t="shared" si="128"/>
        <v>0.65213146743920236</v>
      </c>
      <c r="FF7" s="5">
        <f t="shared" si="129"/>
        <v>65.213146743920234</v>
      </c>
      <c r="FG7">
        <f t="shared" si="130"/>
        <v>2</v>
      </c>
      <c r="FI7" s="59">
        <f t="shared" si="90"/>
        <v>-50</v>
      </c>
      <c r="FJ7">
        <f t="shared" si="91"/>
        <v>-50</v>
      </c>
      <c r="FL7">
        <f t="shared" si="92"/>
        <v>4.9315312023751806E-2</v>
      </c>
    </row>
    <row r="8" spans="2:169">
      <c r="E8" s="147">
        <v>3</v>
      </c>
      <c r="F8" s="188">
        <f t="shared" ref="F8:F39" si="131">IF(PLOT_TYPE=1, E8/100*Iout_max, min_I*EXP(O8*rr/100))</f>
        <v>3.5999999999999997E-2</v>
      </c>
      <c r="G8" s="188">
        <f t="shared" si="93"/>
        <v>7.4999999999999997E-3</v>
      </c>
      <c r="H8" s="188">
        <f t="shared" si="0"/>
        <v>0.18</v>
      </c>
      <c r="I8" s="188">
        <f t="shared" ref="I8:I39" si="132">Vout2*G8</f>
        <v>0.06</v>
      </c>
      <c r="J8" s="465">
        <f t="shared" si="1"/>
        <v>47.961732285704137</v>
      </c>
      <c r="K8" s="379">
        <f t="shared" si="2"/>
        <v>5.7145999279017685</v>
      </c>
      <c r="L8" s="149">
        <f t="shared" si="3"/>
        <v>53.676332213605903</v>
      </c>
      <c r="M8" s="379"/>
      <c r="N8" s="188">
        <f t="shared" si="4"/>
        <v>0.1064640539364802</v>
      </c>
      <c r="O8" s="149">
        <f t="shared" si="94"/>
        <v>9.57412584928543</v>
      </c>
      <c r="P8" s="149">
        <f t="shared" si="5"/>
        <v>4.255167044126857</v>
      </c>
      <c r="Q8" s="188">
        <f t="shared" si="6"/>
        <v>1.914825169857086</v>
      </c>
      <c r="R8" s="188">
        <f t="shared" si="7"/>
        <v>1.1967657311606787</v>
      </c>
      <c r="S8" s="379">
        <f t="shared" si="8"/>
        <v>5</v>
      </c>
      <c r="T8" s="188">
        <f t="shared" si="9"/>
        <v>9.4003360115343798E-2</v>
      </c>
      <c r="U8" s="188">
        <f t="shared" si="10"/>
        <v>2.3519590882674569E-2</v>
      </c>
      <c r="V8" s="188">
        <f t="shared" si="11"/>
        <v>0.19739620194170066</v>
      </c>
      <c r="W8" s="172">
        <f t="shared" si="12"/>
        <v>350</v>
      </c>
      <c r="X8" s="379">
        <f t="shared" si="95"/>
        <v>350</v>
      </c>
      <c r="Z8" s="188">
        <f t="shared" si="13"/>
        <v>1.2157620126076734</v>
      </c>
      <c r="AA8" s="150">
        <f t="shared" si="14"/>
        <v>2.5529598458957707</v>
      </c>
      <c r="AB8" s="150">
        <f t="shared" si="15"/>
        <v>0.54316353006174312</v>
      </c>
      <c r="AC8" s="150"/>
      <c r="AD8" s="150">
        <f t="shared" si="16"/>
        <v>2.0998845328453366</v>
      </c>
      <c r="AE8" s="314">
        <f t="shared" si="17"/>
        <v>34.287599567410609</v>
      </c>
      <c r="AF8" s="456">
        <f t="shared" si="18"/>
        <v>0.36747979324793389</v>
      </c>
      <c r="AH8" s="150">
        <f t="shared" si="19"/>
        <v>0.33806170189140661</v>
      </c>
      <c r="AI8" s="150">
        <f t="shared" si="20"/>
        <v>1</v>
      </c>
      <c r="AJ8" s="150">
        <f t="shared" si="21"/>
        <v>1.0195929140385203</v>
      </c>
      <c r="AL8" s="314">
        <f t="shared" si="22"/>
        <v>36</v>
      </c>
      <c r="AM8" s="144">
        <f t="shared" si="23"/>
        <v>34.287599567410609</v>
      </c>
      <c r="AO8">
        <f t="shared" si="96"/>
        <v>36</v>
      </c>
      <c r="AP8" s="144">
        <f t="shared" si="24"/>
        <v>34.287599567410609</v>
      </c>
      <c r="AQ8" s="144"/>
      <c r="AR8" s="5">
        <f t="shared" si="97"/>
        <v>29.165062956185235</v>
      </c>
      <c r="AS8" s="5">
        <f t="shared" si="25"/>
        <v>0.25019947003825832</v>
      </c>
      <c r="AT8" s="5">
        <f t="shared" si="98"/>
        <v>28.914863486146977</v>
      </c>
      <c r="AU8" s="150">
        <f t="shared" si="99"/>
        <v>8.5787392406501493E-3</v>
      </c>
      <c r="AW8" s="5">
        <f t="shared" si="26"/>
        <v>0.18014361842754598</v>
      </c>
      <c r="AX8" s="5">
        <f t="shared" si="27"/>
        <v>2.3456200316086716E-2</v>
      </c>
      <c r="AY8" s="5">
        <f t="shared" si="28"/>
        <v>4.5215522002891001E-2</v>
      </c>
      <c r="AZ8" s="5"/>
      <c r="BA8" s="150">
        <f t="shared" si="100"/>
        <v>5.3475038540270199E-2</v>
      </c>
      <c r="BB8" s="150">
        <f t="shared" si="29"/>
        <v>0.5748684663350826</v>
      </c>
      <c r="BC8" s="150">
        <f t="shared" si="30"/>
        <v>0.12850001012195963</v>
      </c>
      <c r="BD8" s="150"/>
      <c r="BE8" s="456">
        <f t="shared" si="31"/>
        <v>5.7191594937667661E-5</v>
      </c>
      <c r="BF8" s="456">
        <f t="shared" si="32"/>
        <v>3.450811097226416E-2</v>
      </c>
      <c r="BG8" s="456">
        <f t="shared" si="33"/>
        <v>4.1112316779289317E-2</v>
      </c>
      <c r="BH8" s="456">
        <f t="shared" si="34"/>
        <v>9.8787670859265611E-3</v>
      </c>
      <c r="BI8">
        <f t="shared" si="35"/>
        <v>2.158277952856686E-2</v>
      </c>
      <c r="BJ8" s="144">
        <f t="shared" si="101"/>
        <v>62.695096307856176</v>
      </c>
      <c r="BK8">
        <f t="shared" si="36"/>
        <v>4.4460115539954277E-2</v>
      </c>
      <c r="BL8" s="144">
        <f t="shared" si="102"/>
        <v>44.46011553995428</v>
      </c>
      <c r="BM8" s="150">
        <f t="shared" si="37"/>
        <v>2.2364999999999996E-2</v>
      </c>
      <c r="BN8" s="150">
        <f t="shared" si="38"/>
        <v>3.3281249999999999E-3</v>
      </c>
      <c r="BO8" s="456"/>
      <c r="BQ8" s="144">
        <f t="shared" si="103"/>
        <v>25.693124999999998</v>
      </c>
      <c r="BR8" s="456">
        <f t="shared" si="39"/>
        <v>8.5787392406501482E-5</v>
      </c>
      <c r="BS8" s="456">
        <f t="shared" si="104"/>
        <v>9.9142126075934985E-3</v>
      </c>
      <c r="BT8" s="456">
        <f t="shared" si="40"/>
        <v>8.2561263006718656E-5</v>
      </c>
      <c r="BU8" s="456">
        <f t="shared" si="41"/>
        <v>3.4420146046535268E-4</v>
      </c>
      <c r="BV8" s="456">
        <f t="shared" si="42"/>
        <v>1.2856947903785301E-2</v>
      </c>
      <c r="BW8" s="538">
        <f t="shared" si="43"/>
        <v>3.4287599567410611E-5</v>
      </c>
      <c r="BX8" s="144">
        <f t="shared" si="105"/>
        <v>12.891235503352711</v>
      </c>
      <c r="BY8" s="150">
        <f t="shared" si="106"/>
        <v>8.3044476043306989E-2</v>
      </c>
      <c r="BZ8" s="5">
        <f t="shared" si="107"/>
        <v>0.24</v>
      </c>
      <c r="CA8" s="150">
        <f t="shared" si="108"/>
        <v>0.74293175645518805</v>
      </c>
      <c r="CB8" s="5">
        <f t="shared" si="109"/>
        <v>74.293175645518801</v>
      </c>
      <c r="CC8">
        <f t="shared" si="110"/>
        <v>3</v>
      </c>
      <c r="CE8" s="59">
        <f t="shared" si="44"/>
        <v>-50</v>
      </c>
      <c r="CF8">
        <f t="shared" si="45"/>
        <v>-50</v>
      </c>
      <c r="CG8" s="150">
        <f t="shared" si="46"/>
        <v>7.3972968035627709E-2</v>
      </c>
      <c r="CH8" s="150">
        <f t="shared" si="47"/>
        <v>4.013136324359632E-2</v>
      </c>
      <c r="CI8" s="147">
        <v>3</v>
      </c>
      <c r="CJ8" s="188">
        <f t="shared" ref="CJ8:CJ71" si="133">IF(PLOT_TYPE=1, CI8/100*Iout_max, min_I*EXP(CS8*rr/100))</f>
        <v>3.5999999999999997E-2</v>
      </c>
      <c r="CK8" s="188">
        <f t="shared" si="111"/>
        <v>7.4999999999999997E-3</v>
      </c>
      <c r="CL8" s="188">
        <f t="shared" si="48"/>
        <v>0.18</v>
      </c>
      <c r="CM8" s="188">
        <f t="shared" ref="CM8:CM71" si="134">Vout2*CK8</f>
        <v>0.06</v>
      </c>
      <c r="CN8" s="465">
        <f t="shared" si="112"/>
        <v>48</v>
      </c>
      <c r="CO8" s="379">
        <f t="shared" si="49"/>
        <v>5.7</v>
      </c>
      <c r="CP8" s="379">
        <f t="shared" si="50"/>
        <v>53.7</v>
      </c>
      <c r="CQ8" s="379"/>
      <c r="CR8" s="188">
        <f t="shared" si="113"/>
        <v>0.10112359550561799</v>
      </c>
      <c r="CS8" s="149">
        <f t="shared" si="114"/>
        <v>9.1011235955056193</v>
      </c>
      <c r="CT8" s="149">
        <f t="shared" si="51"/>
        <v>4.0449438202247192</v>
      </c>
      <c r="CU8" s="188">
        <f t="shared" si="52"/>
        <v>1.8202247191011238</v>
      </c>
      <c r="CV8" s="188">
        <f t="shared" si="53"/>
        <v>1.1376404494382024</v>
      </c>
      <c r="CW8" s="379">
        <f t="shared" si="54"/>
        <v>5</v>
      </c>
      <c r="CX8" s="188">
        <f t="shared" si="55"/>
        <v>9.8888888888888873E-2</v>
      </c>
      <c r="CY8" s="188">
        <f t="shared" si="56"/>
        <v>2.4722222222222218E-2</v>
      </c>
      <c r="CZ8" s="188">
        <f t="shared" si="57"/>
        <v>0.20818713450292395</v>
      </c>
      <c r="DA8" s="172">
        <f t="shared" si="58"/>
        <v>350</v>
      </c>
      <c r="DB8" s="379">
        <f t="shared" si="115"/>
        <v>350</v>
      </c>
      <c r="DD8" s="188">
        <f t="shared" si="59"/>
        <v>1.2130885873902635</v>
      </c>
      <c r="DE8" s="150">
        <f t="shared" si="60"/>
        <v>2.5538707102952913</v>
      </c>
      <c r="DF8" s="150">
        <f t="shared" si="61"/>
        <v>0.54216249715765974</v>
      </c>
      <c r="DG8" s="150"/>
      <c r="DH8" s="150">
        <f t="shared" si="62"/>
        <v>2.1052631578947367</v>
      </c>
      <c r="DI8" s="314">
        <f t="shared" si="63"/>
        <v>34.200000000000003</v>
      </c>
      <c r="DJ8" s="456">
        <f t="shared" si="64"/>
        <v>0.36842105263157893</v>
      </c>
      <c r="DL8" s="150">
        <f t="shared" si="65"/>
        <v>0.33806170189140661</v>
      </c>
      <c r="DM8" s="150">
        <f t="shared" si="66"/>
        <v>1</v>
      </c>
      <c r="DN8" s="150">
        <f t="shared" si="67"/>
        <v>1.0195428571428571</v>
      </c>
      <c r="DP8" s="314">
        <f t="shared" si="68"/>
        <v>36</v>
      </c>
      <c r="DQ8" s="144">
        <f t="shared" si="69"/>
        <v>34.200000000000003</v>
      </c>
      <c r="DS8">
        <f t="shared" si="116"/>
        <v>36</v>
      </c>
      <c r="DT8" s="144">
        <f t="shared" si="70"/>
        <v>34.200000000000003</v>
      </c>
      <c r="DU8" s="144"/>
      <c r="DV8" s="5">
        <f t="shared" si="117"/>
        <v>29.239766081871345</v>
      </c>
      <c r="DW8" s="5">
        <f t="shared" si="71"/>
        <v>0.25</v>
      </c>
      <c r="DX8" s="5">
        <f t="shared" si="118"/>
        <v>28.989766081871345</v>
      </c>
      <c r="DY8" s="150">
        <f t="shared" si="119"/>
        <v>8.5500000000000003E-3</v>
      </c>
      <c r="EA8" s="5">
        <f t="shared" si="72"/>
        <v>0.18</v>
      </c>
      <c r="EB8" s="5">
        <f t="shared" si="73"/>
        <v>2.34375E-2</v>
      </c>
      <c r="EC8" s="5">
        <f t="shared" si="74"/>
        <v>4.5296509502923972E-2</v>
      </c>
      <c r="ED8" s="5"/>
      <c r="EE8" s="150">
        <f t="shared" si="120"/>
        <v>5.338539126015656E-2</v>
      </c>
      <c r="EF8" s="150">
        <f t="shared" si="75"/>
        <v>0.57487679839538952</v>
      </c>
      <c r="EG8" s="150">
        <f t="shared" si="76"/>
        <v>0.12850187258249884</v>
      </c>
      <c r="EH8" s="150"/>
      <c r="EI8" s="456">
        <f t="shared" si="77"/>
        <v>5.700000000000001E-5</v>
      </c>
      <c r="EJ8" s="456">
        <f t="shared" si="78"/>
        <v>3.6730800000000008E-2</v>
      </c>
      <c r="EK8" s="456">
        <f t="shared" si="79"/>
        <v>4.2750000000000002E-3</v>
      </c>
      <c r="EL8" s="456">
        <f t="shared" si="80"/>
        <v>9.8622198000000039E-3</v>
      </c>
      <c r="EM8">
        <f t="shared" si="81"/>
        <v>2.1600000000000001E-2</v>
      </c>
      <c r="EN8" s="144">
        <f t="shared" si="121"/>
        <v>25.875000000000004</v>
      </c>
      <c r="EO8">
        <f t="shared" si="82"/>
        <v>7.2541392242583436E-2</v>
      </c>
      <c r="EP8" s="144">
        <f t="shared" si="122"/>
        <v>72.541392242583441</v>
      </c>
      <c r="EQ8" s="150">
        <f t="shared" si="83"/>
        <v>2.2364999999999996E-2</v>
      </c>
      <c r="ER8" s="150">
        <f t="shared" si="84"/>
        <v>3.3281249999999999E-3</v>
      </c>
      <c r="ES8" s="456"/>
      <c r="EU8" s="144">
        <f t="shared" si="123"/>
        <v>25.693124999999998</v>
      </c>
      <c r="EV8" s="456">
        <f t="shared" si="85"/>
        <v>8.5500000000000018E-5</v>
      </c>
      <c r="EW8" s="456">
        <f t="shared" si="124"/>
        <v>9.9144999999999997E-3</v>
      </c>
      <c r="EX8" s="456">
        <f t="shared" si="86"/>
        <v>8.2563656286043836E-5</v>
      </c>
      <c r="EY8" s="456">
        <f t="shared" si="87"/>
        <v>3.420072161238711E-4</v>
      </c>
      <c r="EZ8" s="456">
        <f t="shared" si="88"/>
        <v>1.2854754860652042E-2</v>
      </c>
      <c r="FA8" s="538">
        <f t="shared" si="89"/>
        <v>3.4200000000000005E-5</v>
      </c>
      <c r="FB8" s="144">
        <f t="shared" si="125"/>
        <v>12.888954860652042</v>
      </c>
      <c r="FC8" s="150">
        <f t="shared" si="126"/>
        <v>0.11112347210323548</v>
      </c>
      <c r="FD8" s="5">
        <f t="shared" si="127"/>
        <v>0.24</v>
      </c>
      <c r="FE8" s="150">
        <f t="shared" si="128"/>
        <v>0.68352024022317837</v>
      </c>
      <c r="FF8" s="5">
        <f t="shared" si="129"/>
        <v>68.352024022317835</v>
      </c>
      <c r="FG8">
        <f t="shared" si="130"/>
        <v>3</v>
      </c>
      <c r="FI8" s="59">
        <f t="shared" si="90"/>
        <v>-50</v>
      </c>
      <c r="FJ8">
        <f t="shared" si="91"/>
        <v>-50</v>
      </c>
      <c r="FL8">
        <f t="shared" si="92"/>
        <v>7.3972968035627709E-2</v>
      </c>
    </row>
    <row r="9" spans="2:169">
      <c r="E9" s="147">
        <v>4</v>
      </c>
      <c r="F9" s="188">
        <f t="shared" si="131"/>
        <v>4.8000000000000001E-2</v>
      </c>
      <c r="G9" s="188">
        <f t="shared" si="93"/>
        <v>0.01</v>
      </c>
      <c r="H9" s="188">
        <f t="shared" si="0"/>
        <v>0.24</v>
      </c>
      <c r="I9" s="188">
        <f t="shared" si="132"/>
        <v>0.08</v>
      </c>
      <c r="J9" s="465">
        <f t="shared" si="1"/>
        <v>47.961732285704137</v>
      </c>
      <c r="K9" s="379">
        <f t="shared" si="2"/>
        <v>5.7145999279017685</v>
      </c>
      <c r="L9" s="149">
        <f t="shared" si="3"/>
        <v>53.676332213605903</v>
      </c>
      <c r="M9" s="379"/>
      <c r="N9" s="188">
        <f t="shared" si="4"/>
        <v>0.1064640539364802</v>
      </c>
      <c r="O9" s="149">
        <f t="shared" si="94"/>
        <v>9.57412584928543</v>
      </c>
      <c r="P9" s="149">
        <f t="shared" si="5"/>
        <v>4.255167044126857</v>
      </c>
      <c r="Q9" s="188">
        <f t="shared" si="6"/>
        <v>1.914825169857086</v>
      </c>
      <c r="R9" s="188">
        <f t="shared" si="7"/>
        <v>1.1967657311606787</v>
      </c>
      <c r="S9" s="379">
        <f t="shared" si="8"/>
        <v>5</v>
      </c>
      <c r="T9" s="188">
        <f t="shared" si="9"/>
        <v>0.12533781348712508</v>
      </c>
      <c r="U9" s="188">
        <f t="shared" si="10"/>
        <v>3.1359454510232768E-2</v>
      </c>
      <c r="V9" s="188">
        <f t="shared" si="11"/>
        <v>0.26319493592226761</v>
      </c>
      <c r="W9" s="172">
        <f t="shared" si="12"/>
        <v>350</v>
      </c>
      <c r="X9" s="379">
        <f t="shared" si="95"/>
        <v>350</v>
      </c>
      <c r="Z9" s="188">
        <f t="shared" si="13"/>
        <v>1.2157620126076734</v>
      </c>
      <c r="AA9" s="150">
        <f t="shared" si="14"/>
        <v>2.5529598458957707</v>
      </c>
      <c r="AB9" s="150">
        <f t="shared" si="15"/>
        <v>0.54316353006174312</v>
      </c>
      <c r="AC9" s="150"/>
      <c r="AD9" s="150">
        <f t="shared" si="16"/>
        <v>2.0998845328453366</v>
      </c>
      <c r="AE9" s="314">
        <f t="shared" si="17"/>
        <v>45.716799423214148</v>
      </c>
      <c r="AF9" s="456">
        <f t="shared" si="18"/>
        <v>0.36747979324793389</v>
      </c>
      <c r="AH9" s="150">
        <f t="shared" si="19"/>
        <v>0.39036002917941326</v>
      </c>
      <c r="AI9" s="150">
        <f t="shared" si="20"/>
        <v>1</v>
      </c>
      <c r="AJ9" s="150">
        <f t="shared" si="21"/>
        <v>1.0261238853846939</v>
      </c>
      <c r="AL9" s="314">
        <f t="shared" si="22"/>
        <v>48</v>
      </c>
      <c r="AM9" s="144">
        <f t="shared" si="23"/>
        <v>45.716799423214148</v>
      </c>
      <c r="AO9">
        <f t="shared" si="96"/>
        <v>48</v>
      </c>
      <c r="AP9" s="144">
        <f t="shared" si="24"/>
        <v>45.716799423214148</v>
      </c>
      <c r="AQ9" s="144"/>
      <c r="AR9" s="5">
        <f t="shared" si="97"/>
        <v>21.873797217138925</v>
      </c>
      <c r="AS9" s="5">
        <f t="shared" si="25"/>
        <v>0.25019947003825832</v>
      </c>
      <c r="AT9" s="5">
        <f t="shared" si="98"/>
        <v>21.623597747100668</v>
      </c>
      <c r="AU9" s="150">
        <f t="shared" si="99"/>
        <v>1.1438318987533534E-2</v>
      </c>
      <c r="AW9" s="5">
        <f t="shared" si="26"/>
        <v>0.24019149123672798</v>
      </c>
      <c r="AX9" s="5">
        <f t="shared" si="27"/>
        <v>3.127493375478229E-2</v>
      </c>
      <c r="AY9" s="5">
        <f t="shared" si="28"/>
        <v>4.5085105805375524E-2</v>
      </c>
      <c r="AZ9" s="5"/>
      <c r="BA9" s="150">
        <f t="shared" si="100"/>
        <v>6.174765579230123E-2</v>
      </c>
      <c r="BB9" s="150">
        <f t="shared" si="29"/>
        <v>0.57403881431266368</v>
      </c>
      <c r="BC9" s="150">
        <f t="shared" si="30"/>
        <v>0.12831455849341894</v>
      </c>
      <c r="BD9" s="150"/>
      <c r="BE9" s="456">
        <f t="shared" si="31"/>
        <v>7.6255459916890238E-5</v>
      </c>
      <c r="BF9" s="456">
        <f t="shared" si="32"/>
        <v>4.6010814629685551E-2</v>
      </c>
      <c r="BG9" s="456">
        <f t="shared" si="33"/>
        <v>5.4816422372385758E-2</v>
      </c>
      <c r="BH9" s="456">
        <f t="shared" si="34"/>
        <v>1.3171689447902082E-2</v>
      </c>
      <c r="BI9">
        <f t="shared" si="35"/>
        <v>2.158277952856686E-2</v>
      </c>
      <c r="BJ9" s="144">
        <f t="shared" si="101"/>
        <v>76.399201900952619</v>
      </c>
      <c r="BK9">
        <f t="shared" si="36"/>
        <v>5.9280422572000911E-2</v>
      </c>
      <c r="BL9" s="144">
        <f t="shared" si="102"/>
        <v>59.280422572000909</v>
      </c>
      <c r="BM9" s="150">
        <f t="shared" si="37"/>
        <v>2.9819999999999996E-2</v>
      </c>
      <c r="BN9" s="150">
        <f t="shared" si="38"/>
        <v>4.4374999999999996E-3</v>
      </c>
      <c r="BO9" s="456"/>
      <c r="BQ9" s="144">
        <f t="shared" si="103"/>
        <v>34.257499999999993</v>
      </c>
      <c r="BR9" s="456">
        <f t="shared" si="39"/>
        <v>1.1438318987533535E-4</v>
      </c>
      <c r="BS9" s="456">
        <f t="shared" si="104"/>
        <v>9.8856168101246634E-3</v>
      </c>
      <c r="BT9" s="456">
        <f t="shared" si="40"/>
        <v>8.2323129606805151E-5</v>
      </c>
      <c r="BU9" s="456">
        <f t="shared" si="41"/>
        <v>7.0657708748491927E-4</v>
      </c>
      <c r="BV9" s="456">
        <f t="shared" si="42"/>
        <v>1.3219320284890637E-2</v>
      </c>
      <c r="BW9" s="538">
        <f t="shared" si="43"/>
        <v>4.571679942321415E-5</v>
      </c>
      <c r="BX9" s="144">
        <f t="shared" si="105"/>
        <v>13.265037084313851</v>
      </c>
      <c r="BY9" s="150">
        <f t="shared" si="106"/>
        <v>0.10680295965631474</v>
      </c>
      <c r="BZ9" s="5">
        <f t="shared" si="107"/>
        <v>0.32</v>
      </c>
      <c r="CA9" s="150">
        <f t="shared" si="108"/>
        <v>0.74976049898454689</v>
      </c>
      <c r="CB9" s="5">
        <f t="shared" si="109"/>
        <v>74.97604989845469</v>
      </c>
      <c r="CC9">
        <f t="shared" si="110"/>
        <v>4</v>
      </c>
      <c r="CE9" s="59">
        <f t="shared" si="44"/>
        <v>-50</v>
      </c>
      <c r="CF9">
        <f t="shared" si="45"/>
        <v>-50</v>
      </c>
      <c r="CG9" s="150">
        <f t="shared" si="46"/>
        <v>9.8630624047503612E-2</v>
      </c>
      <c r="CH9" s="150">
        <f t="shared" si="47"/>
        <v>5.3508484324795096E-2</v>
      </c>
      <c r="CI9" s="147">
        <v>4</v>
      </c>
      <c r="CJ9" s="188">
        <f t="shared" si="133"/>
        <v>4.8000000000000001E-2</v>
      </c>
      <c r="CK9" s="188">
        <f t="shared" si="111"/>
        <v>0.01</v>
      </c>
      <c r="CL9" s="188">
        <f t="shared" si="48"/>
        <v>0.24</v>
      </c>
      <c r="CM9" s="188">
        <f t="shared" si="134"/>
        <v>0.08</v>
      </c>
      <c r="CN9" s="465">
        <f t="shared" si="112"/>
        <v>48</v>
      </c>
      <c r="CO9" s="379">
        <f t="shared" si="49"/>
        <v>5.7</v>
      </c>
      <c r="CP9" s="379">
        <f t="shared" si="50"/>
        <v>53.7</v>
      </c>
      <c r="CQ9" s="379"/>
      <c r="CR9" s="188">
        <f t="shared" si="113"/>
        <v>0.10112359550561799</v>
      </c>
      <c r="CS9" s="149">
        <f t="shared" si="114"/>
        <v>9.1011235955056193</v>
      </c>
      <c r="CT9" s="149">
        <f t="shared" si="51"/>
        <v>4.0449438202247192</v>
      </c>
      <c r="CU9" s="188">
        <f t="shared" si="52"/>
        <v>1.8202247191011238</v>
      </c>
      <c r="CV9" s="188">
        <f t="shared" si="53"/>
        <v>1.1376404494382024</v>
      </c>
      <c r="CW9" s="379">
        <f t="shared" si="54"/>
        <v>5</v>
      </c>
      <c r="CX9" s="188">
        <f t="shared" si="55"/>
        <v>0.13185185185185186</v>
      </c>
      <c r="CY9" s="188">
        <f t="shared" si="56"/>
        <v>3.2962962962962965E-2</v>
      </c>
      <c r="CZ9" s="188">
        <f t="shared" si="57"/>
        <v>0.27758284600389865</v>
      </c>
      <c r="DA9" s="172">
        <f t="shared" si="58"/>
        <v>350</v>
      </c>
      <c r="DB9" s="379">
        <f t="shared" si="115"/>
        <v>350</v>
      </c>
      <c r="DD9" s="188">
        <f t="shared" si="59"/>
        <v>1.2130885873902635</v>
      </c>
      <c r="DE9" s="150">
        <f t="shared" si="60"/>
        <v>2.5538707102952913</v>
      </c>
      <c r="DF9" s="150">
        <f t="shared" si="61"/>
        <v>0.54216249715765974</v>
      </c>
      <c r="DG9" s="150"/>
      <c r="DH9" s="150">
        <f t="shared" si="62"/>
        <v>2.1052631578947367</v>
      </c>
      <c r="DI9" s="314">
        <f t="shared" si="63"/>
        <v>45.6</v>
      </c>
      <c r="DJ9" s="456">
        <f t="shared" si="64"/>
        <v>0.36842105263157893</v>
      </c>
      <c r="DL9" s="150">
        <f t="shared" si="65"/>
        <v>0.39036002917941326</v>
      </c>
      <c r="DM9" s="150">
        <f t="shared" si="66"/>
        <v>1</v>
      </c>
      <c r="DN9" s="150">
        <f t="shared" si="67"/>
        <v>1.0260571428571428</v>
      </c>
      <c r="DP9" s="314">
        <f t="shared" si="68"/>
        <v>48</v>
      </c>
      <c r="DQ9" s="144">
        <f t="shared" si="69"/>
        <v>45.6</v>
      </c>
      <c r="DS9">
        <f t="shared" si="116"/>
        <v>48</v>
      </c>
      <c r="DT9" s="144">
        <f t="shared" si="70"/>
        <v>45.6</v>
      </c>
      <c r="DU9" s="144"/>
      <c r="DV9" s="5">
        <f t="shared" si="117"/>
        <v>21.929824561403507</v>
      </c>
      <c r="DW9" s="5">
        <f t="shared" si="71"/>
        <v>0.25</v>
      </c>
      <c r="DX9" s="5">
        <f t="shared" si="118"/>
        <v>21.679824561403507</v>
      </c>
      <c r="DY9" s="150">
        <f t="shared" si="119"/>
        <v>1.14E-2</v>
      </c>
      <c r="EA9" s="5">
        <f t="shared" si="72"/>
        <v>0.24000000000000002</v>
      </c>
      <c r="EB9" s="5">
        <f t="shared" si="73"/>
        <v>3.125E-2</v>
      </c>
      <c r="EC9" s="5">
        <f t="shared" si="74"/>
        <v>4.5166301169590632E-2</v>
      </c>
      <c r="ED9" s="5"/>
      <c r="EE9" s="150">
        <f t="shared" si="120"/>
        <v>6.1644140029689765E-2</v>
      </c>
      <c r="EF9" s="150">
        <f t="shared" si="75"/>
        <v>0.57404993975553498</v>
      </c>
      <c r="EG9" s="150">
        <f t="shared" si="76"/>
        <v>0.12831704535711957</v>
      </c>
      <c r="EH9" s="150"/>
      <c r="EI9" s="456">
        <f t="shared" si="77"/>
        <v>7.6000000000000004E-5</v>
      </c>
      <c r="EJ9" s="456">
        <f t="shared" si="78"/>
        <v>4.8974400000000008E-2</v>
      </c>
      <c r="EK9" s="456">
        <f t="shared" si="79"/>
        <v>5.6999999999999993E-3</v>
      </c>
      <c r="EL9" s="456">
        <f t="shared" si="80"/>
        <v>1.3149626400000003E-2</v>
      </c>
      <c r="EM9">
        <f t="shared" si="81"/>
        <v>2.1600000000000001E-2</v>
      </c>
      <c r="EN9" s="144">
        <f t="shared" si="121"/>
        <v>27.3</v>
      </c>
      <c r="EO9">
        <f t="shared" si="82"/>
        <v>8.9522162955409809E-2</v>
      </c>
      <c r="EP9" s="144">
        <f t="shared" si="122"/>
        <v>89.522162955409812</v>
      </c>
      <c r="EQ9" s="150">
        <f t="shared" si="83"/>
        <v>2.9819999999999996E-2</v>
      </c>
      <c r="ER9" s="150">
        <f t="shared" si="84"/>
        <v>4.4374999999999996E-3</v>
      </c>
      <c r="ES9" s="456"/>
      <c r="EU9" s="144">
        <f t="shared" si="123"/>
        <v>34.257499999999993</v>
      </c>
      <c r="EV9" s="456">
        <f t="shared" si="85"/>
        <v>1.1399999999999999E-4</v>
      </c>
      <c r="EW9" s="456">
        <f t="shared" si="124"/>
        <v>9.8860000000000007E-3</v>
      </c>
      <c r="EX9" s="456">
        <f t="shared" si="86"/>
        <v>8.2326320645905414E-5</v>
      </c>
      <c r="EY9" s="456">
        <f t="shared" si="87"/>
        <v>7.0207274060057369E-4</v>
      </c>
      <c r="EZ9" s="456">
        <f t="shared" si="88"/>
        <v>1.3214816265389898E-2</v>
      </c>
      <c r="FA9" s="538">
        <f t="shared" si="89"/>
        <v>4.5600000000000004E-5</v>
      </c>
      <c r="FB9" s="144">
        <f t="shared" si="125"/>
        <v>13.260416265389898</v>
      </c>
      <c r="FC9" s="150">
        <f t="shared" si="126"/>
        <v>0.13704007922079972</v>
      </c>
      <c r="FD9" s="5">
        <f t="shared" si="127"/>
        <v>0.32</v>
      </c>
      <c r="FE9" s="150">
        <f t="shared" si="128"/>
        <v>0.7001574140840402</v>
      </c>
      <c r="FF9" s="5">
        <f t="shared" si="129"/>
        <v>70.015741408404025</v>
      </c>
      <c r="FG9">
        <f t="shared" si="130"/>
        <v>4</v>
      </c>
      <c r="FI9" s="59">
        <f t="shared" si="90"/>
        <v>-50</v>
      </c>
      <c r="FJ9">
        <f t="shared" si="91"/>
        <v>-50</v>
      </c>
      <c r="FL9">
        <f t="shared" si="92"/>
        <v>9.8630624047503612E-2</v>
      </c>
    </row>
    <row r="10" spans="2:169">
      <c r="E10" s="147">
        <v>5</v>
      </c>
      <c r="F10" s="188">
        <f t="shared" si="131"/>
        <v>0.06</v>
      </c>
      <c r="G10" s="188">
        <f t="shared" si="93"/>
        <v>1.2500000000000001E-2</v>
      </c>
      <c r="H10" s="188">
        <f t="shared" si="0"/>
        <v>0.3</v>
      </c>
      <c r="I10" s="188">
        <f t="shared" si="132"/>
        <v>0.1</v>
      </c>
      <c r="J10" s="465">
        <f t="shared" si="1"/>
        <v>47.961732285704137</v>
      </c>
      <c r="K10" s="379">
        <f t="shared" si="2"/>
        <v>5.7145999279017685</v>
      </c>
      <c r="L10" s="149">
        <f t="shared" si="3"/>
        <v>53.676332213605903</v>
      </c>
      <c r="M10" s="379"/>
      <c r="N10" s="188">
        <f t="shared" si="4"/>
        <v>0.1064640539364802</v>
      </c>
      <c r="O10" s="149">
        <f t="shared" si="94"/>
        <v>9.57412584928543</v>
      </c>
      <c r="P10" s="149">
        <f t="shared" si="5"/>
        <v>4.255167044126857</v>
      </c>
      <c r="Q10" s="188">
        <f t="shared" si="6"/>
        <v>1.914825169857086</v>
      </c>
      <c r="R10" s="188">
        <f t="shared" si="7"/>
        <v>1.1967657311606787</v>
      </c>
      <c r="S10" s="379">
        <f t="shared" si="8"/>
        <v>5</v>
      </c>
      <c r="T10" s="188">
        <f t="shared" si="9"/>
        <v>0.15667226685890634</v>
      </c>
      <c r="U10" s="188">
        <f t="shared" si="10"/>
        <v>3.9199318137790956E-2</v>
      </c>
      <c r="V10" s="188">
        <f t="shared" si="11"/>
        <v>0.32899366990283446</v>
      </c>
      <c r="W10" s="172">
        <f t="shared" si="12"/>
        <v>350</v>
      </c>
      <c r="X10" s="379">
        <f t="shared" si="95"/>
        <v>350</v>
      </c>
      <c r="Z10" s="188">
        <f t="shared" si="13"/>
        <v>1.2157620126076734</v>
      </c>
      <c r="AA10" s="150">
        <f t="shared" si="14"/>
        <v>2.5529598458957707</v>
      </c>
      <c r="AB10" s="150">
        <f t="shared" si="15"/>
        <v>0.54316353006174312</v>
      </c>
      <c r="AC10" s="150"/>
      <c r="AD10" s="150">
        <f t="shared" si="16"/>
        <v>2.0998845328453366</v>
      </c>
      <c r="AE10" s="314">
        <f t="shared" si="17"/>
        <v>57.14599927901768</v>
      </c>
      <c r="AF10" s="456">
        <f t="shared" si="18"/>
        <v>0.36747979324793389</v>
      </c>
      <c r="AH10" s="150">
        <f t="shared" si="19"/>
        <v>0.43643578047198472</v>
      </c>
      <c r="AI10" s="150">
        <f t="shared" si="20"/>
        <v>1</v>
      </c>
      <c r="AJ10" s="150">
        <f t="shared" si="21"/>
        <v>1.0326548567308673</v>
      </c>
      <c r="AL10" s="314">
        <f t="shared" si="22"/>
        <v>60</v>
      </c>
      <c r="AM10" s="144">
        <f t="shared" si="23"/>
        <v>57.14599927901768</v>
      </c>
      <c r="AO10">
        <f t="shared" si="96"/>
        <v>60</v>
      </c>
      <c r="AP10" s="144">
        <f t="shared" si="24"/>
        <v>57.14599927901768</v>
      </c>
      <c r="AQ10" s="144"/>
      <c r="AR10" s="5">
        <f t="shared" si="97"/>
        <v>17.499037773711141</v>
      </c>
      <c r="AS10" s="5">
        <f t="shared" si="25"/>
        <v>0.25019947003825832</v>
      </c>
      <c r="AT10" s="5">
        <f t="shared" si="98"/>
        <v>17.248838303672883</v>
      </c>
      <c r="AU10" s="150">
        <f t="shared" si="99"/>
        <v>1.4297898734416916E-2</v>
      </c>
      <c r="AW10" s="5">
        <f t="shared" si="26"/>
        <v>0.30023936404590995</v>
      </c>
      <c r="AX10" s="5">
        <f t="shared" si="27"/>
        <v>3.9093667193477864E-2</v>
      </c>
      <c r="AY10" s="5">
        <f t="shared" si="28"/>
        <v>4.495468960786006E-2</v>
      </c>
      <c r="AZ10" s="5"/>
      <c r="BA10" s="150">
        <f t="shared" si="100"/>
        <v>6.9035977901422088E-2</v>
      </c>
      <c r="BB10" s="150">
        <f t="shared" si="29"/>
        <v>0.57320796146645392</v>
      </c>
      <c r="BC10" s="150">
        <f t="shared" si="30"/>
        <v>0.12812883844544265</v>
      </c>
      <c r="BD10" s="150"/>
      <c r="BE10" s="456">
        <f t="shared" si="31"/>
        <v>9.5319324896112794E-5</v>
      </c>
      <c r="BF10" s="456">
        <f t="shared" si="32"/>
        <v>5.7513518287106928E-2</v>
      </c>
      <c r="BG10" s="456">
        <f t="shared" si="33"/>
        <v>6.8520527965482192E-2</v>
      </c>
      <c r="BH10" s="456">
        <f t="shared" si="34"/>
        <v>1.6464611809877603E-2</v>
      </c>
      <c r="BI10">
        <f t="shared" si="35"/>
        <v>2.158277952856686E-2</v>
      </c>
      <c r="BJ10" s="144">
        <f t="shared" si="101"/>
        <v>90.103307494049048</v>
      </c>
      <c r="BK10">
        <f t="shared" si="36"/>
        <v>7.4100863866452538E-2</v>
      </c>
      <c r="BL10" s="144">
        <f t="shared" si="102"/>
        <v>74.100863866452542</v>
      </c>
      <c r="BM10" s="150">
        <f t="shared" si="37"/>
        <v>3.7274999999999996E-2</v>
      </c>
      <c r="BN10" s="150">
        <f t="shared" si="38"/>
        <v>5.5468749999999997E-3</v>
      </c>
      <c r="BO10" s="456"/>
      <c r="BQ10" s="144">
        <f t="shared" si="103"/>
        <v>42.821874999999999</v>
      </c>
      <c r="BR10" s="456">
        <f t="shared" si="39"/>
        <v>1.4297898734416916E-4</v>
      </c>
      <c r="BS10" s="456">
        <f t="shared" si="104"/>
        <v>9.8570210126558318E-3</v>
      </c>
      <c r="BT10" s="456">
        <f t="shared" si="40"/>
        <v>8.2084996206891714E-5</v>
      </c>
      <c r="BU10" s="456">
        <f t="shared" si="41"/>
        <v>1.2343393741875738E-3</v>
      </c>
      <c r="BV10" s="456">
        <f t="shared" si="42"/>
        <v>1.3747212814929004E-2</v>
      </c>
      <c r="BW10" s="538">
        <f t="shared" si="43"/>
        <v>5.7145999279017683E-5</v>
      </c>
      <c r="BX10" s="144">
        <f t="shared" si="105"/>
        <v>13.804358814208021</v>
      </c>
      <c r="BY10" s="150">
        <f t="shared" si="106"/>
        <v>0.13072709768066057</v>
      </c>
      <c r="BZ10" s="5">
        <f t="shared" si="107"/>
        <v>0.4</v>
      </c>
      <c r="CA10" s="150">
        <f t="shared" si="108"/>
        <v>0.75368301665403314</v>
      </c>
      <c r="CB10" s="5">
        <f t="shared" si="109"/>
        <v>75.368301665403308</v>
      </c>
      <c r="CC10">
        <f t="shared" si="110"/>
        <v>5</v>
      </c>
      <c r="CE10" s="59">
        <f t="shared" si="44"/>
        <v>-50</v>
      </c>
      <c r="CF10">
        <f t="shared" si="45"/>
        <v>-50</v>
      </c>
      <c r="CG10" s="150">
        <f t="shared" si="46"/>
        <v>0.12328828005937953</v>
      </c>
      <c r="CH10" s="150">
        <f t="shared" si="47"/>
        <v>6.6885605405993864E-2</v>
      </c>
      <c r="CI10" s="147">
        <v>5</v>
      </c>
      <c r="CJ10" s="188">
        <f t="shared" si="133"/>
        <v>0.06</v>
      </c>
      <c r="CK10" s="188">
        <f t="shared" si="111"/>
        <v>1.2500000000000001E-2</v>
      </c>
      <c r="CL10" s="188">
        <f t="shared" si="48"/>
        <v>0.3</v>
      </c>
      <c r="CM10" s="188">
        <f t="shared" si="134"/>
        <v>0.1</v>
      </c>
      <c r="CN10" s="465">
        <f t="shared" si="112"/>
        <v>48</v>
      </c>
      <c r="CO10" s="379">
        <f t="shared" si="49"/>
        <v>5.7</v>
      </c>
      <c r="CP10" s="379">
        <f t="shared" si="50"/>
        <v>53.7</v>
      </c>
      <c r="CQ10" s="379"/>
      <c r="CR10" s="188">
        <f t="shared" si="113"/>
        <v>0.10112359550561799</v>
      </c>
      <c r="CS10" s="149">
        <f t="shared" si="114"/>
        <v>9.1011235955056193</v>
      </c>
      <c r="CT10" s="149">
        <f t="shared" si="51"/>
        <v>4.0449438202247192</v>
      </c>
      <c r="CU10" s="188">
        <f t="shared" si="52"/>
        <v>1.8202247191011238</v>
      </c>
      <c r="CV10" s="188">
        <f t="shared" si="53"/>
        <v>1.1376404494382024</v>
      </c>
      <c r="CW10" s="379">
        <f t="shared" si="54"/>
        <v>5</v>
      </c>
      <c r="CX10" s="188">
        <f t="shared" si="55"/>
        <v>0.1648148148148148</v>
      </c>
      <c r="CY10" s="188">
        <f t="shared" si="56"/>
        <v>4.1203703703703701E-2</v>
      </c>
      <c r="CZ10" s="188">
        <f t="shared" si="57"/>
        <v>0.34697855750487328</v>
      </c>
      <c r="DA10" s="172">
        <f t="shared" si="58"/>
        <v>350</v>
      </c>
      <c r="DB10" s="379">
        <f t="shared" si="115"/>
        <v>350</v>
      </c>
      <c r="DD10" s="188">
        <f t="shared" si="59"/>
        <v>1.2130885873902635</v>
      </c>
      <c r="DE10" s="150">
        <f t="shared" si="60"/>
        <v>2.5538707102952913</v>
      </c>
      <c r="DF10" s="150">
        <f t="shared" si="61"/>
        <v>0.54216249715765974</v>
      </c>
      <c r="DG10" s="150"/>
      <c r="DH10" s="150">
        <f t="shared" si="62"/>
        <v>2.1052631578947367</v>
      </c>
      <c r="DI10" s="314">
        <f t="shared" si="63"/>
        <v>57</v>
      </c>
      <c r="DJ10" s="456">
        <f t="shared" si="64"/>
        <v>0.36842105263157893</v>
      </c>
      <c r="DL10" s="150">
        <f t="shared" si="65"/>
        <v>0.43643578047198472</v>
      </c>
      <c r="DM10" s="150">
        <f t="shared" si="66"/>
        <v>1</v>
      </c>
      <c r="DN10" s="150">
        <f t="shared" si="67"/>
        <v>1.0325714285714285</v>
      </c>
      <c r="DP10" s="314">
        <f t="shared" si="68"/>
        <v>60</v>
      </c>
      <c r="DQ10" s="144">
        <f t="shared" si="69"/>
        <v>57</v>
      </c>
      <c r="DS10">
        <f t="shared" si="116"/>
        <v>60</v>
      </c>
      <c r="DT10" s="144">
        <f t="shared" si="70"/>
        <v>57</v>
      </c>
      <c r="DU10" s="144"/>
      <c r="DV10" s="5">
        <f t="shared" si="117"/>
        <v>17.543859649122805</v>
      </c>
      <c r="DW10" s="5">
        <f t="shared" si="71"/>
        <v>0.25</v>
      </c>
      <c r="DX10" s="5">
        <f t="shared" si="118"/>
        <v>17.293859649122805</v>
      </c>
      <c r="DY10" s="150">
        <f t="shared" si="119"/>
        <v>1.4250000000000002E-2</v>
      </c>
      <c r="EA10" s="5">
        <f t="shared" si="72"/>
        <v>0.3</v>
      </c>
      <c r="EB10" s="5">
        <f t="shared" si="73"/>
        <v>3.90625E-2</v>
      </c>
      <c r="EC10" s="5">
        <f t="shared" si="74"/>
        <v>4.5036092836257292E-2</v>
      </c>
      <c r="ED10" s="5"/>
      <c r="EE10" s="150">
        <f t="shared" si="120"/>
        <v>6.8920243760451111E-2</v>
      </c>
      <c r="EF10" s="150">
        <f t="shared" si="75"/>
        <v>0.57322188839343302</v>
      </c>
      <c r="EG10" s="150">
        <f t="shared" si="76"/>
        <v>0.12813195152323797</v>
      </c>
      <c r="EH10" s="150"/>
      <c r="EI10" s="456">
        <f t="shared" si="77"/>
        <v>9.5000000000000005E-5</v>
      </c>
      <c r="EJ10" s="456">
        <f t="shared" si="78"/>
        <v>6.1218000000000002E-2</v>
      </c>
      <c r="EK10" s="456">
        <f t="shared" si="79"/>
        <v>7.1249999999999994E-3</v>
      </c>
      <c r="EL10" s="456">
        <f t="shared" si="80"/>
        <v>1.6437033000000004E-2</v>
      </c>
      <c r="EM10">
        <f t="shared" si="81"/>
        <v>2.1600000000000001E-2</v>
      </c>
      <c r="EN10" s="144">
        <f t="shared" si="121"/>
        <v>28.725000000000001</v>
      </c>
      <c r="EO10">
        <f t="shared" si="82"/>
        <v>0.1065030869876795</v>
      </c>
      <c r="EP10" s="144">
        <f t="shared" si="122"/>
        <v>106.50308698767951</v>
      </c>
      <c r="EQ10" s="150">
        <f t="shared" si="83"/>
        <v>3.7274999999999996E-2</v>
      </c>
      <c r="ER10" s="150">
        <f t="shared" si="84"/>
        <v>5.5468749999999997E-3</v>
      </c>
      <c r="ES10" s="456"/>
      <c r="EU10" s="144">
        <f t="shared" si="123"/>
        <v>42.821874999999999</v>
      </c>
      <c r="EV10" s="456">
        <f t="shared" si="85"/>
        <v>1.4249999999999999E-4</v>
      </c>
      <c r="EW10" s="456">
        <f t="shared" si="124"/>
        <v>9.8575000000000017E-3</v>
      </c>
      <c r="EX10" s="456">
        <f t="shared" si="86"/>
        <v>8.2088985005767033E-5</v>
      </c>
      <c r="EY10" s="456">
        <f t="shared" si="87"/>
        <v>1.2264706040097332E-3</v>
      </c>
      <c r="EZ10" s="456">
        <f t="shared" si="88"/>
        <v>1.3739342647430236E-2</v>
      </c>
      <c r="FA10" s="538">
        <f t="shared" si="89"/>
        <v>5.7000000000000003E-5</v>
      </c>
      <c r="FB10" s="144">
        <f t="shared" si="125"/>
        <v>13.796342647430237</v>
      </c>
      <c r="FC10" s="150">
        <f t="shared" si="126"/>
        <v>0.16312130463510974</v>
      </c>
      <c r="FD10" s="5">
        <f t="shared" si="127"/>
        <v>0.4</v>
      </c>
      <c r="FE10" s="150">
        <f t="shared" si="128"/>
        <v>0.71032652593243872</v>
      </c>
      <c r="FF10" s="5">
        <f t="shared" si="129"/>
        <v>71.032652593243867</v>
      </c>
      <c r="FG10">
        <f t="shared" si="130"/>
        <v>5</v>
      </c>
      <c r="FI10" s="59">
        <f t="shared" si="90"/>
        <v>-50</v>
      </c>
      <c r="FJ10">
        <f t="shared" si="91"/>
        <v>-50</v>
      </c>
      <c r="FL10">
        <f t="shared" si="92"/>
        <v>0.12328828005937953</v>
      </c>
    </row>
    <row r="11" spans="2:169">
      <c r="E11" s="147">
        <v>6</v>
      </c>
      <c r="F11" s="188">
        <f t="shared" si="131"/>
        <v>7.1999999999999995E-2</v>
      </c>
      <c r="G11" s="188">
        <f t="shared" si="93"/>
        <v>1.4999999999999999E-2</v>
      </c>
      <c r="H11" s="188">
        <f t="shared" si="0"/>
        <v>0.36</v>
      </c>
      <c r="I11" s="188">
        <f t="shared" si="132"/>
        <v>0.12</v>
      </c>
      <c r="J11" s="465">
        <f t="shared" si="1"/>
        <v>47.961732285704137</v>
      </c>
      <c r="K11" s="379">
        <f t="shared" si="2"/>
        <v>5.7145999279017685</v>
      </c>
      <c r="L11" s="149">
        <f t="shared" si="3"/>
        <v>53.676332213605903</v>
      </c>
      <c r="M11" s="379"/>
      <c r="N11" s="188">
        <f t="shared" si="4"/>
        <v>0.1064640539364802</v>
      </c>
      <c r="O11" s="149">
        <f t="shared" si="94"/>
        <v>9.57412584928543</v>
      </c>
      <c r="P11" s="149">
        <f t="shared" si="5"/>
        <v>4.255167044126857</v>
      </c>
      <c r="Q11" s="188">
        <f t="shared" si="6"/>
        <v>1.914825169857086</v>
      </c>
      <c r="R11" s="188">
        <f t="shared" si="7"/>
        <v>1.1967657311606787</v>
      </c>
      <c r="S11" s="379">
        <f t="shared" si="8"/>
        <v>5</v>
      </c>
      <c r="T11" s="188">
        <f t="shared" si="9"/>
        <v>0.1880067202306876</v>
      </c>
      <c r="U11" s="188">
        <f t="shared" si="10"/>
        <v>4.7039181765349138E-2</v>
      </c>
      <c r="V11" s="188">
        <f t="shared" si="11"/>
        <v>0.39479240388340131</v>
      </c>
      <c r="W11" s="172">
        <f t="shared" si="12"/>
        <v>350</v>
      </c>
      <c r="X11" s="379">
        <f t="shared" si="95"/>
        <v>350</v>
      </c>
      <c r="Z11" s="188">
        <f t="shared" si="13"/>
        <v>1.2157620126076734</v>
      </c>
      <c r="AA11" s="150">
        <f t="shared" si="14"/>
        <v>2.5529598458957707</v>
      </c>
      <c r="AB11" s="150">
        <f t="shared" si="15"/>
        <v>0.54316353006174312</v>
      </c>
      <c r="AC11" s="150"/>
      <c r="AD11" s="150">
        <f t="shared" si="16"/>
        <v>2.0998845328453366</v>
      </c>
      <c r="AE11" s="314">
        <f t="shared" si="17"/>
        <v>68.575199134821219</v>
      </c>
      <c r="AF11" s="456">
        <f t="shared" si="18"/>
        <v>0.36747979324793389</v>
      </c>
      <c r="AH11" s="150">
        <f t="shared" si="19"/>
        <v>0.47809144373375745</v>
      </c>
      <c r="AI11" s="150">
        <f t="shared" si="20"/>
        <v>1</v>
      </c>
      <c r="AJ11" s="150">
        <f t="shared" si="21"/>
        <v>1.0391858280770407</v>
      </c>
      <c r="AL11" s="314">
        <f t="shared" si="22"/>
        <v>72</v>
      </c>
      <c r="AM11" s="144">
        <f t="shared" si="23"/>
        <v>68.575199134821219</v>
      </c>
      <c r="AO11">
        <f t="shared" si="96"/>
        <v>72</v>
      </c>
      <c r="AP11" s="144">
        <f t="shared" si="24"/>
        <v>68.575199134821219</v>
      </c>
      <c r="AQ11" s="144"/>
      <c r="AR11" s="5">
        <f t="shared" si="97"/>
        <v>14.582531478092617</v>
      </c>
      <c r="AS11" s="5">
        <f t="shared" si="25"/>
        <v>0.25019947003825832</v>
      </c>
      <c r="AT11" s="5">
        <f t="shared" si="98"/>
        <v>14.33233200805436</v>
      </c>
      <c r="AU11" s="150">
        <f t="shared" si="99"/>
        <v>1.7157478481300299E-2</v>
      </c>
      <c r="AW11" s="5">
        <f t="shared" si="26"/>
        <v>0.36028723685509195</v>
      </c>
      <c r="AX11" s="5">
        <f t="shared" si="27"/>
        <v>4.6912400632173432E-2</v>
      </c>
      <c r="AY11" s="5">
        <f t="shared" si="28"/>
        <v>4.4824273410344596E-2</v>
      </c>
      <c r="AZ11" s="5"/>
      <c r="BA11" s="150">
        <f t="shared" si="100"/>
        <v>7.5625124752074072E-2</v>
      </c>
      <c r="BB11" s="150">
        <f t="shared" si="29"/>
        <v>0.57237590256715609</v>
      </c>
      <c r="BC11" s="150">
        <f t="shared" si="30"/>
        <v>0.12794284880912901</v>
      </c>
      <c r="BD11" s="150"/>
      <c r="BE11" s="456">
        <f t="shared" si="31"/>
        <v>1.1438318987533534E-4</v>
      </c>
      <c r="BF11" s="456">
        <f t="shared" si="32"/>
        <v>6.9016221944528319E-2</v>
      </c>
      <c r="BG11" s="456">
        <f t="shared" si="33"/>
        <v>8.2224633558578633E-2</v>
      </c>
      <c r="BH11" s="456">
        <f t="shared" si="34"/>
        <v>1.9757534171853122E-2</v>
      </c>
      <c r="BI11">
        <f t="shared" si="35"/>
        <v>2.158277952856686E-2</v>
      </c>
      <c r="BJ11" s="144">
        <f t="shared" si="101"/>
        <v>103.80741308714551</v>
      </c>
      <c r="BK11">
        <f t="shared" si="36"/>
        <v>8.8921439425133725E-2</v>
      </c>
      <c r="BL11" s="144">
        <f t="shared" si="102"/>
        <v>88.921439425133727</v>
      </c>
      <c r="BM11" s="150">
        <f t="shared" si="37"/>
        <v>4.4729999999999992E-2</v>
      </c>
      <c r="BN11" s="150">
        <f t="shared" si="38"/>
        <v>6.6562499999999998E-3</v>
      </c>
      <c r="BO11" s="456"/>
      <c r="BQ11" s="144">
        <f t="shared" si="103"/>
        <v>51.386249999999997</v>
      </c>
      <c r="BR11" s="456">
        <f t="shared" si="39"/>
        <v>1.7157478481300299E-4</v>
      </c>
      <c r="BS11" s="456">
        <f t="shared" si="104"/>
        <v>9.828425215186995E-3</v>
      </c>
      <c r="BT11" s="456">
        <f t="shared" si="40"/>
        <v>8.1846862806978223E-5</v>
      </c>
      <c r="BU11" s="456">
        <f t="shared" si="41"/>
        <v>1.9470974943149161E-3</v>
      </c>
      <c r="BV11" s="456">
        <f t="shared" si="42"/>
        <v>1.4460250486675928E-2</v>
      </c>
      <c r="BW11" s="538">
        <f t="shared" si="43"/>
        <v>6.8575199134821222E-5</v>
      </c>
      <c r="BX11" s="144">
        <f t="shared" si="105"/>
        <v>14.528825685810748</v>
      </c>
      <c r="BY11" s="150">
        <f t="shared" si="106"/>
        <v>0.15483651511094448</v>
      </c>
      <c r="BZ11" s="5">
        <f t="shared" si="107"/>
        <v>0.48</v>
      </c>
      <c r="CA11" s="150">
        <f t="shared" si="108"/>
        <v>0.75610017472941804</v>
      </c>
      <c r="CB11" s="5">
        <f t="shared" si="109"/>
        <v>75.610017472941806</v>
      </c>
      <c r="CC11">
        <f t="shared" si="110"/>
        <v>6</v>
      </c>
      <c r="CE11" s="59">
        <f t="shared" si="44"/>
        <v>-50</v>
      </c>
      <c r="CF11">
        <f t="shared" si="45"/>
        <v>-50</v>
      </c>
      <c r="CG11" s="150">
        <f t="shared" si="46"/>
        <v>0.14794593607125542</v>
      </c>
      <c r="CH11" s="150">
        <f t="shared" si="47"/>
        <v>8.026272648719264E-2</v>
      </c>
      <c r="CI11" s="147">
        <v>6</v>
      </c>
      <c r="CJ11" s="188">
        <f t="shared" si="133"/>
        <v>7.1999999999999995E-2</v>
      </c>
      <c r="CK11" s="188">
        <f t="shared" si="111"/>
        <v>1.4999999999999999E-2</v>
      </c>
      <c r="CL11" s="188">
        <f t="shared" si="48"/>
        <v>0.36</v>
      </c>
      <c r="CM11" s="188">
        <f t="shared" si="134"/>
        <v>0.12</v>
      </c>
      <c r="CN11" s="465">
        <f t="shared" si="112"/>
        <v>48</v>
      </c>
      <c r="CO11" s="379">
        <f t="shared" si="49"/>
        <v>5.7</v>
      </c>
      <c r="CP11" s="379">
        <f t="shared" si="50"/>
        <v>53.7</v>
      </c>
      <c r="CQ11" s="379"/>
      <c r="CR11" s="188">
        <f t="shared" si="113"/>
        <v>0.10112359550561799</v>
      </c>
      <c r="CS11" s="149">
        <f t="shared" si="114"/>
        <v>9.1011235955056193</v>
      </c>
      <c r="CT11" s="149">
        <f t="shared" si="51"/>
        <v>4.0449438202247192</v>
      </c>
      <c r="CU11" s="188">
        <f t="shared" si="52"/>
        <v>1.8202247191011238</v>
      </c>
      <c r="CV11" s="188">
        <f t="shared" si="53"/>
        <v>1.1376404494382024</v>
      </c>
      <c r="CW11" s="379">
        <f t="shared" si="54"/>
        <v>5</v>
      </c>
      <c r="CX11" s="188">
        <f t="shared" si="55"/>
        <v>0.19777777777777775</v>
      </c>
      <c r="CY11" s="188">
        <f t="shared" si="56"/>
        <v>4.9444444444444437E-2</v>
      </c>
      <c r="CZ11" s="188">
        <f t="shared" si="57"/>
        <v>0.4163742690058479</v>
      </c>
      <c r="DA11" s="172">
        <f t="shared" si="58"/>
        <v>350</v>
      </c>
      <c r="DB11" s="379">
        <f t="shared" si="115"/>
        <v>350</v>
      </c>
      <c r="DD11" s="188">
        <f t="shared" si="59"/>
        <v>1.2130885873902635</v>
      </c>
      <c r="DE11" s="150">
        <f t="shared" si="60"/>
        <v>2.5538707102952913</v>
      </c>
      <c r="DF11" s="150">
        <f t="shared" si="61"/>
        <v>0.54216249715765974</v>
      </c>
      <c r="DG11" s="150"/>
      <c r="DH11" s="150">
        <f t="shared" si="62"/>
        <v>2.1052631578947367</v>
      </c>
      <c r="DI11" s="314">
        <f t="shared" si="63"/>
        <v>68.400000000000006</v>
      </c>
      <c r="DJ11" s="456">
        <f t="shared" si="64"/>
        <v>0.36842105263157893</v>
      </c>
      <c r="DL11" s="150">
        <f t="shared" si="65"/>
        <v>0.47809144373375745</v>
      </c>
      <c r="DM11" s="150">
        <f t="shared" si="66"/>
        <v>1</v>
      </c>
      <c r="DN11" s="150">
        <f t="shared" si="67"/>
        <v>1.0390857142857144</v>
      </c>
      <c r="DP11" s="314">
        <f t="shared" si="68"/>
        <v>72</v>
      </c>
      <c r="DQ11" s="144">
        <f t="shared" si="69"/>
        <v>68.400000000000006</v>
      </c>
      <c r="DS11">
        <f t="shared" si="116"/>
        <v>72</v>
      </c>
      <c r="DT11" s="144">
        <f t="shared" si="70"/>
        <v>68.400000000000006</v>
      </c>
      <c r="DU11" s="144"/>
      <c r="DV11" s="5">
        <f t="shared" si="117"/>
        <v>14.619883040935672</v>
      </c>
      <c r="DW11" s="5">
        <f t="shared" si="71"/>
        <v>0.25</v>
      </c>
      <c r="DX11" s="5">
        <f t="shared" si="118"/>
        <v>14.369883040935672</v>
      </c>
      <c r="DY11" s="150">
        <f t="shared" si="119"/>
        <v>1.7100000000000001E-2</v>
      </c>
      <c r="EA11" s="5">
        <f t="shared" si="72"/>
        <v>0.36</v>
      </c>
      <c r="EB11" s="5">
        <f t="shared" si="73"/>
        <v>4.6875E-2</v>
      </c>
      <c r="EC11" s="5">
        <f t="shared" si="74"/>
        <v>4.4905884502923966E-2</v>
      </c>
      <c r="ED11" s="5"/>
      <c r="EE11" s="150">
        <f t="shared" si="120"/>
        <v>7.5498344352707497E-2</v>
      </c>
      <c r="EF11" s="150">
        <f t="shared" si="75"/>
        <v>0.57239263913273142</v>
      </c>
      <c r="EG11" s="150">
        <f t="shared" si="76"/>
        <v>0.12794658992378702</v>
      </c>
      <c r="EH11" s="150"/>
      <c r="EI11" s="456">
        <f t="shared" si="77"/>
        <v>1.1400000000000001E-4</v>
      </c>
      <c r="EJ11" s="456">
        <f t="shared" si="78"/>
        <v>7.3461600000000016E-2</v>
      </c>
      <c r="EK11" s="456">
        <f t="shared" si="79"/>
        <v>8.5500000000000003E-3</v>
      </c>
      <c r="EL11" s="456">
        <f t="shared" si="80"/>
        <v>1.9724439600000008E-2</v>
      </c>
      <c r="EM11">
        <f t="shared" si="81"/>
        <v>2.1600000000000001E-2</v>
      </c>
      <c r="EN11" s="144">
        <f t="shared" si="121"/>
        <v>30.150000000000002</v>
      </c>
      <c r="EO11">
        <f t="shared" si="82"/>
        <v>0.12348416434146905</v>
      </c>
      <c r="EP11" s="144">
        <f t="shared" si="122"/>
        <v>123.48416434146905</v>
      </c>
      <c r="EQ11" s="150">
        <f t="shared" si="83"/>
        <v>4.4729999999999992E-2</v>
      </c>
      <c r="ER11" s="150">
        <f t="shared" si="84"/>
        <v>6.6562499999999998E-3</v>
      </c>
      <c r="ES11" s="456"/>
      <c r="EU11" s="144">
        <f t="shared" si="123"/>
        <v>51.386249999999997</v>
      </c>
      <c r="EV11" s="456">
        <f t="shared" si="85"/>
        <v>1.7100000000000001E-4</v>
      </c>
      <c r="EW11" s="456">
        <f t="shared" si="124"/>
        <v>9.8289999999999975E-3</v>
      </c>
      <c r="EX11" s="456">
        <f t="shared" si="86"/>
        <v>8.1851649365628583E-5</v>
      </c>
      <c r="EY11" s="456">
        <f t="shared" si="87"/>
        <v>1.9346849738873777E-3</v>
      </c>
      <c r="EZ11" s="456">
        <f t="shared" si="88"/>
        <v>1.4447833892537492E-2</v>
      </c>
      <c r="FA11" s="538">
        <f t="shared" si="89"/>
        <v>6.8400000000000009E-5</v>
      </c>
      <c r="FB11" s="144">
        <f t="shared" si="125"/>
        <v>14.516233892537493</v>
      </c>
      <c r="FC11" s="150">
        <f t="shared" si="126"/>
        <v>0.18938664823400653</v>
      </c>
      <c r="FD11" s="5">
        <f t="shared" si="127"/>
        <v>0.48</v>
      </c>
      <c r="FE11" s="150">
        <f t="shared" si="128"/>
        <v>0.71707435645205742</v>
      </c>
      <c r="FF11" s="5">
        <f t="shared" si="129"/>
        <v>71.707435645205749</v>
      </c>
      <c r="FG11">
        <f t="shared" si="130"/>
        <v>6</v>
      </c>
      <c r="FI11" s="59">
        <f t="shared" si="90"/>
        <v>-50</v>
      </c>
      <c r="FJ11">
        <f t="shared" si="91"/>
        <v>-50</v>
      </c>
      <c r="FL11">
        <f t="shared" si="92"/>
        <v>0.14794593607125542</v>
      </c>
    </row>
    <row r="12" spans="2:169">
      <c r="E12" s="147">
        <v>7</v>
      </c>
      <c r="F12" s="188">
        <f t="shared" si="131"/>
        <v>8.4000000000000005E-2</v>
      </c>
      <c r="G12" s="188">
        <f t="shared" si="93"/>
        <v>1.7500000000000002E-2</v>
      </c>
      <c r="H12" s="188">
        <f t="shared" si="0"/>
        <v>0.42000000000000004</v>
      </c>
      <c r="I12" s="188">
        <f t="shared" si="132"/>
        <v>0.14000000000000001</v>
      </c>
      <c r="J12" s="465">
        <f t="shared" si="1"/>
        <v>47.961732285704137</v>
      </c>
      <c r="K12" s="379">
        <f t="shared" si="2"/>
        <v>5.7145999279017685</v>
      </c>
      <c r="L12" s="149">
        <f t="shared" si="3"/>
        <v>53.676332213605903</v>
      </c>
      <c r="M12" s="379"/>
      <c r="N12" s="188">
        <f t="shared" si="4"/>
        <v>0.1064640539364802</v>
      </c>
      <c r="O12" s="149">
        <f t="shared" si="94"/>
        <v>9.57412584928543</v>
      </c>
      <c r="P12" s="149">
        <f t="shared" si="5"/>
        <v>4.255167044126857</v>
      </c>
      <c r="Q12" s="188">
        <f t="shared" si="6"/>
        <v>1.914825169857086</v>
      </c>
      <c r="R12" s="188">
        <f t="shared" si="7"/>
        <v>1.1967657311606787</v>
      </c>
      <c r="S12" s="379">
        <f t="shared" si="8"/>
        <v>5</v>
      </c>
      <c r="T12" s="188">
        <f t="shared" si="9"/>
        <v>0.21934117360246888</v>
      </c>
      <c r="U12" s="188">
        <f t="shared" si="10"/>
        <v>5.487904539290734E-2</v>
      </c>
      <c r="V12" s="188">
        <f t="shared" si="11"/>
        <v>0.46059113786396833</v>
      </c>
      <c r="W12" s="172">
        <f t="shared" si="12"/>
        <v>350</v>
      </c>
      <c r="X12" s="379">
        <f t="shared" si="95"/>
        <v>350</v>
      </c>
      <c r="Z12" s="188">
        <f t="shared" si="13"/>
        <v>1.2157620126076734</v>
      </c>
      <c r="AA12" s="150">
        <f t="shared" si="14"/>
        <v>2.5529598458957707</v>
      </c>
      <c r="AB12" s="150">
        <f t="shared" si="15"/>
        <v>0.54316353006174312</v>
      </c>
      <c r="AC12" s="150"/>
      <c r="AD12" s="150">
        <f t="shared" si="16"/>
        <v>2.0998845328453366</v>
      </c>
      <c r="AE12" s="314">
        <f t="shared" si="17"/>
        <v>80.004398990624779</v>
      </c>
      <c r="AF12" s="456">
        <f t="shared" si="18"/>
        <v>0.36747979324793389</v>
      </c>
      <c r="AH12" s="150">
        <f t="shared" si="19"/>
        <v>0.5163977794943222</v>
      </c>
      <c r="AI12" s="150">
        <f t="shared" si="20"/>
        <v>1</v>
      </c>
      <c r="AJ12" s="150">
        <f t="shared" si="21"/>
        <v>1.0457167994232142</v>
      </c>
      <c r="AL12" s="314">
        <f t="shared" si="22"/>
        <v>84</v>
      </c>
      <c r="AM12" s="144">
        <f t="shared" si="23"/>
        <v>80.004398990624779</v>
      </c>
      <c r="AO12">
        <f t="shared" si="96"/>
        <v>84</v>
      </c>
      <c r="AP12" s="144">
        <f t="shared" si="24"/>
        <v>80.004398990624779</v>
      </c>
      <c r="AQ12" s="144"/>
      <c r="AR12" s="5">
        <f t="shared" si="97"/>
        <v>12.499312695507953</v>
      </c>
      <c r="AS12" s="5">
        <f t="shared" si="25"/>
        <v>0.25019947003825832</v>
      </c>
      <c r="AT12" s="5">
        <f t="shared" si="98"/>
        <v>12.249113225469696</v>
      </c>
      <c r="AU12" s="150">
        <f t="shared" si="99"/>
        <v>2.0017058228183688E-2</v>
      </c>
      <c r="AW12" s="5">
        <f t="shared" si="26"/>
        <v>0.42033510966427401</v>
      </c>
      <c r="AX12" s="5">
        <f t="shared" si="27"/>
        <v>5.4731134070869006E-2</v>
      </c>
      <c r="AY12" s="5">
        <f t="shared" si="28"/>
        <v>4.4693857212829112E-2</v>
      </c>
      <c r="AZ12" s="5"/>
      <c r="BA12" s="150">
        <f t="shared" si="100"/>
        <v>8.1684470633823031E-2</v>
      </c>
      <c r="BB12" s="150">
        <f t="shared" si="29"/>
        <v>0.57154263234740887</v>
      </c>
      <c r="BC12" s="150">
        <f t="shared" si="30"/>
        <v>0.12775658840706788</v>
      </c>
      <c r="BD12" s="150"/>
      <c r="BE12" s="456">
        <f t="shared" si="31"/>
        <v>1.3344705485455793E-4</v>
      </c>
      <c r="BF12" s="456">
        <f t="shared" si="32"/>
        <v>8.0518925601949731E-2</v>
      </c>
      <c r="BG12" s="456">
        <f t="shared" si="33"/>
        <v>9.5928739151675102E-2</v>
      </c>
      <c r="BH12" s="456">
        <f t="shared" si="34"/>
        <v>2.3050456533828648E-2</v>
      </c>
      <c r="BI12">
        <f t="shared" si="35"/>
        <v>2.158277952856686E-2</v>
      </c>
      <c r="BJ12" s="144">
        <f t="shared" si="101"/>
        <v>117.51151868024195</v>
      </c>
      <c r="BK12">
        <f t="shared" si="36"/>
        <v>0.10374214924986899</v>
      </c>
      <c r="BL12" s="144">
        <f t="shared" si="102"/>
        <v>103.74214924986899</v>
      </c>
      <c r="BM12" s="150">
        <f t="shared" si="37"/>
        <v>5.2184999999999995E-2</v>
      </c>
      <c r="BN12" s="150">
        <f t="shared" si="38"/>
        <v>7.765625E-3</v>
      </c>
      <c r="BO12" s="456"/>
      <c r="BQ12" s="144">
        <f t="shared" si="103"/>
        <v>59.950624999999995</v>
      </c>
      <c r="BR12" s="456">
        <f t="shared" si="39"/>
        <v>2.001705822818369E-4</v>
      </c>
      <c r="BS12" s="456">
        <f t="shared" si="104"/>
        <v>9.7998294177181616E-3</v>
      </c>
      <c r="BT12" s="456">
        <f t="shared" si="40"/>
        <v>8.1608729407064759E-5</v>
      </c>
      <c r="BU12" s="456">
        <f t="shared" si="41"/>
        <v>2.8625604851090594E-3</v>
      </c>
      <c r="BV12" s="456">
        <f t="shared" si="42"/>
        <v>1.5376156621159145E-2</v>
      </c>
      <c r="BW12" s="538">
        <f t="shared" si="43"/>
        <v>8.0004398990624788E-5</v>
      </c>
      <c r="BX12" s="144">
        <f t="shared" si="105"/>
        <v>15.45616102014977</v>
      </c>
      <c r="BY12" s="150">
        <f t="shared" si="106"/>
        <v>0.17914893527001877</v>
      </c>
      <c r="BZ12" s="5">
        <f t="shared" si="107"/>
        <v>0.56000000000000005</v>
      </c>
      <c r="CA12" s="150">
        <f t="shared" si="108"/>
        <v>0.75762809533835862</v>
      </c>
      <c r="CB12" s="5">
        <f t="shared" si="109"/>
        <v>75.762809533835863</v>
      </c>
      <c r="CC12">
        <f t="shared" si="110"/>
        <v>7.0000000000000009</v>
      </c>
      <c r="CE12" s="59">
        <f t="shared" si="44"/>
        <v>-50</v>
      </c>
      <c r="CF12">
        <f t="shared" si="45"/>
        <v>-50</v>
      </c>
      <c r="CG12" s="150">
        <f t="shared" si="46"/>
        <v>0.17260359208313136</v>
      </c>
      <c r="CH12" s="150">
        <f t="shared" si="47"/>
        <v>9.3639847568391416E-2</v>
      </c>
      <c r="CI12" s="147">
        <v>7</v>
      </c>
      <c r="CJ12" s="188">
        <f t="shared" si="133"/>
        <v>8.4000000000000005E-2</v>
      </c>
      <c r="CK12" s="188">
        <f t="shared" si="111"/>
        <v>1.7500000000000002E-2</v>
      </c>
      <c r="CL12" s="188">
        <f t="shared" si="48"/>
        <v>0.42000000000000004</v>
      </c>
      <c r="CM12" s="188">
        <f t="shared" si="134"/>
        <v>0.14000000000000001</v>
      </c>
      <c r="CN12" s="465">
        <f t="shared" si="112"/>
        <v>48</v>
      </c>
      <c r="CO12" s="379">
        <f t="shared" si="49"/>
        <v>5.7</v>
      </c>
      <c r="CP12" s="379">
        <f t="shared" si="50"/>
        <v>53.7</v>
      </c>
      <c r="CQ12" s="379"/>
      <c r="CR12" s="188">
        <f t="shared" si="113"/>
        <v>0.10112359550561799</v>
      </c>
      <c r="CS12" s="149">
        <f t="shared" si="114"/>
        <v>9.1011235955056193</v>
      </c>
      <c r="CT12" s="149">
        <f t="shared" si="51"/>
        <v>4.0449438202247192</v>
      </c>
      <c r="CU12" s="188">
        <f t="shared" si="52"/>
        <v>1.8202247191011238</v>
      </c>
      <c r="CV12" s="188">
        <f t="shared" si="53"/>
        <v>1.1376404494382024</v>
      </c>
      <c r="CW12" s="379">
        <f t="shared" si="54"/>
        <v>5</v>
      </c>
      <c r="CX12" s="188">
        <f t="shared" si="55"/>
        <v>0.23074074074074075</v>
      </c>
      <c r="CY12" s="188">
        <f t="shared" si="56"/>
        <v>5.7685185185185187E-2</v>
      </c>
      <c r="CZ12" s="188">
        <f t="shared" si="57"/>
        <v>0.48576998050682263</v>
      </c>
      <c r="DA12" s="172">
        <f t="shared" si="58"/>
        <v>350</v>
      </c>
      <c r="DB12" s="379">
        <f t="shared" si="115"/>
        <v>350</v>
      </c>
      <c r="DD12" s="188">
        <f t="shared" si="59"/>
        <v>1.2130885873902635</v>
      </c>
      <c r="DE12" s="150">
        <f t="shared" si="60"/>
        <v>2.5538707102952913</v>
      </c>
      <c r="DF12" s="150">
        <f t="shared" si="61"/>
        <v>0.54216249715765974</v>
      </c>
      <c r="DG12" s="150"/>
      <c r="DH12" s="150">
        <f t="shared" si="62"/>
        <v>2.1052631578947367</v>
      </c>
      <c r="DI12" s="314">
        <f t="shared" si="63"/>
        <v>79.800000000000011</v>
      </c>
      <c r="DJ12" s="456">
        <f t="shared" si="64"/>
        <v>0.36842105263157893</v>
      </c>
      <c r="DL12" s="150">
        <f t="shared" si="65"/>
        <v>0.5163977794943222</v>
      </c>
      <c r="DM12" s="150">
        <f t="shared" si="66"/>
        <v>1</v>
      </c>
      <c r="DN12" s="150">
        <f t="shared" si="67"/>
        <v>1.0456000000000001</v>
      </c>
      <c r="DP12" s="314">
        <f t="shared" si="68"/>
        <v>84</v>
      </c>
      <c r="DQ12" s="144">
        <f t="shared" si="69"/>
        <v>79.800000000000011</v>
      </c>
      <c r="DS12">
        <f t="shared" si="116"/>
        <v>84</v>
      </c>
      <c r="DT12" s="144">
        <f t="shared" si="70"/>
        <v>79.800000000000011</v>
      </c>
      <c r="DU12" s="144"/>
      <c r="DV12" s="5">
        <f t="shared" si="117"/>
        <v>12.531328320802002</v>
      </c>
      <c r="DW12" s="5">
        <f t="shared" si="71"/>
        <v>0.25</v>
      </c>
      <c r="DX12" s="5">
        <f t="shared" si="118"/>
        <v>12.281328320802002</v>
      </c>
      <c r="DY12" s="150">
        <f t="shared" si="119"/>
        <v>1.9950000000000006E-2</v>
      </c>
      <c r="EA12" s="5">
        <f t="shared" si="72"/>
        <v>0.42000000000000004</v>
      </c>
      <c r="EB12" s="5">
        <f t="shared" si="73"/>
        <v>5.4687500000000007E-2</v>
      </c>
      <c r="EC12" s="5">
        <f t="shared" si="74"/>
        <v>4.4775676169590634E-2</v>
      </c>
      <c r="ED12" s="5"/>
      <c r="EE12" s="150">
        <f t="shared" si="120"/>
        <v>8.1547532151500471E-2</v>
      </c>
      <c r="EF12" s="150">
        <f t="shared" si="75"/>
        <v>0.57156218675952775</v>
      </c>
      <c r="EG12" s="150">
        <f t="shared" si="76"/>
        <v>0.1277609593933062</v>
      </c>
      <c r="EH12" s="150"/>
      <c r="EI12" s="456">
        <f t="shared" si="77"/>
        <v>1.3300000000000006E-4</v>
      </c>
      <c r="EJ12" s="456">
        <f t="shared" si="78"/>
        <v>8.5705200000000023E-2</v>
      </c>
      <c r="EK12" s="456">
        <f t="shared" si="79"/>
        <v>9.9749999999999995E-3</v>
      </c>
      <c r="EL12" s="456">
        <f t="shared" si="80"/>
        <v>2.3011846200000009E-2</v>
      </c>
      <c r="EM12">
        <f t="shared" si="81"/>
        <v>2.1600000000000001E-2</v>
      </c>
      <c r="EN12" s="144">
        <f t="shared" si="121"/>
        <v>31.574999999999999</v>
      </c>
      <c r="EO12">
        <f t="shared" si="82"/>
        <v>0.14046539501885491</v>
      </c>
      <c r="EP12" s="144">
        <f t="shared" si="122"/>
        <v>140.46539501885491</v>
      </c>
      <c r="EQ12" s="150">
        <f t="shared" si="83"/>
        <v>5.2184999999999995E-2</v>
      </c>
      <c r="ER12" s="150">
        <f t="shared" si="84"/>
        <v>7.765625E-3</v>
      </c>
      <c r="ES12" s="456"/>
      <c r="EU12" s="144">
        <f t="shared" si="123"/>
        <v>59.950624999999995</v>
      </c>
      <c r="EV12" s="456">
        <f t="shared" si="85"/>
        <v>1.9950000000000008E-4</v>
      </c>
      <c r="EW12" s="456">
        <f t="shared" si="124"/>
        <v>9.8004999999999984E-3</v>
      </c>
      <c r="EX12" s="456">
        <f t="shared" si="86"/>
        <v>8.1614313725490175E-5</v>
      </c>
      <c r="EY12" s="456">
        <f t="shared" si="87"/>
        <v>2.8443119944195979E-3</v>
      </c>
      <c r="EZ12" s="456">
        <f t="shared" si="88"/>
        <v>1.5357900337669044E-2</v>
      </c>
      <c r="FA12" s="538">
        <f t="shared" si="89"/>
        <v>7.9800000000000015E-5</v>
      </c>
      <c r="FB12" s="144">
        <f t="shared" si="125"/>
        <v>15.437700337669044</v>
      </c>
      <c r="FC12" s="150">
        <f t="shared" si="126"/>
        <v>0.21585372035652392</v>
      </c>
      <c r="FD12" s="5">
        <f t="shared" si="127"/>
        <v>0.56000000000000005</v>
      </c>
      <c r="FE12" s="150">
        <f t="shared" si="128"/>
        <v>0.72178554450014909</v>
      </c>
      <c r="FF12" s="5">
        <f t="shared" si="129"/>
        <v>72.178554450014914</v>
      </c>
      <c r="FG12">
        <f t="shared" si="130"/>
        <v>7.0000000000000009</v>
      </c>
      <c r="FI12" s="59">
        <f t="shared" si="90"/>
        <v>-50</v>
      </c>
      <c r="FJ12">
        <f t="shared" si="91"/>
        <v>-50</v>
      </c>
      <c r="FL12">
        <f t="shared" si="92"/>
        <v>0.17260359208313136</v>
      </c>
    </row>
    <row r="13" spans="2:169" s="59" customFormat="1">
      <c r="E13" s="147">
        <v>8</v>
      </c>
      <c r="F13" s="188">
        <f t="shared" si="131"/>
        <v>9.6000000000000002E-2</v>
      </c>
      <c r="G13" s="188">
        <f t="shared" si="93"/>
        <v>0.02</v>
      </c>
      <c r="H13" s="188">
        <f t="shared" si="0"/>
        <v>0.48</v>
      </c>
      <c r="I13" s="188">
        <f t="shared" si="132"/>
        <v>0.16</v>
      </c>
      <c r="J13" s="465">
        <f t="shared" si="1"/>
        <v>47.961732285704137</v>
      </c>
      <c r="K13" s="379">
        <f t="shared" si="2"/>
        <v>5.7145999279017685</v>
      </c>
      <c r="L13" s="149">
        <f t="shared" si="3"/>
        <v>53.676332213605903</v>
      </c>
      <c r="M13" s="379"/>
      <c r="N13" s="188">
        <f t="shared" si="4"/>
        <v>0.1064640539364802</v>
      </c>
      <c r="O13" s="149">
        <f t="shared" si="94"/>
        <v>9.57412584928543</v>
      </c>
      <c r="P13" s="149">
        <f t="shared" si="5"/>
        <v>4.255167044126857</v>
      </c>
      <c r="Q13" s="188">
        <f t="shared" si="6"/>
        <v>1.914825169857086</v>
      </c>
      <c r="R13" s="188">
        <f t="shared" si="7"/>
        <v>1.1967657311606787</v>
      </c>
      <c r="S13" s="379">
        <f t="shared" si="8"/>
        <v>5</v>
      </c>
      <c r="T13" s="188">
        <f t="shared" si="9"/>
        <v>0.25067562697425017</v>
      </c>
      <c r="U13" s="188">
        <f t="shared" si="10"/>
        <v>6.2718909020465535E-2</v>
      </c>
      <c r="V13" s="188">
        <f t="shared" si="11"/>
        <v>0.52638987184453523</v>
      </c>
      <c r="W13" s="172">
        <f t="shared" si="12"/>
        <v>350</v>
      </c>
      <c r="X13" s="379">
        <f t="shared" si="95"/>
        <v>350</v>
      </c>
      <c r="Z13" s="188">
        <f t="shared" si="13"/>
        <v>1.2157620126076734</v>
      </c>
      <c r="AA13" s="150">
        <f t="shared" si="14"/>
        <v>2.5529598458957707</v>
      </c>
      <c r="AB13" s="150">
        <f t="shared" si="15"/>
        <v>0.54316353006174312</v>
      </c>
      <c r="AC13" s="462"/>
      <c r="AD13" s="150">
        <f t="shared" si="16"/>
        <v>2.0998845328453366</v>
      </c>
      <c r="AE13" s="314">
        <f t="shared" si="17"/>
        <v>91.433598846428296</v>
      </c>
      <c r="AF13" s="456">
        <f t="shared" si="18"/>
        <v>0.36747979324793389</v>
      </c>
      <c r="AG13"/>
      <c r="AH13" s="150">
        <f t="shared" si="19"/>
        <v>0.55205244747388338</v>
      </c>
      <c r="AI13" s="150">
        <f t="shared" si="20"/>
        <v>1</v>
      </c>
      <c r="AJ13" s="150">
        <f t="shared" si="21"/>
        <v>1.0522477707693876</v>
      </c>
      <c r="AL13" s="314">
        <f t="shared" si="22"/>
        <v>96</v>
      </c>
      <c r="AM13" s="144">
        <f t="shared" si="23"/>
        <v>91.433598846428296</v>
      </c>
      <c r="AO13">
        <f t="shared" si="96"/>
        <v>96</v>
      </c>
      <c r="AP13" s="144">
        <f t="shared" si="24"/>
        <v>91.433598846428296</v>
      </c>
      <c r="AQ13" s="144"/>
      <c r="AR13" s="5">
        <f t="shared" si="97"/>
        <v>10.936898608569463</v>
      </c>
      <c r="AS13" s="5">
        <f t="shared" si="25"/>
        <v>0.25019947003825832</v>
      </c>
      <c r="AT13" s="5">
        <f t="shared" si="98"/>
        <v>10.686699138531205</v>
      </c>
      <c r="AU13" s="150">
        <f t="shared" si="99"/>
        <v>2.2876637975067067E-2</v>
      </c>
      <c r="AW13" s="5">
        <f t="shared" si="26"/>
        <v>0.48038298247345596</v>
      </c>
      <c r="AX13" s="5">
        <f t="shared" si="27"/>
        <v>6.254986750956458E-2</v>
      </c>
      <c r="AY13" s="5">
        <f t="shared" si="28"/>
        <v>4.4563441015313648E-2</v>
      </c>
      <c r="AZ13" s="5"/>
      <c r="BA13" s="150">
        <f t="shared" si="100"/>
        <v>8.7324372266217989E-2</v>
      </c>
      <c r="BB13" s="150">
        <f t="shared" si="29"/>
        <v>0.57070814550139748</v>
      </c>
      <c r="BC13" s="150">
        <f t="shared" si="30"/>
        <v>0.12757005605325356</v>
      </c>
      <c r="BD13" s="150"/>
      <c r="BE13" s="456">
        <f t="shared" si="31"/>
        <v>1.5251091983378045E-4</v>
      </c>
      <c r="BF13" s="456">
        <f t="shared" si="32"/>
        <v>9.2021629259371102E-2</v>
      </c>
      <c r="BG13" s="456">
        <f t="shared" si="33"/>
        <v>0.10963284474477152</v>
      </c>
      <c r="BH13" s="456">
        <f t="shared" si="34"/>
        <v>2.6343378895804164E-2</v>
      </c>
      <c r="BI13">
        <f t="shared" si="35"/>
        <v>2.158277952856686E-2</v>
      </c>
      <c r="BJ13" s="144">
        <f t="shared" si="101"/>
        <v>131.21562427333839</v>
      </c>
      <c r="BK13">
        <f t="shared" si="36"/>
        <v>0.11856299334248287</v>
      </c>
      <c r="BL13" s="144">
        <f t="shared" si="102"/>
        <v>118.56299334248287</v>
      </c>
      <c r="BM13" s="150">
        <f t="shared" si="37"/>
        <v>5.9639999999999992E-2</v>
      </c>
      <c r="BN13" s="150">
        <f t="shared" si="38"/>
        <v>8.8749999999999992E-3</v>
      </c>
      <c r="BO13" s="456"/>
      <c r="BQ13" s="144">
        <f t="shared" si="103"/>
        <v>68.514999999999986</v>
      </c>
      <c r="BR13" s="456">
        <f t="shared" si="39"/>
        <v>2.2876637975067065E-4</v>
      </c>
      <c r="BS13" s="456">
        <f t="shared" si="104"/>
        <v>9.7712336202493283E-3</v>
      </c>
      <c r="BT13" s="456">
        <f t="shared" si="40"/>
        <v>8.1370596007151268E-5</v>
      </c>
      <c r="BU13" s="456">
        <f t="shared" si="41"/>
        <v>3.9970035999330198E-3</v>
      </c>
      <c r="BV13" s="456">
        <f t="shared" si="42"/>
        <v>1.6511219596881743E-2</v>
      </c>
      <c r="BW13" s="538">
        <f t="shared" si="43"/>
        <v>9.1433598846428301E-5</v>
      </c>
      <c r="BX13" s="144">
        <f t="shared" si="105"/>
        <v>16.602653195728173</v>
      </c>
      <c r="BY13" s="150">
        <f t="shared" si="106"/>
        <v>0.203680646538211</v>
      </c>
      <c r="BZ13" s="5">
        <f t="shared" si="107"/>
        <v>0.64</v>
      </c>
      <c r="CA13" s="150">
        <f t="shared" si="108"/>
        <v>0.75858087135937868</v>
      </c>
      <c r="CB13" s="5">
        <f t="shared" si="109"/>
        <v>75.858087135937865</v>
      </c>
      <c r="CC13">
        <f t="shared" si="110"/>
        <v>8</v>
      </c>
      <c r="CE13" s="59">
        <f t="shared" si="44"/>
        <v>-50</v>
      </c>
      <c r="CF13">
        <f t="shared" si="45"/>
        <v>-50</v>
      </c>
      <c r="CG13" s="150">
        <f t="shared" si="46"/>
        <v>0.19726124809500722</v>
      </c>
      <c r="CH13" s="150">
        <f t="shared" si="47"/>
        <v>0.10701696864959019</v>
      </c>
      <c r="CI13" s="147">
        <v>8</v>
      </c>
      <c r="CJ13" s="188">
        <f t="shared" si="133"/>
        <v>9.6000000000000002E-2</v>
      </c>
      <c r="CK13" s="188">
        <f t="shared" si="111"/>
        <v>0.02</v>
      </c>
      <c r="CL13" s="188">
        <f t="shared" si="48"/>
        <v>0.48</v>
      </c>
      <c r="CM13" s="188">
        <f t="shared" si="134"/>
        <v>0.16</v>
      </c>
      <c r="CN13" s="465">
        <f t="shared" si="112"/>
        <v>48</v>
      </c>
      <c r="CO13" s="379">
        <f t="shared" si="49"/>
        <v>5.7</v>
      </c>
      <c r="CP13" s="379">
        <f t="shared" si="50"/>
        <v>53.7</v>
      </c>
      <c r="CQ13" s="379"/>
      <c r="CR13" s="188">
        <f t="shared" si="113"/>
        <v>0.10112359550561799</v>
      </c>
      <c r="CS13" s="149">
        <f t="shared" si="114"/>
        <v>9.1011235955056193</v>
      </c>
      <c r="CT13" s="149">
        <f t="shared" si="51"/>
        <v>4.0449438202247192</v>
      </c>
      <c r="CU13" s="188">
        <f t="shared" si="52"/>
        <v>1.8202247191011238</v>
      </c>
      <c r="CV13" s="188">
        <f t="shared" si="53"/>
        <v>1.1376404494382024</v>
      </c>
      <c r="CW13" s="379">
        <f t="shared" si="54"/>
        <v>5</v>
      </c>
      <c r="CX13" s="188">
        <f t="shared" si="55"/>
        <v>0.26370370370370372</v>
      </c>
      <c r="CY13" s="188">
        <f t="shared" si="56"/>
        <v>6.5925925925925929E-2</v>
      </c>
      <c r="CZ13" s="188">
        <f t="shared" si="57"/>
        <v>0.55516569200779731</v>
      </c>
      <c r="DA13" s="172">
        <f t="shared" si="58"/>
        <v>350</v>
      </c>
      <c r="DB13" s="379">
        <f t="shared" si="115"/>
        <v>350</v>
      </c>
      <c r="DD13" s="188">
        <f t="shared" si="59"/>
        <v>1.2130885873902635</v>
      </c>
      <c r="DE13" s="150">
        <f t="shared" si="60"/>
        <v>2.5538707102952913</v>
      </c>
      <c r="DF13" s="150">
        <f t="shared" si="61"/>
        <v>0.54216249715765974</v>
      </c>
      <c r="DG13" s="462"/>
      <c r="DH13" s="150">
        <f t="shared" si="62"/>
        <v>2.1052631578947367</v>
      </c>
      <c r="DI13" s="314">
        <f t="shared" si="63"/>
        <v>91.2</v>
      </c>
      <c r="DJ13" s="456">
        <f t="shared" si="64"/>
        <v>0.36842105263157893</v>
      </c>
      <c r="DK13"/>
      <c r="DL13" s="150">
        <f t="shared" si="65"/>
        <v>0.55205244747388338</v>
      </c>
      <c r="DM13" s="150">
        <f t="shared" si="66"/>
        <v>1</v>
      </c>
      <c r="DN13" s="150">
        <f t="shared" si="67"/>
        <v>1.0521142857142858</v>
      </c>
      <c r="DP13" s="314">
        <f t="shared" si="68"/>
        <v>96</v>
      </c>
      <c r="DQ13" s="144">
        <f t="shared" si="69"/>
        <v>91.2</v>
      </c>
      <c r="DS13">
        <f t="shared" si="116"/>
        <v>96</v>
      </c>
      <c r="DT13" s="144">
        <f t="shared" si="70"/>
        <v>91.2</v>
      </c>
      <c r="DU13" s="144"/>
      <c r="DV13" s="5">
        <f t="shared" si="117"/>
        <v>10.964912280701753</v>
      </c>
      <c r="DW13" s="5">
        <f t="shared" si="71"/>
        <v>0.25</v>
      </c>
      <c r="DX13" s="5">
        <f t="shared" si="118"/>
        <v>10.714912280701753</v>
      </c>
      <c r="DY13" s="150">
        <f t="shared" si="119"/>
        <v>2.2800000000000001E-2</v>
      </c>
      <c r="EA13" s="5">
        <f t="shared" si="72"/>
        <v>0.48000000000000004</v>
      </c>
      <c r="EB13" s="5">
        <f t="shared" si="73"/>
        <v>6.25E-2</v>
      </c>
      <c r="EC13" s="5">
        <f t="shared" si="74"/>
        <v>4.4645467836257301E-2</v>
      </c>
      <c r="ED13" s="5"/>
      <c r="EE13" s="150">
        <f t="shared" si="120"/>
        <v>8.7177978870813466E-2</v>
      </c>
      <c r="EF13" s="150">
        <f t="shared" si="75"/>
        <v>0.57073052602198637</v>
      </c>
      <c r="EG13" s="150">
        <f t="shared" si="76"/>
        <v>0.1275750587578558</v>
      </c>
      <c r="EH13" s="150"/>
      <c r="EI13" s="456">
        <f t="shared" si="77"/>
        <v>1.5199999999999998E-4</v>
      </c>
      <c r="EJ13" s="456">
        <f t="shared" si="78"/>
        <v>9.7948800000000016E-2</v>
      </c>
      <c r="EK13" s="456">
        <f t="shared" si="79"/>
        <v>1.1399999999999999E-2</v>
      </c>
      <c r="EL13" s="456">
        <f t="shared" si="80"/>
        <v>2.6299252800000006E-2</v>
      </c>
      <c r="EM13">
        <f t="shared" si="81"/>
        <v>2.1600000000000001E-2</v>
      </c>
      <c r="EN13" s="144">
        <f t="shared" si="121"/>
        <v>33</v>
      </c>
      <c r="EO13">
        <f t="shared" si="82"/>
        <v>0.15744677902191379</v>
      </c>
      <c r="EP13" s="144">
        <f t="shared" si="122"/>
        <v>157.44677902191378</v>
      </c>
      <c r="EQ13" s="150">
        <f t="shared" si="83"/>
        <v>5.9639999999999992E-2</v>
      </c>
      <c r="ER13" s="150">
        <f t="shared" si="84"/>
        <v>8.8749999999999992E-3</v>
      </c>
      <c r="ES13" s="456"/>
      <c r="EU13" s="144">
        <f t="shared" si="123"/>
        <v>68.514999999999986</v>
      </c>
      <c r="EV13" s="456">
        <f t="shared" si="85"/>
        <v>2.2799999999999996E-4</v>
      </c>
      <c r="EW13" s="456">
        <f t="shared" si="124"/>
        <v>9.7719999999999977E-3</v>
      </c>
      <c r="EX13" s="456">
        <f t="shared" si="86"/>
        <v>8.1376978085351793E-5</v>
      </c>
      <c r="EY13" s="456">
        <f t="shared" si="87"/>
        <v>3.9715231661191204E-3</v>
      </c>
      <c r="EZ13" s="456">
        <f t="shared" si="88"/>
        <v>1.6485726524853327E-2</v>
      </c>
      <c r="FA13" s="538">
        <f t="shared" si="89"/>
        <v>9.1200000000000008E-5</v>
      </c>
      <c r="FB13" s="144">
        <f t="shared" si="125"/>
        <v>16.576926524853327</v>
      </c>
      <c r="FC13" s="150">
        <f t="shared" si="126"/>
        <v>0.24253870554676712</v>
      </c>
      <c r="FD13" s="5">
        <f t="shared" si="127"/>
        <v>0.64</v>
      </c>
      <c r="FE13" s="150">
        <f t="shared" si="128"/>
        <v>0.72518065890775296</v>
      </c>
      <c r="FF13" s="5">
        <f t="shared" si="129"/>
        <v>72.51806589077529</v>
      </c>
      <c r="FG13">
        <f t="shared" si="130"/>
        <v>8</v>
      </c>
      <c r="FI13" s="59">
        <f t="shared" si="90"/>
        <v>-50</v>
      </c>
      <c r="FJ13">
        <f t="shared" si="91"/>
        <v>-50</v>
      </c>
      <c r="FL13">
        <f t="shared" si="92"/>
        <v>0.19726124809500722</v>
      </c>
    </row>
    <row r="14" spans="2:169">
      <c r="E14" s="147">
        <v>9</v>
      </c>
      <c r="F14" s="188">
        <f t="shared" si="131"/>
        <v>0.108</v>
      </c>
      <c r="G14" s="188">
        <f t="shared" si="93"/>
        <v>2.2499999999999999E-2</v>
      </c>
      <c r="H14" s="188">
        <f t="shared" si="0"/>
        <v>0.54</v>
      </c>
      <c r="I14" s="188">
        <f t="shared" si="132"/>
        <v>0.18</v>
      </c>
      <c r="J14" s="465">
        <f t="shared" si="1"/>
        <v>47.961732285704137</v>
      </c>
      <c r="K14" s="379">
        <f t="shared" si="2"/>
        <v>5.7145999279017685</v>
      </c>
      <c r="L14" s="149">
        <f t="shared" si="3"/>
        <v>53.676332213605903</v>
      </c>
      <c r="M14" s="379"/>
      <c r="N14" s="188">
        <f t="shared" si="4"/>
        <v>0.1064640539364802</v>
      </c>
      <c r="O14" s="149">
        <f t="shared" si="94"/>
        <v>9.57412584928543</v>
      </c>
      <c r="P14" s="149">
        <f t="shared" si="5"/>
        <v>4.255167044126857</v>
      </c>
      <c r="Q14" s="188">
        <f t="shared" si="6"/>
        <v>1.914825169857086</v>
      </c>
      <c r="R14" s="188">
        <f t="shared" si="7"/>
        <v>1.1967657311606787</v>
      </c>
      <c r="S14" s="379">
        <f t="shared" si="8"/>
        <v>5</v>
      </c>
      <c r="T14" s="188">
        <f t="shared" si="9"/>
        <v>0.28201008034603137</v>
      </c>
      <c r="U14" s="188">
        <f t="shared" si="10"/>
        <v>7.055877264802371E-2</v>
      </c>
      <c r="V14" s="188">
        <f t="shared" si="11"/>
        <v>0.59218860582510202</v>
      </c>
      <c r="W14" s="172">
        <f t="shared" si="12"/>
        <v>350</v>
      </c>
      <c r="X14" s="379">
        <f t="shared" si="95"/>
        <v>350</v>
      </c>
      <c r="Z14" s="188">
        <f t="shared" si="13"/>
        <v>1.2157620126076734</v>
      </c>
      <c r="AA14" s="150">
        <f t="shared" si="14"/>
        <v>2.5529598458957707</v>
      </c>
      <c r="AB14" s="150">
        <f t="shared" si="15"/>
        <v>0.54316353006174312</v>
      </c>
      <c r="AC14" s="150"/>
      <c r="AD14" s="150">
        <f t="shared" si="16"/>
        <v>2.0998845328453366</v>
      </c>
      <c r="AE14" s="314">
        <f t="shared" si="17"/>
        <v>102.86279870223184</v>
      </c>
      <c r="AF14" s="456">
        <f t="shared" si="18"/>
        <v>0.36747979324793389</v>
      </c>
      <c r="AH14" s="150">
        <f t="shared" si="19"/>
        <v>0.58554004376911983</v>
      </c>
      <c r="AI14" s="150">
        <f t="shared" si="20"/>
        <v>1</v>
      </c>
      <c r="AJ14" s="150">
        <f t="shared" si="21"/>
        <v>1.058778742115561</v>
      </c>
      <c r="AL14" s="314">
        <f t="shared" si="22"/>
        <v>108</v>
      </c>
      <c r="AM14" s="144">
        <f t="shared" si="23"/>
        <v>102.86279870223184</v>
      </c>
      <c r="AO14">
        <f t="shared" si="96"/>
        <v>108</v>
      </c>
      <c r="AP14" s="144">
        <f t="shared" si="24"/>
        <v>102.86279870223184</v>
      </c>
      <c r="AQ14" s="144"/>
      <c r="AR14" s="5">
        <f t="shared" si="97"/>
        <v>9.7216876520617426</v>
      </c>
      <c r="AS14" s="5">
        <f t="shared" si="25"/>
        <v>0.25019947003825832</v>
      </c>
      <c r="AT14" s="5">
        <f t="shared" si="98"/>
        <v>9.4714881820234851</v>
      </c>
      <c r="AU14" s="150">
        <f t="shared" si="99"/>
        <v>2.5736217721950453E-2</v>
      </c>
      <c r="AW14" s="5">
        <f t="shared" si="26"/>
        <v>0.5404308552826379</v>
      </c>
      <c r="AX14" s="5">
        <f t="shared" si="27"/>
        <v>7.0368600948260154E-2</v>
      </c>
      <c r="AY14" s="5">
        <f t="shared" si="28"/>
        <v>4.4433024817798171E-2</v>
      </c>
      <c r="AZ14" s="5"/>
      <c r="BA14" s="150">
        <f t="shared" si="100"/>
        <v>9.2621483688451842E-2</v>
      </c>
      <c r="BB14" s="150">
        <f t="shared" si="29"/>
        <v>0.56987243668445942</v>
      </c>
      <c r="BC14" s="150">
        <f t="shared" si="30"/>
        <v>0.12738325055299682</v>
      </c>
      <c r="BD14" s="150"/>
      <c r="BE14" s="456">
        <f t="shared" si="31"/>
        <v>1.7157478481300302E-4</v>
      </c>
      <c r="BF14" s="456">
        <f t="shared" si="32"/>
        <v>0.10352433291679249</v>
      </c>
      <c r="BG14" s="456">
        <f t="shared" si="33"/>
        <v>0.12333695033786796</v>
      </c>
      <c r="BH14" s="456">
        <f t="shared" si="34"/>
        <v>2.963630125777969E-2</v>
      </c>
      <c r="BI14">
        <f t="shared" si="35"/>
        <v>2.158277952856686E-2</v>
      </c>
      <c r="BJ14" s="144">
        <f t="shared" si="101"/>
        <v>144.91972986643481</v>
      </c>
      <c r="BK14">
        <f t="shared" si="36"/>
        <v>0.13338397170479999</v>
      </c>
      <c r="BL14" s="144">
        <f t="shared" si="102"/>
        <v>133.38397170479999</v>
      </c>
      <c r="BM14" s="150">
        <f t="shared" si="37"/>
        <v>6.7095000000000002E-2</v>
      </c>
      <c r="BN14" s="150">
        <f t="shared" si="38"/>
        <v>9.9843749999999985E-3</v>
      </c>
      <c r="BO14" s="456"/>
      <c r="BQ14" s="144">
        <f t="shared" si="103"/>
        <v>77.079374999999999</v>
      </c>
      <c r="BR14" s="456">
        <f t="shared" si="39"/>
        <v>2.573621772195045E-4</v>
      </c>
      <c r="BS14" s="456">
        <f t="shared" si="104"/>
        <v>9.7426378227804949E-3</v>
      </c>
      <c r="BT14" s="456">
        <f t="shared" si="40"/>
        <v>8.1132462607237817E-5</v>
      </c>
      <c r="BU14" s="456">
        <f t="shared" si="41"/>
        <v>5.3655697580886168E-3</v>
      </c>
      <c r="BV14" s="456">
        <f t="shared" si="42"/>
        <v>1.7880594543089517E-2</v>
      </c>
      <c r="BW14" s="538">
        <f t="shared" si="43"/>
        <v>1.0286279870223185E-4</v>
      </c>
      <c r="BX14" s="144">
        <f t="shared" si="105"/>
        <v>17.983457341791748</v>
      </c>
      <c r="BY14" s="150">
        <f t="shared" si="106"/>
        <v>0.22844680404659173</v>
      </c>
      <c r="BZ14" s="5">
        <f t="shared" si="107"/>
        <v>0.72</v>
      </c>
      <c r="CA14" s="150">
        <f t="shared" si="108"/>
        <v>0.75913588081913197</v>
      </c>
      <c r="CB14" s="5">
        <f t="shared" si="109"/>
        <v>75.91358808191319</v>
      </c>
      <c r="CC14">
        <f t="shared" si="110"/>
        <v>9</v>
      </c>
      <c r="CE14" s="59">
        <f t="shared" si="44"/>
        <v>-50</v>
      </c>
      <c r="CF14">
        <f t="shared" si="45"/>
        <v>-50</v>
      </c>
      <c r="CG14" s="150">
        <f t="shared" si="46"/>
        <v>0.22191890410688317</v>
      </c>
      <c r="CH14" s="150">
        <f t="shared" si="47"/>
        <v>0.12039408973078898</v>
      </c>
      <c r="CI14" s="147">
        <v>9</v>
      </c>
      <c r="CJ14" s="188">
        <f t="shared" si="133"/>
        <v>0.108</v>
      </c>
      <c r="CK14" s="188">
        <f t="shared" si="111"/>
        <v>2.2499999999999999E-2</v>
      </c>
      <c r="CL14" s="188">
        <f t="shared" si="48"/>
        <v>0.54</v>
      </c>
      <c r="CM14" s="188">
        <f t="shared" si="134"/>
        <v>0.18</v>
      </c>
      <c r="CN14" s="465">
        <f t="shared" si="112"/>
        <v>48</v>
      </c>
      <c r="CO14" s="379">
        <f t="shared" si="49"/>
        <v>5.7</v>
      </c>
      <c r="CP14" s="379">
        <f t="shared" si="50"/>
        <v>53.7</v>
      </c>
      <c r="CQ14" s="379"/>
      <c r="CR14" s="188">
        <f t="shared" si="113"/>
        <v>0.10112359550561799</v>
      </c>
      <c r="CS14" s="149">
        <f t="shared" si="114"/>
        <v>9.1011235955056193</v>
      </c>
      <c r="CT14" s="149">
        <f t="shared" si="51"/>
        <v>4.0449438202247192</v>
      </c>
      <c r="CU14" s="188">
        <f t="shared" si="52"/>
        <v>1.8202247191011238</v>
      </c>
      <c r="CV14" s="188">
        <f t="shared" si="53"/>
        <v>1.1376404494382024</v>
      </c>
      <c r="CW14" s="379">
        <f t="shared" si="54"/>
        <v>5</v>
      </c>
      <c r="CX14" s="188">
        <f t="shared" si="55"/>
        <v>0.29666666666666663</v>
      </c>
      <c r="CY14" s="188">
        <f t="shared" si="56"/>
        <v>7.4166666666666659E-2</v>
      </c>
      <c r="CZ14" s="188">
        <f t="shared" si="57"/>
        <v>0.62456140350877187</v>
      </c>
      <c r="DA14" s="172">
        <f t="shared" si="58"/>
        <v>350</v>
      </c>
      <c r="DB14" s="379">
        <f t="shared" si="115"/>
        <v>350</v>
      </c>
      <c r="DD14" s="188">
        <f t="shared" si="59"/>
        <v>1.2130885873902635</v>
      </c>
      <c r="DE14" s="150">
        <f t="shared" si="60"/>
        <v>2.5538707102952913</v>
      </c>
      <c r="DF14" s="150">
        <f t="shared" si="61"/>
        <v>0.54216249715765974</v>
      </c>
      <c r="DG14" s="150"/>
      <c r="DH14" s="150">
        <f t="shared" si="62"/>
        <v>2.1052631578947367</v>
      </c>
      <c r="DI14" s="314">
        <f t="shared" si="63"/>
        <v>102.60000000000001</v>
      </c>
      <c r="DJ14" s="456">
        <f t="shared" si="64"/>
        <v>0.36842105263157893</v>
      </c>
      <c r="DL14" s="150">
        <f t="shared" si="65"/>
        <v>0.58554004376911983</v>
      </c>
      <c r="DM14" s="150">
        <f t="shared" si="66"/>
        <v>1</v>
      </c>
      <c r="DN14" s="150">
        <f t="shared" si="67"/>
        <v>1.0586285714285715</v>
      </c>
      <c r="DP14" s="314">
        <f t="shared" si="68"/>
        <v>108</v>
      </c>
      <c r="DQ14" s="144">
        <f t="shared" si="69"/>
        <v>102.60000000000001</v>
      </c>
      <c r="DS14">
        <f t="shared" si="116"/>
        <v>108</v>
      </c>
      <c r="DT14" s="144">
        <f t="shared" si="70"/>
        <v>102.60000000000001</v>
      </c>
      <c r="DU14" s="144"/>
      <c r="DV14" s="5">
        <f t="shared" si="117"/>
        <v>9.7465886939571149</v>
      </c>
      <c r="DW14" s="5">
        <f t="shared" si="71"/>
        <v>0.25</v>
      </c>
      <c r="DX14" s="5">
        <f t="shared" si="118"/>
        <v>9.4965886939571149</v>
      </c>
      <c r="DY14" s="150">
        <f t="shared" si="119"/>
        <v>2.5649999999999999E-2</v>
      </c>
      <c r="EA14" s="5">
        <f t="shared" si="72"/>
        <v>0.54</v>
      </c>
      <c r="EB14" s="5">
        <f t="shared" si="73"/>
        <v>7.03125E-2</v>
      </c>
      <c r="EC14" s="5">
        <f t="shared" si="74"/>
        <v>4.4515259502923975E-2</v>
      </c>
      <c r="ED14" s="5"/>
      <c r="EE14" s="150">
        <f t="shared" si="120"/>
        <v>9.2466210044534647E-2</v>
      </c>
      <c r="EF14" s="150">
        <f t="shared" si="75"/>
        <v>0.56989765162995132</v>
      </c>
      <c r="EG14" s="150">
        <f t="shared" si="76"/>
        <v>0.1273888868349303</v>
      </c>
      <c r="EH14" s="150"/>
      <c r="EI14" s="456">
        <f t="shared" si="77"/>
        <v>1.7100000000000001E-4</v>
      </c>
      <c r="EJ14" s="456">
        <f t="shared" si="78"/>
        <v>0.11019240000000002</v>
      </c>
      <c r="EK14" s="456">
        <f t="shared" si="79"/>
        <v>1.2825E-2</v>
      </c>
      <c r="EL14" s="456">
        <f t="shared" si="80"/>
        <v>2.9586659400000007E-2</v>
      </c>
      <c r="EM14">
        <f t="shared" si="81"/>
        <v>2.1600000000000001E-2</v>
      </c>
      <c r="EN14" s="144">
        <f t="shared" si="121"/>
        <v>34.424999999999997</v>
      </c>
      <c r="EO14">
        <f t="shared" si="82"/>
        <v>0.17442831635272213</v>
      </c>
      <c r="EP14" s="144">
        <f t="shared" si="122"/>
        <v>174.42831635272213</v>
      </c>
      <c r="EQ14" s="150">
        <f t="shared" si="83"/>
        <v>6.7095000000000002E-2</v>
      </c>
      <c r="ER14" s="150">
        <f t="shared" si="84"/>
        <v>9.9843749999999985E-3</v>
      </c>
      <c r="ES14" s="456"/>
      <c r="EU14" s="144">
        <f t="shared" si="123"/>
        <v>77.079374999999999</v>
      </c>
      <c r="EV14" s="456">
        <f t="shared" si="85"/>
        <v>2.565E-4</v>
      </c>
      <c r="EW14" s="456">
        <f t="shared" si="124"/>
        <v>9.7435000000000004E-3</v>
      </c>
      <c r="EX14" s="456">
        <f t="shared" si="86"/>
        <v>8.1139642445213385E-5</v>
      </c>
      <c r="EY14" s="456">
        <f t="shared" si="87"/>
        <v>5.3313648739355974E-3</v>
      </c>
      <c r="EZ14" s="456">
        <f t="shared" si="88"/>
        <v>1.7846370971197387E-2</v>
      </c>
      <c r="FA14" s="538">
        <f t="shared" si="89"/>
        <v>1.0260000000000001E-4</v>
      </c>
      <c r="FB14" s="144">
        <f t="shared" si="125"/>
        <v>17.948970971197387</v>
      </c>
      <c r="FC14" s="150">
        <f t="shared" si="126"/>
        <v>0.26945666232391952</v>
      </c>
      <c r="FD14" s="5">
        <f t="shared" si="127"/>
        <v>0.72</v>
      </c>
      <c r="FE14" s="150">
        <f t="shared" si="128"/>
        <v>0.72767209258963261</v>
      </c>
      <c r="FF14" s="5">
        <f t="shared" si="129"/>
        <v>72.767209258963263</v>
      </c>
      <c r="FG14">
        <f t="shared" si="130"/>
        <v>9</v>
      </c>
      <c r="FI14" s="59">
        <f t="shared" si="90"/>
        <v>-50</v>
      </c>
      <c r="FJ14">
        <f t="shared" si="91"/>
        <v>-50</v>
      </c>
      <c r="FL14">
        <f t="shared" si="92"/>
        <v>0.22191890410688317</v>
      </c>
    </row>
    <row r="15" spans="2:169">
      <c r="E15" s="147">
        <v>10</v>
      </c>
      <c r="F15" s="188">
        <f t="shared" si="131"/>
        <v>0.12</v>
      </c>
      <c r="G15" s="188">
        <f t="shared" si="93"/>
        <v>2.5000000000000001E-2</v>
      </c>
      <c r="H15" s="188">
        <f t="shared" si="0"/>
        <v>0.6</v>
      </c>
      <c r="I15" s="188">
        <f t="shared" si="132"/>
        <v>0.2</v>
      </c>
      <c r="J15" s="465">
        <f t="shared" si="1"/>
        <v>47.961732285704137</v>
      </c>
      <c r="K15" s="379">
        <f t="shared" si="2"/>
        <v>5.7145999279017685</v>
      </c>
      <c r="L15" s="149">
        <f t="shared" si="3"/>
        <v>53.676332213605903</v>
      </c>
      <c r="M15" s="379"/>
      <c r="N15" s="188">
        <f t="shared" si="4"/>
        <v>0.1064640539364802</v>
      </c>
      <c r="O15" s="149">
        <f t="shared" si="94"/>
        <v>9.57412584928543</v>
      </c>
      <c r="P15" s="149">
        <f t="shared" si="5"/>
        <v>4.255167044126857</v>
      </c>
      <c r="Q15" s="188">
        <f t="shared" si="6"/>
        <v>1.914825169857086</v>
      </c>
      <c r="R15" s="188">
        <f t="shared" si="7"/>
        <v>1.1967657311606787</v>
      </c>
      <c r="S15" s="379">
        <f t="shared" si="8"/>
        <v>5</v>
      </c>
      <c r="T15" s="188">
        <f t="shared" si="9"/>
        <v>0.31334453371781268</v>
      </c>
      <c r="U15" s="188">
        <f t="shared" si="10"/>
        <v>7.8398636275581912E-2</v>
      </c>
      <c r="V15" s="188">
        <f t="shared" si="11"/>
        <v>0.65798733980566892</v>
      </c>
      <c r="W15" s="172">
        <f t="shared" si="12"/>
        <v>350</v>
      </c>
      <c r="X15" s="379">
        <f t="shared" si="95"/>
        <v>350</v>
      </c>
      <c r="Z15" s="188">
        <f t="shared" si="13"/>
        <v>1.2157620126076734</v>
      </c>
      <c r="AA15" s="150">
        <f t="shared" si="14"/>
        <v>2.5529598458957707</v>
      </c>
      <c r="AB15" s="150">
        <f t="shared" si="15"/>
        <v>0.54316353006174312</v>
      </c>
      <c r="AC15" s="150"/>
      <c r="AD15" s="150">
        <f t="shared" si="16"/>
        <v>2.0998845328453366</v>
      </c>
      <c r="AE15" s="314">
        <f t="shared" si="17"/>
        <v>114.29199855803536</v>
      </c>
      <c r="AF15" s="456">
        <f t="shared" si="18"/>
        <v>0.36747979324793389</v>
      </c>
      <c r="AH15" s="150">
        <f t="shared" si="19"/>
        <v>0.61721339984836765</v>
      </c>
      <c r="AI15" s="150">
        <f t="shared" si="20"/>
        <v>1</v>
      </c>
      <c r="AJ15" s="150">
        <f t="shared" si="21"/>
        <v>1.0653097134617344</v>
      </c>
      <c r="AL15" s="314">
        <f t="shared" si="22"/>
        <v>120</v>
      </c>
      <c r="AM15" s="144">
        <f t="shared" si="23"/>
        <v>114.29199855803536</v>
      </c>
      <c r="AO15">
        <f t="shared" si="96"/>
        <v>120</v>
      </c>
      <c r="AP15" s="144">
        <f t="shared" si="24"/>
        <v>114.29199855803536</v>
      </c>
      <c r="AQ15" s="144"/>
      <c r="AR15" s="5">
        <f t="shared" si="97"/>
        <v>8.7495188868555704</v>
      </c>
      <c r="AS15" s="5">
        <f t="shared" si="25"/>
        <v>0.25019947003825832</v>
      </c>
      <c r="AT15" s="5">
        <f t="shared" si="98"/>
        <v>8.499319416817313</v>
      </c>
      <c r="AU15" s="150">
        <f t="shared" si="99"/>
        <v>2.8595797468833832E-2</v>
      </c>
      <c r="AW15" s="5">
        <f t="shared" si="26"/>
        <v>0.6004787280918199</v>
      </c>
      <c r="AX15" s="5">
        <f t="shared" si="27"/>
        <v>7.8187334386955729E-2</v>
      </c>
      <c r="AY15" s="5">
        <f t="shared" si="28"/>
        <v>4.4302608620282714E-2</v>
      </c>
      <c r="AZ15" s="5"/>
      <c r="BA15" s="150">
        <f t="shared" si="100"/>
        <v>9.7631616239880398E-2</v>
      </c>
      <c r="BB15" s="150">
        <f t="shared" si="29"/>
        <v>0.56903550051268514</v>
      </c>
      <c r="BC15" s="150">
        <f t="shared" si="30"/>
        <v>0.12719617070283551</v>
      </c>
      <c r="BD15" s="150"/>
      <c r="BE15" s="456">
        <f t="shared" si="31"/>
        <v>1.9063864979222559E-4</v>
      </c>
      <c r="BF15" s="456">
        <f t="shared" si="32"/>
        <v>0.11502703657421386</v>
      </c>
      <c r="BG15" s="456">
        <f t="shared" si="33"/>
        <v>0.13704105593096438</v>
      </c>
      <c r="BH15" s="456">
        <f t="shared" si="34"/>
        <v>3.2929223619755206E-2</v>
      </c>
      <c r="BI15">
        <f t="shared" si="35"/>
        <v>2.158277952856686E-2</v>
      </c>
      <c r="BJ15" s="144">
        <f t="shared" si="101"/>
        <v>158.62383545953125</v>
      </c>
      <c r="BK15">
        <f t="shared" si="36"/>
        <v>0.14820508433864493</v>
      </c>
      <c r="BL15" s="144">
        <f t="shared" si="102"/>
        <v>148.20508433864492</v>
      </c>
      <c r="BM15" s="150">
        <f t="shared" si="37"/>
        <v>7.4549999999999991E-2</v>
      </c>
      <c r="BN15" s="150">
        <f t="shared" si="38"/>
        <v>1.1093749999999999E-2</v>
      </c>
      <c r="BO15" s="456"/>
      <c r="BQ15" s="144">
        <f t="shared" si="103"/>
        <v>85.643749999999997</v>
      </c>
      <c r="BR15" s="456">
        <f t="shared" si="39"/>
        <v>2.8595797468833833E-4</v>
      </c>
      <c r="BS15" s="456">
        <f t="shared" si="104"/>
        <v>9.7140420253116633E-3</v>
      </c>
      <c r="BT15" s="456">
        <f t="shared" si="40"/>
        <v>8.0894329207324353E-5</v>
      </c>
      <c r="BU15" s="456">
        <f t="shared" si="41"/>
        <v>6.9824779341887506E-3</v>
      </c>
      <c r="BV15" s="456">
        <f t="shared" si="42"/>
        <v>1.9498511897447033E-2</v>
      </c>
      <c r="BW15" s="538">
        <f t="shared" si="43"/>
        <v>1.1429199855803537E-4</v>
      </c>
      <c r="BX15" s="144">
        <f t="shared" si="105"/>
        <v>19.612803896005065</v>
      </c>
      <c r="BY15" s="150">
        <f t="shared" si="106"/>
        <v>0.25346163823465007</v>
      </c>
      <c r="BZ15" s="5">
        <f t="shared" si="107"/>
        <v>0.8</v>
      </c>
      <c r="CA15" s="150">
        <f t="shared" si="108"/>
        <v>0.75940116940623381</v>
      </c>
      <c r="CB15" s="5">
        <f t="shared" si="109"/>
        <v>75.940116940623383</v>
      </c>
      <c r="CC15">
        <f t="shared" si="110"/>
        <v>10</v>
      </c>
      <c r="CE15" s="59">
        <f t="shared" si="44"/>
        <v>-50</v>
      </c>
      <c r="CF15">
        <f t="shared" si="45"/>
        <v>-50</v>
      </c>
      <c r="CG15" s="150">
        <f t="shared" si="46"/>
        <v>0.24657656011875906</v>
      </c>
      <c r="CH15" s="150">
        <f t="shared" si="47"/>
        <v>0.13377121081198773</v>
      </c>
      <c r="CI15" s="147">
        <v>10</v>
      </c>
      <c r="CJ15" s="188">
        <f t="shared" si="133"/>
        <v>0.12</v>
      </c>
      <c r="CK15" s="188">
        <f t="shared" si="111"/>
        <v>2.5000000000000001E-2</v>
      </c>
      <c r="CL15" s="188">
        <f t="shared" si="48"/>
        <v>0.6</v>
      </c>
      <c r="CM15" s="188">
        <f t="shared" si="134"/>
        <v>0.2</v>
      </c>
      <c r="CN15" s="465">
        <f t="shared" si="112"/>
        <v>48</v>
      </c>
      <c r="CO15" s="379">
        <f t="shared" si="49"/>
        <v>5.7</v>
      </c>
      <c r="CP15" s="379">
        <f t="shared" si="50"/>
        <v>53.7</v>
      </c>
      <c r="CQ15" s="379"/>
      <c r="CR15" s="188">
        <f t="shared" si="113"/>
        <v>0.10112359550561799</v>
      </c>
      <c r="CS15" s="149">
        <f t="shared" si="114"/>
        <v>9.1011235955056193</v>
      </c>
      <c r="CT15" s="149">
        <f t="shared" si="51"/>
        <v>4.0449438202247192</v>
      </c>
      <c r="CU15" s="188">
        <f t="shared" si="52"/>
        <v>1.8202247191011238</v>
      </c>
      <c r="CV15" s="188">
        <f t="shared" si="53"/>
        <v>1.1376404494382024</v>
      </c>
      <c r="CW15" s="379">
        <f t="shared" si="54"/>
        <v>5</v>
      </c>
      <c r="CX15" s="188">
        <f t="shared" si="55"/>
        <v>0.32962962962962961</v>
      </c>
      <c r="CY15" s="188">
        <f t="shared" si="56"/>
        <v>8.2407407407407401E-2</v>
      </c>
      <c r="CZ15" s="188">
        <f t="shared" si="57"/>
        <v>0.69395711500974655</v>
      </c>
      <c r="DA15" s="172">
        <f t="shared" si="58"/>
        <v>350</v>
      </c>
      <c r="DB15" s="379">
        <f t="shared" si="115"/>
        <v>350</v>
      </c>
      <c r="DD15" s="188">
        <f t="shared" si="59"/>
        <v>1.2130885873902635</v>
      </c>
      <c r="DE15" s="150">
        <f t="shared" si="60"/>
        <v>2.5538707102952913</v>
      </c>
      <c r="DF15" s="150">
        <f t="shared" si="61"/>
        <v>0.54216249715765974</v>
      </c>
      <c r="DG15" s="150"/>
      <c r="DH15" s="150">
        <f t="shared" si="62"/>
        <v>2.1052631578947367</v>
      </c>
      <c r="DI15" s="314">
        <f t="shared" si="63"/>
        <v>114</v>
      </c>
      <c r="DJ15" s="456">
        <f t="shared" si="64"/>
        <v>0.36842105263157893</v>
      </c>
      <c r="DL15" s="150">
        <f t="shared" si="65"/>
        <v>0.61721339984836765</v>
      </c>
      <c r="DM15" s="150">
        <f t="shared" si="66"/>
        <v>1</v>
      </c>
      <c r="DN15" s="150">
        <f t="shared" si="67"/>
        <v>1.0651428571428572</v>
      </c>
      <c r="DP15" s="314">
        <f t="shared" si="68"/>
        <v>120</v>
      </c>
      <c r="DQ15" s="144">
        <f t="shared" si="69"/>
        <v>114</v>
      </c>
      <c r="DS15">
        <f t="shared" si="116"/>
        <v>120</v>
      </c>
      <c r="DT15" s="144">
        <f t="shared" si="70"/>
        <v>114</v>
      </c>
      <c r="DU15" s="144"/>
      <c r="DV15" s="5">
        <f t="shared" si="117"/>
        <v>8.7719298245614024</v>
      </c>
      <c r="DW15" s="5">
        <f t="shared" si="71"/>
        <v>0.25</v>
      </c>
      <c r="DX15" s="5">
        <f t="shared" si="118"/>
        <v>8.5219298245614024</v>
      </c>
      <c r="DY15" s="150">
        <f t="shared" si="119"/>
        <v>2.8500000000000004E-2</v>
      </c>
      <c r="EA15" s="5">
        <f t="shared" si="72"/>
        <v>0.6</v>
      </c>
      <c r="EB15" s="5">
        <f t="shared" si="73"/>
        <v>7.8125E-2</v>
      </c>
      <c r="EC15" s="5">
        <f t="shared" si="74"/>
        <v>4.4385051169590628E-2</v>
      </c>
      <c r="ED15" s="5"/>
      <c r="EE15" s="150">
        <f t="shared" si="120"/>
        <v>9.746794344808965E-2</v>
      </c>
      <c r="EF15" s="150">
        <f t="shared" si="75"/>
        <v>0.56906355825455324</v>
      </c>
      <c r="EG15" s="150">
        <f t="shared" si="76"/>
        <v>0.12720244243337073</v>
      </c>
      <c r="EH15" s="150"/>
      <c r="EI15" s="456">
        <f t="shared" si="77"/>
        <v>1.9000000000000004E-4</v>
      </c>
      <c r="EJ15" s="456">
        <f t="shared" si="78"/>
        <v>0.122436</v>
      </c>
      <c r="EK15" s="456">
        <f t="shared" si="79"/>
        <v>1.4249999999999999E-2</v>
      </c>
      <c r="EL15" s="456">
        <f t="shared" si="80"/>
        <v>3.2874066000000007E-2</v>
      </c>
      <c r="EM15">
        <f t="shared" si="81"/>
        <v>2.1600000000000001E-2</v>
      </c>
      <c r="EN15" s="144">
        <f t="shared" si="121"/>
        <v>35.85</v>
      </c>
      <c r="EO15">
        <f t="shared" si="82"/>
        <v>0.19141000701335661</v>
      </c>
      <c r="EP15" s="144">
        <f t="shared" si="122"/>
        <v>191.41000701335662</v>
      </c>
      <c r="EQ15" s="150">
        <f t="shared" si="83"/>
        <v>7.4549999999999991E-2</v>
      </c>
      <c r="ER15" s="150">
        <f t="shared" si="84"/>
        <v>1.1093749999999999E-2</v>
      </c>
      <c r="ES15" s="456"/>
      <c r="EU15" s="144">
        <f t="shared" si="123"/>
        <v>85.643749999999997</v>
      </c>
      <c r="EV15" s="456">
        <f t="shared" si="85"/>
        <v>2.8500000000000004E-4</v>
      </c>
      <c r="EW15" s="456">
        <f t="shared" si="124"/>
        <v>9.7149999999999997E-3</v>
      </c>
      <c r="EX15" s="456">
        <f t="shared" si="86"/>
        <v>8.0902306805074963E-5</v>
      </c>
      <c r="EY15" s="456">
        <f t="shared" si="87"/>
        <v>6.9379654481699525E-3</v>
      </c>
      <c r="EZ15" s="456">
        <f t="shared" si="88"/>
        <v>1.945397339703182E-2</v>
      </c>
      <c r="FA15" s="538">
        <f t="shared" si="89"/>
        <v>1.1400000000000001E-4</v>
      </c>
      <c r="FB15" s="144">
        <f t="shared" si="125"/>
        <v>19.567973397031821</v>
      </c>
      <c r="FC15" s="150">
        <f t="shared" si="126"/>
        <v>0.29662173041038842</v>
      </c>
      <c r="FD15" s="5">
        <f t="shared" si="127"/>
        <v>0.8</v>
      </c>
      <c r="FE15" s="150">
        <f t="shared" si="128"/>
        <v>0.72951317470301835</v>
      </c>
      <c r="FF15" s="5">
        <f t="shared" si="129"/>
        <v>72.951317470301831</v>
      </c>
      <c r="FG15">
        <f t="shared" si="130"/>
        <v>10</v>
      </c>
      <c r="FI15" s="59">
        <f t="shared" si="90"/>
        <v>-50</v>
      </c>
      <c r="FJ15">
        <f t="shared" si="91"/>
        <v>-50</v>
      </c>
      <c r="FL15">
        <f t="shared" si="92"/>
        <v>0.24657656011875906</v>
      </c>
    </row>
    <row r="16" spans="2:169">
      <c r="E16" s="147">
        <v>11</v>
      </c>
      <c r="F16" s="188">
        <f t="shared" si="131"/>
        <v>0.13200000000000001</v>
      </c>
      <c r="G16" s="188">
        <f t="shared" si="93"/>
        <v>2.75E-2</v>
      </c>
      <c r="H16" s="188">
        <f t="shared" si="0"/>
        <v>0.66</v>
      </c>
      <c r="I16" s="188">
        <f t="shared" si="132"/>
        <v>0.22</v>
      </c>
      <c r="J16" s="465">
        <f t="shared" si="1"/>
        <v>47.961732285704137</v>
      </c>
      <c r="K16" s="379">
        <f t="shared" si="2"/>
        <v>5.7145999279017685</v>
      </c>
      <c r="L16" s="149">
        <f t="shared" si="3"/>
        <v>53.676332213605903</v>
      </c>
      <c r="M16" s="379"/>
      <c r="N16" s="188">
        <f t="shared" si="4"/>
        <v>0.1064640539364802</v>
      </c>
      <c r="O16" s="149">
        <f t="shared" si="94"/>
        <v>9.57412584928543</v>
      </c>
      <c r="P16" s="149">
        <f t="shared" si="5"/>
        <v>4.255167044126857</v>
      </c>
      <c r="Q16" s="188">
        <f t="shared" si="6"/>
        <v>1.914825169857086</v>
      </c>
      <c r="R16" s="188">
        <f t="shared" si="7"/>
        <v>1.1967657311606787</v>
      </c>
      <c r="S16" s="379">
        <f t="shared" si="8"/>
        <v>5</v>
      </c>
      <c r="T16" s="188">
        <f t="shared" si="9"/>
        <v>0.34467898708959394</v>
      </c>
      <c r="U16" s="188">
        <f t="shared" si="10"/>
        <v>8.6238499903140101E-2</v>
      </c>
      <c r="V16" s="188">
        <f t="shared" si="11"/>
        <v>0.72378607378623583</v>
      </c>
      <c r="W16" s="172">
        <f t="shared" si="12"/>
        <v>350</v>
      </c>
      <c r="X16" s="379">
        <f t="shared" si="95"/>
        <v>350</v>
      </c>
      <c r="Z16" s="188">
        <f t="shared" si="13"/>
        <v>1.2157620126076734</v>
      </c>
      <c r="AA16" s="150">
        <f t="shared" si="14"/>
        <v>2.5529598458957707</v>
      </c>
      <c r="AB16" s="150">
        <f t="shared" si="15"/>
        <v>0.54316353006174312</v>
      </c>
      <c r="AC16" s="150"/>
      <c r="AD16" s="150">
        <f t="shared" si="16"/>
        <v>2.0998845328453366</v>
      </c>
      <c r="AE16" s="314">
        <f t="shared" si="17"/>
        <v>125.72119841383892</v>
      </c>
      <c r="AF16" s="456">
        <f t="shared" si="18"/>
        <v>0.36747979324793389</v>
      </c>
      <c r="AH16" s="150">
        <f t="shared" si="19"/>
        <v>0.64733887497014964</v>
      </c>
      <c r="AI16" s="150">
        <f t="shared" si="20"/>
        <v>1</v>
      </c>
      <c r="AJ16" s="150">
        <f t="shared" si="21"/>
        <v>1.0718406848079081</v>
      </c>
      <c r="AL16" s="314">
        <f t="shared" si="22"/>
        <v>132</v>
      </c>
      <c r="AM16" s="144">
        <f t="shared" si="23"/>
        <v>125.72119841383892</v>
      </c>
      <c r="AO16">
        <f t="shared" si="96"/>
        <v>132</v>
      </c>
      <c r="AP16" s="144">
        <f t="shared" si="24"/>
        <v>125.72119841383892</v>
      </c>
      <c r="AQ16" s="144"/>
      <c r="AR16" s="5">
        <f t="shared" si="97"/>
        <v>7.9541080789596075</v>
      </c>
      <c r="AS16" s="5">
        <f t="shared" si="25"/>
        <v>0.25019947003825832</v>
      </c>
      <c r="AT16" s="5">
        <f t="shared" si="98"/>
        <v>7.7039086089213491</v>
      </c>
      <c r="AU16" s="150">
        <f t="shared" si="99"/>
        <v>3.1455377215717222E-2</v>
      </c>
      <c r="AW16" s="5">
        <f t="shared" si="26"/>
        <v>0.66052660090100201</v>
      </c>
      <c r="AX16" s="5">
        <f t="shared" si="27"/>
        <v>8.6006067825651289E-2</v>
      </c>
      <c r="AY16" s="5">
        <f t="shared" si="28"/>
        <v>4.417219242276723E-2</v>
      </c>
      <c r="AZ16" s="5"/>
      <c r="BA16" s="150">
        <f t="shared" si="100"/>
        <v>0.10239690297353923</v>
      </c>
      <c r="BB16" s="150">
        <f t="shared" si="29"/>
        <v>0.56819733156251351</v>
      </c>
      <c r="BC16" s="150">
        <f t="shared" si="30"/>
        <v>0.12700881529044419</v>
      </c>
      <c r="BD16" s="150"/>
      <c r="BE16" s="456">
        <f t="shared" si="31"/>
        <v>2.0970251477144816E-4</v>
      </c>
      <c r="BF16" s="456">
        <f t="shared" si="32"/>
        <v>0.12652974023163527</v>
      </c>
      <c r="BG16" s="456">
        <f t="shared" si="33"/>
        <v>0.15074516152406084</v>
      </c>
      <c r="BH16" s="456">
        <f t="shared" si="34"/>
        <v>3.6222145981730729E-2</v>
      </c>
      <c r="BI16">
        <f t="shared" si="35"/>
        <v>2.158277952856686E-2</v>
      </c>
      <c r="BJ16" s="144">
        <f t="shared" si="101"/>
        <v>172.32794105262769</v>
      </c>
      <c r="BK16">
        <f t="shared" si="36"/>
        <v>0.16302633124584251</v>
      </c>
      <c r="BL16" s="144">
        <f t="shared" si="102"/>
        <v>163.0263312458425</v>
      </c>
      <c r="BM16" s="150">
        <f t="shared" si="37"/>
        <v>8.2004999999999995E-2</v>
      </c>
      <c r="BN16" s="150">
        <f t="shared" si="38"/>
        <v>1.2203124999999999E-2</v>
      </c>
      <c r="BO16" s="456"/>
      <c r="BQ16" s="144">
        <f t="shared" si="103"/>
        <v>94.208124999999995</v>
      </c>
      <c r="BR16" s="456">
        <f t="shared" si="39"/>
        <v>3.1455377215717221E-4</v>
      </c>
      <c r="BS16" s="456">
        <f t="shared" si="104"/>
        <v>9.6854462278428265E-3</v>
      </c>
      <c r="BT16" s="456">
        <f t="shared" si="40"/>
        <v>8.0656195807410848E-5</v>
      </c>
      <c r="BU16" s="456">
        <f t="shared" si="41"/>
        <v>8.8611744138313037E-3</v>
      </c>
      <c r="BV16" s="456">
        <f t="shared" si="42"/>
        <v>2.1378428783878637E-2</v>
      </c>
      <c r="BW16" s="538">
        <f t="shared" si="43"/>
        <v>1.2572119841383893E-4</v>
      </c>
      <c r="BX16" s="144">
        <f t="shared" si="105"/>
        <v>21.504149982292478</v>
      </c>
      <c r="BY16" s="150">
        <f t="shared" si="106"/>
        <v>0.27873860622813501</v>
      </c>
      <c r="BZ16" s="5">
        <f t="shared" si="107"/>
        <v>0.88</v>
      </c>
      <c r="CA16" s="150">
        <f t="shared" si="108"/>
        <v>0.75944651819665321</v>
      </c>
      <c r="CB16" s="5">
        <f t="shared" si="109"/>
        <v>75.944651819665324</v>
      </c>
      <c r="CC16">
        <f t="shared" si="110"/>
        <v>11.000000000000002</v>
      </c>
      <c r="CE16" s="59">
        <f t="shared" si="44"/>
        <v>-50</v>
      </c>
      <c r="CF16">
        <f t="shared" si="45"/>
        <v>-50</v>
      </c>
      <c r="CG16" s="150">
        <f t="shared" si="46"/>
        <v>0.27123421613063498</v>
      </c>
      <c r="CH16" s="150">
        <f t="shared" si="47"/>
        <v>0.14714833189318652</v>
      </c>
      <c r="CI16" s="147">
        <v>11</v>
      </c>
      <c r="CJ16" s="188">
        <f t="shared" si="133"/>
        <v>0.13200000000000001</v>
      </c>
      <c r="CK16" s="188">
        <f t="shared" si="111"/>
        <v>2.75E-2</v>
      </c>
      <c r="CL16" s="188">
        <f t="shared" si="48"/>
        <v>0.66</v>
      </c>
      <c r="CM16" s="188">
        <f t="shared" si="134"/>
        <v>0.22</v>
      </c>
      <c r="CN16" s="465">
        <f t="shared" si="112"/>
        <v>48</v>
      </c>
      <c r="CO16" s="379">
        <f t="shared" si="49"/>
        <v>5.7</v>
      </c>
      <c r="CP16" s="379">
        <f t="shared" si="50"/>
        <v>53.7</v>
      </c>
      <c r="CQ16" s="379"/>
      <c r="CR16" s="188">
        <f t="shared" si="113"/>
        <v>0.10112359550561799</v>
      </c>
      <c r="CS16" s="149">
        <f t="shared" si="114"/>
        <v>9.1011235955056193</v>
      </c>
      <c r="CT16" s="149">
        <f t="shared" si="51"/>
        <v>4.0449438202247192</v>
      </c>
      <c r="CU16" s="188">
        <f t="shared" si="52"/>
        <v>1.8202247191011238</v>
      </c>
      <c r="CV16" s="188">
        <f t="shared" si="53"/>
        <v>1.1376404494382024</v>
      </c>
      <c r="CW16" s="379">
        <f t="shared" si="54"/>
        <v>5</v>
      </c>
      <c r="CX16" s="188">
        <f t="shared" si="55"/>
        <v>0.36259259259259258</v>
      </c>
      <c r="CY16" s="188">
        <f t="shared" si="56"/>
        <v>9.0648148148148158E-2</v>
      </c>
      <c r="CZ16" s="188">
        <f t="shared" si="57"/>
        <v>0.76335282651072123</v>
      </c>
      <c r="DA16" s="172">
        <f t="shared" si="58"/>
        <v>350</v>
      </c>
      <c r="DB16" s="379">
        <f t="shared" si="115"/>
        <v>350</v>
      </c>
      <c r="DD16" s="188">
        <f t="shared" si="59"/>
        <v>1.2130885873902635</v>
      </c>
      <c r="DE16" s="150">
        <f t="shared" si="60"/>
        <v>2.5538707102952913</v>
      </c>
      <c r="DF16" s="150">
        <f t="shared" si="61"/>
        <v>0.54216249715765974</v>
      </c>
      <c r="DG16" s="150"/>
      <c r="DH16" s="150">
        <f t="shared" si="62"/>
        <v>2.1052631578947367</v>
      </c>
      <c r="DI16" s="314">
        <f t="shared" si="63"/>
        <v>125.40000000000002</v>
      </c>
      <c r="DJ16" s="456">
        <f t="shared" si="64"/>
        <v>0.36842105263157893</v>
      </c>
      <c r="DL16" s="150">
        <f t="shared" si="65"/>
        <v>0.64733887497014964</v>
      </c>
      <c r="DM16" s="150">
        <f t="shared" si="66"/>
        <v>1</v>
      </c>
      <c r="DN16" s="150">
        <f t="shared" si="67"/>
        <v>1.0716571428571429</v>
      </c>
      <c r="DP16" s="314">
        <f t="shared" si="68"/>
        <v>132</v>
      </c>
      <c r="DQ16" s="144">
        <f t="shared" si="69"/>
        <v>125.40000000000002</v>
      </c>
      <c r="DS16">
        <f t="shared" si="116"/>
        <v>132</v>
      </c>
      <c r="DT16" s="144">
        <f t="shared" si="70"/>
        <v>125.40000000000002</v>
      </c>
      <c r="DU16" s="144"/>
      <c r="DV16" s="5">
        <f t="shared" si="117"/>
        <v>7.9744816586921843</v>
      </c>
      <c r="DW16" s="5">
        <f t="shared" si="71"/>
        <v>0.25</v>
      </c>
      <c r="DX16" s="5">
        <f t="shared" si="118"/>
        <v>7.7244816586921843</v>
      </c>
      <c r="DY16" s="150">
        <f t="shared" si="119"/>
        <v>3.1350000000000003E-2</v>
      </c>
      <c r="EA16" s="5">
        <f t="shared" si="72"/>
        <v>0.66</v>
      </c>
      <c r="EB16" s="5">
        <f t="shared" si="73"/>
        <v>8.59375E-2</v>
      </c>
      <c r="EC16" s="5">
        <f t="shared" si="74"/>
        <v>4.4254842836257295E-2</v>
      </c>
      <c r="ED16" s="5"/>
      <c r="EE16" s="150">
        <f t="shared" si="120"/>
        <v>0.10222524150130437</v>
      </c>
      <c r="EF16" s="150">
        <f t="shared" si="75"/>
        <v>0.56822824052781229</v>
      </c>
      <c r="EG16" s="150">
        <f t="shared" si="76"/>
        <v>0.12701572435327568</v>
      </c>
      <c r="EH16" s="150"/>
      <c r="EI16" s="456">
        <f t="shared" si="77"/>
        <v>2.0900000000000001E-4</v>
      </c>
      <c r="EJ16" s="456">
        <f t="shared" si="78"/>
        <v>0.13467960000000001</v>
      </c>
      <c r="EK16" s="456">
        <f t="shared" si="79"/>
        <v>1.5675000000000001E-2</v>
      </c>
      <c r="EL16" s="456">
        <f t="shared" si="80"/>
        <v>3.6161472600000015E-2</v>
      </c>
      <c r="EM16">
        <f t="shared" si="81"/>
        <v>2.1600000000000001E-2</v>
      </c>
      <c r="EN16" s="144">
        <f t="shared" si="121"/>
        <v>37.275000000000006</v>
      </c>
      <c r="EO16">
        <f t="shared" si="82"/>
        <v>0.20839185100589405</v>
      </c>
      <c r="EP16" s="144">
        <f t="shared" si="122"/>
        <v>208.39185100589404</v>
      </c>
      <c r="EQ16" s="150">
        <f t="shared" si="83"/>
        <v>8.2004999999999995E-2</v>
      </c>
      <c r="ER16" s="150">
        <f t="shared" si="84"/>
        <v>1.2203124999999999E-2</v>
      </c>
      <c r="ES16" s="456"/>
      <c r="EU16" s="144">
        <f t="shared" si="123"/>
        <v>94.208124999999995</v>
      </c>
      <c r="EV16" s="456">
        <f t="shared" si="85"/>
        <v>3.1350000000000003E-4</v>
      </c>
      <c r="EW16" s="456">
        <f t="shared" si="124"/>
        <v>9.6864999999999989E-3</v>
      </c>
      <c r="EX16" s="456">
        <f t="shared" si="86"/>
        <v>8.0664971164936541E-5</v>
      </c>
      <c r="EY16" s="456">
        <f t="shared" si="87"/>
        <v>8.8046854559107046E-3</v>
      </c>
      <c r="EZ16" s="456">
        <f t="shared" si="88"/>
        <v>2.1321905138735268E-2</v>
      </c>
      <c r="FA16" s="538">
        <f t="shared" si="89"/>
        <v>1.2540000000000001E-4</v>
      </c>
      <c r="FB16" s="144">
        <f t="shared" si="125"/>
        <v>21.44730513873527</v>
      </c>
      <c r="FC16" s="150">
        <f t="shared" si="126"/>
        <v>0.32404728114462933</v>
      </c>
      <c r="FD16" s="5">
        <f t="shared" si="127"/>
        <v>0.88</v>
      </c>
      <c r="FE16" s="150">
        <f t="shared" si="128"/>
        <v>0.73086830872906139</v>
      </c>
      <c r="FF16" s="5">
        <f t="shared" si="129"/>
        <v>73.086830872906134</v>
      </c>
      <c r="FG16">
        <f t="shared" si="130"/>
        <v>11.000000000000002</v>
      </c>
      <c r="FI16" s="59">
        <f t="shared" si="90"/>
        <v>-50</v>
      </c>
      <c r="FJ16">
        <f t="shared" si="91"/>
        <v>-50</v>
      </c>
      <c r="FL16">
        <f t="shared" si="92"/>
        <v>0.27123421613063498</v>
      </c>
    </row>
    <row r="17" spans="5:168">
      <c r="E17" s="147">
        <v>12</v>
      </c>
      <c r="F17" s="188">
        <f t="shared" si="131"/>
        <v>0.14399999999999999</v>
      </c>
      <c r="G17" s="188">
        <f t="shared" si="93"/>
        <v>0.03</v>
      </c>
      <c r="H17" s="188">
        <f t="shared" si="0"/>
        <v>0.72</v>
      </c>
      <c r="I17" s="188">
        <f t="shared" si="132"/>
        <v>0.24</v>
      </c>
      <c r="J17" s="465">
        <f t="shared" si="1"/>
        <v>47.961732285704137</v>
      </c>
      <c r="K17" s="379">
        <f t="shared" si="2"/>
        <v>5.7145999279017685</v>
      </c>
      <c r="L17" s="149">
        <f t="shared" si="3"/>
        <v>53.676332213605903</v>
      </c>
      <c r="M17" s="379"/>
      <c r="N17" s="188">
        <f t="shared" si="4"/>
        <v>0.1064640539364802</v>
      </c>
      <c r="O17" s="149">
        <f t="shared" si="94"/>
        <v>9.57412584928543</v>
      </c>
      <c r="P17" s="149">
        <f t="shared" si="5"/>
        <v>4.255167044126857</v>
      </c>
      <c r="Q17" s="188">
        <f t="shared" si="6"/>
        <v>1.914825169857086</v>
      </c>
      <c r="R17" s="188">
        <f t="shared" si="7"/>
        <v>1.1967657311606787</v>
      </c>
      <c r="S17" s="379">
        <f t="shared" si="8"/>
        <v>5</v>
      </c>
      <c r="T17" s="188">
        <f t="shared" si="9"/>
        <v>0.37601344046137519</v>
      </c>
      <c r="U17" s="188">
        <f t="shared" si="10"/>
        <v>9.4078363530698275E-2</v>
      </c>
      <c r="V17" s="188">
        <f t="shared" si="11"/>
        <v>0.78958480776680262</v>
      </c>
      <c r="W17" s="172">
        <f t="shared" si="12"/>
        <v>350</v>
      </c>
      <c r="X17" s="379">
        <f t="shared" si="95"/>
        <v>350</v>
      </c>
      <c r="Z17" s="188">
        <f t="shared" si="13"/>
        <v>1.2157620126076734</v>
      </c>
      <c r="AA17" s="150">
        <f t="shared" si="14"/>
        <v>2.5529598458957707</v>
      </c>
      <c r="AB17" s="150">
        <f t="shared" si="15"/>
        <v>0.54316353006174312</v>
      </c>
      <c r="AC17" s="150"/>
      <c r="AD17" s="150">
        <f t="shared" si="16"/>
        <v>2.0998845328453366</v>
      </c>
      <c r="AE17" s="314">
        <f t="shared" si="17"/>
        <v>137.15039826964244</v>
      </c>
      <c r="AF17" s="456">
        <f t="shared" si="18"/>
        <v>0.36747979324793389</v>
      </c>
      <c r="AH17" s="150">
        <f t="shared" si="19"/>
        <v>0.67612340378281321</v>
      </c>
      <c r="AI17" s="150">
        <f t="shared" si="20"/>
        <v>1</v>
      </c>
      <c r="AJ17" s="150">
        <f t="shared" si="21"/>
        <v>1.0783716561540815</v>
      </c>
      <c r="AL17" s="314">
        <f t="shared" si="22"/>
        <v>144</v>
      </c>
      <c r="AM17" s="144">
        <f t="shared" si="23"/>
        <v>137.15039826964244</v>
      </c>
      <c r="AO17">
        <f t="shared" si="96"/>
        <v>144</v>
      </c>
      <c r="AP17" s="144">
        <f t="shared" si="24"/>
        <v>137.15039826964244</v>
      </c>
      <c r="AQ17" s="144"/>
      <c r="AR17" s="5">
        <f t="shared" si="97"/>
        <v>7.2912657390463087</v>
      </c>
      <c r="AS17" s="5">
        <f t="shared" si="25"/>
        <v>0.25019947003825832</v>
      </c>
      <c r="AT17" s="5">
        <f t="shared" si="98"/>
        <v>7.0410662690080503</v>
      </c>
      <c r="AU17" s="150">
        <f t="shared" si="99"/>
        <v>3.4314956962600597E-2</v>
      </c>
      <c r="AW17" s="5">
        <f t="shared" si="26"/>
        <v>0.7205744737101839</v>
      </c>
      <c r="AX17" s="5">
        <f t="shared" si="27"/>
        <v>9.3824801264346863E-2</v>
      </c>
      <c r="AY17" s="5">
        <f t="shared" si="28"/>
        <v>4.4041776225251773E-2</v>
      </c>
      <c r="AZ17" s="5"/>
      <c r="BA17" s="150">
        <f t="shared" si="100"/>
        <v>0.1069500770805404</v>
      </c>
      <c r="BB17" s="150">
        <f t="shared" si="29"/>
        <v>0.56735792437032184</v>
      </c>
      <c r="BC17" s="150">
        <f t="shared" si="30"/>
        <v>0.12682118309454254</v>
      </c>
      <c r="BD17" s="150"/>
      <c r="BE17" s="456">
        <f t="shared" si="31"/>
        <v>2.2876637975067065E-4</v>
      </c>
      <c r="BF17" s="456">
        <f t="shared" si="32"/>
        <v>0.13803244388905664</v>
      </c>
      <c r="BG17" s="456">
        <f t="shared" si="33"/>
        <v>0.16444926711715727</v>
      </c>
      <c r="BH17" s="456">
        <f t="shared" si="34"/>
        <v>3.9515068343706244E-2</v>
      </c>
      <c r="BI17">
        <f t="shared" si="35"/>
        <v>2.158277952856686E-2</v>
      </c>
      <c r="BJ17" s="144">
        <f t="shared" si="101"/>
        <v>186.03204664572411</v>
      </c>
      <c r="BK17">
        <f t="shared" si="36"/>
        <v>0.17784771242821726</v>
      </c>
      <c r="BL17" s="144">
        <f t="shared" si="102"/>
        <v>177.84771242821725</v>
      </c>
      <c r="BM17" s="150">
        <f t="shared" si="37"/>
        <v>8.9459999999999984E-2</v>
      </c>
      <c r="BN17" s="150">
        <f t="shared" si="38"/>
        <v>1.33125E-2</v>
      </c>
      <c r="BO17" s="456"/>
      <c r="BQ17" s="144">
        <f t="shared" si="103"/>
        <v>102.77249999999999</v>
      </c>
      <c r="BR17" s="456">
        <f t="shared" si="39"/>
        <v>3.4314956962600593E-4</v>
      </c>
      <c r="BS17" s="456">
        <f t="shared" si="104"/>
        <v>9.6568504303739932E-3</v>
      </c>
      <c r="BT17" s="456">
        <f t="shared" si="40"/>
        <v>8.0418062407497411E-5</v>
      </c>
      <c r="BU17" s="456">
        <f t="shared" si="41"/>
        <v>1.1014446734891291E-2</v>
      </c>
      <c r="BV17" s="456">
        <f t="shared" si="42"/>
        <v>2.3533143045894593E-2</v>
      </c>
      <c r="BW17" s="538">
        <f t="shared" si="43"/>
        <v>1.3715039826964244E-4</v>
      </c>
      <c r="BX17" s="144">
        <f t="shared" si="105"/>
        <v>23.670293444164233</v>
      </c>
      <c r="BY17" s="150">
        <f t="shared" si="106"/>
        <v>0.30429050587238154</v>
      </c>
      <c r="BZ17" s="5">
        <f t="shared" si="107"/>
        <v>0.96</v>
      </c>
      <c r="CA17" s="150">
        <f t="shared" si="108"/>
        <v>0.7593191561124506</v>
      </c>
      <c r="CB17" s="5">
        <f t="shared" si="109"/>
        <v>75.93191561124506</v>
      </c>
      <c r="CC17">
        <f t="shared" si="110"/>
        <v>12</v>
      </c>
      <c r="CE17" s="59">
        <f t="shared" si="44"/>
        <v>-50</v>
      </c>
      <c r="CF17">
        <f t="shared" si="45"/>
        <v>-50</v>
      </c>
      <c r="CG17" s="150">
        <f t="shared" si="46"/>
        <v>0.29589187214251084</v>
      </c>
      <c r="CH17" s="150">
        <f t="shared" si="47"/>
        <v>0.16052545297438528</v>
      </c>
      <c r="CI17" s="147">
        <v>12</v>
      </c>
      <c r="CJ17" s="188">
        <f t="shared" si="133"/>
        <v>0.14399999999999999</v>
      </c>
      <c r="CK17" s="188">
        <f t="shared" si="111"/>
        <v>0.03</v>
      </c>
      <c r="CL17" s="188">
        <f t="shared" si="48"/>
        <v>0.72</v>
      </c>
      <c r="CM17" s="188">
        <f t="shared" si="134"/>
        <v>0.24</v>
      </c>
      <c r="CN17" s="465">
        <f t="shared" si="112"/>
        <v>48</v>
      </c>
      <c r="CO17" s="379">
        <f t="shared" si="49"/>
        <v>5.7</v>
      </c>
      <c r="CP17" s="379">
        <f t="shared" si="50"/>
        <v>53.7</v>
      </c>
      <c r="CQ17" s="379"/>
      <c r="CR17" s="188">
        <f t="shared" si="113"/>
        <v>0.10112359550561799</v>
      </c>
      <c r="CS17" s="149">
        <f t="shared" si="114"/>
        <v>9.1011235955056193</v>
      </c>
      <c r="CT17" s="149">
        <f t="shared" si="51"/>
        <v>4.0449438202247192</v>
      </c>
      <c r="CU17" s="188">
        <f t="shared" si="52"/>
        <v>1.8202247191011238</v>
      </c>
      <c r="CV17" s="188">
        <f t="shared" si="53"/>
        <v>1.1376404494382024</v>
      </c>
      <c r="CW17" s="379">
        <f t="shared" si="54"/>
        <v>5</v>
      </c>
      <c r="CX17" s="188">
        <f t="shared" si="55"/>
        <v>0.39555555555555549</v>
      </c>
      <c r="CY17" s="188">
        <f t="shared" si="56"/>
        <v>9.8888888888888873E-2</v>
      </c>
      <c r="CZ17" s="188">
        <f t="shared" si="57"/>
        <v>0.83274853801169579</v>
      </c>
      <c r="DA17" s="172">
        <f t="shared" si="58"/>
        <v>350</v>
      </c>
      <c r="DB17" s="379">
        <f t="shared" si="115"/>
        <v>350</v>
      </c>
      <c r="DD17" s="188">
        <f t="shared" si="59"/>
        <v>1.2130885873902635</v>
      </c>
      <c r="DE17" s="150">
        <f t="shared" si="60"/>
        <v>2.5538707102952913</v>
      </c>
      <c r="DF17" s="150">
        <f t="shared" si="61"/>
        <v>0.54216249715765974</v>
      </c>
      <c r="DG17" s="150"/>
      <c r="DH17" s="150">
        <f t="shared" si="62"/>
        <v>2.1052631578947367</v>
      </c>
      <c r="DI17" s="314">
        <f t="shared" si="63"/>
        <v>136.80000000000001</v>
      </c>
      <c r="DJ17" s="456">
        <f t="shared" si="64"/>
        <v>0.36842105263157893</v>
      </c>
      <c r="DL17" s="150">
        <f t="shared" si="65"/>
        <v>0.67612340378281321</v>
      </c>
      <c r="DM17" s="150">
        <f t="shared" si="66"/>
        <v>1</v>
      </c>
      <c r="DN17" s="150">
        <f t="shared" si="67"/>
        <v>1.0781714285714286</v>
      </c>
      <c r="DP17" s="314">
        <f t="shared" si="68"/>
        <v>144</v>
      </c>
      <c r="DQ17" s="144">
        <f t="shared" si="69"/>
        <v>136.80000000000001</v>
      </c>
      <c r="DS17">
        <f t="shared" si="116"/>
        <v>144</v>
      </c>
      <c r="DT17" s="144">
        <f t="shared" si="70"/>
        <v>136.80000000000001</v>
      </c>
      <c r="DU17" s="144"/>
      <c r="DV17" s="5">
        <f t="shared" si="117"/>
        <v>7.3099415204678362</v>
      </c>
      <c r="DW17" s="5">
        <f t="shared" si="71"/>
        <v>0.25</v>
      </c>
      <c r="DX17" s="5">
        <f t="shared" si="118"/>
        <v>7.0599415204678362</v>
      </c>
      <c r="DY17" s="150">
        <f t="shared" si="119"/>
        <v>3.4200000000000001E-2</v>
      </c>
      <c r="EA17" s="5">
        <f t="shared" si="72"/>
        <v>0.72</v>
      </c>
      <c r="EB17" s="5">
        <f t="shared" si="73"/>
        <v>9.375E-2</v>
      </c>
      <c r="EC17" s="5">
        <f t="shared" si="74"/>
        <v>4.4124634502923969E-2</v>
      </c>
      <c r="ED17" s="5"/>
      <c r="EE17" s="150">
        <f t="shared" si="120"/>
        <v>0.10677078252031312</v>
      </c>
      <c r="EF17" s="150">
        <f t="shared" si="75"/>
        <v>0.56739169304223458</v>
      </c>
      <c r="EG17" s="150">
        <f t="shared" si="76"/>
        <v>0.12682873138591128</v>
      </c>
      <c r="EH17" s="150"/>
      <c r="EI17" s="456">
        <f t="shared" si="77"/>
        <v>2.2800000000000004E-4</v>
      </c>
      <c r="EJ17" s="456">
        <f t="shared" si="78"/>
        <v>0.14692320000000003</v>
      </c>
      <c r="EK17" s="456">
        <f t="shared" si="79"/>
        <v>1.7100000000000001E-2</v>
      </c>
      <c r="EL17" s="456">
        <f t="shared" si="80"/>
        <v>3.9448879200000016E-2</v>
      </c>
      <c r="EM17">
        <f t="shared" si="81"/>
        <v>2.1600000000000001E-2</v>
      </c>
      <c r="EN17" s="144">
        <f t="shared" si="121"/>
        <v>38.699999999999996</v>
      </c>
      <c r="EO17">
        <f t="shared" si="82"/>
        <v>0.22537384833241098</v>
      </c>
      <c r="EP17" s="144">
        <f t="shared" si="122"/>
        <v>225.37384833241097</v>
      </c>
      <c r="EQ17" s="150">
        <f t="shared" si="83"/>
        <v>8.9459999999999984E-2</v>
      </c>
      <c r="ER17" s="150">
        <f t="shared" si="84"/>
        <v>1.33125E-2</v>
      </c>
      <c r="ES17" s="456"/>
      <c r="EU17" s="144">
        <f t="shared" si="123"/>
        <v>102.77249999999999</v>
      </c>
      <c r="EV17" s="456">
        <f t="shared" si="85"/>
        <v>3.4200000000000007E-4</v>
      </c>
      <c r="EW17" s="456">
        <f t="shared" si="124"/>
        <v>9.6579999999999999E-3</v>
      </c>
      <c r="EX17" s="456">
        <f t="shared" si="86"/>
        <v>8.0427635524798186E-5</v>
      </c>
      <c r="EY17" s="456">
        <f t="shared" si="87"/>
        <v>1.0944230915963879E-2</v>
      </c>
      <c r="EZ17" s="456">
        <f t="shared" si="88"/>
        <v>2.3462882455111397E-2</v>
      </c>
      <c r="FA17" s="538">
        <f t="shared" si="89"/>
        <v>1.3680000000000002E-4</v>
      </c>
      <c r="FB17" s="144">
        <f t="shared" si="125"/>
        <v>23.599682455111395</v>
      </c>
      <c r="FC17" s="150">
        <f t="shared" si="126"/>
        <v>0.35174603078752237</v>
      </c>
      <c r="FD17" s="5">
        <f t="shared" si="127"/>
        <v>0.96</v>
      </c>
      <c r="FE17" s="150">
        <f t="shared" si="128"/>
        <v>0.73184898407784971</v>
      </c>
      <c r="FF17" s="5">
        <f t="shared" si="129"/>
        <v>73.184898407784971</v>
      </c>
      <c r="FG17">
        <f t="shared" si="130"/>
        <v>12</v>
      </c>
      <c r="FI17" s="59">
        <f t="shared" si="90"/>
        <v>-50</v>
      </c>
      <c r="FJ17">
        <f t="shared" si="91"/>
        <v>-50</v>
      </c>
      <c r="FL17">
        <f t="shared" si="92"/>
        <v>0.29589187214251084</v>
      </c>
    </row>
    <row r="18" spans="5:168">
      <c r="E18" s="147">
        <v>13</v>
      </c>
      <c r="F18" s="188">
        <f t="shared" si="131"/>
        <v>0.156</v>
      </c>
      <c r="G18" s="188">
        <f t="shared" si="93"/>
        <v>3.2500000000000001E-2</v>
      </c>
      <c r="H18" s="188">
        <f t="shared" si="0"/>
        <v>0.78</v>
      </c>
      <c r="I18" s="188">
        <f t="shared" si="132"/>
        <v>0.26</v>
      </c>
      <c r="J18" s="465">
        <f t="shared" si="1"/>
        <v>47.961732285704137</v>
      </c>
      <c r="K18" s="379">
        <f t="shared" si="2"/>
        <v>5.7145999279017685</v>
      </c>
      <c r="L18" s="149">
        <f t="shared" si="3"/>
        <v>53.676332213605903</v>
      </c>
      <c r="M18" s="379"/>
      <c r="N18" s="188">
        <f t="shared" si="4"/>
        <v>0.1064640539364802</v>
      </c>
      <c r="O18" s="149">
        <f t="shared" si="94"/>
        <v>9.57412584928543</v>
      </c>
      <c r="P18" s="149">
        <f t="shared" si="5"/>
        <v>4.255167044126857</v>
      </c>
      <c r="Q18" s="188">
        <f t="shared" si="6"/>
        <v>1.914825169857086</v>
      </c>
      <c r="R18" s="188">
        <f t="shared" si="7"/>
        <v>1.1967657311606787</v>
      </c>
      <c r="S18" s="379">
        <f t="shared" si="8"/>
        <v>5</v>
      </c>
      <c r="T18" s="188">
        <f t="shared" si="9"/>
        <v>0.4073478938331565</v>
      </c>
      <c r="U18" s="188">
        <f t="shared" si="10"/>
        <v>0.10191822715825649</v>
      </c>
      <c r="V18" s="188">
        <f t="shared" si="11"/>
        <v>0.85538354174736964</v>
      </c>
      <c r="W18" s="172">
        <f t="shared" si="12"/>
        <v>350</v>
      </c>
      <c r="X18" s="379">
        <f t="shared" si="95"/>
        <v>350</v>
      </c>
      <c r="Z18" s="188">
        <f t="shared" si="13"/>
        <v>1.2157620126076734</v>
      </c>
      <c r="AA18" s="150">
        <f t="shared" si="14"/>
        <v>2.5529598458957707</v>
      </c>
      <c r="AB18" s="150">
        <f t="shared" si="15"/>
        <v>0.54316353006174312</v>
      </c>
      <c r="AC18" s="150"/>
      <c r="AD18" s="150">
        <f t="shared" si="16"/>
        <v>2.0998845328453366</v>
      </c>
      <c r="AE18" s="314">
        <f t="shared" si="17"/>
        <v>148.57959812544601</v>
      </c>
      <c r="AF18" s="456">
        <f t="shared" si="18"/>
        <v>0.36747979324793389</v>
      </c>
      <c r="AH18" s="150">
        <f t="shared" si="19"/>
        <v>0.70373155054899683</v>
      </c>
      <c r="AI18" s="150">
        <f t="shared" si="20"/>
        <v>1</v>
      </c>
      <c r="AJ18" s="150">
        <f t="shared" si="21"/>
        <v>1.0849026275002549</v>
      </c>
      <c r="AL18" s="314">
        <f t="shared" si="22"/>
        <v>156</v>
      </c>
      <c r="AM18" s="144">
        <f t="shared" si="23"/>
        <v>148.57959812544601</v>
      </c>
      <c r="AO18">
        <f t="shared" si="96"/>
        <v>156</v>
      </c>
      <c r="AP18" s="144">
        <f t="shared" si="24"/>
        <v>148.57959812544601</v>
      </c>
      <c r="AQ18" s="144"/>
      <c r="AR18" s="5">
        <f t="shared" si="97"/>
        <v>6.7303991437350525</v>
      </c>
      <c r="AS18" s="5">
        <f t="shared" si="25"/>
        <v>0.25019947003825832</v>
      </c>
      <c r="AT18" s="5">
        <f t="shared" si="98"/>
        <v>6.4801996736967942</v>
      </c>
      <c r="AU18" s="150">
        <f t="shared" si="99"/>
        <v>3.7174536709483987E-2</v>
      </c>
      <c r="AW18" s="5">
        <f t="shared" si="26"/>
        <v>0.78062234651936591</v>
      </c>
      <c r="AX18" s="5">
        <f t="shared" si="27"/>
        <v>0.10164353470304244</v>
      </c>
      <c r="AY18" s="5">
        <f t="shared" si="28"/>
        <v>4.3911360027736296E-2</v>
      </c>
      <c r="AZ18" s="5"/>
      <c r="BA18" s="150">
        <f t="shared" si="100"/>
        <v>0.11131716954942154</v>
      </c>
      <c r="BB18" s="150">
        <f t="shared" si="29"/>
        <v>0.56651727343200986</v>
      </c>
      <c r="BC18" s="150">
        <f t="shared" si="30"/>
        <v>0.12663327288480219</v>
      </c>
      <c r="BD18" s="150"/>
      <c r="BE18" s="456">
        <f t="shared" si="31"/>
        <v>2.4783024472989324E-4</v>
      </c>
      <c r="BF18" s="456">
        <f t="shared" si="32"/>
        <v>0.14953514754647806</v>
      </c>
      <c r="BG18" s="456">
        <f t="shared" si="33"/>
        <v>0.17815337271025375</v>
      </c>
      <c r="BH18" s="456">
        <f t="shared" si="34"/>
        <v>4.2807990705681774E-2</v>
      </c>
      <c r="BI18">
        <f t="shared" si="35"/>
        <v>2.158277952856686E-2</v>
      </c>
      <c r="BJ18" s="144">
        <f t="shared" si="101"/>
        <v>199.73615223882061</v>
      </c>
      <c r="BK18">
        <f t="shared" si="36"/>
        <v>0.19266922788759408</v>
      </c>
      <c r="BL18" s="144">
        <f t="shared" si="102"/>
        <v>192.66922788759408</v>
      </c>
      <c r="BM18" s="150">
        <f t="shared" si="37"/>
        <v>9.6914999999999987E-2</v>
      </c>
      <c r="BN18" s="150">
        <f t="shared" si="38"/>
        <v>1.4421874999999999E-2</v>
      </c>
      <c r="BO18" s="456"/>
      <c r="BQ18" s="144">
        <f t="shared" si="103"/>
        <v>111.33687499999999</v>
      </c>
      <c r="BR18" s="456">
        <f t="shared" si="39"/>
        <v>3.7174536709483986E-4</v>
      </c>
      <c r="BS18" s="456">
        <f t="shared" si="104"/>
        <v>9.6282546329051581E-3</v>
      </c>
      <c r="BT18" s="456">
        <f t="shared" si="40"/>
        <v>8.0179929007583893E-5</v>
      </c>
      <c r="BU18" s="456">
        <f t="shared" si="41"/>
        <v>1.3454512072191744E-2</v>
      </c>
      <c r="BV18" s="456">
        <f t="shared" si="42"/>
        <v>2.5974881702656945E-2</v>
      </c>
      <c r="BW18" s="538">
        <f t="shared" si="43"/>
        <v>1.4857959812544604E-4</v>
      </c>
      <c r="BX18" s="144">
        <f t="shared" si="105"/>
        <v>26.123461300782388</v>
      </c>
      <c r="BY18" s="150">
        <f t="shared" si="106"/>
        <v>0.33012956418837641</v>
      </c>
      <c r="BZ18" s="5">
        <f t="shared" si="107"/>
        <v>1.04</v>
      </c>
      <c r="CA18" s="150">
        <f t="shared" si="108"/>
        <v>0.75905230219308839</v>
      </c>
      <c r="CB18" s="5">
        <f t="shared" si="109"/>
        <v>75.905230219308834</v>
      </c>
      <c r="CC18">
        <f t="shared" si="110"/>
        <v>13</v>
      </c>
      <c r="CE18" s="59">
        <f t="shared" si="44"/>
        <v>-50</v>
      </c>
      <c r="CF18">
        <f t="shared" si="45"/>
        <v>-50</v>
      </c>
      <c r="CG18" s="150">
        <f t="shared" si="46"/>
        <v>0.32054952815438675</v>
      </c>
      <c r="CH18" s="150">
        <f t="shared" si="47"/>
        <v>0.17390257405558404</v>
      </c>
      <c r="CI18" s="147">
        <v>13</v>
      </c>
      <c r="CJ18" s="188">
        <f t="shared" si="133"/>
        <v>0.156</v>
      </c>
      <c r="CK18" s="188">
        <f t="shared" si="111"/>
        <v>3.2500000000000001E-2</v>
      </c>
      <c r="CL18" s="188">
        <f t="shared" si="48"/>
        <v>0.78</v>
      </c>
      <c r="CM18" s="188">
        <f t="shared" si="134"/>
        <v>0.26</v>
      </c>
      <c r="CN18" s="465">
        <f t="shared" si="112"/>
        <v>48</v>
      </c>
      <c r="CO18" s="379">
        <f t="shared" si="49"/>
        <v>5.7</v>
      </c>
      <c r="CP18" s="379">
        <f t="shared" si="50"/>
        <v>53.7</v>
      </c>
      <c r="CQ18" s="379"/>
      <c r="CR18" s="188">
        <f t="shared" si="113"/>
        <v>0.10112359550561799</v>
      </c>
      <c r="CS18" s="149">
        <f t="shared" si="114"/>
        <v>9.1011235955056193</v>
      </c>
      <c r="CT18" s="149">
        <f t="shared" si="51"/>
        <v>4.0449438202247192</v>
      </c>
      <c r="CU18" s="188">
        <f t="shared" si="52"/>
        <v>1.8202247191011238</v>
      </c>
      <c r="CV18" s="188">
        <f t="shared" si="53"/>
        <v>1.1376404494382024</v>
      </c>
      <c r="CW18" s="379">
        <f t="shared" si="54"/>
        <v>5</v>
      </c>
      <c r="CX18" s="188">
        <f t="shared" si="55"/>
        <v>0.42851851851851852</v>
      </c>
      <c r="CY18" s="188">
        <f t="shared" si="56"/>
        <v>0.10712962962962963</v>
      </c>
      <c r="CZ18" s="188">
        <f t="shared" si="57"/>
        <v>0.90214424951267058</v>
      </c>
      <c r="DA18" s="172">
        <f t="shared" si="58"/>
        <v>350</v>
      </c>
      <c r="DB18" s="379">
        <f t="shared" si="115"/>
        <v>350</v>
      </c>
      <c r="DD18" s="188">
        <f t="shared" si="59"/>
        <v>1.2130885873902635</v>
      </c>
      <c r="DE18" s="150">
        <f t="shared" si="60"/>
        <v>2.5538707102952913</v>
      </c>
      <c r="DF18" s="150">
        <f t="shared" si="61"/>
        <v>0.54216249715765974</v>
      </c>
      <c r="DG18" s="150"/>
      <c r="DH18" s="150">
        <f t="shared" si="62"/>
        <v>2.1052631578947367</v>
      </c>
      <c r="DI18" s="314">
        <f t="shared" si="63"/>
        <v>148.19999999999999</v>
      </c>
      <c r="DJ18" s="456">
        <f t="shared" si="64"/>
        <v>0.36842105263157893</v>
      </c>
      <c r="DL18" s="150">
        <f t="shared" si="65"/>
        <v>0.70373155054899683</v>
      </c>
      <c r="DM18" s="150">
        <f t="shared" si="66"/>
        <v>1</v>
      </c>
      <c r="DN18" s="150">
        <f t="shared" si="67"/>
        <v>1.0846857142857143</v>
      </c>
      <c r="DP18" s="314">
        <f t="shared" si="68"/>
        <v>156</v>
      </c>
      <c r="DQ18" s="144">
        <f t="shared" si="69"/>
        <v>148.19999999999999</v>
      </c>
      <c r="DS18">
        <f t="shared" si="116"/>
        <v>156</v>
      </c>
      <c r="DT18" s="144">
        <f t="shared" si="70"/>
        <v>148.19999999999999</v>
      </c>
      <c r="DU18" s="144"/>
      <c r="DV18" s="5">
        <f t="shared" si="117"/>
        <v>6.7476383265856956</v>
      </c>
      <c r="DW18" s="5">
        <f t="shared" si="71"/>
        <v>0.25</v>
      </c>
      <c r="DX18" s="5">
        <f t="shared" si="118"/>
        <v>6.4976383265856956</v>
      </c>
      <c r="DY18" s="150">
        <f t="shared" si="119"/>
        <v>3.705E-2</v>
      </c>
      <c r="EA18" s="5">
        <f t="shared" si="72"/>
        <v>0.78</v>
      </c>
      <c r="EB18" s="5">
        <f t="shared" si="73"/>
        <v>0.10156250000000001</v>
      </c>
      <c r="EC18" s="5">
        <f t="shared" si="74"/>
        <v>4.3994426169590643E-2</v>
      </c>
      <c r="ED18" s="5"/>
      <c r="EE18" s="150">
        <f t="shared" si="120"/>
        <v>0.11113055385446434</v>
      </c>
      <c r="EF18" s="150">
        <f t="shared" si="75"/>
        <v>0.56655391035040381</v>
      </c>
      <c r="EG18" s="150">
        <f t="shared" si="76"/>
        <v>0.12664146231361967</v>
      </c>
      <c r="EH18" s="150"/>
      <c r="EI18" s="456">
        <f t="shared" si="77"/>
        <v>2.4699999999999999E-4</v>
      </c>
      <c r="EJ18" s="456">
        <f t="shared" si="78"/>
        <v>0.1591668</v>
      </c>
      <c r="EK18" s="456">
        <f t="shared" si="79"/>
        <v>1.8524999999999996E-2</v>
      </c>
      <c r="EL18" s="456">
        <f t="shared" si="80"/>
        <v>4.2736285800000003E-2</v>
      </c>
      <c r="EM18">
        <f t="shared" si="81"/>
        <v>2.1600000000000001E-2</v>
      </c>
      <c r="EN18" s="144">
        <f t="shared" si="121"/>
        <v>40.124999999999993</v>
      </c>
      <c r="EO18">
        <f t="shared" si="82"/>
        <v>0.24235599899498422</v>
      </c>
      <c r="EP18" s="144">
        <f t="shared" si="122"/>
        <v>242.35599899498422</v>
      </c>
      <c r="EQ18" s="150">
        <f t="shared" si="83"/>
        <v>9.6914999999999987E-2</v>
      </c>
      <c r="ER18" s="150">
        <f t="shared" si="84"/>
        <v>1.4421874999999999E-2</v>
      </c>
      <c r="ES18" s="456"/>
      <c r="EU18" s="144">
        <f t="shared" si="123"/>
        <v>111.33687499999999</v>
      </c>
      <c r="EV18" s="456">
        <f t="shared" si="85"/>
        <v>3.7049999999999995E-4</v>
      </c>
      <c r="EW18" s="456">
        <f t="shared" si="124"/>
        <v>9.6295000000000009E-3</v>
      </c>
      <c r="EX18" s="456">
        <f t="shared" si="86"/>
        <v>8.0190299884659764E-5</v>
      </c>
      <c r="EY18" s="456">
        <f t="shared" si="87"/>
        <v>1.3368741120081589E-2</v>
      </c>
      <c r="EZ18" s="456">
        <f t="shared" si="88"/>
        <v>2.588905441955722E-2</v>
      </c>
      <c r="FA18" s="538">
        <f t="shared" si="89"/>
        <v>1.482E-4</v>
      </c>
      <c r="FB18" s="144">
        <f t="shared" si="125"/>
        <v>26.037254419557222</v>
      </c>
      <c r="FC18" s="150">
        <f t="shared" si="126"/>
        <v>0.3797301284145414</v>
      </c>
      <c r="FD18" s="5">
        <f t="shared" si="127"/>
        <v>1.04</v>
      </c>
      <c r="FE18" s="150">
        <f t="shared" si="128"/>
        <v>0.73253358450693851</v>
      </c>
      <c r="FF18" s="5">
        <f t="shared" si="129"/>
        <v>73.253358450693852</v>
      </c>
      <c r="FG18">
        <f t="shared" si="130"/>
        <v>13</v>
      </c>
      <c r="FI18" s="59">
        <f t="shared" si="90"/>
        <v>-50</v>
      </c>
      <c r="FJ18">
        <f t="shared" si="91"/>
        <v>-50</v>
      </c>
      <c r="FL18">
        <f t="shared" si="92"/>
        <v>0.32054952815438675</v>
      </c>
    </row>
    <row r="19" spans="5:168">
      <c r="E19" s="147">
        <v>14</v>
      </c>
      <c r="F19" s="188">
        <f t="shared" si="131"/>
        <v>0.16800000000000001</v>
      </c>
      <c r="G19" s="188">
        <f t="shared" si="93"/>
        <v>3.5000000000000003E-2</v>
      </c>
      <c r="H19" s="188">
        <f t="shared" si="0"/>
        <v>0.84000000000000008</v>
      </c>
      <c r="I19" s="188">
        <f t="shared" si="132"/>
        <v>0.28000000000000003</v>
      </c>
      <c r="J19" s="465">
        <f t="shared" si="1"/>
        <v>47.961732285704137</v>
      </c>
      <c r="K19" s="379">
        <f t="shared" si="2"/>
        <v>5.7145999279017685</v>
      </c>
      <c r="L19" s="149">
        <f t="shared" si="3"/>
        <v>53.676332213605903</v>
      </c>
      <c r="M19" s="379"/>
      <c r="N19" s="188">
        <f t="shared" si="4"/>
        <v>0.1064640539364802</v>
      </c>
      <c r="O19" s="149">
        <f t="shared" si="94"/>
        <v>9.57412584928543</v>
      </c>
      <c r="P19" s="149">
        <f t="shared" si="5"/>
        <v>4.255167044126857</v>
      </c>
      <c r="Q19" s="188">
        <f t="shared" si="6"/>
        <v>1.914825169857086</v>
      </c>
      <c r="R19" s="188">
        <f t="shared" si="7"/>
        <v>1.1967657311606787</v>
      </c>
      <c r="S19" s="379">
        <f t="shared" si="8"/>
        <v>5</v>
      </c>
      <c r="T19" s="188">
        <f t="shared" si="9"/>
        <v>0.43868234720493776</v>
      </c>
      <c r="U19" s="188">
        <f t="shared" si="10"/>
        <v>0.10975809078581468</v>
      </c>
      <c r="V19" s="188">
        <f t="shared" si="11"/>
        <v>0.92118227572793665</v>
      </c>
      <c r="W19" s="172">
        <f t="shared" si="12"/>
        <v>350</v>
      </c>
      <c r="X19" s="379">
        <f t="shared" si="95"/>
        <v>350</v>
      </c>
      <c r="Z19" s="188">
        <f t="shared" si="13"/>
        <v>1.2157620126076734</v>
      </c>
      <c r="AA19" s="150">
        <f t="shared" si="14"/>
        <v>2.5529598458957707</v>
      </c>
      <c r="AB19" s="150">
        <f t="shared" si="15"/>
        <v>0.54316353006174312</v>
      </c>
      <c r="AC19" s="150"/>
      <c r="AD19" s="150">
        <f t="shared" si="16"/>
        <v>2.0998845328453366</v>
      </c>
      <c r="AE19" s="314">
        <f t="shared" si="17"/>
        <v>160.00879798124956</v>
      </c>
      <c r="AF19" s="456">
        <f t="shared" si="18"/>
        <v>0.36747979324793389</v>
      </c>
      <c r="AH19" s="150">
        <f t="shared" si="19"/>
        <v>0.73029674334022143</v>
      </c>
      <c r="AI19" s="150">
        <f t="shared" si="20"/>
        <v>1</v>
      </c>
      <c r="AJ19" s="150">
        <f t="shared" si="21"/>
        <v>1.0914335988464283</v>
      </c>
      <c r="AL19" s="314">
        <f t="shared" si="22"/>
        <v>168</v>
      </c>
      <c r="AM19" s="144">
        <f t="shared" si="23"/>
        <v>160.00879798124956</v>
      </c>
      <c r="AO19">
        <f t="shared" si="96"/>
        <v>168</v>
      </c>
      <c r="AP19" s="144">
        <f t="shared" si="24"/>
        <v>160.00879798124956</v>
      </c>
      <c r="AQ19" s="144"/>
      <c r="AR19" s="5">
        <f t="shared" si="97"/>
        <v>6.2496563477539766</v>
      </c>
      <c r="AS19" s="5">
        <f t="shared" si="25"/>
        <v>0.25019947003825832</v>
      </c>
      <c r="AT19" s="5">
        <f t="shared" si="98"/>
        <v>5.9994568777157182</v>
      </c>
      <c r="AU19" s="150">
        <f t="shared" si="99"/>
        <v>4.0034116456367376E-2</v>
      </c>
      <c r="AW19" s="5">
        <f t="shared" si="26"/>
        <v>0.84067021932854802</v>
      </c>
      <c r="AX19" s="5">
        <f t="shared" si="27"/>
        <v>0.10946226814173801</v>
      </c>
      <c r="AY19" s="5">
        <f t="shared" si="28"/>
        <v>4.3780943830220825E-2</v>
      </c>
      <c r="AZ19" s="5"/>
      <c r="BA19" s="150">
        <f t="shared" si="100"/>
        <v>0.11551928620561933</v>
      </c>
      <c r="BB19" s="150">
        <f t="shared" si="29"/>
        <v>0.56567537320257943</v>
      </c>
      <c r="BC19" s="150">
        <f t="shared" si="30"/>
        <v>0.12644508342175304</v>
      </c>
      <c r="BD19" s="150"/>
      <c r="BE19" s="456">
        <f t="shared" si="31"/>
        <v>2.6689410970911587E-4</v>
      </c>
      <c r="BF19" s="456">
        <f t="shared" si="32"/>
        <v>0.16103785120389946</v>
      </c>
      <c r="BG19" s="456">
        <f t="shared" si="33"/>
        <v>0.1918574783033502</v>
      </c>
      <c r="BH19" s="456">
        <f t="shared" si="34"/>
        <v>4.6100913067657297E-2</v>
      </c>
      <c r="BI19">
        <f t="shared" si="35"/>
        <v>2.158277952856686E-2</v>
      </c>
      <c r="BJ19" s="144">
        <f t="shared" si="101"/>
        <v>213.44025783191705</v>
      </c>
      <c r="BK19">
        <f t="shared" si="36"/>
        <v>0.2074908776257976</v>
      </c>
      <c r="BL19" s="144">
        <f t="shared" si="102"/>
        <v>207.49087762579759</v>
      </c>
      <c r="BM19" s="150">
        <f t="shared" si="37"/>
        <v>0.10436999999999999</v>
      </c>
      <c r="BN19" s="150">
        <f t="shared" si="38"/>
        <v>1.553125E-2</v>
      </c>
      <c r="BO19" s="456"/>
      <c r="BQ19" s="144">
        <f t="shared" si="103"/>
        <v>119.90124999999999</v>
      </c>
      <c r="BR19" s="456">
        <f t="shared" si="39"/>
        <v>4.0034116456367374E-4</v>
      </c>
      <c r="BS19" s="456">
        <f t="shared" si="104"/>
        <v>9.5996588354363248E-3</v>
      </c>
      <c r="BT19" s="456">
        <f t="shared" si="40"/>
        <v>7.9941795607670429E-5</v>
      </c>
      <c r="BU19" s="456">
        <f t="shared" si="41"/>
        <v>1.6193087444618143E-2</v>
      </c>
      <c r="BV19" s="456">
        <f t="shared" si="42"/>
        <v>2.8715371212808802E-2</v>
      </c>
      <c r="BW19" s="538">
        <f t="shared" si="43"/>
        <v>1.6000879798124958E-4</v>
      </c>
      <c r="BX19" s="144">
        <f t="shared" si="105"/>
        <v>28.875380010790053</v>
      </c>
      <c r="BY19" s="150">
        <f t="shared" si="106"/>
        <v>0.35626750763658765</v>
      </c>
      <c r="BZ19" s="5">
        <f t="shared" si="107"/>
        <v>1.1200000000000001</v>
      </c>
      <c r="CA19" s="150">
        <f t="shared" si="108"/>
        <v>0.75867008804728775</v>
      </c>
      <c r="CB19" s="5">
        <f t="shared" si="109"/>
        <v>75.867008804728769</v>
      </c>
      <c r="CC19">
        <f t="shared" si="110"/>
        <v>14.000000000000002</v>
      </c>
      <c r="CE19" s="59">
        <f t="shared" si="44"/>
        <v>-50</v>
      </c>
      <c r="CF19">
        <f t="shared" si="45"/>
        <v>-50</v>
      </c>
      <c r="CG19" s="150">
        <f t="shared" si="46"/>
        <v>0.34520718416626273</v>
      </c>
      <c r="CH19" s="150">
        <f t="shared" si="47"/>
        <v>0.18727969513678283</v>
      </c>
      <c r="CI19" s="147">
        <v>14</v>
      </c>
      <c r="CJ19" s="188">
        <f t="shared" si="133"/>
        <v>0.16800000000000001</v>
      </c>
      <c r="CK19" s="188">
        <f t="shared" si="111"/>
        <v>3.5000000000000003E-2</v>
      </c>
      <c r="CL19" s="188">
        <f t="shared" si="48"/>
        <v>0.84000000000000008</v>
      </c>
      <c r="CM19" s="188">
        <f t="shared" si="134"/>
        <v>0.28000000000000003</v>
      </c>
      <c r="CN19" s="465">
        <f t="shared" si="112"/>
        <v>48</v>
      </c>
      <c r="CO19" s="379">
        <f t="shared" si="49"/>
        <v>5.7</v>
      </c>
      <c r="CP19" s="379">
        <f t="shared" si="50"/>
        <v>53.7</v>
      </c>
      <c r="CQ19" s="379"/>
      <c r="CR19" s="188">
        <f t="shared" si="113"/>
        <v>0.10112359550561799</v>
      </c>
      <c r="CS19" s="149">
        <f t="shared" si="114"/>
        <v>9.1011235955056193</v>
      </c>
      <c r="CT19" s="149">
        <f t="shared" si="51"/>
        <v>4.0449438202247192</v>
      </c>
      <c r="CU19" s="188">
        <f t="shared" si="52"/>
        <v>1.8202247191011238</v>
      </c>
      <c r="CV19" s="188">
        <f t="shared" si="53"/>
        <v>1.1376404494382024</v>
      </c>
      <c r="CW19" s="379">
        <f t="shared" si="54"/>
        <v>5</v>
      </c>
      <c r="CX19" s="188">
        <f t="shared" si="55"/>
        <v>0.46148148148148149</v>
      </c>
      <c r="CY19" s="188">
        <f t="shared" si="56"/>
        <v>0.11537037037037037</v>
      </c>
      <c r="CZ19" s="188">
        <f t="shared" si="57"/>
        <v>0.97153996101364526</v>
      </c>
      <c r="DA19" s="172">
        <f t="shared" si="58"/>
        <v>350</v>
      </c>
      <c r="DB19" s="379">
        <f t="shared" si="115"/>
        <v>350</v>
      </c>
      <c r="DD19" s="188">
        <f t="shared" si="59"/>
        <v>1.2130885873902635</v>
      </c>
      <c r="DE19" s="150">
        <f t="shared" si="60"/>
        <v>2.5538707102952913</v>
      </c>
      <c r="DF19" s="150">
        <f t="shared" si="61"/>
        <v>0.54216249715765974</v>
      </c>
      <c r="DG19" s="150"/>
      <c r="DH19" s="150">
        <f t="shared" si="62"/>
        <v>2.1052631578947367</v>
      </c>
      <c r="DI19" s="314">
        <f t="shared" si="63"/>
        <v>159.60000000000002</v>
      </c>
      <c r="DJ19" s="456">
        <f t="shared" si="64"/>
        <v>0.36842105263157893</v>
      </c>
      <c r="DL19" s="150">
        <f t="shared" si="65"/>
        <v>0.73029674334022143</v>
      </c>
      <c r="DM19" s="150">
        <f t="shared" si="66"/>
        <v>1</v>
      </c>
      <c r="DN19" s="150">
        <f t="shared" si="67"/>
        <v>1.0911999999999999</v>
      </c>
      <c r="DP19" s="314">
        <f t="shared" si="68"/>
        <v>168</v>
      </c>
      <c r="DQ19" s="144">
        <f t="shared" si="69"/>
        <v>159.60000000000002</v>
      </c>
      <c r="DS19">
        <f t="shared" si="116"/>
        <v>168</v>
      </c>
      <c r="DT19" s="144">
        <f t="shared" si="70"/>
        <v>159.60000000000002</v>
      </c>
      <c r="DU19" s="144"/>
      <c r="DV19" s="5">
        <f t="shared" si="117"/>
        <v>6.265664160401001</v>
      </c>
      <c r="DW19" s="5">
        <f t="shared" si="71"/>
        <v>0.25</v>
      </c>
      <c r="DX19" s="5">
        <f t="shared" si="118"/>
        <v>6.015664160401001</v>
      </c>
      <c r="DY19" s="150">
        <f t="shared" si="119"/>
        <v>3.9900000000000012E-2</v>
      </c>
      <c r="EA19" s="5">
        <f t="shared" si="72"/>
        <v>0.84000000000000008</v>
      </c>
      <c r="EB19" s="5">
        <f t="shared" si="73"/>
        <v>0.10937500000000001</v>
      </c>
      <c r="EC19" s="5">
        <f t="shared" si="74"/>
        <v>4.3864217836257297E-2</v>
      </c>
      <c r="ED19" s="5"/>
      <c r="EE19" s="150">
        <f t="shared" si="120"/>
        <v>0.11532562594670798</v>
      </c>
      <c r="EF19" s="150">
        <f t="shared" si="75"/>
        <v>0.56571488696456751</v>
      </c>
      <c r="EG19" s="150">
        <f t="shared" si="76"/>
        <v>0.12645391590972685</v>
      </c>
      <c r="EH19" s="150"/>
      <c r="EI19" s="456">
        <f t="shared" si="77"/>
        <v>2.6600000000000012E-4</v>
      </c>
      <c r="EJ19" s="456">
        <f t="shared" si="78"/>
        <v>0.17141040000000005</v>
      </c>
      <c r="EK19" s="456">
        <f t="shared" si="79"/>
        <v>1.9949999999999999E-2</v>
      </c>
      <c r="EL19" s="456">
        <f t="shared" si="80"/>
        <v>4.6023692400000017E-2</v>
      </c>
      <c r="EM19">
        <f t="shared" si="81"/>
        <v>2.1600000000000001E-2</v>
      </c>
      <c r="EN19" s="144">
        <f t="shared" si="121"/>
        <v>41.550000000000004</v>
      </c>
      <c r="EO19">
        <f t="shared" si="82"/>
        <v>0.25933830299569061</v>
      </c>
      <c r="EP19" s="144">
        <f t="shared" si="122"/>
        <v>259.33830299569058</v>
      </c>
      <c r="EQ19" s="150">
        <f t="shared" si="83"/>
        <v>0.10436999999999999</v>
      </c>
      <c r="ER19" s="150">
        <f t="shared" si="84"/>
        <v>1.553125E-2</v>
      </c>
      <c r="ES19" s="456"/>
      <c r="EU19" s="144">
        <f t="shared" si="123"/>
        <v>119.90124999999999</v>
      </c>
      <c r="EV19" s="456">
        <f t="shared" si="85"/>
        <v>3.990000000000001E-4</v>
      </c>
      <c r="EW19" s="456">
        <f t="shared" si="124"/>
        <v>9.6010000000000019E-3</v>
      </c>
      <c r="EX19" s="456">
        <f t="shared" si="86"/>
        <v>7.9952964244521342E-5</v>
      </c>
      <c r="EY19" s="456">
        <f t="shared" si="87"/>
        <v>1.6089858392514665E-2</v>
      </c>
      <c r="EZ19" s="456">
        <f t="shared" si="88"/>
        <v>2.861207273596892E-2</v>
      </c>
      <c r="FA19" s="538">
        <f t="shared" si="89"/>
        <v>1.5960000000000003E-4</v>
      </c>
      <c r="FB19" s="144">
        <f t="shared" si="125"/>
        <v>28.77167273596892</v>
      </c>
      <c r="FC19" s="150">
        <f t="shared" si="126"/>
        <v>0.40801122573165949</v>
      </c>
      <c r="FD19" s="5">
        <f t="shared" si="127"/>
        <v>1.1200000000000001</v>
      </c>
      <c r="FE19" s="150">
        <f t="shared" si="128"/>
        <v>0.73297890823001577</v>
      </c>
      <c r="FF19" s="5">
        <f t="shared" si="129"/>
        <v>73.29789082300158</v>
      </c>
      <c r="FG19">
        <f t="shared" si="130"/>
        <v>14.000000000000002</v>
      </c>
      <c r="FI19" s="59">
        <f t="shared" si="90"/>
        <v>-50</v>
      </c>
      <c r="FJ19">
        <f t="shared" si="91"/>
        <v>-50</v>
      </c>
      <c r="FL19">
        <f t="shared" si="92"/>
        <v>0.34520718416626273</v>
      </c>
    </row>
    <row r="20" spans="5:168">
      <c r="E20" s="147">
        <v>15</v>
      </c>
      <c r="F20" s="188">
        <f t="shared" si="131"/>
        <v>0.18</v>
      </c>
      <c r="G20" s="188">
        <f t="shared" si="93"/>
        <v>3.7499999999999999E-2</v>
      </c>
      <c r="H20" s="188">
        <f t="shared" si="0"/>
        <v>0.89999999999999991</v>
      </c>
      <c r="I20" s="188">
        <f t="shared" si="132"/>
        <v>0.3</v>
      </c>
      <c r="J20" s="465">
        <f t="shared" si="1"/>
        <v>47.961732285704137</v>
      </c>
      <c r="K20" s="379">
        <f t="shared" si="2"/>
        <v>5.7145999279017685</v>
      </c>
      <c r="L20" s="149">
        <f t="shared" si="3"/>
        <v>53.676332213605903</v>
      </c>
      <c r="M20" s="379"/>
      <c r="N20" s="188">
        <f t="shared" si="4"/>
        <v>0.1064640539364802</v>
      </c>
      <c r="O20" s="149">
        <f t="shared" si="94"/>
        <v>9.57412584928543</v>
      </c>
      <c r="P20" s="149">
        <f t="shared" si="5"/>
        <v>4.255167044126857</v>
      </c>
      <c r="Q20" s="188">
        <f t="shared" si="6"/>
        <v>1.914825169857086</v>
      </c>
      <c r="R20" s="188">
        <f t="shared" si="7"/>
        <v>1.1967657311606787</v>
      </c>
      <c r="S20" s="379">
        <f t="shared" si="8"/>
        <v>5</v>
      </c>
      <c r="T20" s="188">
        <f t="shared" si="9"/>
        <v>0.47001680057671896</v>
      </c>
      <c r="U20" s="188">
        <f t="shared" si="10"/>
        <v>0.11759795441337284</v>
      </c>
      <c r="V20" s="188">
        <f t="shared" si="11"/>
        <v>0.98698100970850333</v>
      </c>
      <c r="W20" s="172">
        <f t="shared" si="12"/>
        <v>350</v>
      </c>
      <c r="X20" s="379">
        <f t="shared" si="95"/>
        <v>350</v>
      </c>
      <c r="Z20" s="188">
        <f t="shared" si="13"/>
        <v>1.2157620126076734</v>
      </c>
      <c r="AA20" s="150">
        <f t="shared" si="14"/>
        <v>2.5529598458957707</v>
      </c>
      <c r="AB20" s="150">
        <f t="shared" si="15"/>
        <v>0.54316353006174312</v>
      </c>
      <c r="AC20" s="150"/>
      <c r="AD20" s="150">
        <f t="shared" si="16"/>
        <v>2.0998845328453366</v>
      </c>
      <c r="AE20" s="314">
        <f t="shared" si="17"/>
        <v>171.43799783705308</v>
      </c>
      <c r="AF20" s="456">
        <f t="shared" si="18"/>
        <v>0.36747979324793389</v>
      </c>
      <c r="AH20" s="150">
        <f t="shared" si="19"/>
        <v>0.7559289460184544</v>
      </c>
      <c r="AI20" s="150">
        <f t="shared" si="20"/>
        <v>1</v>
      </c>
      <c r="AJ20" s="150">
        <f t="shared" si="21"/>
        <v>1.0979645701926017</v>
      </c>
      <c r="AL20" s="314">
        <f t="shared" si="22"/>
        <v>180</v>
      </c>
      <c r="AM20" s="144">
        <f t="shared" si="23"/>
        <v>171.43799783705308</v>
      </c>
      <c r="AO20">
        <f t="shared" si="96"/>
        <v>180</v>
      </c>
      <c r="AP20" s="144">
        <f t="shared" si="24"/>
        <v>171.43799783705308</v>
      </c>
      <c r="AQ20" s="144"/>
      <c r="AR20" s="5">
        <f t="shared" si="97"/>
        <v>5.8330125912370461</v>
      </c>
      <c r="AS20" s="5">
        <f t="shared" si="25"/>
        <v>0.25019947003825832</v>
      </c>
      <c r="AT20" s="5">
        <f t="shared" si="98"/>
        <v>5.5828131211987877</v>
      </c>
      <c r="AU20" s="150">
        <f t="shared" si="99"/>
        <v>4.2893696203250752E-2</v>
      </c>
      <c r="AW20" s="5">
        <f t="shared" si="26"/>
        <v>0.9007180921377298</v>
      </c>
      <c r="AX20" s="5">
        <f t="shared" si="27"/>
        <v>0.11728100158043357</v>
      </c>
      <c r="AY20" s="5">
        <f t="shared" si="28"/>
        <v>4.3650527632705348E-2</v>
      </c>
      <c r="AZ20" s="5"/>
      <c r="BA20" s="150">
        <f t="shared" si="100"/>
        <v>0.1195738212754653</v>
      </c>
      <c r="BB20" s="150">
        <f t="shared" si="29"/>
        <v>0.56483221809570705</v>
      </c>
      <c r="BC20" s="150">
        <f t="shared" si="30"/>
        <v>0.12625661345668746</v>
      </c>
      <c r="BD20" s="150"/>
      <c r="BE20" s="456">
        <f t="shared" si="31"/>
        <v>2.8595797468833838E-4</v>
      </c>
      <c r="BF20" s="456">
        <f t="shared" si="32"/>
        <v>0.17254055486132081</v>
      </c>
      <c r="BG20" s="456">
        <f t="shared" si="33"/>
        <v>0.20556158389644663</v>
      </c>
      <c r="BH20" s="456">
        <f t="shared" si="34"/>
        <v>4.9393835429632812E-2</v>
      </c>
      <c r="BI20">
        <f t="shared" si="35"/>
        <v>2.158277952856686E-2</v>
      </c>
      <c r="BJ20" s="144">
        <f t="shared" si="101"/>
        <v>227.14436342501349</v>
      </c>
      <c r="BK20">
        <f t="shared" si="36"/>
        <v>0.22231266164465263</v>
      </c>
      <c r="BL20" s="144">
        <f t="shared" si="102"/>
        <v>222.31266164465262</v>
      </c>
      <c r="BM20" s="150">
        <f t="shared" si="37"/>
        <v>0.11182499999999999</v>
      </c>
      <c r="BN20" s="150">
        <f t="shared" si="38"/>
        <v>1.6640624999999999E-2</v>
      </c>
      <c r="BO20" s="456"/>
      <c r="BQ20" s="144">
        <f t="shared" si="103"/>
        <v>128.46562499999999</v>
      </c>
      <c r="BR20" s="456">
        <f t="shared" si="39"/>
        <v>4.2893696203250752E-4</v>
      </c>
      <c r="BS20" s="456">
        <f t="shared" si="104"/>
        <v>9.5710630379674914E-3</v>
      </c>
      <c r="BT20" s="456">
        <f t="shared" si="40"/>
        <v>7.9703662207756965E-5</v>
      </c>
      <c r="BU20" s="456">
        <f t="shared" si="41"/>
        <v>1.924144658888087E-2</v>
      </c>
      <c r="BV20" s="456">
        <f t="shared" si="42"/>
        <v>3.1765894394183154E-2</v>
      </c>
      <c r="BW20" s="538">
        <f t="shared" si="43"/>
        <v>1.7143799783705309E-4</v>
      </c>
      <c r="BX20" s="144">
        <f t="shared" si="105"/>
        <v>31.937332392020206</v>
      </c>
      <c r="BY20" s="150">
        <f t="shared" si="106"/>
        <v>0.38271561903667284</v>
      </c>
      <c r="BZ20" s="5">
        <f t="shared" si="107"/>
        <v>1.2</v>
      </c>
      <c r="CA20" s="150">
        <f t="shared" si="108"/>
        <v>0.75819053376776901</v>
      </c>
      <c r="CB20" s="5">
        <f t="shared" si="109"/>
        <v>75.819053376776907</v>
      </c>
      <c r="CC20">
        <f t="shared" si="110"/>
        <v>15</v>
      </c>
      <c r="CE20" s="59">
        <f t="shared" si="44"/>
        <v>-50</v>
      </c>
      <c r="CF20">
        <f t="shared" si="45"/>
        <v>-50</v>
      </c>
      <c r="CG20" s="150">
        <f t="shared" si="46"/>
        <v>0.36986484017813853</v>
      </c>
      <c r="CH20" s="150">
        <f t="shared" si="47"/>
        <v>0.20065681621798157</v>
      </c>
      <c r="CI20" s="147">
        <v>15</v>
      </c>
      <c r="CJ20" s="188">
        <f t="shared" si="133"/>
        <v>0.18</v>
      </c>
      <c r="CK20" s="188">
        <f t="shared" si="111"/>
        <v>3.7499999999999999E-2</v>
      </c>
      <c r="CL20" s="188">
        <f t="shared" si="48"/>
        <v>0.89999999999999991</v>
      </c>
      <c r="CM20" s="188">
        <f t="shared" si="134"/>
        <v>0.3</v>
      </c>
      <c r="CN20" s="465">
        <f t="shared" si="112"/>
        <v>48</v>
      </c>
      <c r="CO20" s="379">
        <f t="shared" si="49"/>
        <v>5.7</v>
      </c>
      <c r="CP20" s="379">
        <f t="shared" si="50"/>
        <v>53.7</v>
      </c>
      <c r="CQ20" s="379"/>
      <c r="CR20" s="188">
        <f t="shared" si="113"/>
        <v>0.10112359550561799</v>
      </c>
      <c r="CS20" s="149">
        <f t="shared" si="114"/>
        <v>9.1011235955056193</v>
      </c>
      <c r="CT20" s="149">
        <f t="shared" si="51"/>
        <v>4.0449438202247192</v>
      </c>
      <c r="CU20" s="188">
        <f t="shared" si="52"/>
        <v>1.8202247191011238</v>
      </c>
      <c r="CV20" s="188">
        <f t="shared" si="53"/>
        <v>1.1376404494382024</v>
      </c>
      <c r="CW20" s="379">
        <f t="shared" si="54"/>
        <v>5</v>
      </c>
      <c r="CX20" s="188">
        <f t="shared" si="55"/>
        <v>0.49444444444444441</v>
      </c>
      <c r="CY20" s="188">
        <f t="shared" si="56"/>
        <v>0.12361111111111109</v>
      </c>
      <c r="CZ20" s="188">
        <f t="shared" si="57"/>
        <v>1.0409356725146197</v>
      </c>
      <c r="DA20" s="172">
        <f t="shared" si="58"/>
        <v>350</v>
      </c>
      <c r="DB20" s="379">
        <f t="shared" si="115"/>
        <v>350</v>
      </c>
      <c r="DD20" s="188">
        <f t="shared" si="59"/>
        <v>1.2130885873902635</v>
      </c>
      <c r="DE20" s="150">
        <f t="shared" si="60"/>
        <v>2.5538707102952913</v>
      </c>
      <c r="DF20" s="150">
        <f t="shared" si="61"/>
        <v>0.54216249715765974</v>
      </c>
      <c r="DG20" s="150"/>
      <c r="DH20" s="150">
        <f t="shared" si="62"/>
        <v>2.1052631578947367</v>
      </c>
      <c r="DI20" s="314">
        <f t="shared" si="63"/>
        <v>171</v>
      </c>
      <c r="DJ20" s="456">
        <f t="shared" si="64"/>
        <v>0.36842105263157893</v>
      </c>
      <c r="DL20" s="150">
        <f t="shared" si="65"/>
        <v>0.7559289460184544</v>
      </c>
      <c r="DM20" s="150">
        <f t="shared" si="66"/>
        <v>1</v>
      </c>
      <c r="DN20" s="150">
        <f t="shared" si="67"/>
        <v>1.0977142857142856</v>
      </c>
      <c r="DP20" s="314">
        <f t="shared" si="68"/>
        <v>180</v>
      </c>
      <c r="DQ20" s="144">
        <f t="shared" si="69"/>
        <v>171</v>
      </c>
      <c r="DS20">
        <f t="shared" si="116"/>
        <v>180</v>
      </c>
      <c r="DT20" s="144">
        <f t="shared" si="70"/>
        <v>171</v>
      </c>
      <c r="DU20" s="144"/>
      <c r="DV20" s="5">
        <f t="shared" si="117"/>
        <v>5.8479532163742682</v>
      </c>
      <c r="DW20" s="5">
        <f t="shared" si="71"/>
        <v>0.25</v>
      </c>
      <c r="DX20" s="5">
        <f t="shared" si="118"/>
        <v>5.5979532163742682</v>
      </c>
      <c r="DY20" s="150">
        <f t="shared" si="119"/>
        <v>4.2750000000000003E-2</v>
      </c>
      <c r="EA20" s="5">
        <f t="shared" si="72"/>
        <v>0.9</v>
      </c>
      <c r="EB20" s="5">
        <f t="shared" si="73"/>
        <v>0.1171875</v>
      </c>
      <c r="EC20" s="5">
        <f t="shared" si="74"/>
        <v>4.3734009502923964E-2</v>
      </c>
      <c r="ED20" s="5"/>
      <c r="EE20" s="150">
        <f t="shared" si="120"/>
        <v>0.11937336386313323</v>
      </c>
      <c r="EF20" s="150">
        <f t="shared" si="75"/>
        <v>0.56487461735621769</v>
      </c>
      <c r="EG20" s="150">
        <f t="shared" si="76"/>
        <v>0.12626609093844865</v>
      </c>
      <c r="EH20" s="150"/>
      <c r="EI20" s="456">
        <f t="shared" si="77"/>
        <v>2.8500000000000004E-4</v>
      </c>
      <c r="EJ20" s="456">
        <f t="shared" si="78"/>
        <v>0.18365400000000001</v>
      </c>
      <c r="EK20" s="456">
        <f t="shared" si="79"/>
        <v>2.1374999999999998E-2</v>
      </c>
      <c r="EL20" s="456">
        <f t="shared" si="80"/>
        <v>4.9311099000000004E-2</v>
      </c>
      <c r="EM20">
        <f t="shared" si="81"/>
        <v>2.1600000000000001E-2</v>
      </c>
      <c r="EN20" s="144">
        <f t="shared" si="121"/>
        <v>42.975000000000001</v>
      </c>
      <c r="EO20">
        <f t="shared" si="82"/>
        <v>0.27632076033660702</v>
      </c>
      <c r="EP20" s="144">
        <f t="shared" si="122"/>
        <v>276.32076033660701</v>
      </c>
      <c r="EQ20" s="150">
        <f t="shared" si="83"/>
        <v>0.11182499999999999</v>
      </c>
      <c r="ER20" s="150">
        <f t="shared" si="84"/>
        <v>1.6640624999999999E-2</v>
      </c>
      <c r="ES20" s="456"/>
      <c r="EU20" s="144">
        <f t="shared" si="123"/>
        <v>128.46562499999999</v>
      </c>
      <c r="EV20" s="456">
        <f t="shared" si="85"/>
        <v>4.2750000000000004E-4</v>
      </c>
      <c r="EW20" s="456">
        <f t="shared" si="124"/>
        <v>9.5724999999999994E-3</v>
      </c>
      <c r="EX20" s="456">
        <f t="shared" si="86"/>
        <v>7.971562860438292E-5</v>
      </c>
      <c r="EY20" s="456">
        <f t="shared" si="87"/>
        <v>1.9118784601210945E-2</v>
      </c>
      <c r="EZ20" s="456">
        <f t="shared" si="88"/>
        <v>3.1643148295593441E-2</v>
      </c>
      <c r="FA20" s="538">
        <f t="shared" si="89"/>
        <v>1.7100000000000001E-4</v>
      </c>
      <c r="FB20" s="144">
        <f t="shared" si="125"/>
        <v>31.814148295593441</v>
      </c>
      <c r="FC20" s="150">
        <f t="shared" si="126"/>
        <v>0.43660053363220047</v>
      </c>
      <c r="FD20" s="5">
        <f t="shared" si="127"/>
        <v>1.2</v>
      </c>
      <c r="FE20" s="150">
        <f t="shared" si="128"/>
        <v>0.73322718362847639</v>
      </c>
      <c r="FF20" s="5">
        <f t="shared" si="129"/>
        <v>73.322718362847638</v>
      </c>
      <c r="FG20">
        <f t="shared" si="130"/>
        <v>15</v>
      </c>
      <c r="FI20" s="59">
        <f t="shared" si="90"/>
        <v>-50</v>
      </c>
      <c r="FJ20">
        <f t="shared" si="91"/>
        <v>-50</v>
      </c>
      <c r="FL20">
        <f t="shared" si="92"/>
        <v>0.36986484017813859</v>
      </c>
    </row>
    <row r="21" spans="5:168" s="59" customFormat="1">
      <c r="E21" s="147">
        <v>16</v>
      </c>
      <c r="F21" s="188">
        <f t="shared" si="131"/>
        <v>0.192</v>
      </c>
      <c r="G21" s="188">
        <f t="shared" si="93"/>
        <v>0.04</v>
      </c>
      <c r="H21" s="188">
        <f t="shared" si="0"/>
        <v>0.96</v>
      </c>
      <c r="I21" s="188">
        <f t="shared" si="132"/>
        <v>0.32</v>
      </c>
      <c r="J21" s="465">
        <f t="shared" si="1"/>
        <v>47.961732285704137</v>
      </c>
      <c r="K21" s="379">
        <f t="shared" si="2"/>
        <v>5.7145999279017685</v>
      </c>
      <c r="L21" s="149">
        <f t="shared" si="3"/>
        <v>53.676332213605903</v>
      </c>
      <c r="M21" s="379"/>
      <c r="N21" s="188">
        <f t="shared" si="4"/>
        <v>0.1064640539364802</v>
      </c>
      <c r="O21" s="149">
        <f t="shared" si="94"/>
        <v>9.57412584928543</v>
      </c>
      <c r="P21" s="149">
        <f t="shared" si="5"/>
        <v>4.255167044126857</v>
      </c>
      <c r="Q21" s="188">
        <f t="shared" si="6"/>
        <v>1.914825169857086</v>
      </c>
      <c r="R21" s="188">
        <f t="shared" si="7"/>
        <v>1.1967657311606787</v>
      </c>
      <c r="S21" s="379">
        <f t="shared" si="8"/>
        <v>5</v>
      </c>
      <c r="T21" s="188">
        <f t="shared" si="9"/>
        <v>0.50135125394850033</v>
      </c>
      <c r="U21" s="188">
        <f t="shared" si="10"/>
        <v>0.12543781804093107</v>
      </c>
      <c r="V21" s="188">
        <f t="shared" si="11"/>
        <v>1.0527797436890705</v>
      </c>
      <c r="W21" s="172">
        <f t="shared" si="12"/>
        <v>350</v>
      </c>
      <c r="X21" s="379">
        <f t="shared" si="95"/>
        <v>350</v>
      </c>
      <c r="Z21" s="188">
        <f t="shared" si="13"/>
        <v>1.2157620126076734</v>
      </c>
      <c r="AA21" s="150">
        <f t="shared" si="14"/>
        <v>2.5529598458957707</v>
      </c>
      <c r="AB21" s="150">
        <f t="shared" si="15"/>
        <v>0.54316353006174312</v>
      </c>
      <c r="AC21" s="462"/>
      <c r="AD21" s="150">
        <f t="shared" si="16"/>
        <v>2.0998845328453366</v>
      </c>
      <c r="AE21" s="314">
        <f t="shared" si="17"/>
        <v>182.86719769285659</v>
      </c>
      <c r="AF21" s="456">
        <f t="shared" si="18"/>
        <v>0.36747979324793389</v>
      </c>
      <c r="AG21"/>
      <c r="AH21" s="150">
        <f t="shared" si="19"/>
        <v>0.78072005835882652</v>
      </c>
      <c r="AI21" s="150">
        <f t="shared" si="20"/>
        <v>1</v>
      </c>
      <c r="AJ21" s="150">
        <f t="shared" si="21"/>
        <v>1.1044955415387752</v>
      </c>
      <c r="AL21" s="314">
        <f t="shared" si="22"/>
        <v>192</v>
      </c>
      <c r="AM21" s="144">
        <f t="shared" si="23"/>
        <v>182.86719769285659</v>
      </c>
      <c r="AO21">
        <f t="shared" si="96"/>
        <v>192</v>
      </c>
      <c r="AP21" s="144">
        <f t="shared" si="24"/>
        <v>182.86719769285659</v>
      </c>
      <c r="AQ21" s="144"/>
      <c r="AR21" s="5">
        <f t="shared" si="97"/>
        <v>5.4684493042847313</v>
      </c>
      <c r="AS21" s="5">
        <f t="shared" si="25"/>
        <v>0.25019947003825832</v>
      </c>
      <c r="AT21" s="5">
        <f t="shared" si="98"/>
        <v>5.2182498342464729</v>
      </c>
      <c r="AU21" s="150">
        <f t="shared" si="99"/>
        <v>4.5753275950134134E-2</v>
      </c>
      <c r="AW21" s="5">
        <f t="shared" si="26"/>
        <v>0.96076596494691191</v>
      </c>
      <c r="AX21" s="5">
        <f t="shared" si="27"/>
        <v>0.12509973501912916</v>
      </c>
      <c r="AY21" s="5">
        <f t="shared" si="28"/>
        <v>4.3520111435189891E-2</v>
      </c>
      <c r="AZ21" s="5"/>
      <c r="BA21" s="150">
        <f t="shared" si="100"/>
        <v>0.12349531158460246</v>
      </c>
      <c r="BB21" s="150">
        <f t="shared" si="29"/>
        <v>0.56398780248331193</v>
      </c>
      <c r="BC21" s="150">
        <f t="shared" si="30"/>
        <v>0.12606786173156384</v>
      </c>
      <c r="BD21" s="150"/>
      <c r="BE21" s="456">
        <f t="shared" si="31"/>
        <v>3.0502183966756095E-4</v>
      </c>
      <c r="BF21" s="456">
        <f t="shared" si="32"/>
        <v>0.1840432585187422</v>
      </c>
      <c r="BG21" s="456">
        <f t="shared" si="33"/>
        <v>0.21926568948954303</v>
      </c>
      <c r="BH21" s="456">
        <f t="shared" si="34"/>
        <v>5.2686757791608328E-2</v>
      </c>
      <c r="BI21">
        <f t="shared" si="35"/>
        <v>2.158277952856686E-2</v>
      </c>
      <c r="BJ21" s="144">
        <f t="shared" si="101"/>
        <v>240.84846901810988</v>
      </c>
      <c r="BK21">
        <f t="shared" si="36"/>
        <v>0.23713457994598411</v>
      </c>
      <c r="BL21" s="144">
        <f t="shared" si="102"/>
        <v>237.13457994598411</v>
      </c>
      <c r="BM21" s="150">
        <f t="shared" si="37"/>
        <v>0.11927999999999998</v>
      </c>
      <c r="BN21" s="150">
        <f t="shared" si="38"/>
        <v>1.7749999999999998E-2</v>
      </c>
      <c r="BO21" s="456"/>
      <c r="BQ21" s="144">
        <f t="shared" si="103"/>
        <v>137.02999999999997</v>
      </c>
      <c r="BR21" s="456">
        <f t="shared" si="39"/>
        <v>4.575327595013414E-4</v>
      </c>
      <c r="BS21" s="456">
        <f t="shared" si="104"/>
        <v>9.5424672404986581E-3</v>
      </c>
      <c r="BT21" s="456">
        <f t="shared" si="40"/>
        <v>7.9465528807843487E-5</v>
      </c>
      <c r="BU21" s="456">
        <f t="shared" si="41"/>
        <v>2.2610466799517427E-2</v>
      </c>
      <c r="BV21" s="456">
        <f t="shared" si="42"/>
        <v>3.5137337301647635E-2</v>
      </c>
      <c r="BW21" s="538">
        <f t="shared" si="43"/>
        <v>1.828671976928566E-4</v>
      </c>
      <c r="BX21" s="144">
        <f t="shared" si="105"/>
        <v>35.320204499340491</v>
      </c>
      <c r="BY21" s="150">
        <f t="shared" si="106"/>
        <v>0.40948478444532455</v>
      </c>
      <c r="BZ21" s="5">
        <f t="shared" si="107"/>
        <v>1.28</v>
      </c>
      <c r="CA21" s="150">
        <f t="shared" si="108"/>
        <v>0.75762742096563918</v>
      </c>
      <c r="CB21" s="5">
        <f t="shared" si="109"/>
        <v>75.762742096563912</v>
      </c>
      <c r="CC21">
        <f t="shared" si="110"/>
        <v>16</v>
      </c>
      <c r="CE21" s="59">
        <f t="shared" si="44"/>
        <v>-50</v>
      </c>
      <c r="CF21">
        <f t="shared" si="45"/>
        <v>-50</v>
      </c>
      <c r="CG21" s="150">
        <f t="shared" si="46"/>
        <v>0.39452249619001445</v>
      </c>
      <c r="CH21" s="150">
        <f t="shared" si="47"/>
        <v>0.21403393729918038</v>
      </c>
      <c r="CI21" s="147">
        <v>16</v>
      </c>
      <c r="CJ21" s="188">
        <f t="shared" si="133"/>
        <v>0.192</v>
      </c>
      <c r="CK21" s="188">
        <f t="shared" si="111"/>
        <v>0.04</v>
      </c>
      <c r="CL21" s="188">
        <f t="shared" si="48"/>
        <v>0.96</v>
      </c>
      <c r="CM21" s="188">
        <f t="shared" si="134"/>
        <v>0.32</v>
      </c>
      <c r="CN21" s="465">
        <f t="shared" si="112"/>
        <v>48</v>
      </c>
      <c r="CO21" s="379">
        <f t="shared" si="49"/>
        <v>5.7</v>
      </c>
      <c r="CP21" s="379">
        <f t="shared" si="50"/>
        <v>53.7</v>
      </c>
      <c r="CQ21" s="379"/>
      <c r="CR21" s="188">
        <f t="shared" si="113"/>
        <v>0.10112359550561799</v>
      </c>
      <c r="CS21" s="149">
        <f t="shared" si="114"/>
        <v>9.1011235955056193</v>
      </c>
      <c r="CT21" s="149">
        <f t="shared" si="51"/>
        <v>4.0449438202247192</v>
      </c>
      <c r="CU21" s="188">
        <f t="shared" si="52"/>
        <v>1.8202247191011238</v>
      </c>
      <c r="CV21" s="188">
        <f t="shared" si="53"/>
        <v>1.1376404494382024</v>
      </c>
      <c r="CW21" s="379">
        <f t="shared" si="54"/>
        <v>5</v>
      </c>
      <c r="CX21" s="188">
        <f t="shared" si="55"/>
        <v>0.52740740740740744</v>
      </c>
      <c r="CY21" s="188">
        <f t="shared" si="56"/>
        <v>0.13185185185185186</v>
      </c>
      <c r="CZ21" s="188">
        <f t="shared" si="57"/>
        <v>1.1103313840155946</v>
      </c>
      <c r="DA21" s="172">
        <f t="shared" si="58"/>
        <v>350</v>
      </c>
      <c r="DB21" s="379">
        <f t="shared" si="115"/>
        <v>350</v>
      </c>
      <c r="DD21" s="188">
        <f t="shared" si="59"/>
        <v>1.2130885873902635</v>
      </c>
      <c r="DE21" s="150">
        <f t="shared" si="60"/>
        <v>2.5538707102952913</v>
      </c>
      <c r="DF21" s="150">
        <f t="shared" si="61"/>
        <v>0.54216249715765974</v>
      </c>
      <c r="DG21" s="462"/>
      <c r="DH21" s="150">
        <f t="shared" si="62"/>
        <v>2.1052631578947367</v>
      </c>
      <c r="DI21" s="314">
        <f t="shared" si="63"/>
        <v>182.4</v>
      </c>
      <c r="DJ21" s="456">
        <f t="shared" si="64"/>
        <v>0.36842105263157893</v>
      </c>
      <c r="DK21"/>
      <c r="DL21" s="150">
        <f t="shared" si="65"/>
        <v>0.78072005835882652</v>
      </c>
      <c r="DM21" s="150">
        <f t="shared" si="66"/>
        <v>1</v>
      </c>
      <c r="DN21" s="150">
        <f t="shared" si="67"/>
        <v>1.1042285714285713</v>
      </c>
      <c r="DP21" s="314">
        <f t="shared" si="68"/>
        <v>192</v>
      </c>
      <c r="DQ21" s="144">
        <f t="shared" si="69"/>
        <v>182.4</v>
      </c>
      <c r="DS21">
        <f t="shared" si="116"/>
        <v>192</v>
      </c>
      <c r="DT21" s="144">
        <f t="shared" si="70"/>
        <v>182.4</v>
      </c>
      <c r="DU21" s="144"/>
      <c r="DV21" s="5">
        <f t="shared" si="117"/>
        <v>5.4824561403508767</v>
      </c>
      <c r="DW21" s="5">
        <f t="shared" si="71"/>
        <v>0.25</v>
      </c>
      <c r="DX21" s="5">
        <f t="shared" si="118"/>
        <v>5.2324561403508767</v>
      </c>
      <c r="DY21" s="150">
        <f t="shared" si="119"/>
        <v>4.5600000000000002E-2</v>
      </c>
      <c r="EA21" s="5">
        <f t="shared" si="72"/>
        <v>0.96000000000000008</v>
      </c>
      <c r="EB21" s="5">
        <f t="shared" si="73"/>
        <v>0.125</v>
      </c>
      <c r="EC21" s="5">
        <f t="shared" si="74"/>
        <v>4.3603801169590631E-2</v>
      </c>
      <c r="ED21" s="5"/>
      <c r="EE21" s="150">
        <f t="shared" si="120"/>
        <v>0.12328828005937953</v>
      </c>
      <c r="EF21" s="150">
        <f t="shared" si="75"/>
        <v>0.56403309595566586</v>
      </c>
      <c r="EG21" s="150">
        <f t="shared" si="76"/>
        <v>0.1260779861547959</v>
      </c>
      <c r="EH21" s="150"/>
      <c r="EI21" s="456">
        <f t="shared" si="77"/>
        <v>3.0400000000000002E-4</v>
      </c>
      <c r="EJ21" s="456">
        <f t="shared" si="78"/>
        <v>0.19589760000000003</v>
      </c>
      <c r="EK21" s="456">
        <f t="shared" si="79"/>
        <v>2.2799999999999997E-2</v>
      </c>
      <c r="EL21" s="456">
        <f t="shared" si="80"/>
        <v>5.2598505600000012E-2</v>
      </c>
      <c r="EM21">
        <f t="shared" si="81"/>
        <v>2.1600000000000001E-2</v>
      </c>
      <c r="EN21" s="144">
        <f t="shared" si="121"/>
        <v>44.399999999999991</v>
      </c>
      <c r="EO21">
        <f t="shared" si="82"/>
        <v>0.29330337101981019</v>
      </c>
      <c r="EP21" s="144">
        <f t="shared" si="122"/>
        <v>293.30337101981019</v>
      </c>
      <c r="EQ21" s="150">
        <f t="shared" si="83"/>
        <v>0.11927999999999998</v>
      </c>
      <c r="ER21" s="150">
        <f t="shared" si="84"/>
        <v>1.7749999999999998E-2</v>
      </c>
      <c r="ES21" s="456"/>
      <c r="EU21" s="144">
        <f t="shared" si="123"/>
        <v>137.02999999999997</v>
      </c>
      <c r="EV21" s="456">
        <f t="shared" si="85"/>
        <v>4.5599999999999997E-4</v>
      </c>
      <c r="EW21" s="456">
        <f t="shared" si="124"/>
        <v>9.5440000000000004E-3</v>
      </c>
      <c r="EX21" s="456">
        <f t="shared" si="86"/>
        <v>7.9478292964244525E-5</v>
      </c>
      <c r="EY21" s="456">
        <f t="shared" si="87"/>
        <v>2.2466327699218365E-2</v>
      </c>
      <c r="EZ21" s="456">
        <f t="shared" si="88"/>
        <v>3.4993097756032869E-2</v>
      </c>
      <c r="FA21" s="538">
        <f t="shared" si="89"/>
        <v>1.8240000000000002E-4</v>
      </c>
      <c r="FB21" s="144">
        <f t="shared" si="125"/>
        <v>35.175497756032868</v>
      </c>
      <c r="FC21" s="150">
        <f t="shared" si="126"/>
        <v>0.46550886877584308</v>
      </c>
      <c r="FD21" s="5">
        <f t="shared" si="127"/>
        <v>1.28</v>
      </c>
      <c r="FE21" s="150">
        <f t="shared" si="128"/>
        <v>0.73331051070378528</v>
      </c>
      <c r="FF21" s="5">
        <f t="shared" si="129"/>
        <v>73.331051070378521</v>
      </c>
      <c r="FG21">
        <f t="shared" si="130"/>
        <v>16</v>
      </c>
      <c r="FI21" s="59">
        <f t="shared" si="90"/>
        <v>-50</v>
      </c>
      <c r="FJ21">
        <f t="shared" si="91"/>
        <v>-50</v>
      </c>
      <c r="FL21">
        <f t="shared" si="92"/>
        <v>0.39452249619001445</v>
      </c>
    </row>
    <row r="22" spans="5:168">
      <c r="E22" s="147">
        <v>17</v>
      </c>
      <c r="F22" s="188">
        <f t="shared" si="131"/>
        <v>0.20400000000000001</v>
      </c>
      <c r="G22" s="188">
        <f t="shared" si="93"/>
        <v>4.2500000000000003E-2</v>
      </c>
      <c r="H22" s="188">
        <f t="shared" si="0"/>
        <v>1.02</v>
      </c>
      <c r="I22" s="188">
        <f t="shared" si="132"/>
        <v>0.34</v>
      </c>
      <c r="J22" s="465">
        <f t="shared" si="1"/>
        <v>47.961732285704137</v>
      </c>
      <c r="K22" s="379">
        <f t="shared" si="2"/>
        <v>5.7145999279017685</v>
      </c>
      <c r="L22" s="149">
        <f t="shared" si="3"/>
        <v>53.676332213605903</v>
      </c>
      <c r="M22" s="379"/>
      <c r="N22" s="188">
        <f t="shared" si="4"/>
        <v>0.1064640539364802</v>
      </c>
      <c r="O22" s="149">
        <f t="shared" si="94"/>
        <v>9.57412584928543</v>
      </c>
      <c r="P22" s="149">
        <f t="shared" si="5"/>
        <v>4.255167044126857</v>
      </c>
      <c r="Q22" s="188">
        <f t="shared" si="6"/>
        <v>1.914825169857086</v>
      </c>
      <c r="R22" s="188">
        <f t="shared" si="7"/>
        <v>1.1967657311606787</v>
      </c>
      <c r="S22" s="379">
        <f t="shared" si="8"/>
        <v>5</v>
      </c>
      <c r="T22" s="188">
        <f t="shared" si="9"/>
        <v>0.53268570732028153</v>
      </c>
      <c r="U22" s="188">
        <f t="shared" si="10"/>
        <v>0.13327768166848925</v>
      </c>
      <c r="V22" s="188">
        <f t="shared" si="11"/>
        <v>1.1185784776696373</v>
      </c>
      <c r="W22" s="172">
        <f t="shared" si="12"/>
        <v>350</v>
      </c>
      <c r="X22" s="379">
        <f t="shared" si="95"/>
        <v>350</v>
      </c>
      <c r="Z22" s="188">
        <f t="shared" si="13"/>
        <v>1.2157620126076734</v>
      </c>
      <c r="AA22" s="150">
        <f t="shared" si="14"/>
        <v>2.5529598458957707</v>
      </c>
      <c r="AB22" s="150">
        <f t="shared" si="15"/>
        <v>0.54316353006174312</v>
      </c>
      <c r="AC22" s="150"/>
      <c r="AD22" s="150">
        <f t="shared" si="16"/>
        <v>2.0998845328453366</v>
      </c>
      <c r="AE22" s="314">
        <f t="shared" si="17"/>
        <v>194.29639754866017</v>
      </c>
      <c r="AF22" s="456">
        <f t="shared" si="18"/>
        <v>0.36747979324793389</v>
      </c>
      <c r="AH22" s="150">
        <f t="shared" si="19"/>
        <v>0.80474781616295654</v>
      </c>
      <c r="AI22" s="150">
        <f t="shared" si="20"/>
        <v>1</v>
      </c>
      <c r="AJ22" s="150">
        <f t="shared" si="21"/>
        <v>1.1110265128849486</v>
      </c>
      <c r="AL22" s="314">
        <f t="shared" si="22"/>
        <v>204.00000000000003</v>
      </c>
      <c r="AM22" s="144">
        <f t="shared" si="23"/>
        <v>194.29639754866017</v>
      </c>
      <c r="AO22">
        <f t="shared" si="96"/>
        <v>204.00000000000003</v>
      </c>
      <c r="AP22" s="144">
        <f t="shared" si="24"/>
        <v>194.29639754866017</v>
      </c>
      <c r="AQ22" s="144"/>
      <c r="AR22" s="5">
        <f t="shared" si="97"/>
        <v>5.1467758157973931</v>
      </c>
      <c r="AS22" s="5">
        <f t="shared" si="25"/>
        <v>0.25019947003825832</v>
      </c>
      <c r="AT22" s="5">
        <f t="shared" si="98"/>
        <v>4.8965763457591347</v>
      </c>
      <c r="AU22" s="150">
        <f t="shared" si="99"/>
        <v>4.8612855697017524E-2</v>
      </c>
      <c r="AW22" s="5">
        <f t="shared" si="26"/>
        <v>1.020813837756094</v>
      </c>
      <c r="AX22" s="5">
        <f t="shared" si="27"/>
        <v>0.13291846845782473</v>
      </c>
      <c r="AY22" s="5">
        <f t="shared" si="28"/>
        <v>4.3389695237674414E-2</v>
      </c>
      <c r="AZ22" s="5"/>
      <c r="BA22" s="150">
        <f t="shared" si="100"/>
        <v>0.12729605348297007</v>
      </c>
      <c r="BB22" s="150">
        <f t="shared" si="29"/>
        <v>0.56314212069511738</v>
      </c>
      <c r="BC22" s="150">
        <f t="shared" si="30"/>
        <v>0.12587882697890859</v>
      </c>
      <c r="BD22" s="150"/>
      <c r="BE22" s="456">
        <f t="shared" si="31"/>
        <v>3.2408570464678357E-4</v>
      </c>
      <c r="BF22" s="456">
        <f t="shared" si="32"/>
        <v>0.19554596217616363</v>
      </c>
      <c r="BG22" s="456">
        <f t="shared" si="33"/>
        <v>0.23296979508263951</v>
      </c>
      <c r="BH22" s="456">
        <f t="shared" si="34"/>
        <v>5.5979680153583865E-2</v>
      </c>
      <c r="BI22">
        <f t="shared" si="35"/>
        <v>2.158277952856686E-2</v>
      </c>
      <c r="BJ22" s="144">
        <f t="shared" si="101"/>
        <v>254.55257461120638</v>
      </c>
      <c r="BK22">
        <f t="shared" si="36"/>
        <v>0.25195663253161682</v>
      </c>
      <c r="BL22" s="144">
        <f t="shared" si="102"/>
        <v>251.95663253161683</v>
      </c>
      <c r="BM22" s="150">
        <f t="shared" si="37"/>
        <v>0.12673500000000001</v>
      </c>
      <c r="BN22" s="150">
        <f t="shared" si="38"/>
        <v>1.8859375000000001E-2</v>
      </c>
      <c r="BO22" s="456"/>
      <c r="BQ22" s="144">
        <f t="shared" si="103"/>
        <v>145.59437500000001</v>
      </c>
      <c r="BR22" s="456">
        <f t="shared" si="39"/>
        <v>4.8612855697017533E-4</v>
      </c>
      <c r="BS22" s="456">
        <f t="shared" si="104"/>
        <v>9.513871443029823E-3</v>
      </c>
      <c r="BT22" s="456">
        <f t="shared" si="40"/>
        <v>7.9227395407930023E-5</v>
      </c>
      <c r="BU22" s="456">
        <f t="shared" si="41"/>
        <v>2.631066805296017E-2</v>
      </c>
      <c r="BV22" s="456">
        <f t="shared" si="42"/>
        <v>3.8840228382782775E-2</v>
      </c>
      <c r="BW22" s="538">
        <f t="shared" si="43"/>
        <v>1.9429639754866019E-4</v>
      </c>
      <c r="BX22" s="144">
        <f t="shared" si="105"/>
        <v>39.034524780331431</v>
      </c>
      <c r="BY22" s="150">
        <f t="shared" si="106"/>
        <v>0.4365855323119483</v>
      </c>
      <c r="BZ22" s="5">
        <f t="shared" si="107"/>
        <v>1.36</v>
      </c>
      <c r="CA22" s="150">
        <f t="shared" si="108"/>
        <v>0.75699151281145782</v>
      </c>
      <c r="CB22" s="5">
        <f t="shared" si="109"/>
        <v>75.699151281145788</v>
      </c>
      <c r="CC22">
        <f t="shared" si="110"/>
        <v>17</v>
      </c>
      <c r="CE22" s="59">
        <f t="shared" si="44"/>
        <v>-50</v>
      </c>
      <c r="CF22">
        <f t="shared" si="45"/>
        <v>-50</v>
      </c>
      <c r="CG22" s="150">
        <f t="shared" si="46"/>
        <v>0.41918015220189037</v>
      </c>
      <c r="CH22" s="150">
        <f t="shared" si="47"/>
        <v>0.22741105838037914</v>
      </c>
      <c r="CI22" s="147">
        <v>17</v>
      </c>
      <c r="CJ22" s="188">
        <f t="shared" si="133"/>
        <v>0.20400000000000001</v>
      </c>
      <c r="CK22" s="188">
        <f t="shared" si="111"/>
        <v>4.2500000000000003E-2</v>
      </c>
      <c r="CL22" s="188">
        <f t="shared" si="48"/>
        <v>1.02</v>
      </c>
      <c r="CM22" s="188">
        <f t="shared" si="134"/>
        <v>0.34</v>
      </c>
      <c r="CN22" s="465">
        <f t="shared" si="112"/>
        <v>48</v>
      </c>
      <c r="CO22" s="379">
        <f t="shared" si="49"/>
        <v>5.7</v>
      </c>
      <c r="CP22" s="379">
        <f t="shared" si="50"/>
        <v>53.7</v>
      </c>
      <c r="CQ22" s="379"/>
      <c r="CR22" s="188">
        <f t="shared" si="113"/>
        <v>0.10112359550561799</v>
      </c>
      <c r="CS22" s="149">
        <f t="shared" si="114"/>
        <v>9.1011235955056193</v>
      </c>
      <c r="CT22" s="149">
        <f t="shared" si="51"/>
        <v>4.0449438202247192</v>
      </c>
      <c r="CU22" s="188">
        <f t="shared" si="52"/>
        <v>1.8202247191011238</v>
      </c>
      <c r="CV22" s="188">
        <f t="shared" si="53"/>
        <v>1.1376404494382024</v>
      </c>
      <c r="CW22" s="379">
        <f t="shared" si="54"/>
        <v>5</v>
      </c>
      <c r="CX22" s="188">
        <f t="shared" si="55"/>
        <v>0.56037037037037041</v>
      </c>
      <c r="CY22" s="188">
        <f t="shared" si="56"/>
        <v>0.1400925925925926</v>
      </c>
      <c r="CZ22" s="188">
        <f t="shared" si="57"/>
        <v>1.1797270955165693</v>
      </c>
      <c r="DA22" s="172">
        <f t="shared" si="58"/>
        <v>350</v>
      </c>
      <c r="DB22" s="379">
        <f t="shared" si="115"/>
        <v>350</v>
      </c>
      <c r="DD22" s="188">
        <f t="shared" si="59"/>
        <v>1.2130885873902635</v>
      </c>
      <c r="DE22" s="150">
        <f t="shared" si="60"/>
        <v>2.5538707102952913</v>
      </c>
      <c r="DF22" s="150">
        <f t="shared" si="61"/>
        <v>0.54216249715765974</v>
      </c>
      <c r="DG22" s="150"/>
      <c r="DH22" s="150">
        <f t="shared" si="62"/>
        <v>2.1052631578947367</v>
      </c>
      <c r="DI22" s="314">
        <f t="shared" si="63"/>
        <v>193.80000000000004</v>
      </c>
      <c r="DJ22" s="456">
        <f t="shared" si="64"/>
        <v>0.36842105263157893</v>
      </c>
      <c r="DL22" s="150">
        <f t="shared" si="65"/>
        <v>0.80474781616295654</v>
      </c>
      <c r="DM22" s="150">
        <f t="shared" si="66"/>
        <v>1</v>
      </c>
      <c r="DN22" s="150">
        <f t="shared" si="67"/>
        <v>1.1107428571428573</v>
      </c>
      <c r="DP22" s="314">
        <f t="shared" si="68"/>
        <v>204.00000000000003</v>
      </c>
      <c r="DQ22" s="144">
        <f t="shared" si="69"/>
        <v>193.80000000000004</v>
      </c>
      <c r="DS22">
        <f t="shared" si="116"/>
        <v>204.00000000000003</v>
      </c>
      <c r="DT22" s="144">
        <f t="shared" si="70"/>
        <v>193.80000000000004</v>
      </c>
      <c r="DU22" s="144"/>
      <c r="DV22" s="5">
        <f t="shared" si="117"/>
        <v>5.1599587203302368</v>
      </c>
      <c r="DW22" s="5">
        <f t="shared" si="71"/>
        <v>0.25</v>
      </c>
      <c r="DX22" s="5">
        <f t="shared" si="118"/>
        <v>4.9099587203302368</v>
      </c>
      <c r="DY22" s="150">
        <f t="shared" si="119"/>
        <v>4.8450000000000007E-2</v>
      </c>
      <c r="EA22" s="5">
        <f t="shared" si="72"/>
        <v>1.02</v>
      </c>
      <c r="EB22" s="5">
        <f t="shared" si="73"/>
        <v>0.1328125</v>
      </c>
      <c r="EC22" s="5">
        <f t="shared" si="74"/>
        <v>4.3473592836257305E-2</v>
      </c>
      <c r="ED22" s="5"/>
      <c r="EE22" s="150">
        <f t="shared" si="120"/>
        <v>0.12708265027138835</v>
      </c>
      <c r="EF22" s="150">
        <f t="shared" si="75"/>
        <v>0.56319031715161205</v>
      </c>
      <c r="EG22" s="150">
        <f t="shared" si="76"/>
        <v>0.12588960030447799</v>
      </c>
      <c r="EH22" s="150"/>
      <c r="EI22" s="456">
        <f t="shared" si="77"/>
        <v>3.2300000000000004E-4</v>
      </c>
      <c r="EJ22" s="456">
        <f t="shared" si="78"/>
        <v>0.20814120000000008</v>
      </c>
      <c r="EK22" s="456">
        <f t="shared" si="79"/>
        <v>2.4225000000000003E-2</v>
      </c>
      <c r="EL22" s="456">
        <f t="shared" si="80"/>
        <v>5.5885912200000019E-2</v>
      </c>
      <c r="EM22">
        <f t="shared" si="81"/>
        <v>2.1600000000000001E-2</v>
      </c>
      <c r="EN22" s="144">
        <f t="shared" si="121"/>
        <v>45.825000000000003</v>
      </c>
      <c r="EO22">
        <f t="shared" si="82"/>
        <v>0.31028613504737707</v>
      </c>
      <c r="EP22" s="144">
        <f t="shared" si="122"/>
        <v>310.28613504737706</v>
      </c>
      <c r="EQ22" s="150">
        <f t="shared" si="83"/>
        <v>0.12673500000000001</v>
      </c>
      <c r="ER22" s="150">
        <f t="shared" si="84"/>
        <v>1.8859375000000001E-2</v>
      </c>
      <c r="ES22" s="456"/>
      <c r="EU22" s="144">
        <f t="shared" si="123"/>
        <v>145.59437500000001</v>
      </c>
      <c r="EV22" s="456">
        <f t="shared" si="85"/>
        <v>4.8450000000000001E-4</v>
      </c>
      <c r="EW22" s="456">
        <f t="shared" si="124"/>
        <v>9.5155000000000014E-3</v>
      </c>
      <c r="EX22" s="456">
        <f t="shared" si="86"/>
        <v>7.9240957324106117E-5</v>
      </c>
      <c r="EY22" s="456">
        <f t="shared" si="87"/>
        <v>2.6142940599341132E-2</v>
      </c>
      <c r="EZ22" s="456">
        <f t="shared" si="88"/>
        <v>3.8672382447309445E-2</v>
      </c>
      <c r="FA22" s="538">
        <f t="shared" si="89"/>
        <v>1.9380000000000005E-4</v>
      </c>
      <c r="FB22" s="144">
        <f t="shared" si="125"/>
        <v>38.866182447309448</v>
      </c>
      <c r="FC22" s="150">
        <f t="shared" si="126"/>
        <v>0.4947466924946865</v>
      </c>
      <c r="FD22" s="5">
        <f t="shared" si="127"/>
        <v>1.36</v>
      </c>
      <c r="FE22" s="150">
        <f t="shared" si="128"/>
        <v>0.73325376748388316</v>
      </c>
      <c r="FF22" s="5">
        <f t="shared" si="129"/>
        <v>73.325376748388322</v>
      </c>
      <c r="FG22">
        <f t="shared" si="130"/>
        <v>17</v>
      </c>
      <c r="FI22" s="59">
        <f t="shared" si="90"/>
        <v>-50</v>
      </c>
      <c r="FJ22">
        <f t="shared" si="91"/>
        <v>-50</v>
      </c>
      <c r="FL22">
        <f t="shared" si="92"/>
        <v>0.41918015220189048</v>
      </c>
    </row>
    <row r="23" spans="5:168">
      <c r="E23" s="147">
        <v>18</v>
      </c>
      <c r="F23" s="188">
        <f t="shared" si="131"/>
        <v>0.216</v>
      </c>
      <c r="G23" s="188">
        <f t="shared" si="93"/>
        <v>4.4999999999999998E-2</v>
      </c>
      <c r="H23" s="188">
        <f t="shared" si="0"/>
        <v>1.08</v>
      </c>
      <c r="I23" s="188">
        <f t="shared" si="132"/>
        <v>0.36</v>
      </c>
      <c r="J23" s="465">
        <f t="shared" si="1"/>
        <v>47.961732285704137</v>
      </c>
      <c r="K23" s="379">
        <f t="shared" si="2"/>
        <v>5.7145999279017685</v>
      </c>
      <c r="L23" s="149">
        <f t="shared" si="3"/>
        <v>53.676332213605903</v>
      </c>
      <c r="M23" s="379"/>
      <c r="N23" s="188">
        <f t="shared" si="4"/>
        <v>0.1064640539364802</v>
      </c>
      <c r="O23" s="149">
        <f t="shared" si="94"/>
        <v>9.57412584928543</v>
      </c>
      <c r="P23" s="149">
        <f t="shared" si="5"/>
        <v>4.255167044126857</v>
      </c>
      <c r="Q23" s="188">
        <f t="shared" si="6"/>
        <v>1.914825169857086</v>
      </c>
      <c r="R23" s="188">
        <f t="shared" si="7"/>
        <v>1.1967657311606787</v>
      </c>
      <c r="S23" s="379">
        <f t="shared" si="8"/>
        <v>5</v>
      </c>
      <c r="T23" s="188">
        <f t="shared" si="9"/>
        <v>0.56402016069206273</v>
      </c>
      <c r="U23" s="188">
        <f t="shared" si="10"/>
        <v>0.14111754529604742</v>
      </c>
      <c r="V23" s="188">
        <f t="shared" si="11"/>
        <v>1.184377211650204</v>
      </c>
      <c r="W23" s="172">
        <f t="shared" si="12"/>
        <v>350</v>
      </c>
      <c r="X23" s="379">
        <f t="shared" si="95"/>
        <v>350</v>
      </c>
      <c r="Z23" s="188">
        <f t="shared" si="13"/>
        <v>1.2157620126076734</v>
      </c>
      <c r="AA23" s="150">
        <f t="shared" si="14"/>
        <v>2.5529598458957707</v>
      </c>
      <c r="AB23" s="150">
        <f t="shared" si="15"/>
        <v>0.54316353006174312</v>
      </c>
      <c r="AC23" s="150"/>
      <c r="AD23" s="150">
        <f t="shared" si="16"/>
        <v>2.0998845328453366</v>
      </c>
      <c r="AE23" s="314">
        <f t="shared" si="17"/>
        <v>205.72559740446368</v>
      </c>
      <c r="AF23" s="456">
        <f t="shared" si="18"/>
        <v>0.36747979324793389</v>
      </c>
      <c r="AH23" s="150">
        <f t="shared" si="19"/>
        <v>0.82807867121082501</v>
      </c>
      <c r="AI23" s="150">
        <f t="shared" si="20"/>
        <v>1</v>
      </c>
      <c r="AJ23" s="150">
        <f t="shared" si="21"/>
        <v>1.117557484231122</v>
      </c>
      <c r="AL23" s="314">
        <f t="shared" si="22"/>
        <v>216</v>
      </c>
      <c r="AM23" s="144">
        <f t="shared" si="23"/>
        <v>205.72559740446368</v>
      </c>
      <c r="AO23">
        <f t="shared" si="96"/>
        <v>216</v>
      </c>
      <c r="AP23" s="144">
        <f t="shared" si="24"/>
        <v>205.72559740446368</v>
      </c>
      <c r="AQ23" s="144"/>
      <c r="AR23" s="5">
        <f t="shared" si="97"/>
        <v>4.8608438260308713</v>
      </c>
      <c r="AS23" s="5">
        <f t="shared" si="25"/>
        <v>0.25019947003825832</v>
      </c>
      <c r="AT23" s="5">
        <f t="shared" si="98"/>
        <v>4.6106443559926129</v>
      </c>
      <c r="AU23" s="150">
        <f t="shared" si="99"/>
        <v>5.1472435443900906E-2</v>
      </c>
      <c r="AW23" s="5">
        <f t="shared" si="26"/>
        <v>1.0808617105652758</v>
      </c>
      <c r="AX23" s="5">
        <f t="shared" si="27"/>
        <v>0.14073720189652031</v>
      </c>
      <c r="AY23" s="5">
        <f t="shared" si="28"/>
        <v>4.3259279040158943E-2</v>
      </c>
      <c r="AZ23" s="5"/>
      <c r="BA23" s="150">
        <f t="shared" si="100"/>
        <v>0.13098655839932699</v>
      </c>
      <c r="BB23" s="150">
        <f t="shared" si="29"/>
        <v>0.56229516701820681</v>
      </c>
      <c r="BC23" s="150">
        <f t="shared" si="30"/>
        <v>0.12568950792171682</v>
      </c>
      <c r="BD23" s="150"/>
      <c r="BE23" s="456">
        <f t="shared" si="31"/>
        <v>3.4314956962600604E-4</v>
      </c>
      <c r="BF23" s="456">
        <f t="shared" si="32"/>
        <v>0.20704866583358497</v>
      </c>
      <c r="BG23" s="456">
        <f t="shared" si="33"/>
        <v>0.24667390067573591</v>
      </c>
      <c r="BH23" s="456">
        <f t="shared" si="34"/>
        <v>5.9272602515559381E-2</v>
      </c>
      <c r="BI23">
        <f t="shared" si="35"/>
        <v>2.158277952856686E-2</v>
      </c>
      <c r="BJ23" s="144">
        <f t="shared" si="101"/>
        <v>268.25668020430277</v>
      </c>
      <c r="BK23">
        <f t="shared" si="36"/>
        <v>0.26677881940337572</v>
      </c>
      <c r="BL23" s="144">
        <f t="shared" si="102"/>
        <v>266.77881940337573</v>
      </c>
      <c r="BM23" s="150">
        <f t="shared" si="37"/>
        <v>0.13419</v>
      </c>
      <c r="BN23" s="150">
        <f t="shared" si="38"/>
        <v>1.9968749999999997E-2</v>
      </c>
      <c r="BO23" s="456"/>
      <c r="BQ23" s="144">
        <f t="shared" si="103"/>
        <v>154.15875</v>
      </c>
      <c r="BR23" s="456">
        <f t="shared" si="39"/>
        <v>5.14724354439009E-4</v>
      </c>
      <c r="BS23" s="456">
        <f t="shared" si="104"/>
        <v>9.4852756455609932E-3</v>
      </c>
      <c r="BT23" s="456">
        <f t="shared" si="40"/>
        <v>7.8989262008016573E-5</v>
      </c>
      <c r="BU23" s="456">
        <f t="shared" si="41"/>
        <v>3.0352246086991372E-2</v>
      </c>
      <c r="BV23" s="456">
        <f t="shared" si="42"/>
        <v>4.2884771584065277E-2</v>
      </c>
      <c r="BW23" s="538">
        <f t="shared" si="43"/>
        <v>2.0572559740446371E-4</v>
      </c>
      <c r="BX23" s="144">
        <f t="shared" si="105"/>
        <v>43.090497181469743</v>
      </c>
      <c r="BY23" s="150">
        <f t="shared" si="106"/>
        <v>0.46402806658484541</v>
      </c>
      <c r="BZ23" s="5">
        <f t="shared" si="107"/>
        <v>1.44</v>
      </c>
      <c r="CA23" s="150">
        <f t="shared" si="108"/>
        <v>0.75629137262816293</v>
      </c>
      <c r="CB23" s="5">
        <f t="shared" si="109"/>
        <v>75.629137262816286</v>
      </c>
      <c r="CC23">
        <f t="shared" si="110"/>
        <v>18</v>
      </c>
      <c r="CE23" s="59">
        <f t="shared" si="44"/>
        <v>-50</v>
      </c>
      <c r="CF23">
        <f t="shared" si="45"/>
        <v>-50</v>
      </c>
      <c r="CG23" s="150">
        <f t="shared" si="46"/>
        <v>0.44383780821376634</v>
      </c>
      <c r="CH23" s="150">
        <f t="shared" si="47"/>
        <v>0.24078817946157796</v>
      </c>
      <c r="CI23" s="147">
        <v>18</v>
      </c>
      <c r="CJ23" s="188">
        <f t="shared" si="133"/>
        <v>0.216</v>
      </c>
      <c r="CK23" s="188">
        <f t="shared" si="111"/>
        <v>4.4999999999999998E-2</v>
      </c>
      <c r="CL23" s="188">
        <f t="shared" si="48"/>
        <v>1.08</v>
      </c>
      <c r="CM23" s="188">
        <f t="shared" si="134"/>
        <v>0.36</v>
      </c>
      <c r="CN23" s="465">
        <f t="shared" si="112"/>
        <v>48</v>
      </c>
      <c r="CO23" s="379">
        <f t="shared" si="49"/>
        <v>5.7</v>
      </c>
      <c r="CP23" s="379">
        <f t="shared" si="50"/>
        <v>53.7</v>
      </c>
      <c r="CQ23" s="379"/>
      <c r="CR23" s="188">
        <f t="shared" si="113"/>
        <v>0.10112359550561799</v>
      </c>
      <c r="CS23" s="149">
        <f t="shared" si="114"/>
        <v>9.1011235955056193</v>
      </c>
      <c r="CT23" s="149">
        <f t="shared" si="51"/>
        <v>4.0449438202247192</v>
      </c>
      <c r="CU23" s="188">
        <f t="shared" si="52"/>
        <v>1.8202247191011238</v>
      </c>
      <c r="CV23" s="188">
        <f t="shared" si="53"/>
        <v>1.1376404494382024</v>
      </c>
      <c r="CW23" s="379">
        <f t="shared" si="54"/>
        <v>5</v>
      </c>
      <c r="CX23" s="188">
        <f t="shared" si="55"/>
        <v>0.59333333333333327</v>
      </c>
      <c r="CY23" s="188">
        <f t="shared" si="56"/>
        <v>0.14833333333333332</v>
      </c>
      <c r="CZ23" s="188">
        <f t="shared" si="57"/>
        <v>1.2491228070175437</v>
      </c>
      <c r="DA23" s="172">
        <f t="shared" si="58"/>
        <v>350</v>
      </c>
      <c r="DB23" s="379">
        <f t="shared" si="115"/>
        <v>350</v>
      </c>
      <c r="DD23" s="188">
        <f t="shared" si="59"/>
        <v>1.2130885873902635</v>
      </c>
      <c r="DE23" s="150">
        <f t="shared" si="60"/>
        <v>2.5538707102952913</v>
      </c>
      <c r="DF23" s="150">
        <f t="shared" si="61"/>
        <v>0.54216249715765974</v>
      </c>
      <c r="DG23" s="150"/>
      <c r="DH23" s="150">
        <f t="shared" si="62"/>
        <v>2.1052631578947367</v>
      </c>
      <c r="DI23" s="314">
        <f t="shared" si="63"/>
        <v>205.20000000000002</v>
      </c>
      <c r="DJ23" s="456">
        <f t="shared" si="64"/>
        <v>0.36842105263157893</v>
      </c>
      <c r="DL23" s="150">
        <f t="shared" si="65"/>
        <v>0.82807867121082501</v>
      </c>
      <c r="DM23" s="150">
        <f t="shared" si="66"/>
        <v>1</v>
      </c>
      <c r="DN23" s="150">
        <f t="shared" si="67"/>
        <v>1.1172571428571429</v>
      </c>
      <c r="DP23" s="314">
        <f t="shared" si="68"/>
        <v>216</v>
      </c>
      <c r="DQ23" s="144">
        <f t="shared" si="69"/>
        <v>205.20000000000002</v>
      </c>
      <c r="DS23">
        <f t="shared" si="116"/>
        <v>216</v>
      </c>
      <c r="DT23" s="144">
        <f t="shared" si="70"/>
        <v>205.20000000000002</v>
      </c>
      <c r="DU23" s="144"/>
      <c r="DV23" s="5">
        <f t="shared" si="117"/>
        <v>4.8732943469785575</v>
      </c>
      <c r="DW23" s="5">
        <f t="shared" si="71"/>
        <v>0.25</v>
      </c>
      <c r="DX23" s="5">
        <f t="shared" si="118"/>
        <v>4.6232943469785575</v>
      </c>
      <c r="DY23" s="150">
        <f t="shared" si="119"/>
        <v>5.1299999999999998E-2</v>
      </c>
      <c r="EA23" s="5">
        <f t="shared" si="72"/>
        <v>1.08</v>
      </c>
      <c r="EB23" s="5">
        <f t="shared" si="73"/>
        <v>0.140625</v>
      </c>
      <c r="EC23" s="5">
        <f t="shared" si="74"/>
        <v>4.3343384502923979E-2</v>
      </c>
      <c r="ED23" s="5"/>
      <c r="EE23" s="150">
        <f t="shared" si="120"/>
        <v>0.1307669683062202</v>
      </c>
      <c r="EF23" s="150">
        <f t="shared" si="75"/>
        <v>0.56234627529070846</v>
      </c>
      <c r="EG23" s="150">
        <f t="shared" si="76"/>
        <v>0.12570093212380543</v>
      </c>
      <c r="EH23" s="150"/>
      <c r="EI23" s="456">
        <f t="shared" si="77"/>
        <v>3.4199999999999996E-4</v>
      </c>
      <c r="EJ23" s="456">
        <f t="shared" si="78"/>
        <v>0.22038480000000005</v>
      </c>
      <c r="EK23" s="456">
        <f t="shared" si="79"/>
        <v>2.5649999999999999E-2</v>
      </c>
      <c r="EL23" s="456">
        <f t="shared" si="80"/>
        <v>5.9173318800000013E-2</v>
      </c>
      <c r="EM23">
        <f t="shared" si="81"/>
        <v>2.1600000000000001E-2</v>
      </c>
      <c r="EN23" s="144">
        <f t="shared" si="121"/>
        <v>47.25</v>
      </c>
      <c r="EO23">
        <f t="shared" si="82"/>
        <v>0.3272690524213846</v>
      </c>
      <c r="EP23" s="144">
        <f t="shared" si="122"/>
        <v>327.26905242138457</v>
      </c>
      <c r="EQ23" s="150">
        <f t="shared" si="83"/>
        <v>0.13419</v>
      </c>
      <c r="ER23" s="150">
        <f t="shared" si="84"/>
        <v>1.9968749999999997E-2</v>
      </c>
      <c r="ES23" s="456"/>
      <c r="EU23" s="144">
        <f t="shared" si="123"/>
        <v>154.15875</v>
      </c>
      <c r="EV23" s="456">
        <f t="shared" si="85"/>
        <v>5.1299999999999989E-4</v>
      </c>
      <c r="EW23" s="456">
        <f t="shared" si="124"/>
        <v>9.4869999999999972E-3</v>
      </c>
      <c r="EX23" s="456">
        <f t="shared" si="86"/>
        <v>7.9003621683967695E-5</v>
      </c>
      <c r="EY23" s="456">
        <f t="shared" si="87"/>
        <v>3.0158754042717027E-2</v>
      </c>
      <c r="EZ23" s="456">
        <f t="shared" si="88"/>
        <v>4.2691141267000653E-2</v>
      </c>
      <c r="FA23" s="538">
        <f t="shared" si="89"/>
        <v>2.0520000000000003E-4</v>
      </c>
      <c r="FB23" s="144">
        <f t="shared" si="125"/>
        <v>42.896341267000658</v>
      </c>
      <c r="FC23" s="150">
        <f t="shared" si="126"/>
        <v>0.52432414368838531</v>
      </c>
      <c r="FD23" s="5">
        <f t="shared" si="127"/>
        <v>1.44</v>
      </c>
      <c r="FE23" s="150">
        <f t="shared" si="128"/>
        <v>0.73307656713730107</v>
      </c>
      <c r="FF23" s="5">
        <f t="shared" si="129"/>
        <v>73.307656713730111</v>
      </c>
      <c r="FG23">
        <f t="shared" si="130"/>
        <v>18</v>
      </c>
      <c r="FI23" s="59">
        <f t="shared" si="90"/>
        <v>-50</v>
      </c>
      <c r="FJ23">
        <f t="shared" si="91"/>
        <v>-50</v>
      </c>
      <c r="FL23">
        <f t="shared" si="92"/>
        <v>0.44383780821376634</v>
      </c>
    </row>
    <row r="24" spans="5:168">
      <c r="E24" s="147">
        <v>19</v>
      </c>
      <c r="F24" s="188">
        <f t="shared" si="131"/>
        <v>0.22799999999999998</v>
      </c>
      <c r="G24" s="188">
        <f t="shared" si="93"/>
        <v>4.7500000000000001E-2</v>
      </c>
      <c r="H24" s="188">
        <f t="shared" si="0"/>
        <v>1.1399999999999999</v>
      </c>
      <c r="I24" s="188">
        <f t="shared" si="132"/>
        <v>0.38</v>
      </c>
      <c r="J24" s="465">
        <f t="shared" si="1"/>
        <v>47.961732285704137</v>
      </c>
      <c r="K24" s="379">
        <f t="shared" si="2"/>
        <v>5.7145999279017685</v>
      </c>
      <c r="L24" s="149">
        <f t="shared" si="3"/>
        <v>53.676332213605903</v>
      </c>
      <c r="M24" s="379"/>
      <c r="N24" s="188">
        <f t="shared" si="4"/>
        <v>0.1064640539364802</v>
      </c>
      <c r="O24" s="149">
        <f t="shared" si="94"/>
        <v>9.57412584928543</v>
      </c>
      <c r="P24" s="149">
        <f t="shared" si="5"/>
        <v>4.255167044126857</v>
      </c>
      <c r="Q24" s="188">
        <f t="shared" si="6"/>
        <v>1.914825169857086</v>
      </c>
      <c r="R24" s="188">
        <f t="shared" si="7"/>
        <v>1.1967657311606787</v>
      </c>
      <c r="S24" s="379">
        <f t="shared" si="8"/>
        <v>5</v>
      </c>
      <c r="T24" s="188">
        <f t="shared" si="9"/>
        <v>0.59535461406384405</v>
      </c>
      <c r="U24" s="188">
        <f t="shared" si="10"/>
        <v>0.14895740892360562</v>
      </c>
      <c r="V24" s="188">
        <f t="shared" si="11"/>
        <v>1.2501759456307711</v>
      </c>
      <c r="W24" s="172">
        <f t="shared" si="12"/>
        <v>350</v>
      </c>
      <c r="X24" s="379">
        <f t="shared" si="95"/>
        <v>350</v>
      </c>
      <c r="Z24" s="188">
        <f t="shared" si="13"/>
        <v>1.2157620126076734</v>
      </c>
      <c r="AA24" s="150">
        <f t="shared" si="14"/>
        <v>2.5529598458957707</v>
      </c>
      <c r="AB24" s="150">
        <f t="shared" si="15"/>
        <v>0.54316353006174312</v>
      </c>
      <c r="AC24" s="150"/>
      <c r="AD24" s="150">
        <f t="shared" si="16"/>
        <v>2.0998845328453366</v>
      </c>
      <c r="AE24" s="314">
        <f t="shared" si="17"/>
        <v>217.1547972602672</v>
      </c>
      <c r="AF24" s="456">
        <f t="shared" si="18"/>
        <v>0.36747979324793389</v>
      </c>
      <c r="AH24" s="150">
        <f t="shared" si="19"/>
        <v>0.85076995939532551</v>
      </c>
      <c r="AI24" s="150">
        <f t="shared" si="20"/>
        <v>1</v>
      </c>
      <c r="AJ24" s="150">
        <f t="shared" si="21"/>
        <v>1.1240884555772956</v>
      </c>
      <c r="AL24" s="314">
        <f t="shared" si="22"/>
        <v>227.99999999999997</v>
      </c>
      <c r="AM24" s="144">
        <f t="shared" si="23"/>
        <v>217.1547972602672</v>
      </c>
      <c r="AO24">
        <f t="shared" si="96"/>
        <v>227.99999999999997</v>
      </c>
      <c r="AP24" s="144">
        <f t="shared" si="24"/>
        <v>217.1547972602672</v>
      </c>
      <c r="AQ24" s="144"/>
      <c r="AR24" s="5">
        <f t="shared" si="97"/>
        <v>4.6050099404502998</v>
      </c>
      <c r="AS24" s="5">
        <f t="shared" si="25"/>
        <v>0.25019947003825832</v>
      </c>
      <c r="AT24" s="5">
        <f t="shared" si="98"/>
        <v>4.3548104704120414</v>
      </c>
      <c r="AU24" s="150">
        <f t="shared" si="99"/>
        <v>5.4332015190784282E-2</v>
      </c>
      <c r="AW24" s="5">
        <f t="shared" si="26"/>
        <v>1.140909583374458</v>
      </c>
      <c r="AX24" s="5">
        <f t="shared" si="27"/>
        <v>0.14855593533521588</v>
      </c>
      <c r="AY24" s="5">
        <f t="shared" si="28"/>
        <v>4.312886284264348E-2</v>
      </c>
      <c r="AZ24" s="5"/>
      <c r="BA24" s="150">
        <f t="shared" si="100"/>
        <v>0.13457589579958748</v>
      </c>
      <c r="BB24" s="150">
        <f t="shared" si="29"/>
        <v>0.56144693569657311</v>
      </c>
      <c r="BC24" s="150">
        <f t="shared" si="30"/>
        <v>0.12549990327335164</v>
      </c>
      <c r="BD24" s="150"/>
      <c r="BE24" s="456">
        <f t="shared" si="31"/>
        <v>3.6221343460522855E-4</v>
      </c>
      <c r="BF24" s="456">
        <f t="shared" si="32"/>
        <v>0.21855136949100634</v>
      </c>
      <c r="BG24" s="456">
        <f t="shared" si="33"/>
        <v>0.2603780062688324</v>
      </c>
      <c r="BH24" s="456">
        <f t="shared" si="34"/>
        <v>6.2565524877534889E-2</v>
      </c>
      <c r="BI24">
        <f t="shared" si="35"/>
        <v>2.158277952856686E-2</v>
      </c>
      <c r="BJ24" s="144">
        <f t="shared" si="101"/>
        <v>281.96078579739924</v>
      </c>
      <c r="BK24">
        <f t="shared" si="36"/>
        <v>0.28160114056308566</v>
      </c>
      <c r="BL24" s="144">
        <f t="shared" si="102"/>
        <v>281.60114056308566</v>
      </c>
      <c r="BM24" s="150">
        <f t="shared" si="37"/>
        <v>0.14164499999999997</v>
      </c>
      <c r="BN24" s="150">
        <f t="shared" si="38"/>
        <v>2.1078125E-2</v>
      </c>
      <c r="BO24" s="456"/>
      <c r="BQ24" s="144">
        <f t="shared" si="103"/>
        <v>162.72312499999998</v>
      </c>
      <c r="BR24" s="456">
        <f t="shared" si="39"/>
        <v>5.4332015190784277E-4</v>
      </c>
      <c r="BS24" s="456">
        <f t="shared" si="104"/>
        <v>9.4566798480921564E-3</v>
      </c>
      <c r="BT24" s="456">
        <f t="shared" si="40"/>
        <v>7.8751128608103082E-5</v>
      </c>
      <c r="BU24" s="456">
        <f t="shared" si="41"/>
        <v>3.4745100668145991E-2</v>
      </c>
      <c r="BV24" s="456">
        <f t="shared" si="42"/>
        <v>4.7280874641112094E-2</v>
      </c>
      <c r="BW24" s="538">
        <f t="shared" si="43"/>
        <v>2.1715479726026722E-4</v>
      </c>
      <c r="BX24" s="144">
        <f t="shared" si="105"/>
        <v>47.498029438372363</v>
      </c>
      <c r="BY24" s="150">
        <f t="shared" si="106"/>
        <v>0.49182229500145797</v>
      </c>
      <c r="BZ24" s="5">
        <f t="shared" si="107"/>
        <v>1.52</v>
      </c>
      <c r="CA24" s="150">
        <f t="shared" si="108"/>
        <v>0.75553392751266757</v>
      </c>
      <c r="CB24" s="5">
        <f t="shared" si="109"/>
        <v>75.553392751266756</v>
      </c>
      <c r="CC24">
        <f t="shared" si="110"/>
        <v>19</v>
      </c>
      <c r="CE24" s="59">
        <f t="shared" si="44"/>
        <v>-50</v>
      </c>
      <c r="CF24">
        <f t="shared" si="45"/>
        <v>-50</v>
      </c>
      <c r="CG24" s="150">
        <f t="shared" si="46"/>
        <v>0.46849546422564214</v>
      </c>
      <c r="CH24" s="150">
        <f t="shared" si="47"/>
        <v>0.2541653005427767</v>
      </c>
      <c r="CI24" s="147">
        <v>19</v>
      </c>
      <c r="CJ24" s="188">
        <f t="shared" si="133"/>
        <v>0.22799999999999998</v>
      </c>
      <c r="CK24" s="188">
        <f t="shared" si="111"/>
        <v>4.7500000000000001E-2</v>
      </c>
      <c r="CL24" s="188">
        <f t="shared" si="48"/>
        <v>1.1399999999999999</v>
      </c>
      <c r="CM24" s="188">
        <f t="shared" si="134"/>
        <v>0.38</v>
      </c>
      <c r="CN24" s="465">
        <f t="shared" si="112"/>
        <v>48</v>
      </c>
      <c r="CO24" s="379">
        <f t="shared" si="49"/>
        <v>5.7</v>
      </c>
      <c r="CP24" s="379">
        <f t="shared" si="50"/>
        <v>53.7</v>
      </c>
      <c r="CQ24" s="379"/>
      <c r="CR24" s="188">
        <f t="shared" si="113"/>
        <v>0.10112359550561799</v>
      </c>
      <c r="CS24" s="149">
        <f t="shared" si="114"/>
        <v>9.1011235955056193</v>
      </c>
      <c r="CT24" s="149">
        <f t="shared" si="51"/>
        <v>4.0449438202247192</v>
      </c>
      <c r="CU24" s="188">
        <f t="shared" si="52"/>
        <v>1.8202247191011238</v>
      </c>
      <c r="CV24" s="188">
        <f t="shared" si="53"/>
        <v>1.1376404494382024</v>
      </c>
      <c r="CW24" s="379">
        <f t="shared" si="54"/>
        <v>5</v>
      </c>
      <c r="CX24" s="188">
        <f t="shared" si="55"/>
        <v>0.62629629629629624</v>
      </c>
      <c r="CY24" s="188">
        <f t="shared" si="56"/>
        <v>0.15657407407407406</v>
      </c>
      <c r="CZ24" s="188">
        <f t="shared" si="57"/>
        <v>1.3185185185185184</v>
      </c>
      <c r="DA24" s="172">
        <f t="shared" si="58"/>
        <v>350</v>
      </c>
      <c r="DB24" s="379">
        <f t="shared" si="115"/>
        <v>350</v>
      </c>
      <c r="DD24" s="188">
        <f t="shared" si="59"/>
        <v>1.2130885873902635</v>
      </c>
      <c r="DE24" s="150">
        <f t="shared" si="60"/>
        <v>2.5538707102952913</v>
      </c>
      <c r="DF24" s="150">
        <f t="shared" si="61"/>
        <v>0.54216249715765974</v>
      </c>
      <c r="DG24" s="150"/>
      <c r="DH24" s="150">
        <f t="shared" si="62"/>
        <v>2.1052631578947367</v>
      </c>
      <c r="DI24" s="314">
        <f t="shared" si="63"/>
        <v>216.6</v>
      </c>
      <c r="DJ24" s="456">
        <f t="shared" si="64"/>
        <v>0.36842105263157893</v>
      </c>
      <c r="DL24" s="150">
        <f t="shared" si="65"/>
        <v>0.85076995939532551</v>
      </c>
      <c r="DM24" s="150">
        <f t="shared" si="66"/>
        <v>1</v>
      </c>
      <c r="DN24" s="150">
        <f t="shared" si="67"/>
        <v>1.1237714285714286</v>
      </c>
      <c r="DP24" s="314">
        <f t="shared" si="68"/>
        <v>227.99999999999997</v>
      </c>
      <c r="DQ24" s="144">
        <f t="shared" si="69"/>
        <v>216.6</v>
      </c>
      <c r="DS24">
        <f t="shared" si="116"/>
        <v>227.99999999999997</v>
      </c>
      <c r="DT24" s="144">
        <f t="shared" si="70"/>
        <v>216.6</v>
      </c>
      <c r="DU24" s="144"/>
      <c r="DV24" s="5">
        <f t="shared" si="117"/>
        <v>4.6168051708217916</v>
      </c>
      <c r="DW24" s="5">
        <f t="shared" si="71"/>
        <v>0.25</v>
      </c>
      <c r="DX24" s="5">
        <f t="shared" si="118"/>
        <v>4.3668051708217916</v>
      </c>
      <c r="DY24" s="150">
        <f t="shared" si="119"/>
        <v>5.4149999999999997E-2</v>
      </c>
      <c r="EA24" s="5">
        <f t="shared" si="72"/>
        <v>1.1399999999999999</v>
      </c>
      <c r="EB24" s="5">
        <f t="shared" si="73"/>
        <v>0.1484375</v>
      </c>
      <c r="EC24" s="5">
        <f t="shared" si="74"/>
        <v>4.3213176169590632E-2</v>
      </c>
      <c r="ED24" s="5"/>
      <c r="EE24" s="150">
        <f t="shared" si="120"/>
        <v>0.13435028842544403</v>
      </c>
      <c r="EF24" s="150">
        <f t="shared" si="75"/>
        <v>0.5615009646771173</v>
      </c>
      <c r="EG24" s="150">
        <f t="shared" si="76"/>
        <v>0.12551198033959093</v>
      </c>
      <c r="EH24" s="150"/>
      <c r="EI24" s="456">
        <f t="shared" si="77"/>
        <v>3.6099999999999999E-4</v>
      </c>
      <c r="EJ24" s="456">
        <f t="shared" si="78"/>
        <v>0.23262840000000001</v>
      </c>
      <c r="EK24" s="456">
        <f t="shared" si="79"/>
        <v>2.7074999999999998E-2</v>
      </c>
      <c r="EL24" s="456">
        <f t="shared" si="80"/>
        <v>6.2460725400000007E-2</v>
      </c>
      <c r="EM24">
        <f t="shared" si="81"/>
        <v>2.1600000000000001E-2</v>
      </c>
      <c r="EN24" s="144">
        <f t="shared" si="121"/>
        <v>48.674999999999997</v>
      </c>
      <c r="EO24">
        <f t="shared" si="82"/>
        <v>0.34425212314390974</v>
      </c>
      <c r="EP24" s="144">
        <f t="shared" si="122"/>
        <v>344.25212314390973</v>
      </c>
      <c r="EQ24" s="150">
        <f t="shared" si="83"/>
        <v>0.14164499999999997</v>
      </c>
      <c r="ER24" s="150">
        <f t="shared" si="84"/>
        <v>2.1078125E-2</v>
      </c>
      <c r="ES24" s="456"/>
      <c r="EU24" s="144">
        <f t="shared" si="123"/>
        <v>162.72312499999998</v>
      </c>
      <c r="EV24" s="456">
        <f t="shared" si="85"/>
        <v>5.4149999999999999E-4</v>
      </c>
      <c r="EW24" s="456">
        <f t="shared" si="124"/>
        <v>9.4584999999999982E-3</v>
      </c>
      <c r="EX24" s="456">
        <f t="shared" si="86"/>
        <v>7.8766286043829313E-5</v>
      </c>
      <c r="EY24" s="456">
        <f t="shared" si="87"/>
        <v>3.452360468601897E-2</v>
      </c>
      <c r="EZ24" s="456">
        <f t="shared" si="88"/>
        <v>4.7059218790136484E-2</v>
      </c>
      <c r="FA24" s="538">
        <f t="shared" si="89"/>
        <v>2.1660000000000003E-4</v>
      </c>
      <c r="FB24" s="144">
        <f t="shared" si="125"/>
        <v>47.275818790136483</v>
      </c>
      <c r="FC24" s="150">
        <f t="shared" si="126"/>
        <v>0.55425106693404624</v>
      </c>
      <c r="FD24" s="5">
        <f t="shared" si="127"/>
        <v>1.52</v>
      </c>
      <c r="FE24" s="150">
        <f t="shared" si="128"/>
        <v>0.73279460921127282</v>
      </c>
      <c r="FF24" s="5">
        <f t="shared" si="129"/>
        <v>73.279460921127281</v>
      </c>
      <c r="FG24">
        <f t="shared" si="130"/>
        <v>19</v>
      </c>
      <c r="FI24" s="59">
        <f t="shared" si="90"/>
        <v>-50</v>
      </c>
      <c r="FJ24">
        <f t="shared" si="91"/>
        <v>-50</v>
      </c>
      <c r="FL24">
        <f t="shared" si="92"/>
        <v>0.4684954642256422</v>
      </c>
    </row>
    <row r="25" spans="5:168">
      <c r="E25" s="147">
        <v>20</v>
      </c>
      <c r="F25" s="188">
        <f t="shared" si="131"/>
        <v>0.24</v>
      </c>
      <c r="G25" s="188">
        <f t="shared" si="93"/>
        <v>0.05</v>
      </c>
      <c r="H25" s="188">
        <f t="shared" si="0"/>
        <v>1.2</v>
      </c>
      <c r="I25" s="188">
        <f t="shared" si="132"/>
        <v>0.4</v>
      </c>
      <c r="J25" s="465">
        <f t="shared" si="1"/>
        <v>47.961732285704137</v>
      </c>
      <c r="K25" s="379">
        <f t="shared" si="2"/>
        <v>5.7145999279017685</v>
      </c>
      <c r="L25" s="149">
        <f t="shared" si="3"/>
        <v>53.676332213605903</v>
      </c>
      <c r="M25" s="379"/>
      <c r="N25" s="188">
        <f t="shared" si="4"/>
        <v>0.1064640539364802</v>
      </c>
      <c r="O25" s="149">
        <f t="shared" si="94"/>
        <v>9.57412584928543</v>
      </c>
      <c r="P25" s="149">
        <f t="shared" si="5"/>
        <v>4.255167044126857</v>
      </c>
      <c r="Q25" s="188">
        <f t="shared" si="6"/>
        <v>1.914825169857086</v>
      </c>
      <c r="R25" s="188">
        <f t="shared" si="7"/>
        <v>1.1967657311606787</v>
      </c>
      <c r="S25" s="379">
        <f t="shared" si="8"/>
        <v>5</v>
      </c>
      <c r="T25" s="188">
        <f t="shared" si="9"/>
        <v>0.62668906743562536</v>
      </c>
      <c r="U25" s="188">
        <f t="shared" si="10"/>
        <v>0.15679727255116382</v>
      </c>
      <c r="V25" s="188">
        <f t="shared" si="11"/>
        <v>1.3159746796113378</v>
      </c>
      <c r="W25" s="172">
        <f t="shared" si="12"/>
        <v>350</v>
      </c>
      <c r="X25" s="379">
        <f t="shared" si="95"/>
        <v>350</v>
      </c>
      <c r="Z25" s="188">
        <f t="shared" si="13"/>
        <v>1.2157620126076734</v>
      </c>
      <c r="AA25" s="150">
        <f t="shared" si="14"/>
        <v>2.5529598458957707</v>
      </c>
      <c r="AB25" s="150">
        <f t="shared" si="15"/>
        <v>0.54316353006174312</v>
      </c>
      <c r="AC25" s="150"/>
      <c r="AD25" s="150">
        <f t="shared" si="16"/>
        <v>2.0998845328453366</v>
      </c>
      <c r="AE25" s="314">
        <f t="shared" si="17"/>
        <v>228.58399711607072</v>
      </c>
      <c r="AF25" s="456">
        <f t="shared" si="18"/>
        <v>0.36747979324793389</v>
      </c>
      <c r="AH25" s="150">
        <f t="shared" si="19"/>
        <v>0.87287156094396945</v>
      </c>
      <c r="AI25" s="150">
        <f t="shared" si="20"/>
        <v>1</v>
      </c>
      <c r="AJ25" s="150">
        <f t="shared" si="21"/>
        <v>1.1306194269234691</v>
      </c>
      <c r="AL25" s="314">
        <f t="shared" si="22"/>
        <v>240</v>
      </c>
      <c r="AM25" s="144">
        <f t="shared" si="23"/>
        <v>228.58399711607072</v>
      </c>
      <c r="AO25">
        <f t="shared" si="96"/>
        <v>240</v>
      </c>
      <c r="AP25" s="144">
        <f t="shared" si="24"/>
        <v>228.58399711607072</v>
      </c>
      <c r="AQ25" s="144"/>
      <c r="AR25" s="5">
        <f t="shared" si="97"/>
        <v>4.3747594434277852</v>
      </c>
      <c r="AS25" s="5">
        <f t="shared" si="25"/>
        <v>0.25019947003825832</v>
      </c>
      <c r="AT25" s="5">
        <f t="shared" si="98"/>
        <v>4.1245599733895268</v>
      </c>
      <c r="AU25" s="150">
        <f t="shared" si="99"/>
        <v>5.7191594937667664E-2</v>
      </c>
      <c r="AW25" s="5">
        <f t="shared" si="26"/>
        <v>1.2009574561836398</v>
      </c>
      <c r="AX25" s="5">
        <f t="shared" si="27"/>
        <v>0.15637466877391146</v>
      </c>
      <c r="AY25" s="5">
        <f t="shared" si="28"/>
        <v>4.2998446645128009E-2</v>
      </c>
      <c r="AZ25" s="5"/>
      <c r="BA25" s="150">
        <f t="shared" si="100"/>
        <v>0.13807195580284418</v>
      </c>
      <c r="BB25" s="150">
        <f t="shared" si="29"/>
        <v>0.56059742093066289</v>
      </c>
      <c r="BC25" s="150">
        <f t="shared" si="30"/>
        <v>0.1253100117374423</v>
      </c>
      <c r="BD25" s="150"/>
      <c r="BE25" s="456">
        <f t="shared" si="31"/>
        <v>3.8127729958445118E-4</v>
      </c>
      <c r="BF25" s="456">
        <f t="shared" si="32"/>
        <v>0.23005407314842771</v>
      </c>
      <c r="BG25" s="456">
        <f t="shared" si="33"/>
        <v>0.27408211186192877</v>
      </c>
      <c r="BH25" s="456">
        <f t="shared" si="34"/>
        <v>6.5858447239510412E-2</v>
      </c>
      <c r="BI25">
        <f t="shared" si="35"/>
        <v>2.158277952856686E-2</v>
      </c>
      <c r="BJ25" s="144">
        <f t="shared" si="101"/>
        <v>295.6648913904956</v>
      </c>
      <c r="BK25">
        <f t="shared" si="36"/>
        <v>0.29642359601257162</v>
      </c>
      <c r="BL25" s="144">
        <f t="shared" si="102"/>
        <v>296.42359601257164</v>
      </c>
      <c r="BM25" s="150">
        <f t="shared" si="37"/>
        <v>0.14909999999999998</v>
      </c>
      <c r="BN25" s="150">
        <f t="shared" si="38"/>
        <v>2.2187499999999999E-2</v>
      </c>
      <c r="BO25" s="456"/>
      <c r="BQ25" s="144">
        <f t="shared" si="103"/>
        <v>171.28749999999999</v>
      </c>
      <c r="BR25" s="456">
        <f t="shared" si="39"/>
        <v>5.7191594937667665E-4</v>
      </c>
      <c r="BS25" s="456">
        <f t="shared" si="104"/>
        <v>9.4280840506233247E-3</v>
      </c>
      <c r="BT25" s="456">
        <f t="shared" si="40"/>
        <v>7.8512995208189631E-5</v>
      </c>
      <c r="BU25" s="456">
        <f t="shared" si="41"/>
        <v>3.9498859974002452E-2</v>
      </c>
      <c r="BV25" s="456">
        <f t="shared" si="42"/>
        <v>5.2038173480674361E-2</v>
      </c>
      <c r="BW25" s="538">
        <f t="shared" si="43"/>
        <v>2.2858399711607073E-4</v>
      </c>
      <c r="BX25" s="144">
        <f t="shared" si="105"/>
        <v>52.266757477790428</v>
      </c>
      <c r="BY25" s="150">
        <f t="shared" si="106"/>
        <v>0.51997785349036219</v>
      </c>
      <c r="BZ25" s="5">
        <f t="shared" si="107"/>
        <v>1.6</v>
      </c>
      <c r="CA25" s="150">
        <f t="shared" si="108"/>
        <v>0.75472486534033212</v>
      </c>
      <c r="CB25" s="5">
        <f t="shared" si="109"/>
        <v>75.472486534033209</v>
      </c>
      <c r="CC25">
        <f t="shared" si="110"/>
        <v>20</v>
      </c>
      <c r="CE25" s="59">
        <f t="shared" si="44"/>
        <v>-50</v>
      </c>
      <c r="CF25">
        <f t="shared" si="45"/>
        <v>-50</v>
      </c>
      <c r="CG25" s="150">
        <f t="shared" si="46"/>
        <v>0.49315312023751812</v>
      </c>
      <c r="CH25" s="150">
        <f t="shared" si="47"/>
        <v>0.26754242162397546</v>
      </c>
      <c r="CI25" s="147">
        <v>20</v>
      </c>
      <c r="CJ25" s="188">
        <f t="shared" si="133"/>
        <v>0.24</v>
      </c>
      <c r="CK25" s="188">
        <f t="shared" si="111"/>
        <v>0.05</v>
      </c>
      <c r="CL25" s="188">
        <f t="shared" si="48"/>
        <v>1.2</v>
      </c>
      <c r="CM25" s="188">
        <f t="shared" si="134"/>
        <v>0.4</v>
      </c>
      <c r="CN25" s="465">
        <f t="shared" si="112"/>
        <v>48</v>
      </c>
      <c r="CO25" s="379">
        <f t="shared" si="49"/>
        <v>5.7</v>
      </c>
      <c r="CP25" s="379">
        <f t="shared" si="50"/>
        <v>53.7</v>
      </c>
      <c r="CQ25" s="379"/>
      <c r="CR25" s="188">
        <f t="shared" si="113"/>
        <v>0.10112359550561799</v>
      </c>
      <c r="CS25" s="149">
        <f t="shared" si="114"/>
        <v>9.1011235955056193</v>
      </c>
      <c r="CT25" s="149">
        <f t="shared" si="51"/>
        <v>4.0449438202247192</v>
      </c>
      <c r="CU25" s="188">
        <f t="shared" si="52"/>
        <v>1.8202247191011238</v>
      </c>
      <c r="CV25" s="188">
        <f t="shared" si="53"/>
        <v>1.1376404494382024</v>
      </c>
      <c r="CW25" s="379">
        <f t="shared" si="54"/>
        <v>5</v>
      </c>
      <c r="CX25" s="188">
        <f t="shared" si="55"/>
        <v>0.65925925925925921</v>
      </c>
      <c r="CY25" s="188">
        <f t="shared" si="56"/>
        <v>0.1648148148148148</v>
      </c>
      <c r="CZ25" s="188">
        <f t="shared" si="57"/>
        <v>1.3879142300194931</v>
      </c>
      <c r="DA25" s="172">
        <f t="shared" si="58"/>
        <v>350</v>
      </c>
      <c r="DB25" s="379">
        <f t="shared" si="115"/>
        <v>350</v>
      </c>
      <c r="DD25" s="188">
        <f t="shared" si="59"/>
        <v>1.2130885873902635</v>
      </c>
      <c r="DE25" s="150">
        <f t="shared" si="60"/>
        <v>2.5538707102952913</v>
      </c>
      <c r="DF25" s="150">
        <f t="shared" si="61"/>
        <v>0.54216249715765974</v>
      </c>
      <c r="DG25" s="150"/>
      <c r="DH25" s="150">
        <f t="shared" si="62"/>
        <v>2.1052631578947367</v>
      </c>
      <c r="DI25" s="314">
        <f t="shared" si="63"/>
        <v>228</v>
      </c>
      <c r="DJ25" s="456">
        <f t="shared" si="64"/>
        <v>0.36842105263157893</v>
      </c>
      <c r="DL25" s="150">
        <f t="shared" si="65"/>
        <v>0.87287156094396945</v>
      </c>
      <c r="DM25" s="150">
        <f t="shared" si="66"/>
        <v>1</v>
      </c>
      <c r="DN25" s="150">
        <f t="shared" si="67"/>
        <v>1.1302857142857143</v>
      </c>
      <c r="DP25" s="314">
        <f t="shared" si="68"/>
        <v>240</v>
      </c>
      <c r="DQ25" s="144">
        <f t="shared" si="69"/>
        <v>228</v>
      </c>
      <c r="DS25">
        <f t="shared" si="116"/>
        <v>240</v>
      </c>
      <c r="DT25" s="144">
        <f t="shared" si="70"/>
        <v>228</v>
      </c>
      <c r="DU25" s="144"/>
      <c r="DV25" s="5">
        <f t="shared" si="117"/>
        <v>4.3859649122807012</v>
      </c>
      <c r="DW25" s="5">
        <f t="shared" si="71"/>
        <v>0.25</v>
      </c>
      <c r="DX25" s="5">
        <f t="shared" si="118"/>
        <v>4.1359649122807012</v>
      </c>
      <c r="DY25" s="150">
        <f t="shared" si="119"/>
        <v>5.7000000000000009E-2</v>
      </c>
      <c r="EA25" s="5">
        <f t="shared" si="72"/>
        <v>1.2</v>
      </c>
      <c r="EB25" s="5">
        <f t="shared" si="73"/>
        <v>0.15625</v>
      </c>
      <c r="EC25" s="5">
        <f t="shared" si="74"/>
        <v>4.3082967836257292E-2</v>
      </c>
      <c r="ED25" s="5"/>
      <c r="EE25" s="150">
        <f t="shared" si="120"/>
        <v>0.13784048752090222</v>
      </c>
      <c r="EF25" s="150">
        <f t="shared" si="75"/>
        <v>0.56065437957206155</v>
      </c>
      <c r="EG25" s="150">
        <f t="shared" si="76"/>
        <v>0.12532274366904905</v>
      </c>
      <c r="EH25" s="150"/>
      <c r="EI25" s="456">
        <f t="shared" si="77"/>
        <v>3.8000000000000002E-4</v>
      </c>
      <c r="EJ25" s="456">
        <f t="shared" si="78"/>
        <v>0.24487200000000001</v>
      </c>
      <c r="EK25" s="456">
        <f t="shared" si="79"/>
        <v>2.8499999999999998E-2</v>
      </c>
      <c r="EL25" s="456">
        <f t="shared" si="80"/>
        <v>6.5748132000000015E-2</v>
      </c>
      <c r="EM25">
        <f t="shared" si="81"/>
        <v>2.1600000000000001E-2</v>
      </c>
      <c r="EN25" s="144">
        <f t="shared" si="121"/>
        <v>50.1</v>
      </c>
      <c r="EO25">
        <f t="shared" si="82"/>
        <v>0.36123534721702955</v>
      </c>
      <c r="EP25" s="144">
        <f t="shared" si="122"/>
        <v>361.23534721702953</v>
      </c>
      <c r="EQ25" s="150">
        <f t="shared" si="83"/>
        <v>0.14909999999999998</v>
      </c>
      <c r="ER25" s="150">
        <f t="shared" si="84"/>
        <v>2.2187499999999999E-2</v>
      </c>
      <c r="ES25" s="456"/>
      <c r="EU25" s="144">
        <f t="shared" si="123"/>
        <v>171.28749999999999</v>
      </c>
      <c r="EV25" s="456">
        <f t="shared" si="85"/>
        <v>5.6999999999999998E-4</v>
      </c>
      <c r="EW25" s="456">
        <f t="shared" si="124"/>
        <v>9.4299999999999974E-3</v>
      </c>
      <c r="EX25" s="456">
        <f t="shared" si="86"/>
        <v>7.8528950403690864E-5</v>
      </c>
      <c r="EY25" s="456">
        <f t="shared" si="87"/>
        <v>3.9247059328311476E-2</v>
      </c>
      <c r="EZ25" s="456">
        <f t="shared" si="88"/>
        <v>5.1786189515633199E-2</v>
      </c>
      <c r="FA25" s="538">
        <f t="shared" si="89"/>
        <v>2.2800000000000001E-4</v>
      </c>
      <c r="FB25" s="144">
        <f t="shared" si="125"/>
        <v>52.014189515633198</v>
      </c>
      <c r="FC25" s="150">
        <f t="shared" si="126"/>
        <v>0.58453703673266277</v>
      </c>
      <c r="FD25" s="5">
        <f t="shared" si="127"/>
        <v>1.6</v>
      </c>
      <c r="FE25" s="150">
        <f t="shared" si="128"/>
        <v>0.73242063334072161</v>
      </c>
      <c r="FF25" s="5">
        <f t="shared" si="129"/>
        <v>73.242063334072157</v>
      </c>
      <c r="FG25">
        <f t="shared" si="130"/>
        <v>20</v>
      </c>
      <c r="FI25" s="59">
        <f t="shared" si="90"/>
        <v>-50</v>
      </c>
      <c r="FJ25">
        <f t="shared" si="91"/>
        <v>-50</v>
      </c>
      <c r="FL25">
        <f t="shared" si="92"/>
        <v>0.49315312023751812</v>
      </c>
    </row>
    <row r="26" spans="5:168">
      <c r="E26" s="147">
        <v>21</v>
      </c>
      <c r="F26" s="188">
        <f t="shared" si="131"/>
        <v>0.252</v>
      </c>
      <c r="G26" s="188">
        <f t="shared" si="93"/>
        <v>5.2499999999999998E-2</v>
      </c>
      <c r="H26" s="188">
        <f t="shared" si="0"/>
        <v>1.26</v>
      </c>
      <c r="I26" s="188">
        <f t="shared" si="132"/>
        <v>0.42</v>
      </c>
      <c r="J26" s="465">
        <f t="shared" si="1"/>
        <v>47.961732285704137</v>
      </c>
      <c r="K26" s="379">
        <f t="shared" si="2"/>
        <v>5.7145999279017685</v>
      </c>
      <c r="L26" s="149">
        <f t="shared" si="3"/>
        <v>53.676332213605903</v>
      </c>
      <c r="M26" s="379"/>
      <c r="N26" s="188">
        <f t="shared" si="4"/>
        <v>0.1064640539364802</v>
      </c>
      <c r="O26" s="149">
        <f t="shared" si="94"/>
        <v>9.57412584928543</v>
      </c>
      <c r="P26" s="149">
        <f t="shared" si="5"/>
        <v>4.255167044126857</v>
      </c>
      <c r="Q26" s="188">
        <f t="shared" si="6"/>
        <v>1.914825169857086</v>
      </c>
      <c r="R26" s="188">
        <f t="shared" si="7"/>
        <v>1.1967657311606787</v>
      </c>
      <c r="S26" s="379">
        <f t="shared" si="8"/>
        <v>5</v>
      </c>
      <c r="T26" s="188">
        <f t="shared" si="9"/>
        <v>0.65802352080740656</v>
      </c>
      <c r="U26" s="188">
        <f t="shared" si="10"/>
        <v>0.16463713617872197</v>
      </c>
      <c r="V26" s="188">
        <f t="shared" si="11"/>
        <v>1.3817734135919046</v>
      </c>
      <c r="W26" s="172">
        <f t="shared" si="12"/>
        <v>350</v>
      </c>
      <c r="X26" s="379">
        <f t="shared" si="95"/>
        <v>350</v>
      </c>
      <c r="Z26" s="188">
        <f t="shared" si="13"/>
        <v>1.2157620126076734</v>
      </c>
      <c r="AA26" s="150">
        <f t="shared" si="14"/>
        <v>2.5529598458957707</v>
      </c>
      <c r="AB26" s="150">
        <f t="shared" si="15"/>
        <v>0.54316353006174312</v>
      </c>
      <c r="AC26" s="150"/>
      <c r="AD26" s="150">
        <f t="shared" si="16"/>
        <v>2.0998845328453366</v>
      </c>
      <c r="AE26" s="314">
        <f t="shared" si="17"/>
        <v>240.01319697187429</v>
      </c>
      <c r="AF26" s="456">
        <f t="shared" si="18"/>
        <v>0.36747979324793389</v>
      </c>
      <c r="AH26" s="150">
        <f t="shared" si="19"/>
        <v>0.89442719099991586</v>
      </c>
      <c r="AI26" s="150">
        <f t="shared" si="20"/>
        <v>1</v>
      </c>
      <c r="AJ26" s="150">
        <f t="shared" si="21"/>
        <v>1.1371503982696425</v>
      </c>
      <c r="AL26" s="314">
        <f t="shared" si="22"/>
        <v>252</v>
      </c>
      <c r="AM26" s="144">
        <f t="shared" si="23"/>
        <v>240.01319697187429</v>
      </c>
      <c r="AO26">
        <f t="shared" si="96"/>
        <v>252</v>
      </c>
      <c r="AP26" s="144">
        <f t="shared" si="24"/>
        <v>240.01319697187429</v>
      </c>
      <c r="AQ26" s="144"/>
      <c r="AR26" s="5">
        <f t="shared" si="97"/>
        <v>4.1664375651693186</v>
      </c>
      <c r="AS26" s="5">
        <f t="shared" si="25"/>
        <v>0.25019947003825832</v>
      </c>
      <c r="AT26" s="5">
        <f t="shared" si="98"/>
        <v>3.9162380951310602</v>
      </c>
      <c r="AU26" s="150">
        <f t="shared" si="99"/>
        <v>6.0051174684551054E-2</v>
      </c>
      <c r="AW26" s="5">
        <f t="shared" si="26"/>
        <v>1.2610053289928218</v>
      </c>
      <c r="AX26" s="5">
        <f t="shared" si="27"/>
        <v>0.164193402212607</v>
      </c>
      <c r="AY26" s="5">
        <f t="shared" si="28"/>
        <v>4.2868030447612539E-2</v>
      </c>
      <c r="AZ26" s="5"/>
      <c r="BA26" s="150">
        <f t="shared" si="100"/>
        <v>0.1414816533271494</v>
      </c>
      <c r="BB26" s="150">
        <f t="shared" si="29"/>
        <v>0.55974661687691307</v>
      </c>
      <c r="BC26" s="150">
        <f t="shared" si="30"/>
        <v>0.12511983200778057</v>
      </c>
      <c r="BD26" s="150"/>
      <c r="BE26" s="456">
        <f t="shared" si="31"/>
        <v>4.0034116456367369E-4</v>
      </c>
      <c r="BF26" s="456">
        <f t="shared" si="32"/>
        <v>0.24155677680584914</v>
      </c>
      <c r="BG26" s="456">
        <f t="shared" si="33"/>
        <v>0.28778621745502525</v>
      </c>
      <c r="BH26" s="456">
        <f t="shared" si="34"/>
        <v>6.9151369601485935E-2</v>
      </c>
      <c r="BI26">
        <f t="shared" si="35"/>
        <v>2.158277952856686E-2</v>
      </c>
      <c r="BJ26" s="144">
        <f t="shared" si="101"/>
        <v>309.36899698359213</v>
      </c>
      <c r="BK26">
        <f t="shared" si="36"/>
        <v>0.31124618575365876</v>
      </c>
      <c r="BL26" s="144">
        <f t="shared" si="102"/>
        <v>311.24618575365878</v>
      </c>
      <c r="BM26" s="150">
        <f t="shared" si="37"/>
        <v>0.156555</v>
      </c>
      <c r="BN26" s="150">
        <f t="shared" si="38"/>
        <v>2.3296874999999998E-2</v>
      </c>
      <c r="BO26" s="456"/>
      <c r="BQ26" s="144">
        <f t="shared" si="103"/>
        <v>179.85187500000001</v>
      </c>
      <c r="BR26" s="456">
        <f t="shared" si="39"/>
        <v>6.0051174684551054E-4</v>
      </c>
      <c r="BS26" s="456">
        <f t="shared" si="104"/>
        <v>9.3994882531544914E-3</v>
      </c>
      <c r="BT26" s="456">
        <f t="shared" si="40"/>
        <v>7.8274861808276153E-5</v>
      </c>
      <c r="BU26" s="456">
        <f t="shared" si="41"/>
        <v>4.4622901799531184E-2</v>
      </c>
      <c r="BV26" s="456">
        <f t="shared" si="42"/>
        <v>5.716605344412342E-2</v>
      </c>
      <c r="BW26" s="538">
        <f t="shared" si="43"/>
        <v>2.4001319697187432E-4</v>
      </c>
      <c r="BX26" s="144">
        <f t="shared" si="105"/>
        <v>57.406066641095293</v>
      </c>
      <c r="BY26" s="150">
        <f t="shared" si="106"/>
        <v>0.54850412739475407</v>
      </c>
      <c r="BZ26" s="5">
        <f t="shared" si="107"/>
        <v>1.68</v>
      </c>
      <c r="CA26" s="150">
        <f t="shared" si="108"/>
        <v>0.75386892011908191</v>
      </c>
      <c r="CB26" s="5">
        <f t="shared" si="109"/>
        <v>75.386892011908188</v>
      </c>
      <c r="CC26">
        <f t="shared" si="110"/>
        <v>21.000000000000004</v>
      </c>
      <c r="CE26" s="59">
        <f t="shared" si="44"/>
        <v>-50</v>
      </c>
      <c r="CF26">
        <f t="shared" si="45"/>
        <v>-50</v>
      </c>
      <c r="CG26" s="150">
        <f t="shared" si="46"/>
        <v>0.51781077624939398</v>
      </c>
      <c r="CH26" s="150">
        <f t="shared" si="47"/>
        <v>0.28091954270517422</v>
      </c>
      <c r="CI26" s="147">
        <v>21</v>
      </c>
      <c r="CJ26" s="188">
        <f t="shared" si="133"/>
        <v>0.252</v>
      </c>
      <c r="CK26" s="188">
        <f t="shared" si="111"/>
        <v>5.2499999999999998E-2</v>
      </c>
      <c r="CL26" s="188">
        <f t="shared" si="48"/>
        <v>1.26</v>
      </c>
      <c r="CM26" s="188">
        <f t="shared" si="134"/>
        <v>0.42</v>
      </c>
      <c r="CN26" s="465">
        <f t="shared" si="112"/>
        <v>48</v>
      </c>
      <c r="CO26" s="379">
        <f t="shared" si="49"/>
        <v>5.7</v>
      </c>
      <c r="CP26" s="379">
        <f t="shared" si="50"/>
        <v>53.7</v>
      </c>
      <c r="CQ26" s="379"/>
      <c r="CR26" s="188">
        <f t="shared" si="113"/>
        <v>0.10112359550561799</v>
      </c>
      <c r="CS26" s="149">
        <f t="shared" si="114"/>
        <v>9.1011235955056193</v>
      </c>
      <c r="CT26" s="149">
        <f t="shared" si="51"/>
        <v>4.0449438202247192</v>
      </c>
      <c r="CU26" s="188">
        <f t="shared" si="52"/>
        <v>1.8202247191011238</v>
      </c>
      <c r="CV26" s="188">
        <f t="shared" si="53"/>
        <v>1.1376404494382024</v>
      </c>
      <c r="CW26" s="379">
        <f t="shared" si="54"/>
        <v>5</v>
      </c>
      <c r="CX26" s="188">
        <f t="shared" si="55"/>
        <v>0.69222222222222218</v>
      </c>
      <c r="CY26" s="188">
        <f t="shared" si="56"/>
        <v>0.17305555555555555</v>
      </c>
      <c r="CZ26" s="188">
        <f t="shared" si="57"/>
        <v>1.4573099415204676</v>
      </c>
      <c r="DA26" s="172">
        <f t="shared" si="58"/>
        <v>350</v>
      </c>
      <c r="DB26" s="379">
        <f t="shared" si="115"/>
        <v>350</v>
      </c>
      <c r="DD26" s="188">
        <f t="shared" si="59"/>
        <v>1.2130885873902635</v>
      </c>
      <c r="DE26" s="150">
        <f t="shared" si="60"/>
        <v>2.5538707102952913</v>
      </c>
      <c r="DF26" s="150">
        <f t="shared" si="61"/>
        <v>0.54216249715765974</v>
      </c>
      <c r="DG26" s="150"/>
      <c r="DH26" s="150">
        <f t="shared" si="62"/>
        <v>2.1052631578947367</v>
      </c>
      <c r="DI26" s="314">
        <f t="shared" si="63"/>
        <v>239.4</v>
      </c>
      <c r="DJ26" s="456">
        <f t="shared" si="64"/>
        <v>0.36842105263157893</v>
      </c>
      <c r="DL26" s="150">
        <f t="shared" si="65"/>
        <v>0.89442719099991586</v>
      </c>
      <c r="DM26" s="150">
        <f t="shared" si="66"/>
        <v>1</v>
      </c>
      <c r="DN26" s="150">
        <f t="shared" si="67"/>
        <v>1.1368</v>
      </c>
      <c r="DP26" s="314">
        <f t="shared" si="68"/>
        <v>252</v>
      </c>
      <c r="DQ26" s="144">
        <f t="shared" si="69"/>
        <v>239.4</v>
      </c>
      <c r="DS26">
        <f t="shared" si="116"/>
        <v>252</v>
      </c>
      <c r="DT26" s="144">
        <f t="shared" si="70"/>
        <v>239.4</v>
      </c>
      <c r="DU26" s="144"/>
      <c r="DV26" s="5">
        <f t="shared" si="117"/>
        <v>4.1771094402673352</v>
      </c>
      <c r="DW26" s="5">
        <f t="shared" si="71"/>
        <v>0.25</v>
      </c>
      <c r="DX26" s="5">
        <f t="shared" si="118"/>
        <v>3.9271094402673352</v>
      </c>
      <c r="DY26" s="150">
        <f t="shared" si="119"/>
        <v>5.985E-2</v>
      </c>
      <c r="EA26" s="5">
        <f t="shared" si="72"/>
        <v>1.26</v>
      </c>
      <c r="EB26" s="5">
        <f t="shared" si="73"/>
        <v>0.16406249999999997</v>
      </c>
      <c r="EC26" s="5">
        <f t="shared" si="74"/>
        <v>4.2952759502923966E-2</v>
      </c>
      <c r="ED26" s="5"/>
      <c r="EE26" s="150">
        <f t="shared" si="120"/>
        <v>0.14124446891825534</v>
      </c>
      <c r="EF26" s="150">
        <f t="shared" si="75"/>
        <v>0.55980651419337146</v>
      </c>
      <c r="EG26" s="150">
        <f t="shared" si="76"/>
        <v>0.1251332208196948</v>
      </c>
      <c r="EH26" s="150"/>
      <c r="EI26" s="456">
        <f t="shared" si="77"/>
        <v>3.9899999999999999E-4</v>
      </c>
      <c r="EJ26" s="456">
        <f t="shared" si="78"/>
        <v>0.2571156</v>
      </c>
      <c r="EK26" s="456">
        <f t="shared" si="79"/>
        <v>2.9925E-2</v>
      </c>
      <c r="EL26" s="456">
        <f t="shared" si="80"/>
        <v>6.9035538600000015E-2</v>
      </c>
      <c r="EM26">
        <f t="shared" si="81"/>
        <v>2.1600000000000001E-2</v>
      </c>
      <c r="EN26" s="144">
        <f t="shared" si="121"/>
        <v>51.524999999999999</v>
      </c>
      <c r="EO26">
        <f t="shared" si="82"/>
        <v>0.37821872464282108</v>
      </c>
      <c r="EP26" s="144">
        <f t="shared" si="122"/>
        <v>378.21872464282109</v>
      </c>
      <c r="EQ26" s="150">
        <f t="shared" si="83"/>
        <v>0.156555</v>
      </c>
      <c r="ER26" s="150">
        <f t="shared" si="84"/>
        <v>2.3296874999999998E-2</v>
      </c>
      <c r="ES26" s="456"/>
      <c r="EU26" s="144">
        <f t="shared" si="123"/>
        <v>179.85187500000001</v>
      </c>
      <c r="EV26" s="456">
        <f t="shared" si="85"/>
        <v>5.9849999999999997E-4</v>
      </c>
      <c r="EW26" s="456">
        <f t="shared" si="124"/>
        <v>9.4015000000000019E-3</v>
      </c>
      <c r="EX26" s="456">
        <f t="shared" si="86"/>
        <v>7.8291614763552496E-5</v>
      </c>
      <c r="EY26" s="456">
        <f t="shared" si="87"/>
        <v>4.4338435982210829E-2</v>
      </c>
      <c r="EZ26" s="456">
        <f t="shared" si="88"/>
        <v>5.6881378954481893E-2</v>
      </c>
      <c r="FA26" s="538">
        <f t="shared" si="89"/>
        <v>2.3940000000000005E-4</v>
      </c>
      <c r="FB26" s="144">
        <f t="shared" si="125"/>
        <v>57.120778954481892</v>
      </c>
      <c r="FC26" s="150">
        <f t="shared" si="126"/>
        <v>0.61519137859730288</v>
      </c>
      <c r="FD26" s="5">
        <f t="shared" si="127"/>
        <v>1.68</v>
      </c>
      <c r="FE26" s="150">
        <f t="shared" si="128"/>
        <v>0.73196510568400852</v>
      </c>
      <c r="FF26" s="5">
        <f t="shared" si="129"/>
        <v>73.196510568400853</v>
      </c>
      <c r="FG26">
        <f t="shared" si="130"/>
        <v>21.000000000000004</v>
      </c>
      <c r="FI26" s="59">
        <f t="shared" si="90"/>
        <v>-50</v>
      </c>
      <c r="FJ26">
        <f t="shared" si="91"/>
        <v>-50</v>
      </c>
      <c r="FL26">
        <f t="shared" si="92"/>
        <v>0.51781077624939409</v>
      </c>
    </row>
    <row r="27" spans="5:168">
      <c r="E27" s="147">
        <v>22</v>
      </c>
      <c r="F27" s="188">
        <f t="shared" si="131"/>
        <v>0.26400000000000001</v>
      </c>
      <c r="G27" s="188">
        <f t="shared" si="93"/>
        <v>5.5E-2</v>
      </c>
      <c r="H27" s="188">
        <f t="shared" si="0"/>
        <v>1.32</v>
      </c>
      <c r="I27" s="188">
        <f t="shared" si="132"/>
        <v>0.44</v>
      </c>
      <c r="J27" s="465">
        <f t="shared" si="1"/>
        <v>47.961732285704137</v>
      </c>
      <c r="K27" s="379">
        <f t="shared" si="2"/>
        <v>5.7145999279017685</v>
      </c>
      <c r="L27" s="149">
        <f t="shared" si="3"/>
        <v>53.676332213605903</v>
      </c>
      <c r="M27" s="379"/>
      <c r="N27" s="188">
        <f t="shared" si="4"/>
        <v>0.1064640539364802</v>
      </c>
      <c r="O27" s="149">
        <f t="shared" si="94"/>
        <v>9.57412584928543</v>
      </c>
      <c r="P27" s="149">
        <f t="shared" si="5"/>
        <v>4.255167044126857</v>
      </c>
      <c r="Q27" s="188">
        <f t="shared" si="6"/>
        <v>1.914825169857086</v>
      </c>
      <c r="R27" s="188">
        <f t="shared" si="7"/>
        <v>1.1967657311606787</v>
      </c>
      <c r="S27" s="379">
        <f t="shared" si="8"/>
        <v>5</v>
      </c>
      <c r="T27" s="188">
        <f t="shared" si="9"/>
        <v>0.68935797417918787</v>
      </c>
      <c r="U27" s="188">
        <f t="shared" si="10"/>
        <v>0.1724769998062802</v>
      </c>
      <c r="V27" s="188">
        <f t="shared" si="11"/>
        <v>1.4475721475724717</v>
      </c>
      <c r="W27" s="172">
        <f t="shared" si="12"/>
        <v>350</v>
      </c>
      <c r="X27" s="379">
        <f t="shared" si="95"/>
        <v>350</v>
      </c>
      <c r="Z27" s="188">
        <f t="shared" si="13"/>
        <v>1.2157620126076734</v>
      </c>
      <c r="AA27" s="150">
        <f t="shared" si="14"/>
        <v>2.5529598458957707</v>
      </c>
      <c r="AB27" s="150">
        <f t="shared" si="15"/>
        <v>0.54316353006174312</v>
      </c>
      <c r="AC27" s="150"/>
      <c r="AD27" s="150">
        <f t="shared" si="16"/>
        <v>2.0998845328453366</v>
      </c>
      <c r="AE27" s="314">
        <f t="shared" si="17"/>
        <v>251.44239682767784</v>
      </c>
      <c r="AF27" s="456">
        <f t="shared" si="18"/>
        <v>0.36747979324793389</v>
      </c>
      <c r="AH27" s="150">
        <f t="shared" si="19"/>
        <v>0.91547541643412689</v>
      </c>
      <c r="AI27" s="150">
        <f t="shared" si="20"/>
        <v>1</v>
      </c>
      <c r="AJ27" s="150">
        <f t="shared" si="21"/>
        <v>1.1436813696158159</v>
      </c>
      <c r="AL27" s="314">
        <f t="shared" si="22"/>
        <v>264</v>
      </c>
      <c r="AM27" s="144">
        <f t="shared" si="23"/>
        <v>251.44239682767784</v>
      </c>
      <c r="AO27">
        <f t="shared" si="96"/>
        <v>264</v>
      </c>
      <c r="AP27" s="144">
        <f t="shared" si="24"/>
        <v>251.44239682767784</v>
      </c>
      <c r="AQ27" s="144"/>
      <c r="AR27" s="5">
        <f t="shared" si="97"/>
        <v>3.9770540394798037</v>
      </c>
      <c r="AS27" s="5">
        <f t="shared" si="25"/>
        <v>0.25019947003825832</v>
      </c>
      <c r="AT27" s="5">
        <f t="shared" si="98"/>
        <v>3.7268545694415454</v>
      </c>
      <c r="AU27" s="150">
        <f t="shared" si="99"/>
        <v>6.2910754431434443E-2</v>
      </c>
      <c r="AW27" s="5">
        <f t="shared" si="26"/>
        <v>1.321053201802004</v>
      </c>
      <c r="AX27" s="5">
        <f t="shared" si="27"/>
        <v>0.17201213565130258</v>
      </c>
      <c r="AY27" s="5">
        <f t="shared" si="28"/>
        <v>4.2737614250097068E-2</v>
      </c>
      <c r="AZ27" s="5"/>
      <c r="BA27" s="150">
        <f t="shared" si="100"/>
        <v>0.14481108893018108</v>
      </c>
      <c r="BB27" s="150">
        <f t="shared" si="29"/>
        <v>0.55889451764728248</v>
      </c>
      <c r="BC27" s="150">
        <f t="shared" si="30"/>
        <v>0.12492936276821609</v>
      </c>
      <c r="BD27" s="150"/>
      <c r="BE27" s="456">
        <f t="shared" si="31"/>
        <v>4.1940502954289626E-4</v>
      </c>
      <c r="BF27" s="456">
        <f t="shared" si="32"/>
        <v>0.25305948046327054</v>
      </c>
      <c r="BG27" s="456">
        <f t="shared" si="33"/>
        <v>0.30149032304812168</v>
      </c>
      <c r="BH27" s="456">
        <f t="shared" si="34"/>
        <v>7.2444291963461457E-2</v>
      </c>
      <c r="BI27">
        <f t="shared" si="35"/>
        <v>2.158277952856686E-2</v>
      </c>
      <c r="BJ27" s="144">
        <f t="shared" si="101"/>
        <v>323.07310257668854</v>
      </c>
      <c r="BK27">
        <f t="shared" si="36"/>
        <v>0.32606890978817199</v>
      </c>
      <c r="BL27" s="144">
        <f t="shared" si="102"/>
        <v>326.06890978817199</v>
      </c>
      <c r="BM27" s="150">
        <f t="shared" si="37"/>
        <v>0.16400999999999999</v>
      </c>
      <c r="BN27" s="150">
        <f t="shared" si="38"/>
        <v>2.4406249999999997E-2</v>
      </c>
      <c r="BO27" s="456"/>
      <c r="BQ27" s="144">
        <f t="shared" si="103"/>
        <v>188.41624999999999</v>
      </c>
      <c r="BR27" s="456">
        <f t="shared" si="39"/>
        <v>6.2910754431434431E-4</v>
      </c>
      <c r="BS27" s="456">
        <f t="shared" si="104"/>
        <v>9.3708924556856563E-3</v>
      </c>
      <c r="BT27" s="456">
        <f t="shared" si="40"/>
        <v>7.8036728408362676E-5</v>
      </c>
      <c r="BU27" s="456">
        <f t="shared" si="41"/>
        <v>5.0126372138374731E-2</v>
      </c>
      <c r="BV27" s="456">
        <f t="shared" si="42"/>
        <v>6.2673667883748022E-2</v>
      </c>
      <c r="BW27" s="538">
        <f t="shared" si="43"/>
        <v>2.5144239682767786E-4</v>
      </c>
      <c r="BX27" s="144">
        <f t="shared" si="105"/>
        <v>62.925110280575694</v>
      </c>
      <c r="BY27" s="150">
        <f t="shared" si="106"/>
        <v>0.57741027006874779</v>
      </c>
      <c r="BZ27" s="5">
        <f t="shared" si="107"/>
        <v>1.76</v>
      </c>
      <c r="CA27" s="150">
        <f t="shared" si="108"/>
        <v>0.75297008083575967</v>
      </c>
      <c r="CB27" s="5">
        <f t="shared" si="109"/>
        <v>75.29700808357596</v>
      </c>
      <c r="CC27">
        <f t="shared" si="110"/>
        <v>22.000000000000004</v>
      </c>
      <c r="CE27" s="59">
        <f t="shared" si="44"/>
        <v>-50</v>
      </c>
      <c r="CF27">
        <f t="shared" si="45"/>
        <v>-50</v>
      </c>
      <c r="CG27" s="150">
        <f t="shared" si="46"/>
        <v>0.54246843226126995</v>
      </c>
      <c r="CH27" s="150">
        <f t="shared" si="47"/>
        <v>0.29429666378637304</v>
      </c>
      <c r="CI27" s="147">
        <v>22</v>
      </c>
      <c r="CJ27" s="188">
        <f t="shared" si="133"/>
        <v>0.26400000000000001</v>
      </c>
      <c r="CK27" s="188">
        <f t="shared" si="111"/>
        <v>5.5E-2</v>
      </c>
      <c r="CL27" s="188">
        <f t="shared" si="48"/>
        <v>1.32</v>
      </c>
      <c r="CM27" s="188">
        <f t="shared" si="134"/>
        <v>0.44</v>
      </c>
      <c r="CN27" s="465">
        <f t="shared" si="112"/>
        <v>48</v>
      </c>
      <c r="CO27" s="379">
        <f t="shared" si="49"/>
        <v>5.7</v>
      </c>
      <c r="CP27" s="379">
        <f t="shared" si="50"/>
        <v>53.7</v>
      </c>
      <c r="CQ27" s="379"/>
      <c r="CR27" s="188">
        <f t="shared" si="113"/>
        <v>0.10112359550561799</v>
      </c>
      <c r="CS27" s="149">
        <f t="shared" si="114"/>
        <v>9.1011235955056193</v>
      </c>
      <c r="CT27" s="149">
        <f t="shared" si="51"/>
        <v>4.0449438202247192</v>
      </c>
      <c r="CU27" s="188">
        <f t="shared" si="52"/>
        <v>1.8202247191011238</v>
      </c>
      <c r="CV27" s="188">
        <f t="shared" si="53"/>
        <v>1.1376404494382024</v>
      </c>
      <c r="CW27" s="379">
        <f t="shared" si="54"/>
        <v>5</v>
      </c>
      <c r="CX27" s="188">
        <f t="shared" si="55"/>
        <v>0.72518518518518515</v>
      </c>
      <c r="CY27" s="188">
        <f t="shared" si="56"/>
        <v>0.18129629629629632</v>
      </c>
      <c r="CZ27" s="188">
        <f t="shared" si="57"/>
        <v>1.5267056530214425</v>
      </c>
      <c r="DA27" s="172">
        <f t="shared" si="58"/>
        <v>350</v>
      </c>
      <c r="DB27" s="379">
        <f t="shared" si="115"/>
        <v>350</v>
      </c>
      <c r="DD27" s="188">
        <f t="shared" si="59"/>
        <v>1.2130885873902635</v>
      </c>
      <c r="DE27" s="150">
        <f t="shared" si="60"/>
        <v>2.5538707102952913</v>
      </c>
      <c r="DF27" s="150">
        <f t="shared" si="61"/>
        <v>0.54216249715765974</v>
      </c>
      <c r="DG27" s="150"/>
      <c r="DH27" s="150">
        <f t="shared" si="62"/>
        <v>2.1052631578947367</v>
      </c>
      <c r="DI27" s="314">
        <f t="shared" si="63"/>
        <v>250.80000000000004</v>
      </c>
      <c r="DJ27" s="456">
        <f t="shared" si="64"/>
        <v>0.36842105263157893</v>
      </c>
      <c r="DL27" s="150">
        <f t="shared" si="65"/>
        <v>0.91547541643412689</v>
      </c>
      <c r="DM27" s="150">
        <f t="shared" si="66"/>
        <v>1</v>
      </c>
      <c r="DN27" s="150">
        <f t="shared" si="67"/>
        <v>1.1433142857142857</v>
      </c>
      <c r="DP27" s="314">
        <f t="shared" si="68"/>
        <v>264</v>
      </c>
      <c r="DQ27" s="144">
        <f t="shared" si="69"/>
        <v>250.80000000000004</v>
      </c>
      <c r="DS27">
        <f t="shared" si="116"/>
        <v>264</v>
      </c>
      <c r="DT27" s="144">
        <f t="shared" si="70"/>
        <v>250.80000000000004</v>
      </c>
      <c r="DU27" s="144"/>
      <c r="DV27" s="5">
        <f t="shared" si="117"/>
        <v>3.9872408293460921</v>
      </c>
      <c r="DW27" s="5">
        <f t="shared" si="71"/>
        <v>0.25</v>
      </c>
      <c r="DX27" s="5">
        <f t="shared" si="118"/>
        <v>3.7372408293460921</v>
      </c>
      <c r="DY27" s="150">
        <f t="shared" si="119"/>
        <v>6.2700000000000006E-2</v>
      </c>
      <c r="EA27" s="5">
        <f t="shared" si="72"/>
        <v>1.32</v>
      </c>
      <c r="EB27" s="5">
        <f t="shared" si="73"/>
        <v>0.171875</v>
      </c>
      <c r="EC27" s="5">
        <f t="shared" si="74"/>
        <v>4.2822551169590634E-2</v>
      </c>
      <c r="ED27" s="5"/>
      <c r="EE27" s="150">
        <f t="shared" si="120"/>
        <v>0.14456832294800961</v>
      </c>
      <c r="EF27" s="150">
        <f t="shared" si="75"/>
        <v>0.55895736271502261</v>
      </c>
      <c r="EG27" s="150">
        <f t="shared" si="76"/>
        <v>0.12494341048924036</v>
      </c>
      <c r="EH27" s="150"/>
      <c r="EI27" s="456">
        <f t="shared" si="77"/>
        <v>4.1800000000000002E-4</v>
      </c>
      <c r="EJ27" s="456">
        <f t="shared" si="78"/>
        <v>0.26935920000000002</v>
      </c>
      <c r="EK27" s="456">
        <f t="shared" si="79"/>
        <v>3.1350000000000003E-2</v>
      </c>
      <c r="EL27" s="456">
        <f t="shared" si="80"/>
        <v>7.232294520000003E-2</v>
      </c>
      <c r="EM27">
        <f t="shared" si="81"/>
        <v>2.1600000000000001E-2</v>
      </c>
      <c r="EN27" s="144">
        <f t="shared" si="121"/>
        <v>52.95</v>
      </c>
      <c r="EO27">
        <f t="shared" si="82"/>
        <v>0.39520225542336151</v>
      </c>
      <c r="EP27" s="144">
        <f t="shared" si="122"/>
        <v>395.20225542336152</v>
      </c>
      <c r="EQ27" s="150">
        <f t="shared" si="83"/>
        <v>0.16400999999999999</v>
      </c>
      <c r="ER27" s="150">
        <f t="shared" si="84"/>
        <v>2.4406249999999997E-2</v>
      </c>
      <c r="ES27" s="456"/>
      <c r="EU27" s="144">
        <f t="shared" si="123"/>
        <v>188.41624999999999</v>
      </c>
      <c r="EV27" s="456">
        <f t="shared" si="85"/>
        <v>6.2700000000000006E-4</v>
      </c>
      <c r="EW27" s="456">
        <f t="shared" si="124"/>
        <v>9.3729999999999994E-3</v>
      </c>
      <c r="EX27" s="456">
        <f t="shared" si="86"/>
        <v>7.8054279123414088E-5</v>
      </c>
      <c r="EY27" s="456">
        <f t="shared" si="87"/>
        <v>4.9806822336712277E-2</v>
      </c>
      <c r="EZ27" s="456">
        <f t="shared" si="88"/>
        <v>6.2353882107496782E-2</v>
      </c>
      <c r="FA27" s="538">
        <f t="shared" si="89"/>
        <v>2.5080000000000002E-4</v>
      </c>
      <c r="FB27" s="144">
        <f t="shared" si="125"/>
        <v>62.604682107496785</v>
      </c>
      <c r="FC27" s="150">
        <f t="shared" si="126"/>
        <v>0.64622318753085828</v>
      </c>
      <c r="FD27" s="5">
        <f t="shared" si="127"/>
        <v>1.76</v>
      </c>
      <c r="FE27" s="150">
        <f t="shared" si="128"/>
        <v>0.73143672171409047</v>
      </c>
      <c r="FF27" s="5">
        <f t="shared" si="129"/>
        <v>73.143672171409051</v>
      </c>
      <c r="FG27">
        <f t="shared" si="130"/>
        <v>22.000000000000004</v>
      </c>
      <c r="FI27" s="59">
        <f t="shared" si="90"/>
        <v>-50</v>
      </c>
      <c r="FJ27">
        <f t="shared" si="91"/>
        <v>-50</v>
      </c>
      <c r="FL27">
        <f t="shared" si="92"/>
        <v>0.54246843226126995</v>
      </c>
    </row>
    <row r="28" spans="5:168">
      <c r="E28" s="147">
        <v>23</v>
      </c>
      <c r="F28" s="188">
        <f t="shared" si="131"/>
        <v>0.27600000000000002</v>
      </c>
      <c r="G28" s="188">
        <f t="shared" si="93"/>
        <v>5.7500000000000002E-2</v>
      </c>
      <c r="H28" s="188">
        <f t="shared" si="0"/>
        <v>1.3800000000000001</v>
      </c>
      <c r="I28" s="188">
        <f t="shared" si="132"/>
        <v>0.46</v>
      </c>
      <c r="J28" s="465">
        <f t="shared" si="1"/>
        <v>47.961732285704137</v>
      </c>
      <c r="K28" s="379">
        <f t="shared" si="2"/>
        <v>5.7145999279017685</v>
      </c>
      <c r="L28" s="149">
        <f t="shared" si="3"/>
        <v>53.676332213605903</v>
      </c>
      <c r="M28" s="379"/>
      <c r="N28" s="188">
        <f t="shared" si="4"/>
        <v>0.1064640539364802</v>
      </c>
      <c r="O28" s="149">
        <f t="shared" si="94"/>
        <v>9.57412584928543</v>
      </c>
      <c r="P28" s="149">
        <f t="shared" si="5"/>
        <v>4.255167044126857</v>
      </c>
      <c r="Q28" s="188">
        <f t="shared" si="6"/>
        <v>1.914825169857086</v>
      </c>
      <c r="R28" s="188">
        <f t="shared" si="7"/>
        <v>1.1967657311606787</v>
      </c>
      <c r="S28" s="379">
        <f t="shared" si="8"/>
        <v>5</v>
      </c>
      <c r="T28" s="188">
        <f t="shared" si="9"/>
        <v>0.72069242755096918</v>
      </c>
      <c r="U28" s="188">
        <f t="shared" si="10"/>
        <v>0.1803168634338384</v>
      </c>
      <c r="V28" s="188">
        <f t="shared" si="11"/>
        <v>1.5133708815530387</v>
      </c>
      <c r="W28" s="172">
        <f t="shared" si="12"/>
        <v>350</v>
      </c>
      <c r="X28" s="379">
        <f t="shared" si="95"/>
        <v>350</v>
      </c>
      <c r="Z28" s="188">
        <f t="shared" si="13"/>
        <v>1.2157620126076734</v>
      </c>
      <c r="AA28" s="150">
        <f t="shared" si="14"/>
        <v>2.5529598458957707</v>
      </c>
      <c r="AB28" s="150">
        <f t="shared" si="15"/>
        <v>0.54316353006174312</v>
      </c>
      <c r="AC28" s="150"/>
      <c r="AD28" s="150">
        <f t="shared" si="16"/>
        <v>2.0998845328453366</v>
      </c>
      <c r="AE28" s="314">
        <f t="shared" si="17"/>
        <v>262.87159668348141</v>
      </c>
      <c r="AF28" s="456">
        <f t="shared" si="18"/>
        <v>0.36747979324793389</v>
      </c>
      <c r="AH28" s="150">
        <f t="shared" si="19"/>
        <v>0.93605046668995162</v>
      </c>
      <c r="AI28" s="150">
        <f t="shared" si="20"/>
        <v>1</v>
      </c>
      <c r="AJ28" s="150">
        <f t="shared" si="21"/>
        <v>1.1502123409619893</v>
      </c>
      <c r="AL28" s="314">
        <f t="shared" si="22"/>
        <v>276</v>
      </c>
      <c r="AM28" s="144">
        <f t="shared" si="23"/>
        <v>262.87159668348141</v>
      </c>
      <c r="AO28">
        <f t="shared" si="96"/>
        <v>276</v>
      </c>
      <c r="AP28" s="144">
        <f t="shared" si="24"/>
        <v>262.87159668348141</v>
      </c>
      <c r="AQ28" s="144"/>
      <c r="AR28" s="5">
        <f t="shared" si="97"/>
        <v>3.8041386464589424</v>
      </c>
      <c r="AS28" s="5">
        <f t="shared" si="25"/>
        <v>0.25019947003825832</v>
      </c>
      <c r="AT28" s="5">
        <f t="shared" si="98"/>
        <v>3.553939176420684</v>
      </c>
      <c r="AU28" s="150">
        <f t="shared" si="99"/>
        <v>6.5770334178317832E-2</v>
      </c>
      <c r="AW28" s="5">
        <f t="shared" si="26"/>
        <v>1.381101074611186</v>
      </c>
      <c r="AX28" s="5">
        <f t="shared" si="27"/>
        <v>0.17983086908999818</v>
      </c>
      <c r="AY28" s="5">
        <f t="shared" si="28"/>
        <v>4.2607198052581598E-2</v>
      </c>
      <c r="AZ28" s="5"/>
      <c r="BA28" s="150">
        <f t="shared" si="100"/>
        <v>0.14806567706969073</v>
      </c>
      <c r="BB28" s="150">
        <f t="shared" si="29"/>
        <v>0.55804111730877626</v>
      </c>
      <c r="BC28" s="150">
        <f t="shared" si="30"/>
        <v>0.12473860269254999</v>
      </c>
      <c r="BD28" s="150"/>
      <c r="BE28" s="456">
        <f t="shared" si="31"/>
        <v>4.3846889452211878E-4</v>
      </c>
      <c r="BF28" s="456">
        <f t="shared" si="32"/>
        <v>0.26456218412069199</v>
      </c>
      <c r="BG28" s="456">
        <f t="shared" si="33"/>
        <v>0.31519442864121822</v>
      </c>
      <c r="BH28" s="456">
        <f t="shared" si="34"/>
        <v>7.5737214325436994E-2</v>
      </c>
      <c r="BI28">
        <f t="shared" si="35"/>
        <v>2.158277952856686E-2</v>
      </c>
      <c r="BJ28" s="144">
        <f t="shared" si="101"/>
        <v>336.77720816978507</v>
      </c>
      <c r="BK28">
        <f t="shared" si="36"/>
        <v>0.34089176811793642</v>
      </c>
      <c r="BL28" s="144">
        <f t="shared" si="102"/>
        <v>340.89176811793641</v>
      </c>
      <c r="BM28" s="150">
        <f t="shared" si="37"/>
        <v>0.17146500000000001</v>
      </c>
      <c r="BN28" s="150">
        <f t="shared" si="38"/>
        <v>2.5515625E-2</v>
      </c>
      <c r="BO28" s="456"/>
      <c r="BQ28" s="144">
        <f t="shared" si="103"/>
        <v>196.98062500000003</v>
      </c>
      <c r="BR28" s="456">
        <f t="shared" si="39"/>
        <v>6.5770334178317819E-4</v>
      </c>
      <c r="BS28" s="456">
        <f t="shared" si="104"/>
        <v>9.3422966582168213E-3</v>
      </c>
      <c r="BT28" s="456">
        <f t="shared" si="40"/>
        <v>7.7798595008449198E-5</v>
      </c>
      <c r="BU28" s="456">
        <f t="shared" si="41"/>
        <v>5.6018201572807721E-2</v>
      </c>
      <c r="BV28" s="456">
        <f t="shared" si="42"/>
        <v>6.8569954565960961E-2</v>
      </c>
      <c r="BW28" s="538">
        <f t="shared" si="43"/>
        <v>2.628715966834814E-4</v>
      </c>
      <c r="BX28" s="144">
        <f t="shared" si="105"/>
        <v>68.832826162644437</v>
      </c>
      <c r="BY28" s="150">
        <f t="shared" si="106"/>
        <v>0.60670521928058085</v>
      </c>
      <c r="BZ28" s="5">
        <f t="shared" si="107"/>
        <v>1.84</v>
      </c>
      <c r="CA28" s="150">
        <f t="shared" si="108"/>
        <v>0.75203174681624541</v>
      </c>
      <c r="CB28" s="5">
        <f t="shared" si="109"/>
        <v>75.203174681624546</v>
      </c>
      <c r="CC28">
        <f t="shared" si="110"/>
        <v>23.000000000000004</v>
      </c>
      <c r="CE28" s="59">
        <f t="shared" si="44"/>
        <v>-50</v>
      </c>
      <c r="CF28">
        <f t="shared" si="45"/>
        <v>-50</v>
      </c>
      <c r="CG28" s="150">
        <f t="shared" si="46"/>
        <v>0.56712608827314592</v>
      </c>
      <c r="CH28" s="150">
        <f t="shared" si="47"/>
        <v>0.3076737848675718</v>
      </c>
      <c r="CI28" s="147">
        <v>23</v>
      </c>
      <c r="CJ28" s="188">
        <f t="shared" si="133"/>
        <v>0.27600000000000002</v>
      </c>
      <c r="CK28" s="188">
        <f t="shared" si="111"/>
        <v>5.7500000000000002E-2</v>
      </c>
      <c r="CL28" s="188">
        <f t="shared" si="48"/>
        <v>1.3800000000000001</v>
      </c>
      <c r="CM28" s="188">
        <f t="shared" si="134"/>
        <v>0.46</v>
      </c>
      <c r="CN28" s="465">
        <f t="shared" si="112"/>
        <v>48</v>
      </c>
      <c r="CO28" s="379">
        <f t="shared" si="49"/>
        <v>5.7</v>
      </c>
      <c r="CP28" s="379">
        <f t="shared" si="50"/>
        <v>53.7</v>
      </c>
      <c r="CQ28" s="379"/>
      <c r="CR28" s="188">
        <f t="shared" si="113"/>
        <v>0.10112359550561799</v>
      </c>
      <c r="CS28" s="149">
        <f t="shared" si="114"/>
        <v>9.1011235955056193</v>
      </c>
      <c r="CT28" s="149">
        <f t="shared" si="51"/>
        <v>4.0449438202247192</v>
      </c>
      <c r="CU28" s="188">
        <f t="shared" si="52"/>
        <v>1.8202247191011238</v>
      </c>
      <c r="CV28" s="188">
        <f t="shared" si="53"/>
        <v>1.1376404494382024</v>
      </c>
      <c r="CW28" s="379">
        <f t="shared" si="54"/>
        <v>5</v>
      </c>
      <c r="CX28" s="188">
        <f t="shared" si="55"/>
        <v>0.75814814814814813</v>
      </c>
      <c r="CY28" s="188">
        <f t="shared" si="56"/>
        <v>0.18953703703703706</v>
      </c>
      <c r="CZ28" s="188">
        <f t="shared" si="57"/>
        <v>1.5961013645224171</v>
      </c>
      <c r="DA28" s="172">
        <f t="shared" si="58"/>
        <v>350</v>
      </c>
      <c r="DB28" s="379">
        <f t="shared" si="115"/>
        <v>350</v>
      </c>
      <c r="DD28" s="188">
        <f t="shared" si="59"/>
        <v>1.2130885873902635</v>
      </c>
      <c r="DE28" s="150">
        <f t="shared" si="60"/>
        <v>2.5538707102952913</v>
      </c>
      <c r="DF28" s="150">
        <f t="shared" si="61"/>
        <v>0.54216249715765974</v>
      </c>
      <c r="DG28" s="150"/>
      <c r="DH28" s="150">
        <f t="shared" si="62"/>
        <v>2.1052631578947367</v>
      </c>
      <c r="DI28" s="314">
        <f t="shared" si="63"/>
        <v>262.20000000000005</v>
      </c>
      <c r="DJ28" s="456">
        <f t="shared" si="64"/>
        <v>0.36842105263157893</v>
      </c>
      <c r="DL28" s="150">
        <f t="shared" si="65"/>
        <v>0.93605046668995162</v>
      </c>
      <c r="DM28" s="150">
        <f t="shared" si="66"/>
        <v>1</v>
      </c>
      <c r="DN28" s="150">
        <f t="shared" si="67"/>
        <v>1.1498285714285714</v>
      </c>
      <c r="DP28" s="314">
        <f t="shared" si="68"/>
        <v>276</v>
      </c>
      <c r="DQ28" s="144">
        <f t="shared" si="69"/>
        <v>262.20000000000005</v>
      </c>
      <c r="DS28">
        <f t="shared" si="116"/>
        <v>276</v>
      </c>
      <c r="DT28" s="144">
        <f t="shared" si="70"/>
        <v>262.20000000000005</v>
      </c>
      <c r="DU28" s="144"/>
      <c r="DV28" s="5">
        <f t="shared" si="117"/>
        <v>3.8138825324180008</v>
      </c>
      <c r="DW28" s="5">
        <f t="shared" si="71"/>
        <v>0.25</v>
      </c>
      <c r="DX28" s="5">
        <f t="shared" si="118"/>
        <v>3.5638825324180008</v>
      </c>
      <c r="DY28" s="150">
        <f t="shared" si="119"/>
        <v>6.5550000000000011E-2</v>
      </c>
      <c r="EA28" s="5">
        <f t="shared" si="72"/>
        <v>1.3800000000000001</v>
      </c>
      <c r="EB28" s="5">
        <f t="shared" si="73"/>
        <v>0.1796875</v>
      </c>
      <c r="EC28" s="5">
        <f t="shared" si="74"/>
        <v>4.2692342836257294E-2</v>
      </c>
      <c r="ED28" s="5"/>
      <c r="EE28" s="150">
        <f t="shared" si="120"/>
        <v>0.14781745499094484</v>
      </c>
      <c r="EF28" s="150">
        <f t="shared" si="75"/>
        <v>0.55810691926667</v>
      </c>
      <c r="EG28" s="150">
        <f t="shared" si="76"/>
        <v>0.12475331136549095</v>
      </c>
      <c r="EH28" s="150"/>
      <c r="EI28" s="456">
        <f t="shared" si="77"/>
        <v>4.3700000000000011E-4</v>
      </c>
      <c r="EJ28" s="456">
        <f t="shared" si="78"/>
        <v>0.2816028000000001</v>
      </c>
      <c r="EK28" s="456">
        <f t="shared" si="79"/>
        <v>3.2775000000000006E-2</v>
      </c>
      <c r="EL28" s="456">
        <f t="shared" si="80"/>
        <v>7.5610351800000017E-2</v>
      </c>
      <c r="EM28">
        <f t="shared" si="81"/>
        <v>2.1600000000000001E-2</v>
      </c>
      <c r="EN28" s="144">
        <f t="shared" si="121"/>
        <v>54.375000000000007</v>
      </c>
      <c r="EO28">
        <f t="shared" si="82"/>
        <v>0.41218593956072785</v>
      </c>
      <c r="EP28" s="144">
        <f t="shared" si="122"/>
        <v>412.18593956072783</v>
      </c>
      <c r="EQ28" s="150">
        <f t="shared" si="83"/>
        <v>0.17146500000000001</v>
      </c>
      <c r="ER28" s="150">
        <f t="shared" si="84"/>
        <v>2.5515625E-2</v>
      </c>
      <c r="ES28" s="456"/>
      <c r="EU28" s="144">
        <f t="shared" si="123"/>
        <v>196.98062500000003</v>
      </c>
      <c r="EV28" s="456">
        <f t="shared" si="85"/>
        <v>6.5550000000000016E-4</v>
      </c>
      <c r="EW28" s="456">
        <f t="shared" si="124"/>
        <v>9.3444999999999986E-3</v>
      </c>
      <c r="EX28" s="456">
        <f t="shared" si="86"/>
        <v>7.7816943483275666E-5</v>
      </c>
      <c r="EY28" s="456">
        <f t="shared" si="87"/>
        <v>5.5661092042665138E-2</v>
      </c>
      <c r="EZ28" s="456">
        <f t="shared" si="88"/>
        <v>6.8212579763952716E-2</v>
      </c>
      <c r="FA28" s="538">
        <f t="shared" si="89"/>
        <v>2.6220000000000008E-4</v>
      </c>
      <c r="FB28" s="144">
        <f t="shared" si="125"/>
        <v>68.474779763952725</v>
      </c>
      <c r="FC28" s="150">
        <f t="shared" si="126"/>
        <v>0.67764134432468059</v>
      </c>
      <c r="FD28" s="5">
        <f t="shared" si="127"/>
        <v>1.84</v>
      </c>
      <c r="FE28" s="150">
        <f t="shared" si="128"/>
        <v>0.73084278034588457</v>
      </c>
      <c r="FF28" s="5">
        <f t="shared" si="129"/>
        <v>73.084278034588451</v>
      </c>
      <c r="FG28">
        <f t="shared" si="130"/>
        <v>23.000000000000004</v>
      </c>
      <c r="FI28" s="59">
        <f t="shared" si="90"/>
        <v>-50</v>
      </c>
      <c r="FJ28">
        <f t="shared" si="91"/>
        <v>-50</v>
      </c>
      <c r="FL28">
        <f t="shared" si="92"/>
        <v>0.56712608827314592</v>
      </c>
    </row>
    <row r="29" spans="5:168">
      <c r="E29" s="147">
        <v>24</v>
      </c>
      <c r="F29" s="188">
        <f t="shared" si="131"/>
        <v>0.28799999999999998</v>
      </c>
      <c r="G29" s="188">
        <f t="shared" si="93"/>
        <v>0.06</v>
      </c>
      <c r="H29" s="188">
        <f t="shared" si="0"/>
        <v>1.44</v>
      </c>
      <c r="I29" s="188">
        <f t="shared" si="132"/>
        <v>0.48</v>
      </c>
      <c r="J29" s="465">
        <f t="shared" si="1"/>
        <v>47.961732285704137</v>
      </c>
      <c r="K29" s="379">
        <f t="shared" si="2"/>
        <v>5.7145999279017685</v>
      </c>
      <c r="L29" s="149">
        <f t="shared" si="3"/>
        <v>53.676332213605903</v>
      </c>
      <c r="M29" s="379"/>
      <c r="N29" s="188">
        <f t="shared" si="4"/>
        <v>0.1064640539364802</v>
      </c>
      <c r="O29" s="149">
        <f t="shared" si="94"/>
        <v>9.57412584928543</v>
      </c>
      <c r="P29" s="149">
        <f t="shared" si="5"/>
        <v>4.255167044126857</v>
      </c>
      <c r="Q29" s="188">
        <f t="shared" si="6"/>
        <v>1.914825169857086</v>
      </c>
      <c r="R29" s="188">
        <f t="shared" si="7"/>
        <v>1.1967657311606787</v>
      </c>
      <c r="S29" s="379">
        <f t="shared" si="8"/>
        <v>5</v>
      </c>
      <c r="T29" s="188">
        <f t="shared" si="9"/>
        <v>0.75202688092275038</v>
      </c>
      <c r="U29" s="188">
        <f t="shared" si="10"/>
        <v>0.18815672706139655</v>
      </c>
      <c r="V29" s="188">
        <f t="shared" si="11"/>
        <v>1.5791696155336052</v>
      </c>
      <c r="W29" s="172">
        <f t="shared" si="12"/>
        <v>350</v>
      </c>
      <c r="X29" s="379">
        <f t="shared" si="95"/>
        <v>350</v>
      </c>
      <c r="Z29" s="188">
        <f t="shared" si="13"/>
        <v>1.2157620126076734</v>
      </c>
      <c r="AA29" s="150">
        <f t="shared" si="14"/>
        <v>2.5529598458957707</v>
      </c>
      <c r="AB29" s="150">
        <f t="shared" si="15"/>
        <v>0.54316353006174312</v>
      </c>
      <c r="AC29" s="150"/>
      <c r="AD29" s="150">
        <f t="shared" si="16"/>
        <v>2.0998845328453366</v>
      </c>
      <c r="AE29" s="314">
        <f t="shared" si="17"/>
        <v>274.30079653928487</v>
      </c>
      <c r="AF29" s="456">
        <f t="shared" si="18"/>
        <v>0.36747979324793389</v>
      </c>
      <c r="AH29" s="150">
        <f t="shared" si="19"/>
        <v>0.9561828874675149</v>
      </c>
      <c r="AI29" s="150">
        <f t="shared" si="20"/>
        <v>1</v>
      </c>
      <c r="AJ29" s="150">
        <f t="shared" si="21"/>
        <v>1.1567433123081627</v>
      </c>
      <c r="AL29" s="314">
        <f t="shared" si="22"/>
        <v>288</v>
      </c>
      <c r="AM29" s="144">
        <f t="shared" si="23"/>
        <v>274.30079653928487</v>
      </c>
      <c r="AO29">
        <f t="shared" si="96"/>
        <v>288</v>
      </c>
      <c r="AP29" s="144">
        <f t="shared" si="24"/>
        <v>274.30079653928487</v>
      </c>
      <c r="AQ29" s="144"/>
      <c r="AR29" s="5">
        <f t="shared" si="97"/>
        <v>3.6456328695231544</v>
      </c>
      <c r="AS29" s="5">
        <f t="shared" si="25"/>
        <v>0.25019947003825832</v>
      </c>
      <c r="AT29" s="5">
        <f t="shared" si="98"/>
        <v>3.395433399484896</v>
      </c>
      <c r="AU29" s="150">
        <f t="shared" si="99"/>
        <v>6.8629913925201194E-2</v>
      </c>
      <c r="AW29" s="5">
        <f t="shared" si="26"/>
        <v>1.4411489474203678</v>
      </c>
      <c r="AX29" s="5">
        <f t="shared" si="27"/>
        <v>0.18764960252869373</v>
      </c>
      <c r="AY29" s="5">
        <f t="shared" si="28"/>
        <v>4.2476781855066134E-2</v>
      </c>
      <c r="AZ29" s="5"/>
      <c r="BA29" s="150">
        <f t="shared" si="100"/>
        <v>0.15125024950414814</v>
      </c>
      <c r="BB29" s="150">
        <f t="shared" si="29"/>
        <v>0.55718640988296386</v>
      </c>
      <c r="BC29" s="150">
        <f t="shared" si="30"/>
        <v>0.12454755044442722</v>
      </c>
      <c r="BD29" s="150"/>
      <c r="BE29" s="456">
        <f t="shared" si="31"/>
        <v>4.5753275950134134E-4</v>
      </c>
      <c r="BF29" s="456">
        <f t="shared" si="32"/>
        <v>0.27606488777811328</v>
      </c>
      <c r="BG29" s="456">
        <f t="shared" si="33"/>
        <v>0.32889853423431453</v>
      </c>
      <c r="BH29" s="456">
        <f t="shared" si="34"/>
        <v>7.9030136687412489E-2</v>
      </c>
      <c r="BI29">
        <f t="shared" si="35"/>
        <v>2.158277952856686E-2</v>
      </c>
      <c r="BJ29" s="144">
        <f t="shared" si="101"/>
        <v>350.48131376288137</v>
      </c>
      <c r="BK29">
        <f t="shared" si="36"/>
        <v>0.35571476074477681</v>
      </c>
      <c r="BL29" s="144">
        <f t="shared" si="102"/>
        <v>355.71476074477681</v>
      </c>
      <c r="BM29" s="150">
        <f t="shared" si="37"/>
        <v>0.17891999999999997</v>
      </c>
      <c r="BN29" s="150">
        <f t="shared" si="38"/>
        <v>2.6624999999999999E-2</v>
      </c>
      <c r="BO29" s="456"/>
      <c r="BQ29" s="144">
        <f t="shared" si="103"/>
        <v>205.54499999999999</v>
      </c>
      <c r="BR29" s="456">
        <f t="shared" si="39"/>
        <v>6.8629913925201196E-4</v>
      </c>
      <c r="BS29" s="456">
        <f t="shared" si="104"/>
        <v>9.3137008607479862E-3</v>
      </c>
      <c r="BT29" s="456">
        <f t="shared" si="40"/>
        <v>7.7560461608535721E-5</v>
      </c>
      <c r="BU29" s="456">
        <f t="shared" si="41"/>
        <v>6.2307119818077225E-2</v>
      </c>
      <c r="BV29" s="456">
        <f t="shared" si="42"/>
        <v>7.4863650227395273E-2</v>
      </c>
      <c r="BW29" s="538">
        <f t="shared" si="43"/>
        <v>2.7430079653928489E-4</v>
      </c>
      <c r="BX29" s="144">
        <f t="shared" si="105"/>
        <v>75.137951023934562</v>
      </c>
      <c r="BY29" s="150">
        <f t="shared" si="106"/>
        <v>0.6363977117687114</v>
      </c>
      <c r="BZ29" s="5">
        <f t="shared" si="107"/>
        <v>1.92</v>
      </c>
      <c r="CA29" s="150">
        <f t="shared" si="108"/>
        <v>0.75105684501321091</v>
      </c>
      <c r="CB29" s="5">
        <f t="shared" si="109"/>
        <v>75.105684501321093</v>
      </c>
      <c r="CC29">
        <f t="shared" si="110"/>
        <v>24</v>
      </c>
      <c r="CE29" s="59">
        <f t="shared" si="44"/>
        <v>-50</v>
      </c>
      <c r="CF29">
        <f t="shared" si="45"/>
        <v>-50</v>
      </c>
      <c r="CG29" s="150">
        <f t="shared" si="46"/>
        <v>0.59178374428502167</v>
      </c>
      <c r="CH29" s="150">
        <f t="shared" si="47"/>
        <v>0.32105090594877056</v>
      </c>
      <c r="CI29" s="147">
        <v>24</v>
      </c>
      <c r="CJ29" s="188">
        <f t="shared" si="133"/>
        <v>0.28799999999999998</v>
      </c>
      <c r="CK29" s="188">
        <f t="shared" si="111"/>
        <v>0.06</v>
      </c>
      <c r="CL29" s="188">
        <f t="shared" si="48"/>
        <v>1.44</v>
      </c>
      <c r="CM29" s="188">
        <f t="shared" si="134"/>
        <v>0.48</v>
      </c>
      <c r="CN29" s="465">
        <f t="shared" si="112"/>
        <v>48</v>
      </c>
      <c r="CO29" s="379">
        <f t="shared" si="49"/>
        <v>5.7</v>
      </c>
      <c r="CP29" s="379">
        <f t="shared" si="50"/>
        <v>53.7</v>
      </c>
      <c r="CQ29" s="379"/>
      <c r="CR29" s="188">
        <f t="shared" si="113"/>
        <v>0.10112359550561799</v>
      </c>
      <c r="CS29" s="149">
        <f t="shared" si="114"/>
        <v>9.1011235955056193</v>
      </c>
      <c r="CT29" s="149">
        <f t="shared" si="51"/>
        <v>4.0449438202247192</v>
      </c>
      <c r="CU29" s="188">
        <f t="shared" si="52"/>
        <v>1.8202247191011238</v>
      </c>
      <c r="CV29" s="188">
        <f t="shared" si="53"/>
        <v>1.1376404494382024</v>
      </c>
      <c r="CW29" s="379">
        <f t="shared" si="54"/>
        <v>5</v>
      </c>
      <c r="CX29" s="188">
        <f t="shared" si="55"/>
        <v>0.79111111111111099</v>
      </c>
      <c r="CY29" s="188">
        <f t="shared" si="56"/>
        <v>0.19777777777777775</v>
      </c>
      <c r="CZ29" s="188">
        <f t="shared" si="57"/>
        <v>1.6654970760233916</v>
      </c>
      <c r="DA29" s="172">
        <f t="shared" si="58"/>
        <v>350</v>
      </c>
      <c r="DB29" s="379">
        <f t="shared" si="115"/>
        <v>350</v>
      </c>
      <c r="DD29" s="188">
        <f t="shared" si="59"/>
        <v>1.2130885873902635</v>
      </c>
      <c r="DE29" s="150">
        <f t="shared" si="60"/>
        <v>2.5538707102952913</v>
      </c>
      <c r="DF29" s="150">
        <f t="shared" si="61"/>
        <v>0.54216249715765974</v>
      </c>
      <c r="DG29" s="150"/>
      <c r="DH29" s="150">
        <f t="shared" si="62"/>
        <v>2.1052631578947367</v>
      </c>
      <c r="DI29" s="314">
        <f t="shared" si="63"/>
        <v>273.60000000000002</v>
      </c>
      <c r="DJ29" s="456">
        <f t="shared" si="64"/>
        <v>0.36842105263157893</v>
      </c>
      <c r="DL29" s="150">
        <f t="shared" si="65"/>
        <v>0.9561828874675149</v>
      </c>
      <c r="DM29" s="150">
        <f t="shared" si="66"/>
        <v>1</v>
      </c>
      <c r="DN29" s="150">
        <f t="shared" si="67"/>
        <v>1.1563428571428571</v>
      </c>
      <c r="DP29" s="314">
        <f t="shared" si="68"/>
        <v>288</v>
      </c>
      <c r="DQ29" s="144">
        <f t="shared" si="69"/>
        <v>273.60000000000002</v>
      </c>
      <c r="DS29">
        <f t="shared" si="116"/>
        <v>288</v>
      </c>
      <c r="DT29" s="144">
        <f t="shared" si="70"/>
        <v>273.60000000000002</v>
      </c>
      <c r="DU29" s="144"/>
      <c r="DV29" s="5">
        <f t="shared" si="117"/>
        <v>3.6549707602339181</v>
      </c>
      <c r="DW29" s="5">
        <f t="shared" si="71"/>
        <v>0.25</v>
      </c>
      <c r="DX29" s="5">
        <f t="shared" si="118"/>
        <v>3.4049707602339181</v>
      </c>
      <c r="DY29" s="150">
        <f t="shared" si="119"/>
        <v>6.8400000000000002E-2</v>
      </c>
      <c r="EA29" s="5">
        <f t="shared" si="72"/>
        <v>1.44</v>
      </c>
      <c r="EB29" s="5">
        <f t="shared" si="73"/>
        <v>0.1875</v>
      </c>
      <c r="EC29" s="5">
        <f t="shared" si="74"/>
        <v>4.2562134502923968E-2</v>
      </c>
      <c r="ED29" s="5"/>
      <c r="EE29" s="150">
        <f t="shared" si="120"/>
        <v>0.15099668870541499</v>
      </c>
      <c r="EF29" s="150">
        <f t="shared" si="75"/>
        <v>0.55725517793317392</v>
      </c>
      <c r="EG29" s="150">
        <f t="shared" si="76"/>
        <v>0.12456292212623889</v>
      </c>
      <c r="EH29" s="150"/>
      <c r="EI29" s="456">
        <f t="shared" si="77"/>
        <v>4.5600000000000003E-4</v>
      </c>
      <c r="EJ29" s="456">
        <f t="shared" si="78"/>
        <v>0.29384640000000006</v>
      </c>
      <c r="EK29" s="456">
        <f t="shared" si="79"/>
        <v>3.4200000000000001E-2</v>
      </c>
      <c r="EL29" s="456">
        <f t="shared" si="80"/>
        <v>7.8897758400000031E-2</v>
      </c>
      <c r="EM29">
        <f t="shared" si="81"/>
        <v>2.1600000000000001E-2</v>
      </c>
      <c r="EN29" s="144">
        <f t="shared" si="121"/>
        <v>55.800000000000004</v>
      </c>
      <c r="EO29">
        <f t="shared" si="82"/>
        <v>0.42916977705699716</v>
      </c>
      <c r="EP29" s="144">
        <f t="shared" si="122"/>
        <v>429.16977705699713</v>
      </c>
      <c r="EQ29" s="150">
        <f t="shared" si="83"/>
        <v>0.17891999999999997</v>
      </c>
      <c r="ER29" s="150">
        <f t="shared" si="84"/>
        <v>2.6624999999999999E-2</v>
      </c>
      <c r="ES29" s="456"/>
      <c r="EU29" s="144">
        <f t="shared" si="123"/>
        <v>205.54499999999999</v>
      </c>
      <c r="EV29" s="456">
        <f t="shared" si="85"/>
        <v>6.8400000000000004E-4</v>
      </c>
      <c r="EW29" s="456">
        <f t="shared" si="124"/>
        <v>9.3159999999999996E-3</v>
      </c>
      <c r="EX29" s="456">
        <f t="shared" si="86"/>
        <v>7.7579607843137271E-5</v>
      </c>
      <c r="EY29" s="456">
        <f t="shared" si="87"/>
        <v>6.1909919164396005E-2</v>
      </c>
      <c r="EZ29" s="456">
        <f t="shared" si="88"/>
        <v>7.4466152964888982E-2</v>
      </c>
      <c r="FA29" s="538">
        <f t="shared" si="89"/>
        <v>2.7360000000000004E-4</v>
      </c>
      <c r="FB29" s="144">
        <f t="shared" si="125"/>
        <v>74.739752964888979</v>
      </c>
      <c r="FC29" s="150">
        <f t="shared" si="126"/>
        <v>0.70945453002188608</v>
      </c>
      <c r="FD29" s="5">
        <f t="shared" si="127"/>
        <v>1.92</v>
      </c>
      <c r="FE29" s="150">
        <f t="shared" si="128"/>
        <v>0.73018946632403603</v>
      </c>
      <c r="FF29" s="5">
        <f t="shared" si="129"/>
        <v>73.018946632403598</v>
      </c>
      <c r="FG29">
        <f t="shared" si="130"/>
        <v>24</v>
      </c>
      <c r="FI29" s="59">
        <f t="shared" si="90"/>
        <v>-50</v>
      </c>
      <c r="FJ29">
        <f t="shared" si="91"/>
        <v>-50</v>
      </c>
      <c r="FL29">
        <f t="shared" si="92"/>
        <v>0.59178374428502167</v>
      </c>
    </row>
    <row r="30" spans="5:168">
      <c r="E30" s="147">
        <v>25</v>
      </c>
      <c r="F30" s="188">
        <f t="shared" si="131"/>
        <v>0.3</v>
      </c>
      <c r="G30" s="188">
        <f t="shared" si="93"/>
        <v>6.25E-2</v>
      </c>
      <c r="H30" s="188">
        <f t="shared" si="0"/>
        <v>1.5</v>
      </c>
      <c r="I30" s="188">
        <f t="shared" si="132"/>
        <v>0.5</v>
      </c>
      <c r="J30" s="465">
        <f t="shared" si="1"/>
        <v>47.961732285704137</v>
      </c>
      <c r="K30" s="379">
        <f t="shared" si="2"/>
        <v>5.7145999279017685</v>
      </c>
      <c r="L30" s="149">
        <f t="shared" si="3"/>
        <v>53.676332213605903</v>
      </c>
      <c r="M30" s="379"/>
      <c r="N30" s="188">
        <f t="shared" si="4"/>
        <v>0.1064640539364802</v>
      </c>
      <c r="O30" s="149">
        <f t="shared" si="94"/>
        <v>9.57412584928543</v>
      </c>
      <c r="P30" s="149">
        <f t="shared" si="5"/>
        <v>4.255167044126857</v>
      </c>
      <c r="Q30" s="188">
        <f t="shared" si="6"/>
        <v>1.914825169857086</v>
      </c>
      <c r="R30" s="188">
        <f t="shared" si="7"/>
        <v>1.1967657311606787</v>
      </c>
      <c r="S30" s="379">
        <f t="shared" si="8"/>
        <v>5</v>
      </c>
      <c r="T30" s="188">
        <f t="shared" si="9"/>
        <v>0.7833613342945317</v>
      </c>
      <c r="U30" s="188">
        <f t="shared" si="10"/>
        <v>0.19599659068895475</v>
      </c>
      <c r="V30" s="188">
        <f t="shared" si="11"/>
        <v>1.6449683495141723</v>
      </c>
      <c r="W30" s="172">
        <f t="shared" si="12"/>
        <v>350</v>
      </c>
      <c r="X30" s="379">
        <f t="shared" si="95"/>
        <v>350</v>
      </c>
      <c r="Z30" s="188">
        <f t="shared" si="13"/>
        <v>1.2157620126076734</v>
      </c>
      <c r="AA30" s="150">
        <f t="shared" si="14"/>
        <v>2.5529598458957707</v>
      </c>
      <c r="AB30" s="150">
        <f t="shared" si="15"/>
        <v>0.54316353006174312</v>
      </c>
      <c r="AC30" s="150"/>
      <c r="AD30" s="150">
        <f t="shared" si="16"/>
        <v>2.0998845328453366</v>
      </c>
      <c r="AE30" s="314">
        <f t="shared" si="17"/>
        <v>285.72999639508845</v>
      </c>
      <c r="AF30" s="456">
        <f t="shared" si="18"/>
        <v>0.36747979324793389</v>
      </c>
      <c r="AH30" s="150">
        <f t="shared" si="19"/>
        <v>0.9759000729485332</v>
      </c>
      <c r="AI30" s="150">
        <f t="shared" si="20"/>
        <v>1</v>
      </c>
      <c r="AJ30" s="150">
        <f t="shared" si="21"/>
        <v>1.1632742836543364</v>
      </c>
      <c r="AL30" s="314">
        <f t="shared" si="22"/>
        <v>300</v>
      </c>
      <c r="AM30" s="144">
        <f t="shared" si="23"/>
        <v>285.72999639508845</v>
      </c>
      <c r="AO30">
        <f t="shared" si="96"/>
        <v>300</v>
      </c>
      <c r="AP30" s="144">
        <f t="shared" si="24"/>
        <v>285.72999639508845</v>
      </c>
      <c r="AQ30" s="144"/>
      <c r="AR30" s="5">
        <f t="shared" si="97"/>
        <v>3.4998075547422274</v>
      </c>
      <c r="AS30" s="5">
        <f t="shared" si="25"/>
        <v>0.25019947003825832</v>
      </c>
      <c r="AT30" s="5">
        <f t="shared" si="98"/>
        <v>3.249608084703969</v>
      </c>
      <c r="AU30" s="150">
        <f t="shared" si="99"/>
        <v>7.1489493672084597E-2</v>
      </c>
      <c r="AW30" s="5">
        <f t="shared" si="26"/>
        <v>1.5011968202295498</v>
      </c>
      <c r="AX30" s="5">
        <f t="shared" si="27"/>
        <v>0.19546833596738933</v>
      </c>
      <c r="AY30" s="5">
        <f t="shared" si="28"/>
        <v>4.2346365657550657E-2</v>
      </c>
      <c r="AZ30" s="5"/>
      <c r="BA30" s="150">
        <f t="shared" si="100"/>
        <v>0.15436913948075306</v>
      </c>
      <c r="BB30" s="150">
        <f t="shared" si="29"/>
        <v>0.55633038934549062</v>
      </c>
      <c r="BC30" s="150">
        <f t="shared" si="30"/>
        <v>0.12435620467722731</v>
      </c>
      <c r="BD30" s="150"/>
      <c r="BE30" s="456">
        <f t="shared" si="31"/>
        <v>4.7659662448056391E-4</v>
      </c>
      <c r="BF30" s="456">
        <f t="shared" si="32"/>
        <v>0.28756759143553468</v>
      </c>
      <c r="BG30" s="456">
        <f t="shared" si="33"/>
        <v>0.34260263982741102</v>
      </c>
      <c r="BH30" s="456">
        <f t="shared" si="34"/>
        <v>8.2323059049388025E-2</v>
      </c>
      <c r="BI30">
        <f t="shared" si="35"/>
        <v>2.158277952856686E-2</v>
      </c>
      <c r="BJ30" s="144">
        <f t="shared" si="101"/>
        <v>364.18541935597784</v>
      </c>
      <c r="BK30">
        <f t="shared" si="36"/>
        <v>0.37053788767051882</v>
      </c>
      <c r="BL30" s="144">
        <f t="shared" si="102"/>
        <v>370.53788767051884</v>
      </c>
      <c r="BM30" s="150">
        <f t="shared" si="37"/>
        <v>0.18637499999999999</v>
      </c>
      <c r="BN30" s="150">
        <f t="shared" si="38"/>
        <v>2.7734374999999999E-2</v>
      </c>
      <c r="BO30" s="456"/>
      <c r="BQ30" s="144">
        <f t="shared" si="103"/>
        <v>214.109375</v>
      </c>
      <c r="BR30" s="456">
        <f t="shared" si="39"/>
        <v>7.1489493672084584E-4</v>
      </c>
      <c r="BS30" s="456">
        <f t="shared" si="104"/>
        <v>9.2851050632791546E-3</v>
      </c>
      <c r="BT30" s="456">
        <f t="shared" si="40"/>
        <v>7.732232820862227E-5</v>
      </c>
      <c r="BU30" s="456">
        <f t="shared" si="41"/>
        <v>6.9001668699699217E-2</v>
      </c>
      <c r="BV30" s="456">
        <f t="shared" si="42"/>
        <v>8.1563303562690301E-2</v>
      </c>
      <c r="BW30" s="538">
        <f t="shared" si="43"/>
        <v>2.8572999639508843E-4</v>
      </c>
      <c r="BX30" s="144">
        <f t="shared" si="105"/>
        <v>81.849033559085385</v>
      </c>
      <c r="BY30" s="150">
        <f t="shared" si="106"/>
        <v>0.66649629622960416</v>
      </c>
      <c r="BZ30" s="5">
        <f t="shared" si="107"/>
        <v>2</v>
      </c>
      <c r="CA30" s="150">
        <f t="shared" si="108"/>
        <v>0.7500479197469645</v>
      </c>
      <c r="CB30" s="5">
        <f t="shared" si="109"/>
        <v>75.004791974696445</v>
      </c>
      <c r="CC30">
        <f t="shared" si="110"/>
        <v>25</v>
      </c>
      <c r="CE30" s="59">
        <f t="shared" si="44"/>
        <v>-50</v>
      </c>
      <c r="CF30">
        <f t="shared" si="45"/>
        <v>-50</v>
      </c>
      <c r="CG30" s="150">
        <f t="shared" si="46"/>
        <v>0.61644140029689753</v>
      </c>
      <c r="CH30" s="150">
        <f t="shared" si="47"/>
        <v>0.33442802702996927</v>
      </c>
      <c r="CI30" s="147">
        <v>25</v>
      </c>
      <c r="CJ30" s="188">
        <f t="shared" si="133"/>
        <v>0.3</v>
      </c>
      <c r="CK30" s="188">
        <f t="shared" si="111"/>
        <v>6.25E-2</v>
      </c>
      <c r="CL30" s="188">
        <f t="shared" si="48"/>
        <v>1.5</v>
      </c>
      <c r="CM30" s="188">
        <f t="shared" si="134"/>
        <v>0.5</v>
      </c>
      <c r="CN30" s="465">
        <f t="shared" si="112"/>
        <v>48</v>
      </c>
      <c r="CO30" s="379">
        <f t="shared" si="49"/>
        <v>5.7</v>
      </c>
      <c r="CP30" s="379">
        <f t="shared" si="50"/>
        <v>53.7</v>
      </c>
      <c r="CQ30" s="379"/>
      <c r="CR30" s="188">
        <f t="shared" si="113"/>
        <v>0.10112359550561799</v>
      </c>
      <c r="CS30" s="149">
        <f t="shared" si="114"/>
        <v>9.1011235955056193</v>
      </c>
      <c r="CT30" s="149">
        <f t="shared" si="51"/>
        <v>4.0449438202247192</v>
      </c>
      <c r="CU30" s="188">
        <f t="shared" si="52"/>
        <v>1.8202247191011238</v>
      </c>
      <c r="CV30" s="188">
        <f t="shared" si="53"/>
        <v>1.1376404494382024</v>
      </c>
      <c r="CW30" s="379">
        <f t="shared" si="54"/>
        <v>5</v>
      </c>
      <c r="CX30" s="188">
        <f t="shared" si="55"/>
        <v>0.82407407407407407</v>
      </c>
      <c r="CY30" s="188">
        <f t="shared" si="56"/>
        <v>0.20601851851851852</v>
      </c>
      <c r="CZ30" s="188">
        <f t="shared" si="57"/>
        <v>1.7348927875243665</v>
      </c>
      <c r="DA30" s="172">
        <f t="shared" si="58"/>
        <v>350</v>
      </c>
      <c r="DB30" s="379">
        <f t="shared" si="115"/>
        <v>350</v>
      </c>
      <c r="DD30" s="188">
        <f t="shared" si="59"/>
        <v>1.2130885873902635</v>
      </c>
      <c r="DE30" s="150">
        <f t="shared" si="60"/>
        <v>2.5538707102952913</v>
      </c>
      <c r="DF30" s="150">
        <f t="shared" si="61"/>
        <v>0.54216249715765974</v>
      </c>
      <c r="DG30" s="150"/>
      <c r="DH30" s="150">
        <f t="shared" si="62"/>
        <v>2.1052631578947367</v>
      </c>
      <c r="DI30" s="314">
        <f t="shared" si="63"/>
        <v>285</v>
      </c>
      <c r="DJ30" s="456">
        <f t="shared" si="64"/>
        <v>0.36842105263157893</v>
      </c>
      <c r="DL30" s="150">
        <f t="shared" si="65"/>
        <v>0.9759000729485332</v>
      </c>
      <c r="DM30" s="150">
        <f t="shared" si="66"/>
        <v>1</v>
      </c>
      <c r="DN30" s="150">
        <f t="shared" si="67"/>
        <v>1.1628571428571428</v>
      </c>
      <c r="DP30" s="314">
        <f t="shared" si="68"/>
        <v>300</v>
      </c>
      <c r="DQ30" s="144">
        <f t="shared" si="69"/>
        <v>285</v>
      </c>
      <c r="DS30">
        <f t="shared" si="116"/>
        <v>300</v>
      </c>
      <c r="DT30" s="144">
        <f t="shared" si="70"/>
        <v>285</v>
      </c>
      <c r="DU30" s="144"/>
      <c r="DV30" s="5">
        <f t="shared" si="117"/>
        <v>3.5087719298245617</v>
      </c>
      <c r="DW30" s="5">
        <f t="shared" si="71"/>
        <v>0.25</v>
      </c>
      <c r="DX30" s="5">
        <f t="shared" si="118"/>
        <v>3.2587719298245617</v>
      </c>
      <c r="DY30" s="150">
        <f t="shared" si="119"/>
        <v>7.1249999999999994E-2</v>
      </c>
      <c r="EA30" s="5">
        <f t="shared" si="72"/>
        <v>1.5</v>
      </c>
      <c r="EB30" s="5">
        <f t="shared" si="73"/>
        <v>0.1953125</v>
      </c>
      <c r="EC30" s="5">
        <f t="shared" si="74"/>
        <v>4.2431926169590642E-2</v>
      </c>
      <c r="ED30" s="5"/>
      <c r="EE30" s="150">
        <f t="shared" si="120"/>
        <v>0.15411035007422441</v>
      </c>
      <c r="EF30" s="150">
        <f t="shared" si="75"/>
        <v>0.55640213275411998</v>
      </c>
      <c r="EG30" s="150">
        <f t="shared" si="76"/>
        <v>0.12437224143915623</v>
      </c>
      <c r="EH30" s="150"/>
      <c r="EI30" s="456">
        <f t="shared" si="77"/>
        <v>4.75E-4</v>
      </c>
      <c r="EJ30" s="456">
        <f t="shared" si="78"/>
        <v>0.30609000000000003</v>
      </c>
      <c r="EK30" s="456">
        <f t="shared" si="79"/>
        <v>3.5624999999999997E-2</v>
      </c>
      <c r="EL30" s="456">
        <f t="shared" si="80"/>
        <v>8.2185165000000018E-2</v>
      </c>
      <c r="EM30">
        <f t="shared" si="81"/>
        <v>2.1600000000000001E-2</v>
      </c>
      <c r="EN30" s="144">
        <f t="shared" si="121"/>
        <v>57.225000000000001</v>
      </c>
      <c r="EO30">
        <f t="shared" si="82"/>
        <v>0.44615376791424688</v>
      </c>
      <c r="EP30" s="144">
        <f t="shared" si="122"/>
        <v>446.15376791424688</v>
      </c>
      <c r="EQ30" s="150">
        <f t="shared" si="83"/>
        <v>0.18637499999999999</v>
      </c>
      <c r="ER30" s="150">
        <f t="shared" si="84"/>
        <v>2.7734374999999999E-2</v>
      </c>
      <c r="ES30" s="456"/>
      <c r="EU30" s="144">
        <f t="shared" si="123"/>
        <v>214.109375</v>
      </c>
      <c r="EV30" s="456">
        <f t="shared" si="85"/>
        <v>7.1250000000000003E-4</v>
      </c>
      <c r="EW30" s="456">
        <f t="shared" si="124"/>
        <v>9.2875000000000006E-3</v>
      </c>
      <c r="EX30" s="456">
        <f t="shared" si="86"/>
        <v>7.7342272202998862E-5</v>
      </c>
      <c r="EY30" s="456">
        <f t="shared" si="87"/>
        <v>6.8561791074274847E-2</v>
      </c>
      <c r="EZ30" s="456">
        <f t="shared" si="88"/>
        <v>8.1123095908098297E-2</v>
      </c>
      <c r="FA30" s="538">
        <f t="shared" si="89"/>
        <v>2.8500000000000004E-4</v>
      </c>
      <c r="FB30" s="144">
        <f t="shared" si="125"/>
        <v>81.408095908098289</v>
      </c>
      <c r="FC30" s="150">
        <f t="shared" si="126"/>
        <v>0.74167123882234509</v>
      </c>
      <c r="FD30" s="5">
        <f t="shared" si="127"/>
        <v>2</v>
      </c>
      <c r="FE30" s="150">
        <f t="shared" si="128"/>
        <v>0.72948206614994371</v>
      </c>
      <c r="FF30" s="5">
        <f t="shared" si="129"/>
        <v>72.948206614994376</v>
      </c>
      <c r="FG30">
        <f t="shared" si="130"/>
        <v>25</v>
      </c>
      <c r="FI30" s="59">
        <f t="shared" si="90"/>
        <v>-50</v>
      </c>
      <c r="FJ30">
        <f t="shared" si="91"/>
        <v>-50</v>
      </c>
      <c r="FL30">
        <f t="shared" si="92"/>
        <v>0.61644140029689765</v>
      </c>
    </row>
    <row r="31" spans="5:168">
      <c r="E31" s="147">
        <v>26</v>
      </c>
      <c r="F31" s="188">
        <f t="shared" si="131"/>
        <v>0.312</v>
      </c>
      <c r="G31" s="188">
        <f t="shared" si="93"/>
        <v>6.5000000000000002E-2</v>
      </c>
      <c r="H31" s="188">
        <f t="shared" si="0"/>
        <v>1.56</v>
      </c>
      <c r="I31" s="188">
        <f t="shared" si="132"/>
        <v>0.52</v>
      </c>
      <c r="J31" s="465">
        <f t="shared" si="1"/>
        <v>47.961732285704137</v>
      </c>
      <c r="K31" s="379">
        <f t="shared" si="2"/>
        <v>5.7145999279017685</v>
      </c>
      <c r="L31" s="149">
        <f t="shared" si="3"/>
        <v>53.676332213605903</v>
      </c>
      <c r="M31" s="379"/>
      <c r="N31" s="188">
        <f t="shared" si="4"/>
        <v>0.1064640539364802</v>
      </c>
      <c r="O31" s="149">
        <f t="shared" si="94"/>
        <v>9.57412584928543</v>
      </c>
      <c r="P31" s="149">
        <f t="shared" si="5"/>
        <v>4.255167044126857</v>
      </c>
      <c r="Q31" s="188">
        <f t="shared" si="6"/>
        <v>1.914825169857086</v>
      </c>
      <c r="R31" s="188">
        <f t="shared" si="7"/>
        <v>1.1967657311606787</v>
      </c>
      <c r="S31" s="379">
        <f t="shared" si="8"/>
        <v>5</v>
      </c>
      <c r="T31" s="188">
        <f t="shared" si="9"/>
        <v>0.81469578766631301</v>
      </c>
      <c r="U31" s="188">
        <f t="shared" si="10"/>
        <v>0.20383645431651298</v>
      </c>
      <c r="V31" s="188">
        <f t="shared" si="11"/>
        <v>1.7107670834947393</v>
      </c>
      <c r="W31" s="172">
        <f t="shared" si="12"/>
        <v>350</v>
      </c>
      <c r="X31" s="379">
        <f t="shared" si="95"/>
        <v>350</v>
      </c>
      <c r="Z31" s="188">
        <f t="shared" si="13"/>
        <v>1.2157620126076734</v>
      </c>
      <c r="AA31" s="150">
        <f t="shared" si="14"/>
        <v>2.5529598458957707</v>
      </c>
      <c r="AB31" s="150">
        <f t="shared" si="15"/>
        <v>0.54316353006174312</v>
      </c>
      <c r="AC31" s="150"/>
      <c r="AD31" s="150">
        <f t="shared" si="16"/>
        <v>2.0998845328453366</v>
      </c>
      <c r="AE31" s="314">
        <f t="shared" si="17"/>
        <v>297.15919625089202</v>
      </c>
      <c r="AF31" s="456">
        <f t="shared" si="18"/>
        <v>0.36747979324793389</v>
      </c>
      <c r="AH31" s="150">
        <f t="shared" si="19"/>
        <v>0.99522670305623862</v>
      </c>
      <c r="AI31" s="150">
        <f t="shared" si="20"/>
        <v>1</v>
      </c>
      <c r="AJ31" s="150">
        <f t="shared" si="21"/>
        <v>1.1698052550005098</v>
      </c>
      <c r="AL31" s="314">
        <f t="shared" si="22"/>
        <v>312</v>
      </c>
      <c r="AM31" s="144">
        <f t="shared" si="23"/>
        <v>297.15919625089202</v>
      </c>
      <c r="AO31">
        <f t="shared" si="96"/>
        <v>312</v>
      </c>
      <c r="AP31" s="144">
        <f t="shared" si="24"/>
        <v>297.15919625089202</v>
      </c>
      <c r="AQ31" s="144"/>
      <c r="AR31" s="5">
        <f t="shared" si="97"/>
        <v>3.3651995718675263</v>
      </c>
      <c r="AS31" s="5">
        <f t="shared" si="25"/>
        <v>0.25019947003825832</v>
      </c>
      <c r="AT31" s="5">
        <f t="shared" si="98"/>
        <v>3.1150001018292679</v>
      </c>
      <c r="AU31" s="150">
        <f t="shared" si="99"/>
        <v>7.4349073418967973E-2</v>
      </c>
      <c r="AW31" s="5">
        <f t="shared" si="26"/>
        <v>1.5612446930387318</v>
      </c>
      <c r="AX31" s="5">
        <f t="shared" si="27"/>
        <v>0.20328706940608487</v>
      </c>
      <c r="AY31" s="5">
        <f t="shared" si="28"/>
        <v>4.2215949460035186E-2</v>
      </c>
      <c r="AZ31" s="5"/>
      <c r="BA31" s="150">
        <f t="shared" si="100"/>
        <v>0.15742625090177725</v>
      </c>
      <c r="BB31" s="150">
        <f t="shared" si="29"/>
        <v>0.55547304962558175</v>
      </c>
      <c r="BC31" s="150">
        <f t="shared" si="30"/>
        <v>0.12416456403395357</v>
      </c>
      <c r="BD31" s="150"/>
      <c r="BE31" s="456">
        <f t="shared" si="31"/>
        <v>4.9566048945978648E-4</v>
      </c>
      <c r="BF31" s="456">
        <f t="shared" si="32"/>
        <v>0.29907029509295613</v>
      </c>
      <c r="BG31" s="456">
        <f t="shared" si="33"/>
        <v>0.3563067454205075</v>
      </c>
      <c r="BH31" s="456">
        <f t="shared" si="34"/>
        <v>8.5615981411363548E-2</v>
      </c>
      <c r="BI31">
        <f t="shared" si="35"/>
        <v>2.158277952856686E-2</v>
      </c>
      <c r="BJ31" s="144">
        <f t="shared" si="101"/>
        <v>377.88952494907437</v>
      </c>
      <c r="BK31">
        <f t="shared" si="36"/>
        <v>0.38536114889698747</v>
      </c>
      <c r="BL31" s="144">
        <f t="shared" si="102"/>
        <v>385.36114889698746</v>
      </c>
      <c r="BM31" s="150">
        <f t="shared" si="37"/>
        <v>0.19382999999999997</v>
      </c>
      <c r="BN31" s="150">
        <f t="shared" si="38"/>
        <v>2.8843749999999998E-2</v>
      </c>
      <c r="BO31" s="456"/>
      <c r="BQ31" s="144">
        <f t="shared" si="103"/>
        <v>222.67374999999998</v>
      </c>
      <c r="BR31" s="456">
        <f t="shared" si="39"/>
        <v>7.4349073418967962E-4</v>
      </c>
      <c r="BS31" s="456">
        <f t="shared" si="104"/>
        <v>9.2565092658103195E-3</v>
      </c>
      <c r="BT31" s="456">
        <f t="shared" si="40"/>
        <v>7.7084194808708779E-5</v>
      </c>
      <c r="BU31" s="456">
        <f t="shared" si="41"/>
        <v>7.6110213790424347E-2</v>
      </c>
      <c r="BV31" s="456">
        <f t="shared" si="42"/>
        <v>8.8677286870864333E-2</v>
      </c>
      <c r="BW31" s="538">
        <f t="shared" si="43"/>
        <v>2.9715919625089208E-4</v>
      </c>
      <c r="BX31" s="144">
        <f t="shared" si="105"/>
        <v>88.974446067115224</v>
      </c>
      <c r="BY31" s="150">
        <f t="shared" si="106"/>
        <v>0.6970093449641025</v>
      </c>
      <c r="BZ31" s="5">
        <f t="shared" si="107"/>
        <v>2.08</v>
      </c>
      <c r="CA31" s="150">
        <f t="shared" si="108"/>
        <v>0.74900720221627037</v>
      </c>
      <c r="CB31" s="5">
        <f t="shared" si="109"/>
        <v>74.90072022162704</v>
      </c>
      <c r="CC31">
        <f t="shared" si="110"/>
        <v>26</v>
      </c>
      <c r="CE31" s="59">
        <f t="shared" si="44"/>
        <v>-50</v>
      </c>
      <c r="CF31">
        <f t="shared" si="45"/>
        <v>-50</v>
      </c>
      <c r="CG31" s="150">
        <f t="shared" si="46"/>
        <v>0.64109905630877351</v>
      </c>
      <c r="CH31" s="150">
        <f t="shared" si="47"/>
        <v>0.34780514811116808</v>
      </c>
      <c r="CI31" s="147">
        <v>26</v>
      </c>
      <c r="CJ31" s="188">
        <f t="shared" si="133"/>
        <v>0.312</v>
      </c>
      <c r="CK31" s="188">
        <f t="shared" si="111"/>
        <v>6.5000000000000002E-2</v>
      </c>
      <c r="CL31" s="188">
        <f t="shared" si="48"/>
        <v>1.56</v>
      </c>
      <c r="CM31" s="188">
        <f t="shared" si="134"/>
        <v>0.52</v>
      </c>
      <c r="CN31" s="465">
        <f t="shared" si="112"/>
        <v>48</v>
      </c>
      <c r="CO31" s="379">
        <f t="shared" si="49"/>
        <v>5.7</v>
      </c>
      <c r="CP31" s="379">
        <f t="shared" si="50"/>
        <v>53.7</v>
      </c>
      <c r="CQ31" s="379"/>
      <c r="CR31" s="188">
        <f t="shared" si="113"/>
        <v>0.10112359550561799</v>
      </c>
      <c r="CS31" s="149">
        <f t="shared" si="114"/>
        <v>9.1011235955056193</v>
      </c>
      <c r="CT31" s="149">
        <f t="shared" si="51"/>
        <v>4.0449438202247192</v>
      </c>
      <c r="CU31" s="188">
        <f t="shared" si="52"/>
        <v>1.8202247191011238</v>
      </c>
      <c r="CV31" s="188">
        <f t="shared" si="53"/>
        <v>1.1376404494382024</v>
      </c>
      <c r="CW31" s="379">
        <f t="shared" si="54"/>
        <v>5</v>
      </c>
      <c r="CX31" s="188">
        <f t="shared" si="55"/>
        <v>0.85703703703703704</v>
      </c>
      <c r="CY31" s="188">
        <f t="shared" si="56"/>
        <v>0.21425925925925926</v>
      </c>
      <c r="CZ31" s="188">
        <f t="shared" si="57"/>
        <v>1.8042884990253412</v>
      </c>
      <c r="DA31" s="172">
        <f t="shared" si="58"/>
        <v>350</v>
      </c>
      <c r="DB31" s="379">
        <f t="shared" si="115"/>
        <v>350</v>
      </c>
      <c r="DD31" s="188">
        <f t="shared" si="59"/>
        <v>1.2130885873902635</v>
      </c>
      <c r="DE31" s="150">
        <f t="shared" si="60"/>
        <v>2.5538707102952913</v>
      </c>
      <c r="DF31" s="150">
        <f t="shared" si="61"/>
        <v>0.54216249715765974</v>
      </c>
      <c r="DG31" s="150"/>
      <c r="DH31" s="150">
        <f t="shared" si="62"/>
        <v>2.1052631578947367</v>
      </c>
      <c r="DI31" s="314">
        <f t="shared" si="63"/>
        <v>296.39999999999998</v>
      </c>
      <c r="DJ31" s="456">
        <f t="shared" si="64"/>
        <v>0.36842105263157893</v>
      </c>
      <c r="DL31" s="150">
        <f t="shared" si="65"/>
        <v>0.99522670305623862</v>
      </c>
      <c r="DM31" s="150">
        <f t="shared" si="66"/>
        <v>1</v>
      </c>
      <c r="DN31" s="150">
        <f t="shared" si="67"/>
        <v>1.1693714285714285</v>
      </c>
      <c r="DP31" s="314">
        <f t="shared" si="68"/>
        <v>312</v>
      </c>
      <c r="DQ31" s="144">
        <f t="shared" si="69"/>
        <v>296.39999999999998</v>
      </c>
      <c r="DS31">
        <f t="shared" si="116"/>
        <v>312</v>
      </c>
      <c r="DT31" s="144">
        <f t="shared" si="70"/>
        <v>296.39999999999998</v>
      </c>
      <c r="DU31" s="144"/>
      <c r="DV31" s="5">
        <f t="shared" si="117"/>
        <v>3.3738191632928478</v>
      </c>
      <c r="DW31" s="5">
        <f t="shared" si="71"/>
        <v>0.25</v>
      </c>
      <c r="DX31" s="5">
        <f t="shared" si="118"/>
        <v>3.1238191632928478</v>
      </c>
      <c r="DY31" s="150">
        <f t="shared" si="119"/>
        <v>7.4099999999999999E-2</v>
      </c>
      <c r="EA31" s="5">
        <f t="shared" si="72"/>
        <v>1.56</v>
      </c>
      <c r="EB31" s="5">
        <f t="shared" si="73"/>
        <v>0.20312500000000003</v>
      </c>
      <c r="EC31" s="5">
        <f t="shared" si="74"/>
        <v>4.2301717836257309E-2</v>
      </c>
      <c r="ED31" s="5"/>
      <c r="EE31" s="150">
        <f t="shared" si="120"/>
        <v>0.15716233645501712</v>
      </c>
      <c r="EF31" s="150">
        <f t="shared" si="75"/>
        <v>0.55554777772333253</v>
      </c>
      <c r="EG31" s="150">
        <f t="shared" si="76"/>
        <v>0.1241812679616861</v>
      </c>
      <c r="EH31" s="150"/>
      <c r="EI31" s="456">
        <f t="shared" si="77"/>
        <v>4.9400000000000008E-4</v>
      </c>
      <c r="EJ31" s="456">
        <f t="shared" si="78"/>
        <v>0.31833359999999999</v>
      </c>
      <c r="EK31" s="456">
        <f t="shared" si="79"/>
        <v>3.7049999999999993E-2</v>
      </c>
      <c r="EL31" s="456">
        <f t="shared" si="80"/>
        <v>8.5472571600000005E-2</v>
      </c>
      <c r="EM31">
        <f t="shared" si="81"/>
        <v>2.1600000000000001E-2</v>
      </c>
      <c r="EN31" s="144">
        <f t="shared" si="121"/>
        <v>58.649999999999991</v>
      </c>
      <c r="EO31">
        <f t="shared" si="82"/>
        <v>0.46313791213455402</v>
      </c>
      <c r="EP31" s="144">
        <f t="shared" si="122"/>
        <v>463.13791213455403</v>
      </c>
      <c r="EQ31" s="150">
        <f t="shared" si="83"/>
        <v>0.19382999999999997</v>
      </c>
      <c r="ER31" s="150">
        <f t="shared" si="84"/>
        <v>2.8843749999999998E-2</v>
      </c>
      <c r="ES31" s="456"/>
      <c r="EU31" s="144">
        <f t="shared" si="123"/>
        <v>222.67374999999998</v>
      </c>
      <c r="EV31" s="456">
        <f t="shared" si="85"/>
        <v>7.4100000000000012E-4</v>
      </c>
      <c r="EW31" s="456">
        <f t="shared" si="124"/>
        <v>9.2589999999999981E-3</v>
      </c>
      <c r="EX31" s="456">
        <f t="shared" si="86"/>
        <v>7.710493656286044E-5</v>
      </c>
      <c r="EY31" s="456">
        <f t="shared" si="87"/>
        <v>7.5625020015497008E-2</v>
      </c>
      <c r="EZ31" s="456">
        <f t="shared" si="88"/>
        <v>8.8191727520255614E-2</v>
      </c>
      <c r="FA31" s="538">
        <f t="shared" si="89"/>
        <v>2.9639999999999999E-4</v>
      </c>
      <c r="FB31" s="144">
        <f t="shared" si="125"/>
        <v>88.488127520255617</v>
      </c>
      <c r="FC31" s="150">
        <f t="shared" si="126"/>
        <v>0.7742997896548095</v>
      </c>
      <c r="FD31" s="5">
        <f t="shared" si="127"/>
        <v>2.08</v>
      </c>
      <c r="FE31" s="150">
        <f t="shared" si="128"/>
        <v>0.72872513515882253</v>
      </c>
      <c r="FF31" s="5">
        <f t="shared" si="129"/>
        <v>72.872513515882247</v>
      </c>
      <c r="FG31">
        <f t="shared" si="130"/>
        <v>26</v>
      </c>
      <c r="FI31" s="59">
        <f t="shared" si="90"/>
        <v>-50</v>
      </c>
      <c r="FJ31">
        <f t="shared" si="91"/>
        <v>-50</v>
      </c>
      <c r="FL31">
        <f t="shared" si="92"/>
        <v>0.64109905630877351</v>
      </c>
    </row>
    <row r="32" spans="5:168">
      <c r="E32" s="147">
        <v>27</v>
      </c>
      <c r="F32" s="188">
        <f t="shared" si="131"/>
        <v>0.32400000000000001</v>
      </c>
      <c r="G32" s="188">
        <f t="shared" si="93"/>
        <v>6.7500000000000004E-2</v>
      </c>
      <c r="H32" s="188">
        <f t="shared" si="0"/>
        <v>1.62</v>
      </c>
      <c r="I32" s="188">
        <f t="shared" si="132"/>
        <v>0.54</v>
      </c>
      <c r="J32" s="465">
        <f t="shared" si="1"/>
        <v>47.961732285704137</v>
      </c>
      <c r="K32" s="379">
        <f t="shared" si="2"/>
        <v>5.7145999279017685</v>
      </c>
      <c r="L32" s="149">
        <f t="shared" si="3"/>
        <v>53.676332213605903</v>
      </c>
      <c r="M32" s="379"/>
      <c r="N32" s="188">
        <f t="shared" si="4"/>
        <v>0.1064640539364802</v>
      </c>
      <c r="O32" s="149">
        <f t="shared" si="94"/>
        <v>9.57412584928543</v>
      </c>
      <c r="P32" s="149">
        <f t="shared" si="5"/>
        <v>4.255167044126857</v>
      </c>
      <c r="Q32" s="188">
        <f t="shared" si="6"/>
        <v>1.914825169857086</v>
      </c>
      <c r="R32" s="188">
        <f t="shared" si="7"/>
        <v>1.1967657311606787</v>
      </c>
      <c r="S32" s="379">
        <f t="shared" si="8"/>
        <v>5</v>
      </c>
      <c r="T32" s="188">
        <f t="shared" si="9"/>
        <v>0.84603024103809421</v>
      </c>
      <c r="U32" s="188">
        <f t="shared" si="10"/>
        <v>0.21167631794407113</v>
      </c>
      <c r="V32" s="188">
        <f t="shared" si="11"/>
        <v>1.7765658174753063</v>
      </c>
      <c r="W32" s="172">
        <f t="shared" si="12"/>
        <v>350</v>
      </c>
      <c r="X32" s="379">
        <f t="shared" si="95"/>
        <v>350</v>
      </c>
      <c r="Z32" s="188">
        <f t="shared" si="13"/>
        <v>1.2157620126076734</v>
      </c>
      <c r="AA32" s="150">
        <f t="shared" si="14"/>
        <v>2.5529598458957707</v>
      </c>
      <c r="AB32" s="150">
        <f t="shared" si="15"/>
        <v>0.54316353006174312</v>
      </c>
      <c r="AC32" s="150"/>
      <c r="AD32" s="150">
        <f t="shared" si="16"/>
        <v>2.0998845328453366</v>
      </c>
      <c r="AE32" s="314">
        <f t="shared" si="17"/>
        <v>308.58839610669554</v>
      </c>
      <c r="AF32" s="456">
        <f t="shared" si="18"/>
        <v>0.36747979324793389</v>
      </c>
      <c r="AH32" s="150">
        <f t="shared" si="19"/>
        <v>1.0141851056742199</v>
      </c>
      <c r="AI32" s="150">
        <f t="shared" si="20"/>
        <v>1.0141851056742199</v>
      </c>
      <c r="AJ32" s="150">
        <f t="shared" si="21"/>
        <v>1.1763362263466832</v>
      </c>
      <c r="AL32" s="314">
        <f t="shared" si="22"/>
        <v>324</v>
      </c>
      <c r="AM32" s="144">
        <f t="shared" si="23"/>
        <v>308.58839610669554</v>
      </c>
      <c r="AO32">
        <f t="shared" si="96"/>
        <v>324</v>
      </c>
      <c r="AP32" s="144">
        <f t="shared" si="24"/>
        <v>308.58839610669554</v>
      </c>
      <c r="AQ32" s="144"/>
      <c r="AR32" s="5">
        <f t="shared" si="97"/>
        <v>3.240562550687248</v>
      </c>
      <c r="AS32" s="5">
        <f t="shared" si="25"/>
        <v>0.2537485759603848</v>
      </c>
      <c r="AT32" s="5">
        <f t="shared" si="98"/>
        <v>2.9868139747268634</v>
      </c>
      <c r="AU32" s="150">
        <f t="shared" si="99"/>
        <v>7.8303866069973138E-2</v>
      </c>
      <c r="AW32" s="5">
        <f t="shared" si="26"/>
        <v>1.6442907722232936</v>
      </c>
      <c r="AX32" s="5">
        <f t="shared" si="27"/>
        <v>0.2141003609665747</v>
      </c>
      <c r="AY32" s="5">
        <f t="shared" si="28"/>
        <v>4.2035584138848281E-2</v>
      </c>
      <c r="AZ32" s="5"/>
      <c r="BA32" s="150">
        <f t="shared" si="100"/>
        <v>0.16385066309117999</v>
      </c>
      <c r="BB32" s="150">
        <f t="shared" si="29"/>
        <v>0.56214775910050863</v>
      </c>
      <c r="BC32" s="150">
        <f t="shared" si="30"/>
        <v>0.12565655791658428</v>
      </c>
      <c r="BD32" s="150"/>
      <c r="BE32" s="456">
        <f t="shared" si="31"/>
        <v>5.3694079590838745E-4</v>
      </c>
      <c r="BF32" s="456">
        <f t="shared" si="32"/>
        <v>0.31497850955721096</v>
      </c>
      <c r="BG32" s="456">
        <f t="shared" si="33"/>
        <v>0.37001085101360393</v>
      </c>
      <c r="BH32" s="456">
        <f t="shared" si="34"/>
        <v>8.8908903773339071E-2</v>
      </c>
      <c r="BI32">
        <f t="shared" si="35"/>
        <v>2.158277952856686E-2</v>
      </c>
      <c r="BJ32" s="144">
        <f t="shared" si="101"/>
        <v>391.59363054217079</v>
      </c>
      <c r="BK32">
        <f t="shared" si="36"/>
        <v>0.40462094852196145</v>
      </c>
      <c r="BL32" s="144">
        <f t="shared" si="102"/>
        <v>404.62094852196145</v>
      </c>
      <c r="BM32" s="150">
        <f t="shared" si="37"/>
        <v>0.20128499999999999</v>
      </c>
      <c r="BN32" s="150">
        <f t="shared" si="38"/>
        <v>2.9953125000000001E-2</v>
      </c>
      <c r="BO32" s="456"/>
      <c r="BQ32" s="144">
        <f t="shared" si="103"/>
        <v>231.238125</v>
      </c>
      <c r="BR32" s="456">
        <f t="shared" si="39"/>
        <v>8.0541119386258117E-4</v>
      </c>
      <c r="BS32" s="456">
        <f t="shared" si="104"/>
        <v>9.480303091851704E-3</v>
      </c>
      <c r="BT32" s="456">
        <f t="shared" si="40"/>
        <v>7.8947852737219488E-5</v>
      </c>
      <c r="BU32" s="456">
        <f t="shared" si="41"/>
        <v>8.6638725077035766E-2</v>
      </c>
      <c r="BV32" s="456">
        <f t="shared" si="42"/>
        <v>9.9573469758475613E-2</v>
      </c>
      <c r="BW32" s="538">
        <f t="shared" si="43"/>
        <v>3.1740520742402971E-4</v>
      </c>
      <c r="BX32" s="144">
        <f t="shared" si="105"/>
        <v>99.890874965899641</v>
      </c>
      <c r="BY32" s="150">
        <f t="shared" si="106"/>
        <v>0.73574994848786113</v>
      </c>
      <c r="BZ32" s="5">
        <f t="shared" si="107"/>
        <v>2.16</v>
      </c>
      <c r="CA32" s="150">
        <f t="shared" si="108"/>
        <v>0.74592075918983813</v>
      </c>
      <c r="CB32" s="5">
        <f t="shared" si="109"/>
        <v>74.592075918983809</v>
      </c>
      <c r="CC32">
        <f t="shared" si="110"/>
        <v>27</v>
      </c>
      <c r="CE32" s="59">
        <f t="shared" si="44"/>
        <v>-50</v>
      </c>
      <c r="CF32">
        <f t="shared" si="45"/>
        <v>-50</v>
      </c>
      <c r="CG32" s="150">
        <f t="shared" si="46"/>
        <v>0.66575671232064948</v>
      </c>
      <c r="CH32" s="150">
        <f t="shared" si="47"/>
        <v>0.3611822691923669</v>
      </c>
      <c r="CI32" s="147">
        <v>27</v>
      </c>
      <c r="CJ32" s="188">
        <f t="shared" si="133"/>
        <v>0.32400000000000001</v>
      </c>
      <c r="CK32" s="188">
        <f t="shared" si="111"/>
        <v>6.7500000000000004E-2</v>
      </c>
      <c r="CL32" s="188">
        <f t="shared" si="48"/>
        <v>1.62</v>
      </c>
      <c r="CM32" s="188">
        <f t="shared" si="134"/>
        <v>0.54</v>
      </c>
      <c r="CN32" s="465">
        <f t="shared" si="112"/>
        <v>48</v>
      </c>
      <c r="CO32" s="379">
        <f t="shared" si="49"/>
        <v>5.7</v>
      </c>
      <c r="CP32" s="379">
        <f t="shared" si="50"/>
        <v>53.7</v>
      </c>
      <c r="CQ32" s="379"/>
      <c r="CR32" s="188">
        <f t="shared" si="113"/>
        <v>0.10112359550561799</v>
      </c>
      <c r="CS32" s="149">
        <f t="shared" si="114"/>
        <v>9.1011235955056193</v>
      </c>
      <c r="CT32" s="149">
        <f t="shared" si="51"/>
        <v>4.0449438202247192</v>
      </c>
      <c r="CU32" s="188">
        <f t="shared" si="52"/>
        <v>1.8202247191011238</v>
      </c>
      <c r="CV32" s="188">
        <f t="shared" si="53"/>
        <v>1.1376404494382024</v>
      </c>
      <c r="CW32" s="379">
        <f t="shared" si="54"/>
        <v>5</v>
      </c>
      <c r="CX32" s="188">
        <f t="shared" si="55"/>
        <v>0.89</v>
      </c>
      <c r="CY32" s="188">
        <f t="shared" si="56"/>
        <v>0.2225</v>
      </c>
      <c r="CZ32" s="188">
        <f t="shared" si="57"/>
        <v>1.8736842105263158</v>
      </c>
      <c r="DA32" s="172">
        <f t="shared" si="58"/>
        <v>350</v>
      </c>
      <c r="DB32" s="379">
        <f t="shared" si="115"/>
        <v>350</v>
      </c>
      <c r="DD32" s="188">
        <f t="shared" si="59"/>
        <v>1.2130885873902635</v>
      </c>
      <c r="DE32" s="150">
        <f t="shared" si="60"/>
        <v>2.5538707102952913</v>
      </c>
      <c r="DF32" s="150">
        <f t="shared" si="61"/>
        <v>0.54216249715765974</v>
      </c>
      <c r="DG32" s="150"/>
      <c r="DH32" s="150">
        <f t="shared" si="62"/>
        <v>2.1052631578947367</v>
      </c>
      <c r="DI32" s="314">
        <f t="shared" si="63"/>
        <v>307.80000000000007</v>
      </c>
      <c r="DJ32" s="456">
        <f t="shared" si="64"/>
        <v>0.36842105263157893</v>
      </c>
      <c r="DL32" s="150">
        <f t="shared" si="65"/>
        <v>1.0141851056742199</v>
      </c>
      <c r="DM32" s="150">
        <f t="shared" si="66"/>
        <v>1.0141851056742199</v>
      </c>
      <c r="DN32" s="150">
        <f t="shared" si="67"/>
        <v>1.1758857142857144</v>
      </c>
      <c r="DP32" s="314">
        <f t="shared" si="68"/>
        <v>324</v>
      </c>
      <c r="DQ32" s="144">
        <f t="shared" si="69"/>
        <v>307.80000000000007</v>
      </c>
      <c r="DS32">
        <f t="shared" si="116"/>
        <v>324</v>
      </c>
      <c r="DT32" s="144">
        <f t="shared" si="70"/>
        <v>307.80000000000007</v>
      </c>
      <c r="DU32" s="144"/>
      <c r="DV32" s="5">
        <f t="shared" si="117"/>
        <v>3.2488628979857044</v>
      </c>
      <c r="DW32" s="5">
        <f t="shared" si="71"/>
        <v>0.25354627641855498</v>
      </c>
      <c r="DX32" s="5">
        <f t="shared" si="118"/>
        <v>2.9953166215671496</v>
      </c>
      <c r="DY32" s="150">
        <f t="shared" si="119"/>
        <v>7.8041543881631245E-2</v>
      </c>
      <c r="EA32" s="5">
        <f t="shared" si="72"/>
        <v>1.6429798711922363</v>
      </c>
      <c r="EB32" s="5">
        <f t="shared" si="73"/>
        <v>0.21392967072815575</v>
      </c>
      <c r="EC32" s="5">
        <f t="shared" si="74"/>
        <v>4.2121639990788037E-2</v>
      </c>
      <c r="ED32" s="5"/>
      <c r="EE32" s="150">
        <f t="shared" si="120"/>
        <v>0.16357597855252595</v>
      </c>
      <c r="EF32" s="150">
        <f t="shared" si="75"/>
        <v>0.56222774931314656</v>
      </c>
      <c r="EG32" s="150">
        <f t="shared" si="76"/>
        <v>0.12567443808176218</v>
      </c>
      <c r="EH32" s="150"/>
      <c r="EI32" s="456">
        <f t="shared" si="77"/>
        <v>5.3514201518832863E-4</v>
      </c>
      <c r="EJ32" s="456">
        <f t="shared" si="78"/>
        <v>0.33526647251548786</v>
      </c>
      <c r="EK32" s="456">
        <f t="shared" si="79"/>
        <v>3.8475000000000009E-2</v>
      </c>
      <c r="EL32" s="456">
        <f t="shared" si="80"/>
        <v>8.8759978200000048E-2</v>
      </c>
      <c r="EM32">
        <f t="shared" si="81"/>
        <v>2.1600000000000001E-2</v>
      </c>
      <c r="EN32" s="144">
        <f t="shared" si="121"/>
        <v>60.07500000000001</v>
      </c>
      <c r="EO32">
        <f t="shared" si="82"/>
        <v>0.48484272870303435</v>
      </c>
      <c r="EP32" s="144">
        <f t="shared" si="122"/>
        <v>484.84272870303437</v>
      </c>
      <c r="EQ32" s="150">
        <f t="shared" si="83"/>
        <v>0.20128499999999999</v>
      </c>
      <c r="ER32" s="150">
        <f t="shared" si="84"/>
        <v>2.9953125000000001E-2</v>
      </c>
      <c r="ES32" s="456"/>
      <c r="EU32" s="144">
        <f t="shared" si="123"/>
        <v>231.238125</v>
      </c>
      <c r="EV32" s="456">
        <f t="shared" si="85"/>
        <v>8.0271302278249294E-4</v>
      </c>
      <c r="EW32" s="456">
        <f t="shared" si="124"/>
        <v>9.4830012629317905E-3</v>
      </c>
      <c r="EX32" s="456">
        <f t="shared" si="86"/>
        <v>7.897032193583339E-5</v>
      </c>
      <c r="EY32" s="456">
        <f t="shared" si="87"/>
        <v>8.6086413265236819E-2</v>
      </c>
      <c r="EZ32" s="456">
        <f t="shared" si="88"/>
        <v>9.9020727667674599E-2</v>
      </c>
      <c r="FA32" s="538">
        <f t="shared" si="89"/>
        <v>3.1659428571428585E-4</v>
      </c>
      <c r="FB32" s="144">
        <f t="shared" si="125"/>
        <v>99.337321953388894</v>
      </c>
      <c r="FC32" s="150">
        <f t="shared" si="126"/>
        <v>0.81541817565642316</v>
      </c>
      <c r="FD32" s="5">
        <f t="shared" si="127"/>
        <v>2.16</v>
      </c>
      <c r="FE32" s="150">
        <f t="shared" si="128"/>
        <v>0.72594837850766003</v>
      </c>
      <c r="FF32" s="5">
        <f t="shared" si="129"/>
        <v>72.594837850765998</v>
      </c>
      <c r="FG32">
        <f t="shared" si="130"/>
        <v>27</v>
      </c>
      <c r="FI32" s="59">
        <f t="shared" si="90"/>
        <v>-50</v>
      </c>
      <c r="FJ32">
        <f t="shared" si="91"/>
        <v>-50</v>
      </c>
      <c r="FL32">
        <f t="shared" si="92"/>
        <v>0.66575671232064959</v>
      </c>
    </row>
    <row r="33" spans="5:168">
      <c r="E33" s="147">
        <v>28</v>
      </c>
      <c r="F33" s="188">
        <f t="shared" si="131"/>
        <v>0.33600000000000002</v>
      </c>
      <c r="G33" s="188">
        <f t="shared" si="93"/>
        <v>7.0000000000000007E-2</v>
      </c>
      <c r="H33" s="188">
        <f t="shared" si="0"/>
        <v>1.6800000000000002</v>
      </c>
      <c r="I33" s="188">
        <f t="shared" si="132"/>
        <v>0.56000000000000005</v>
      </c>
      <c r="J33" s="465">
        <f t="shared" si="1"/>
        <v>47.961732285704137</v>
      </c>
      <c r="K33" s="379">
        <f t="shared" si="2"/>
        <v>5.7145999279017685</v>
      </c>
      <c r="L33" s="149">
        <f t="shared" si="3"/>
        <v>53.676332213605903</v>
      </c>
      <c r="M33" s="379"/>
      <c r="N33" s="188">
        <f t="shared" si="4"/>
        <v>0.1064640539364802</v>
      </c>
      <c r="O33" s="149">
        <f t="shared" si="94"/>
        <v>9.57412584928543</v>
      </c>
      <c r="P33" s="149">
        <f t="shared" si="5"/>
        <v>4.255167044126857</v>
      </c>
      <c r="Q33" s="188">
        <f t="shared" si="6"/>
        <v>1.914825169857086</v>
      </c>
      <c r="R33" s="188">
        <f t="shared" si="7"/>
        <v>1.1967657311606787</v>
      </c>
      <c r="S33" s="379">
        <f t="shared" si="8"/>
        <v>5</v>
      </c>
      <c r="T33" s="188">
        <f t="shared" si="9"/>
        <v>0.87736469440987552</v>
      </c>
      <c r="U33" s="188">
        <f t="shared" si="10"/>
        <v>0.21951618157162936</v>
      </c>
      <c r="V33" s="188">
        <f t="shared" si="11"/>
        <v>1.8423645514558733</v>
      </c>
      <c r="W33" s="172">
        <f t="shared" si="12"/>
        <v>350</v>
      </c>
      <c r="X33" s="379">
        <f t="shared" si="95"/>
        <v>350</v>
      </c>
      <c r="Z33" s="188">
        <f t="shared" si="13"/>
        <v>1.2157620126076734</v>
      </c>
      <c r="AA33" s="150">
        <f t="shared" si="14"/>
        <v>2.5529598458957707</v>
      </c>
      <c r="AB33" s="150">
        <f t="shared" si="15"/>
        <v>0.54316353006174312</v>
      </c>
      <c r="AC33" s="150"/>
      <c r="AD33" s="150">
        <f t="shared" si="16"/>
        <v>2.0998845328453366</v>
      </c>
      <c r="AE33" s="314">
        <f t="shared" si="17"/>
        <v>320.01759596249912</v>
      </c>
      <c r="AF33" s="456">
        <f t="shared" si="18"/>
        <v>0.36747979324793389</v>
      </c>
      <c r="AH33" s="150">
        <f t="shared" si="19"/>
        <v>1.0327955589886444</v>
      </c>
      <c r="AI33" s="150">
        <f t="shared" si="20"/>
        <v>1.0327955589886444</v>
      </c>
      <c r="AJ33" s="150">
        <f t="shared" si="21"/>
        <v>1.1828671976928566</v>
      </c>
      <c r="AL33" s="314">
        <f t="shared" si="22"/>
        <v>336</v>
      </c>
      <c r="AM33" s="144">
        <f t="shared" si="23"/>
        <v>320.01759596249912</v>
      </c>
      <c r="AO33">
        <f t="shared" si="96"/>
        <v>336</v>
      </c>
      <c r="AP33" s="144">
        <f t="shared" si="24"/>
        <v>320.01759596249912</v>
      </c>
      <c r="AQ33" s="144"/>
      <c r="AR33" s="5">
        <f t="shared" si="97"/>
        <v>3.1248281738769883</v>
      </c>
      <c r="AS33" s="5">
        <f t="shared" si="25"/>
        <v>0.2584049015168256</v>
      </c>
      <c r="AT33" s="5">
        <f t="shared" si="98"/>
        <v>2.8664232723601626</v>
      </c>
      <c r="AU33" s="150">
        <f t="shared" si="99"/>
        <v>8.269411536834087E-2</v>
      </c>
      <c r="AW33" s="5">
        <f t="shared" si="26"/>
        <v>1.7364809381930681</v>
      </c>
      <c r="AX33" s="5">
        <f t="shared" si="27"/>
        <v>0.22610428882722244</v>
      </c>
      <c r="AY33" s="5">
        <f t="shared" si="28"/>
        <v>4.183535904624084E-2</v>
      </c>
      <c r="AZ33" s="5"/>
      <c r="BA33" s="150">
        <f t="shared" si="100"/>
        <v>0.1714711408108246</v>
      </c>
      <c r="BB33" s="150">
        <f t="shared" si="29"/>
        <v>0.57109824323367497</v>
      </c>
      <c r="BC33" s="150">
        <f t="shared" si="30"/>
        <v>0.12765725436988029</v>
      </c>
      <c r="BD33" s="150"/>
      <c r="BE33" s="456">
        <f t="shared" si="31"/>
        <v>5.8804704261931277E-4</v>
      </c>
      <c r="BF33" s="456">
        <f t="shared" si="32"/>
        <v>0.33263835510492301</v>
      </c>
      <c r="BG33" s="456">
        <f t="shared" si="33"/>
        <v>0.38371495660670041</v>
      </c>
      <c r="BH33" s="456">
        <f t="shared" si="34"/>
        <v>9.2201826135314593E-2</v>
      </c>
      <c r="BI33">
        <f t="shared" si="35"/>
        <v>2.158277952856686E-2</v>
      </c>
      <c r="BJ33" s="144">
        <f t="shared" si="101"/>
        <v>405.29773613526726</v>
      </c>
      <c r="BK33">
        <f t="shared" si="36"/>
        <v>0.42564647229982289</v>
      </c>
      <c r="BL33" s="144">
        <f t="shared" si="102"/>
        <v>425.6464722998229</v>
      </c>
      <c r="BM33" s="150">
        <f t="shared" si="37"/>
        <v>0.20873999999999998</v>
      </c>
      <c r="BN33" s="150">
        <f t="shared" si="38"/>
        <v>3.10625E-2</v>
      </c>
      <c r="BO33" s="456"/>
      <c r="BQ33" s="144">
        <f t="shared" si="103"/>
        <v>239.80249999999998</v>
      </c>
      <c r="BR33" s="456">
        <f t="shared" si="39"/>
        <v>8.8207056392896905E-4</v>
      </c>
      <c r="BS33" s="456">
        <f t="shared" si="104"/>
        <v>9.7845961027376947E-3</v>
      </c>
      <c r="BT33" s="456">
        <f t="shared" si="40"/>
        <v>8.1481872966281607E-5</v>
      </c>
      <c r="BU33" s="456">
        <f t="shared" si="41"/>
        <v>9.9298012232176547E-2</v>
      </c>
      <c r="BV33" s="456">
        <f t="shared" si="42"/>
        <v>0.11272264119663028</v>
      </c>
      <c r="BW33" s="538">
        <f t="shared" si="43"/>
        <v>3.4135210235999896E-4</v>
      </c>
      <c r="BX33" s="144">
        <f t="shared" si="105"/>
        <v>113.06399329899028</v>
      </c>
      <c r="BY33" s="150">
        <f t="shared" si="106"/>
        <v>0.77851296559881311</v>
      </c>
      <c r="BZ33" s="5">
        <f t="shared" si="107"/>
        <v>2.2400000000000002</v>
      </c>
      <c r="CA33" s="150">
        <f t="shared" si="108"/>
        <v>0.7420872547273053</v>
      </c>
      <c r="CB33" s="5">
        <f t="shared" si="109"/>
        <v>74.208725472730535</v>
      </c>
      <c r="CC33">
        <f t="shared" si="110"/>
        <v>28.000000000000004</v>
      </c>
      <c r="CE33" s="59">
        <f t="shared" si="44"/>
        <v>-50</v>
      </c>
      <c r="CF33">
        <f t="shared" si="45"/>
        <v>-50</v>
      </c>
      <c r="CG33" s="150">
        <f t="shared" si="46"/>
        <v>0.69041436833252545</v>
      </c>
      <c r="CH33" s="150">
        <f t="shared" si="47"/>
        <v>0.37455939027356566</v>
      </c>
      <c r="CI33" s="147">
        <v>28</v>
      </c>
      <c r="CJ33" s="188">
        <f t="shared" si="133"/>
        <v>0.33600000000000002</v>
      </c>
      <c r="CK33" s="188">
        <f t="shared" si="111"/>
        <v>7.0000000000000007E-2</v>
      </c>
      <c r="CL33" s="188">
        <f t="shared" si="48"/>
        <v>1.6800000000000002</v>
      </c>
      <c r="CM33" s="188">
        <f t="shared" si="134"/>
        <v>0.56000000000000005</v>
      </c>
      <c r="CN33" s="465">
        <f t="shared" si="112"/>
        <v>48</v>
      </c>
      <c r="CO33" s="379">
        <f t="shared" si="49"/>
        <v>5.7</v>
      </c>
      <c r="CP33" s="379">
        <f t="shared" si="50"/>
        <v>53.7</v>
      </c>
      <c r="CQ33" s="379"/>
      <c r="CR33" s="188">
        <f t="shared" si="113"/>
        <v>0.10112359550561799</v>
      </c>
      <c r="CS33" s="149">
        <f t="shared" si="114"/>
        <v>9.1011235955056193</v>
      </c>
      <c r="CT33" s="149">
        <f t="shared" si="51"/>
        <v>4.0449438202247192</v>
      </c>
      <c r="CU33" s="188">
        <f t="shared" si="52"/>
        <v>1.8202247191011238</v>
      </c>
      <c r="CV33" s="188">
        <f t="shared" si="53"/>
        <v>1.1376404494382024</v>
      </c>
      <c r="CW33" s="379">
        <f t="shared" si="54"/>
        <v>5</v>
      </c>
      <c r="CX33" s="188">
        <f t="shared" si="55"/>
        <v>0.92296296296296299</v>
      </c>
      <c r="CY33" s="188">
        <f t="shared" si="56"/>
        <v>0.23074074074074075</v>
      </c>
      <c r="CZ33" s="188">
        <f t="shared" si="57"/>
        <v>1.9430799220272905</v>
      </c>
      <c r="DA33" s="172">
        <f t="shared" si="58"/>
        <v>350</v>
      </c>
      <c r="DB33" s="379">
        <f t="shared" si="115"/>
        <v>350</v>
      </c>
      <c r="DD33" s="188">
        <f t="shared" si="59"/>
        <v>1.2130885873902635</v>
      </c>
      <c r="DE33" s="150">
        <f t="shared" si="60"/>
        <v>2.5538707102952913</v>
      </c>
      <c r="DF33" s="150">
        <f t="shared" si="61"/>
        <v>0.54216249715765974</v>
      </c>
      <c r="DG33" s="150"/>
      <c r="DH33" s="150">
        <f t="shared" si="62"/>
        <v>2.1052631578947367</v>
      </c>
      <c r="DI33" s="314">
        <f t="shared" si="63"/>
        <v>319.20000000000005</v>
      </c>
      <c r="DJ33" s="456">
        <f t="shared" si="64"/>
        <v>0.36842105263157893</v>
      </c>
      <c r="DL33" s="150">
        <f t="shared" si="65"/>
        <v>1.0327955589886444</v>
      </c>
      <c r="DM33" s="150">
        <f t="shared" si="66"/>
        <v>1.0327955589886444</v>
      </c>
      <c r="DN33" s="150">
        <f t="shared" si="67"/>
        <v>1.1824000000000001</v>
      </c>
      <c r="DP33" s="314">
        <f t="shared" si="68"/>
        <v>336</v>
      </c>
      <c r="DQ33" s="144">
        <f t="shared" si="69"/>
        <v>319.20000000000005</v>
      </c>
      <c r="DS33">
        <f t="shared" si="116"/>
        <v>336</v>
      </c>
      <c r="DT33" s="144">
        <f t="shared" si="70"/>
        <v>319.20000000000005</v>
      </c>
      <c r="DU33" s="144"/>
      <c r="DV33" s="5">
        <f t="shared" si="117"/>
        <v>3.1328320802005005</v>
      </c>
      <c r="DW33" s="5">
        <f t="shared" si="71"/>
        <v>0.2581988897471611</v>
      </c>
      <c r="DX33" s="5">
        <f t="shared" si="118"/>
        <v>2.8746331904533395</v>
      </c>
      <c r="DY33" s="150">
        <f t="shared" si="119"/>
        <v>8.2417085607293841E-2</v>
      </c>
      <c r="EA33" s="5">
        <f t="shared" si="72"/>
        <v>1.7350965391009228</v>
      </c>
      <c r="EB33" s="5">
        <f t="shared" si="73"/>
        <v>0.22592402852876597</v>
      </c>
      <c r="EC33" s="5">
        <f t="shared" si="74"/>
        <v>4.1921734027444535E-2</v>
      </c>
      <c r="ED33" s="5"/>
      <c r="EE33" s="150">
        <f t="shared" si="120"/>
        <v>0.17118368105742771</v>
      </c>
      <c r="EF33" s="150">
        <f t="shared" si="75"/>
        <v>0.57118447361179592</v>
      </c>
      <c r="EG33" s="150">
        <f t="shared" si="76"/>
        <v>0.12767652939557789</v>
      </c>
      <c r="EH33" s="150"/>
      <c r="EI33" s="456">
        <f t="shared" si="77"/>
        <v>5.8607705320742269E-4</v>
      </c>
      <c r="EJ33" s="456">
        <f t="shared" si="78"/>
        <v>0.35406379976893432</v>
      </c>
      <c r="EK33" s="456">
        <f t="shared" si="79"/>
        <v>3.9899999999999998E-2</v>
      </c>
      <c r="EL33" s="456">
        <f t="shared" si="80"/>
        <v>9.2047384800000034E-2</v>
      </c>
      <c r="EM33">
        <f t="shared" si="81"/>
        <v>2.1600000000000001E-2</v>
      </c>
      <c r="EN33" s="144">
        <f t="shared" si="121"/>
        <v>61.5</v>
      </c>
      <c r="EO33">
        <f t="shared" si="82"/>
        <v>0.5084263017590247</v>
      </c>
      <c r="EP33" s="144">
        <f t="shared" si="122"/>
        <v>508.42630175902468</v>
      </c>
      <c r="EQ33" s="150">
        <f t="shared" si="83"/>
        <v>0.20873999999999998</v>
      </c>
      <c r="ER33" s="150">
        <f t="shared" si="84"/>
        <v>3.10625E-2</v>
      </c>
      <c r="ES33" s="456"/>
      <c r="EU33" s="144">
        <f t="shared" si="123"/>
        <v>239.80249999999998</v>
      </c>
      <c r="EV33" s="456">
        <f t="shared" si="85"/>
        <v>8.7911557981113398E-4</v>
      </c>
      <c r="EW33" s="456">
        <f t="shared" si="124"/>
        <v>9.7875510868555317E-3</v>
      </c>
      <c r="EX33" s="456">
        <f t="shared" si="86"/>
        <v>8.1506480792499335E-5</v>
      </c>
      <c r="EY33" s="456">
        <f t="shared" si="87"/>
        <v>9.8664998934771458E-2</v>
      </c>
      <c r="EZ33" s="456">
        <f t="shared" si="88"/>
        <v>0.11208911389394703</v>
      </c>
      <c r="FA33" s="538">
        <f t="shared" si="89"/>
        <v>3.4047999999999999E-4</v>
      </c>
      <c r="FB33" s="144">
        <f t="shared" si="125"/>
        <v>112.42959389394703</v>
      </c>
      <c r="FC33" s="150">
        <f t="shared" si="126"/>
        <v>0.86065839565297164</v>
      </c>
      <c r="FD33" s="5">
        <f t="shared" si="127"/>
        <v>2.2400000000000002</v>
      </c>
      <c r="FE33" s="150">
        <f t="shared" si="128"/>
        <v>0.72242721195614834</v>
      </c>
      <c r="FF33" s="5">
        <f t="shared" si="129"/>
        <v>72.242721195614834</v>
      </c>
      <c r="FG33">
        <f t="shared" si="130"/>
        <v>28.000000000000004</v>
      </c>
      <c r="FI33" s="59">
        <f t="shared" si="90"/>
        <v>-50</v>
      </c>
      <c r="FJ33">
        <f t="shared" si="91"/>
        <v>-50</v>
      </c>
      <c r="FL33">
        <f t="shared" si="92"/>
        <v>0.69041436833252545</v>
      </c>
    </row>
    <row r="34" spans="5:168">
      <c r="E34" s="147">
        <v>29</v>
      </c>
      <c r="F34" s="188">
        <f t="shared" si="131"/>
        <v>0.34799999999999998</v>
      </c>
      <c r="G34" s="188">
        <f t="shared" si="93"/>
        <v>7.2499999999999995E-2</v>
      </c>
      <c r="H34" s="188">
        <f t="shared" si="0"/>
        <v>1.7399999999999998</v>
      </c>
      <c r="I34" s="188">
        <f t="shared" si="132"/>
        <v>0.57999999999999996</v>
      </c>
      <c r="J34" s="465">
        <f t="shared" si="1"/>
        <v>47.961732285704137</v>
      </c>
      <c r="K34" s="379">
        <f t="shared" si="2"/>
        <v>5.7145999279017685</v>
      </c>
      <c r="L34" s="149">
        <f t="shared" si="3"/>
        <v>53.676332213605903</v>
      </c>
      <c r="M34" s="379"/>
      <c r="N34" s="188">
        <f t="shared" si="4"/>
        <v>0.1064640539364802</v>
      </c>
      <c r="O34" s="149">
        <f t="shared" si="94"/>
        <v>9.57412584928543</v>
      </c>
      <c r="P34" s="149">
        <f t="shared" si="5"/>
        <v>4.255167044126857</v>
      </c>
      <c r="Q34" s="188">
        <f t="shared" si="6"/>
        <v>1.914825169857086</v>
      </c>
      <c r="R34" s="188">
        <f t="shared" si="7"/>
        <v>1.1967657311606787</v>
      </c>
      <c r="S34" s="379">
        <f t="shared" si="8"/>
        <v>5</v>
      </c>
      <c r="T34" s="188">
        <f t="shared" si="9"/>
        <v>0.90869914778165672</v>
      </c>
      <c r="U34" s="188">
        <f t="shared" si="10"/>
        <v>0.22735604519918753</v>
      </c>
      <c r="V34" s="188">
        <f t="shared" si="11"/>
        <v>1.9081632854364401</v>
      </c>
      <c r="W34" s="172">
        <f t="shared" si="12"/>
        <v>350</v>
      </c>
      <c r="X34" s="379">
        <f t="shared" si="95"/>
        <v>350</v>
      </c>
      <c r="Z34" s="188">
        <f t="shared" si="13"/>
        <v>1.2157620126076734</v>
      </c>
      <c r="AA34" s="150">
        <f t="shared" si="14"/>
        <v>2.5529598458957707</v>
      </c>
      <c r="AB34" s="150">
        <f t="shared" si="15"/>
        <v>0.54316353006174312</v>
      </c>
      <c r="AC34" s="150"/>
      <c r="AD34" s="150">
        <f t="shared" si="16"/>
        <v>2.0998845328453366</v>
      </c>
      <c r="AE34" s="314">
        <f t="shared" si="17"/>
        <v>331.44679581830258</v>
      </c>
      <c r="AF34" s="456">
        <f t="shared" si="18"/>
        <v>0.36747979324793389</v>
      </c>
      <c r="AH34" s="150">
        <f t="shared" si="19"/>
        <v>1.051076545624487</v>
      </c>
      <c r="AI34" s="150">
        <f t="shared" si="20"/>
        <v>1.051076545624487</v>
      </c>
      <c r="AJ34" s="150">
        <f t="shared" si="21"/>
        <v>1.1893981690390301</v>
      </c>
      <c r="AL34" s="314">
        <f t="shared" si="22"/>
        <v>348</v>
      </c>
      <c r="AM34" s="144">
        <f t="shared" si="23"/>
        <v>331.44679581830258</v>
      </c>
      <c r="AO34">
        <f t="shared" si="96"/>
        <v>348</v>
      </c>
      <c r="AP34" s="144">
        <f t="shared" si="24"/>
        <v>331.44679581830258</v>
      </c>
      <c r="AQ34" s="144"/>
      <c r="AR34" s="5">
        <f t="shared" si="97"/>
        <v>3.0170754782260585</v>
      </c>
      <c r="AS34" s="5">
        <f t="shared" si="25"/>
        <v>0.26297879468488994</v>
      </c>
      <c r="AT34" s="5">
        <f t="shared" si="98"/>
        <v>2.7540966835411687</v>
      </c>
      <c r="AU34" s="150">
        <f t="shared" si="99"/>
        <v>8.7163478866466026E-2</v>
      </c>
      <c r="AW34" s="5">
        <f t="shared" si="26"/>
        <v>1.830332411006834</v>
      </c>
      <c r="AX34" s="5">
        <f t="shared" si="27"/>
        <v>0.23832453268318152</v>
      </c>
      <c r="AY34" s="5">
        <f t="shared" si="28"/>
        <v>4.1631525810474225E-2</v>
      </c>
      <c r="AZ34" s="5"/>
      <c r="BA34" s="150">
        <f t="shared" si="100"/>
        <v>0.17915997594160643</v>
      </c>
      <c r="BB34" s="150">
        <f t="shared" si="29"/>
        <v>0.5797893335294908</v>
      </c>
      <c r="BC34" s="150">
        <f t="shared" si="30"/>
        <v>0.12959996867129792</v>
      </c>
      <c r="BD34" s="150"/>
      <c r="BE34" s="456">
        <f t="shared" si="31"/>
        <v>6.4196593958793988E-4</v>
      </c>
      <c r="BF34" s="456">
        <f t="shared" si="32"/>
        <v>0.3506164387419542</v>
      </c>
      <c r="BG34" s="456">
        <f t="shared" si="33"/>
        <v>0.39741906219979672</v>
      </c>
      <c r="BH34" s="456">
        <f t="shared" si="34"/>
        <v>9.5494748497290102E-2</v>
      </c>
      <c r="BI34">
        <f t="shared" si="35"/>
        <v>2.158277952856686E-2</v>
      </c>
      <c r="BJ34" s="144">
        <f t="shared" si="101"/>
        <v>419.00184172836356</v>
      </c>
      <c r="BK34">
        <f t="shared" si="36"/>
        <v>0.44699466457364151</v>
      </c>
      <c r="BL34" s="144">
        <f t="shared" si="102"/>
        <v>446.9946645736415</v>
      </c>
      <c r="BM34" s="150">
        <f t="shared" si="37"/>
        <v>0.21619499999999994</v>
      </c>
      <c r="BN34" s="150">
        <f t="shared" si="38"/>
        <v>3.2171874999999996E-2</v>
      </c>
      <c r="BO34" s="456"/>
      <c r="BQ34" s="144">
        <f t="shared" si="103"/>
        <v>248.36687499999994</v>
      </c>
      <c r="BR34" s="456">
        <f t="shared" si="39"/>
        <v>9.6294890938190976E-4</v>
      </c>
      <c r="BS34" s="456">
        <f t="shared" si="104"/>
        <v>1.0084670138237134E-2</v>
      </c>
      <c r="BT34" s="456">
        <f t="shared" si="40"/>
        <v>8.3980759398007008E-5</v>
      </c>
      <c r="BU34" s="456">
        <f t="shared" si="41"/>
        <v>0.11326361776956909</v>
      </c>
      <c r="BV34" s="456">
        <f t="shared" si="42"/>
        <v>0.12718005893182718</v>
      </c>
      <c r="BW34" s="538">
        <f t="shared" si="43"/>
        <v>3.6616979347545798E-4</v>
      </c>
      <c r="BX34" s="144">
        <f t="shared" si="105"/>
        <v>127.54622872530264</v>
      </c>
      <c r="BY34" s="150">
        <f t="shared" si="106"/>
        <v>0.82290776829894408</v>
      </c>
      <c r="BZ34" s="5">
        <f t="shared" si="107"/>
        <v>2.3199999999999998</v>
      </c>
      <c r="CA34" s="150">
        <f t="shared" si="108"/>
        <v>0.73816992767040968</v>
      </c>
      <c r="CB34" s="5">
        <f t="shared" si="109"/>
        <v>73.816992767040972</v>
      </c>
      <c r="CC34">
        <f t="shared" si="110"/>
        <v>28.999999999999996</v>
      </c>
      <c r="CE34" s="59">
        <f t="shared" si="44"/>
        <v>-50</v>
      </c>
      <c r="CF34">
        <f t="shared" si="45"/>
        <v>-50</v>
      </c>
      <c r="CG34" s="150">
        <f t="shared" si="46"/>
        <v>0.7150720243444012</v>
      </c>
      <c r="CH34" s="150">
        <f t="shared" si="47"/>
        <v>0.38793651135476437</v>
      </c>
      <c r="CI34" s="147">
        <v>29</v>
      </c>
      <c r="CJ34" s="188">
        <f t="shared" si="133"/>
        <v>0.34799999999999998</v>
      </c>
      <c r="CK34" s="188">
        <f t="shared" si="111"/>
        <v>7.2499999999999995E-2</v>
      </c>
      <c r="CL34" s="188">
        <f t="shared" si="48"/>
        <v>1.7399999999999998</v>
      </c>
      <c r="CM34" s="188">
        <f t="shared" si="134"/>
        <v>0.57999999999999996</v>
      </c>
      <c r="CN34" s="465">
        <f t="shared" si="112"/>
        <v>48</v>
      </c>
      <c r="CO34" s="379">
        <f t="shared" si="49"/>
        <v>5.7</v>
      </c>
      <c r="CP34" s="379">
        <f t="shared" si="50"/>
        <v>53.7</v>
      </c>
      <c r="CQ34" s="379"/>
      <c r="CR34" s="188">
        <f t="shared" si="113"/>
        <v>0.10112359550561799</v>
      </c>
      <c r="CS34" s="149">
        <f t="shared" si="114"/>
        <v>9.1011235955056193</v>
      </c>
      <c r="CT34" s="149">
        <f t="shared" si="51"/>
        <v>4.0449438202247192</v>
      </c>
      <c r="CU34" s="188">
        <f t="shared" si="52"/>
        <v>1.8202247191011238</v>
      </c>
      <c r="CV34" s="188">
        <f t="shared" si="53"/>
        <v>1.1376404494382024</v>
      </c>
      <c r="CW34" s="379">
        <f t="shared" si="54"/>
        <v>5</v>
      </c>
      <c r="CX34" s="188">
        <f t="shared" si="55"/>
        <v>0.95592592592592585</v>
      </c>
      <c r="CY34" s="188">
        <f t="shared" si="56"/>
        <v>0.23898148148148143</v>
      </c>
      <c r="CZ34" s="188">
        <f t="shared" si="57"/>
        <v>2.0124756335282652</v>
      </c>
      <c r="DA34" s="172">
        <f t="shared" si="58"/>
        <v>350</v>
      </c>
      <c r="DB34" s="379">
        <f t="shared" si="115"/>
        <v>350</v>
      </c>
      <c r="DD34" s="188">
        <f t="shared" si="59"/>
        <v>1.2130885873902635</v>
      </c>
      <c r="DE34" s="150">
        <f t="shared" si="60"/>
        <v>2.5538707102952913</v>
      </c>
      <c r="DF34" s="150">
        <f t="shared" si="61"/>
        <v>0.54216249715765974</v>
      </c>
      <c r="DG34" s="150"/>
      <c r="DH34" s="150">
        <f t="shared" si="62"/>
        <v>2.1052631578947367</v>
      </c>
      <c r="DI34" s="314">
        <f t="shared" si="63"/>
        <v>330.6</v>
      </c>
      <c r="DJ34" s="456">
        <f t="shared" si="64"/>
        <v>0.36842105263157893</v>
      </c>
      <c r="DL34" s="150">
        <f t="shared" si="65"/>
        <v>1.051076545624487</v>
      </c>
      <c r="DM34" s="150">
        <f t="shared" si="66"/>
        <v>1.051076545624487</v>
      </c>
      <c r="DN34" s="150">
        <f t="shared" si="67"/>
        <v>1.1889142857142858</v>
      </c>
      <c r="DP34" s="314">
        <f t="shared" si="68"/>
        <v>348</v>
      </c>
      <c r="DQ34" s="144">
        <f t="shared" si="69"/>
        <v>330.6</v>
      </c>
      <c r="DS34">
        <f t="shared" si="116"/>
        <v>348</v>
      </c>
      <c r="DT34" s="144">
        <f t="shared" si="70"/>
        <v>330.6</v>
      </c>
      <c r="DU34" s="144"/>
      <c r="DV34" s="5">
        <f t="shared" si="117"/>
        <v>3.024803387779794</v>
      </c>
      <c r="DW34" s="5">
        <f t="shared" si="71"/>
        <v>0.26276913640612176</v>
      </c>
      <c r="DX34" s="5">
        <f t="shared" si="118"/>
        <v>2.762034251373672</v>
      </c>
      <c r="DY34" s="150">
        <f t="shared" si="119"/>
        <v>8.6871476495863867E-2</v>
      </c>
      <c r="EA34" s="5">
        <f t="shared" si="72"/>
        <v>1.8288731893866073</v>
      </c>
      <c r="EB34" s="5">
        <f t="shared" si="73"/>
        <v>0.23813452986804784</v>
      </c>
      <c r="EC34" s="5">
        <f t="shared" si="74"/>
        <v>4.171822567178983E-2</v>
      </c>
      <c r="ED34" s="5"/>
      <c r="EE34" s="150">
        <f t="shared" si="120"/>
        <v>0.17885962637689701</v>
      </c>
      <c r="EF34" s="150">
        <f t="shared" si="75"/>
        <v>0.57988205896223843</v>
      </c>
      <c r="EG34" s="150">
        <f t="shared" si="76"/>
        <v>0.12962069553273564</v>
      </c>
      <c r="EH34" s="150"/>
      <c r="EI34" s="456">
        <f t="shared" si="77"/>
        <v>6.3981531895366389E-4</v>
      </c>
      <c r="EJ34" s="456">
        <f t="shared" si="78"/>
        <v>0.37319986302623115</v>
      </c>
      <c r="EK34" s="456">
        <f t="shared" si="79"/>
        <v>4.1325000000000001E-2</v>
      </c>
      <c r="EL34" s="456">
        <f t="shared" si="80"/>
        <v>9.5334791400000021E-2</v>
      </c>
      <c r="EM34">
        <f t="shared" si="81"/>
        <v>2.1600000000000001E-2</v>
      </c>
      <c r="EN34" s="144">
        <f t="shared" si="121"/>
        <v>62.925000000000011</v>
      </c>
      <c r="EO34">
        <f t="shared" si="82"/>
        <v>0.53235314827066949</v>
      </c>
      <c r="EP34" s="144">
        <f t="shared" si="122"/>
        <v>532.35314827066952</v>
      </c>
      <c r="EQ34" s="150">
        <f t="shared" si="83"/>
        <v>0.21619499999999994</v>
      </c>
      <c r="ER34" s="150">
        <f t="shared" si="84"/>
        <v>3.2171874999999996E-2</v>
      </c>
      <c r="ES34" s="456"/>
      <c r="EU34" s="144">
        <f t="shared" si="123"/>
        <v>248.36687499999994</v>
      </c>
      <c r="EV34" s="456">
        <f t="shared" si="85"/>
        <v>9.5972297843049579E-4</v>
      </c>
      <c r="EW34" s="456">
        <f t="shared" si="124"/>
        <v>1.008789606918855E-2</v>
      </c>
      <c r="EX34" s="456">
        <f t="shared" si="86"/>
        <v>8.400762355195078E-5</v>
      </c>
      <c r="EY34" s="456">
        <f t="shared" si="87"/>
        <v>0.11254157535856166</v>
      </c>
      <c r="EZ34" s="456">
        <f t="shared" si="88"/>
        <v>0.1264574065619859</v>
      </c>
      <c r="FA34" s="538">
        <f t="shared" si="89"/>
        <v>3.6523428571428565E-4</v>
      </c>
      <c r="FB34" s="144">
        <f t="shared" si="125"/>
        <v>126.82264084770017</v>
      </c>
      <c r="FC34" s="150">
        <f t="shared" si="126"/>
        <v>0.90754266411836959</v>
      </c>
      <c r="FD34" s="5">
        <f t="shared" si="127"/>
        <v>2.3199999999999998</v>
      </c>
      <c r="FE34" s="150">
        <f t="shared" si="128"/>
        <v>0.71881311618036425</v>
      </c>
      <c r="FF34" s="5">
        <f t="shared" si="129"/>
        <v>71.88131161803642</v>
      </c>
      <c r="FG34">
        <f t="shared" si="130"/>
        <v>28.999999999999996</v>
      </c>
      <c r="FI34" s="59">
        <f t="shared" si="90"/>
        <v>-50</v>
      </c>
      <c r="FJ34">
        <f t="shared" si="91"/>
        <v>-50</v>
      </c>
      <c r="FL34">
        <f t="shared" si="92"/>
        <v>0.7150720243444012</v>
      </c>
    </row>
    <row r="35" spans="5:168">
      <c r="E35" s="147">
        <v>30</v>
      </c>
      <c r="F35" s="188">
        <f t="shared" si="131"/>
        <v>0.36</v>
      </c>
      <c r="G35" s="188">
        <f t="shared" si="93"/>
        <v>7.4999999999999997E-2</v>
      </c>
      <c r="H35" s="188">
        <f t="shared" si="0"/>
        <v>1.7999999999999998</v>
      </c>
      <c r="I35" s="188">
        <f t="shared" si="132"/>
        <v>0.6</v>
      </c>
      <c r="J35" s="465">
        <f t="shared" si="1"/>
        <v>47.961732285704137</v>
      </c>
      <c r="K35" s="379">
        <f t="shared" si="2"/>
        <v>5.7145999279017685</v>
      </c>
      <c r="L35" s="149">
        <f t="shared" si="3"/>
        <v>53.676332213605903</v>
      </c>
      <c r="M35" s="379"/>
      <c r="N35" s="188">
        <f t="shared" si="4"/>
        <v>0.1064640539364802</v>
      </c>
      <c r="O35" s="149">
        <f t="shared" si="94"/>
        <v>9.57412584928543</v>
      </c>
      <c r="P35" s="149">
        <f t="shared" si="5"/>
        <v>4.255167044126857</v>
      </c>
      <c r="Q35" s="188">
        <f t="shared" si="6"/>
        <v>1.914825169857086</v>
      </c>
      <c r="R35" s="188">
        <f t="shared" si="7"/>
        <v>1.1967657311606787</v>
      </c>
      <c r="S35" s="379">
        <f t="shared" si="8"/>
        <v>5</v>
      </c>
      <c r="T35" s="188">
        <f t="shared" si="9"/>
        <v>0.94003360115343793</v>
      </c>
      <c r="U35" s="188">
        <f t="shared" si="10"/>
        <v>0.23519590882674568</v>
      </c>
      <c r="V35" s="188">
        <f t="shared" si="11"/>
        <v>1.9739620194170067</v>
      </c>
      <c r="W35" s="172">
        <f t="shared" si="12"/>
        <v>350</v>
      </c>
      <c r="X35" s="379">
        <f t="shared" si="95"/>
        <v>350</v>
      </c>
      <c r="Z35" s="188">
        <f t="shared" si="13"/>
        <v>1.2157620126076734</v>
      </c>
      <c r="AA35" s="150">
        <f t="shared" si="14"/>
        <v>2.5529598458957707</v>
      </c>
      <c r="AB35" s="150">
        <f t="shared" si="15"/>
        <v>0.54316353006174312</v>
      </c>
      <c r="AC35" s="150"/>
      <c r="AD35" s="150">
        <f t="shared" si="16"/>
        <v>2.0998845328453366</v>
      </c>
      <c r="AE35" s="314">
        <f t="shared" si="17"/>
        <v>342.87599567410615</v>
      </c>
      <c r="AF35" s="456">
        <f t="shared" si="18"/>
        <v>0.36747979324793389</v>
      </c>
      <c r="AH35" s="150">
        <f t="shared" si="19"/>
        <v>1.0690449676496976</v>
      </c>
      <c r="AI35" s="150">
        <f t="shared" si="20"/>
        <v>1.0690449676496976</v>
      </c>
      <c r="AJ35" s="150">
        <f t="shared" si="21"/>
        <v>1.1959291403852035</v>
      </c>
      <c r="AL35" s="314">
        <f t="shared" si="22"/>
        <v>360</v>
      </c>
      <c r="AM35" s="144">
        <f t="shared" si="23"/>
        <v>342.87599567410615</v>
      </c>
      <c r="AO35">
        <f t="shared" si="96"/>
        <v>360</v>
      </c>
      <c r="AP35" s="144">
        <f t="shared" si="24"/>
        <v>342.87599567410615</v>
      </c>
      <c r="AQ35" s="144"/>
      <c r="AR35" s="5">
        <f t="shared" si="97"/>
        <v>2.916506295618523</v>
      </c>
      <c r="AS35" s="5">
        <f t="shared" si="25"/>
        <v>0.2674744843530214</v>
      </c>
      <c r="AT35" s="5">
        <f t="shared" si="98"/>
        <v>2.6490318112655018</v>
      </c>
      <c r="AU35" s="150">
        <f t="shared" si="99"/>
        <v>9.1710580139960335E-2</v>
      </c>
      <c r="AW35" s="5">
        <f t="shared" si="26"/>
        <v>1.9258162873417539</v>
      </c>
      <c r="AX35" s="5">
        <f t="shared" si="27"/>
        <v>0.2507573290809576</v>
      </c>
      <c r="AY35" s="5">
        <f t="shared" si="28"/>
        <v>4.1424147205819745E-2</v>
      </c>
      <c r="AZ35" s="5"/>
      <c r="BA35" s="150">
        <f t="shared" si="100"/>
        <v>0.18691539225767906</v>
      </c>
      <c r="BB35" s="150">
        <f t="shared" si="29"/>
        <v>0.58823041156466815</v>
      </c>
      <c r="BC35" s="150">
        <f t="shared" si="30"/>
        <v>0.13148679787916112</v>
      </c>
      <c r="BD35" s="150"/>
      <c r="BE35" s="456">
        <f t="shared" si="31"/>
        <v>6.9874727725684053E-4</v>
      </c>
      <c r="BF35" s="456">
        <f t="shared" si="32"/>
        <v>0.36890722377996321</v>
      </c>
      <c r="BG35" s="456">
        <f t="shared" si="33"/>
        <v>0.41112316779289326</v>
      </c>
      <c r="BH35" s="456">
        <f t="shared" si="34"/>
        <v>9.8787670859265625E-2</v>
      </c>
      <c r="BI35">
        <f t="shared" si="35"/>
        <v>2.158277952856686E-2</v>
      </c>
      <c r="BJ35" s="144">
        <f t="shared" si="101"/>
        <v>432.70594732146014</v>
      </c>
      <c r="BK35">
        <f t="shared" si="36"/>
        <v>0.46866011173588845</v>
      </c>
      <c r="BL35" s="144">
        <f t="shared" si="102"/>
        <v>468.66011173588845</v>
      </c>
      <c r="BM35" s="150">
        <f t="shared" si="37"/>
        <v>0.22364999999999999</v>
      </c>
      <c r="BN35" s="150">
        <f t="shared" si="38"/>
        <v>3.3281249999999998E-2</v>
      </c>
      <c r="BO35" s="456"/>
      <c r="BQ35" s="144">
        <f t="shared" si="103"/>
        <v>256.93124999999998</v>
      </c>
      <c r="BR35" s="456">
        <f t="shared" si="39"/>
        <v>1.0481209158852607E-3</v>
      </c>
      <c r="BS35" s="456">
        <f t="shared" si="104"/>
        <v>1.0380450512686165E-2</v>
      </c>
      <c r="BT35" s="456">
        <f t="shared" si="40"/>
        <v>8.6443890082576856E-5</v>
      </c>
      <c r="BU35" s="456">
        <f t="shared" si="41"/>
        <v>0.1286182636953884</v>
      </c>
      <c r="BV35" s="456">
        <f t="shared" si="42"/>
        <v>0.14302864084975067</v>
      </c>
      <c r="BW35" s="538">
        <f t="shared" si="43"/>
        <v>3.9185828077040712E-4</v>
      </c>
      <c r="BX35" s="144">
        <f t="shared" si="105"/>
        <v>143.42049913052108</v>
      </c>
      <c r="BY35" s="150">
        <f t="shared" si="106"/>
        <v>0.86901186086640947</v>
      </c>
      <c r="BZ35" s="5">
        <f t="shared" si="107"/>
        <v>2.4</v>
      </c>
      <c r="CA35" s="150">
        <f t="shared" si="108"/>
        <v>0.73416680701914339</v>
      </c>
      <c r="CB35" s="5">
        <f t="shared" si="109"/>
        <v>73.416680701914345</v>
      </c>
      <c r="CC35">
        <f t="shared" si="110"/>
        <v>30</v>
      </c>
      <c r="CE35" s="59">
        <f t="shared" si="44"/>
        <v>-50</v>
      </c>
      <c r="CF35">
        <f t="shared" si="45"/>
        <v>-50</v>
      </c>
      <c r="CG35" s="150">
        <f t="shared" si="46"/>
        <v>0.73972968035627706</v>
      </c>
      <c r="CH35" s="150">
        <f t="shared" si="47"/>
        <v>0.40131363243596313</v>
      </c>
      <c r="CI35" s="147">
        <v>30</v>
      </c>
      <c r="CJ35" s="188">
        <f t="shared" si="133"/>
        <v>0.36</v>
      </c>
      <c r="CK35" s="188">
        <f t="shared" si="111"/>
        <v>7.4999999999999997E-2</v>
      </c>
      <c r="CL35" s="188">
        <f t="shared" si="48"/>
        <v>1.7999999999999998</v>
      </c>
      <c r="CM35" s="188">
        <f t="shared" si="134"/>
        <v>0.6</v>
      </c>
      <c r="CN35" s="465">
        <f t="shared" si="112"/>
        <v>48</v>
      </c>
      <c r="CO35" s="379">
        <f t="shared" si="49"/>
        <v>5.7</v>
      </c>
      <c r="CP35" s="379">
        <f t="shared" si="50"/>
        <v>53.7</v>
      </c>
      <c r="CQ35" s="379"/>
      <c r="CR35" s="188">
        <f t="shared" si="113"/>
        <v>0.10112359550561799</v>
      </c>
      <c r="CS35" s="149">
        <f t="shared" si="114"/>
        <v>9.1011235955056193</v>
      </c>
      <c r="CT35" s="149">
        <f t="shared" si="51"/>
        <v>4.0449438202247192</v>
      </c>
      <c r="CU35" s="188">
        <f t="shared" si="52"/>
        <v>1.8202247191011238</v>
      </c>
      <c r="CV35" s="188">
        <f t="shared" si="53"/>
        <v>1.1376404494382024</v>
      </c>
      <c r="CW35" s="379">
        <f t="shared" si="54"/>
        <v>5</v>
      </c>
      <c r="CX35" s="188">
        <f t="shared" si="55"/>
        <v>0.98888888888888882</v>
      </c>
      <c r="CY35" s="188">
        <f t="shared" si="56"/>
        <v>0.24722222222222218</v>
      </c>
      <c r="CZ35" s="188">
        <f t="shared" si="57"/>
        <v>2.0818713450292394</v>
      </c>
      <c r="DA35" s="172">
        <f t="shared" si="58"/>
        <v>350</v>
      </c>
      <c r="DB35" s="379">
        <f t="shared" si="115"/>
        <v>350</v>
      </c>
      <c r="DD35" s="188">
        <f t="shared" si="59"/>
        <v>1.2130885873902635</v>
      </c>
      <c r="DE35" s="150">
        <f t="shared" si="60"/>
        <v>2.5538707102952913</v>
      </c>
      <c r="DF35" s="150">
        <f t="shared" si="61"/>
        <v>0.54216249715765974</v>
      </c>
      <c r="DG35" s="150"/>
      <c r="DH35" s="150">
        <f t="shared" si="62"/>
        <v>2.1052631578947367</v>
      </c>
      <c r="DI35" s="314">
        <f t="shared" si="63"/>
        <v>342</v>
      </c>
      <c r="DJ35" s="456">
        <f t="shared" si="64"/>
        <v>0.36842105263157893</v>
      </c>
      <c r="DL35" s="150">
        <f t="shared" si="65"/>
        <v>1.0690449676496976</v>
      </c>
      <c r="DM35" s="150">
        <f t="shared" si="66"/>
        <v>1.0690449676496976</v>
      </c>
      <c r="DN35" s="150">
        <f t="shared" si="67"/>
        <v>1.1954285714285715</v>
      </c>
      <c r="DP35" s="314">
        <f t="shared" si="68"/>
        <v>360</v>
      </c>
      <c r="DQ35" s="144">
        <f t="shared" si="69"/>
        <v>342</v>
      </c>
      <c r="DS35">
        <f t="shared" si="116"/>
        <v>360</v>
      </c>
      <c r="DT35" s="144">
        <f t="shared" si="70"/>
        <v>342</v>
      </c>
      <c r="DU35" s="144"/>
      <c r="DV35" s="5">
        <f t="shared" si="117"/>
        <v>2.9239766081871341</v>
      </c>
      <c r="DW35" s="5">
        <f t="shared" si="71"/>
        <v>0.2672612419124244</v>
      </c>
      <c r="DX35" s="5">
        <f t="shared" si="118"/>
        <v>2.6567153662747098</v>
      </c>
      <c r="DY35" s="150">
        <f t="shared" si="119"/>
        <v>9.1403344734049152E-2</v>
      </c>
      <c r="EA35" s="5">
        <f t="shared" si="72"/>
        <v>1.9242809417694555</v>
      </c>
      <c r="EB35" s="5">
        <f t="shared" si="73"/>
        <v>0.25055741429289785</v>
      </c>
      <c r="EC35" s="5">
        <f t="shared" si="74"/>
        <v>4.1511177598042334E-2</v>
      </c>
      <c r="ED35" s="5"/>
      <c r="EE35" s="150">
        <f t="shared" si="120"/>
        <v>0.1866020412628096</v>
      </c>
      <c r="EF35" s="150">
        <f t="shared" si="75"/>
        <v>0.58832988972933686</v>
      </c>
      <c r="EG35" s="150">
        <f t="shared" si="76"/>
        <v>0.13150903417479293</v>
      </c>
      <c r="EH35" s="150"/>
      <c r="EI35" s="456">
        <f t="shared" si="77"/>
        <v>6.9640643606894593E-4</v>
      </c>
      <c r="EJ35" s="456">
        <f t="shared" si="78"/>
        <v>0.3926687689774751</v>
      </c>
      <c r="EK35" s="456">
        <f t="shared" si="79"/>
        <v>4.2749999999999996E-2</v>
      </c>
      <c r="EL35" s="456">
        <f t="shared" si="80"/>
        <v>9.8622198000000008E-2</v>
      </c>
      <c r="EM35">
        <f t="shared" si="81"/>
        <v>2.1600000000000001E-2</v>
      </c>
      <c r="EN35" s="144">
        <f t="shared" si="121"/>
        <v>64.349999999999994</v>
      </c>
      <c r="EO35">
        <f t="shared" si="82"/>
        <v>0.55661750451747039</v>
      </c>
      <c r="EP35" s="144">
        <f t="shared" si="122"/>
        <v>556.61750451747037</v>
      </c>
      <c r="EQ35" s="150">
        <f t="shared" si="83"/>
        <v>0.22364999999999999</v>
      </c>
      <c r="ER35" s="150">
        <f t="shared" si="84"/>
        <v>3.3281249999999998E-2</v>
      </c>
      <c r="ES35" s="456"/>
      <c r="EU35" s="144">
        <f t="shared" si="123"/>
        <v>256.93124999999998</v>
      </c>
      <c r="EV35" s="456">
        <f t="shared" si="85"/>
        <v>1.0446096541034189E-3</v>
      </c>
      <c r="EW35" s="456">
        <f t="shared" si="124"/>
        <v>1.0383961774468011E-2</v>
      </c>
      <c r="EX35" s="456">
        <f t="shared" si="86"/>
        <v>8.6473130347934266E-5</v>
      </c>
      <c r="EY35" s="456">
        <f t="shared" si="87"/>
        <v>0.12779833719959899</v>
      </c>
      <c r="EZ35" s="456">
        <f t="shared" si="88"/>
        <v>0.14220799496455111</v>
      </c>
      <c r="FA35" s="538">
        <f t="shared" si="89"/>
        <v>3.9085714285714293E-4</v>
      </c>
      <c r="FB35" s="144">
        <f t="shared" si="125"/>
        <v>142.59885210740825</v>
      </c>
      <c r="FC35" s="150">
        <f t="shared" si="126"/>
        <v>0.95614760662487874</v>
      </c>
      <c r="FD35" s="5">
        <f t="shared" si="127"/>
        <v>2.4</v>
      </c>
      <c r="FE35" s="150">
        <f t="shared" si="128"/>
        <v>0.71510561551658569</v>
      </c>
      <c r="FF35" s="5">
        <f t="shared" si="129"/>
        <v>71.510561551658569</v>
      </c>
      <c r="FG35">
        <f t="shared" si="130"/>
        <v>30</v>
      </c>
      <c r="FI35" s="59">
        <f t="shared" si="90"/>
        <v>-50</v>
      </c>
      <c r="FJ35">
        <f t="shared" si="91"/>
        <v>-50</v>
      </c>
      <c r="FL35">
        <f t="shared" si="92"/>
        <v>0.73972968035627717</v>
      </c>
    </row>
    <row r="36" spans="5:168">
      <c r="E36" s="147">
        <v>31</v>
      </c>
      <c r="F36" s="188">
        <f t="shared" si="131"/>
        <v>0.372</v>
      </c>
      <c r="G36" s="188">
        <f t="shared" si="93"/>
        <v>7.7499999999999999E-2</v>
      </c>
      <c r="H36" s="188">
        <f t="shared" si="0"/>
        <v>1.8599999999999999</v>
      </c>
      <c r="I36" s="188">
        <f t="shared" si="132"/>
        <v>0.62</v>
      </c>
      <c r="J36" s="465">
        <f t="shared" si="1"/>
        <v>47.961546863172515</v>
      </c>
      <c r="K36" s="379">
        <f t="shared" si="2"/>
        <v>5.714670670449185</v>
      </c>
      <c r="L36" s="149">
        <f t="shared" si="3"/>
        <v>53.676217533621703</v>
      </c>
      <c r="M36" s="379"/>
      <c r="N36" s="188">
        <f t="shared" si="4"/>
        <v>0.10646559934797251</v>
      </c>
      <c r="O36" s="149">
        <f t="shared" si="94"/>
        <v>9.5742278108316228</v>
      </c>
      <c r="P36" s="149">
        <f t="shared" si="5"/>
        <v>4.2552123603696099</v>
      </c>
      <c r="Q36" s="188">
        <f t="shared" si="6"/>
        <v>1.9148455621663245</v>
      </c>
      <c r="R36" s="188">
        <f t="shared" si="7"/>
        <v>1.1967784763539528</v>
      </c>
      <c r="S36" s="379">
        <f t="shared" si="8"/>
        <v>5</v>
      </c>
      <c r="T36" s="188">
        <f t="shared" si="9"/>
        <v>0.97135770985923464</v>
      </c>
      <c r="U36" s="188">
        <f t="shared" si="10"/>
        <v>0.24303412380681888</v>
      </c>
      <c r="V36" s="188">
        <f t="shared" si="11"/>
        <v>2.0397137806358678</v>
      </c>
      <c r="W36" s="172">
        <f t="shared" si="12"/>
        <v>350</v>
      </c>
      <c r="X36" s="379">
        <f t="shared" si="95"/>
        <v>350</v>
      </c>
      <c r="Z36" s="188">
        <f t="shared" si="13"/>
        <v>1.2157749601056032</v>
      </c>
      <c r="AA36" s="150">
        <f t="shared" si="14"/>
        <v>2.5529554304343649</v>
      </c>
      <c r="AB36" s="150">
        <f t="shared" si="15"/>
        <v>0.54316837515285143</v>
      </c>
      <c r="AC36" s="150"/>
      <c r="AD36" s="150">
        <f t="shared" si="16"/>
        <v>2.099858538139832</v>
      </c>
      <c r="AE36" s="314">
        <f t="shared" si="17"/>
        <v>354.30958156784942</v>
      </c>
      <c r="AF36" s="456">
        <f t="shared" si="18"/>
        <v>0.36747524417447064</v>
      </c>
      <c r="AH36" s="150">
        <f t="shared" si="19"/>
        <v>1.0867163295692124</v>
      </c>
      <c r="AI36" s="150">
        <f t="shared" si="20"/>
        <v>1.0867163295692124</v>
      </c>
      <c r="AJ36" s="150">
        <f t="shared" si="21"/>
        <v>1.2642343181994165</v>
      </c>
      <c r="AL36" s="314">
        <f t="shared" si="22"/>
        <v>372</v>
      </c>
      <c r="AM36" s="144">
        <f t="shared" si="23"/>
        <v>350</v>
      </c>
      <c r="AO36">
        <f t="shared" si="96"/>
        <v>372</v>
      </c>
      <c r="AP36" s="144">
        <f t="shared" si="24"/>
        <v>350</v>
      </c>
      <c r="AQ36" s="144"/>
      <c r="AR36" s="5">
        <f t="shared" si="97"/>
        <v>2.8571428571428572</v>
      </c>
      <c r="AS36" s="5">
        <f t="shared" si="25"/>
        <v>0.27189690090758578</v>
      </c>
      <c r="AT36" s="5">
        <f t="shared" si="98"/>
        <v>2.5852459562352714</v>
      </c>
      <c r="AU36" s="150">
        <f t="shared" si="99"/>
        <v>9.5163915317655015E-2</v>
      </c>
      <c r="AW36" s="5">
        <f t="shared" si="26"/>
        <v>2.0229129427524382</v>
      </c>
      <c r="AX36" s="5">
        <f t="shared" si="27"/>
        <v>0.26340012275422375</v>
      </c>
      <c r="AY36" s="5">
        <f t="shared" si="28"/>
        <v>4.1774416112937793E-2</v>
      </c>
      <c r="AZ36" s="5"/>
      <c r="BA36" s="150">
        <f t="shared" si="100"/>
        <v>0.1935493497579153</v>
      </c>
      <c r="BB36" s="150">
        <f t="shared" si="29"/>
        <v>0.59681608796938601</v>
      </c>
      <c r="BC36" s="150">
        <f t="shared" si="30"/>
        <v>0.13340594907550982</v>
      </c>
      <c r="BD36" s="150"/>
      <c r="BE36" s="456">
        <f t="shared" si="31"/>
        <v>7.4922701583423658E-4</v>
      </c>
      <c r="BF36" s="456">
        <f t="shared" si="32"/>
        <v>0.38279602005287988</v>
      </c>
      <c r="BG36" s="456">
        <f t="shared" si="33"/>
        <v>0.4196635350527595</v>
      </c>
      <c r="BH36" s="456">
        <f t="shared" si="34"/>
        <v>0.10083977150508372</v>
      </c>
      <c r="BI36">
        <f t="shared" si="35"/>
        <v>2.1582696088427632E-2</v>
      </c>
      <c r="BJ36" s="144">
        <f t="shared" si="101"/>
        <v>441.24623114118708</v>
      </c>
      <c r="BK36">
        <f t="shared" si="36"/>
        <v>0.48467358968610064</v>
      </c>
      <c r="BL36" s="144">
        <f t="shared" si="102"/>
        <v>484.67358968610063</v>
      </c>
      <c r="BM36" s="150">
        <f t="shared" si="37"/>
        <v>0.23110499999999995</v>
      </c>
      <c r="BN36" s="150">
        <f t="shared" si="38"/>
        <v>3.4390625000000001E-2</v>
      </c>
      <c r="BO36" s="456"/>
      <c r="BQ36" s="144">
        <f t="shared" si="103"/>
        <v>265.49562499999996</v>
      </c>
      <c r="BR36" s="456">
        <f t="shared" si="39"/>
        <v>1.1238405237513547E-3</v>
      </c>
      <c r="BS36" s="456">
        <f t="shared" si="104"/>
        <v>1.0685683285772456E-2</v>
      </c>
      <c r="BT36" s="456">
        <f t="shared" si="40"/>
        <v>8.89857362436876E-5</v>
      </c>
      <c r="BU36" s="456">
        <f t="shared" si="41"/>
        <v>0.14106867844768839</v>
      </c>
      <c r="BV36" s="456">
        <f t="shared" si="42"/>
        <v>0.15597129636112955</v>
      </c>
      <c r="BW36" s="538">
        <f t="shared" si="43"/>
        <v>4.1333333333333332E-4</v>
      </c>
      <c r="BX36" s="144">
        <f t="shared" si="105"/>
        <v>156.38462969446289</v>
      </c>
      <c r="BY36" s="150">
        <f t="shared" si="106"/>
        <v>0.90655384438056363</v>
      </c>
      <c r="BZ36" s="5">
        <f t="shared" si="107"/>
        <v>2.48</v>
      </c>
      <c r="CA36" s="150">
        <f t="shared" si="108"/>
        <v>0.73230786042724738</v>
      </c>
      <c r="CB36" s="5">
        <f t="shared" si="109"/>
        <v>73.230786042724745</v>
      </c>
      <c r="CC36">
        <f t="shared" si="110"/>
        <v>31</v>
      </c>
      <c r="CE36" s="59">
        <f t="shared" si="44"/>
        <v>-50</v>
      </c>
      <c r="CF36">
        <f t="shared" si="45"/>
        <v>-50</v>
      </c>
      <c r="CG36" s="150">
        <f t="shared" si="46"/>
        <v>0.76070143069844876</v>
      </c>
      <c r="CH36" s="150">
        <f t="shared" si="47"/>
        <v>0.41269109846423369</v>
      </c>
      <c r="CI36" s="147">
        <v>31</v>
      </c>
      <c r="CJ36" s="188">
        <f t="shared" si="133"/>
        <v>0.372</v>
      </c>
      <c r="CK36" s="188">
        <f t="shared" si="111"/>
        <v>7.7499999999999999E-2</v>
      </c>
      <c r="CL36" s="188">
        <f t="shared" si="48"/>
        <v>1.8599999999999999</v>
      </c>
      <c r="CM36" s="188">
        <f t="shared" si="134"/>
        <v>0.62</v>
      </c>
      <c r="CN36" s="465">
        <f t="shared" si="112"/>
        <v>48</v>
      </c>
      <c r="CO36" s="379">
        <f t="shared" si="49"/>
        <v>5.7</v>
      </c>
      <c r="CP36" s="379">
        <f t="shared" si="50"/>
        <v>53.7</v>
      </c>
      <c r="CQ36" s="379"/>
      <c r="CR36" s="188">
        <f t="shared" si="113"/>
        <v>0.10112359550561799</v>
      </c>
      <c r="CS36" s="149">
        <f t="shared" si="114"/>
        <v>9.1011235955056193</v>
      </c>
      <c r="CT36" s="149">
        <f t="shared" si="51"/>
        <v>4.0449438202247192</v>
      </c>
      <c r="CU36" s="188">
        <f t="shared" si="52"/>
        <v>1.8202247191011238</v>
      </c>
      <c r="CV36" s="188">
        <f t="shared" si="53"/>
        <v>1.1376404494382024</v>
      </c>
      <c r="CW36" s="379">
        <f t="shared" si="54"/>
        <v>5</v>
      </c>
      <c r="CX36" s="188">
        <f t="shared" si="55"/>
        <v>1.0218518518518518</v>
      </c>
      <c r="CY36" s="188">
        <f t="shared" si="56"/>
        <v>0.25546296296296295</v>
      </c>
      <c r="CZ36" s="188">
        <f t="shared" si="57"/>
        <v>2.1512670565302141</v>
      </c>
      <c r="DA36" s="172">
        <f t="shared" si="58"/>
        <v>350</v>
      </c>
      <c r="DB36" s="379">
        <f t="shared" si="115"/>
        <v>350</v>
      </c>
      <c r="DD36" s="188">
        <f t="shared" si="59"/>
        <v>1.2130885873902635</v>
      </c>
      <c r="DE36" s="150">
        <f t="shared" si="60"/>
        <v>2.5538707102952913</v>
      </c>
      <c r="DF36" s="150">
        <f t="shared" si="61"/>
        <v>0.54216249715765974</v>
      </c>
      <c r="DG36" s="150"/>
      <c r="DH36" s="150">
        <f t="shared" si="62"/>
        <v>2.1052631578947367</v>
      </c>
      <c r="DI36" s="314">
        <f t="shared" si="63"/>
        <v>353.40000000000003</v>
      </c>
      <c r="DJ36" s="456">
        <f t="shared" si="64"/>
        <v>0.36842105263157893</v>
      </c>
      <c r="DL36" s="150">
        <f t="shared" si="65"/>
        <v>1.0867163295692124</v>
      </c>
      <c r="DM36" s="150">
        <f t="shared" si="66"/>
        <v>1.0867163295692124</v>
      </c>
      <c r="DN36" s="150">
        <f t="shared" si="67"/>
        <v>1.2642343181994165</v>
      </c>
      <c r="DP36" s="314">
        <f t="shared" si="68"/>
        <v>372</v>
      </c>
      <c r="DQ36" s="144">
        <f t="shared" si="69"/>
        <v>350</v>
      </c>
      <c r="DS36">
        <f t="shared" si="116"/>
        <v>372</v>
      </c>
      <c r="DT36" s="144">
        <f t="shared" si="70"/>
        <v>350</v>
      </c>
      <c r="DU36" s="144"/>
      <c r="DV36" s="5">
        <f t="shared" si="117"/>
        <v>2.8571428571428572</v>
      </c>
      <c r="DW36" s="5">
        <f t="shared" si="71"/>
        <v>0.2716790823923031</v>
      </c>
      <c r="DX36" s="5">
        <f t="shared" si="118"/>
        <v>2.5854637747505542</v>
      </c>
      <c r="DY36" s="150">
        <f t="shared" si="119"/>
        <v>9.5087678837306081E-2</v>
      </c>
      <c r="EA36" s="5">
        <f t="shared" si="72"/>
        <v>2.0212923729987353</v>
      </c>
      <c r="EB36" s="5">
        <f t="shared" si="73"/>
        <v>0.26318911106754361</v>
      </c>
      <c r="EC36" s="5">
        <f t="shared" si="74"/>
        <v>4.1744467196493315E-2</v>
      </c>
      <c r="ED36" s="5"/>
      <c r="EE36" s="150">
        <f t="shared" si="120"/>
        <v>0.19347180735372613</v>
      </c>
      <c r="EF36" s="150">
        <f t="shared" si="75"/>
        <v>0.59684122964996</v>
      </c>
      <c r="EG36" s="150">
        <f t="shared" si="76"/>
        <v>0.13341156898057929</v>
      </c>
      <c r="EH36" s="150"/>
      <c r="EI36" s="456">
        <f t="shared" si="77"/>
        <v>7.4862680481434631E-4</v>
      </c>
      <c r="EJ36" s="456">
        <f t="shared" si="78"/>
        <v>0.40849666828506703</v>
      </c>
      <c r="EK36" s="456">
        <f t="shared" si="79"/>
        <v>4.3749999999999997E-2</v>
      </c>
      <c r="EL36" s="456">
        <f t="shared" si="80"/>
        <v>0.10092915000000002</v>
      </c>
      <c r="EM36">
        <f t="shared" si="81"/>
        <v>2.1600000000000001E-2</v>
      </c>
      <c r="EN36" s="144">
        <f t="shared" si="121"/>
        <v>65.349999999999994</v>
      </c>
      <c r="EO36">
        <f t="shared" si="82"/>
        <v>0.57582899917843</v>
      </c>
      <c r="EP36" s="144">
        <f t="shared" si="122"/>
        <v>575.82899917842997</v>
      </c>
      <c r="EQ36" s="150">
        <f t="shared" si="83"/>
        <v>0.23110499999999995</v>
      </c>
      <c r="ER36" s="150">
        <f t="shared" si="84"/>
        <v>3.4390625000000001E-2</v>
      </c>
      <c r="ES36" s="456"/>
      <c r="EU36" s="144">
        <f t="shared" si="123"/>
        <v>265.49562499999996</v>
      </c>
      <c r="EV36" s="456">
        <f t="shared" si="85"/>
        <v>1.1229402072215195E-3</v>
      </c>
      <c r="EW36" s="456">
        <f t="shared" si="124"/>
        <v>1.0686583602302287E-2</v>
      </c>
      <c r="EX36" s="456">
        <f t="shared" si="86"/>
        <v>8.8993233689299336E-5</v>
      </c>
      <c r="EY36" s="456">
        <f t="shared" si="87"/>
        <v>0.14106867844768839</v>
      </c>
      <c r="EZ36" s="456">
        <f t="shared" si="88"/>
        <v>0.15597130576046006</v>
      </c>
      <c r="FA36" s="538">
        <f t="shared" si="89"/>
        <v>4.1333333333333332E-4</v>
      </c>
      <c r="FB36" s="144">
        <f t="shared" si="125"/>
        <v>156.38463909379337</v>
      </c>
      <c r="FC36" s="150">
        <f t="shared" si="126"/>
        <v>0.99770926327222331</v>
      </c>
      <c r="FD36" s="5">
        <f t="shared" si="127"/>
        <v>2.48</v>
      </c>
      <c r="FE36" s="150">
        <f t="shared" si="128"/>
        <v>0.71311309032961956</v>
      </c>
      <c r="FF36" s="5">
        <f t="shared" si="129"/>
        <v>71.311309032961958</v>
      </c>
      <c r="FG36">
        <f t="shared" si="130"/>
        <v>31</v>
      </c>
      <c r="FI36" s="59">
        <f t="shared" si="90"/>
        <v>-50</v>
      </c>
      <c r="FJ36">
        <f t="shared" si="91"/>
        <v>-50</v>
      </c>
      <c r="FL36">
        <f t="shared" si="92"/>
        <v>0.76070143069844876</v>
      </c>
    </row>
    <row r="37" spans="5:168">
      <c r="E37" s="147">
        <v>32</v>
      </c>
      <c r="F37" s="188">
        <f t="shared" si="131"/>
        <v>0.38400000000000001</v>
      </c>
      <c r="G37" s="188">
        <f t="shared" si="93"/>
        <v>0.08</v>
      </c>
      <c r="H37" s="188">
        <f t="shared" ref="H37:H68" si="135">F37*Vout</f>
        <v>1.92</v>
      </c>
      <c r="I37" s="188">
        <f t="shared" si="132"/>
        <v>0.64</v>
      </c>
      <c r="J37" s="465">
        <f t="shared" ref="J37:J68" si="136">Vin-(F37/CG37/Nps+G37/CH37/(Nps/Nsec1sec2))*(Rdcr_pri+RON/1000)</f>
        <v>47.960931573914827</v>
      </c>
      <c r="K37" s="379">
        <f t="shared" ref="K37:K68" si="137">MAX((S37+Vfwd2+Rdcr_sec*F37/CG37)*Nps,(Vout2+Vfwd22+Rdcr_sec2*G37/CH37)*Nps/Nsec1sec2)</f>
        <v>5.7149054160817947</v>
      </c>
      <c r="L37" s="149">
        <f t="shared" ref="L37:L68" si="138">MAX((Vout+Vfwd2+F37/CG37*Rdcr_sec)*Nps+J37, (Vout2+Vfwd22+G37/CH37*Rdcr_sec2)*Nps/Nsec1sec2+J37)</f>
        <v>53.675836989996625</v>
      </c>
      <c r="M37" s="379"/>
      <c r="N37" s="188">
        <f t="shared" ref="N37:N68" si="139">MAX((Vout+Vfwd2+F37/CG37*Rdcr_sec)*Nps/((Vout+Vfwd2+F37/CG37*Rdcr_sec)*Nps+J37), (Vout2+Vfwd22+G37/CH37*Rdcr_sec2)*Nps/Nsec1sec2/((Vout2+Vfwd22+G37/CH37*Rdcr_sec2)*Nps/Nsec1sec2+J37))</f>
        <v>0.10647072754816773</v>
      </c>
      <c r="O37" s="149">
        <f t="shared" si="94"/>
        <v>9.5745661473048767</v>
      </c>
      <c r="P37" s="149">
        <f t="shared" ref="P37:P68" si="140">N37*J37*Isw_max*0.5*Efficiency*(Pout2/Pout_total)</f>
        <v>4.2553627321355005</v>
      </c>
      <c r="Q37" s="188">
        <f t="shared" si="6"/>
        <v>1.9149132294609754</v>
      </c>
      <c r="R37" s="188">
        <f t="shared" ref="R37:R68" si="141">O37/Vout2</f>
        <v>1.1968207684131096</v>
      </c>
      <c r="S37" s="379">
        <f t="shared" ref="S37:S68" si="142">MIN(Vout,O37/F37)</f>
        <v>5</v>
      </c>
      <c r="T37" s="188">
        <f t="shared" ref="T37:T68" si="143">MIN(2*(Vout*F37+Vout2*G37)/(Efficiency*J37*N37), Isw_max)</f>
        <v>1.0026563974078642</v>
      </c>
      <c r="U37" s="188">
        <f t="shared" si="10"/>
        <v>0.25086828745916834</v>
      </c>
      <c r="V37" s="188">
        <f t="shared" si="11"/>
        <v>2.1053501139382922</v>
      </c>
      <c r="W37" s="172">
        <f t="shared" si="12"/>
        <v>350</v>
      </c>
      <c r="X37" s="379">
        <f t="shared" si="95"/>
        <v>350</v>
      </c>
      <c r="Z37" s="188">
        <f t="shared" si="13"/>
        <v>1.2158179234672861</v>
      </c>
      <c r="AA37" s="150">
        <f t="shared" si="14"/>
        <v>2.5529407784338063</v>
      </c>
      <c r="AB37" s="150">
        <f t="shared" ref="AB37:AB68" si="144">0.5*AA37*Z37*Nps*W37/1000*(Pout/Pout_total)</f>
        <v>0.54318445229481072</v>
      </c>
      <c r="AC37" s="150"/>
      <c r="AD37" s="150">
        <f t="shared" si="16"/>
        <v>2.099772284285212</v>
      </c>
      <c r="AE37" s="314">
        <f t="shared" ref="AE37:AE68" si="145">MAX(10, F37/(0.5*AD37/1000000*Isw_min*Nps)/1000*Pout_total/Pout)</f>
        <v>365.7539466292348</v>
      </c>
      <c r="AF37" s="456">
        <f t="shared" ref="AF37:AF68" si="146">0.5*AD37/1000000*Isw_min*Nps*W37*1000*(Pout/Pout_total)</f>
        <v>0.36746014974991215</v>
      </c>
      <c r="AH37" s="150">
        <f t="shared" ref="AH37:AH68" si="147">SQRT((H37+I37)/(0.5*L*Fsw_DCM))</f>
        <v>1.1041048949477668</v>
      </c>
      <c r="AI37" s="150">
        <f t="shared" ref="AI37:AI68" si="148">MAX(IF(F37&gt;AB37,T37,AH37),Isw_min)</f>
        <v>1.1041048949477668</v>
      </c>
      <c r="AJ37" s="150">
        <f t="shared" ref="AJ37:AJ68" si="149">IF(F37&gt;AF37, (AI37-Isw_min)/1.08*0.8+1.2, AE37*0.2/350+1)</f>
        <v>1.2771147369983458</v>
      </c>
      <c r="AL37" s="314">
        <f t="shared" ref="AL37:AL68" si="150">F37*1000</f>
        <v>384</v>
      </c>
      <c r="AM37" s="144">
        <f t="shared" ref="AM37:AM68" si="151">IF(F37&gt;AF37, X37, AE37)</f>
        <v>350</v>
      </c>
      <c r="AO37">
        <f t="shared" si="96"/>
        <v>384</v>
      </c>
      <c r="AP37" s="144">
        <f t="shared" si="24"/>
        <v>350</v>
      </c>
      <c r="AQ37" s="144"/>
      <c r="AR37" s="5">
        <f t="shared" si="97"/>
        <v>2.8571428571428572</v>
      </c>
      <c r="AS37" s="5">
        <f t="shared" si="25"/>
        <v>0.27625107154047146</v>
      </c>
      <c r="AT37" s="5">
        <f t="shared" si="98"/>
        <v>2.5808917856023856</v>
      </c>
      <c r="AU37" s="150">
        <f t="shared" si="99"/>
        <v>9.6687875039165011E-2</v>
      </c>
      <c r="AW37" s="5">
        <f t="shared" ref="AW37:AW68" si="152">F37*AS37/Vout_ripple*1000</f>
        <v>2.1216082294308207</v>
      </c>
      <c r="AX37" s="5">
        <f t="shared" ref="AX37:AX68" si="153">G37*AS37/Vout_ripple2*1000</f>
        <v>0.27625107154047152</v>
      </c>
      <c r="AY37" s="5">
        <f t="shared" si="28"/>
        <v>4.304990250866754E-2</v>
      </c>
      <c r="AZ37" s="5"/>
      <c r="BA37" s="150">
        <f t="shared" si="100"/>
        <v>0.19821463438847281</v>
      </c>
      <c r="BB37" s="150">
        <f t="shared" ref="BB37:BB68" si="154">AI37*Npri_sec1*SQRT((1-AU37)/3)*(Pout/Pout_total)</f>
        <v>0.60585490429924749</v>
      </c>
      <c r="BC37" s="150">
        <f t="shared" ref="BC37:BC68" si="155">AI37*Npri_sec2*SQRT((1-AU37)/3)*(Pout2/Pout_total)</f>
        <v>0.13542639037277299</v>
      </c>
      <c r="BD37" s="150"/>
      <c r="BE37" s="456">
        <f t="shared" si="31"/>
        <v>7.8578082571511903E-4</v>
      </c>
      <c r="BF37" s="456">
        <f t="shared" ref="BF37:BF68" si="156">0.5*L37*AI37*AM37*1000*Tfall</f>
        <v>0.38891838799454603</v>
      </c>
      <c r="BG37" s="456">
        <f t="shared" ref="BG37:BG68" si="157">Qg*Vdd*AM37*1000*0+Qg*J37*AM37*1000</f>
        <v>0.41965815127175471</v>
      </c>
      <c r="BH37" s="456">
        <f t="shared" si="34"/>
        <v>0.10083834168018417</v>
      </c>
      <c r="BI37">
        <f t="shared" si="35"/>
        <v>2.158241920826167E-2</v>
      </c>
      <c r="BJ37" s="144">
        <f t="shared" si="101"/>
        <v>441.24057048001634</v>
      </c>
      <c r="BK37">
        <f t="shared" ref="BK37:BK68" si="158">(BF37+BG37*0+BH37+BI37*0+BE37*(1+RdsonTC*(Ta-25)))/(1-BE37*RdsonTC*ThetaJA)</f>
        <v>0.49084631307818311</v>
      </c>
      <c r="BL37" s="144">
        <f t="shared" si="102"/>
        <v>490.84631307818313</v>
      </c>
      <c r="BM37" s="150">
        <f t="shared" ref="BM37:BM68" si="159">Vfwd2*F37*(1+Diode_TC/1000*(Ta-25))</f>
        <v>0.23855999999999997</v>
      </c>
      <c r="BN37" s="150">
        <f t="shared" ref="BN37:BN68" si="160">Vfwd22*G37*(1+Diode_TC/1000*(Ta-25))</f>
        <v>3.5499999999999997E-2</v>
      </c>
      <c r="BO37" s="456"/>
      <c r="BQ37" s="144">
        <f t="shared" si="103"/>
        <v>274.05999999999995</v>
      </c>
      <c r="BR37" s="456">
        <f t="shared" si="39"/>
        <v>1.1786712385726784E-3</v>
      </c>
      <c r="BS37" s="456">
        <f t="shared" si="104"/>
        <v>1.1011804951903511E-2</v>
      </c>
      <c r="BT37" s="456">
        <f t="shared" ref="BT37:BT68" si="161">Rdcr_sec2*BC37^2</f>
        <v>9.1701536046993504E-5</v>
      </c>
      <c r="BU37" s="456">
        <f t="shared" si="41"/>
        <v>0.1467796857088679</v>
      </c>
      <c r="BV37" s="456">
        <f t="shared" ref="BV37:BV68" si="162">(BU37+(BR37+BS37+BT37)*(1+Ltc*(Ta-25)))/(1-(BR37+BS37+BT37)*Ltc*ThetaCa)</f>
        <v>0.16216892909846925</v>
      </c>
      <c r="BW37" s="538">
        <f t="shared" ref="BW37:BW68" si="163">0.5*Lleak*0.000000001*AI37^2*AM37*1000</f>
        <v>4.2666666666666672E-4</v>
      </c>
      <c r="BX37" s="144">
        <f t="shared" si="105"/>
        <v>162.5955957651359</v>
      </c>
      <c r="BY37" s="150">
        <f t="shared" si="106"/>
        <v>0.92750190884331896</v>
      </c>
      <c r="BZ37" s="5">
        <f t="shared" si="107"/>
        <v>2.56</v>
      </c>
      <c r="CA37" s="150">
        <f t="shared" si="108"/>
        <v>0.73404977743770228</v>
      </c>
      <c r="CB37" s="5">
        <f t="shared" si="109"/>
        <v>73.404977743770232</v>
      </c>
      <c r="CC37">
        <f t="shared" si="110"/>
        <v>32</v>
      </c>
      <c r="CE37" s="59">
        <f t="shared" ref="CE37:CE68" si="164">IF(ABS(F37-Ioutmax_Vinnom)&lt;Iout/200, AM37, -50)</f>
        <v>-50</v>
      </c>
      <c r="CF37">
        <f t="shared" ref="CF37:CF68" si="165">IF(ABS(F37-Ioutmax_Vinnom)&lt;Iout/200, (O37+P37)*CA37, -50)</f>
        <v>-50</v>
      </c>
      <c r="CG37" s="150">
        <f t="shared" ref="CG37:CG68" si="166">MIN(SQRT(2*DT37*1000*Ls1_*(CL37+CJ37*Vfwd1))/(CW37+Vfwd1), 1-DY37)</f>
        <v>0.7728734264634366</v>
      </c>
      <c r="CH37" s="150">
        <f t="shared" ref="CH37:CH68" si="167">MIN(SQRT(2*DT37*1000*Ls2_*(CM37+CK37*Vfwd22))/(Vout2+Vfwd22), 1-DY37)</f>
        <v>0.41929457533444647</v>
      </c>
      <c r="CI37" s="147">
        <v>32</v>
      </c>
      <c r="CJ37" s="188">
        <f t="shared" si="133"/>
        <v>0.38400000000000001</v>
      </c>
      <c r="CK37" s="188">
        <f t="shared" si="111"/>
        <v>0.08</v>
      </c>
      <c r="CL37" s="188">
        <f t="shared" si="48"/>
        <v>1.92</v>
      </c>
      <c r="CM37" s="188">
        <f t="shared" si="134"/>
        <v>0.64</v>
      </c>
      <c r="CN37" s="465">
        <f t="shared" si="112"/>
        <v>48</v>
      </c>
      <c r="CO37" s="379">
        <f t="shared" ref="CO37:CO68" si="168">(CW37+Vfwd2)*Nps</f>
        <v>5.7</v>
      </c>
      <c r="CP37" s="379">
        <f t="shared" ref="CP37:CP68" si="169">(Vout+Vfwd2)*Nps+CN37</f>
        <v>53.7</v>
      </c>
      <c r="CQ37" s="379"/>
      <c r="CR37" s="188">
        <f t="shared" si="113"/>
        <v>0.10112359550561799</v>
      </c>
      <c r="CS37" s="149">
        <f t="shared" si="114"/>
        <v>9.1011235955056193</v>
      </c>
      <c r="CT37" s="149">
        <f t="shared" si="51"/>
        <v>4.0449438202247192</v>
      </c>
      <c r="CU37" s="188">
        <f t="shared" si="52"/>
        <v>1.8202247191011238</v>
      </c>
      <c r="CV37" s="188">
        <f t="shared" si="53"/>
        <v>1.1376404494382024</v>
      </c>
      <c r="CW37" s="379">
        <f t="shared" si="54"/>
        <v>5</v>
      </c>
      <c r="CX37" s="188">
        <f t="shared" si="55"/>
        <v>1.0548148148148149</v>
      </c>
      <c r="CY37" s="188">
        <f t="shared" si="56"/>
        <v>0.26370370370370372</v>
      </c>
      <c r="CZ37" s="188">
        <f t="shared" si="57"/>
        <v>2.2206627680311892</v>
      </c>
      <c r="DA37" s="172">
        <f t="shared" si="58"/>
        <v>350</v>
      </c>
      <c r="DB37" s="379">
        <f t="shared" si="115"/>
        <v>350</v>
      </c>
      <c r="DD37" s="188">
        <f t="shared" si="59"/>
        <v>1.2130885873902635</v>
      </c>
      <c r="DE37" s="150">
        <f t="shared" si="60"/>
        <v>2.5538707102952913</v>
      </c>
      <c r="DF37" s="150">
        <f t="shared" si="61"/>
        <v>0.54216249715765974</v>
      </c>
      <c r="DG37" s="150"/>
      <c r="DH37" s="150">
        <f t="shared" si="62"/>
        <v>2.1052631578947367</v>
      </c>
      <c r="DI37" s="314">
        <f t="shared" si="63"/>
        <v>364.8</v>
      </c>
      <c r="DJ37" s="456">
        <f t="shared" si="64"/>
        <v>0.36842105263157893</v>
      </c>
      <c r="DL37" s="150">
        <f t="shared" si="65"/>
        <v>1.1041048949477668</v>
      </c>
      <c r="DM37" s="150">
        <f t="shared" si="66"/>
        <v>1.1041048949477668</v>
      </c>
      <c r="DN37" s="150">
        <f t="shared" si="67"/>
        <v>1.2771147369983458</v>
      </c>
      <c r="DP37" s="314">
        <f t="shared" si="68"/>
        <v>384</v>
      </c>
      <c r="DQ37" s="144">
        <f t="shared" si="69"/>
        <v>350</v>
      </c>
      <c r="DS37">
        <f t="shared" si="116"/>
        <v>384</v>
      </c>
      <c r="DT37" s="144">
        <f t="shared" si="70"/>
        <v>350</v>
      </c>
      <c r="DU37" s="144"/>
      <c r="DV37" s="5">
        <f t="shared" si="117"/>
        <v>2.8571428571428572</v>
      </c>
      <c r="DW37" s="5">
        <f t="shared" si="71"/>
        <v>0.27602622373694174</v>
      </c>
      <c r="DX37" s="5">
        <f t="shared" si="118"/>
        <v>2.5811166334059155</v>
      </c>
      <c r="DY37" s="150">
        <f t="shared" si="119"/>
        <v>9.6609178307929602E-2</v>
      </c>
      <c r="EA37" s="5">
        <f t="shared" si="72"/>
        <v>2.1198813982997127</v>
      </c>
      <c r="EB37" s="5">
        <f t="shared" si="73"/>
        <v>0.27602622373694174</v>
      </c>
      <c r="EC37" s="5">
        <f t="shared" si="74"/>
        <v>4.3018610556765251E-2</v>
      </c>
      <c r="ED37" s="5"/>
      <c r="EE37" s="150">
        <f t="shared" si="120"/>
        <v>0.19813395199075839</v>
      </c>
      <c r="EF37" s="150">
        <f t="shared" si="75"/>
        <v>0.6058812948241018</v>
      </c>
      <c r="EG37" s="150">
        <f t="shared" si="76"/>
        <v>0.13543228943126984</v>
      </c>
      <c r="EH37" s="150"/>
      <c r="EI37" s="456">
        <f t="shared" si="77"/>
        <v>7.8514125862952312E-4</v>
      </c>
      <c r="EJ37" s="456">
        <f t="shared" si="78"/>
        <v>0.41503303001086556</v>
      </c>
      <c r="EK37" s="456">
        <f t="shared" si="79"/>
        <v>4.3749999999999997E-2</v>
      </c>
      <c r="EL37" s="456">
        <f t="shared" si="80"/>
        <v>0.10092915000000002</v>
      </c>
      <c r="EM37">
        <f t="shared" si="81"/>
        <v>2.1600000000000001E-2</v>
      </c>
      <c r="EN37" s="144">
        <f t="shared" si="121"/>
        <v>65.349999999999994</v>
      </c>
      <c r="EO37">
        <f t="shared" si="82"/>
        <v>0.58241795922513118</v>
      </c>
      <c r="EP37" s="144">
        <f t="shared" si="122"/>
        <v>582.4179592251312</v>
      </c>
      <c r="EQ37" s="150">
        <f t="shared" si="83"/>
        <v>0.23855999999999997</v>
      </c>
      <c r="ER37" s="150">
        <f t="shared" ref="ER37:ER68" si="170">Vfwd22*CK37*(1+Diode_TC/1000*(Ta-25))</f>
        <v>3.5499999999999997E-2</v>
      </c>
      <c r="ES37" s="456"/>
      <c r="EU37" s="144">
        <f t="shared" si="123"/>
        <v>274.05999999999995</v>
      </c>
      <c r="EV37" s="456">
        <f t="shared" si="85"/>
        <v>1.1777118879442846E-3</v>
      </c>
      <c r="EW37" s="456">
        <f t="shared" si="124"/>
        <v>1.1012764302531905E-2</v>
      </c>
      <c r="EX37" s="456">
        <f t="shared" si="86"/>
        <v>9.1709525102976223E-5</v>
      </c>
      <c r="EY37" s="456">
        <f t="shared" si="87"/>
        <v>0.1467796857088679</v>
      </c>
      <c r="EZ37" s="456">
        <f t="shared" si="88"/>
        <v>0.16216893911839009</v>
      </c>
      <c r="FA37" s="538">
        <f t="shared" si="89"/>
        <v>4.2666666666666672E-4</v>
      </c>
      <c r="FB37" s="144">
        <f t="shared" si="125"/>
        <v>162.59560578505673</v>
      </c>
      <c r="FC37" s="150">
        <f t="shared" si="126"/>
        <v>1.0190735650101879</v>
      </c>
      <c r="FD37" s="5">
        <f t="shared" si="127"/>
        <v>2.56</v>
      </c>
      <c r="FE37" s="150">
        <f t="shared" si="128"/>
        <v>0.71526889668519922</v>
      </c>
      <c r="FF37" s="5">
        <f t="shared" si="129"/>
        <v>71.526889668519928</v>
      </c>
      <c r="FG37">
        <f t="shared" si="130"/>
        <v>32</v>
      </c>
      <c r="FI37" s="59">
        <f t="shared" si="90"/>
        <v>-50</v>
      </c>
      <c r="FJ37">
        <f t="shared" si="91"/>
        <v>-50</v>
      </c>
      <c r="FL37">
        <f t="shared" si="92"/>
        <v>0.7728734264634366</v>
      </c>
    </row>
    <row r="38" spans="5:168">
      <c r="E38" s="147">
        <v>33</v>
      </c>
      <c r="F38" s="188">
        <f t="shared" si="131"/>
        <v>0.39600000000000002</v>
      </c>
      <c r="G38" s="188">
        <f t="shared" ref="G38:G69" si="171">IF(PLOT_TYPE=1, E38/100*Iout2, min_I*EXP(Q38*rr/100))</f>
        <v>8.2500000000000004E-2</v>
      </c>
      <c r="H38" s="188">
        <f t="shared" si="135"/>
        <v>1.98</v>
      </c>
      <c r="I38" s="188">
        <f t="shared" si="132"/>
        <v>0.66</v>
      </c>
      <c r="J38" s="465">
        <f t="shared" si="136"/>
        <v>47.960325825759419</v>
      </c>
      <c r="K38" s="379">
        <f t="shared" si="137"/>
        <v>5.7151365215856975</v>
      </c>
      <c r="L38" s="149">
        <f t="shared" si="138"/>
        <v>53.675462347345118</v>
      </c>
      <c r="M38" s="379"/>
      <c r="N38" s="188">
        <f t="shared" si="139"/>
        <v>0.1064757762979638</v>
      </c>
      <c r="O38" s="149">
        <f t="shared" ref="O38:O69" si="172">N38*J38*Isw_max*0.5*Efficiency*Pout/(Pout+Pout2)</f>
        <v>9.5748992321269064</v>
      </c>
      <c r="P38" s="149">
        <f t="shared" si="140"/>
        <v>4.2555107698341796</v>
      </c>
      <c r="Q38" s="188">
        <f t="shared" si="6"/>
        <v>1.9149798464253813</v>
      </c>
      <c r="R38" s="188">
        <f t="shared" si="141"/>
        <v>1.1968624040158633</v>
      </c>
      <c r="S38" s="379">
        <f t="shared" si="142"/>
        <v>5</v>
      </c>
      <c r="T38" s="188">
        <f t="shared" si="143"/>
        <v>1.0339534401346258</v>
      </c>
      <c r="U38" s="188">
        <f t="shared" si="10"/>
        <v>0.25870218911130693</v>
      </c>
      <c r="V38" s="188">
        <f t="shared" si="11"/>
        <v>2.1709789844483001</v>
      </c>
      <c r="W38" s="172">
        <f t="shared" si="12"/>
        <v>350</v>
      </c>
      <c r="X38" s="379">
        <f t="shared" si="95"/>
        <v>350</v>
      </c>
      <c r="Z38" s="188">
        <f t="shared" si="13"/>
        <v>1.2158602199526227</v>
      </c>
      <c r="AA38" s="150">
        <f t="shared" si="14"/>
        <v>2.5529263534343896</v>
      </c>
      <c r="AB38" s="150">
        <f t="shared" si="144"/>
        <v>0.54320027958167716</v>
      </c>
      <c r="AC38" s="150"/>
      <c r="AD38" s="150">
        <f t="shared" si="16"/>
        <v>2.0996873748644123</v>
      </c>
      <c r="AE38" s="314">
        <f t="shared" si="145"/>
        <v>377.19901042465602</v>
      </c>
      <c r="AF38" s="456">
        <f t="shared" si="146"/>
        <v>0.36744529060127207</v>
      </c>
      <c r="AH38" s="150">
        <f t="shared" si="147"/>
        <v>1.1212238211627761</v>
      </c>
      <c r="AI38" s="150">
        <f t="shared" si="148"/>
        <v>1.1212238211627761</v>
      </c>
      <c r="AJ38" s="150">
        <f t="shared" si="149"/>
        <v>1.2897954230835378</v>
      </c>
      <c r="AL38" s="314">
        <f t="shared" si="150"/>
        <v>396</v>
      </c>
      <c r="AM38" s="144">
        <f t="shared" si="151"/>
        <v>350</v>
      </c>
      <c r="AO38">
        <f t="shared" si="96"/>
        <v>396</v>
      </c>
      <c r="AP38" s="144">
        <f t="shared" si="24"/>
        <v>350</v>
      </c>
      <c r="AQ38" s="144"/>
      <c r="AR38" s="5">
        <f t="shared" si="97"/>
        <v>2.8571428571428572</v>
      </c>
      <c r="AS38" s="5">
        <f t="shared" si="25"/>
        <v>0.28053783251670117</v>
      </c>
      <c r="AT38" s="5">
        <f t="shared" si="98"/>
        <v>2.576605024626156</v>
      </c>
      <c r="AU38" s="150">
        <f t="shared" si="99"/>
        <v>9.8188241380845406E-2</v>
      </c>
      <c r="AW38" s="5">
        <f t="shared" si="152"/>
        <v>2.2218596335322731</v>
      </c>
      <c r="AX38" s="5">
        <f t="shared" si="153"/>
        <v>0.28930463978284809</v>
      </c>
      <c r="AY38" s="5">
        <f t="shared" si="28"/>
        <v>4.4322033028701163E-2</v>
      </c>
      <c r="AZ38" s="5"/>
      <c r="BA38" s="150">
        <f t="shared" si="100"/>
        <v>0.2028436559745366</v>
      </c>
      <c r="BB38" s="150">
        <f t="shared" si="154"/>
        <v>0.61473739944670913</v>
      </c>
      <c r="BC38" s="150">
        <f t="shared" si="155"/>
        <v>0.13741188928808795</v>
      </c>
      <c r="BD38" s="150"/>
      <c r="BE38" s="456">
        <f t="shared" si="31"/>
        <v>8.2291097538232313E-4</v>
      </c>
      <c r="BF38" s="456">
        <f t="shared" si="156"/>
        <v>0.3949457334097341</v>
      </c>
      <c r="BG38" s="456">
        <f t="shared" si="157"/>
        <v>0.41965285097539495</v>
      </c>
      <c r="BH38" s="456">
        <f t="shared" si="34"/>
        <v>0.10083693403704422</v>
      </c>
      <c r="BI38">
        <f t="shared" si="35"/>
        <v>2.1582146621591736E-2</v>
      </c>
      <c r="BJ38" s="144">
        <f t="shared" si="101"/>
        <v>441.23499759698672</v>
      </c>
      <c r="BK38">
        <f t="shared" si="158"/>
        <v>0.4969249249595003</v>
      </c>
      <c r="BL38" s="144">
        <f t="shared" si="102"/>
        <v>496.92492495950029</v>
      </c>
      <c r="BM38" s="150">
        <f t="shared" si="159"/>
        <v>0.24601499999999998</v>
      </c>
      <c r="BN38" s="150">
        <f t="shared" si="160"/>
        <v>3.6609375E-2</v>
      </c>
      <c r="BO38" s="456"/>
      <c r="BQ38" s="144">
        <f t="shared" si="103"/>
        <v>282.62437499999999</v>
      </c>
      <c r="BR38" s="456">
        <f t="shared" si="39"/>
        <v>1.2343664630734847E-3</v>
      </c>
      <c r="BS38" s="456">
        <f t="shared" si="104"/>
        <v>1.1337062108355084E-2</v>
      </c>
      <c r="BT38" s="456">
        <f t="shared" si="161"/>
        <v>9.4410136588608709E-5</v>
      </c>
      <c r="BU38" s="456">
        <f t="shared" si="41"/>
        <v>0.15253549136138536</v>
      </c>
      <c r="BV38" s="456">
        <f t="shared" si="162"/>
        <v>0.16841177747212607</v>
      </c>
      <c r="BW38" s="538">
        <f t="shared" si="163"/>
        <v>4.3999999999999991E-4</v>
      </c>
      <c r="BX38" s="144">
        <f t="shared" si="105"/>
        <v>168.85177747212606</v>
      </c>
      <c r="BY38" s="150">
        <f t="shared" si="106"/>
        <v>0.94840107743162649</v>
      </c>
      <c r="BZ38" s="5">
        <f t="shared" si="107"/>
        <v>2.64</v>
      </c>
      <c r="CA38" s="150">
        <f t="shared" si="108"/>
        <v>0.73570371400333046</v>
      </c>
      <c r="CB38" s="5">
        <f t="shared" si="109"/>
        <v>73.570371400333045</v>
      </c>
      <c r="CC38">
        <f t="shared" ref="CC38:CC69" si="173">F38/Iout*100</f>
        <v>33</v>
      </c>
      <c r="CE38" s="59">
        <f t="shared" si="164"/>
        <v>-50</v>
      </c>
      <c r="CF38">
        <f t="shared" si="165"/>
        <v>-50</v>
      </c>
      <c r="CG38" s="150">
        <f t="shared" si="166"/>
        <v>0.78485667481394317</v>
      </c>
      <c r="CH38" s="150">
        <f t="shared" si="167"/>
        <v>0.42579565410907111</v>
      </c>
      <c r="CI38" s="147">
        <v>33</v>
      </c>
      <c r="CJ38" s="188">
        <f t="shared" si="133"/>
        <v>0.39600000000000002</v>
      </c>
      <c r="CK38" s="188">
        <f t="shared" si="111"/>
        <v>8.2500000000000004E-2</v>
      </c>
      <c r="CL38" s="188">
        <f t="shared" si="48"/>
        <v>1.98</v>
      </c>
      <c r="CM38" s="188">
        <f t="shared" si="134"/>
        <v>0.66</v>
      </c>
      <c r="CN38" s="465">
        <f t="shared" si="112"/>
        <v>48</v>
      </c>
      <c r="CO38" s="379">
        <f t="shared" si="168"/>
        <v>5.7</v>
      </c>
      <c r="CP38" s="379">
        <f t="shared" si="169"/>
        <v>53.7</v>
      </c>
      <c r="CQ38" s="379"/>
      <c r="CR38" s="188">
        <f t="shared" si="113"/>
        <v>0.10112359550561799</v>
      </c>
      <c r="CS38" s="149">
        <f t="shared" si="114"/>
        <v>9.1011235955056193</v>
      </c>
      <c r="CT38" s="149">
        <f t="shared" si="51"/>
        <v>4.0449438202247192</v>
      </c>
      <c r="CU38" s="188">
        <f t="shared" si="52"/>
        <v>1.8202247191011238</v>
      </c>
      <c r="CV38" s="188">
        <f t="shared" si="53"/>
        <v>1.1376404494382024</v>
      </c>
      <c r="CW38" s="379">
        <f t="shared" si="54"/>
        <v>5</v>
      </c>
      <c r="CX38" s="188">
        <f t="shared" si="55"/>
        <v>1.0877777777777777</v>
      </c>
      <c r="CY38" s="188">
        <f t="shared" si="56"/>
        <v>0.27194444444444443</v>
      </c>
      <c r="CZ38" s="188">
        <f t="shared" si="57"/>
        <v>2.2900584795321635</v>
      </c>
      <c r="DA38" s="172">
        <f t="shared" si="58"/>
        <v>350</v>
      </c>
      <c r="DB38" s="379">
        <f t="shared" si="115"/>
        <v>350</v>
      </c>
      <c r="DD38" s="188">
        <f t="shared" si="59"/>
        <v>1.2130885873902635</v>
      </c>
      <c r="DE38" s="150">
        <f t="shared" si="60"/>
        <v>2.5538707102952913</v>
      </c>
      <c r="DF38" s="150">
        <f t="shared" si="61"/>
        <v>0.54216249715765974</v>
      </c>
      <c r="DG38" s="150"/>
      <c r="DH38" s="150">
        <f t="shared" si="62"/>
        <v>2.1052631578947367</v>
      </c>
      <c r="DI38" s="314">
        <f t="shared" si="63"/>
        <v>376.20000000000005</v>
      </c>
      <c r="DJ38" s="456">
        <f t="shared" si="64"/>
        <v>0.36842105263157893</v>
      </c>
      <c r="DL38" s="150">
        <f t="shared" si="65"/>
        <v>1.1212238211627761</v>
      </c>
      <c r="DM38" s="150">
        <f t="shared" si="66"/>
        <v>1.1212238211627761</v>
      </c>
      <c r="DN38" s="150">
        <f t="shared" si="67"/>
        <v>1.2897954230835378</v>
      </c>
      <c r="DP38" s="314">
        <f t="shared" si="68"/>
        <v>396</v>
      </c>
      <c r="DQ38" s="144">
        <f t="shared" si="69"/>
        <v>350</v>
      </c>
      <c r="DS38">
        <f t="shared" si="116"/>
        <v>396</v>
      </c>
      <c r="DT38" s="144">
        <f t="shared" si="70"/>
        <v>350</v>
      </c>
      <c r="DU38" s="144"/>
      <c r="DV38" s="5">
        <f t="shared" si="117"/>
        <v>2.8571428571428572</v>
      </c>
      <c r="DW38" s="5">
        <f t="shared" si="71"/>
        <v>0.28030595529069402</v>
      </c>
      <c r="DX38" s="5">
        <f t="shared" si="118"/>
        <v>2.5768369018521633</v>
      </c>
      <c r="DY38" s="150">
        <f t="shared" si="119"/>
        <v>9.810708435174291E-2</v>
      </c>
      <c r="EA38" s="5">
        <f t="shared" si="72"/>
        <v>2.2200231659022971</v>
      </c>
      <c r="EB38" s="5">
        <f t="shared" si="73"/>
        <v>0.28906551639352823</v>
      </c>
      <c r="EC38" s="5">
        <f t="shared" si="74"/>
        <v>4.4289384250584055E-2</v>
      </c>
      <c r="ED38" s="5"/>
      <c r="EE38" s="150">
        <f t="shared" si="120"/>
        <v>0.20275980891020234</v>
      </c>
      <c r="EF38" s="150">
        <f t="shared" si="75"/>
        <v>0.61476505995243191</v>
      </c>
      <c r="EG38" s="150">
        <f t="shared" si="76"/>
        <v>0.13741807222466129</v>
      </c>
      <c r="EH38" s="150"/>
      <c r="EI38" s="456">
        <f t="shared" si="77"/>
        <v>8.2223080218603545E-4</v>
      </c>
      <c r="EJ38" s="456">
        <f t="shared" si="78"/>
        <v>0.42146803437508756</v>
      </c>
      <c r="EK38" s="456">
        <f t="shared" si="79"/>
        <v>4.3749999999999997E-2</v>
      </c>
      <c r="EL38" s="456">
        <f t="shared" si="80"/>
        <v>0.10092915000000002</v>
      </c>
      <c r="EM38">
        <f t="shared" si="81"/>
        <v>2.1600000000000001E-2</v>
      </c>
      <c r="EN38" s="144">
        <f t="shared" si="121"/>
        <v>65.349999999999994</v>
      </c>
      <c r="EO38">
        <f t="shared" si="82"/>
        <v>0.58890646746189146</v>
      </c>
      <c r="EP38" s="144">
        <f t="shared" si="122"/>
        <v>588.90646746189145</v>
      </c>
      <c r="EQ38" s="150">
        <f t="shared" si="83"/>
        <v>0.24601499999999998</v>
      </c>
      <c r="ER38" s="150">
        <f t="shared" si="170"/>
        <v>3.6609375E-2</v>
      </c>
      <c r="ES38" s="456"/>
      <c r="EU38" s="144">
        <f t="shared" si="123"/>
        <v>282.62437499999999</v>
      </c>
      <c r="EV38" s="456">
        <f t="shared" si="85"/>
        <v>1.2333462032790531E-3</v>
      </c>
      <c r="EW38" s="456">
        <f t="shared" si="124"/>
        <v>1.1338082368149515E-2</v>
      </c>
      <c r="EX38" s="456">
        <f t="shared" si="86"/>
        <v>9.4418632869711135E-5</v>
      </c>
      <c r="EY38" s="456">
        <f t="shared" si="87"/>
        <v>0.15253549136138536</v>
      </c>
      <c r="EZ38" s="456">
        <f t="shared" si="88"/>
        <v>0.16841178813278662</v>
      </c>
      <c r="FA38" s="538">
        <f t="shared" si="89"/>
        <v>4.3999999999999991E-4</v>
      </c>
      <c r="FB38" s="144">
        <f t="shared" si="125"/>
        <v>168.85178813278662</v>
      </c>
      <c r="FC38" s="150">
        <f t="shared" si="126"/>
        <v>1.0403826305946782</v>
      </c>
      <c r="FD38" s="5">
        <f t="shared" si="127"/>
        <v>2.64</v>
      </c>
      <c r="FE38" s="150">
        <f t="shared" si="128"/>
        <v>0.71731672083601461</v>
      </c>
      <c r="FF38" s="5">
        <f t="shared" si="129"/>
        <v>71.731672083601467</v>
      </c>
      <c r="FG38">
        <f t="shared" si="130"/>
        <v>33</v>
      </c>
      <c r="FI38" s="59">
        <f t="shared" si="90"/>
        <v>-50</v>
      </c>
      <c r="FJ38">
        <f t="shared" si="91"/>
        <v>-50</v>
      </c>
      <c r="FL38">
        <f t="shared" si="92"/>
        <v>0.78485667481394339</v>
      </c>
    </row>
    <row r="39" spans="5:168">
      <c r="E39" s="147">
        <v>34</v>
      </c>
      <c r="F39" s="188">
        <f t="shared" si="131"/>
        <v>0.40800000000000003</v>
      </c>
      <c r="G39" s="188">
        <f t="shared" si="171"/>
        <v>8.5000000000000006E-2</v>
      </c>
      <c r="H39" s="188">
        <f t="shared" si="135"/>
        <v>2.04</v>
      </c>
      <c r="I39" s="188">
        <f t="shared" si="132"/>
        <v>0.68</v>
      </c>
      <c r="J39" s="465">
        <f t="shared" si="136"/>
        <v>47.959729188156047</v>
      </c>
      <c r="K39" s="379">
        <f t="shared" si="137"/>
        <v>5.7153641512247555</v>
      </c>
      <c r="L39" s="149">
        <f t="shared" si="138"/>
        <v>53.675093339380801</v>
      </c>
      <c r="M39" s="379"/>
      <c r="N39" s="188">
        <f t="shared" si="139"/>
        <v>0.10648074918262804</v>
      </c>
      <c r="O39" s="149">
        <f t="shared" si="172"/>
        <v>9.5752273022827676</v>
      </c>
      <c r="P39" s="149">
        <f t="shared" si="140"/>
        <v>4.2556565787923404</v>
      </c>
      <c r="Q39" s="188">
        <f t="shared" si="6"/>
        <v>1.9150454604565534</v>
      </c>
      <c r="R39" s="188">
        <f t="shared" si="141"/>
        <v>1.196903412785346</v>
      </c>
      <c r="S39" s="379">
        <f t="shared" si="142"/>
        <v>5</v>
      </c>
      <c r="T39" s="188">
        <f t="shared" si="143"/>
        <v>1.0652488633422086</v>
      </c>
      <c r="U39" s="188">
        <f t="shared" si="10"/>
        <v>0.26653583280164439</v>
      </c>
      <c r="V39" s="188">
        <f t="shared" si="11"/>
        <v>2.2366005073127697</v>
      </c>
      <c r="W39" s="172">
        <f t="shared" si="12"/>
        <v>350</v>
      </c>
      <c r="X39" s="379">
        <f t="shared" si="95"/>
        <v>350</v>
      </c>
      <c r="Z39" s="188">
        <f t="shared" si="13"/>
        <v>1.2159018796549543</v>
      </c>
      <c r="AA39" s="150">
        <f t="shared" si="14"/>
        <v>2.5529121451924914</v>
      </c>
      <c r="AB39" s="150">
        <f t="shared" si="144"/>
        <v>0.54321586828836466</v>
      </c>
      <c r="AC39" s="150"/>
      <c r="AD39" s="150">
        <f t="shared" si="16"/>
        <v>2.0996037492079132</v>
      </c>
      <c r="AE39" s="314">
        <f t="shared" si="145"/>
        <v>388.6447622832834</v>
      </c>
      <c r="AF39" s="456">
        <f t="shared" si="146"/>
        <v>0.36743065611138481</v>
      </c>
      <c r="AH39" s="150">
        <f t="shared" si="147"/>
        <v>1.1380852759077833</v>
      </c>
      <c r="AI39" s="150">
        <f t="shared" si="148"/>
        <v>1.1380852759077833</v>
      </c>
      <c r="AJ39" s="150">
        <f t="shared" si="149"/>
        <v>1.3022853895613209</v>
      </c>
      <c r="AL39" s="314">
        <f t="shared" si="150"/>
        <v>408.00000000000006</v>
      </c>
      <c r="AM39" s="144">
        <f t="shared" si="151"/>
        <v>350</v>
      </c>
      <c r="AO39">
        <f t="shared" si="96"/>
        <v>408.00000000000006</v>
      </c>
      <c r="AP39" s="144">
        <f t="shared" si="24"/>
        <v>350</v>
      </c>
      <c r="AQ39" s="144"/>
      <c r="AR39" s="5">
        <f t="shared" si="97"/>
        <v>2.8571428571428572</v>
      </c>
      <c r="AS39" s="5">
        <f t="shared" si="25"/>
        <v>0.28476022575761517</v>
      </c>
      <c r="AT39" s="5">
        <f t="shared" si="98"/>
        <v>2.572382631385242</v>
      </c>
      <c r="AU39" s="150">
        <f t="shared" si="99"/>
        <v>9.9666079015165304E-2</v>
      </c>
      <c r="AW39" s="5">
        <f t="shared" si="152"/>
        <v>2.3236434421821399</v>
      </c>
      <c r="AX39" s="5">
        <f t="shared" si="153"/>
        <v>0.30255773986746615</v>
      </c>
      <c r="AY39" s="5">
        <f t="shared" si="28"/>
        <v>4.5590858699373793E-2</v>
      </c>
      <c r="AZ39" s="5"/>
      <c r="BA39" s="150">
        <f t="shared" si="100"/>
        <v>0.2074377837195627</v>
      </c>
      <c r="BB39" s="150">
        <f t="shared" si="154"/>
        <v>0.62347060687056255</v>
      </c>
      <c r="BC39" s="150">
        <f t="shared" si="155"/>
        <v>0.13936401800636106</v>
      </c>
      <c r="BD39" s="150"/>
      <c r="BE39" s="456">
        <f t="shared" si="31"/>
        <v>8.6060868228968147E-4</v>
      </c>
      <c r="BF39" s="456">
        <f t="shared" si="156"/>
        <v>0.40088234426969671</v>
      </c>
      <c r="BG39" s="456">
        <f t="shared" si="157"/>
        <v>0.41964763039636538</v>
      </c>
      <c r="BH39" s="456">
        <f t="shared" si="34"/>
        <v>0.10083554757469344</v>
      </c>
      <c r="BI39">
        <f t="shared" si="35"/>
        <v>2.1581878134670222E-2</v>
      </c>
      <c r="BJ39" s="144">
        <f t="shared" si="101"/>
        <v>441.22950853103561</v>
      </c>
      <c r="BK39">
        <f t="shared" si="158"/>
        <v>0.50291370097774502</v>
      </c>
      <c r="BL39" s="144">
        <f t="shared" si="102"/>
        <v>502.91370097774501</v>
      </c>
      <c r="BM39" s="150">
        <f t="shared" si="159"/>
        <v>0.25347000000000003</v>
      </c>
      <c r="BN39" s="150">
        <f t="shared" si="160"/>
        <v>3.7718750000000002E-2</v>
      </c>
      <c r="BO39" s="456"/>
      <c r="BQ39" s="144">
        <f t="shared" si="103"/>
        <v>291.18875000000003</v>
      </c>
      <c r="BR39" s="456">
        <f t="shared" si="39"/>
        <v>1.2909130234345222E-3</v>
      </c>
      <c r="BS39" s="456">
        <f t="shared" si="104"/>
        <v>1.1661467928946427E-2</v>
      </c>
      <c r="BT39" s="456">
        <f t="shared" si="161"/>
        <v>9.7111647574386651E-5</v>
      </c>
      <c r="BU39" s="456">
        <f t="shared" si="41"/>
        <v>0.15833507307458972</v>
      </c>
      <c r="BV39" s="456">
        <f t="shared" si="162"/>
        <v>0.17469882237772144</v>
      </c>
      <c r="BW39" s="538">
        <f t="shared" si="163"/>
        <v>4.5333333333333337E-4</v>
      </c>
      <c r="BX39" s="144">
        <f t="shared" si="105"/>
        <v>175.15215571105477</v>
      </c>
      <c r="BY39" s="150">
        <f t="shared" si="106"/>
        <v>0.96925460668879981</v>
      </c>
      <c r="BZ39" s="5">
        <f t="shared" si="107"/>
        <v>2.72</v>
      </c>
      <c r="CA39" s="150">
        <f t="shared" si="108"/>
        <v>0.73727630374669895</v>
      </c>
      <c r="CB39" s="5">
        <f t="shared" si="109"/>
        <v>73.7276303746699</v>
      </c>
      <c r="CC39">
        <f t="shared" si="173"/>
        <v>34</v>
      </c>
      <c r="CE39" s="59">
        <f t="shared" si="164"/>
        <v>-50</v>
      </c>
      <c r="CF39">
        <f t="shared" si="165"/>
        <v>-50</v>
      </c>
      <c r="CG39" s="150">
        <f t="shared" si="166"/>
        <v>0.79665969313544827</v>
      </c>
      <c r="CH39" s="150">
        <f t="shared" si="167"/>
        <v>0.43219895558810606</v>
      </c>
      <c r="CI39" s="147">
        <v>34</v>
      </c>
      <c r="CJ39" s="188">
        <f t="shared" si="133"/>
        <v>0.40800000000000003</v>
      </c>
      <c r="CK39" s="188">
        <f t="shared" si="111"/>
        <v>8.5000000000000006E-2</v>
      </c>
      <c r="CL39" s="188">
        <f t="shared" si="48"/>
        <v>2.04</v>
      </c>
      <c r="CM39" s="188">
        <f t="shared" si="134"/>
        <v>0.68</v>
      </c>
      <c r="CN39" s="465">
        <f t="shared" si="112"/>
        <v>48</v>
      </c>
      <c r="CO39" s="379">
        <f t="shared" si="168"/>
        <v>5.7</v>
      </c>
      <c r="CP39" s="379">
        <f t="shared" si="169"/>
        <v>53.7</v>
      </c>
      <c r="CQ39" s="379"/>
      <c r="CR39" s="188">
        <f t="shared" si="113"/>
        <v>0.10112359550561799</v>
      </c>
      <c r="CS39" s="149">
        <f t="shared" si="114"/>
        <v>9.1011235955056193</v>
      </c>
      <c r="CT39" s="149">
        <f t="shared" si="51"/>
        <v>4.0449438202247192</v>
      </c>
      <c r="CU39" s="188">
        <f t="shared" si="52"/>
        <v>1.8202247191011238</v>
      </c>
      <c r="CV39" s="188">
        <f t="shared" si="53"/>
        <v>1.1376404494382024</v>
      </c>
      <c r="CW39" s="379">
        <f t="shared" si="54"/>
        <v>5</v>
      </c>
      <c r="CX39" s="188">
        <f t="shared" si="55"/>
        <v>1.1207407407407408</v>
      </c>
      <c r="CY39" s="188">
        <f t="shared" si="56"/>
        <v>0.2801851851851852</v>
      </c>
      <c r="CZ39" s="188">
        <f t="shared" si="57"/>
        <v>2.3594541910331386</v>
      </c>
      <c r="DA39" s="172">
        <f t="shared" si="58"/>
        <v>350</v>
      </c>
      <c r="DB39" s="379">
        <f t="shared" si="115"/>
        <v>350</v>
      </c>
      <c r="DD39" s="188">
        <f t="shared" si="59"/>
        <v>1.2130885873902635</v>
      </c>
      <c r="DE39" s="150">
        <f t="shared" si="60"/>
        <v>2.5538707102952913</v>
      </c>
      <c r="DF39" s="150">
        <f t="shared" si="61"/>
        <v>0.54216249715765974</v>
      </c>
      <c r="DG39" s="150"/>
      <c r="DH39" s="150">
        <f t="shared" si="62"/>
        <v>2.1052631578947367</v>
      </c>
      <c r="DI39" s="314">
        <f t="shared" si="63"/>
        <v>387.60000000000008</v>
      </c>
      <c r="DJ39" s="456">
        <f t="shared" si="64"/>
        <v>0.36842105263157893</v>
      </c>
      <c r="DL39" s="150">
        <f t="shared" si="65"/>
        <v>1.1380852759077833</v>
      </c>
      <c r="DM39" s="150">
        <f t="shared" si="66"/>
        <v>1.1380852759077833</v>
      </c>
      <c r="DN39" s="150">
        <f t="shared" si="67"/>
        <v>1.3022853895613209</v>
      </c>
      <c r="DP39" s="314">
        <f t="shared" si="68"/>
        <v>408.00000000000006</v>
      </c>
      <c r="DQ39" s="144">
        <f t="shared" si="69"/>
        <v>350</v>
      </c>
      <c r="DS39">
        <f t="shared" si="116"/>
        <v>408.00000000000006</v>
      </c>
      <c r="DT39" s="144">
        <f t="shared" si="70"/>
        <v>350</v>
      </c>
      <c r="DU39" s="144"/>
      <c r="DV39" s="5">
        <f t="shared" si="117"/>
        <v>2.8571428571428572</v>
      </c>
      <c r="DW39" s="5">
        <f t="shared" si="71"/>
        <v>0.28452131897694588</v>
      </c>
      <c r="DX39" s="5">
        <f t="shared" si="118"/>
        <v>2.5726215381659112</v>
      </c>
      <c r="DY39" s="150">
        <f t="shared" si="119"/>
        <v>9.9582461641931061E-2</v>
      </c>
      <c r="EA39" s="5">
        <f t="shared" si="72"/>
        <v>2.3216939628518785</v>
      </c>
      <c r="EB39" s="5">
        <f t="shared" si="73"/>
        <v>0.30230390141300501</v>
      </c>
      <c r="EC39" s="5">
        <f t="shared" si="74"/>
        <v>4.5556839738354671E-2</v>
      </c>
      <c r="ED39" s="5"/>
      <c r="EE39" s="150">
        <f t="shared" si="120"/>
        <v>0.20735074787761235</v>
      </c>
      <c r="EF39" s="150">
        <f t="shared" si="75"/>
        <v>0.6234995582200733</v>
      </c>
      <c r="EG39" s="150">
        <f t="shared" si="76"/>
        <v>0.13937048948448699</v>
      </c>
      <c r="EH39" s="150"/>
      <c r="EI39" s="456">
        <f t="shared" si="77"/>
        <v>8.5988665290810326E-4</v>
      </c>
      <c r="EJ39" s="456">
        <f t="shared" si="78"/>
        <v>0.42780625521373578</v>
      </c>
      <c r="EK39" s="456">
        <f t="shared" si="79"/>
        <v>4.3749999999999997E-2</v>
      </c>
      <c r="EL39" s="456">
        <f t="shared" si="80"/>
        <v>0.10092915000000002</v>
      </c>
      <c r="EM39">
        <f t="shared" si="81"/>
        <v>2.1600000000000001E-2</v>
      </c>
      <c r="EN39" s="144">
        <f t="shared" si="121"/>
        <v>65.349999999999994</v>
      </c>
      <c r="EO39">
        <f t="shared" si="82"/>
        <v>0.59529908626486017</v>
      </c>
      <c r="EP39" s="144">
        <f t="shared" si="122"/>
        <v>595.29908626486019</v>
      </c>
      <c r="EQ39" s="150">
        <f t="shared" si="83"/>
        <v>0.25347000000000003</v>
      </c>
      <c r="ER39" s="150">
        <f t="shared" si="170"/>
        <v>3.7718750000000002E-2</v>
      </c>
      <c r="ES39" s="456"/>
      <c r="EU39" s="144">
        <f t="shared" si="123"/>
        <v>291.18875000000003</v>
      </c>
      <c r="EV39" s="456">
        <f t="shared" si="85"/>
        <v>1.2898299793621549E-3</v>
      </c>
      <c r="EW39" s="456">
        <f t="shared" si="124"/>
        <v>1.1662550973018796E-2</v>
      </c>
      <c r="EX39" s="456">
        <f t="shared" si="86"/>
        <v>9.7120666695727506E-5</v>
      </c>
      <c r="EY39" s="456">
        <f t="shared" si="87"/>
        <v>0.15833507307458972</v>
      </c>
      <c r="EZ39" s="456">
        <f t="shared" si="88"/>
        <v>0.17469883369930159</v>
      </c>
      <c r="FA39" s="538">
        <f t="shared" si="89"/>
        <v>4.5333333333333337E-4</v>
      </c>
      <c r="FB39" s="144">
        <f t="shared" si="125"/>
        <v>175.15216703263491</v>
      </c>
      <c r="FC39" s="150">
        <f t="shared" si="126"/>
        <v>1.0616400032974953</v>
      </c>
      <c r="FD39" s="5">
        <f t="shared" si="127"/>
        <v>2.72</v>
      </c>
      <c r="FE39" s="150">
        <f t="shared" si="128"/>
        <v>0.71926465703457443</v>
      </c>
      <c r="FF39" s="5">
        <f t="shared" si="129"/>
        <v>71.926465703457438</v>
      </c>
      <c r="FG39">
        <f t="shared" si="130"/>
        <v>34</v>
      </c>
      <c r="FI39" s="59">
        <f t="shared" si="90"/>
        <v>-50</v>
      </c>
      <c r="FJ39">
        <f t="shared" si="91"/>
        <v>-50</v>
      </c>
      <c r="FL39">
        <f t="shared" si="92"/>
        <v>0.79665969313544838</v>
      </c>
    </row>
    <row r="40" spans="5:168">
      <c r="E40" s="147">
        <v>35</v>
      </c>
      <c r="F40" s="188">
        <f t="shared" ref="F40:F71" si="174">IF(PLOT_TYPE=1, E40/100*Iout_max, min_I*EXP(O40*rr/100))</f>
        <v>0.42</v>
      </c>
      <c r="G40" s="188">
        <f t="shared" si="171"/>
        <v>8.7499999999999994E-2</v>
      </c>
      <c r="H40" s="188">
        <f t="shared" si="135"/>
        <v>2.1</v>
      </c>
      <c r="I40" s="188">
        <f t="shared" ref="I40:I71" si="175">Vout2*G40</f>
        <v>0.7</v>
      </c>
      <c r="J40" s="465">
        <f t="shared" si="136"/>
        <v>47.959141261993672</v>
      </c>
      <c r="K40" s="379">
        <f t="shared" si="137"/>
        <v>5.7155884572681197</v>
      </c>
      <c r="L40" s="149">
        <f t="shared" si="138"/>
        <v>53.674729719261791</v>
      </c>
      <c r="M40" s="379"/>
      <c r="N40" s="188">
        <f t="shared" si="139"/>
        <v>0.10648564952562799</v>
      </c>
      <c r="O40" s="149">
        <f t="shared" si="172"/>
        <v>9.5755505774526402</v>
      </c>
      <c r="P40" s="149">
        <f t="shared" si="140"/>
        <v>4.2558002566456175</v>
      </c>
      <c r="Q40" s="188">
        <f t="shared" si="6"/>
        <v>1.9151101154905281</v>
      </c>
      <c r="R40" s="188">
        <f t="shared" si="141"/>
        <v>1.19694382218158</v>
      </c>
      <c r="S40" s="379">
        <f t="shared" si="142"/>
        <v>5</v>
      </c>
      <c r="T40" s="188">
        <f t="shared" si="143"/>
        <v>1.0965426912081842</v>
      </c>
      <c r="U40" s="188">
        <f t="shared" si="10"/>
        <v>0.27436922238901673</v>
      </c>
      <c r="V40" s="188">
        <f t="shared" si="11"/>
        <v>2.3022147925583125</v>
      </c>
      <c r="W40" s="172">
        <f t="shared" si="12"/>
        <v>350</v>
      </c>
      <c r="X40" s="379">
        <f t="shared" si="95"/>
        <v>350</v>
      </c>
      <c r="Z40" s="188">
        <f t="shared" si="13"/>
        <v>1.2159429304701765</v>
      </c>
      <c r="AA40" s="150">
        <f t="shared" si="14"/>
        <v>2.5528981442124912</v>
      </c>
      <c r="AB40" s="150">
        <f t="shared" si="144"/>
        <v>0.54323122886648212</v>
      </c>
      <c r="AC40" s="150"/>
      <c r="AD40" s="150">
        <f t="shared" si="16"/>
        <v>2.0995213510763584</v>
      </c>
      <c r="AE40" s="314">
        <f t="shared" si="145"/>
        <v>400.0911920087683</v>
      </c>
      <c r="AF40" s="456">
        <f t="shared" si="146"/>
        <v>0.36741623643836274</v>
      </c>
      <c r="AH40" s="150">
        <f t="shared" si="147"/>
        <v>1.1547005383792515</v>
      </c>
      <c r="AI40" s="150">
        <f t="shared" si="148"/>
        <v>1.1547005383792515</v>
      </c>
      <c r="AJ40" s="150">
        <f t="shared" si="149"/>
        <v>1.314592991392038</v>
      </c>
      <c r="AL40" s="314">
        <f t="shared" si="150"/>
        <v>420</v>
      </c>
      <c r="AM40" s="144">
        <f t="shared" si="151"/>
        <v>350</v>
      </c>
      <c r="AO40">
        <f t="shared" si="96"/>
        <v>420</v>
      </c>
      <c r="AP40" s="144">
        <f t="shared" si="24"/>
        <v>350</v>
      </c>
      <c r="AQ40" s="144"/>
      <c r="AR40" s="5">
        <f t="shared" si="97"/>
        <v>2.8571428571428572</v>
      </c>
      <c r="AS40" s="5">
        <f t="shared" si="25"/>
        <v>0.28892107106037457</v>
      </c>
      <c r="AT40" s="5">
        <f t="shared" si="98"/>
        <v>2.5682217860824825</v>
      </c>
      <c r="AU40" s="150">
        <f t="shared" si="99"/>
        <v>0.1011223748711311</v>
      </c>
      <c r="AW40" s="5">
        <f t="shared" si="152"/>
        <v>2.4269369969071466</v>
      </c>
      <c r="AX40" s="5">
        <f t="shared" si="153"/>
        <v>0.31600742147228467</v>
      </c>
      <c r="AY40" s="5">
        <f t="shared" si="28"/>
        <v>4.6856428278106238E-2</v>
      </c>
      <c r="AZ40" s="5"/>
      <c r="BA40" s="150">
        <f t="shared" si="100"/>
        <v>0.2119982965037755</v>
      </c>
      <c r="BB40" s="150">
        <f t="shared" si="154"/>
        <v>0.63206104667503571</v>
      </c>
      <c r="BC40" s="150">
        <f t="shared" si="155"/>
        <v>0.14128423396265505</v>
      </c>
      <c r="BD40" s="150"/>
      <c r="BE40" s="456">
        <f t="shared" si="31"/>
        <v>8.9886555441005421E-4</v>
      </c>
      <c r="BF40" s="456">
        <f t="shared" si="156"/>
        <v>0.40673219543376266</v>
      </c>
      <c r="BG40" s="456">
        <f t="shared" si="157"/>
        <v>0.41964248604244458</v>
      </c>
      <c r="BH40" s="456">
        <f t="shared" si="34"/>
        <v>0.10083418136525318</v>
      </c>
      <c r="BI40">
        <f t="shared" si="35"/>
        <v>2.1581613567897152E-2</v>
      </c>
      <c r="BJ40" s="144">
        <f t="shared" si="101"/>
        <v>441.22409961034174</v>
      </c>
      <c r="BK40">
        <f t="shared" si="158"/>
        <v>0.50881660424716757</v>
      </c>
      <c r="BL40" s="144">
        <f t="shared" si="102"/>
        <v>508.81660424716756</v>
      </c>
      <c r="BM40" s="150">
        <f t="shared" si="159"/>
        <v>0.26092499999999996</v>
      </c>
      <c r="BN40" s="150">
        <f t="shared" si="160"/>
        <v>3.8828124999999998E-2</v>
      </c>
      <c r="BO40" s="456"/>
      <c r="BQ40" s="144">
        <f t="shared" si="103"/>
        <v>299.75312499999995</v>
      </c>
      <c r="BR40" s="456">
        <f t="shared" si="39"/>
        <v>1.3482983316150813E-3</v>
      </c>
      <c r="BS40" s="456">
        <f t="shared" si="104"/>
        <v>1.1985035001718249E-2</v>
      </c>
      <c r="BT40" s="456">
        <f t="shared" si="161"/>
        <v>9.9806173832071255E-5</v>
      </c>
      <c r="BU40" s="456">
        <f t="shared" si="41"/>
        <v>0.16417746135635269</v>
      </c>
      <c r="BV40" s="456">
        <f t="shared" si="162"/>
        <v>0.18102909747493676</v>
      </c>
      <c r="BW40" s="538">
        <f t="shared" si="163"/>
        <v>4.6666666666666666E-4</v>
      </c>
      <c r="BX40" s="144">
        <f t="shared" si="105"/>
        <v>181.49576414160342</v>
      </c>
      <c r="BY40" s="150">
        <f t="shared" si="106"/>
        <v>0.99006549338877092</v>
      </c>
      <c r="BZ40" s="5">
        <f t="shared" si="107"/>
        <v>2.8</v>
      </c>
      <c r="CA40" s="150">
        <f t="shared" si="108"/>
        <v>0.73877351325041762</v>
      </c>
      <c r="CB40" s="5">
        <f t="shared" si="109"/>
        <v>73.877351325041758</v>
      </c>
      <c r="CC40">
        <f t="shared" si="173"/>
        <v>35</v>
      </c>
      <c r="CE40" s="59">
        <f t="shared" si="164"/>
        <v>-50</v>
      </c>
      <c r="CF40">
        <f t="shared" si="165"/>
        <v>-50</v>
      </c>
      <c r="CG40" s="150">
        <f t="shared" si="166"/>
        <v>0.80829037686547611</v>
      </c>
      <c r="CH40" s="150">
        <f t="shared" si="167"/>
        <v>0.43850876315613985</v>
      </c>
      <c r="CI40" s="147">
        <v>35</v>
      </c>
      <c r="CJ40" s="188">
        <f t="shared" si="133"/>
        <v>0.42</v>
      </c>
      <c r="CK40" s="188">
        <f t="shared" si="111"/>
        <v>8.7499999999999994E-2</v>
      </c>
      <c r="CL40" s="188">
        <f t="shared" si="48"/>
        <v>2.1</v>
      </c>
      <c r="CM40" s="188">
        <f t="shared" si="134"/>
        <v>0.7</v>
      </c>
      <c r="CN40" s="465">
        <f t="shared" si="112"/>
        <v>48</v>
      </c>
      <c r="CO40" s="379">
        <f t="shared" si="168"/>
        <v>5.7</v>
      </c>
      <c r="CP40" s="379">
        <f t="shared" si="169"/>
        <v>53.7</v>
      </c>
      <c r="CQ40" s="379"/>
      <c r="CR40" s="188">
        <f t="shared" si="113"/>
        <v>0.10112359550561799</v>
      </c>
      <c r="CS40" s="149">
        <f t="shared" si="114"/>
        <v>9.1011235955056193</v>
      </c>
      <c r="CT40" s="149">
        <f t="shared" si="51"/>
        <v>4.0449438202247192</v>
      </c>
      <c r="CU40" s="188">
        <f t="shared" si="52"/>
        <v>1.8202247191011238</v>
      </c>
      <c r="CV40" s="188">
        <f t="shared" si="53"/>
        <v>1.1376404494382024</v>
      </c>
      <c r="CW40" s="379">
        <f t="shared" si="54"/>
        <v>5</v>
      </c>
      <c r="CX40" s="188">
        <f t="shared" si="55"/>
        <v>1.1537037037037035</v>
      </c>
      <c r="CY40" s="188">
        <f t="shared" si="56"/>
        <v>0.28842592592592586</v>
      </c>
      <c r="CZ40" s="188">
        <f t="shared" si="57"/>
        <v>2.4288499025341128</v>
      </c>
      <c r="DA40" s="172">
        <f t="shared" si="58"/>
        <v>350</v>
      </c>
      <c r="DB40" s="379">
        <f t="shared" si="115"/>
        <v>350</v>
      </c>
      <c r="DD40" s="188">
        <f t="shared" si="59"/>
        <v>1.2130885873902635</v>
      </c>
      <c r="DE40" s="150">
        <f t="shared" si="60"/>
        <v>2.5538707102952913</v>
      </c>
      <c r="DF40" s="150">
        <f t="shared" si="61"/>
        <v>0.54216249715765974</v>
      </c>
      <c r="DG40" s="150"/>
      <c r="DH40" s="150">
        <f t="shared" si="62"/>
        <v>2.1052631578947367</v>
      </c>
      <c r="DI40" s="314">
        <f t="shared" si="63"/>
        <v>399</v>
      </c>
      <c r="DJ40" s="456">
        <f t="shared" si="64"/>
        <v>0.36842105263157893</v>
      </c>
      <c r="DL40" s="150">
        <f t="shared" si="65"/>
        <v>1.1547005383792515</v>
      </c>
      <c r="DM40" s="150">
        <f t="shared" si="66"/>
        <v>1.1547005383792515</v>
      </c>
      <c r="DN40" s="150">
        <f t="shared" si="67"/>
        <v>1.314592991392038</v>
      </c>
      <c r="DP40" s="314">
        <f t="shared" si="68"/>
        <v>420</v>
      </c>
      <c r="DQ40" s="144">
        <f t="shared" si="69"/>
        <v>350</v>
      </c>
      <c r="DS40">
        <f t="shared" si="116"/>
        <v>420</v>
      </c>
      <c r="DT40" s="144">
        <f t="shared" si="70"/>
        <v>350</v>
      </c>
      <c r="DU40" s="144"/>
      <c r="DV40" s="5">
        <f t="shared" si="117"/>
        <v>2.8571428571428572</v>
      </c>
      <c r="DW40" s="5">
        <f t="shared" si="71"/>
        <v>0.28867513459481287</v>
      </c>
      <c r="DX40" s="5">
        <f t="shared" si="118"/>
        <v>2.5684677225480446</v>
      </c>
      <c r="DY40" s="150">
        <f t="shared" si="119"/>
        <v>0.1010362971081845</v>
      </c>
      <c r="EA40" s="5">
        <f t="shared" si="72"/>
        <v>2.4248711305964279</v>
      </c>
      <c r="EB40" s="5">
        <f t="shared" si="73"/>
        <v>0.31573842846307659</v>
      </c>
      <c r="EC40" s="5">
        <f t="shared" si="74"/>
        <v>4.682102619228206E-2</v>
      </c>
      <c r="ED40" s="5"/>
      <c r="EE40" s="150">
        <f t="shared" si="120"/>
        <v>0.21190804830626631</v>
      </c>
      <c r="EF40" s="150">
        <f t="shared" si="75"/>
        <v>0.63209130946997949</v>
      </c>
      <c r="EG40" s="150">
        <f t="shared" si="76"/>
        <v>0.14129099858740721</v>
      </c>
      <c r="EH40" s="150"/>
      <c r="EI40" s="456">
        <f t="shared" si="77"/>
        <v>8.9810041873941791E-4</v>
      </c>
      <c r="EJ40" s="456">
        <f t="shared" si="78"/>
        <v>0.43405193237676065</v>
      </c>
      <c r="EK40" s="456">
        <f t="shared" si="79"/>
        <v>4.3749999999999997E-2</v>
      </c>
      <c r="EL40" s="456">
        <f t="shared" si="80"/>
        <v>0.10092915000000002</v>
      </c>
      <c r="EM40">
        <f t="shared" si="81"/>
        <v>2.1600000000000001E-2</v>
      </c>
      <c r="EN40" s="144">
        <f t="shared" si="121"/>
        <v>65.349999999999994</v>
      </c>
      <c r="EO40">
        <f t="shared" si="82"/>
        <v>0.60160004453561366</v>
      </c>
      <c r="EP40" s="144">
        <f t="shared" si="122"/>
        <v>601.60004453561362</v>
      </c>
      <c r="EQ40" s="150">
        <f t="shared" si="83"/>
        <v>0.26092499999999996</v>
      </c>
      <c r="ER40" s="150">
        <f t="shared" si="170"/>
        <v>3.8828124999999998E-2</v>
      </c>
      <c r="ES40" s="456"/>
      <c r="EU40" s="144">
        <f t="shared" si="123"/>
        <v>299.75312499999995</v>
      </c>
      <c r="EV40" s="456">
        <f t="shared" si="85"/>
        <v>1.3471506281091269E-3</v>
      </c>
      <c r="EW40" s="456">
        <f t="shared" si="124"/>
        <v>1.1986182705224202E-2</v>
      </c>
      <c r="EX40" s="456">
        <f t="shared" si="86"/>
        <v>9.9815731409133528E-5</v>
      </c>
      <c r="EY40" s="456">
        <f t="shared" si="87"/>
        <v>0.16417746135635269</v>
      </c>
      <c r="EZ40" s="456">
        <f t="shared" si="88"/>
        <v>0.18102910947764703</v>
      </c>
      <c r="FA40" s="538">
        <f t="shared" si="89"/>
        <v>4.6666666666666666E-4</v>
      </c>
      <c r="FB40" s="144">
        <f t="shared" si="125"/>
        <v>181.49577614431371</v>
      </c>
      <c r="FC40" s="150">
        <f t="shared" si="126"/>
        <v>1.0828489456799273</v>
      </c>
      <c r="FD40" s="5">
        <f t="shared" si="127"/>
        <v>2.8</v>
      </c>
      <c r="FE40" s="150">
        <f t="shared" si="128"/>
        <v>0.7211199918336485</v>
      </c>
      <c r="FF40" s="5">
        <f t="shared" si="129"/>
        <v>72.111999183364844</v>
      </c>
      <c r="FG40">
        <f t="shared" si="130"/>
        <v>35</v>
      </c>
      <c r="FI40" s="59">
        <f t="shared" si="90"/>
        <v>-50</v>
      </c>
      <c r="FJ40">
        <f t="shared" si="91"/>
        <v>-50</v>
      </c>
      <c r="FL40">
        <f t="shared" si="92"/>
        <v>0.80829037686547611</v>
      </c>
    </row>
    <row r="41" spans="5:168">
      <c r="E41" s="147">
        <v>36</v>
      </c>
      <c r="F41" s="188">
        <f t="shared" si="174"/>
        <v>0.432</v>
      </c>
      <c r="G41" s="188">
        <f t="shared" si="171"/>
        <v>0.09</v>
      </c>
      <c r="H41" s="188">
        <f t="shared" si="135"/>
        <v>2.16</v>
      </c>
      <c r="I41" s="188">
        <f t="shared" si="175"/>
        <v>0.72</v>
      </c>
      <c r="J41" s="465">
        <f t="shared" si="136"/>
        <v>47.958561676477338</v>
      </c>
      <c r="K41" s="379">
        <f t="shared" si="137"/>
        <v>5.7158095811817669</v>
      </c>
      <c r="L41" s="149">
        <f t="shared" si="138"/>
        <v>53.674371257659104</v>
      </c>
      <c r="M41" s="379"/>
      <c r="N41" s="188">
        <f t="shared" si="139"/>
        <v>0.10649048041463821</v>
      </c>
      <c r="O41" s="149">
        <f t="shared" si="172"/>
        <v>9.5758692617308654</v>
      </c>
      <c r="P41" s="149">
        <f t="shared" si="140"/>
        <v>4.255941894102607</v>
      </c>
      <c r="Q41" s="188">
        <f t="shared" si="6"/>
        <v>1.915173852346173</v>
      </c>
      <c r="R41" s="188">
        <f t="shared" si="141"/>
        <v>1.1969836577163582</v>
      </c>
      <c r="S41" s="379">
        <f t="shared" si="142"/>
        <v>5</v>
      </c>
      <c r="T41" s="188">
        <f t="shared" si="143"/>
        <v>1.1278349468660007</v>
      </c>
      <c r="U41" s="188">
        <f t="shared" si="10"/>
        <v>0.28220236156561301</v>
      </c>
      <c r="V41" s="188">
        <f t="shared" si="11"/>
        <v>2.3678219454598759</v>
      </c>
      <c r="W41" s="172">
        <f t="shared" si="12"/>
        <v>350</v>
      </c>
      <c r="X41" s="379">
        <f t="shared" si="95"/>
        <v>350</v>
      </c>
      <c r="Z41" s="188">
        <f t="shared" si="13"/>
        <v>1.2159833983150306</v>
      </c>
      <c r="AA41" s="150">
        <f t="shared" si="14"/>
        <v>2.5528843416724625</v>
      </c>
      <c r="AB41" s="150">
        <f t="shared" si="144"/>
        <v>0.54324637102611939</v>
      </c>
      <c r="AC41" s="150"/>
      <c r="AD41" s="150">
        <f t="shared" si="16"/>
        <v>2.0994401282204631</v>
      </c>
      <c r="AE41" s="314">
        <f t="shared" si="145"/>
        <v>411.53828984508715</v>
      </c>
      <c r="AF41" s="456">
        <f t="shared" si="146"/>
        <v>0.36740202243858106</v>
      </c>
      <c r="AH41" s="150">
        <f t="shared" si="147"/>
        <v>1.1710800875382397</v>
      </c>
      <c r="AI41" s="150">
        <f t="shared" si="148"/>
        <v>1.1710800875382397</v>
      </c>
      <c r="AJ41" s="150">
        <f t="shared" si="149"/>
        <v>1.3267259907690663</v>
      </c>
      <c r="AL41" s="314">
        <f t="shared" si="150"/>
        <v>432</v>
      </c>
      <c r="AM41" s="144">
        <f t="shared" si="151"/>
        <v>350</v>
      </c>
      <c r="AO41">
        <f t="shared" si="96"/>
        <v>432</v>
      </c>
      <c r="AP41" s="144">
        <f t="shared" si="24"/>
        <v>350</v>
      </c>
      <c r="AQ41" s="144"/>
      <c r="AR41" s="5">
        <f t="shared" si="97"/>
        <v>2.8571428571428572</v>
      </c>
      <c r="AS41" s="5">
        <f t="shared" si="25"/>
        <v>0.29302298816337435</v>
      </c>
      <c r="AT41" s="5">
        <f t="shared" si="98"/>
        <v>2.5641198689794829</v>
      </c>
      <c r="AU41" s="150">
        <f t="shared" si="99"/>
        <v>0.10255804585718102</v>
      </c>
      <c r="AW41" s="5">
        <f t="shared" si="152"/>
        <v>2.5317186177315545</v>
      </c>
      <c r="AX41" s="5">
        <f t="shared" si="153"/>
        <v>0.32965086168379615</v>
      </c>
      <c r="AY41" s="5">
        <f t="shared" si="28"/>
        <v>4.8118788416738868E-2</v>
      </c>
      <c r="AZ41" s="5"/>
      <c r="BA41" s="150">
        <f t="shared" si="100"/>
        <v>0.21652639124628636</v>
      </c>
      <c r="BB41" s="150">
        <f t="shared" si="154"/>
        <v>0.64051477659513611</v>
      </c>
      <c r="BC41" s="150">
        <f t="shared" si="155"/>
        <v>0.14317389123891278</v>
      </c>
      <c r="BD41" s="150"/>
      <c r="BE41" s="456">
        <f t="shared" si="31"/>
        <v>9.3767356212279762E-4</v>
      </c>
      <c r="BF41" s="456">
        <f t="shared" si="156"/>
        <v>0.4124989797533023</v>
      </c>
      <c r="BG41" s="456">
        <f t="shared" si="157"/>
        <v>0.4196374146691767</v>
      </c>
      <c r="BH41" s="456">
        <f t="shared" si="34"/>
        <v>0.10083283454667577</v>
      </c>
      <c r="BI41">
        <f t="shared" si="35"/>
        <v>2.1581352754414803E-2</v>
      </c>
      <c r="BJ41" s="144">
        <f t="shared" si="101"/>
        <v>441.21876742359149</v>
      </c>
      <c r="BK41">
        <f t="shared" si="158"/>
        <v>0.5146373164089032</v>
      </c>
      <c r="BL41" s="144">
        <f t="shared" si="102"/>
        <v>514.63731640890319</v>
      </c>
      <c r="BM41" s="150">
        <f t="shared" si="159"/>
        <v>0.26838000000000001</v>
      </c>
      <c r="BN41" s="150">
        <f t="shared" si="160"/>
        <v>3.9937499999999994E-2</v>
      </c>
      <c r="BO41" s="456"/>
      <c r="BQ41" s="144">
        <f t="shared" si="103"/>
        <v>308.3175</v>
      </c>
      <c r="BR41" s="456">
        <f t="shared" si="39"/>
        <v>1.4065103431841963E-3</v>
      </c>
      <c r="BS41" s="456">
        <f t="shared" si="104"/>
        <v>1.2307775371101512E-2</v>
      </c>
      <c r="BT41" s="456">
        <f t="shared" si="161"/>
        <v>1.0249381566246012E-4</v>
      </c>
      <c r="BU41" s="456">
        <f t="shared" si="41"/>
        <v>0.17006173538407826</v>
      </c>
      <c r="BV41" s="456">
        <f t="shared" si="162"/>
        <v>0.18740168502245369</v>
      </c>
      <c r="BW41" s="538">
        <f t="shared" si="163"/>
        <v>4.7999999999999985E-4</v>
      </c>
      <c r="BX41" s="144">
        <f t="shared" si="105"/>
        <v>187.88168502245369</v>
      </c>
      <c r="BY41" s="150">
        <f t="shared" si="106"/>
        <v>1.0108365014313567</v>
      </c>
      <c r="BZ41" s="5">
        <f t="shared" si="107"/>
        <v>2.88</v>
      </c>
      <c r="CA41" s="150">
        <f t="shared" si="108"/>
        <v>0.74020072520151092</v>
      </c>
      <c r="CB41" s="5">
        <f t="shared" si="109"/>
        <v>74.020072520151089</v>
      </c>
      <c r="CC41">
        <f t="shared" si="173"/>
        <v>36</v>
      </c>
      <c r="CE41" s="59">
        <f t="shared" si="164"/>
        <v>-50</v>
      </c>
      <c r="CF41">
        <f t="shared" si="165"/>
        <v>-50</v>
      </c>
      <c r="CG41" s="150">
        <f t="shared" si="166"/>
        <v>0.81975606127676792</v>
      </c>
      <c r="CH41" s="150">
        <f t="shared" si="167"/>
        <v>0.44472905630058118</v>
      </c>
      <c r="CI41" s="147">
        <v>36</v>
      </c>
      <c r="CJ41" s="188">
        <f t="shared" si="133"/>
        <v>0.432</v>
      </c>
      <c r="CK41" s="188">
        <f t="shared" si="111"/>
        <v>0.09</v>
      </c>
      <c r="CL41" s="188">
        <f t="shared" si="48"/>
        <v>2.16</v>
      </c>
      <c r="CM41" s="188">
        <f t="shared" si="134"/>
        <v>0.72</v>
      </c>
      <c r="CN41" s="465">
        <f t="shared" si="112"/>
        <v>48</v>
      </c>
      <c r="CO41" s="379">
        <f t="shared" si="168"/>
        <v>5.7</v>
      </c>
      <c r="CP41" s="379">
        <f t="shared" si="169"/>
        <v>53.7</v>
      </c>
      <c r="CQ41" s="379"/>
      <c r="CR41" s="188">
        <f t="shared" si="113"/>
        <v>0.10112359550561799</v>
      </c>
      <c r="CS41" s="149">
        <f t="shared" si="114"/>
        <v>9.1011235955056193</v>
      </c>
      <c r="CT41" s="149">
        <f t="shared" si="51"/>
        <v>4.0449438202247192</v>
      </c>
      <c r="CU41" s="188">
        <f t="shared" si="52"/>
        <v>1.8202247191011238</v>
      </c>
      <c r="CV41" s="188">
        <f t="shared" si="53"/>
        <v>1.1376404494382024</v>
      </c>
      <c r="CW41" s="379">
        <f t="shared" si="54"/>
        <v>5</v>
      </c>
      <c r="CX41" s="188">
        <f t="shared" si="55"/>
        <v>1.1866666666666665</v>
      </c>
      <c r="CY41" s="188">
        <f t="shared" si="56"/>
        <v>0.29666666666666663</v>
      </c>
      <c r="CZ41" s="188">
        <f t="shared" si="57"/>
        <v>2.4982456140350875</v>
      </c>
      <c r="DA41" s="172">
        <f t="shared" si="58"/>
        <v>350</v>
      </c>
      <c r="DB41" s="379">
        <f t="shared" si="115"/>
        <v>350</v>
      </c>
      <c r="DD41" s="188">
        <f t="shared" si="59"/>
        <v>1.2130885873902635</v>
      </c>
      <c r="DE41" s="150">
        <f t="shared" si="60"/>
        <v>2.5538707102952913</v>
      </c>
      <c r="DF41" s="150">
        <f t="shared" si="61"/>
        <v>0.54216249715765974</v>
      </c>
      <c r="DG41" s="150"/>
      <c r="DH41" s="150">
        <f t="shared" si="62"/>
        <v>2.1052631578947367</v>
      </c>
      <c r="DI41" s="314">
        <f t="shared" si="63"/>
        <v>410.40000000000003</v>
      </c>
      <c r="DJ41" s="456">
        <f t="shared" si="64"/>
        <v>0.36842105263157893</v>
      </c>
      <c r="DL41" s="150">
        <f t="shared" si="65"/>
        <v>1.1710800875382397</v>
      </c>
      <c r="DM41" s="150">
        <f t="shared" si="66"/>
        <v>1.1710800875382397</v>
      </c>
      <c r="DN41" s="150">
        <f t="shared" si="67"/>
        <v>1.3267259907690663</v>
      </c>
      <c r="DP41" s="314">
        <f t="shared" si="68"/>
        <v>432</v>
      </c>
      <c r="DQ41" s="144">
        <f t="shared" si="69"/>
        <v>350</v>
      </c>
      <c r="DS41">
        <f t="shared" si="116"/>
        <v>432</v>
      </c>
      <c r="DT41" s="144">
        <f t="shared" si="70"/>
        <v>350</v>
      </c>
      <c r="DU41" s="144"/>
      <c r="DV41" s="5">
        <f t="shared" si="117"/>
        <v>2.8571428571428572</v>
      </c>
      <c r="DW41" s="5">
        <f t="shared" si="71"/>
        <v>0.29277002188455992</v>
      </c>
      <c r="DX41" s="5">
        <f t="shared" si="118"/>
        <v>2.5643728352582973</v>
      </c>
      <c r="DY41" s="150">
        <f t="shared" si="119"/>
        <v>0.10246950765959596</v>
      </c>
      <c r="EA41" s="5">
        <f t="shared" si="72"/>
        <v>2.5295329890825973</v>
      </c>
      <c r="EB41" s="5">
        <f t="shared" si="73"/>
        <v>0.32936627462012991</v>
      </c>
      <c r="EC41" s="5">
        <f t="shared" si="74"/>
        <v>4.8081990661093074E-2</v>
      </c>
      <c r="ED41" s="5"/>
      <c r="EE41" s="150">
        <f t="shared" si="120"/>
        <v>0.2164329076215758</v>
      </c>
      <c r="EF41" s="150">
        <f t="shared" si="75"/>
        <v>0.64054637118738522</v>
      </c>
      <c r="EG41" s="150">
        <f t="shared" si="76"/>
        <v>0.14318095355953317</v>
      </c>
      <c r="EH41" s="150"/>
      <c r="EI41" s="456">
        <f t="shared" si="77"/>
        <v>9.3686407003059128E-4</v>
      </c>
      <c r="EJ41" s="456">
        <f t="shared" si="78"/>
        <v>0.44020900490562431</v>
      </c>
      <c r="EK41" s="456">
        <f t="shared" si="79"/>
        <v>4.3749999999999997E-2</v>
      </c>
      <c r="EL41" s="456">
        <f t="shared" si="80"/>
        <v>0.10092915000000002</v>
      </c>
      <c r="EM41">
        <f t="shared" si="81"/>
        <v>2.1600000000000001E-2</v>
      </c>
      <c r="EN41" s="144">
        <f t="shared" si="121"/>
        <v>65.349999999999994</v>
      </c>
      <c r="EO41">
        <f t="shared" si="82"/>
        <v>0.60781327084190528</v>
      </c>
      <c r="EP41" s="144">
        <f t="shared" si="122"/>
        <v>607.81327084190525</v>
      </c>
      <c r="EQ41" s="150">
        <f t="shared" si="83"/>
        <v>0.26838000000000001</v>
      </c>
      <c r="ER41" s="150">
        <f t="shared" si="170"/>
        <v>3.9937499999999994E-2</v>
      </c>
      <c r="ES41" s="456"/>
      <c r="EU41" s="144">
        <f t="shared" si="123"/>
        <v>308.3175</v>
      </c>
      <c r="EV41" s="456">
        <f t="shared" si="85"/>
        <v>1.4052961050458868E-3</v>
      </c>
      <c r="EW41" s="456">
        <f t="shared" si="124"/>
        <v>1.2308989609239825E-2</v>
      </c>
      <c r="EX41" s="456">
        <f t="shared" si="86"/>
        <v>1.0250392731108598E-4</v>
      </c>
      <c r="EY41" s="456">
        <f t="shared" si="87"/>
        <v>0.17006173538407826</v>
      </c>
      <c r="EZ41" s="456">
        <f t="shared" si="88"/>
        <v>0.18740169772653553</v>
      </c>
      <c r="FA41" s="538">
        <f t="shared" si="89"/>
        <v>4.7999999999999985E-4</v>
      </c>
      <c r="FB41" s="144">
        <f t="shared" si="125"/>
        <v>187.88169772653555</v>
      </c>
      <c r="FC41" s="150">
        <f t="shared" si="126"/>
        <v>1.1040124685684409</v>
      </c>
      <c r="FD41" s="5">
        <f t="shared" si="127"/>
        <v>2.88</v>
      </c>
      <c r="FE41" s="150">
        <f t="shared" si="128"/>
        <v>0.72288930386677697</v>
      </c>
      <c r="FF41" s="5">
        <f t="shared" si="129"/>
        <v>72.288930386677691</v>
      </c>
      <c r="FG41">
        <f t="shared" si="130"/>
        <v>36</v>
      </c>
      <c r="FI41" s="59">
        <f t="shared" si="90"/>
        <v>-50</v>
      </c>
      <c r="FJ41">
        <f t="shared" si="91"/>
        <v>-50</v>
      </c>
      <c r="FL41">
        <f t="shared" si="92"/>
        <v>0.81975606127676781</v>
      </c>
    </row>
    <row r="42" spans="5:168">
      <c r="E42" s="147">
        <v>37</v>
      </c>
      <c r="F42" s="188">
        <f t="shared" si="174"/>
        <v>0.44400000000000001</v>
      </c>
      <c r="G42" s="188">
        <f t="shared" si="171"/>
        <v>9.2499999999999999E-2</v>
      </c>
      <c r="H42" s="188">
        <f t="shared" si="135"/>
        <v>2.2200000000000002</v>
      </c>
      <c r="I42" s="188">
        <f t="shared" si="175"/>
        <v>0.74</v>
      </c>
      <c r="J42" s="465">
        <f t="shared" si="136"/>
        <v>47.957876978744224</v>
      </c>
      <c r="K42" s="379">
        <f t="shared" si="137"/>
        <v>5.7160708075895066</v>
      </c>
      <c r="L42" s="149">
        <f t="shared" si="138"/>
        <v>53.673947786333727</v>
      </c>
      <c r="M42" s="379"/>
      <c r="N42" s="188">
        <f t="shared" si="139"/>
        <v>0.10649618750504715</v>
      </c>
      <c r="O42" s="149">
        <f t="shared" si="172"/>
        <v>9.576245735760617</v>
      </c>
      <c r="P42" s="149">
        <f t="shared" si="140"/>
        <v>4.2561092158936074</v>
      </c>
      <c r="Q42" s="188">
        <f t="shared" si="6"/>
        <v>1.9152491471521234</v>
      </c>
      <c r="R42" s="188">
        <f t="shared" si="141"/>
        <v>1.1970307169700771</v>
      </c>
      <c r="S42" s="379">
        <f t="shared" si="142"/>
        <v>5</v>
      </c>
      <c r="T42" s="188">
        <f t="shared" si="143"/>
        <v>1.1591181248147404</v>
      </c>
      <c r="U42" s="188">
        <f t="shared" si="10"/>
        <v>0.29003405434193391</v>
      </c>
      <c r="V42" s="188">
        <f t="shared" si="11"/>
        <v>2.4333878928351749</v>
      </c>
      <c r="W42" s="172">
        <f t="shared" si="12"/>
        <v>350</v>
      </c>
      <c r="X42" s="379">
        <f t="shared" si="95"/>
        <v>342.06488767918432</v>
      </c>
      <c r="Z42" s="188">
        <f t="shared" si="13"/>
        <v>1.2160312045410302</v>
      </c>
      <c r="AA42" s="150">
        <f t="shared" si="14"/>
        <v>2.5528680356998645</v>
      </c>
      <c r="AB42" s="150">
        <f t="shared" si="144"/>
        <v>0.54326425868511996</v>
      </c>
      <c r="AC42" s="150"/>
      <c r="AD42" s="150">
        <f t="shared" si="16"/>
        <v>2.099344183082374</v>
      </c>
      <c r="AE42" s="314">
        <f t="shared" si="145"/>
        <v>422.98923976162342</v>
      </c>
      <c r="AF42" s="456">
        <f t="shared" si="146"/>
        <v>0.36738523203941548</v>
      </c>
      <c r="AH42" s="150">
        <f t="shared" si="147"/>
        <v>1.1872336794093272</v>
      </c>
      <c r="AI42" s="150">
        <f t="shared" si="148"/>
        <v>1.1872336794093272</v>
      </c>
      <c r="AJ42" s="150">
        <f t="shared" si="149"/>
        <v>1.3386916143772793</v>
      </c>
      <c r="AL42" s="314">
        <f t="shared" si="150"/>
        <v>444</v>
      </c>
      <c r="AM42" s="144">
        <f t="shared" si="151"/>
        <v>342.06488767918432</v>
      </c>
      <c r="AO42">
        <f t="shared" si="96"/>
        <v>444</v>
      </c>
      <c r="AP42" s="144">
        <f t="shared" si="24"/>
        <v>342.06488767918432</v>
      </c>
      <c r="AQ42" s="144"/>
      <c r="AR42" s="5">
        <f t="shared" si="97"/>
        <v>2.9234219471771086</v>
      </c>
      <c r="AS42" s="5">
        <f t="shared" si="25"/>
        <v>0.29706911670060715</v>
      </c>
      <c r="AT42" s="5">
        <f t="shared" si="98"/>
        <v>2.6263528304765016</v>
      </c>
      <c r="AU42" s="150">
        <f t="shared" si="99"/>
        <v>0.10161691403714769</v>
      </c>
      <c r="AW42" s="5">
        <f t="shared" si="152"/>
        <v>2.6379737563013919</v>
      </c>
      <c r="AX42" s="5">
        <f t="shared" si="153"/>
        <v>0.34348616618507699</v>
      </c>
      <c r="AY42" s="5">
        <f t="shared" si="28"/>
        <v>5.065646190442305E-2</v>
      </c>
      <c r="AZ42" s="5"/>
      <c r="BA42" s="150">
        <f t="shared" si="100"/>
        <v>0.21850359248434481</v>
      </c>
      <c r="BB42" s="150">
        <f t="shared" si="154"/>
        <v>0.64969027229342524</v>
      </c>
      <c r="BC42" s="150">
        <f t="shared" si="155"/>
        <v>0.14522488439500095</v>
      </c>
      <c r="BD42" s="150"/>
      <c r="BE42" s="456">
        <f t="shared" si="31"/>
        <v>9.5487639857129263E-4</v>
      </c>
      <c r="BF42" s="456">
        <f t="shared" si="156"/>
        <v>0.40870459133725096</v>
      </c>
      <c r="BG42" s="456">
        <f t="shared" si="157"/>
        <v>0.41011764505165704</v>
      </c>
      <c r="BH42" s="456">
        <f t="shared" si="34"/>
        <v>9.8545222791116535E-2</v>
      </c>
      <c r="BI42">
        <f t="shared" si="35"/>
        <v>2.15810446404349E-2</v>
      </c>
      <c r="BJ42" s="144">
        <f t="shared" si="101"/>
        <v>431.69868969209199</v>
      </c>
      <c r="BK42">
        <f t="shared" si="158"/>
        <v>0.50857789261124686</v>
      </c>
      <c r="BL42" s="144">
        <f t="shared" si="102"/>
        <v>508.57789261124685</v>
      </c>
      <c r="BM42" s="150">
        <f t="shared" si="159"/>
        <v>0.27583499999999994</v>
      </c>
      <c r="BN42" s="150">
        <f t="shared" si="160"/>
        <v>4.1046874999999997E-2</v>
      </c>
      <c r="BO42" s="456"/>
      <c r="BQ42" s="144">
        <f t="shared" si="103"/>
        <v>316.88187499999992</v>
      </c>
      <c r="BR42" s="456">
        <f t="shared" si="39"/>
        <v>1.4323145978569387E-3</v>
      </c>
      <c r="BS42" s="456">
        <f t="shared" si="104"/>
        <v>1.2662923497381151E-2</v>
      </c>
      <c r="BT42" s="456">
        <f t="shared" si="161"/>
        <v>1.0545133523770696E-4</v>
      </c>
      <c r="BU42" s="456">
        <f t="shared" si="41"/>
        <v>0.16618115271835626</v>
      </c>
      <c r="BV42" s="456">
        <f t="shared" si="162"/>
        <v>0.18399904067071188</v>
      </c>
      <c r="BW42" s="538">
        <f t="shared" si="163"/>
        <v>4.8214860358589779E-4</v>
      </c>
      <c r="BX42" s="144">
        <f t="shared" si="105"/>
        <v>184.48118927429778</v>
      </c>
      <c r="BY42" s="150">
        <f t="shared" si="106"/>
        <v>1.0099409568855446</v>
      </c>
      <c r="BZ42" s="5">
        <f t="shared" si="107"/>
        <v>2.96</v>
      </c>
      <c r="CA42" s="150">
        <f t="shared" si="108"/>
        <v>0.74560302839419246</v>
      </c>
      <c r="CB42" s="5">
        <f t="shared" si="109"/>
        <v>74.560302839419251</v>
      </c>
      <c r="CC42">
        <f t="shared" si="173"/>
        <v>37</v>
      </c>
      <c r="CE42" s="59">
        <f t="shared" si="164"/>
        <v>-50</v>
      </c>
      <c r="CF42">
        <f t="shared" si="165"/>
        <v>-50</v>
      </c>
      <c r="CG42" s="150">
        <f t="shared" si="166"/>
        <v>0.82883202513712817</v>
      </c>
      <c r="CH42" s="150">
        <f t="shared" si="167"/>
        <v>0.44965289283354887</v>
      </c>
      <c r="CI42" s="147">
        <v>37</v>
      </c>
      <c r="CJ42" s="188">
        <f t="shared" si="133"/>
        <v>0.44400000000000001</v>
      </c>
      <c r="CK42" s="188">
        <f t="shared" si="111"/>
        <v>9.2499999999999999E-2</v>
      </c>
      <c r="CL42" s="188">
        <f t="shared" si="48"/>
        <v>2.2200000000000002</v>
      </c>
      <c r="CM42" s="188">
        <f t="shared" si="134"/>
        <v>0.74</v>
      </c>
      <c r="CN42" s="465">
        <f t="shared" si="112"/>
        <v>48</v>
      </c>
      <c r="CO42" s="379">
        <f t="shared" si="168"/>
        <v>5.7</v>
      </c>
      <c r="CP42" s="379">
        <f t="shared" si="169"/>
        <v>53.7</v>
      </c>
      <c r="CQ42" s="379"/>
      <c r="CR42" s="188">
        <f t="shared" si="113"/>
        <v>0.10112359550561799</v>
      </c>
      <c r="CS42" s="149">
        <f t="shared" si="114"/>
        <v>9.1011235955056193</v>
      </c>
      <c r="CT42" s="149">
        <f t="shared" si="51"/>
        <v>4.0449438202247192</v>
      </c>
      <c r="CU42" s="188">
        <f t="shared" si="52"/>
        <v>1.8202247191011238</v>
      </c>
      <c r="CV42" s="188">
        <f t="shared" si="53"/>
        <v>1.1376404494382024</v>
      </c>
      <c r="CW42" s="379">
        <f t="shared" si="54"/>
        <v>5</v>
      </c>
      <c r="CX42" s="188">
        <f t="shared" si="55"/>
        <v>1.2196296296296296</v>
      </c>
      <c r="CY42" s="188">
        <f t="shared" si="56"/>
        <v>0.3049074074074074</v>
      </c>
      <c r="CZ42" s="188">
        <f t="shared" si="57"/>
        <v>2.5676413255360622</v>
      </c>
      <c r="DA42" s="172">
        <f t="shared" si="58"/>
        <v>350</v>
      </c>
      <c r="DB42" s="379">
        <f t="shared" si="115"/>
        <v>348.12290163492224</v>
      </c>
      <c r="DD42" s="188">
        <f t="shared" si="59"/>
        <v>1.2130885873902635</v>
      </c>
      <c r="DE42" s="150">
        <f t="shared" si="60"/>
        <v>2.5538707102952913</v>
      </c>
      <c r="DF42" s="150">
        <f t="shared" si="61"/>
        <v>0.54216249715765974</v>
      </c>
      <c r="DG42" s="150"/>
      <c r="DH42" s="150">
        <f t="shared" si="62"/>
        <v>2.1052631578947367</v>
      </c>
      <c r="DI42" s="314">
        <f t="shared" si="63"/>
        <v>421.8</v>
      </c>
      <c r="DJ42" s="456">
        <f t="shared" si="64"/>
        <v>0.36842105263157893</v>
      </c>
      <c r="DL42" s="150">
        <f t="shared" si="65"/>
        <v>1.1872336794093272</v>
      </c>
      <c r="DM42" s="150">
        <f t="shared" si="66"/>
        <v>1.1872336794093272</v>
      </c>
      <c r="DN42" s="150">
        <f t="shared" si="67"/>
        <v>1.3386916143772793</v>
      </c>
      <c r="DP42" s="314">
        <f t="shared" si="68"/>
        <v>444</v>
      </c>
      <c r="DQ42" s="144">
        <f t="shared" si="69"/>
        <v>348.12290163492224</v>
      </c>
      <c r="DS42">
        <f t="shared" si="116"/>
        <v>444</v>
      </c>
      <c r="DT42" s="144">
        <f t="shared" si="70"/>
        <v>348.12290163492224</v>
      </c>
      <c r="DU42" s="144"/>
      <c r="DV42" s="5">
        <f t="shared" si="117"/>
        <v>2.8725487329434696</v>
      </c>
      <c r="DW42" s="5">
        <f t="shared" si="71"/>
        <v>0.29680841985233181</v>
      </c>
      <c r="DX42" s="5">
        <f t="shared" si="118"/>
        <v>2.5757403130911376</v>
      </c>
      <c r="DY42" s="150">
        <f t="shared" si="119"/>
        <v>0.10332580834867001</v>
      </c>
      <c r="EA42" s="5">
        <f t="shared" si="72"/>
        <v>2.6356587682887067</v>
      </c>
      <c r="EB42" s="5">
        <f t="shared" si="73"/>
        <v>0.34318473545425865</v>
      </c>
      <c r="EC42" s="5">
        <f t="shared" si="74"/>
        <v>4.963666228352713E-2</v>
      </c>
      <c r="ED42" s="5"/>
      <c r="EE42" s="150">
        <f t="shared" si="120"/>
        <v>0.22033322264677829</v>
      </c>
      <c r="EF42" s="150">
        <f t="shared" si="75"/>
        <v>0.64907206136095152</v>
      </c>
      <c r="EG42" s="150">
        <f t="shared" si="76"/>
        <v>0.14508669606891858</v>
      </c>
      <c r="EH42" s="150"/>
      <c r="EI42" s="456">
        <f t="shared" si="77"/>
        <v>9.7093458003829562E-4</v>
      </c>
      <c r="EJ42" s="456">
        <f t="shared" si="78"/>
        <v>0.44388767266588636</v>
      </c>
      <c r="EK42" s="456">
        <f t="shared" si="79"/>
        <v>4.3515362704365283E-2</v>
      </c>
      <c r="EL42" s="456">
        <f t="shared" si="80"/>
        <v>0.1003878530215609</v>
      </c>
      <c r="EM42">
        <f t="shared" si="81"/>
        <v>2.1600000000000001E-2</v>
      </c>
      <c r="EN42" s="144">
        <f t="shared" si="121"/>
        <v>65.115362704365282</v>
      </c>
      <c r="EO42">
        <f t="shared" si="82"/>
        <v>0.61076487513490096</v>
      </c>
      <c r="EP42" s="144">
        <f t="shared" si="122"/>
        <v>610.76487513490099</v>
      </c>
      <c r="EQ42" s="150">
        <f t="shared" si="83"/>
        <v>0.27583499999999994</v>
      </c>
      <c r="ER42" s="150">
        <f t="shared" si="170"/>
        <v>4.1046874999999997E-2</v>
      </c>
      <c r="ES42" s="456"/>
      <c r="EU42" s="144">
        <f t="shared" si="123"/>
        <v>316.88187499999992</v>
      </c>
      <c r="EV42" s="456">
        <f t="shared" si="85"/>
        <v>1.4564018700574434E-3</v>
      </c>
      <c r="EW42" s="456">
        <f t="shared" si="124"/>
        <v>1.2638836225180644E-2</v>
      </c>
      <c r="EX42" s="456">
        <f t="shared" si="86"/>
        <v>1.0525074688097377E-4</v>
      </c>
      <c r="EY42" s="456">
        <f t="shared" si="87"/>
        <v>0.17363689519698908</v>
      </c>
      <c r="EZ42" s="456">
        <f t="shared" si="88"/>
        <v>0.19146301082913331</v>
      </c>
      <c r="FA42" s="538">
        <f t="shared" si="89"/>
        <v>4.9068751849493792E-4</v>
      </c>
      <c r="FB42" s="144">
        <f t="shared" si="125"/>
        <v>191.95369834762823</v>
      </c>
      <c r="FC42" s="150">
        <f t="shared" si="126"/>
        <v>1.1196004484825293</v>
      </c>
      <c r="FD42" s="5">
        <f t="shared" si="127"/>
        <v>2.96</v>
      </c>
      <c r="FE42" s="150">
        <f t="shared" si="128"/>
        <v>0.72556124977901149</v>
      </c>
      <c r="FF42" s="5">
        <f t="shared" si="129"/>
        <v>72.556124977901149</v>
      </c>
      <c r="FG42">
        <f t="shared" si="130"/>
        <v>37</v>
      </c>
      <c r="FI42" s="59">
        <f t="shared" si="90"/>
        <v>-50</v>
      </c>
      <c r="FJ42">
        <f t="shared" si="91"/>
        <v>-50</v>
      </c>
      <c r="FL42">
        <f t="shared" si="92"/>
        <v>0.82883202513712817</v>
      </c>
    </row>
    <row r="43" spans="5:168">
      <c r="E43" s="147">
        <v>38</v>
      </c>
      <c r="F43" s="188">
        <f t="shared" si="174"/>
        <v>0.45599999999999996</v>
      </c>
      <c r="G43" s="188">
        <f t="shared" si="171"/>
        <v>9.5000000000000001E-2</v>
      </c>
      <c r="H43" s="188">
        <f t="shared" si="135"/>
        <v>2.2799999999999998</v>
      </c>
      <c r="I43" s="188">
        <f t="shared" si="175"/>
        <v>0.76</v>
      </c>
      <c r="J43" s="465">
        <f t="shared" si="136"/>
        <v>47.956738518710281</v>
      </c>
      <c r="K43" s="379">
        <f t="shared" si="137"/>
        <v>5.7165051537405747</v>
      </c>
      <c r="L43" s="149">
        <f t="shared" si="138"/>
        <v>53.673243672450859</v>
      </c>
      <c r="M43" s="379"/>
      <c r="N43" s="188">
        <f t="shared" si="139"/>
        <v>0.1065056769929244</v>
      </c>
      <c r="O43" s="149">
        <f t="shared" si="172"/>
        <v>9.5768716918273</v>
      </c>
      <c r="P43" s="149">
        <f t="shared" si="140"/>
        <v>4.2563874185899104</v>
      </c>
      <c r="Q43" s="188">
        <f t="shared" si="6"/>
        <v>1.91537433836546</v>
      </c>
      <c r="R43" s="188">
        <f t="shared" si="141"/>
        <v>1.1971089614784125</v>
      </c>
      <c r="S43" s="379">
        <f t="shared" si="142"/>
        <v>5</v>
      </c>
      <c r="T43" s="188">
        <f t="shared" si="143"/>
        <v>1.1903678327160341</v>
      </c>
      <c r="U43" s="188">
        <f t="shared" si="10"/>
        <v>0.29786041406922109</v>
      </c>
      <c r="V43" s="188">
        <f t="shared" si="11"/>
        <v>2.4988019092828866</v>
      </c>
      <c r="W43" s="172">
        <f t="shared" si="12"/>
        <v>350</v>
      </c>
      <c r="X43" s="379">
        <f t="shared" si="95"/>
        <v>333.70459934951435</v>
      </c>
      <c r="Z43" s="188">
        <f t="shared" si="13"/>
        <v>1.2161106910256889</v>
      </c>
      <c r="AA43" s="150">
        <f t="shared" si="14"/>
        <v>2.5528409228773592</v>
      </c>
      <c r="AB43" s="150">
        <f t="shared" si="144"/>
        <v>0.54329399928983246</v>
      </c>
      <c r="AC43" s="150"/>
      <c r="AD43" s="150">
        <f t="shared" si="16"/>
        <v>2.0991846726750247</v>
      </c>
      <c r="AE43" s="314">
        <f t="shared" si="145"/>
        <v>434.45439168428362</v>
      </c>
      <c r="AF43" s="456">
        <f t="shared" si="146"/>
        <v>0.36735731771812935</v>
      </c>
      <c r="AH43" s="150">
        <f t="shared" si="147"/>
        <v>1.2031704150364766</v>
      </c>
      <c r="AI43" s="150">
        <f t="shared" si="148"/>
        <v>1.2031704150364766</v>
      </c>
      <c r="AJ43" s="150">
        <f t="shared" si="149"/>
        <v>1.3504966037307233</v>
      </c>
      <c r="AL43" s="314">
        <f t="shared" si="150"/>
        <v>455.99999999999994</v>
      </c>
      <c r="AM43" s="144">
        <f t="shared" si="151"/>
        <v>333.70459934951435</v>
      </c>
      <c r="AO43">
        <f t="shared" si="96"/>
        <v>455.99999999999994</v>
      </c>
      <c r="AP43" s="144">
        <f t="shared" si="24"/>
        <v>333.70459934951435</v>
      </c>
      <c r="AQ43" s="144"/>
      <c r="AR43" s="5">
        <f t="shared" si="97"/>
        <v>2.9966623233521079</v>
      </c>
      <c r="AS43" s="5">
        <f t="shared" si="25"/>
        <v>0.30106394693218619</v>
      </c>
      <c r="AT43" s="5">
        <f t="shared" si="98"/>
        <v>2.6955983764199218</v>
      </c>
      <c r="AU43" s="150">
        <f t="shared" si="99"/>
        <v>0.10046642378958864</v>
      </c>
      <c r="AW43" s="5">
        <f t="shared" si="152"/>
        <v>2.7457031960215379</v>
      </c>
      <c r="AX43" s="5">
        <f t="shared" si="153"/>
        <v>0.35751343698197113</v>
      </c>
      <c r="AY43" s="5">
        <f t="shared" si="28"/>
        <v>5.3398511589770097E-2</v>
      </c>
      <c r="AZ43" s="5"/>
      <c r="BA43" s="150">
        <f t="shared" si="100"/>
        <v>0.22017955454883933</v>
      </c>
      <c r="BB43" s="150">
        <f t="shared" si="154"/>
        <v>0.65883279084936042</v>
      </c>
      <c r="BC43" s="150">
        <f t="shared" si="155"/>
        <v>0.14726850618985704</v>
      </c>
      <c r="BD43" s="150"/>
      <c r="BE43" s="456">
        <f t="shared" si="31"/>
        <v>9.6958072482650638E-4</v>
      </c>
      <c r="BF43" s="456">
        <f t="shared" si="156"/>
        <v>0.40406241113549995</v>
      </c>
      <c r="BG43" s="456">
        <f t="shared" si="157"/>
        <v>0.40008460533739093</v>
      </c>
      <c r="BH43" s="456">
        <f t="shared" si="34"/>
        <v>9.6134191159041399E-2</v>
      </c>
      <c r="BI43">
        <f t="shared" si="35"/>
        <v>2.1580532333419625E-2</v>
      </c>
      <c r="BJ43" s="144">
        <f t="shared" si="101"/>
        <v>421.66513767081057</v>
      </c>
      <c r="BK43">
        <f t="shared" si="158"/>
        <v>0.50154351158761867</v>
      </c>
      <c r="BL43" s="144">
        <f t="shared" si="102"/>
        <v>501.5435115876187</v>
      </c>
      <c r="BM43" s="150">
        <f t="shared" si="159"/>
        <v>0.28328999999999993</v>
      </c>
      <c r="BN43" s="150">
        <f t="shared" si="160"/>
        <v>4.2156249999999999E-2</v>
      </c>
      <c r="BO43" s="456"/>
      <c r="BQ43" s="144">
        <f t="shared" si="103"/>
        <v>325.44624999999996</v>
      </c>
      <c r="BR43" s="456">
        <f t="shared" si="39"/>
        <v>1.4543710872397596E-3</v>
      </c>
      <c r="BS43" s="456">
        <f t="shared" si="104"/>
        <v>1.3021819388950712E-2</v>
      </c>
      <c r="BT43" s="456">
        <f t="shared" si="161"/>
        <v>1.084400645769598E-4</v>
      </c>
      <c r="BU43" s="456">
        <f t="shared" si="41"/>
        <v>0.16150774242070826</v>
      </c>
      <c r="BV43" s="456">
        <f t="shared" si="162"/>
        <v>0.17980247250180031</v>
      </c>
      <c r="BW43" s="538">
        <f t="shared" si="163"/>
        <v>4.8307713429643974E-4</v>
      </c>
      <c r="BX43" s="144">
        <f t="shared" si="105"/>
        <v>180.28554963609676</v>
      </c>
      <c r="BY43" s="150">
        <f t="shared" si="106"/>
        <v>1.0072753112237154</v>
      </c>
      <c r="BZ43" s="5">
        <f t="shared" si="107"/>
        <v>3.04</v>
      </c>
      <c r="CA43" s="150">
        <f t="shared" si="108"/>
        <v>0.75112261119712165</v>
      </c>
      <c r="CB43" s="5">
        <f t="shared" si="109"/>
        <v>75.112261119712159</v>
      </c>
      <c r="CC43">
        <f t="shared" si="173"/>
        <v>38</v>
      </c>
      <c r="CE43" s="59">
        <f t="shared" si="164"/>
        <v>-50</v>
      </c>
      <c r="CF43">
        <f t="shared" si="165"/>
        <v>-50</v>
      </c>
      <c r="CG43" s="150">
        <f t="shared" si="166"/>
        <v>0.82883202513712839</v>
      </c>
      <c r="CH43" s="150">
        <f t="shared" si="167"/>
        <v>0.44965289283354898</v>
      </c>
      <c r="CI43" s="147">
        <v>38</v>
      </c>
      <c r="CJ43" s="188">
        <f t="shared" si="133"/>
        <v>0.45599999999999996</v>
      </c>
      <c r="CK43" s="188">
        <f t="shared" si="111"/>
        <v>9.5000000000000001E-2</v>
      </c>
      <c r="CL43" s="188">
        <f t="shared" si="48"/>
        <v>2.2799999999999998</v>
      </c>
      <c r="CM43" s="188">
        <f t="shared" si="134"/>
        <v>0.76</v>
      </c>
      <c r="CN43" s="465">
        <f t="shared" si="112"/>
        <v>48</v>
      </c>
      <c r="CO43" s="379">
        <f t="shared" si="168"/>
        <v>5.7</v>
      </c>
      <c r="CP43" s="379">
        <f t="shared" si="169"/>
        <v>53.7</v>
      </c>
      <c r="CQ43" s="379"/>
      <c r="CR43" s="188">
        <f t="shared" si="113"/>
        <v>0.10112359550561799</v>
      </c>
      <c r="CS43" s="149">
        <f t="shared" si="114"/>
        <v>9.1011235955056193</v>
      </c>
      <c r="CT43" s="149">
        <f t="shared" si="51"/>
        <v>4.0449438202247192</v>
      </c>
      <c r="CU43" s="188">
        <f t="shared" si="52"/>
        <v>1.8202247191011238</v>
      </c>
      <c r="CV43" s="188">
        <f t="shared" si="53"/>
        <v>1.1376404494382024</v>
      </c>
      <c r="CW43" s="379">
        <f t="shared" si="54"/>
        <v>5</v>
      </c>
      <c r="CX43" s="188">
        <f t="shared" si="55"/>
        <v>1.2525925925925925</v>
      </c>
      <c r="CY43" s="188">
        <f t="shared" si="56"/>
        <v>0.31314814814814812</v>
      </c>
      <c r="CZ43" s="188">
        <f t="shared" si="57"/>
        <v>2.6370370370370368</v>
      </c>
      <c r="DA43" s="172">
        <f t="shared" si="58"/>
        <v>350</v>
      </c>
      <c r="DB43" s="379">
        <f t="shared" si="115"/>
        <v>338.96177264452962</v>
      </c>
      <c r="DD43" s="188">
        <f t="shared" si="59"/>
        <v>1.2130885873902635</v>
      </c>
      <c r="DE43" s="150">
        <f t="shared" si="60"/>
        <v>2.5538707102952913</v>
      </c>
      <c r="DF43" s="150">
        <f t="shared" si="61"/>
        <v>0.54216249715765974</v>
      </c>
      <c r="DG43" s="150"/>
      <c r="DH43" s="150">
        <f t="shared" si="62"/>
        <v>2.1052631578947367</v>
      </c>
      <c r="DI43" s="314">
        <f t="shared" si="63"/>
        <v>433.2</v>
      </c>
      <c r="DJ43" s="456">
        <f t="shared" si="64"/>
        <v>0.36842105263157893</v>
      </c>
      <c r="DL43" s="150">
        <f t="shared" si="65"/>
        <v>1.2031704150364766</v>
      </c>
      <c r="DM43" s="150">
        <f t="shared" si="66"/>
        <v>1.2031704150364766</v>
      </c>
      <c r="DN43" s="150">
        <f t="shared" si="67"/>
        <v>1.3504966037307233</v>
      </c>
      <c r="DP43" s="314">
        <f t="shared" si="68"/>
        <v>455.99999999999994</v>
      </c>
      <c r="DQ43" s="144">
        <f t="shared" si="69"/>
        <v>338.96177264452962</v>
      </c>
      <c r="DS43">
        <f t="shared" si="116"/>
        <v>455.99999999999994</v>
      </c>
      <c r="DT43" s="144">
        <f t="shared" si="70"/>
        <v>338.96177264452962</v>
      </c>
      <c r="DU43" s="144"/>
      <c r="DV43" s="5">
        <f t="shared" si="117"/>
        <v>2.9501851851851848</v>
      </c>
      <c r="DW43" s="5">
        <f t="shared" si="71"/>
        <v>0.30079260375911915</v>
      </c>
      <c r="DX43" s="5">
        <f t="shared" si="118"/>
        <v>2.6493925814260657</v>
      </c>
      <c r="DY43" s="150">
        <f t="shared" si="119"/>
        <v>0.10195719416855462</v>
      </c>
      <c r="EA43" s="5">
        <f t="shared" si="72"/>
        <v>2.743228546283166</v>
      </c>
      <c r="EB43" s="5">
        <f t="shared" si="73"/>
        <v>0.35719121696395401</v>
      </c>
      <c r="EC43" s="5">
        <f t="shared" si="74"/>
        <v>5.2435894840724202E-2</v>
      </c>
      <c r="ED43" s="5"/>
      <c r="EE43" s="150">
        <f t="shared" si="120"/>
        <v>0.22180710562723438</v>
      </c>
      <c r="EF43" s="150">
        <f t="shared" si="75"/>
        <v>0.65828663242766172</v>
      </c>
      <c r="EG43" s="150">
        <f t="shared" si="76"/>
        <v>0.1471464237191244</v>
      </c>
      <c r="EH43" s="150"/>
      <c r="EI43" s="456">
        <f t="shared" si="77"/>
        <v>9.8396784213462232E-4</v>
      </c>
      <c r="EJ43" s="456">
        <f t="shared" si="78"/>
        <v>0.4380081061481107</v>
      </c>
      <c r="EK43" s="456">
        <f t="shared" si="79"/>
        <v>4.2370221580566199E-2</v>
      </c>
      <c r="EL43" s="456">
        <f t="shared" si="80"/>
        <v>9.7746067415730387E-2</v>
      </c>
      <c r="EM43">
        <f t="shared" si="81"/>
        <v>2.1600000000000001E-2</v>
      </c>
      <c r="EN43" s="144">
        <f t="shared" si="121"/>
        <v>63.970221580566204</v>
      </c>
      <c r="EO43">
        <f t="shared" si="82"/>
        <v>0.60111456933550411</v>
      </c>
      <c r="EP43" s="144">
        <f t="shared" si="122"/>
        <v>601.11456933550414</v>
      </c>
      <c r="EQ43" s="150">
        <f t="shared" si="83"/>
        <v>0.28328999999999993</v>
      </c>
      <c r="ER43" s="150">
        <f t="shared" si="170"/>
        <v>4.2156249999999999E-2</v>
      </c>
      <c r="ES43" s="456"/>
      <c r="EU43" s="144">
        <f t="shared" si="123"/>
        <v>325.44624999999996</v>
      </c>
      <c r="EV43" s="456">
        <f t="shared" si="85"/>
        <v>1.4759517632019332E-3</v>
      </c>
      <c r="EW43" s="456">
        <f t="shared" si="124"/>
        <v>1.3000238712988541E-2</v>
      </c>
      <c r="EX43" s="456">
        <f t="shared" si="86"/>
        <v>1.0826035006664048E-4</v>
      </c>
      <c r="EY43" s="456">
        <f t="shared" si="87"/>
        <v>0.16794406889514618</v>
      </c>
      <c r="EZ43" s="456">
        <f t="shared" si="88"/>
        <v>0.18624609167695663</v>
      </c>
      <c r="FA43" s="538">
        <f t="shared" si="89"/>
        <v>4.9068751849493802E-4</v>
      </c>
      <c r="FB43" s="144">
        <f t="shared" si="125"/>
        <v>186.73677919545156</v>
      </c>
      <c r="FC43" s="150">
        <f t="shared" si="126"/>
        <v>1.1132975985309557</v>
      </c>
      <c r="FD43" s="5">
        <f t="shared" si="127"/>
        <v>3.04</v>
      </c>
      <c r="FE43" s="150">
        <f t="shared" si="128"/>
        <v>0.73194851268911354</v>
      </c>
      <c r="FF43" s="5">
        <f t="shared" si="129"/>
        <v>73.19485126891135</v>
      </c>
      <c r="FG43">
        <f t="shared" si="130"/>
        <v>38</v>
      </c>
      <c r="FI43" s="59">
        <f t="shared" si="90"/>
        <v>-50</v>
      </c>
      <c r="FJ43">
        <f t="shared" si="91"/>
        <v>-50</v>
      </c>
      <c r="FL43">
        <f t="shared" si="92"/>
        <v>0.82883202513712839</v>
      </c>
    </row>
    <row r="44" spans="5:168">
      <c r="E44" s="147">
        <v>39</v>
      </c>
      <c r="F44" s="188">
        <f t="shared" si="174"/>
        <v>0.46799999999999997</v>
      </c>
      <c r="G44" s="188">
        <f t="shared" si="171"/>
        <v>9.7500000000000003E-2</v>
      </c>
      <c r="H44" s="188">
        <f t="shared" si="135"/>
        <v>2.34</v>
      </c>
      <c r="I44" s="188">
        <f t="shared" si="175"/>
        <v>0.78</v>
      </c>
      <c r="J44" s="465">
        <f t="shared" si="136"/>
        <v>47.955600058676339</v>
      </c>
      <c r="K44" s="379">
        <f t="shared" si="137"/>
        <v>5.7169394998916427</v>
      </c>
      <c r="L44" s="149">
        <f t="shared" si="138"/>
        <v>53.672539558567983</v>
      </c>
      <c r="M44" s="379"/>
      <c r="N44" s="188">
        <f t="shared" si="139"/>
        <v>0.10651516672978115</v>
      </c>
      <c r="O44" s="149">
        <f t="shared" si="172"/>
        <v>9.5774976297686489</v>
      </c>
      <c r="P44" s="149">
        <f t="shared" si="140"/>
        <v>4.2566656132305098</v>
      </c>
      <c r="Q44" s="188">
        <f t="shared" si="6"/>
        <v>1.9154995259537297</v>
      </c>
      <c r="R44" s="188">
        <f t="shared" si="141"/>
        <v>1.1971872037210811</v>
      </c>
      <c r="S44" s="379">
        <f t="shared" si="142"/>
        <v>5</v>
      </c>
      <c r="T44" s="188">
        <f t="shared" si="143"/>
        <v>1.2216134581578197</v>
      </c>
      <c r="U44" s="188">
        <f t="shared" si="10"/>
        <v>0.30568612383032001</v>
      </c>
      <c r="V44" s="188">
        <f t="shared" si="11"/>
        <v>2.5641974168471937</v>
      </c>
      <c r="W44" s="172">
        <f t="shared" si="12"/>
        <v>350</v>
      </c>
      <c r="X44" s="379">
        <f t="shared" si="95"/>
        <v>325.74525604945364</v>
      </c>
      <c r="Z44" s="188">
        <f t="shared" si="13"/>
        <v>1.2161901752087172</v>
      </c>
      <c r="AA44" s="150">
        <f t="shared" si="14"/>
        <v>2.552813809343482</v>
      </c>
      <c r="AB44" s="150">
        <f t="shared" si="144"/>
        <v>0.54332373796061939</v>
      </c>
      <c r="AC44" s="150"/>
      <c r="AD44" s="150">
        <f t="shared" si="16"/>
        <v>2.0990251865053748</v>
      </c>
      <c r="AE44" s="314">
        <f t="shared" si="145"/>
        <v>445.92128099154814</v>
      </c>
      <c r="AF44" s="456">
        <f t="shared" si="146"/>
        <v>0.36732940763844057</v>
      </c>
      <c r="AH44" s="150">
        <f t="shared" si="147"/>
        <v>1.218898800440088</v>
      </c>
      <c r="AI44" s="150">
        <f t="shared" si="148"/>
        <v>1.218898800440088</v>
      </c>
      <c r="AJ44" s="150">
        <f t="shared" si="149"/>
        <v>1.3621472595852504</v>
      </c>
      <c r="AL44" s="314">
        <f t="shared" si="150"/>
        <v>468</v>
      </c>
      <c r="AM44" s="144">
        <f t="shared" si="151"/>
        <v>325.74525604945364</v>
      </c>
      <c r="AO44">
        <f t="shared" si="96"/>
        <v>468</v>
      </c>
      <c r="AP44" s="144">
        <f t="shared" si="24"/>
        <v>325.74525604945364</v>
      </c>
      <c r="AQ44" s="144"/>
      <c r="AR44" s="5">
        <f t="shared" si="97"/>
        <v>3.0698835406775133</v>
      </c>
      <c r="AS44" s="5">
        <f t="shared" si="25"/>
        <v>0.3050068310559011</v>
      </c>
      <c r="AT44" s="5">
        <f t="shared" si="98"/>
        <v>2.7648767096216122</v>
      </c>
      <c r="AU44" s="150">
        <f t="shared" si="99"/>
        <v>9.9354528279136961E-2</v>
      </c>
      <c r="AW44" s="5">
        <f t="shared" si="152"/>
        <v>2.8548639386832342</v>
      </c>
      <c r="AX44" s="5">
        <f t="shared" si="153"/>
        <v>0.37172707534937949</v>
      </c>
      <c r="AY44" s="5">
        <f t="shared" si="28"/>
        <v>5.6213555634434059E-2</v>
      </c>
      <c r="AZ44" s="5"/>
      <c r="BA44" s="150">
        <f t="shared" si="100"/>
        <v>0.22182007875356832</v>
      </c>
      <c r="BB44" s="150">
        <f t="shared" si="154"/>
        <v>0.66785773028382023</v>
      </c>
      <c r="BC44" s="150">
        <f t="shared" si="155"/>
        <v>0.14928584559285393</v>
      </c>
      <c r="BD44" s="150"/>
      <c r="BE44" s="456">
        <f t="shared" si="31"/>
        <v>9.8408294676478512E-4</v>
      </c>
      <c r="BF44" s="456">
        <f t="shared" si="156"/>
        <v>0.39957578938446509</v>
      </c>
      <c r="BG44" s="456">
        <f t="shared" si="157"/>
        <v>0.39053273050296794</v>
      </c>
      <c r="BH44" s="456">
        <f t="shared" si="34"/>
        <v>9.3838787839823856E-2</v>
      </c>
      <c r="BI44">
        <f t="shared" si="35"/>
        <v>2.1580020026404353E-2</v>
      </c>
      <c r="BJ44" s="144">
        <f t="shared" si="101"/>
        <v>412.11275052937231</v>
      </c>
      <c r="BK44">
        <f t="shared" si="158"/>
        <v>0.49478005110217993</v>
      </c>
      <c r="BL44" s="144">
        <f t="shared" si="102"/>
        <v>494.78005110217993</v>
      </c>
      <c r="BM44" s="150">
        <f t="shared" si="159"/>
        <v>0.29074499999999992</v>
      </c>
      <c r="BN44" s="150">
        <f t="shared" si="160"/>
        <v>4.3265625000000002E-2</v>
      </c>
      <c r="BO44" s="456"/>
      <c r="BQ44" s="144">
        <f t="shared" si="103"/>
        <v>334.01062499999989</v>
      </c>
      <c r="BR44" s="456">
        <f t="shared" si="39"/>
        <v>1.4761244201471776E-3</v>
      </c>
      <c r="BS44" s="456">
        <f t="shared" si="104"/>
        <v>1.3381018436995679E-2</v>
      </c>
      <c r="BT44" s="456">
        <f t="shared" si="161"/>
        <v>1.1143131847186713E-4</v>
      </c>
      <c r="BU44" s="456">
        <f t="shared" si="41"/>
        <v>0.15706679341918306</v>
      </c>
      <c r="BV44" s="456">
        <f t="shared" si="162"/>
        <v>0.17583838939491162</v>
      </c>
      <c r="BW44" s="538">
        <f t="shared" si="163"/>
        <v>4.8396438041633112E-4</v>
      </c>
      <c r="BX44" s="144">
        <f t="shared" si="105"/>
        <v>176.32235377532797</v>
      </c>
      <c r="BY44" s="150">
        <f t="shared" si="106"/>
        <v>1.0051130298775079</v>
      </c>
      <c r="BZ44" s="5">
        <f t="shared" si="107"/>
        <v>3.12</v>
      </c>
      <c r="CA44" s="150">
        <f t="shared" si="108"/>
        <v>0.75634291167353684</v>
      </c>
      <c r="CB44" s="5">
        <f t="shared" si="109"/>
        <v>75.63429116735368</v>
      </c>
      <c r="CC44">
        <f t="shared" si="173"/>
        <v>39</v>
      </c>
      <c r="CE44" s="59">
        <f t="shared" si="164"/>
        <v>-50</v>
      </c>
      <c r="CF44">
        <f t="shared" si="165"/>
        <v>-50</v>
      </c>
      <c r="CG44" s="150">
        <f t="shared" si="166"/>
        <v>0.82883202513712817</v>
      </c>
      <c r="CH44" s="150">
        <f t="shared" si="167"/>
        <v>0.44965289283354887</v>
      </c>
      <c r="CI44" s="147">
        <v>39</v>
      </c>
      <c r="CJ44" s="188">
        <f t="shared" si="133"/>
        <v>0.46799999999999997</v>
      </c>
      <c r="CK44" s="188">
        <f t="shared" si="111"/>
        <v>9.7500000000000003E-2</v>
      </c>
      <c r="CL44" s="188">
        <f t="shared" si="48"/>
        <v>2.34</v>
      </c>
      <c r="CM44" s="188">
        <f t="shared" si="134"/>
        <v>0.78</v>
      </c>
      <c r="CN44" s="465">
        <f t="shared" si="112"/>
        <v>48</v>
      </c>
      <c r="CO44" s="379">
        <f t="shared" si="168"/>
        <v>5.7</v>
      </c>
      <c r="CP44" s="379">
        <f t="shared" si="169"/>
        <v>53.7</v>
      </c>
      <c r="CQ44" s="379"/>
      <c r="CR44" s="188">
        <f t="shared" si="113"/>
        <v>0.10112359550561799</v>
      </c>
      <c r="CS44" s="149">
        <f t="shared" si="114"/>
        <v>9.1011235955056193</v>
      </c>
      <c r="CT44" s="149">
        <f t="shared" si="51"/>
        <v>4.0449438202247192</v>
      </c>
      <c r="CU44" s="188">
        <f t="shared" si="52"/>
        <v>1.8202247191011238</v>
      </c>
      <c r="CV44" s="188">
        <f t="shared" si="53"/>
        <v>1.1376404494382024</v>
      </c>
      <c r="CW44" s="379">
        <f t="shared" si="54"/>
        <v>5</v>
      </c>
      <c r="CX44" s="188">
        <f t="shared" si="55"/>
        <v>1.2855555555555556</v>
      </c>
      <c r="CY44" s="188">
        <f t="shared" si="56"/>
        <v>0.32138888888888884</v>
      </c>
      <c r="CZ44" s="188">
        <f t="shared" si="57"/>
        <v>2.7064327485380115</v>
      </c>
      <c r="DA44" s="172">
        <f t="shared" si="58"/>
        <v>350</v>
      </c>
      <c r="DB44" s="379">
        <f t="shared" si="115"/>
        <v>330.27044514082365</v>
      </c>
      <c r="DD44" s="188">
        <f t="shared" si="59"/>
        <v>1.2130885873902635</v>
      </c>
      <c r="DE44" s="150">
        <f t="shared" si="60"/>
        <v>2.5538707102952913</v>
      </c>
      <c r="DF44" s="150">
        <f t="shared" si="61"/>
        <v>0.54216249715765974</v>
      </c>
      <c r="DG44" s="150"/>
      <c r="DH44" s="150">
        <f t="shared" si="62"/>
        <v>2.1052631578947367</v>
      </c>
      <c r="DI44" s="314">
        <f t="shared" si="63"/>
        <v>444.60000000000008</v>
      </c>
      <c r="DJ44" s="456">
        <f t="shared" si="64"/>
        <v>0.36842105263157893</v>
      </c>
      <c r="DL44" s="150">
        <f t="shared" si="65"/>
        <v>1.218898800440088</v>
      </c>
      <c r="DM44" s="150">
        <f t="shared" si="66"/>
        <v>1.218898800440088</v>
      </c>
      <c r="DN44" s="150">
        <f t="shared" si="67"/>
        <v>1.3621472595852504</v>
      </c>
      <c r="DP44" s="314">
        <f t="shared" si="68"/>
        <v>468</v>
      </c>
      <c r="DQ44" s="144">
        <f t="shared" si="69"/>
        <v>330.27044514082365</v>
      </c>
      <c r="DS44">
        <f t="shared" si="116"/>
        <v>468</v>
      </c>
      <c r="DT44" s="144">
        <f t="shared" si="70"/>
        <v>330.27044514082365</v>
      </c>
      <c r="DU44" s="144"/>
      <c r="DV44" s="5">
        <f t="shared" si="117"/>
        <v>3.0278216374269009</v>
      </c>
      <c r="DW44" s="5">
        <f t="shared" si="71"/>
        <v>0.30472470011002201</v>
      </c>
      <c r="DX44" s="5">
        <f t="shared" si="118"/>
        <v>2.7230969373168787</v>
      </c>
      <c r="DY44" s="150">
        <f t="shared" si="119"/>
        <v>0.10064156235074095</v>
      </c>
      <c r="EA44" s="5">
        <f t="shared" si="72"/>
        <v>2.8522231930298059</v>
      </c>
      <c r="EB44" s="5">
        <f t="shared" si="73"/>
        <v>0.37138322825908932</v>
      </c>
      <c r="EC44" s="5">
        <f t="shared" si="74"/>
        <v>5.5312906539249085E-2</v>
      </c>
      <c r="ED44" s="5"/>
      <c r="EE44" s="150">
        <f t="shared" si="120"/>
        <v>0.22325217947506568</v>
      </c>
      <c r="EF44" s="150">
        <f t="shared" si="75"/>
        <v>0.66738037100122161</v>
      </c>
      <c r="EG44" s="150">
        <f t="shared" si="76"/>
        <v>0.14917914175321423</v>
      </c>
      <c r="EH44" s="150"/>
      <c r="EI44" s="456">
        <f t="shared" si="77"/>
        <v>9.9683071280733874E-4</v>
      </c>
      <c r="EJ44" s="456">
        <f t="shared" si="78"/>
        <v>0.43235615185878318</v>
      </c>
      <c r="EK44" s="456">
        <f t="shared" si="79"/>
        <v>4.1283805642602957E-2</v>
      </c>
      <c r="EL44" s="456">
        <f t="shared" si="80"/>
        <v>9.5239757994814198E-2</v>
      </c>
      <c r="EM44">
        <f t="shared" si="81"/>
        <v>2.1600000000000001E-2</v>
      </c>
      <c r="EN44" s="144">
        <f t="shared" si="121"/>
        <v>62.883805642602958</v>
      </c>
      <c r="EO44">
        <f t="shared" si="82"/>
        <v>0.59188587688234906</v>
      </c>
      <c r="EP44" s="144">
        <f t="shared" si="122"/>
        <v>591.88587688234907</v>
      </c>
      <c r="EQ44" s="150">
        <f t="shared" si="83"/>
        <v>0.29074499999999992</v>
      </c>
      <c r="ER44" s="150">
        <f t="shared" si="170"/>
        <v>4.3265625000000002E-2</v>
      </c>
      <c r="ES44" s="456"/>
      <c r="EU44" s="144">
        <f t="shared" si="123"/>
        <v>334.01062499999989</v>
      </c>
      <c r="EV44" s="456">
        <f t="shared" si="85"/>
        <v>1.4952460692110082E-3</v>
      </c>
      <c r="EW44" s="456">
        <f t="shared" si="124"/>
        <v>1.3361896787931845E-2</v>
      </c>
      <c r="EX44" s="456">
        <f t="shared" si="86"/>
        <v>1.1127208167112792E-4</v>
      </c>
      <c r="EY44" s="456">
        <f t="shared" si="87"/>
        <v>0.16257861066331766</v>
      </c>
      <c r="EZ44" s="456">
        <f t="shared" si="88"/>
        <v>0.18135661487251184</v>
      </c>
      <c r="FA44" s="538">
        <f t="shared" si="89"/>
        <v>4.9068751849493792E-4</v>
      </c>
      <c r="FB44" s="144">
        <f t="shared" si="125"/>
        <v>181.84730239100676</v>
      </c>
      <c r="FC44" s="150">
        <f t="shared" si="126"/>
        <v>1.1077438042733556</v>
      </c>
      <c r="FD44" s="5">
        <f t="shared" si="127"/>
        <v>3.12</v>
      </c>
      <c r="FE44" s="150">
        <f t="shared" si="128"/>
        <v>0.73798227717733023</v>
      </c>
      <c r="FF44" s="5">
        <f t="shared" si="129"/>
        <v>73.798227717733027</v>
      </c>
      <c r="FG44">
        <f t="shared" si="130"/>
        <v>39</v>
      </c>
      <c r="FI44" s="59">
        <f t="shared" si="90"/>
        <v>-50</v>
      </c>
      <c r="FJ44">
        <f t="shared" si="91"/>
        <v>-50</v>
      </c>
      <c r="FL44">
        <f t="shared" si="92"/>
        <v>0.82883202513712817</v>
      </c>
    </row>
    <row r="45" spans="5:168">
      <c r="E45" s="147">
        <v>40</v>
      </c>
      <c r="F45" s="188">
        <f t="shared" si="174"/>
        <v>0.48</v>
      </c>
      <c r="G45" s="188">
        <f t="shared" si="171"/>
        <v>0.1</v>
      </c>
      <c r="H45" s="188">
        <f t="shared" si="135"/>
        <v>2.4</v>
      </c>
      <c r="I45" s="188">
        <f t="shared" si="175"/>
        <v>0.8</v>
      </c>
      <c r="J45" s="465">
        <f t="shared" si="136"/>
        <v>47.954461598642403</v>
      </c>
      <c r="K45" s="379">
        <f t="shared" si="137"/>
        <v>5.7173738460427099</v>
      </c>
      <c r="L45" s="149">
        <f t="shared" si="138"/>
        <v>53.671835444685115</v>
      </c>
      <c r="M45" s="379"/>
      <c r="N45" s="188">
        <f t="shared" si="139"/>
        <v>0.10652465671562712</v>
      </c>
      <c r="O45" s="149">
        <f t="shared" si="172"/>
        <v>9.5781235495839478</v>
      </c>
      <c r="P45" s="149">
        <f t="shared" si="140"/>
        <v>4.2569437998150876</v>
      </c>
      <c r="Q45" s="188">
        <f t="shared" si="6"/>
        <v>1.9156247099167896</v>
      </c>
      <c r="R45" s="188">
        <f t="shared" si="141"/>
        <v>1.1972654436979935</v>
      </c>
      <c r="S45" s="379">
        <f t="shared" si="142"/>
        <v>5</v>
      </c>
      <c r="T45" s="188">
        <f t="shared" si="143"/>
        <v>1.2528550021179519</v>
      </c>
      <c r="U45" s="188">
        <f t="shared" si="10"/>
        <v>0.31351118382363502</v>
      </c>
      <c r="V45" s="188">
        <f t="shared" si="11"/>
        <v>2.6295744217988144</v>
      </c>
      <c r="W45" s="172">
        <f t="shared" si="12"/>
        <v>350</v>
      </c>
      <c r="X45" s="379">
        <f t="shared" si="95"/>
        <v>318.15869036820658</v>
      </c>
      <c r="Z45" s="188">
        <f t="shared" si="13"/>
        <v>1.2162696570900251</v>
      </c>
      <c r="AA45" s="150">
        <f t="shared" si="14"/>
        <v>2.5527866950982081</v>
      </c>
      <c r="AB45" s="150">
        <f t="shared" si="144"/>
        <v>0.54335347469743833</v>
      </c>
      <c r="AC45" s="150"/>
      <c r="AD45" s="150">
        <f t="shared" si="16"/>
        <v>2.0988657245679012</v>
      </c>
      <c r="AE45" s="314">
        <f t="shared" si="145"/>
        <v>457.38990768341665</v>
      </c>
      <c r="AF45" s="456">
        <f t="shared" si="146"/>
        <v>0.36730150179938276</v>
      </c>
      <c r="AH45" s="150">
        <f t="shared" si="147"/>
        <v>1.2344267996967353</v>
      </c>
      <c r="AI45" s="150">
        <f t="shared" si="148"/>
        <v>1.2344267996967353</v>
      </c>
      <c r="AJ45" s="150">
        <f t="shared" si="149"/>
        <v>1.3736494812568409</v>
      </c>
      <c r="AL45" s="314">
        <f t="shared" si="150"/>
        <v>480</v>
      </c>
      <c r="AM45" s="144">
        <f t="shared" si="151"/>
        <v>318.15869036820658</v>
      </c>
      <c r="AO45">
        <f t="shared" si="96"/>
        <v>480</v>
      </c>
      <c r="AP45" s="144">
        <f t="shared" si="24"/>
        <v>318.15869036820658</v>
      </c>
      <c r="AQ45" s="144"/>
      <c r="AR45" s="5">
        <f t="shared" si="97"/>
        <v>3.1430856056224497</v>
      </c>
      <c r="AS45" s="5">
        <f t="shared" si="25"/>
        <v>0.30889975828193189</v>
      </c>
      <c r="AT45" s="5">
        <f t="shared" si="98"/>
        <v>2.8341858473405179</v>
      </c>
      <c r="AU45" s="150">
        <f t="shared" si="99"/>
        <v>9.8279142550035017E-2</v>
      </c>
      <c r="AW45" s="5">
        <f t="shared" si="152"/>
        <v>2.9654376795065462</v>
      </c>
      <c r="AX45" s="5">
        <f t="shared" si="153"/>
        <v>0.38612469785241493</v>
      </c>
      <c r="AY45" s="5">
        <f t="shared" si="28"/>
        <v>5.9101609169578365E-2</v>
      </c>
      <c r="AZ45" s="5"/>
      <c r="BA45" s="150">
        <f t="shared" si="100"/>
        <v>0.22342686604313963</v>
      </c>
      <c r="BB45" s="150">
        <f t="shared" si="154"/>
        <v>0.67676949064408098</v>
      </c>
      <c r="BC45" s="150">
        <f t="shared" si="155"/>
        <v>0.15127788614397106</v>
      </c>
      <c r="BD45" s="150"/>
      <c r="BE45" s="456">
        <f t="shared" si="31"/>
        <v>9.983912893971813E-4</v>
      </c>
      <c r="BF45" s="456">
        <f t="shared" si="156"/>
        <v>0.39523632411957277</v>
      </c>
      <c r="BG45" s="456">
        <f t="shared" si="157"/>
        <v>0.38142821748841305</v>
      </c>
      <c r="BH45" s="456">
        <f t="shared" si="34"/>
        <v>9.1650889649595668E-2</v>
      </c>
      <c r="BI45">
        <f t="shared" si="35"/>
        <v>2.1579507719389081E-2</v>
      </c>
      <c r="BJ45" s="144">
        <f t="shared" si="101"/>
        <v>403.00772520780214</v>
      </c>
      <c r="BK45">
        <f t="shared" si="158"/>
        <v>0.48827099726400564</v>
      </c>
      <c r="BL45" s="144">
        <f t="shared" si="102"/>
        <v>488.27099726400564</v>
      </c>
      <c r="BM45" s="150">
        <f t="shared" si="159"/>
        <v>0.29819999999999997</v>
      </c>
      <c r="BN45" s="150">
        <f t="shared" si="160"/>
        <v>4.4374999999999998E-2</v>
      </c>
      <c r="BO45" s="456"/>
      <c r="BQ45" s="144">
        <f t="shared" si="103"/>
        <v>342.57499999999999</v>
      </c>
      <c r="BR45" s="456">
        <f t="shared" si="39"/>
        <v>1.4975869340957718E-3</v>
      </c>
      <c r="BS45" s="456">
        <f t="shared" si="104"/>
        <v>1.3740508303999465E-2</v>
      </c>
      <c r="BT45" s="456">
        <f t="shared" si="161"/>
        <v>1.1442499418094136E-4</v>
      </c>
      <c r="BU45" s="456">
        <f t="shared" si="41"/>
        <v>0.15284204314640806</v>
      </c>
      <c r="BV45" s="456">
        <f t="shared" si="162"/>
        <v>0.1720905301020445</v>
      </c>
      <c r="BW45" s="538">
        <f t="shared" si="163"/>
        <v>4.8481324246583865E-4</v>
      </c>
      <c r="BX45" s="144">
        <f t="shared" si="105"/>
        <v>172.57534334451032</v>
      </c>
      <c r="BY45" s="150">
        <f t="shared" si="106"/>
        <v>1.003421340608516</v>
      </c>
      <c r="BZ45" s="5">
        <f t="shared" si="107"/>
        <v>3.2</v>
      </c>
      <c r="CA45" s="150">
        <f t="shared" si="108"/>
        <v>0.76128461572133199</v>
      </c>
      <c r="CB45" s="5">
        <f t="shared" si="109"/>
        <v>76.128461572133205</v>
      </c>
      <c r="CC45">
        <f t="shared" si="173"/>
        <v>40</v>
      </c>
      <c r="CE45" s="59">
        <f t="shared" si="164"/>
        <v>-50</v>
      </c>
      <c r="CF45">
        <f t="shared" si="165"/>
        <v>-50</v>
      </c>
      <c r="CG45" s="150">
        <f t="shared" si="166"/>
        <v>0.82883202513712817</v>
      </c>
      <c r="CH45" s="150">
        <f t="shared" si="167"/>
        <v>0.44965289283354892</v>
      </c>
      <c r="CI45" s="147">
        <v>40</v>
      </c>
      <c r="CJ45" s="188">
        <f t="shared" si="133"/>
        <v>0.48</v>
      </c>
      <c r="CK45" s="188">
        <f t="shared" si="111"/>
        <v>0.1</v>
      </c>
      <c r="CL45" s="188">
        <f t="shared" si="48"/>
        <v>2.4</v>
      </c>
      <c r="CM45" s="188">
        <f t="shared" si="134"/>
        <v>0.8</v>
      </c>
      <c r="CN45" s="465">
        <f t="shared" si="112"/>
        <v>48</v>
      </c>
      <c r="CO45" s="379">
        <f t="shared" si="168"/>
        <v>5.7</v>
      </c>
      <c r="CP45" s="379">
        <f t="shared" si="169"/>
        <v>53.7</v>
      </c>
      <c r="CQ45" s="379"/>
      <c r="CR45" s="188">
        <f t="shared" si="113"/>
        <v>0.10112359550561799</v>
      </c>
      <c r="CS45" s="149">
        <f t="shared" si="114"/>
        <v>9.1011235955056193</v>
      </c>
      <c r="CT45" s="149">
        <f t="shared" si="51"/>
        <v>4.0449438202247192</v>
      </c>
      <c r="CU45" s="188">
        <f t="shared" si="52"/>
        <v>1.8202247191011238</v>
      </c>
      <c r="CV45" s="188">
        <f t="shared" si="53"/>
        <v>1.1376404494382024</v>
      </c>
      <c r="CW45" s="379">
        <f t="shared" si="54"/>
        <v>5</v>
      </c>
      <c r="CX45" s="188">
        <f t="shared" si="55"/>
        <v>1.3185185185185184</v>
      </c>
      <c r="CY45" s="188">
        <f t="shared" si="56"/>
        <v>0.32962962962962961</v>
      </c>
      <c r="CZ45" s="188">
        <f t="shared" si="57"/>
        <v>2.7758284600389862</v>
      </c>
      <c r="DA45" s="172">
        <f t="shared" si="58"/>
        <v>350</v>
      </c>
      <c r="DB45" s="379">
        <f t="shared" si="115"/>
        <v>322.01368401230309</v>
      </c>
      <c r="DD45" s="188">
        <f t="shared" si="59"/>
        <v>1.2130885873902635</v>
      </c>
      <c r="DE45" s="150">
        <f t="shared" si="60"/>
        <v>2.5538707102952913</v>
      </c>
      <c r="DF45" s="150">
        <f t="shared" si="61"/>
        <v>0.54216249715765974</v>
      </c>
      <c r="DG45" s="150"/>
      <c r="DH45" s="150">
        <f t="shared" si="62"/>
        <v>2.1052631578947367</v>
      </c>
      <c r="DI45" s="314">
        <f t="shared" si="63"/>
        <v>456</v>
      </c>
      <c r="DJ45" s="456">
        <f t="shared" si="64"/>
        <v>0.36842105263157893</v>
      </c>
      <c r="DL45" s="150">
        <f t="shared" si="65"/>
        <v>1.2344267996967353</v>
      </c>
      <c r="DM45" s="150">
        <f t="shared" si="66"/>
        <v>1.2344267996967353</v>
      </c>
      <c r="DN45" s="150">
        <f t="shared" si="67"/>
        <v>1.3736494812568409</v>
      </c>
      <c r="DP45" s="314">
        <f t="shared" si="68"/>
        <v>480</v>
      </c>
      <c r="DQ45" s="144">
        <f t="shared" si="69"/>
        <v>322.01368401230309</v>
      </c>
      <c r="DS45">
        <f t="shared" si="116"/>
        <v>480</v>
      </c>
      <c r="DT45" s="144">
        <f t="shared" si="70"/>
        <v>322.01368401230309</v>
      </c>
      <c r="DU45" s="144"/>
      <c r="DV45" s="5">
        <f t="shared" si="117"/>
        <v>3.1054580896686157</v>
      </c>
      <c r="DW45" s="5">
        <f t="shared" si="71"/>
        <v>0.30860669992418382</v>
      </c>
      <c r="DX45" s="5">
        <f t="shared" si="118"/>
        <v>2.796851389744432</v>
      </c>
      <c r="DY45" s="150">
        <f t="shared" si="119"/>
        <v>9.9375580353465776E-2</v>
      </c>
      <c r="EA45" s="5">
        <f t="shared" si="72"/>
        <v>2.9626243192721646</v>
      </c>
      <c r="EB45" s="5">
        <f t="shared" si="73"/>
        <v>0.3857583749052298</v>
      </c>
      <c r="EC45" s="5">
        <f t="shared" si="74"/>
        <v>5.8267737286342325E-2</v>
      </c>
      <c r="ED45" s="5"/>
      <c r="EE45" s="150">
        <f t="shared" si="120"/>
        <v>0.22466972483826841</v>
      </c>
      <c r="EF45" s="150">
        <f t="shared" si="75"/>
        <v>0.67635791019075453</v>
      </c>
      <c r="EG45" s="150">
        <f t="shared" si="76"/>
        <v>0.15118588580734516</v>
      </c>
      <c r="EH45" s="150"/>
      <c r="EI45" s="456">
        <f t="shared" si="77"/>
        <v>1.0095297051780649E-3</v>
      </c>
      <c r="EJ45" s="456">
        <f t="shared" si="78"/>
        <v>0.42691749319848898</v>
      </c>
      <c r="EK45" s="456">
        <f t="shared" si="79"/>
        <v>4.0251710501537884E-2</v>
      </c>
      <c r="EL45" s="456">
        <f t="shared" si="80"/>
        <v>9.2858764044943851E-2</v>
      </c>
      <c r="EM45">
        <f t="shared" si="81"/>
        <v>2.1600000000000001E-2</v>
      </c>
      <c r="EN45" s="144">
        <f t="shared" si="121"/>
        <v>61.851710501537887</v>
      </c>
      <c r="EO45">
        <f t="shared" si="82"/>
        <v>0.58304992330774896</v>
      </c>
      <c r="EP45" s="144">
        <f t="shared" si="122"/>
        <v>583.04992330774894</v>
      </c>
      <c r="EQ45" s="150">
        <f t="shared" si="83"/>
        <v>0.29819999999999997</v>
      </c>
      <c r="ER45" s="150">
        <f t="shared" si="170"/>
        <v>4.4374999999999998E-2</v>
      </c>
      <c r="ES45" s="456"/>
      <c r="EU45" s="144">
        <f t="shared" si="123"/>
        <v>342.57499999999999</v>
      </c>
      <c r="EV45" s="456">
        <f t="shared" si="85"/>
        <v>1.5142945577670971E-3</v>
      </c>
      <c r="EW45" s="456">
        <f t="shared" si="124"/>
        <v>1.3723800680328142E-2</v>
      </c>
      <c r="EX45" s="456">
        <f t="shared" si="86"/>
        <v>1.1428586033675805E-4</v>
      </c>
      <c r="EY45" s="456">
        <f t="shared" si="87"/>
        <v>0.15751400622813555</v>
      </c>
      <c r="EZ45" s="456">
        <f t="shared" si="88"/>
        <v>0.17676806364451944</v>
      </c>
      <c r="FA45" s="538">
        <f t="shared" si="89"/>
        <v>4.9068751849493813E-4</v>
      </c>
      <c r="FB45" s="144">
        <f t="shared" si="125"/>
        <v>177.25875116301438</v>
      </c>
      <c r="FC45" s="150">
        <f t="shared" si="126"/>
        <v>1.1028836744707633</v>
      </c>
      <c r="FD45" s="5">
        <f t="shared" si="127"/>
        <v>3.2</v>
      </c>
      <c r="FE45" s="150">
        <f t="shared" si="128"/>
        <v>0.74368731346045203</v>
      </c>
      <c r="FF45" s="5">
        <f t="shared" si="129"/>
        <v>74.368731346045209</v>
      </c>
      <c r="FG45">
        <f t="shared" si="130"/>
        <v>40</v>
      </c>
      <c r="FI45" s="59">
        <f t="shared" si="90"/>
        <v>-50</v>
      </c>
      <c r="FJ45">
        <f t="shared" si="91"/>
        <v>-50</v>
      </c>
      <c r="FL45">
        <f t="shared" si="92"/>
        <v>0.82883202513712817</v>
      </c>
    </row>
    <row r="46" spans="5:168">
      <c r="E46" s="147">
        <v>41</v>
      </c>
      <c r="F46" s="188">
        <f t="shared" si="174"/>
        <v>0.49199999999999994</v>
      </c>
      <c r="G46" s="188">
        <f t="shared" si="171"/>
        <v>0.10249999999999999</v>
      </c>
      <c r="H46" s="188">
        <f t="shared" si="135"/>
        <v>2.4599999999999995</v>
      </c>
      <c r="I46" s="188">
        <f t="shared" si="175"/>
        <v>0.82</v>
      </c>
      <c r="J46" s="465">
        <f t="shared" si="136"/>
        <v>47.953323138608461</v>
      </c>
      <c r="K46" s="379">
        <f t="shared" si="137"/>
        <v>5.717808192193778</v>
      </c>
      <c r="L46" s="149">
        <f t="shared" si="138"/>
        <v>53.67113133080224</v>
      </c>
      <c r="M46" s="379"/>
      <c r="N46" s="188">
        <f t="shared" si="139"/>
        <v>0.1065341469504722</v>
      </c>
      <c r="O46" s="149">
        <f t="shared" si="172"/>
        <v>9.5787494512724862</v>
      </c>
      <c r="P46" s="149">
        <f t="shared" si="140"/>
        <v>4.2572219783433267</v>
      </c>
      <c r="Q46" s="188">
        <f t="shared" si="6"/>
        <v>1.9157498902544972</v>
      </c>
      <c r="R46" s="188">
        <f t="shared" si="141"/>
        <v>1.1973436814090608</v>
      </c>
      <c r="S46" s="379">
        <f t="shared" si="142"/>
        <v>5</v>
      </c>
      <c r="T46" s="188">
        <f t="shared" si="143"/>
        <v>1.2840924655739907</v>
      </c>
      <c r="U46" s="188">
        <f t="shared" si="10"/>
        <v>0.32133559424751557</v>
      </c>
      <c r="V46" s="188">
        <f t="shared" si="11"/>
        <v>2.6949329304059435</v>
      </c>
      <c r="W46" s="172">
        <f t="shared" si="12"/>
        <v>350</v>
      </c>
      <c r="X46" s="379">
        <f t="shared" si="95"/>
        <v>310.91931296617906</v>
      </c>
      <c r="Z46" s="188">
        <f t="shared" si="13"/>
        <v>1.216349136669522</v>
      </c>
      <c r="AA46" s="150">
        <f t="shared" si="14"/>
        <v>2.5527595801415086</v>
      </c>
      <c r="AB46" s="150">
        <f t="shared" si="144"/>
        <v>0.54338320950024566</v>
      </c>
      <c r="AC46" s="150"/>
      <c r="AD46" s="150">
        <f t="shared" si="16"/>
        <v>2.0987062868570807</v>
      </c>
      <c r="AE46" s="314">
        <f t="shared" si="145"/>
        <v>468.86027175988971</v>
      </c>
      <c r="AF46" s="456">
        <f t="shared" si="146"/>
        <v>0.36727360019998911</v>
      </c>
      <c r="AH46" s="150">
        <f t="shared" si="147"/>
        <v>1.2497618820818475</v>
      </c>
      <c r="AI46" s="150">
        <f t="shared" si="148"/>
        <v>1.2497618820818475</v>
      </c>
      <c r="AJ46" s="150">
        <f t="shared" si="149"/>
        <v>1.3850088015421091</v>
      </c>
      <c r="AL46" s="314">
        <f t="shared" si="150"/>
        <v>491.99999999999994</v>
      </c>
      <c r="AM46" s="144">
        <f t="shared" si="151"/>
        <v>310.91931296617906</v>
      </c>
      <c r="AO46">
        <f t="shared" si="96"/>
        <v>491.99999999999994</v>
      </c>
      <c r="AP46" s="144">
        <f t="shared" si="24"/>
        <v>310.91931296617906</v>
      </c>
      <c r="AQ46" s="144"/>
      <c r="AR46" s="5">
        <f t="shared" si="97"/>
        <v>3.2162685246534597</v>
      </c>
      <c r="AS46" s="5">
        <f t="shared" si="25"/>
        <v>0.31274459418866807</v>
      </c>
      <c r="AT46" s="5">
        <f t="shared" si="98"/>
        <v>2.9035239304647917</v>
      </c>
      <c r="AU46" s="150">
        <f t="shared" si="99"/>
        <v>9.7238334359027151E-2</v>
      </c>
      <c r="AW46" s="5">
        <f t="shared" si="152"/>
        <v>3.0774068068164935</v>
      </c>
      <c r="AX46" s="5">
        <f t="shared" si="153"/>
        <v>0.400704011304231</v>
      </c>
      <c r="AY46" s="5">
        <f t="shared" si="28"/>
        <v>6.206268583564057E-2</v>
      </c>
      <c r="AZ46" s="5"/>
      <c r="BA46" s="150">
        <f t="shared" si="100"/>
        <v>0.22500149442100151</v>
      </c>
      <c r="BB46" s="150">
        <f t="shared" si="154"/>
        <v>0.68557220490859783</v>
      </c>
      <c r="BC46" s="150">
        <f t="shared" si="155"/>
        <v>0.15324555168545129</v>
      </c>
      <c r="BD46" s="150"/>
      <c r="BE46" s="456">
        <f t="shared" si="31"/>
        <v>1.0125134498336795E-3</v>
      </c>
      <c r="BF46" s="456">
        <f t="shared" si="156"/>
        <v>0.39103622873423211</v>
      </c>
      <c r="BG46" s="456">
        <f t="shared" si="157"/>
        <v>0.37274035711753295</v>
      </c>
      <c r="BH46" s="456">
        <f t="shared" si="34"/>
        <v>8.9563116893002392E-2</v>
      </c>
      <c r="BI46">
        <f t="shared" si="35"/>
        <v>2.1578995412373805E-2</v>
      </c>
      <c r="BJ46" s="144">
        <f t="shared" si="101"/>
        <v>394.31935252990672</v>
      </c>
      <c r="BK46">
        <f t="shared" si="158"/>
        <v>0.48200119427615207</v>
      </c>
      <c r="BL46" s="144">
        <f t="shared" si="102"/>
        <v>482.00119427615209</v>
      </c>
      <c r="BM46" s="150">
        <f t="shared" si="159"/>
        <v>0.3056549999999999</v>
      </c>
      <c r="BN46" s="150">
        <f t="shared" si="160"/>
        <v>4.5484374999999994E-2</v>
      </c>
      <c r="BO46" s="456"/>
      <c r="BQ46" s="144">
        <f t="shared" si="103"/>
        <v>351.13937499999992</v>
      </c>
      <c r="BR46" s="456">
        <f t="shared" si="39"/>
        <v>1.5187701747505192E-3</v>
      </c>
      <c r="BS46" s="456">
        <f t="shared" si="104"/>
        <v>1.4100277444297094E-2</v>
      </c>
      <c r="BT46" s="456">
        <f t="shared" si="161"/>
        <v>1.174209955568916E-4</v>
      </c>
      <c r="BU46" s="456">
        <f t="shared" si="41"/>
        <v>0.14881867688835329</v>
      </c>
      <c r="BV46" s="456">
        <f t="shared" si="162"/>
        <v>0.1685440810618074</v>
      </c>
      <c r="BW46" s="538">
        <f t="shared" si="163"/>
        <v>4.8562635549003201E-4</v>
      </c>
      <c r="BX46" s="144">
        <f t="shared" si="105"/>
        <v>169.02970741729746</v>
      </c>
      <c r="BY46" s="150">
        <f t="shared" si="106"/>
        <v>1.0021702766934495</v>
      </c>
      <c r="BZ46" s="5">
        <f t="shared" si="107"/>
        <v>3.2799999999999994</v>
      </c>
      <c r="CA46" s="150">
        <f t="shared" si="108"/>
        <v>0.76596673837377327</v>
      </c>
      <c r="CB46" s="5">
        <f t="shared" si="109"/>
        <v>76.596673837377324</v>
      </c>
      <c r="CC46">
        <f t="shared" si="173"/>
        <v>41</v>
      </c>
      <c r="CE46" s="59">
        <f t="shared" si="164"/>
        <v>-50</v>
      </c>
      <c r="CF46">
        <f t="shared" si="165"/>
        <v>-50</v>
      </c>
      <c r="CG46" s="150">
        <f t="shared" si="166"/>
        <v>0.82883202513712817</v>
      </c>
      <c r="CH46" s="150">
        <f t="shared" si="167"/>
        <v>0.44965289283354892</v>
      </c>
      <c r="CI46" s="147">
        <v>41</v>
      </c>
      <c r="CJ46" s="188">
        <f t="shared" si="133"/>
        <v>0.49199999999999994</v>
      </c>
      <c r="CK46" s="188">
        <f t="shared" si="111"/>
        <v>0.10249999999999999</v>
      </c>
      <c r="CL46" s="188">
        <f t="shared" si="48"/>
        <v>2.4599999999999995</v>
      </c>
      <c r="CM46" s="188">
        <f t="shared" si="134"/>
        <v>0.82</v>
      </c>
      <c r="CN46" s="465">
        <f t="shared" si="112"/>
        <v>48</v>
      </c>
      <c r="CO46" s="379">
        <f t="shared" si="168"/>
        <v>5.7</v>
      </c>
      <c r="CP46" s="379">
        <f t="shared" si="169"/>
        <v>53.7</v>
      </c>
      <c r="CQ46" s="379"/>
      <c r="CR46" s="188">
        <f t="shared" si="113"/>
        <v>0.10112359550561799</v>
      </c>
      <c r="CS46" s="149">
        <f t="shared" si="114"/>
        <v>9.1011235955056193</v>
      </c>
      <c r="CT46" s="149">
        <f t="shared" si="51"/>
        <v>4.0449438202247192</v>
      </c>
      <c r="CU46" s="188">
        <f t="shared" si="52"/>
        <v>1.8202247191011238</v>
      </c>
      <c r="CV46" s="188">
        <f t="shared" si="53"/>
        <v>1.1376404494382024</v>
      </c>
      <c r="CW46" s="379">
        <f t="shared" si="54"/>
        <v>5</v>
      </c>
      <c r="CX46" s="188">
        <f t="shared" si="55"/>
        <v>1.3514814814814811</v>
      </c>
      <c r="CY46" s="188">
        <f t="shared" si="56"/>
        <v>0.33787037037037032</v>
      </c>
      <c r="CZ46" s="188">
        <f t="shared" si="57"/>
        <v>2.84522417153996</v>
      </c>
      <c r="DA46" s="172">
        <f t="shared" si="58"/>
        <v>350</v>
      </c>
      <c r="DB46" s="379">
        <f t="shared" si="115"/>
        <v>314.15969171932011</v>
      </c>
      <c r="DD46" s="188">
        <f t="shared" si="59"/>
        <v>1.2130885873902635</v>
      </c>
      <c r="DE46" s="150">
        <f t="shared" si="60"/>
        <v>2.5538707102952913</v>
      </c>
      <c r="DF46" s="150">
        <f t="shared" si="61"/>
        <v>0.54216249715765974</v>
      </c>
      <c r="DG46" s="150"/>
      <c r="DH46" s="150">
        <f t="shared" si="62"/>
        <v>2.1052631578947367</v>
      </c>
      <c r="DI46" s="314">
        <f t="shared" si="63"/>
        <v>467.39999999999992</v>
      </c>
      <c r="DJ46" s="456">
        <f t="shared" si="64"/>
        <v>0.36842105263157893</v>
      </c>
      <c r="DL46" s="150">
        <f t="shared" si="65"/>
        <v>1.2497618820818475</v>
      </c>
      <c r="DM46" s="150">
        <f t="shared" si="66"/>
        <v>1.2497618820818475</v>
      </c>
      <c r="DN46" s="150">
        <f t="shared" si="67"/>
        <v>1.3850088015421091</v>
      </c>
      <c r="DP46" s="314">
        <f t="shared" si="68"/>
        <v>491.99999999999994</v>
      </c>
      <c r="DQ46" s="144">
        <f t="shared" si="69"/>
        <v>314.15969171932011</v>
      </c>
      <c r="DS46">
        <f t="shared" si="116"/>
        <v>491.99999999999994</v>
      </c>
      <c r="DT46" s="144">
        <f t="shared" si="70"/>
        <v>314.15969171932011</v>
      </c>
      <c r="DU46" s="144"/>
      <c r="DV46" s="5">
        <f t="shared" si="117"/>
        <v>3.1830945419103309</v>
      </c>
      <c r="DW46" s="5">
        <f t="shared" si="71"/>
        <v>0.31244047052046192</v>
      </c>
      <c r="DX46" s="5">
        <f t="shared" si="118"/>
        <v>2.8706540713898692</v>
      </c>
      <c r="DY46" s="150">
        <f t="shared" si="119"/>
        <v>9.8156201899347637E-2</v>
      </c>
      <c r="EA46" s="5">
        <f t="shared" si="72"/>
        <v>3.0744142299213451</v>
      </c>
      <c r="EB46" s="5">
        <f t="shared" si="73"/>
        <v>0.4003143528543418</v>
      </c>
      <c r="EC46" s="5">
        <f t="shared" si="74"/>
        <v>6.1300425482804476E-2</v>
      </c>
      <c r="ED46" s="5"/>
      <c r="EE46" s="150">
        <f t="shared" si="120"/>
        <v>0.22606093511637984</v>
      </c>
      <c r="EF46" s="150">
        <f t="shared" si="75"/>
        <v>0.68522359434656677</v>
      </c>
      <c r="EG46" s="150">
        <f t="shared" si="76"/>
        <v>0.15316762697158554</v>
      </c>
      <c r="EH46" s="150"/>
      <c r="EI46" s="456">
        <f t="shared" si="77"/>
        <v>1.0220709277138419E-3</v>
      </c>
      <c r="EJ46" s="456">
        <f t="shared" si="78"/>
        <v>0.42167904335959738</v>
      </c>
      <c r="EK46" s="456">
        <f t="shared" si="79"/>
        <v>3.9269961464915015E-2</v>
      </c>
      <c r="EL46" s="456">
        <f t="shared" si="80"/>
        <v>9.0593916141408645E-2</v>
      </c>
      <c r="EM46">
        <f t="shared" si="81"/>
        <v>2.1600000000000001E-2</v>
      </c>
      <c r="EN46" s="144">
        <f t="shared" si="121"/>
        <v>60.869961464915015</v>
      </c>
      <c r="EO46">
        <f t="shared" si="82"/>
        <v>0.57458048449741717</v>
      </c>
      <c r="EP46" s="144">
        <f t="shared" si="122"/>
        <v>574.58048449741716</v>
      </c>
      <c r="EQ46" s="150">
        <f t="shared" si="83"/>
        <v>0.3056549999999999</v>
      </c>
      <c r="ER46" s="150">
        <f t="shared" si="170"/>
        <v>4.5484374999999994E-2</v>
      </c>
      <c r="ES46" s="456"/>
      <c r="EU46" s="144">
        <f t="shared" si="123"/>
        <v>351.13937499999992</v>
      </c>
      <c r="EV46" s="456">
        <f t="shared" si="85"/>
        <v>1.5331063915707628E-3</v>
      </c>
      <c r="EW46" s="456">
        <f t="shared" si="124"/>
        <v>1.4085941227476849E-2</v>
      </c>
      <c r="EX46" s="456">
        <f t="shared" si="86"/>
        <v>1.1730160976053389E-4</v>
      </c>
      <c r="EY46" s="456">
        <f t="shared" si="87"/>
        <v>0.15272648120610521</v>
      </c>
      <c r="EZ46" s="456">
        <f t="shared" si="88"/>
        <v>0.1724566613097637</v>
      </c>
      <c r="FA46" s="538">
        <f t="shared" si="89"/>
        <v>4.9068751849493802E-4</v>
      </c>
      <c r="FB46" s="144">
        <f t="shared" si="125"/>
        <v>172.94734882825864</v>
      </c>
      <c r="FC46" s="150">
        <f t="shared" si="126"/>
        <v>1.0986672083256757</v>
      </c>
      <c r="FD46" s="5">
        <f t="shared" si="127"/>
        <v>3.2799999999999994</v>
      </c>
      <c r="FE46" s="150">
        <f t="shared" si="128"/>
        <v>0.7490863872375022</v>
      </c>
      <c r="FF46" s="5">
        <f t="shared" si="129"/>
        <v>74.908638723750215</v>
      </c>
      <c r="FG46">
        <f t="shared" si="130"/>
        <v>41</v>
      </c>
      <c r="FI46" s="59">
        <f t="shared" si="90"/>
        <v>-50</v>
      </c>
      <c r="FJ46">
        <f t="shared" si="91"/>
        <v>-50</v>
      </c>
      <c r="FL46">
        <f t="shared" si="92"/>
        <v>0.82883202513712817</v>
      </c>
    </row>
    <row r="47" spans="5:168">
      <c r="E47" s="147">
        <v>42</v>
      </c>
      <c r="F47" s="188">
        <f t="shared" si="174"/>
        <v>0.504</v>
      </c>
      <c r="G47" s="188">
        <f t="shared" si="171"/>
        <v>0.105</v>
      </c>
      <c r="H47" s="188">
        <f t="shared" si="135"/>
        <v>2.52</v>
      </c>
      <c r="I47" s="188">
        <f t="shared" si="175"/>
        <v>0.84</v>
      </c>
      <c r="J47" s="465">
        <f t="shared" si="136"/>
        <v>47.952184678574518</v>
      </c>
      <c r="K47" s="379">
        <f t="shared" si="137"/>
        <v>5.7182425383448461</v>
      </c>
      <c r="L47" s="149">
        <f t="shared" si="138"/>
        <v>53.670427216919364</v>
      </c>
      <c r="M47" s="379"/>
      <c r="N47" s="188">
        <f t="shared" si="139"/>
        <v>0.10654363743432613</v>
      </c>
      <c r="O47" s="149">
        <f t="shared" si="172"/>
        <v>9.5793753348335482</v>
      </c>
      <c r="P47" s="149">
        <f t="shared" si="140"/>
        <v>4.25750014881491</v>
      </c>
      <c r="Q47" s="188">
        <f t="shared" si="6"/>
        <v>1.9158750669667097</v>
      </c>
      <c r="R47" s="188">
        <f t="shared" si="141"/>
        <v>1.1974219168541935</v>
      </c>
      <c r="S47" s="379">
        <f t="shared" si="142"/>
        <v>5</v>
      </c>
      <c r="T47" s="188">
        <f t="shared" si="143"/>
        <v>1.3153258495032065</v>
      </c>
      <c r="U47" s="188">
        <f t="shared" si="10"/>
        <v>0.32915935530025758</v>
      </c>
      <c r="V47" s="188">
        <f t="shared" si="11"/>
        <v>2.7602729489342637</v>
      </c>
      <c r="W47" s="172">
        <f t="shared" si="12"/>
        <v>350</v>
      </c>
      <c r="X47" s="379">
        <f t="shared" si="95"/>
        <v>304.00382421996932</v>
      </c>
      <c r="Z47" s="188">
        <f t="shared" si="13"/>
        <v>1.216428613947117</v>
      </c>
      <c r="AA47" s="150">
        <f t="shared" si="14"/>
        <v>2.5527324644733533</v>
      </c>
      <c r="AB47" s="150">
        <f t="shared" si="144"/>
        <v>0.54341294236899762</v>
      </c>
      <c r="AC47" s="150"/>
      <c r="AD47" s="150">
        <f t="shared" si="16"/>
        <v>2.0985468733673929</v>
      </c>
      <c r="AE47" s="314">
        <f t="shared" si="145"/>
        <v>480.33237322096699</v>
      </c>
      <c r="AF47" s="456">
        <f t="shared" si="146"/>
        <v>0.36724570283929375</v>
      </c>
      <c r="AH47" s="150">
        <f t="shared" si="147"/>
        <v>1.2649110640673518</v>
      </c>
      <c r="AI47" s="150">
        <f t="shared" si="148"/>
        <v>1.2649110640673518</v>
      </c>
      <c r="AJ47" s="150">
        <f t="shared" si="149"/>
        <v>1.3962304178276679</v>
      </c>
      <c r="AL47" s="314">
        <f t="shared" si="150"/>
        <v>504</v>
      </c>
      <c r="AM47" s="144">
        <f t="shared" si="151"/>
        <v>304.00382421996932</v>
      </c>
      <c r="AO47">
        <f t="shared" si="96"/>
        <v>504</v>
      </c>
      <c r="AP47" s="144">
        <f t="shared" si="24"/>
        <v>304.00382421996932</v>
      </c>
      <c r="AQ47" s="144"/>
      <c r="AR47" s="5">
        <f t="shared" si="97"/>
        <v>3.2894323042345208</v>
      </c>
      <c r="AS47" s="5">
        <f t="shared" si="25"/>
        <v>0.31654309121791296</v>
      </c>
      <c r="AT47" s="5">
        <f t="shared" si="98"/>
        <v>2.9728892130166078</v>
      </c>
      <c r="AU47" s="150">
        <f t="shared" si="99"/>
        <v>9.6230310260656135E-2</v>
      </c>
      <c r="AW47" s="5">
        <f t="shared" si="152"/>
        <v>3.1907543594765624</v>
      </c>
      <c r="AX47" s="5">
        <f t="shared" si="153"/>
        <v>0.4154628072235107</v>
      </c>
      <c r="AY47" s="5">
        <f t="shared" si="28"/>
        <v>6.5096797874616294E-2</v>
      </c>
      <c r="AZ47" s="5"/>
      <c r="BA47" s="150">
        <f t="shared" si="100"/>
        <v>0.2265454306293036</v>
      </c>
      <c r="BB47" s="150">
        <f t="shared" si="154"/>
        <v>0.69426976111185823</v>
      </c>
      <c r="BC47" s="150">
        <f t="shared" si="155"/>
        <v>0.15518971130735656</v>
      </c>
      <c r="BD47" s="150"/>
      <c r="BE47" s="456">
        <f t="shared" si="31"/>
        <v>1.0264566427803322E-3</v>
      </c>
      <c r="BF47" s="456">
        <f t="shared" si="156"/>
        <v>0.38696827591178962</v>
      </c>
      <c r="BG47" s="456">
        <f t="shared" si="157"/>
        <v>0.36444118804972186</v>
      </c>
      <c r="BH47" s="456">
        <f t="shared" si="34"/>
        <v>8.7568750204663634E-2</v>
      </c>
      <c r="BI47">
        <f t="shared" si="35"/>
        <v>2.1578483105358533E-2</v>
      </c>
      <c r="BJ47" s="144">
        <f t="shared" si="101"/>
        <v>386.0196711550804</v>
      </c>
      <c r="BK47">
        <f t="shared" si="158"/>
        <v>0.47595670527660561</v>
      </c>
      <c r="BL47" s="144">
        <f t="shared" si="102"/>
        <v>475.95670527660559</v>
      </c>
      <c r="BM47" s="150">
        <f t="shared" si="159"/>
        <v>0.31311</v>
      </c>
      <c r="BN47" s="150">
        <f t="shared" si="160"/>
        <v>4.6593749999999996E-2</v>
      </c>
      <c r="BO47" s="456"/>
      <c r="BQ47" s="144">
        <f t="shared" si="103"/>
        <v>359.70375000000001</v>
      </c>
      <c r="BR47" s="456">
        <f t="shared" si="39"/>
        <v>1.5396849641704981E-3</v>
      </c>
      <c r="BS47" s="456">
        <f t="shared" si="104"/>
        <v>1.44603150358295E-2</v>
      </c>
      <c r="BT47" s="456">
        <f t="shared" si="161"/>
        <v>1.2041923247830337E-4</v>
      </c>
      <c r="BU47" s="456">
        <f t="shared" si="41"/>
        <v>0.14498317287032342</v>
      </c>
      <c r="BV47" s="456">
        <f t="shared" si="162"/>
        <v>0.16518552150722307</v>
      </c>
      <c r="BW47" s="538">
        <f t="shared" si="163"/>
        <v>4.8640611875195103E-4</v>
      </c>
      <c r="BX47" s="144">
        <f t="shared" si="105"/>
        <v>165.67192762597503</v>
      </c>
      <c r="BY47" s="150">
        <f t="shared" si="106"/>
        <v>1.0013323829025806</v>
      </c>
      <c r="BZ47" s="5">
        <f t="shared" si="107"/>
        <v>3.36</v>
      </c>
      <c r="CA47" s="150">
        <f t="shared" si="108"/>
        <v>0.77040677137380487</v>
      </c>
      <c r="CB47" s="5">
        <f t="shared" si="109"/>
        <v>77.040677137380484</v>
      </c>
      <c r="CC47">
        <f t="shared" si="173"/>
        <v>42.000000000000007</v>
      </c>
      <c r="CE47" s="59">
        <f t="shared" si="164"/>
        <v>-50</v>
      </c>
      <c r="CF47">
        <f t="shared" si="165"/>
        <v>-50</v>
      </c>
      <c r="CG47" s="150">
        <f t="shared" si="166"/>
        <v>0.82883202513712817</v>
      </c>
      <c r="CH47" s="150">
        <f t="shared" si="167"/>
        <v>0.44965289283354892</v>
      </c>
      <c r="CI47" s="147">
        <v>42</v>
      </c>
      <c r="CJ47" s="188">
        <f t="shared" si="133"/>
        <v>0.504</v>
      </c>
      <c r="CK47" s="188">
        <f t="shared" si="111"/>
        <v>0.105</v>
      </c>
      <c r="CL47" s="188">
        <f t="shared" si="48"/>
        <v>2.52</v>
      </c>
      <c r="CM47" s="188">
        <f t="shared" si="134"/>
        <v>0.84</v>
      </c>
      <c r="CN47" s="465">
        <f t="shared" si="112"/>
        <v>48</v>
      </c>
      <c r="CO47" s="379">
        <f t="shared" si="168"/>
        <v>5.7</v>
      </c>
      <c r="CP47" s="379">
        <f t="shared" si="169"/>
        <v>53.7</v>
      </c>
      <c r="CQ47" s="379"/>
      <c r="CR47" s="188">
        <f t="shared" si="113"/>
        <v>0.10112359550561799</v>
      </c>
      <c r="CS47" s="149">
        <f t="shared" si="114"/>
        <v>9.1011235955056193</v>
      </c>
      <c r="CT47" s="149">
        <f t="shared" si="51"/>
        <v>4.0449438202247192</v>
      </c>
      <c r="CU47" s="188">
        <f t="shared" si="52"/>
        <v>1.8202247191011238</v>
      </c>
      <c r="CV47" s="188">
        <f t="shared" si="53"/>
        <v>1.1376404494382024</v>
      </c>
      <c r="CW47" s="379">
        <f t="shared" si="54"/>
        <v>5</v>
      </c>
      <c r="CX47" s="188">
        <f t="shared" si="55"/>
        <v>1.3844444444444444</v>
      </c>
      <c r="CY47" s="188">
        <f t="shared" si="56"/>
        <v>0.34611111111111109</v>
      </c>
      <c r="CZ47" s="188">
        <f t="shared" si="57"/>
        <v>2.9146198830409351</v>
      </c>
      <c r="DA47" s="172">
        <f t="shared" si="58"/>
        <v>350</v>
      </c>
      <c r="DB47" s="379">
        <f t="shared" si="115"/>
        <v>306.67969905933626</v>
      </c>
      <c r="DD47" s="188">
        <f t="shared" si="59"/>
        <v>1.2130885873902635</v>
      </c>
      <c r="DE47" s="150">
        <f t="shared" si="60"/>
        <v>2.5538707102952913</v>
      </c>
      <c r="DF47" s="150">
        <f t="shared" si="61"/>
        <v>0.54216249715765974</v>
      </c>
      <c r="DG47" s="150"/>
      <c r="DH47" s="150">
        <f t="shared" si="62"/>
        <v>2.1052631578947367</v>
      </c>
      <c r="DI47" s="314">
        <f t="shared" si="63"/>
        <v>478.8</v>
      </c>
      <c r="DJ47" s="456">
        <f t="shared" si="64"/>
        <v>0.36842105263157893</v>
      </c>
      <c r="DL47" s="150">
        <f t="shared" si="65"/>
        <v>1.2649110640673518</v>
      </c>
      <c r="DM47" s="150">
        <f t="shared" si="66"/>
        <v>1.2649110640673518</v>
      </c>
      <c r="DN47" s="150">
        <f t="shared" si="67"/>
        <v>1.3962304178276679</v>
      </c>
      <c r="DP47" s="314">
        <f t="shared" si="68"/>
        <v>504</v>
      </c>
      <c r="DQ47" s="144">
        <f t="shared" si="69"/>
        <v>306.67969905933626</v>
      </c>
      <c r="DS47">
        <f t="shared" si="116"/>
        <v>504</v>
      </c>
      <c r="DT47" s="144">
        <f t="shared" si="70"/>
        <v>306.67969905933626</v>
      </c>
      <c r="DU47" s="144"/>
      <c r="DV47" s="5">
        <f t="shared" si="117"/>
        <v>3.2607309941520466</v>
      </c>
      <c r="DW47" s="5">
        <f t="shared" si="71"/>
        <v>0.316227766016838</v>
      </c>
      <c r="DX47" s="5">
        <f t="shared" si="118"/>
        <v>2.9445032281352086</v>
      </c>
      <c r="DY47" s="150">
        <f t="shared" si="119"/>
        <v>9.6980636116250074E-2</v>
      </c>
      <c r="EA47" s="5">
        <f t="shared" si="72"/>
        <v>3.1875758814497268</v>
      </c>
      <c r="EB47" s="5">
        <f t="shared" si="73"/>
        <v>0.41504894289709987</v>
      </c>
      <c r="EC47" s="5">
        <f t="shared" si="74"/>
        <v>6.4411008115457677E-2</v>
      </c>
      <c r="ED47" s="5"/>
      <c r="EE47" s="150">
        <f t="shared" si="120"/>
        <v>0.22742692437059142</v>
      </c>
      <c r="EF47" s="150">
        <f t="shared" si="75"/>
        <v>0.69398150364737143</v>
      </c>
      <c r="EG47" s="150">
        <f t="shared" si="76"/>
        <v>0.15512527728588305</v>
      </c>
      <c r="EH47" s="150"/>
      <c r="EI47" s="456">
        <f t="shared" si="77"/>
        <v>1.0344601185733342E-3</v>
      </c>
      <c r="EJ47" s="456">
        <f t="shared" si="78"/>
        <v>0.41662881275541025</v>
      </c>
      <c r="EK47" s="456">
        <f t="shared" si="79"/>
        <v>3.8334962382417036E-2</v>
      </c>
      <c r="EL47" s="456">
        <f t="shared" si="80"/>
        <v>8.8436918138041762E-2</v>
      </c>
      <c r="EM47">
        <f t="shared" si="81"/>
        <v>2.1600000000000001E-2</v>
      </c>
      <c r="EN47" s="144">
        <f t="shared" si="121"/>
        <v>59.934962382417034</v>
      </c>
      <c r="EO47">
        <f t="shared" si="82"/>
        <v>0.56645368498853998</v>
      </c>
      <c r="EP47" s="144">
        <f t="shared" si="122"/>
        <v>566.45368498853998</v>
      </c>
      <c r="EQ47" s="150">
        <f t="shared" si="83"/>
        <v>0.31311</v>
      </c>
      <c r="ER47" s="150">
        <f t="shared" si="170"/>
        <v>4.6593749999999996E-2</v>
      </c>
      <c r="ES47" s="456"/>
      <c r="EU47" s="144">
        <f t="shared" si="123"/>
        <v>359.70375000000001</v>
      </c>
      <c r="EV47" s="456">
        <f t="shared" si="85"/>
        <v>1.5516901778600011E-3</v>
      </c>
      <c r="EW47" s="456">
        <f t="shared" si="124"/>
        <v>1.4448309822139998E-2</v>
      </c>
      <c r="EX47" s="456">
        <f t="shared" si="86"/>
        <v>1.2031925826511051E-4</v>
      </c>
      <c r="EY47" s="456">
        <f t="shared" si="87"/>
        <v>0.14819465966040674</v>
      </c>
      <c r="EZ47" s="456">
        <f t="shared" si="88"/>
        <v>0.16840102980977181</v>
      </c>
      <c r="FA47" s="538">
        <f t="shared" si="89"/>
        <v>4.9068751849493813E-4</v>
      </c>
      <c r="FB47" s="144">
        <f t="shared" si="125"/>
        <v>168.89171732826674</v>
      </c>
      <c r="FC47" s="150">
        <f t="shared" si="126"/>
        <v>1.0950491523168067</v>
      </c>
      <c r="FD47" s="5">
        <f t="shared" si="127"/>
        <v>3.36</v>
      </c>
      <c r="FE47" s="150">
        <f t="shared" si="128"/>
        <v>0.75420043306428242</v>
      </c>
      <c r="FF47" s="5">
        <f t="shared" si="129"/>
        <v>75.420043306428241</v>
      </c>
      <c r="FG47">
        <f t="shared" si="130"/>
        <v>42.000000000000007</v>
      </c>
      <c r="FI47" s="59">
        <f t="shared" si="90"/>
        <v>-50</v>
      </c>
      <c r="FJ47">
        <f t="shared" si="91"/>
        <v>-50</v>
      </c>
      <c r="FL47">
        <f t="shared" si="92"/>
        <v>0.82883202513712817</v>
      </c>
    </row>
    <row r="48" spans="5:168">
      <c r="E48" s="147">
        <v>43</v>
      </c>
      <c r="F48" s="188">
        <f t="shared" si="174"/>
        <v>0.51600000000000001</v>
      </c>
      <c r="G48" s="188">
        <f t="shared" si="171"/>
        <v>0.1075</v>
      </c>
      <c r="H48" s="188">
        <f t="shared" si="135"/>
        <v>2.58</v>
      </c>
      <c r="I48" s="188">
        <f t="shared" si="175"/>
        <v>0.86</v>
      </c>
      <c r="J48" s="465">
        <f t="shared" si="136"/>
        <v>47.951046218540583</v>
      </c>
      <c r="K48" s="379">
        <f t="shared" si="137"/>
        <v>5.7186768844959133</v>
      </c>
      <c r="L48" s="149">
        <f t="shared" si="138"/>
        <v>53.669723103036496</v>
      </c>
      <c r="M48" s="379"/>
      <c r="N48" s="188">
        <f t="shared" si="139"/>
        <v>0.10655312816719871</v>
      </c>
      <c r="O48" s="149">
        <f t="shared" si="172"/>
        <v>9.5800012002664197</v>
      </c>
      <c r="P48" s="149">
        <f t="shared" si="140"/>
        <v>4.2577783112295196</v>
      </c>
      <c r="Q48" s="188">
        <f t="shared" si="6"/>
        <v>1.9160002400532838</v>
      </c>
      <c r="R48" s="188">
        <f t="shared" si="141"/>
        <v>1.1975001500333025</v>
      </c>
      <c r="S48" s="379">
        <f t="shared" si="142"/>
        <v>5</v>
      </c>
      <c r="T48" s="188">
        <f t="shared" si="143"/>
        <v>1.3465551548825745</v>
      </c>
      <c r="U48" s="188">
        <f t="shared" si="10"/>
        <v>0.33698246718010177</v>
      </c>
      <c r="V48" s="188">
        <f t="shared" si="11"/>
        <v>2.8255944836469351</v>
      </c>
      <c r="W48" s="172">
        <f t="shared" si="12"/>
        <v>350</v>
      </c>
      <c r="X48" s="379">
        <f t="shared" si="95"/>
        <v>297.39096372323814</v>
      </c>
      <c r="Z48" s="188">
        <f t="shared" si="13"/>
        <v>1.21650808892272</v>
      </c>
      <c r="AA48" s="150">
        <f t="shared" si="14"/>
        <v>2.5527053480937179</v>
      </c>
      <c r="AB48" s="150">
        <f t="shared" si="144"/>
        <v>0.54344267330365159</v>
      </c>
      <c r="AC48" s="150"/>
      <c r="AD48" s="150">
        <f t="shared" si="16"/>
        <v>2.0983874840933194</v>
      </c>
      <c r="AE48" s="314">
        <f t="shared" si="145"/>
        <v>491.80621206664847</v>
      </c>
      <c r="AF48" s="456">
        <f t="shared" si="146"/>
        <v>0.36721780971633089</v>
      </c>
      <c r="AH48" s="150">
        <f t="shared" si="147"/>
        <v>1.2798809468443688</v>
      </c>
      <c r="AI48" s="150">
        <f t="shared" si="148"/>
        <v>1.2798809468443688</v>
      </c>
      <c r="AJ48" s="150">
        <f t="shared" si="149"/>
        <v>1.4073192198847175</v>
      </c>
      <c r="AL48" s="314">
        <f t="shared" si="150"/>
        <v>516</v>
      </c>
      <c r="AM48" s="144">
        <f t="shared" si="151"/>
        <v>297.39096372323814</v>
      </c>
      <c r="AO48">
        <f t="shared" si="96"/>
        <v>516</v>
      </c>
      <c r="AP48" s="144">
        <f t="shared" si="24"/>
        <v>297.39096372323814</v>
      </c>
      <c r="AQ48" s="144"/>
      <c r="AR48" s="5">
        <f t="shared" si="97"/>
        <v>3.3625769508270369</v>
      </c>
      <c r="AS48" s="5">
        <f t="shared" si="25"/>
        <v>0.32029689805170375</v>
      </c>
      <c r="AT48" s="5">
        <f t="shared" si="98"/>
        <v>3.0422800527753333</v>
      </c>
      <c r="AU48" s="150">
        <f t="shared" si="99"/>
        <v>9.5253403189159924E-2</v>
      </c>
      <c r="AW48" s="5">
        <f t="shared" si="152"/>
        <v>3.3054639878935825</v>
      </c>
      <c r="AX48" s="5">
        <f t="shared" si="153"/>
        <v>0.43039895675697692</v>
      </c>
      <c r="AY48" s="5">
        <f t="shared" si="28"/>
        <v>6.8203956214597503E-2</v>
      </c>
      <c r="AZ48" s="5"/>
      <c r="BA48" s="150">
        <f t="shared" si="100"/>
        <v>0.2280600404692652</v>
      </c>
      <c r="BB48" s="150">
        <f t="shared" si="154"/>
        <v>0.70286582216871463</v>
      </c>
      <c r="BC48" s="150">
        <f t="shared" si="155"/>
        <v>0.15711118377888914</v>
      </c>
      <c r="BD48" s="150"/>
      <c r="BE48" s="456">
        <f t="shared" si="31"/>
        <v>1.0402276411768576E-3</v>
      </c>
      <c r="BF48" s="456">
        <f t="shared" si="156"/>
        <v>0.38302574758788066</v>
      </c>
      <c r="BG48" s="456">
        <f t="shared" si="157"/>
        <v>0.35650519616173293</v>
      </c>
      <c r="BH48" s="456">
        <f t="shared" si="34"/>
        <v>8.5661658307868802E-2</v>
      </c>
      <c r="BI48">
        <f t="shared" si="35"/>
        <v>2.1577970798343261E-2</v>
      </c>
      <c r="BJ48" s="144">
        <f t="shared" si="101"/>
        <v>378.0831669600762</v>
      </c>
      <c r="BK48">
        <f t="shared" si="158"/>
        <v>0.47012469011936103</v>
      </c>
      <c r="BL48" s="144">
        <f t="shared" si="102"/>
        <v>470.12469011936105</v>
      </c>
      <c r="BM48" s="150">
        <f t="shared" si="159"/>
        <v>0.32056499999999993</v>
      </c>
      <c r="BN48" s="150">
        <f t="shared" si="160"/>
        <v>4.7703124999999999E-2</v>
      </c>
      <c r="BO48" s="456"/>
      <c r="BQ48" s="144">
        <f t="shared" si="103"/>
        <v>368.26812499999994</v>
      </c>
      <c r="BR48" s="456">
        <f t="shared" si="39"/>
        <v>1.5603414617652864E-3</v>
      </c>
      <c r="BS48" s="456">
        <f t="shared" si="104"/>
        <v>1.4820610919187094E-2</v>
      </c>
      <c r="BT48" s="456">
        <f t="shared" si="161"/>
        <v>1.2341962034201939E-4</v>
      </c>
      <c r="BU48" s="456">
        <f t="shared" si="41"/>
        <v>0.14132316653224822</v>
      </c>
      <c r="BV48" s="456">
        <f t="shared" si="162"/>
        <v>0.16200248775970297</v>
      </c>
      <c r="BW48" s="538">
        <f t="shared" si="163"/>
        <v>4.8715472152759018E-4</v>
      </c>
      <c r="BX48" s="144">
        <f t="shared" si="105"/>
        <v>162.48964248123053</v>
      </c>
      <c r="BY48" s="150">
        <f t="shared" si="106"/>
        <v>1.0008824576005915</v>
      </c>
      <c r="BZ48" s="5">
        <f t="shared" si="107"/>
        <v>3.44</v>
      </c>
      <c r="CA48" s="150">
        <f t="shared" si="108"/>
        <v>0.77462081756125378</v>
      </c>
      <c r="CB48" s="5">
        <f t="shared" si="109"/>
        <v>77.462081756125372</v>
      </c>
      <c r="CC48">
        <f t="shared" si="173"/>
        <v>43.000000000000007</v>
      </c>
      <c r="CE48" s="59">
        <f t="shared" si="164"/>
        <v>-50</v>
      </c>
      <c r="CF48">
        <f t="shared" si="165"/>
        <v>-50</v>
      </c>
      <c r="CG48" s="150">
        <f t="shared" si="166"/>
        <v>0.82883202513712817</v>
      </c>
      <c r="CH48" s="150">
        <f t="shared" si="167"/>
        <v>0.44965289283354892</v>
      </c>
      <c r="CI48" s="147">
        <v>43</v>
      </c>
      <c r="CJ48" s="188">
        <f t="shared" si="133"/>
        <v>0.51600000000000001</v>
      </c>
      <c r="CK48" s="188">
        <f t="shared" si="111"/>
        <v>0.1075</v>
      </c>
      <c r="CL48" s="188">
        <f t="shared" si="48"/>
        <v>2.58</v>
      </c>
      <c r="CM48" s="188">
        <f t="shared" si="134"/>
        <v>0.86</v>
      </c>
      <c r="CN48" s="465">
        <f t="shared" si="112"/>
        <v>48</v>
      </c>
      <c r="CO48" s="379">
        <f t="shared" si="168"/>
        <v>5.7</v>
      </c>
      <c r="CP48" s="379">
        <f t="shared" si="169"/>
        <v>53.7</v>
      </c>
      <c r="CQ48" s="379"/>
      <c r="CR48" s="188">
        <f t="shared" si="113"/>
        <v>0.10112359550561799</v>
      </c>
      <c r="CS48" s="149">
        <f t="shared" si="114"/>
        <v>9.1011235955056193</v>
      </c>
      <c r="CT48" s="149">
        <f t="shared" si="51"/>
        <v>4.0449438202247192</v>
      </c>
      <c r="CU48" s="188">
        <f t="shared" si="52"/>
        <v>1.8202247191011238</v>
      </c>
      <c r="CV48" s="188">
        <f t="shared" si="53"/>
        <v>1.1376404494382024</v>
      </c>
      <c r="CW48" s="379">
        <f t="shared" si="54"/>
        <v>5</v>
      </c>
      <c r="CX48" s="188">
        <f t="shared" si="55"/>
        <v>1.4174074074074072</v>
      </c>
      <c r="CY48" s="188">
        <f t="shared" si="56"/>
        <v>0.35435185185185181</v>
      </c>
      <c r="CZ48" s="188">
        <f t="shared" si="57"/>
        <v>2.9840155945419098</v>
      </c>
      <c r="DA48" s="172">
        <f t="shared" si="58"/>
        <v>350</v>
      </c>
      <c r="DB48" s="379">
        <f t="shared" si="115"/>
        <v>299.54761303470059</v>
      </c>
      <c r="DD48" s="188">
        <f t="shared" si="59"/>
        <v>1.2130885873902635</v>
      </c>
      <c r="DE48" s="150">
        <f t="shared" si="60"/>
        <v>2.5538707102952913</v>
      </c>
      <c r="DF48" s="150">
        <f t="shared" si="61"/>
        <v>0.54216249715765974</v>
      </c>
      <c r="DG48" s="150"/>
      <c r="DH48" s="150">
        <f t="shared" si="62"/>
        <v>2.1052631578947367</v>
      </c>
      <c r="DI48" s="314">
        <f t="shared" si="63"/>
        <v>490.20000000000005</v>
      </c>
      <c r="DJ48" s="456">
        <f t="shared" si="64"/>
        <v>0.36842105263157893</v>
      </c>
      <c r="DL48" s="150">
        <f t="shared" si="65"/>
        <v>1.2798809468443688</v>
      </c>
      <c r="DM48" s="150">
        <f t="shared" si="66"/>
        <v>1.2798809468443688</v>
      </c>
      <c r="DN48" s="150">
        <f t="shared" si="67"/>
        <v>1.4073192198847175</v>
      </c>
      <c r="DP48" s="314">
        <f t="shared" si="68"/>
        <v>516</v>
      </c>
      <c r="DQ48" s="144">
        <f t="shared" si="69"/>
        <v>299.54761303470059</v>
      </c>
      <c r="DS48">
        <f t="shared" si="116"/>
        <v>516</v>
      </c>
      <c r="DT48" s="144">
        <f t="shared" si="70"/>
        <v>299.54761303470059</v>
      </c>
      <c r="DU48" s="144"/>
      <c r="DV48" s="5">
        <f t="shared" si="117"/>
        <v>3.3383674463937614</v>
      </c>
      <c r="DW48" s="5">
        <f t="shared" si="71"/>
        <v>0.3199702367110922</v>
      </c>
      <c r="DX48" s="5">
        <f t="shared" si="118"/>
        <v>3.0183972096826692</v>
      </c>
      <c r="DY48" s="150">
        <f t="shared" si="119"/>
        <v>9.5846320648955791E-2</v>
      </c>
      <c r="EA48" s="5">
        <f t="shared" si="72"/>
        <v>3.3020928428584719</v>
      </c>
      <c r="EB48" s="5">
        <f t="shared" si="73"/>
        <v>0.42996000558053016</v>
      </c>
      <c r="EC48" s="5">
        <f t="shared" si="74"/>
        <v>6.7599520841851432E-2</v>
      </c>
      <c r="ED48" s="5"/>
      <c r="EE48" s="150">
        <f t="shared" si="120"/>
        <v>0.22876873434686812</v>
      </c>
      <c r="EF48" s="150">
        <f t="shared" si="75"/>
        <v>0.70263547605929921</v>
      </c>
      <c r="EG48" s="150">
        <f t="shared" si="76"/>
        <v>0.15705969464854924</v>
      </c>
      <c r="EH48" s="150"/>
      <c r="EI48" s="456">
        <f t="shared" si="77"/>
        <v>1.0467026762933584E-3</v>
      </c>
      <c r="EJ48" s="456">
        <f t="shared" si="78"/>
        <v>0.41175579350791408</v>
      </c>
      <c r="EK48" s="456">
        <f t="shared" si="79"/>
        <v>3.7443451629337571E-2</v>
      </c>
      <c r="EL48" s="456">
        <f t="shared" si="80"/>
        <v>8.6380245623203594E-2</v>
      </c>
      <c r="EM48">
        <f t="shared" si="81"/>
        <v>2.1600000000000001E-2</v>
      </c>
      <c r="EN48" s="144">
        <f t="shared" si="121"/>
        <v>59.043451629337575</v>
      </c>
      <c r="EO48">
        <f t="shared" si="82"/>
        <v>0.55864773692747582</v>
      </c>
      <c r="EP48" s="144">
        <f t="shared" si="122"/>
        <v>558.64773692747588</v>
      </c>
      <c r="EQ48" s="150">
        <f t="shared" si="83"/>
        <v>0.32056499999999993</v>
      </c>
      <c r="ER48" s="150">
        <f t="shared" si="170"/>
        <v>4.7703124999999999E-2</v>
      </c>
      <c r="ES48" s="456"/>
      <c r="EU48" s="144">
        <f t="shared" si="123"/>
        <v>368.26812499999994</v>
      </c>
      <c r="EV48" s="456">
        <f t="shared" si="85"/>
        <v>1.5700540144400375E-3</v>
      </c>
      <c r="EW48" s="456">
        <f t="shared" si="124"/>
        <v>1.4810898366512341E-2</v>
      </c>
      <c r="EX48" s="456">
        <f t="shared" si="86"/>
        <v>1.2333873841547765E-4</v>
      </c>
      <c r="EY48" s="456">
        <f t="shared" si="87"/>
        <v>0.1438992721378749</v>
      </c>
      <c r="EZ48" s="456">
        <f t="shared" si="88"/>
        <v>0.16458189773014034</v>
      </c>
      <c r="FA48" s="538">
        <f t="shared" si="89"/>
        <v>4.9068751849493813E-4</v>
      </c>
      <c r="FB48" s="144">
        <f t="shared" si="125"/>
        <v>165.07258524863528</v>
      </c>
      <c r="FC48" s="150">
        <f t="shared" si="126"/>
        <v>1.091988447176111</v>
      </c>
      <c r="FD48" s="5">
        <f t="shared" si="127"/>
        <v>3.44</v>
      </c>
      <c r="FE48" s="150">
        <f t="shared" si="128"/>
        <v>0.75904871340602575</v>
      </c>
      <c r="FF48" s="5">
        <f t="shared" si="129"/>
        <v>75.904871340602568</v>
      </c>
      <c r="FG48">
        <f t="shared" si="130"/>
        <v>43.000000000000007</v>
      </c>
      <c r="FI48" s="59">
        <f t="shared" si="90"/>
        <v>-50</v>
      </c>
      <c r="FJ48">
        <f t="shared" si="91"/>
        <v>-50</v>
      </c>
      <c r="FL48">
        <f t="shared" si="92"/>
        <v>0.82883202513712817</v>
      </c>
    </row>
    <row r="49" spans="5:168">
      <c r="E49" s="147">
        <v>44</v>
      </c>
      <c r="F49" s="188">
        <f t="shared" si="174"/>
        <v>0.52800000000000002</v>
      </c>
      <c r="G49" s="188">
        <f t="shared" si="171"/>
        <v>0.11</v>
      </c>
      <c r="H49" s="188">
        <f t="shared" si="135"/>
        <v>2.64</v>
      </c>
      <c r="I49" s="188">
        <f t="shared" si="175"/>
        <v>0.88</v>
      </c>
      <c r="J49" s="465">
        <f t="shared" si="136"/>
        <v>47.94990775850664</v>
      </c>
      <c r="K49" s="379">
        <f t="shared" si="137"/>
        <v>5.7191112306469813</v>
      </c>
      <c r="L49" s="149">
        <f t="shared" si="138"/>
        <v>53.669018989153621</v>
      </c>
      <c r="M49" s="379"/>
      <c r="N49" s="188">
        <f t="shared" si="139"/>
        <v>0.10656261914909979</v>
      </c>
      <c r="O49" s="149">
        <f t="shared" si="172"/>
        <v>9.5806270475703901</v>
      </c>
      <c r="P49" s="149">
        <f t="shared" si="140"/>
        <v>4.25805646558684</v>
      </c>
      <c r="Q49" s="188">
        <f t="shared" si="6"/>
        <v>1.9161254095140781</v>
      </c>
      <c r="R49" s="188">
        <f t="shared" si="141"/>
        <v>1.1975783809462988</v>
      </c>
      <c r="S49" s="379">
        <f t="shared" si="142"/>
        <v>5</v>
      </c>
      <c r="T49" s="188">
        <f t="shared" si="143"/>
        <v>1.3777803826887791</v>
      </c>
      <c r="U49" s="188">
        <f t="shared" si="10"/>
        <v>0.34480493008523505</v>
      </c>
      <c r="V49" s="188">
        <f t="shared" si="11"/>
        <v>2.890897540804604</v>
      </c>
      <c r="W49" s="172">
        <f t="shared" si="12"/>
        <v>350</v>
      </c>
      <c r="X49" s="379">
        <f t="shared" si="95"/>
        <v>291.06129196949996</v>
      </c>
      <c r="Z49" s="188">
        <f t="shared" si="13"/>
        <v>1.21658756159624</v>
      </c>
      <c r="AA49" s="150">
        <f t="shared" si="14"/>
        <v>2.5526782310025724</v>
      </c>
      <c r="AB49" s="150">
        <f t="shared" si="144"/>
        <v>0.54347240230416416</v>
      </c>
      <c r="AC49" s="150"/>
      <c r="AD49" s="150">
        <f t="shared" si="16"/>
        <v>2.0982281190293417</v>
      </c>
      <c r="AE49" s="314">
        <f t="shared" si="145"/>
        <v>503.28178829693439</v>
      </c>
      <c r="AF49" s="456">
        <f t="shared" si="146"/>
        <v>0.3671899208301348</v>
      </c>
      <c r="AH49" s="150">
        <f t="shared" si="147"/>
        <v>1.2946777499402993</v>
      </c>
      <c r="AI49" s="150">
        <f t="shared" si="148"/>
        <v>1.2946777499402993</v>
      </c>
      <c r="AJ49" s="150">
        <f t="shared" si="149"/>
        <v>1.418279814770592</v>
      </c>
      <c r="AL49" s="314">
        <f t="shared" si="150"/>
        <v>528</v>
      </c>
      <c r="AM49" s="144">
        <f t="shared" si="151"/>
        <v>291.06129196949996</v>
      </c>
      <c r="AO49">
        <f t="shared" si="96"/>
        <v>528</v>
      </c>
      <c r="AP49" s="144">
        <f t="shared" si="24"/>
        <v>291.06129196949996</v>
      </c>
      <c r="AQ49" s="144"/>
      <c r="AR49" s="5">
        <f t="shared" si="97"/>
        <v>3.4357024708898396</v>
      </c>
      <c r="AS49" s="5">
        <f t="shared" si="25"/>
        <v>0.32400756801304537</v>
      </c>
      <c r="AT49" s="5">
        <f t="shared" si="98"/>
        <v>3.1116949028767942</v>
      </c>
      <c r="AU49" s="150">
        <f t="shared" si="99"/>
        <v>9.4306061353772605E-2</v>
      </c>
      <c r="AW49" s="5">
        <f t="shared" si="152"/>
        <v>3.4215199182177591</v>
      </c>
      <c r="AX49" s="5">
        <f t="shared" si="153"/>
        <v>0.4455104060179374</v>
      </c>
      <c r="AY49" s="5">
        <f t="shared" si="28"/>
        <v>7.1384170547381998E-2</v>
      </c>
      <c r="AZ49" s="5"/>
      <c r="BA49" s="150">
        <f t="shared" si="100"/>
        <v>0.22954659794780113</v>
      </c>
      <c r="BB49" s="150">
        <f t="shared" si="154"/>
        <v>0.71136384368391214</v>
      </c>
      <c r="BC49" s="150">
        <f t="shared" si="155"/>
        <v>0.15901074152934505</v>
      </c>
      <c r="BD49" s="150"/>
      <c r="BE49" s="456">
        <f t="shared" si="31"/>
        <v>1.0538328125881892E-3</v>
      </c>
      <c r="BF49" s="456">
        <f t="shared" si="156"/>
        <v>0.37920239020499552</v>
      </c>
      <c r="BG49" s="456">
        <f t="shared" si="157"/>
        <v>0.34890905255023236</v>
      </c>
      <c r="BH49" s="456">
        <f t="shared" si="34"/>
        <v>8.3836235054199099E-2</v>
      </c>
      <c r="BI49">
        <f t="shared" si="35"/>
        <v>2.1577458491327986E-2</v>
      </c>
      <c r="BJ49" s="144">
        <f t="shared" si="101"/>
        <v>370.48651104156033</v>
      </c>
      <c r="BK49">
        <f t="shared" si="158"/>
        <v>0.46449329772212156</v>
      </c>
      <c r="BL49" s="144">
        <f t="shared" si="102"/>
        <v>464.49329772212155</v>
      </c>
      <c r="BM49" s="150">
        <f t="shared" si="159"/>
        <v>0.32801999999999998</v>
      </c>
      <c r="BN49" s="150">
        <f t="shared" si="160"/>
        <v>4.8812499999999995E-2</v>
      </c>
      <c r="BO49" s="456"/>
      <c r="BQ49" s="144">
        <f t="shared" si="103"/>
        <v>376.83249999999998</v>
      </c>
      <c r="BR49" s="456">
        <f t="shared" si="39"/>
        <v>1.5807492188822838E-3</v>
      </c>
      <c r="BS49" s="456">
        <f t="shared" si="104"/>
        <v>1.5181155543022481E-2</v>
      </c>
      <c r="BT49" s="456">
        <f t="shared" si="161"/>
        <v>1.264220796085609E-4</v>
      </c>
      <c r="BU49" s="456">
        <f t="shared" si="41"/>
        <v>0.13782733131353517</v>
      </c>
      <c r="BV49" s="456">
        <f t="shared" si="162"/>
        <v>0.15898365402994896</v>
      </c>
      <c r="BW49" s="538">
        <f t="shared" si="163"/>
        <v>4.8787416558697139E-4</v>
      </c>
      <c r="BX49" s="144">
        <f t="shared" si="105"/>
        <v>159.47152819553591</v>
      </c>
      <c r="BY49" s="150">
        <f t="shared" si="106"/>
        <v>1.0007973259176575</v>
      </c>
      <c r="BZ49" s="5">
        <f t="shared" si="107"/>
        <v>3.52</v>
      </c>
      <c r="CA49" s="150">
        <f t="shared" si="108"/>
        <v>0.77862371308262313</v>
      </c>
      <c r="CB49" s="5">
        <f t="shared" si="109"/>
        <v>77.862371308262311</v>
      </c>
      <c r="CC49">
        <f t="shared" si="173"/>
        <v>44.000000000000007</v>
      </c>
      <c r="CE49" s="59">
        <f t="shared" si="164"/>
        <v>-50</v>
      </c>
      <c r="CF49">
        <f t="shared" si="165"/>
        <v>-50</v>
      </c>
      <c r="CG49" s="150">
        <f t="shared" si="166"/>
        <v>0.82883202513712817</v>
      </c>
      <c r="CH49" s="150">
        <f t="shared" si="167"/>
        <v>0.44965289283354892</v>
      </c>
      <c r="CI49" s="147">
        <v>44</v>
      </c>
      <c r="CJ49" s="188">
        <f t="shared" si="133"/>
        <v>0.52800000000000002</v>
      </c>
      <c r="CK49" s="188">
        <f t="shared" si="111"/>
        <v>0.11</v>
      </c>
      <c r="CL49" s="188">
        <f t="shared" si="48"/>
        <v>2.64</v>
      </c>
      <c r="CM49" s="188">
        <f t="shared" si="134"/>
        <v>0.88</v>
      </c>
      <c r="CN49" s="465">
        <f t="shared" si="112"/>
        <v>48</v>
      </c>
      <c r="CO49" s="379">
        <f t="shared" si="168"/>
        <v>5.7</v>
      </c>
      <c r="CP49" s="379">
        <f t="shared" si="169"/>
        <v>53.7</v>
      </c>
      <c r="CQ49" s="379"/>
      <c r="CR49" s="188">
        <f t="shared" si="113"/>
        <v>0.10112359550561799</v>
      </c>
      <c r="CS49" s="149">
        <f t="shared" si="114"/>
        <v>9.1011235955056193</v>
      </c>
      <c r="CT49" s="149">
        <f t="shared" si="51"/>
        <v>4.0449438202247192</v>
      </c>
      <c r="CU49" s="188">
        <f t="shared" si="52"/>
        <v>1.8202247191011238</v>
      </c>
      <c r="CV49" s="188">
        <f t="shared" si="53"/>
        <v>1.1376404494382024</v>
      </c>
      <c r="CW49" s="379">
        <f t="shared" si="54"/>
        <v>5</v>
      </c>
      <c r="CX49" s="188">
        <f t="shared" si="55"/>
        <v>1.4503703703703703</v>
      </c>
      <c r="CY49" s="188">
        <f t="shared" si="56"/>
        <v>0.36259259259259263</v>
      </c>
      <c r="CZ49" s="188">
        <f t="shared" si="57"/>
        <v>3.0534113060428849</v>
      </c>
      <c r="DA49" s="172">
        <f t="shared" si="58"/>
        <v>350</v>
      </c>
      <c r="DB49" s="379">
        <f t="shared" si="115"/>
        <v>292.73971273845734</v>
      </c>
      <c r="DD49" s="188">
        <f t="shared" si="59"/>
        <v>1.2130885873902635</v>
      </c>
      <c r="DE49" s="150">
        <f t="shared" si="60"/>
        <v>2.5538707102952913</v>
      </c>
      <c r="DF49" s="150">
        <f t="shared" si="61"/>
        <v>0.54216249715765974</v>
      </c>
      <c r="DG49" s="150"/>
      <c r="DH49" s="150">
        <f t="shared" si="62"/>
        <v>2.1052631578947367</v>
      </c>
      <c r="DI49" s="314">
        <f t="shared" si="63"/>
        <v>501.60000000000008</v>
      </c>
      <c r="DJ49" s="456">
        <f t="shared" si="64"/>
        <v>0.36842105263157893</v>
      </c>
      <c r="DL49" s="150">
        <f t="shared" si="65"/>
        <v>1.2946777499402993</v>
      </c>
      <c r="DM49" s="150">
        <f t="shared" si="66"/>
        <v>1.2946777499402993</v>
      </c>
      <c r="DN49" s="150">
        <f t="shared" si="67"/>
        <v>1.418279814770592</v>
      </c>
      <c r="DP49" s="314">
        <f t="shared" si="68"/>
        <v>528</v>
      </c>
      <c r="DQ49" s="144">
        <f t="shared" si="69"/>
        <v>292.73971273845734</v>
      </c>
      <c r="DS49">
        <f t="shared" si="116"/>
        <v>528</v>
      </c>
      <c r="DT49" s="144">
        <f t="shared" si="70"/>
        <v>292.73971273845734</v>
      </c>
      <c r="DU49" s="144"/>
      <c r="DV49" s="5">
        <f t="shared" si="117"/>
        <v>3.4160038986354775</v>
      </c>
      <c r="DW49" s="5">
        <f t="shared" si="71"/>
        <v>0.32366943748507482</v>
      </c>
      <c r="DX49" s="5">
        <f t="shared" si="118"/>
        <v>3.0923344611504024</v>
      </c>
      <c r="DY49" s="150">
        <f t="shared" si="119"/>
        <v>9.4750898151598872E-2</v>
      </c>
      <c r="EA49" s="5">
        <f t="shared" si="72"/>
        <v>3.4179492598423908</v>
      </c>
      <c r="EB49" s="5">
        <f t="shared" si="73"/>
        <v>0.4450454765419779</v>
      </c>
      <c r="EC49" s="5">
        <f t="shared" si="74"/>
        <v>7.0865998068030039E-2</v>
      </c>
      <c r="ED49" s="5"/>
      <c r="EE49" s="150">
        <f t="shared" si="120"/>
        <v>0.23008734072970627</v>
      </c>
      <c r="EF49" s="150">
        <f t="shared" si="75"/>
        <v>0.71118912700215742</v>
      </c>
      <c r="EG49" s="150">
        <f t="shared" si="76"/>
        <v>0.15897168721224694</v>
      </c>
      <c r="EH49" s="150"/>
      <c r="EI49" s="456">
        <f t="shared" si="77"/>
        <v>1.0588036872813591E-3</v>
      </c>
      <c r="EJ49" s="456">
        <f t="shared" si="78"/>
        <v>0.40704985845926883</v>
      </c>
      <c r="EK49" s="456">
        <f t="shared" si="79"/>
        <v>3.6592464092307167E-2</v>
      </c>
      <c r="EL49" s="456">
        <f t="shared" si="80"/>
        <v>8.4417058222676214E-2</v>
      </c>
      <c r="EM49">
        <f t="shared" si="81"/>
        <v>2.1600000000000001E-2</v>
      </c>
      <c r="EN49" s="144">
        <f t="shared" si="121"/>
        <v>58.192464092307169</v>
      </c>
      <c r="EO49">
        <f t="shared" si="82"/>
        <v>0.55114271339736942</v>
      </c>
      <c r="EP49" s="144">
        <f t="shared" si="122"/>
        <v>551.14271339736945</v>
      </c>
      <c r="EQ49" s="150">
        <f t="shared" si="83"/>
        <v>0.32801999999999998</v>
      </c>
      <c r="ER49" s="150">
        <f t="shared" si="170"/>
        <v>4.8812499999999995E-2</v>
      </c>
      <c r="ES49" s="456"/>
      <c r="EU49" s="144">
        <f t="shared" si="123"/>
        <v>376.83249999999998</v>
      </c>
      <c r="EV49" s="456">
        <f t="shared" si="85"/>
        <v>1.5882055309220384E-3</v>
      </c>
      <c r="EW49" s="456">
        <f t="shared" si="124"/>
        <v>1.5173699230982721E-2</v>
      </c>
      <c r="EX49" s="456">
        <f t="shared" si="86"/>
        <v>1.2635998667554239E-4</v>
      </c>
      <c r="EY49" s="456">
        <f t="shared" si="87"/>
        <v>0.13982290505705702</v>
      </c>
      <c r="EZ49" s="456">
        <f t="shared" si="88"/>
        <v>0.16098184967305618</v>
      </c>
      <c r="FA49" s="538">
        <f t="shared" si="89"/>
        <v>4.9068751849493802E-4</v>
      </c>
      <c r="FB49" s="144">
        <f t="shared" si="125"/>
        <v>161.47253719155111</v>
      </c>
      <c r="FC49" s="150">
        <f t="shared" si="126"/>
        <v>1.0894477505889204</v>
      </c>
      <c r="FD49" s="5">
        <f t="shared" si="127"/>
        <v>3.52</v>
      </c>
      <c r="FE49" s="150">
        <f t="shared" si="128"/>
        <v>0.76364896414115369</v>
      </c>
      <c r="FF49" s="5">
        <f t="shared" si="129"/>
        <v>76.364896414115364</v>
      </c>
      <c r="FG49">
        <f t="shared" si="130"/>
        <v>44.000000000000007</v>
      </c>
      <c r="FI49" s="59">
        <f t="shared" si="90"/>
        <v>-50</v>
      </c>
      <c r="FJ49">
        <f t="shared" si="91"/>
        <v>-50</v>
      </c>
      <c r="FL49">
        <f t="shared" si="92"/>
        <v>0.82883202513712817</v>
      </c>
    </row>
    <row r="50" spans="5:168">
      <c r="E50" s="147">
        <v>45</v>
      </c>
      <c r="F50" s="188">
        <f t="shared" si="174"/>
        <v>0.54</v>
      </c>
      <c r="G50" s="188">
        <f t="shared" si="171"/>
        <v>0.1125</v>
      </c>
      <c r="H50" s="188">
        <f t="shared" si="135"/>
        <v>2.7</v>
      </c>
      <c r="I50" s="188">
        <f t="shared" si="175"/>
        <v>0.9</v>
      </c>
      <c r="J50" s="465">
        <f t="shared" si="136"/>
        <v>47.948769298472705</v>
      </c>
      <c r="K50" s="379">
        <f t="shared" si="137"/>
        <v>5.7195455767980485</v>
      </c>
      <c r="L50" s="149">
        <f t="shared" si="138"/>
        <v>53.668314875270752</v>
      </c>
      <c r="M50" s="379"/>
      <c r="N50" s="188">
        <f t="shared" si="139"/>
        <v>0.1065721103800391</v>
      </c>
      <c r="O50" s="149">
        <f t="shared" si="172"/>
        <v>9.5812528767447418</v>
      </c>
      <c r="P50" s="149">
        <f t="shared" si="140"/>
        <v>4.2583346118865517</v>
      </c>
      <c r="Q50" s="188">
        <f t="shared" si="6"/>
        <v>1.9162505753489483</v>
      </c>
      <c r="R50" s="188">
        <f t="shared" si="141"/>
        <v>1.1976566095930927</v>
      </c>
      <c r="S50" s="379">
        <f t="shared" si="142"/>
        <v>5</v>
      </c>
      <c r="T50" s="188">
        <f t="shared" si="143"/>
        <v>1.409001533898212</v>
      </c>
      <c r="U50" s="188">
        <f t="shared" si="10"/>
        <v>0.35262674421378964</v>
      </c>
      <c r="V50" s="188">
        <f t="shared" si="11"/>
        <v>2.9561821266654009</v>
      </c>
      <c r="W50" s="172">
        <f t="shared" si="12"/>
        <v>350</v>
      </c>
      <c r="X50" s="379">
        <f t="shared" si="95"/>
        <v>284.99699949442766</v>
      </c>
      <c r="Z50" s="188">
        <f t="shared" si="13"/>
        <v>1.2166670319675863</v>
      </c>
      <c r="AA50" s="150">
        <f t="shared" si="14"/>
        <v>2.5526511131998881</v>
      </c>
      <c r="AB50" s="150">
        <f t="shared" si="144"/>
        <v>0.54350212937049103</v>
      </c>
      <c r="AC50" s="150"/>
      <c r="AD50" s="150">
        <f t="shared" si="16"/>
        <v>2.0980687781699459</v>
      </c>
      <c r="AE50" s="314">
        <f t="shared" si="145"/>
        <v>514.75910191182436</v>
      </c>
      <c r="AF50" s="456">
        <f t="shared" si="146"/>
        <v>0.36716203617974053</v>
      </c>
      <c r="AH50" s="150">
        <f t="shared" si="147"/>
        <v>1.3093073414159542</v>
      </c>
      <c r="AI50" s="150">
        <f t="shared" si="148"/>
        <v>1.3093073414159542</v>
      </c>
      <c r="AJ50" s="150">
        <f t="shared" si="149"/>
        <v>1.429116549197003</v>
      </c>
      <c r="AL50" s="314">
        <f t="shared" si="150"/>
        <v>540</v>
      </c>
      <c r="AM50" s="144">
        <f t="shared" si="151"/>
        <v>284.99699949442766</v>
      </c>
      <c r="AO50">
        <f t="shared" si="96"/>
        <v>540</v>
      </c>
      <c r="AP50" s="144">
        <f t="shared" si="24"/>
        <v>284.99699949442766</v>
      </c>
      <c r="AQ50" s="144"/>
      <c r="AR50" s="5">
        <f t="shared" si="97"/>
        <v>3.5088088708791907</v>
      </c>
      <c r="AS50" s="5">
        <f t="shared" si="25"/>
        <v>0.32767656661193822</v>
      </c>
      <c r="AT50" s="5">
        <f t="shared" si="98"/>
        <v>3.1811323042672526</v>
      </c>
      <c r="AU50" s="150">
        <f t="shared" si="99"/>
        <v>9.3386838289038349E-2</v>
      </c>
      <c r="AW50" s="5">
        <f t="shared" si="152"/>
        <v>3.5389069194089329</v>
      </c>
      <c r="AX50" s="5">
        <f t="shared" si="153"/>
        <v>0.46079517179803814</v>
      </c>
      <c r="AY50" s="5">
        <f t="shared" si="28"/>
        <v>7.463744939986712E-2</v>
      </c>
      <c r="AZ50" s="5"/>
      <c r="BA50" s="150">
        <f t="shared" si="100"/>
        <v>0.23100629340720608</v>
      </c>
      <c r="BB50" s="150">
        <f t="shared" si="154"/>
        <v>0.71976708999150218</v>
      </c>
      <c r="BC50" s="150">
        <f t="shared" si="155"/>
        <v>0.16088911423339458</v>
      </c>
      <c r="BD50" s="150"/>
      <c r="BE50" s="456">
        <f t="shared" si="31"/>
        <v>1.0672781518747236E-3</v>
      </c>
      <c r="BF50" s="456">
        <f t="shared" si="156"/>
        <v>0.37549237462103563</v>
      </c>
      <c r="BG50" s="456">
        <f t="shared" si="157"/>
        <v>0.34163138448788133</v>
      </c>
      <c r="BH50" s="456">
        <f t="shared" si="34"/>
        <v>8.2087344382183569E-2</v>
      </c>
      <c r="BI50">
        <f t="shared" si="35"/>
        <v>2.1576946184312717E-2</v>
      </c>
      <c r="BJ50" s="144">
        <f t="shared" si="101"/>
        <v>363.20833067219405</v>
      </c>
      <c r="BK50">
        <f t="shared" si="158"/>
        <v>0.4590515709813407</v>
      </c>
      <c r="BL50" s="144">
        <f t="shared" si="102"/>
        <v>459.05157098134072</v>
      </c>
      <c r="BM50" s="150">
        <f t="shared" si="159"/>
        <v>0.33547499999999997</v>
      </c>
      <c r="BN50" s="150">
        <f t="shared" si="160"/>
        <v>4.9921874999999998E-2</v>
      </c>
      <c r="BO50" s="456"/>
      <c r="BQ50" s="144">
        <f t="shared" si="103"/>
        <v>385.39687499999997</v>
      </c>
      <c r="BR50" s="456">
        <f t="shared" si="39"/>
        <v>1.6009172278120853E-3</v>
      </c>
      <c r="BS50" s="456">
        <f t="shared" si="104"/>
        <v>1.5541939915045055E-2</v>
      </c>
      <c r="BT50" s="456">
        <f t="shared" si="161"/>
        <v>1.2942653539403147E-4</v>
      </c>
      <c r="BU50" s="456">
        <f t="shared" si="41"/>
        <v>0.1344852736812131</v>
      </c>
      <c r="BV50" s="456">
        <f t="shared" si="162"/>
        <v>0.15611862745992031</v>
      </c>
      <c r="BW50" s="538">
        <f t="shared" si="163"/>
        <v>4.8856628484759024E-4</v>
      </c>
      <c r="BX50" s="144">
        <f t="shared" si="105"/>
        <v>156.6071937447679</v>
      </c>
      <c r="BY50" s="150">
        <f t="shared" si="106"/>
        <v>1.0010556397261086</v>
      </c>
      <c r="BZ50" s="5">
        <f t="shared" si="107"/>
        <v>3.6</v>
      </c>
      <c r="CA50" s="150">
        <f t="shared" si="108"/>
        <v>0.78242913841709172</v>
      </c>
      <c r="CB50" s="5">
        <f t="shared" si="109"/>
        <v>78.242913841709168</v>
      </c>
      <c r="CC50">
        <f t="shared" si="173"/>
        <v>45.000000000000007</v>
      </c>
      <c r="CE50" s="59">
        <f t="shared" si="164"/>
        <v>-50</v>
      </c>
      <c r="CF50">
        <f t="shared" si="165"/>
        <v>-50</v>
      </c>
      <c r="CG50" s="150">
        <f t="shared" si="166"/>
        <v>0.82883202513712817</v>
      </c>
      <c r="CH50" s="150">
        <f t="shared" si="167"/>
        <v>0.44965289283354887</v>
      </c>
      <c r="CI50" s="147">
        <v>45</v>
      </c>
      <c r="CJ50" s="188">
        <f t="shared" si="133"/>
        <v>0.54</v>
      </c>
      <c r="CK50" s="188">
        <f t="shared" si="111"/>
        <v>0.1125</v>
      </c>
      <c r="CL50" s="188">
        <f t="shared" si="48"/>
        <v>2.7</v>
      </c>
      <c r="CM50" s="188">
        <f t="shared" si="134"/>
        <v>0.9</v>
      </c>
      <c r="CN50" s="465">
        <f t="shared" si="112"/>
        <v>48</v>
      </c>
      <c r="CO50" s="379">
        <f t="shared" si="168"/>
        <v>5.7</v>
      </c>
      <c r="CP50" s="379">
        <f t="shared" si="169"/>
        <v>53.7</v>
      </c>
      <c r="CQ50" s="379"/>
      <c r="CR50" s="188">
        <f t="shared" si="113"/>
        <v>0.10112359550561799</v>
      </c>
      <c r="CS50" s="149">
        <f t="shared" si="114"/>
        <v>9.1011235955056193</v>
      </c>
      <c r="CT50" s="149">
        <f t="shared" si="51"/>
        <v>4.0449438202247192</v>
      </c>
      <c r="CU50" s="188">
        <f t="shared" si="52"/>
        <v>1.8202247191011238</v>
      </c>
      <c r="CV50" s="188">
        <f t="shared" si="53"/>
        <v>1.1376404494382024</v>
      </c>
      <c r="CW50" s="379">
        <f t="shared" si="54"/>
        <v>5</v>
      </c>
      <c r="CX50" s="188">
        <f t="shared" si="55"/>
        <v>1.4833333333333332</v>
      </c>
      <c r="CY50" s="188">
        <f t="shared" si="56"/>
        <v>0.37083333333333329</v>
      </c>
      <c r="CZ50" s="188">
        <f t="shared" si="57"/>
        <v>3.1228070175438596</v>
      </c>
      <c r="DA50" s="172">
        <f t="shared" si="58"/>
        <v>350</v>
      </c>
      <c r="DB50" s="379">
        <f t="shared" si="115"/>
        <v>286.23438578871384</v>
      </c>
      <c r="DD50" s="188">
        <f t="shared" si="59"/>
        <v>1.2130885873902635</v>
      </c>
      <c r="DE50" s="150">
        <f t="shared" si="60"/>
        <v>2.5538707102952913</v>
      </c>
      <c r="DF50" s="150">
        <f t="shared" si="61"/>
        <v>0.54216249715765974</v>
      </c>
      <c r="DG50" s="150"/>
      <c r="DH50" s="150">
        <f t="shared" si="62"/>
        <v>2.1052631578947367</v>
      </c>
      <c r="DI50" s="314">
        <f t="shared" si="63"/>
        <v>513.00000000000011</v>
      </c>
      <c r="DJ50" s="456">
        <f t="shared" si="64"/>
        <v>0.36842105263157893</v>
      </c>
      <c r="DL50" s="150">
        <f t="shared" si="65"/>
        <v>1.3093073414159542</v>
      </c>
      <c r="DM50" s="150">
        <f t="shared" si="66"/>
        <v>1.3093073414159542</v>
      </c>
      <c r="DN50" s="150">
        <f t="shared" si="67"/>
        <v>1.429116549197003</v>
      </c>
      <c r="DP50" s="314">
        <f t="shared" si="68"/>
        <v>540</v>
      </c>
      <c r="DQ50" s="144">
        <f t="shared" si="69"/>
        <v>286.23438578871384</v>
      </c>
      <c r="DS50">
        <f t="shared" si="116"/>
        <v>540</v>
      </c>
      <c r="DT50" s="144">
        <f t="shared" si="70"/>
        <v>286.23438578871384</v>
      </c>
      <c r="DU50" s="144"/>
      <c r="DV50" s="5">
        <f t="shared" si="117"/>
        <v>3.4936403508771927</v>
      </c>
      <c r="DW50" s="5">
        <f t="shared" si="71"/>
        <v>0.32732683535398854</v>
      </c>
      <c r="DX50" s="5">
        <f t="shared" si="118"/>
        <v>3.1663135155232043</v>
      </c>
      <c r="DY50" s="150">
        <f t="shared" si="119"/>
        <v>9.3692195669712375E-2</v>
      </c>
      <c r="EA50" s="5">
        <f t="shared" si="72"/>
        <v>3.5351298218230762</v>
      </c>
      <c r="EB50" s="5">
        <f t="shared" si="73"/>
        <v>0.46030336221654644</v>
      </c>
      <c r="EC50" s="5">
        <f t="shared" si="74"/>
        <v>7.4210473020075093E-2</v>
      </c>
      <c r="ED50" s="5"/>
      <c r="EE50" s="150">
        <f t="shared" si="120"/>
        <v>0.23138365872625904</v>
      </c>
      <c r="EF50" s="150">
        <f t="shared" si="75"/>
        <v>0.71964586700892086</v>
      </c>
      <c r="EG50" s="150">
        <f t="shared" si="76"/>
        <v>0.16086201733140582</v>
      </c>
      <c r="EH50" s="150"/>
      <c r="EI50" s="456">
        <f t="shared" si="77"/>
        <v>1.0707679505109983E-3</v>
      </c>
      <c r="EJ50" s="456">
        <f t="shared" si="78"/>
        <v>0.40250167259708441</v>
      </c>
      <c r="EK50" s="456">
        <f t="shared" si="79"/>
        <v>3.5779298223589225E-2</v>
      </c>
      <c r="EL50" s="456">
        <f t="shared" si="80"/>
        <v>8.2541123595505639E-2</v>
      </c>
      <c r="EM50">
        <f t="shared" si="81"/>
        <v>2.1600000000000001E-2</v>
      </c>
      <c r="EN50" s="144">
        <f t="shared" si="121"/>
        <v>57.379298223589224</v>
      </c>
      <c r="EO50">
        <f t="shared" si="82"/>
        <v>0.54392035091843216</v>
      </c>
      <c r="EP50" s="144">
        <f t="shared" si="122"/>
        <v>543.92035091843218</v>
      </c>
      <c r="EQ50" s="150">
        <f t="shared" si="83"/>
        <v>0.33547499999999997</v>
      </c>
      <c r="ER50" s="150">
        <f t="shared" si="170"/>
        <v>4.9921874999999998E-2</v>
      </c>
      <c r="ES50" s="456"/>
      <c r="EU50" s="144">
        <f t="shared" si="123"/>
        <v>385.39687499999997</v>
      </c>
      <c r="EV50" s="456">
        <f t="shared" si="85"/>
        <v>1.6061519257664972E-3</v>
      </c>
      <c r="EW50" s="456">
        <f t="shared" si="124"/>
        <v>1.5536705217090642E-2</v>
      </c>
      <c r="EX50" s="456">
        <f t="shared" si="86"/>
        <v>1.2938294309964752E-4</v>
      </c>
      <c r="EY50" s="456">
        <f t="shared" si="87"/>
        <v>0.13594978480429476</v>
      </c>
      <c r="EZ50" s="456">
        <f t="shared" si="88"/>
        <v>0.15758511033966188</v>
      </c>
      <c r="FA50" s="538">
        <f t="shared" si="89"/>
        <v>4.9068751849493792E-4</v>
      </c>
      <c r="FB50" s="144">
        <f t="shared" si="125"/>
        <v>158.07579785815682</v>
      </c>
      <c r="FC50" s="150">
        <f t="shared" si="126"/>
        <v>1.087393023776589</v>
      </c>
      <c r="FD50" s="5">
        <f t="shared" si="127"/>
        <v>3.6</v>
      </c>
      <c r="FE50" s="150">
        <f t="shared" si="128"/>
        <v>0.76801752738444651</v>
      </c>
      <c r="FF50" s="5">
        <f t="shared" si="129"/>
        <v>76.801752738444648</v>
      </c>
      <c r="FG50">
        <f t="shared" si="130"/>
        <v>45.000000000000007</v>
      </c>
      <c r="FI50" s="59">
        <f t="shared" si="90"/>
        <v>-50</v>
      </c>
      <c r="FJ50">
        <f t="shared" si="91"/>
        <v>-50</v>
      </c>
      <c r="FL50">
        <f t="shared" si="92"/>
        <v>0.82883202513712817</v>
      </c>
    </row>
    <row r="51" spans="5:168">
      <c r="E51" s="147">
        <v>46</v>
      </c>
      <c r="F51" s="188">
        <f t="shared" si="174"/>
        <v>0.55200000000000005</v>
      </c>
      <c r="G51" s="188">
        <f t="shared" si="171"/>
        <v>0.115</v>
      </c>
      <c r="H51" s="188">
        <f t="shared" si="135"/>
        <v>2.7600000000000002</v>
      </c>
      <c r="I51" s="188">
        <f t="shared" si="175"/>
        <v>0.92</v>
      </c>
      <c r="J51" s="465">
        <f t="shared" si="136"/>
        <v>47.947630838438762</v>
      </c>
      <c r="K51" s="379">
        <f t="shared" si="137"/>
        <v>5.7199799229491166</v>
      </c>
      <c r="L51" s="149">
        <f t="shared" si="138"/>
        <v>53.667610761387877</v>
      </c>
      <c r="M51" s="379"/>
      <c r="N51" s="188">
        <f t="shared" si="139"/>
        <v>0.10658160186002651</v>
      </c>
      <c r="O51" s="149">
        <f t="shared" si="172"/>
        <v>9.5818786877887678</v>
      </c>
      <c r="P51" s="149">
        <f t="shared" si="140"/>
        <v>4.2586127501283411</v>
      </c>
      <c r="Q51" s="188">
        <f t="shared" si="6"/>
        <v>1.9163757375577535</v>
      </c>
      <c r="R51" s="188">
        <f t="shared" si="141"/>
        <v>1.197734835973596</v>
      </c>
      <c r="S51" s="379">
        <f t="shared" si="142"/>
        <v>5</v>
      </c>
      <c r="T51" s="188">
        <f t="shared" si="143"/>
        <v>1.4402186094869731</v>
      </c>
      <c r="U51" s="188">
        <f t="shared" si="10"/>
        <v>0.36044790976384394</v>
      </c>
      <c r="V51" s="188">
        <f t="shared" si="11"/>
        <v>3.0214482474849449</v>
      </c>
      <c r="W51" s="172">
        <f t="shared" si="12"/>
        <v>350</v>
      </c>
      <c r="X51" s="379">
        <f t="shared" si="95"/>
        <v>279.18173953096613</v>
      </c>
      <c r="Z51" s="188">
        <f t="shared" si="13"/>
        <v>1.2167465000366688</v>
      </c>
      <c r="AA51" s="150">
        <f t="shared" si="14"/>
        <v>2.5526239946856388</v>
      </c>
      <c r="AB51" s="150">
        <f t="shared" si="144"/>
        <v>0.54353185450259001</v>
      </c>
      <c r="AC51" s="150"/>
      <c r="AD51" s="150">
        <f t="shared" si="16"/>
        <v>2.0979094615096168</v>
      </c>
      <c r="AE51" s="314">
        <f t="shared" si="145"/>
        <v>526.23815291131882</v>
      </c>
      <c r="AF51" s="456">
        <f t="shared" si="146"/>
        <v>0.36713415576418296</v>
      </c>
      <c r="AH51" s="150">
        <f t="shared" si="147"/>
        <v>1.3237752650585946</v>
      </c>
      <c r="AI51" s="150">
        <f t="shared" si="148"/>
        <v>1.4402186094869731</v>
      </c>
      <c r="AJ51" s="150">
        <f t="shared" si="149"/>
        <v>1.5260878588792393</v>
      </c>
      <c r="AL51" s="314">
        <f t="shared" si="150"/>
        <v>552</v>
      </c>
      <c r="AM51" s="144">
        <f t="shared" si="151"/>
        <v>279.18173953096613</v>
      </c>
      <c r="AO51">
        <f t="shared" si="96"/>
        <v>552</v>
      </c>
      <c r="AP51" s="144">
        <f t="shared" si="24"/>
        <v>279.18173953096613</v>
      </c>
      <c r="AQ51" s="144"/>
      <c r="AR51" s="5">
        <f t="shared" si="97"/>
        <v>3.5818961572487891</v>
      </c>
      <c r="AS51" s="5">
        <f t="shared" si="25"/>
        <v>0.36044790976384394</v>
      </c>
      <c r="AT51" s="5">
        <f t="shared" si="98"/>
        <v>3.2214482474849451</v>
      </c>
      <c r="AU51" s="150">
        <f t="shared" si="99"/>
        <v>0.10063047445817067</v>
      </c>
      <c r="AW51" s="5">
        <f t="shared" si="152"/>
        <v>3.9793449237928376</v>
      </c>
      <c r="AX51" s="5">
        <f t="shared" si="153"/>
        <v>0.51814387028552567</v>
      </c>
      <c r="AY51" s="5">
        <f t="shared" si="28"/>
        <v>7.7264828727214657E-2</v>
      </c>
      <c r="AZ51" s="5"/>
      <c r="BA51" s="150">
        <f t="shared" si="100"/>
        <v>0.26377434366115671</v>
      </c>
      <c r="BB51" s="150">
        <f t="shared" si="154"/>
        <v>0.78856386974274706</v>
      </c>
      <c r="BC51" s="150">
        <f t="shared" si="155"/>
        <v>0.17626721794249639</v>
      </c>
      <c r="BD51" s="150"/>
      <c r="BE51" s="456">
        <f t="shared" si="31"/>
        <v>1.39153808747748E-3</v>
      </c>
      <c r="BF51" s="456">
        <f t="shared" si="156"/>
        <v>0.40460287138437406</v>
      </c>
      <c r="BG51" s="456">
        <f t="shared" si="157"/>
        <v>0.33465257459659825</v>
      </c>
      <c r="BH51" s="456">
        <f t="shared" si="34"/>
        <v>8.0410272056800555E-2</v>
      </c>
      <c r="BI51">
        <f t="shared" si="35"/>
        <v>2.1576433877297442E-2</v>
      </c>
      <c r="BJ51" s="144">
        <f t="shared" si="101"/>
        <v>356.2290084738957</v>
      </c>
      <c r="BK51">
        <f t="shared" si="158"/>
        <v>0.48694139397734171</v>
      </c>
      <c r="BL51" s="144">
        <f t="shared" si="102"/>
        <v>486.9413939773417</v>
      </c>
      <c r="BM51" s="150">
        <f t="shared" si="159"/>
        <v>0.34293000000000001</v>
      </c>
      <c r="BN51" s="150">
        <f t="shared" si="160"/>
        <v>5.103125E-2</v>
      </c>
      <c r="BO51" s="456"/>
      <c r="BQ51" s="144">
        <f t="shared" si="103"/>
        <v>393.96125000000006</v>
      </c>
      <c r="BR51" s="456">
        <f t="shared" si="39"/>
        <v>2.0873071312162198E-3</v>
      </c>
      <c r="BS51" s="456">
        <f t="shared" si="104"/>
        <v>1.8654989299909684E-2</v>
      </c>
      <c r="BT51" s="456">
        <f t="shared" si="161"/>
        <v>1.5535066060593761E-4</v>
      </c>
      <c r="BU51" s="456">
        <f t="shared" si="41"/>
        <v>0.16209087711535644</v>
      </c>
      <c r="BV51" s="456">
        <f t="shared" si="162"/>
        <v>0.18831879308339172</v>
      </c>
      <c r="BW51" s="538">
        <f t="shared" si="163"/>
        <v>5.7908703995086807E-4</v>
      </c>
      <c r="BX51" s="144">
        <f t="shared" si="105"/>
        <v>188.89788012334262</v>
      </c>
      <c r="BY51" s="150">
        <f t="shared" si="106"/>
        <v>1.0698005241006843</v>
      </c>
      <c r="BZ51" s="5">
        <f t="shared" si="107"/>
        <v>3.68</v>
      </c>
      <c r="CA51" s="150">
        <f t="shared" si="108"/>
        <v>0.77476937848811289</v>
      </c>
      <c r="CB51" s="5">
        <f t="shared" si="109"/>
        <v>77.476937848811289</v>
      </c>
      <c r="CC51">
        <f t="shared" si="173"/>
        <v>46.000000000000007</v>
      </c>
      <c r="CE51" s="59">
        <f t="shared" si="164"/>
        <v>-50</v>
      </c>
      <c r="CF51">
        <f t="shared" si="165"/>
        <v>-50</v>
      </c>
      <c r="CG51" s="150">
        <f t="shared" si="166"/>
        <v>0.82883202513712817</v>
      </c>
      <c r="CH51" s="150">
        <f t="shared" si="167"/>
        <v>0.44965289283354887</v>
      </c>
      <c r="CI51" s="147">
        <v>46</v>
      </c>
      <c r="CJ51" s="188">
        <f t="shared" si="133"/>
        <v>0.55200000000000005</v>
      </c>
      <c r="CK51" s="188">
        <f t="shared" si="111"/>
        <v>0.115</v>
      </c>
      <c r="CL51" s="188">
        <f t="shared" si="48"/>
        <v>2.7600000000000002</v>
      </c>
      <c r="CM51" s="188">
        <f t="shared" si="134"/>
        <v>0.92</v>
      </c>
      <c r="CN51" s="465">
        <f t="shared" si="112"/>
        <v>48</v>
      </c>
      <c r="CO51" s="379">
        <f t="shared" si="168"/>
        <v>5.7</v>
      </c>
      <c r="CP51" s="379">
        <f t="shared" si="169"/>
        <v>53.7</v>
      </c>
      <c r="CQ51" s="379"/>
      <c r="CR51" s="188">
        <f t="shared" si="113"/>
        <v>0.10112359550561799</v>
      </c>
      <c r="CS51" s="149">
        <f t="shared" si="114"/>
        <v>9.1011235955056193</v>
      </c>
      <c r="CT51" s="149">
        <f t="shared" si="51"/>
        <v>4.0449438202247192</v>
      </c>
      <c r="CU51" s="188">
        <f t="shared" si="52"/>
        <v>1.8202247191011238</v>
      </c>
      <c r="CV51" s="188">
        <f t="shared" si="53"/>
        <v>1.1376404494382024</v>
      </c>
      <c r="CW51" s="379">
        <f t="shared" si="54"/>
        <v>5</v>
      </c>
      <c r="CX51" s="188">
        <f t="shared" si="55"/>
        <v>1.5162962962962963</v>
      </c>
      <c r="CY51" s="188">
        <f t="shared" si="56"/>
        <v>0.37907407407407412</v>
      </c>
      <c r="CZ51" s="188">
        <f t="shared" si="57"/>
        <v>3.1922027290448343</v>
      </c>
      <c r="DA51" s="172">
        <f t="shared" si="58"/>
        <v>350</v>
      </c>
      <c r="DB51" s="379">
        <f t="shared" si="115"/>
        <v>280.01189914113309</v>
      </c>
      <c r="DD51" s="188">
        <f t="shared" si="59"/>
        <v>1.2130885873902635</v>
      </c>
      <c r="DE51" s="150">
        <f t="shared" si="60"/>
        <v>2.5538707102952913</v>
      </c>
      <c r="DF51" s="150">
        <f t="shared" si="61"/>
        <v>0.54216249715765974</v>
      </c>
      <c r="DG51" s="150"/>
      <c r="DH51" s="150">
        <f t="shared" si="62"/>
        <v>2.1052631578947367</v>
      </c>
      <c r="DI51" s="314">
        <f t="shared" si="63"/>
        <v>524.40000000000009</v>
      </c>
      <c r="DJ51" s="456">
        <f t="shared" si="64"/>
        <v>0.36842105263157893</v>
      </c>
      <c r="DL51" s="150">
        <f t="shared" si="65"/>
        <v>1.3237752650585946</v>
      </c>
      <c r="DM51" s="150">
        <f t="shared" si="66"/>
        <v>1.5162962962962963</v>
      </c>
      <c r="DN51" s="150">
        <f t="shared" si="67"/>
        <v>1.5824417009602194</v>
      </c>
      <c r="DP51" s="314">
        <f t="shared" si="68"/>
        <v>552</v>
      </c>
      <c r="DQ51" s="144">
        <f t="shared" si="69"/>
        <v>280.01189914113309</v>
      </c>
      <c r="DS51">
        <f t="shared" si="116"/>
        <v>552</v>
      </c>
      <c r="DT51" s="144">
        <f t="shared" si="70"/>
        <v>280.01189914113309</v>
      </c>
      <c r="DU51" s="144"/>
      <c r="DV51" s="5">
        <f t="shared" si="117"/>
        <v>3.5712768031189084</v>
      </c>
      <c r="DW51" s="5">
        <f t="shared" si="71"/>
        <v>0.37907407407407412</v>
      </c>
      <c r="DX51" s="5">
        <f t="shared" si="118"/>
        <v>3.1922027290448343</v>
      </c>
      <c r="DY51" s="150">
        <f t="shared" si="119"/>
        <v>0.10614525139664806</v>
      </c>
      <c r="EA51" s="5">
        <f t="shared" si="72"/>
        <v>4.1849777777777781</v>
      </c>
      <c r="EB51" s="5">
        <f t="shared" si="73"/>
        <v>0.54491898148148155</v>
      </c>
      <c r="EC51" s="5">
        <f t="shared" si="74"/>
        <v>7.6479857050032476E-2</v>
      </c>
      <c r="ED51" s="5"/>
      <c r="EE51" s="150">
        <f t="shared" si="120"/>
        <v>0.28521589948745574</v>
      </c>
      <c r="EF51" s="150">
        <f t="shared" si="75"/>
        <v>0.82766944492765349</v>
      </c>
      <c r="EG51" s="150">
        <f t="shared" si="76"/>
        <v>0.18500846416029904</v>
      </c>
      <c r="EH51" s="150"/>
      <c r="EI51" s="456">
        <f t="shared" si="77"/>
        <v>1.6269621864087691E-3</v>
      </c>
      <c r="EJ51" s="456">
        <f t="shared" si="78"/>
        <v>0.45600000000000002</v>
      </c>
      <c r="EK51" s="456">
        <f t="shared" si="79"/>
        <v>3.5001487392641632E-2</v>
      </c>
      <c r="EL51" s="456">
        <f t="shared" si="80"/>
        <v>8.0746751343429429E-2</v>
      </c>
      <c r="EM51">
        <f t="shared" si="81"/>
        <v>2.1600000000000001E-2</v>
      </c>
      <c r="EN51" s="144">
        <f t="shared" si="121"/>
        <v>56.60148739264163</v>
      </c>
      <c r="EO51">
        <f t="shared" si="82"/>
        <v>0.59564473684450903</v>
      </c>
      <c r="EP51" s="144">
        <f t="shared" si="122"/>
        <v>595.644736844509</v>
      </c>
      <c r="EQ51" s="150">
        <f t="shared" si="83"/>
        <v>0.34293000000000001</v>
      </c>
      <c r="ER51" s="150">
        <f t="shared" si="170"/>
        <v>5.103125E-2</v>
      </c>
      <c r="ES51" s="456"/>
      <c r="EU51" s="144">
        <f t="shared" si="123"/>
        <v>393.96125000000006</v>
      </c>
      <c r="EV51" s="456">
        <f t="shared" si="85"/>
        <v>2.4404432796131534E-3</v>
      </c>
      <c r="EW51" s="456">
        <f t="shared" si="124"/>
        <v>2.0551101302005503E-2</v>
      </c>
      <c r="EX51" s="456">
        <f t="shared" si="86"/>
        <v>1.7114065905476328E-4</v>
      </c>
      <c r="EY51" s="456">
        <f t="shared" si="87"/>
        <v>0.18572544499675719</v>
      </c>
      <c r="EZ51" s="456">
        <f t="shared" si="88"/>
        <v>0.21484528619435722</v>
      </c>
      <c r="FA51" s="538">
        <f t="shared" si="89"/>
        <v>6.4379060624870671E-4</v>
      </c>
      <c r="FB51" s="144">
        <f t="shared" si="125"/>
        <v>215.48907680060591</v>
      </c>
      <c r="FC51" s="150">
        <f t="shared" si="126"/>
        <v>1.2050950636451148</v>
      </c>
      <c r="FD51" s="5">
        <f t="shared" si="127"/>
        <v>3.68</v>
      </c>
      <c r="FE51" s="150">
        <f t="shared" si="128"/>
        <v>0.75331185003677126</v>
      </c>
      <c r="FF51" s="5">
        <f t="shared" si="129"/>
        <v>75.33118500367712</v>
      </c>
      <c r="FG51">
        <f t="shared" si="130"/>
        <v>46.000000000000007</v>
      </c>
      <c r="FI51" s="59">
        <f t="shared" si="90"/>
        <v>-50</v>
      </c>
      <c r="FJ51">
        <f t="shared" si="91"/>
        <v>-50</v>
      </c>
      <c r="FL51">
        <f t="shared" si="92"/>
        <v>0.82883202513712817</v>
      </c>
    </row>
    <row r="52" spans="5:168">
      <c r="E52" s="147">
        <v>47</v>
      </c>
      <c r="F52" s="188">
        <f t="shared" si="174"/>
        <v>0.56399999999999995</v>
      </c>
      <c r="G52" s="188">
        <f t="shared" si="171"/>
        <v>0.11749999999999999</v>
      </c>
      <c r="H52" s="188">
        <f t="shared" si="135"/>
        <v>2.82</v>
      </c>
      <c r="I52" s="188">
        <f t="shared" si="175"/>
        <v>0.94</v>
      </c>
      <c r="J52" s="465">
        <f t="shared" si="136"/>
        <v>47.94649237840482</v>
      </c>
      <c r="K52" s="379">
        <f t="shared" si="137"/>
        <v>5.7204142691001847</v>
      </c>
      <c r="L52" s="149">
        <f t="shared" si="138"/>
        <v>53.666906647505002</v>
      </c>
      <c r="M52" s="379"/>
      <c r="N52" s="188">
        <f t="shared" si="139"/>
        <v>0.10659109358907179</v>
      </c>
      <c r="O52" s="149">
        <f t="shared" si="172"/>
        <v>9.582504480701747</v>
      </c>
      <c r="P52" s="149">
        <f t="shared" si="140"/>
        <v>4.2588908803118866</v>
      </c>
      <c r="Q52" s="188">
        <f t="shared" si="6"/>
        <v>1.9165008961403494</v>
      </c>
      <c r="R52" s="188">
        <f t="shared" si="141"/>
        <v>1.1978130600877184</v>
      </c>
      <c r="S52" s="379">
        <f t="shared" si="142"/>
        <v>5</v>
      </c>
      <c r="T52" s="188">
        <f t="shared" si="143"/>
        <v>1.47143161043087</v>
      </c>
      <c r="U52" s="188">
        <f t="shared" si="10"/>
        <v>0.36826842693342177</v>
      </c>
      <c r="V52" s="188">
        <f t="shared" si="11"/>
        <v>3.0866959095163393</v>
      </c>
      <c r="W52" s="172">
        <f t="shared" si="12"/>
        <v>350</v>
      </c>
      <c r="X52" s="379">
        <f t="shared" si="95"/>
        <v>273.60048086579883</v>
      </c>
      <c r="Z52" s="188">
        <f t="shared" si="13"/>
        <v>1.2168259658033964</v>
      </c>
      <c r="AA52" s="150">
        <f t="shared" si="14"/>
        <v>2.5525968754597952</v>
      </c>
      <c r="AB52" s="150">
        <f t="shared" si="144"/>
        <v>0.54356157770041691</v>
      </c>
      <c r="AC52" s="150"/>
      <c r="AD52" s="150">
        <f t="shared" si="16"/>
        <v>2.0977501690428424</v>
      </c>
      <c r="AE52" s="314">
        <f t="shared" si="145"/>
        <v>537.71894129541727</v>
      </c>
      <c r="AF52" s="456">
        <f t="shared" si="146"/>
        <v>0.36710627958249742</v>
      </c>
      <c r="AH52" s="150">
        <f t="shared" si="147"/>
        <v>1.3380867649282651</v>
      </c>
      <c r="AI52" s="150">
        <f t="shared" si="148"/>
        <v>1.47143161043087</v>
      </c>
      <c r="AJ52" s="150">
        <f t="shared" si="149"/>
        <v>1.549208600319163</v>
      </c>
      <c r="AL52" s="314">
        <f t="shared" si="150"/>
        <v>564</v>
      </c>
      <c r="AM52" s="144">
        <f t="shared" si="151"/>
        <v>273.60048086579883</v>
      </c>
      <c r="AO52">
        <f t="shared" si="96"/>
        <v>564</v>
      </c>
      <c r="AP52" s="144">
        <f t="shared" si="24"/>
        <v>273.60048086579883</v>
      </c>
      <c r="AQ52" s="144"/>
      <c r="AR52" s="5">
        <f t="shared" si="97"/>
        <v>3.654964336449761</v>
      </c>
      <c r="AS52" s="5">
        <f t="shared" si="25"/>
        <v>0.36826842693342177</v>
      </c>
      <c r="AT52" s="5">
        <f t="shared" si="98"/>
        <v>3.2866959095163395</v>
      </c>
      <c r="AU52" s="150">
        <f t="shared" si="99"/>
        <v>0.1007584186966755</v>
      </c>
      <c r="AW52" s="5">
        <f t="shared" si="152"/>
        <v>4.1540678558089974</v>
      </c>
      <c r="AX52" s="5">
        <f t="shared" si="153"/>
        <v>0.5408942520584632</v>
      </c>
      <c r="AY52" s="5">
        <f t="shared" si="28"/>
        <v>8.0545364261538549E-2</v>
      </c>
      <c r="AZ52" s="5"/>
      <c r="BA52" s="150">
        <f t="shared" si="100"/>
        <v>0.26966223259743183</v>
      </c>
      <c r="BB52" s="150">
        <f t="shared" si="154"/>
        <v>0.80559663709718676</v>
      </c>
      <c r="BC52" s="150">
        <f t="shared" si="155"/>
        <v>0.1800745424099594</v>
      </c>
      <c r="BD52" s="150"/>
      <c r="BE52" s="456">
        <f t="shared" si="31"/>
        <v>1.4543543937886286E-3</v>
      </c>
      <c r="BF52" s="456">
        <f t="shared" si="156"/>
        <v>0.40510236013625844</v>
      </c>
      <c r="BG52" s="456">
        <f t="shared" si="157"/>
        <v>0.32795458426399787</v>
      </c>
      <c r="BH52" s="456">
        <f t="shared" si="34"/>
        <v>7.8800683234836397E-2</v>
      </c>
      <c r="BI52">
        <f t="shared" si="35"/>
        <v>2.1575921570282167E-2</v>
      </c>
      <c r="BJ52" s="144">
        <f t="shared" si="101"/>
        <v>349.53050583428001</v>
      </c>
      <c r="BK52">
        <f t="shared" si="158"/>
        <v>0.4859179846479505</v>
      </c>
      <c r="BL52" s="144">
        <f t="shared" si="102"/>
        <v>485.9179846479505</v>
      </c>
      <c r="BM52" s="150">
        <f t="shared" si="159"/>
        <v>0.35038499999999995</v>
      </c>
      <c r="BN52" s="150">
        <f t="shared" si="160"/>
        <v>5.2140624999999996E-2</v>
      </c>
      <c r="BO52" s="456"/>
      <c r="BQ52" s="144">
        <f t="shared" si="103"/>
        <v>402.52562499999993</v>
      </c>
      <c r="BR52" s="456">
        <f t="shared" si="39"/>
        <v>2.1815315906829427E-3</v>
      </c>
      <c r="BS52" s="456">
        <f t="shared" si="104"/>
        <v>1.9469578251068893E-2</v>
      </c>
      <c r="BT52" s="456">
        <f t="shared" si="161"/>
        <v>1.6213420412078134E-4</v>
      </c>
      <c r="BU52" s="456">
        <f t="shared" si="41"/>
        <v>0.16259693296889063</v>
      </c>
      <c r="BV52" s="456">
        <f t="shared" si="162"/>
        <v>0.18997687654346188</v>
      </c>
      <c r="BW52" s="538">
        <f t="shared" si="163"/>
        <v>5.9237540639815311E-4</v>
      </c>
      <c r="BX52" s="144">
        <f t="shared" si="105"/>
        <v>190.56925194986002</v>
      </c>
      <c r="BY52" s="150">
        <f t="shared" si="106"/>
        <v>1.0790128615978105</v>
      </c>
      <c r="BZ52" s="5">
        <f t="shared" si="107"/>
        <v>3.76</v>
      </c>
      <c r="CA52" s="150">
        <f t="shared" si="108"/>
        <v>0.77701798022468416</v>
      </c>
      <c r="CB52" s="5">
        <f t="shared" si="109"/>
        <v>77.701798022468409</v>
      </c>
      <c r="CC52">
        <f t="shared" si="173"/>
        <v>47</v>
      </c>
      <c r="CE52" s="59">
        <f t="shared" si="164"/>
        <v>-50</v>
      </c>
      <c r="CF52">
        <f t="shared" si="165"/>
        <v>-50</v>
      </c>
      <c r="CG52" s="150">
        <f t="shared" si="166"/>
        <v>0.82883202513712817</v>
      </c>
      <c r="CH52" s="150">
        <f t="shared" si="167"/>
        <v>0.44965289283354892</v>
      </c>
      <c r="CI52" s="147">
        <v>47</v>
      </c>
      <c r="CJ52" s="188">
        <f t="shared" si="133"/>
        <v>0.56399999999999995</v>
      </c>
      <c r="CK52" s="188">
        <f t="shared" si="111"/>
        <v>0.11749999999999999</v>
      </c>
      <c r="CL52" s="188">
        <f t="shared" si="48"/>
        <v>2.82</v>
      </c>
      <c r="CM52" s="188">
        <f t="shared" si="134"/>
        <v>0.94</v>
      </c>
      <c r="CN52" s="465">
        <f t="shared" si="112"/>
        <v>48</v>
      </c>
      <c r="CO52" s="379">
        <f t="shared" si="168"/>
        <v>5.7</v>
      </c>
      <c r="CP52" s="379">
        <f t="shared" si="169"/>
        <v>53.7</v>
      </c>
      <c r="CQ52" s="379"/>
      <c r="CR52" s="188">
        <f t="shared" si="113"/>
        <v>0.10112359550561799</v>
      </c>
      <c r="CS52" s="149">
        <f t="shared" si="114"/>
        <v>9.1011235955056193</v>
      </c>
      <c r="CT52" s="149">
        <f t="shared" si="51"/>
        <v>4.0449438202247192</v>
      </c>
      <c r="CU52" s="188">
        <f t="shared" si="52"/>
        <v>1.8202247191011238</v>
      </c>
      <c r="CV52" s="188">
        <f t="shared" si="53"/>
        <v>1.1376404494382024</v>
      </c>
      <c r="CW52" s="379">
        <f t="shared" si="54"/>
        <v>5</v>
      </c>
      <c r="CX52" s="188">
        <f t="shared" si="55"/>
        <v>1.5492592592592591</v>
      </c>
      <c r="CY52" s="188">
        <f t="shared" si="56"/>
        <v>0.38731481481481483</v>
      </c>
      <c r="CZ52" s="188">
        <f t="shared" si="57"/>
        <v>3.2615984405458089</v>
      </c>
      <c r="DA52" s="172">
        <f t="shared" si="58"/>
        <v>350</v>
      </c>
      <c r="DB52" s="379">
        <f t="shared" si="115"/>
        <v>274.05419915940689</v>
      </c>
      <c r="DD52" s="188">
        <f t="shared" si="59"/>
        <v>1.2130885873902635</v>
      </c>
      <c r="DE52" s="150">
        <f t="shared" si="60"/>
        <v>2.5538707102952913</v>
      </c>
      <c r="DF52" s="150">
        <f t="shared" si="61"/>
        <v>0.54216249715765974</v>
      </c>
      <c r="DG52" s="150"/>
      <c r="DH52" s="150">
        <f t="shared" si="62"/>
        <v>2.1052631578947367</v>
      </c>
      <c r="DI52" s="314">
        <f t="shared" si="63"/>
        <v>535.79999999999995</v>
      </c>
      <c r="DJ52" s="456">
        <f t="shared" si="64"/>
        <v>0.36842105263157893</v>
      </c>
      <c r="DL52" s="150">
        <f t="shared" si="65"/>
        <v>1.3380867649282651</v>
      </c>
      <c r="DM52" s="150">
        <f t="shared" si="66"/>
        <v>1.5492592592592591</v>
      </c>
      <c r="DN52" s="150">
        <f t="shared" si="67"/>
        <v>1.6068587105624141</v>
      </c>
      <c r="DP52" s="314">
        <f t="shared" si="68"/>
        <v>564</v>
      </c>
      <c r="DQ52" s="144">
        <f t="shared" si="69"/>
        <v>274.05419915940689</v>
      </c>
      <c r="DS52">
        <f t="shared" si="116"/>
        <v>564</v>
      </c>
      <c r="DT52" s="144">
        <f t="shared" si="70"/>
        <v>274.05419915940689</v>
      </c>
      <c r="DU52" s="144"/>
      <c r="DV52" s="5">
        <f t="shared" si="117"/>
        <v>3.6489132553606236</v>
      </c>
      <c r="DW52" s="5">
        <f t="shared" si="71"/>
        <v>0.38731481481481483</v>
      </c>
      <c r="DX52" s="5">
        <f t="shared" si="118"/>
        <v>3.2615984405458089</v>
      </c>
      <c r="DY52" s="150">
        <f t="shared" si="119"/>
        <v>0.10614525139664806</v>
      </c>
      <c r="EA52" s="5">
        <f t="shared" si="72"/>
        <v>4.3689111111111103</v>
      </c>
      <c r="EB52" s="5">
        <f t="shared" si="73"/>
        <v>0.56886863425925915</v>
      </c>
      <c r="EC52" s="5">
        <f t="shared" si="74"/>
        <v>7.984121182586093E-2</v>
      </c>
      <c r="ED52" s="5"/>
      <c r="EE52" s="150">
        <f t="shared" si="120"/>
        <v>0.29141624512848735</v>
      </c>
      <c r="EF52" s="150">
        <f t="shared" si="75"/>
        <v>0.84566225894781977</v>
      </c>
      <c r="EG52" s="150">
        <f t="shared" si="76"/>
        <v>0.18903038729421853</v>
      </c>
      <c r="EH52" s="150"/>
      <c r="EI52" s="456">
        <f t="shared" si="77"/>
        <v>1.6984685584957326E-3</v>
      </c>
      <c r="EJ52" s="456">
        <f t="shared" si="78"/>
        <v>0.45600000000000002</v>
      </c>
      <c r="EK52" s="456">
        <f t="shared" si="79"/>
        <v>3.4256774894925859E-2</v>
      </c>
      <c r="EL52" s="456">
        <f t="shared" si="80"/>
        <v>7.902873535739903E-2</v>
      </c>
      <c r="EM52">
        <f t="shared" si="81"/>
        <v>2.1600000000000001E-2</v>
      </c>
      <c r="EN52" s="144">
        <f t="shared" si="121"/>
        <v>55.856774894925863</v>
      </c>
      <c r="EO52">
        <f t="shared" si="82"/>
        <v>0.59328198790435427</v>
      </c>
      <c r="EP52" s="144">
        <f t="shared" si="122"/>
        <v>593.28198790435431</v>
      </c>
      <c r="EQ52" s="150">
        <f t="shared" si="83"/>
        <v>0.35038499999999995</v>
      </c>
      <c r="ER52" s="150">
        <f t="shared" si="170"/>
        <v>5.2140624999999996E-2</v>
      </c>
      <c r="ES52" s="456"/>
      <c r="EU52" s="144">
        <f t="shared" si="123"/>
        <v>402.52562499999993</v>
      </c>
      <c r="EV52" s="456">
        <f t="shared" si="85"/>
        <v>2.5477028377435987E-3</v>
      </c>
      <c r="EW52" s="456">
        <f t="shared" si="124"/>
        <v>2.145433968626188E-2</v>
      </c>
      <c r="EX52" s="456">
        <f t="shared" si="86"/>
        <v>1.7866243660301126E-4</v>
      </c>
      <c r="EY52" s="456">
        <f t="shared" si="87"/>
        <v>0.18572544499675739</v>
      </c>
      <c r="EZ52" s="456">
        <f t="shared" si="88"/>
        <v>0.21612760858287067</v>
      </c>
      <c r="FA52" s="538">
        <f t="shared" si="89"/>
        <v>6.5778605421063527E-4</v>
      </c>
      <c r="FB52" s="144">
        <f t="shared" si="125"/>
        <v>216.78539463708131</v>
      </c>
      <c r="FC52" s="150">
        <f t="shared" si="126"/>
        <v>1.2125930075414357</v>
      </c>
      <c r="FD52" s="5">
        <f t="shared" si="127"/>
        <v>3.76</v>
      </c>
      <c r="FE52" s="150">
        <f t="shared" si="128"/>
        <v>0.75614473058574927</v>
      </c>
      <c r="FF52" s="5">
        <f t="shared" si="129"/>
        <v>75.61447305857493</v>
      </c>
      <c r="FG52">
        <f t="shared" si="130"/>
        <v>47</v>
      </c>
      <c r="FI52" s="59">
        <f t="shared" si="90"/>
        <v>-50</v>
      </c>
      <c r="FJ52">
        <f t="shared" si="91"/>
        <v>-50</v>
      </c>
      <c r="FL52">
        <f t="shared" si="92"/>
        <v>0.82883202513712817</v>
      </c>
    </row>
    <row r="53" spans="5:168">
      <c r="E53" s="147">
        <v>48</v>
      </c>
      <c r="F53" s="188">
        <f t="shared" si="174"/>
        <v>0.57599999999999996</v>
      </c>
      <c r="G53" s="188">
        <f t="shared" si="171"/>
        <v>0.12</v>
      </c>
      <c r="H53" s="188">
        <f t="shared" si="135"/>
        <v>2.88</v>
      </c>
      <c r="I53" s="188">
        <f t="shared" si="175"/>
        <v>0.96</v>
      </c>
      <c r="J53" s="465">
        <f t="shared" si="136"/>
        <v>47.945353918370884</v>
      </c>
      <c r="K53" s="379">
        <f t="shared" si="137"/>
        <v>5.7208486152512519</v>
      </c>
      <c r="L53" s="149">
        <f t="shared" si="138"/>
        <v>53.666202533622133</v>
      </c>
      <c r="M53" s="379"/>
      <c r="N53" s="188">
        <f t="shared" si="139"/>
        <v>0.10660058556718473</v>
      </c>
      <c r="O53" s="149">
        <f t="shared" si="172"/>
        <v>9.5831302554829705</v>
      </c>
      <c r="P53" s="149">
        <f t="shared" si="140"/>
        <v>4.2591690024368756</v>
      </c>
      <c r="Q53" s="188">
        <f t="shared" si="6"/>
        <v>1.916626051096594</v>
      </c>
      <c r="R53" s="188">
        <f t="shared" si="141"/>
        <v>1.1978912819353713</v>
      </c>
      <c r="S53" s="379">
        <f t="shared" si="142"/>
        <v>5</v>
      </c>
      <c r="T53" s="188">
        <f t="shared" si="143"/>
        <v>1.5026405377054191</v>
      </c>
      <c r="U53" s="188">
        <f t="shared" si="10"/>
        <v>0.37608829592049281</v>
      </c>
      <c r="V53" s="188">
        <f t="shared" si="11"/>
        <v>3.1519251190101807</v>
      </c>
      <c r="W53" s="172">
        <f t="shared" si="12"/>
        <v>350</v>
      </c>
      <c r="X53" s="379">
        <f t="shared" si="95"/>
        <v>268.23937810819172</v>
      </c>
      <c r="Z53" s="188">
        <f t="shared" si="13"/>
        <v>1.2169054292676784</v>
      </c>
      <c r="AA53" s="150">
        <f t="shared" si="14"/>
        <v>2.5525697555223288</v>
      </c>
      <c r="AB53" s="150">
        <f t="shared" si="144"/>
        <v>0.54359129896392866</v>
      </c>
      <c r="AC53" s="150"/>
      <c r="AD53" s="150">
        <f t="shared" si="16"/>
        <v>2.0975909007641129</v>
      </c>
      <c r="AE53" s="314">
        <f t="shared" si="145"/>
        <v>549.20146706412015</v>
      </c>
      <c r="AF53" s="456">
        <f t="shared" si="146"/>
        <v>0.36707840763371968</v>
      </c>
      <c r="AH53" s="150">
        <f t="shared" si="147"/>
        <v>1.3522468075656264</v>
      </c>
      <c r="AI53" s="150">
        <f t="shared" si="148"/>
        <v>1.5026405377054191</v>
      </c>
      <c r="AJ53" s="150">
        <f t="shared" si="149"/>
        <v>1.5723263242262364</v>
      </c>
      <c r="AL53" s="314">
        <f t="shared" si="150"/>
        <v>576</v>
      </c>
      <c r="AM53" s="144">
        <f t="shared" si="151"/>
        <v>268.23937810819172</v>
      </c>
      <c r="AO53">
        <f t="shared" si="96"/>
        <v>576</v>
      </c>
      <c r="AP53" s="144">
        <f t="shared" si="24"/>
        <v>268.23937810819172</v>
      </c>
      <c r="AQ53" s="144"/>
      <c r="AR53" s="5">
        <f t="shared" si="97"/>
        <v>3.7280134149306736</v>
      </c>
      <c r="AS53" s="5">
        <f t="shared" si="25"/>
        <v>0.37608829592049281</v>
      </c>
      <c r="AT53" s="5">
        <f t="shared" si="98"/>
        <v>3.3519251190101809</v>
      </c>
      <c r="AU53" s="150">
        <f t="shared" si="99"/>
        <v>0.10088169061148257</v>
      </c>
      <c r="AW53" s="5">
        <f t="shared" si="152"/>
        <v>4.3325371690040768</v>
      </c>
      <c r="AX53" s="5">
        <f t="shared" si="153"/>
        <v>0.56413244388073924</v>
      </c>
      <c r="AY53" s="5">
        <f t="shared" si="28"/>
        <v>8.3893637528682743E-2</v>
      </c>
      <c r="AZ53" s="5"/>
      <c r="BA53" s="150">
        <f t="shared" si="100"/>
        <v>0.27555014848531995</v>
      </c>
      <c r="BB53" s="150">
        <f t="shared" si="154"/>
        <v>0.82262687624560082</v>
      </c>
      <c r="BC53" s="150">
        <f t="shared" si="155"/>
        <v>0.18388130174901665</v>
      </c>
      <c r="BD53" s="150"/>
      <c r="BE53" s="456">
        <f t="shared" si="31"/>
        <v>1.5185576866056374E-3</v>
      </c>
      <c r="BF53" s="456">
        <f t="shared" si="156"/>
        <v>0.40558302668367752</v>
      </c>
      <c r="BG53" s="456">
        <f t="shared" si="157"/>
        <v>0.32152079795602395</v>
      </c>
      <c r="BH53" s="456">
        <f t="shared" si="34"/>
        <v>7.7254585051789781E-2</v>
      </c>
      <c r="BI53">
        <f t="shared" si="35"/>
        <v>2.1575409263266898E-2</v>
      </c>
      <c r="BJ53" s="144">
        <f t="shared" si="101"/>
        <v>343.09620721929087</v>
      </c>
      <c r="BK53">
        <f t="shared" si="158"/>
        <v>0.48494115127786358</v>
      </c>
      <c r="BL53" s="144">
        <f t="shared" si="102"/>
        <v>484.94115127786358</v>
      </c>
      <c r="BM53" s="150">
        <f t="shared" si="159"/>
        <v>0.35783999999999994</v>
      </c>
      <c r="BN53" s="150">
        <f t="shared" si="160"/>
        <v>5.3249999999999999E-2</v>
      </c>
      <c r="BO53" s="456"/>
      <c r="BQ53" s="144">
        <f t="shared" si="103"/>
        <v>411.09</v>
      </c>
      <c r="BR53" s="456">
        <f t="shared" si="39"/>
        <v>2.2778365299084562E-3</v>
      </c>
      <c r="BS53" s="456">
        <f t="shared" si="104"/>
        <v>2.0301449325647852E-2</v>
      </c>
      <c r="BT53" s="456">
        <f t="shared" si="161"/>
        <v>1.6906166566456459E-4</v>
      </c>
      <c r="BU53" s="456">
        <f t="shared" si="41"/>
        <v>0.16308502722568957</v>
      </c>
      <c r="BV53" s="456">
        <f t="shared" si="162"/>
        <v>0.19164174078552029</v>
      </c>
      <c r="BW53" s="538">
        <f t="shared" si="163"/>
        <v>6.0566535960215136E-4</v>
      </c>
      <c r="BX53" s="144">
        <f t="shared" si="105"/>
        <v>192.24740614512245</v>
      </c>
      <c r="BY53" s="150">
        <f t="shared" si="106"/>
        <v>1.0882785574229858</v>
      </c>
      <c r="BZ53" s="5">
        <f t="shared" si="107"/>
        <v>3.84</v>
      </c>
      <c r="CA53" s="150">
        <f t="shared" si="108"/>
        <v>0.77917673590430114</v>
      </c>
      <c r="CB53" s="5">
        <f t="shared" si="109"/>
        <v>77.917673590430113</v>
      </c>
      <c r="CC53">
        <f t="shared" si="173"/>
        <v>48</v>
      </c>
      <c r="CE53" s="59">
        <f t="shared" si="164"/>
        <v>-50</v>
      </c>
      <c r="CF53">
        <f t="shared" si="165"/>
        <v>-50</v>
      </c>
      <c r="CG53" s="150">
        <f t="shared" si="166"/>
        <v>0.82883202513712817</v>
      </c>
      <c r="CH53" s="150">
        <f t="shared" si="167"/>
        <v>0.44965289283354892</v>
      </c>
      <c r="CI53" s="147">
        <v>48</v>
      </c>
      <c r="CJ53" s="188">
        <f t="shared" si="133"/>
        <v>0.57599999999999996</v>
      </c>
      <c r="CK53" s="188">
        <f t="shared" si="111"/>
        <v>0.12</v>
      </c>
      <c r="CL53" s="188">
        <f t="shared" si="48"/>
        <v>2.88</v>
      </c>
      <c r="CM53" s="188">
        <f t="shared" si="134"/>
        <v>0.96</v>
      </c>
      <c r="CN53" s="465">
        <f t="shared" si="112"/>
        <v>48</v>
      </c>
      <c r="CO53" s="379">
        <f t="shared" si="168"/>
        <v>5.7</v>
      </c>
      <c r="CP53" s="379">
        <f t="shared" si="169"/>
        <v>53.7</v>
      </c>
      <c r="CQ53" s="379"/>
      <c r="CR53" s="188">
        <f t="shared" si="113"/>
        <v>0.10112359550561799</v>
      </c>
      <c r="CS53" s="149">
        <f t="shared" si="114"/>
        <v>9.1011235955056193</v>
      </c>
      <c r="CT53" s="149">
        <f t="shared" si="51"/>
        <v>4.0449438202247192</v>
      </c>
      <c r="CU53" s="188">
        <f t="shared" si="52"/>
        <v>1.8202247191011238</v>
      </c>
      <c r="CV53" s="188">
        <f t="shared" si="53"/>
        <v>1.1376404494382024</v>
      </c>
      <c r="CW53" s="379">
        <f t="shared" si="54"/>
        <v>5</v>
      </c>
      <c r="CX53" s="188">
        <f t="shared" si="55"/>
        <v>1.582222222222222</v>
      </c>
      <c r="CY53" s="188">
        <f t="shared" si="56"/>
        <v>0.39555555555555549</v>
      </c>
      <c r="CZ53" s="188">
        <f t="shared" si="57"/>
        <v>3.3309941520467832</v>
      </c>
      <c r="DA53" s="172">
        <f t="shared" si="58"/>
        <v>350</v>
      </c>
      <c r="DB53" s="379">
        <f t="shared" si="115"/>
        <v>268.34473667691924</v>
      </c>
      <c r="DD53" s="188">
        <f t="shared" si="59"/>
        <v>1.2130885873902635</v>
      </c>
      <c r="DE53" s="150">
        <f t="shared" si="60"/>
        <v>2.5538707102952913</v>
      </c>
      <c r="DF53" s="150">
        <f t="shared" si="61"/>
        <v>0.54216249715765974</v>
      </c>
      <c r="DG53" s="150"/>
      <c r="DH53" s="150">
        <f t="shared" si="62"/>
        <v>2.1052631578947367</v>
      </c>
      <c r="DI53" s="314">
        <f t="shared" si="63"/>
        <v>547.20000000000005</v>
      </c>
      <c r="DJ53" s="456">
        <f t="shared" si="64"/>
        <v>0.36842105263157893</v>
      </c>
      <c r="DL53" s="150">
        <f t="shared" si="65"/>
        <v>1.3522468075656264</v>
      </c>
      <c r="DM53" s="150">
        <f t="shared" si="66"/>
        <v>1.582222222222222</v>
      </c>
      <c r="DN53" s="150">
        <f t="shared" si="67"/>
        <v>1.6312757201646089</v>
      </c>
      <c r="DP53" s="314">
        <f t="shared" si="68"/>
        <v>576</v>
      </c>
      <c r="DQ53" s="144">
        <f t="shared" si="69"/>
        <v>268.34473667691924</v>
      </c>
      <c r="DS53">
        <f t="shared" si="116"/>
        <v>576</v>
      </c>
      <c r="DT53" s="144">
        <f t="shared" si="70"/>
        <v>268.34473667691924</v>
      </c>
      <c r="DU53" s="144"/>
      <c r="DV53" s="5">
        <f t="shared" si="117"/>
        <v>3.7265497076023388</v>
      </c>
      <c r="DW53" s="5">
        <f t="shared" si="71"/>
        <v>0.39555555555555549</v>
      </c>
      <c r="DX53" s="5">
        <f t="shared" si="118"/>
        <v>3.3309941520467832</v>
      </c>
      <c r="DY53" s="150">
        <f t="shared" si="119"/>
        <v>0.10614525139664804</v>
      </c>
      <c r="EA53" s="5">
        <f t="shared" si="72"/>
        <v>4.5567999999999991</v>
      </c>
      <c r="EB53" s="5">
        <f t="shared" si="73"/>
        <v>0.59333333333333316</v>
      </c>
      <c r="EC53" s="5">
        <f t="shared" si="74"/>
        <v>8.3274853801169571E-2</v>
      </c>
      <c r="ED53" s="5"/>
      <c r="EE53" s="150">
        <f t="shared" si="120"/>
        <v>0.29761659076951896</v>
      </c>
      <c r="EF53" s="150">
        <f t="shared" si="75"/>
        <v>0.86365507296798616</v>
      </c>
      <c r="EG53" s="150">
        <f t="shared" si="76"/>
        <v>0.19305231042813809</v>
      </c>
      <c r="EH53" s="150"/>
      <c r="EI53" s="456">
        <f t="shared" si="77"/>
        <v>1.7715127020254265E-3</v>
      </c>
      <c r="EJ53" s="456">
        <f t="shared" si="78"/>
        <v>0.45600000000000002</v>
      </c>
      <c r="EK53" s="456">
        <f t="shared" si="79"/>
        <v>3.3543092084614902E-2</v>
      </c>
      <c r="EL53" s="456">
        <f t="shared" si="80"/>
        <v>7.738230337078654E-2</v>
      </c>
      <c r="EM53">
        <f t="shared" si="81"/>
        <v>2.1600000000000001E-2</v>
      </c>
      <c r="EN53" s="144">
        <f t="shared" si="121"/>
        <v>55.143092084614906</v>
      </c>
      <c r="EO53">
        <f t="shared" si="82"/>
        <v>0.59102398533071199</v>
      </c>
      <c r="EP53" s="144">
        <f t="shared" si="122"/>
        <v>591.02398533071198</v>
      </c>
      <c r="EQ53" s="150">
        <f t="shared" si="83"/>
        <v>0.35783999999999994</v>
      </c>
      <c r="ER53" s="150">
        <f t="shared" si="170"/>
        <v>5.3249999999999999E-2</v>
      </c>
      <c r="ES53" s="456"/>
      <c r="EU53" s="144">
        <f t="shared" si="123"/>
        <v>411.09</v>
      </c>
      <c r="EV53" s="456">
        <f t="shared" si="85"/>
        <v>2.6572690530381397E-3</v>
      </c>
      <c r="EW53" s="456">
        <f t="shared" si="124"/>
        <v>2.2377002551900123E-2</v>
      </c>
      <c r="EX53" s="456">
        <f t="shared" si="86"/>
        <v>1.8634597280821094E-4</v>
      </c>
      <c r="EY53" s="456">
        <f t="shared" si="87"/>
        <v>0.18572544499675725</v>
      </c>
      <c r="EZ53" s="456">
        <f t="shared" si="88"/>
        <v>0.21743772388765456</v>
      </c>
      <c r="FA53" s="538">
        <f t="shared" si="89"/>
        <v>6.717815021725635E-4</v>
      </c>
      <c r="FB53" s="144">
        <f t="shared" si="125"/>
        <v>218.10950538982712</v>
      </c>
      <c r="FC53" s="150">
        <f t="shared" si="126"/>
        <v>1.2202234907205392</v>
      </c>
      <c r="FD53" s="5">
        <f t="shared" si="127"/>
        <v>3.84</v>
      </c>
      <c r="FE53" s="150">
        <f t="shared" si="128"/>
        <v>0.75885976321832616</v>
      </c>
      <c r="FF53" s="5">
        <f t="shared" si="129"/>
        <v>75.885976321832615</v>
      </c>
      <c r="FG53">
        <f t="shared" si="130"/>
        <v>48</v>
      </c>
      <c r="FI53" s="59">
        <f t="shared" si="90"/>
        <v>-50</v>
      </c>
      <c r="FJ53">
        <f t="shared" si="91"/>
        <v>-50</v>
      </c>
      <c r="FL53">
        <f t="shared" si="92"/>
        <v>0.82883202513712817</v>
      </c>
    </row>
    <row r="54" spans="5:168">
      <c r="E54" s="147">
        <v>49</v>
      </c>
      <c r="F54" s="188">
        <f t="shared" si="174"/>
        <v>0.58799999999999997</v>
      </c>
      <c r="G54" s="188">
        <f t="shared" si="171"/>
        <v>0.1225</v>
      </c>
      <c r="H54" s="188">
        <f t="shared" si="135"/>
        <v>2.94</v>
      </c>
      <c r="I54" s="188">
        <f t="shared" si="175"/>
        <v>0.98</v>
      </c>
      <c r="J54" s="465">
        <f t="shared" si="136"/>
        <v>47.944215458336942</v>
      </c>
      <c r="K54" s="379">
        <f t="shared" si="137"/>
        <v>5.72128296140232</v>
      </c>
      <c r="L54" s="149">
        <f t="shared" si="138"/>
        <v>53.665498419739265</v>
      </c>
      <c r="M54" s="379"/>
      <c r="N54" s="188">
        <f t="shared" si="139"/>
        <v>0.10661007779437516</v>
      </c>
      <c r="O54" s="149">
        <f t="shared" si="172"/>
        <v>9.5837560121317225</v>
      </c>
      <c r="P54" s="149">
        <f t="shared" si="140"/>
        <v>4.2594471165029875</v>
      </c>
      <c r="Q54" s="188">
        <f t="shared" si="6"/>
        <v>1.9167512024263444</v>
      </c>
      <c r="R54" s="188">
        <f t="shared" si="141"/>
        <v>1.1979695015164653</v>
      </c>
      <c r="S54" s="379">
        <f t="shared" si="142"/>
        <v>5</v>
      </c>
      <c r="T54" s="188">
        <f t="shared" si="143"/>
        <v>1.5338453922858442</v>
      </c>
      <c r="U54" s="188">
        <f t="shared" si="10"/>
        <v>0.38390751692297254</v>
      </c>
      <c r="V54" s="188">
        <f t="shared" si="11"/>
        <v>3.217135882214551</v>
      </c>
      <c r="W54" s="172">
        <f t="shared" si="12"/>
        <v>350</v>
      </c>
      <c r="X54" s="379">
        <f t="shared" si="95"/>
        <v>263.08565701378342</v>
      </c>
      <c r="Z54" s="188">
        <f t="shared" si="13"/>
        <v>1.2169848904294251</v>
      </c>
      <c r="AA54" s="150">
        <f t="shared" si="14"/>
        <v>2.5525426348732139</v>
      </c>
      <c r="AB54" s="150">
        <f t="shared" si="144"/>
        <v>0.5436210182930824</v>
      </c>
      <c r="AC54" s="150"/>
      <c r="AD54" s="150">
        <f t="shared" si="16"/>
        <v>2.0974316566679181</v>
      </c>
      <c r="AE54" s="314">
        <f t="shared" si="145"/>
        <v>560.68573021742725</v>
      </c>
      <c r="AF54" s="456">
        <f t="shared" si="146"/>
        <v>0.36705053991688569</v>
      </c>
      <c r="AH54" s="150">
        <f t="shared" si="147"/>
        <v>1.3662601021279464</v>
      </c>
      <c r="AI54" s="150">
        <f t="shared" si="148"/>
        <v>1.5338453922858442</v>
      </c>
      <c r="AJ54" s="150">
        <f t="shared" si="149"/>
        <v>1.5954410313228475</v>
      </c>
      <c r="AL54" s="314">
        <f t="shared" si="150"/>
        <v>588</v>
      </c>
      <c r="AM54" s="144">
        <f t="shared" si="151"/>
        <v>263.08565701378342</v>
      </c>
      <c r="AO54">
        <f t="shared" si="96"/>
        <v>588</v>
      </c>
      <c r="AP54" s="144">
        <f t="shared" si="24"/>
        <v>263.08565701378342</v>
      </c>
      <c r="AQ54" s="144"/>
      <c r="AR54" s="5">
        <f t="shared" si="97"/>
        <v>3.8010433991375234</v>
      </c>
      <c r="AS54" s="5">
        <f t="shared" si="25"/>
        <v>0.38390751692297254</v>
      </c>
      <c r="AT54" s="5">
        <f t="shared" si="98"/>
        <v>3.4171358822145508</v>
      </c>
      <c r="AU54" s="150">
        <f t="shared" si="99"/>
        <v>0.10100056132221041</v>
      </c>
      <c r="AW54" s="5">
        <f t="shared" si="152"/>
        <v>4.5147523990141574</v>
      </c>
      <c r="AX54" s="5">
        <f t="shared" si="153"/>
        <v>0.58785838528830159</v>
      </c>
      <c r="AY54" s="5">
        <f t="shared" si="28"/>
        <v>8.7309624648053946E-2</v>
      </c>
      <c r="AZ54" s="5"/>
      <c r="BA54" s="150">
        <f t="shared" si="100"/>
        <v>0.28143807551192812</v>
      </c>
      <c r="BB54" s="150">
        <f t="shared" si="154"/>
        <v>0.83965459493630312</v>
      </c>
      <c r="BC54" s="150">
        <f t="shared" si="155"/>
        <v>0.18768749769164422</v>
      </c>
      <c r="BD54" s="150"/>
      <c r="BE54" s="456">
        <f t="shared" si="31"/>
        <v>1.5841478069571551E-3</v>
      </c>
      <c r="BF54" s="456">
        <f t="shared" si="156"/>
        <v>0.40604596306956431</v>
      </c>
      <c r="BG54" s="456">
        <f t="shared" si="157"/>
        <v>0.31533588559667408</v>
      </c>
      <c r="BH54" s="456">
        <f t="shared" si="34"/>
        <v>7.5768293550463564E-2</v>
      </c>
      <c r="BI54">
        <f t="shared" si="35"/>
        <v>2.1574896956251623E-2</v>
      </c>
      <c r="BJ54" s="144">
        <f t="shared" si="101"/>
        <v>336.91078255292575</v>
      </c>
      <c r="BK54">
        <f t="shared" si="158"/>
        <v>0.48400830192281696</v>
      </c>
      <c r="BL54" s="144">
        <f t="shared" si="102"/>
        <v>484.00830192281694</v>
      </c>
      <c r="BM54" s="150">
        <f t="shared" si="159"/>
        <v>0.36529499999999993</v>
      </c>
      <c r="BN54" s="150">
        <f t="shared" si="160"/>
        <v>5.4359374999999995E-2</v>
      </c>
      <c r="BO54" s="456"/>
      <c r="BQ54" s="144">
        <f t="shared" si="103"/>
        <v>419.6543749999999</v>
      </c>
      <c r="BR54" s="456">
        <f t="shared" si="39"/>
        <v>2.3762217104357328E-3</v>
      </c>
      <c r="BS54" s="456">
        <f t="shared" si="104"/>
        <v>2.1150595163929416E-2</v>
      </c>
      <c r="BT54" s="456">
        <f t="shared" si="161"/>
        <v>1.7613298394875479E-4</v>
      </c>
      <c r="BU54" s="456">
        <f t="shared" si="41"/>
        <v>0.16355615743786145</v>
      </c>
      <c r="BV54" s="456">
        <f t="shared" si="162"/>
        <v>0.19331438495605102</v>
      </c>
      <c r="BW54" s="538">
        <f t="shared" si="163"/>
        <v>6.1895680748353234E-4</v>
      </c>
      <c r="BX54" s="144">
        <f t="shared" si="105"/>
        <v>193.93334176353454</v>
      </c>
      <c r="BY54" s="150">
        <f t="shared" si="106"/>
        <v>1.0975960186863514</v>
      </c>
      <c r="BZ54" s="5">
        <f t="shared" si="107"/>
        <v>3.92</v>
      </c>
      <c r="CA54" s="150">
        <f t="shared" si="108"/>
        <v>0.7812506198987077</v>
      </c>
      <c r="CB54" s="5">
        <f t="shared" si="109"/>
        <v>78.125061989870773</v>
      </c>
      <c r="CC54">
        <f t="shared" si="173"/>
        <v>49</v>
      </c>
      <c r="CE54" s="59">
        <f t="shared" si="164"/>
        <v>-50</v>
      </c>
      <c r="CF54">
        <f t="shared" si="165"/>
        <v>-50</v>
      </c>
      <c r="CG54" s="150">
        <f t="shared" si="166"/>
        <v>0.82883202513712817</v>
      </c>
      <c r="CH54" s="150">
        <f t="shared" si="167"/>
        <v>0.44965289283354898</v>
      </c>
      <c r="CI54" s="147">
        <v>49</v>
      </c>
      <c r="CJ54" s="188">
        <f t="shared" si="133"/>
        <v>0.58799999999999997</v>
      </c>
      <c r="CK54" s="188">
        <f t="shared" si="111"/>
        <v>0.1225</v>
      </c>
      <c r="CL54" s="188">
        <f t="shared" si="48"/>
        <v>2.94</v>
      </c>
      <c r="CM54" s="188">
        <f t="shared" si="134"/>
        <v>0.98</v>
      </c>
      <c r="CN54" s="465">
        <f t="shared" si="112"/>
        <v>48</v>
      </c>
      <c r="CO54" s="379">
        <f t="shared" si="168"/>
        <v>5.7</v>
      </c>
      <c r="CP54" s="379">
        <f t="shared" si="169"/>
        <v>53.7</v>
      </c>
      <c r="CQ54" s="379"/>
      <c r="CR54" s="188">
        <f t="shared" si="113"/>
        <v>0.10112359550561799</v>
      </c>
      <c r="CS54" s="149">
        <f t="shared" si="114"/>
        <v>9.1011235955056193</v>
      </c>
      <c r="CT54" s="149">
        <f t="shared" si="51"/>
        <v>4.0449438202247192</v>
      </c>
      <c r="CU54" s="188">
        <f t="shared" si="52"/>
        <v>1.8202247191011238</v>
      </c>
      <c r="CV54" s="188">
        <f t="shared" si="53"/>
        <v>1.1376404494382024</v>
      </c>
      <c r="CW54" s="379">
        <f t="shared" si="54"/>
        <v>5</v>
      </c>
      <c r="CX54" s="188">
        <f t="shared" si="55"/>
        <v>1.6151851851851851</v>
      </c>
      <c r="CY54" s="188">
        <f t="shared" si="56"/>
        <v>0.40379629629629626</v>
      </c>
      <c r="CZ54" s="188">
        <f t="shared" si="57"/>
        <v>3.4003898635477579</v>
      </c>
      <c r="DA54" s="172">
        <f t="shared" si="58"/>
        <v>350</v>
      </c>
      <c r="DB54" s="379">
        <f t="shared" si="115"/>
        <v>262.86831347943115</v>
      </c>
      <c r="DD54" s="188">
        <f t="shared" si="59"/>
        <v>1.2130885873902635</v>
      </c>
      <c r="DE54" s="150">
        <f t="shared" si="60"/>
        <v>2.5538707102952913</v>
      </c>
      <c r="DF54" s="150">
        <f t="shared" si="61"/>
        <v>0.54216249715765974</v>
      </c>
      <c r="DG54" s="150"/>
      <c r="DH54" s="150">
        <f t="shared" si="62"/>
        <v>2.1052631578947367</v>
      </c>
      <c r="DI54" s="314">
        <f t="shared" si="63"/>
        <v>558.6</v>
      </c>
      <c r="DJ54" s="456">
        <f t="shared" si="64"/>
        <v>0.36842105263157893</v>
      </c>
      <c r="DL54" s="150">
        <f t="shared" si="65"/>
        <v>1.3662601021279464</v>
      </c>
      <c r="DM54" s="150">
        <f t="shared" si="66"/>
        <v>1.6151851851851851</v>
      </c>
      <c r="DN54" s="150">
        <f t="shared" si="67"/>
        <v>1.6556927297668036</v>
      </c>
      <c r="DP54" s="314">
        <f t="shared" si="68"/>
        <v>588</v>
      </c>
      <c r="DQ54" s="144">
        <f t="shared" si="69"/>
        <v>262.86831347943115</v>
      </c>
      <c r="DS54">
        <f t="shared" si="116"/>
        <v>588</v>
      </c>
      <c r="DT54" s="144">
        <f t="shared" si="70"/>
        <v>262.86831347943115</v>
      </c>
      <c r="DU54" s="144"/>
      <c r="DV54" s="5">
        <f t="shared" si="117"/>
        <v>3.8041861598440536</v>
      </c>
      <c r="DW54" s="5">
        <f t="shared" si="71"/>
        <v>0.40379629629629626</v>
      </c>
      <c r="DX54" s="5">
        <f t="shared" si="118"/>
        <v>3.4003898635477574</v>
      </c>
      <c r="DY54" s="150">
        <f t="shared" si="119"/>
        <v>0.10614525139664806</v>
      </c>
      <c r="EA54" s="5">
        <f t="shared" si="72"/>
        <v>4.7486444444444436</v>
      </c>
      <c r="EB54" s="5">
        <f t="shared" si="73"/>
        <v>0.61831307870370356</v>
      </c>
      <c r="EC54" s="5">
        <f t="shared" si="74"/>
        <v>8.6780782975958384E-2</v>
      </c>
      <c r="ED54" s="5"/>
      <c r="EE54" s="150">
        <f t="shared" si="120"/>
        <v>0.30381693641055063</v>
      </c>
      <c r="EF54" s="150">
        <f t="shared" si="75"/>
        <v>0.88164788698815255</v>
      </c>
      <c r="EG54" s="150">
        <f t="shared" si="76"/>
        <v>0.19707423356205761</v>
      </c>
      <c r="EH54" s="150"/>
      <c r="EI54" s="456">
        <f t="shared" si="77"/>
        <v>1.8460946169978512E-3</v>
      </c>
      <c r="EJ54" s="456">
        <f t="shared" si="78"/>
        <v>0.45600000000000018</v>
      </c>
      <c r="EK54" s="456">
        <f t="shared" si="79"/>
        <v>3.2858539184928891E-2</v>
      </c>
      <c r="EL54" s="456">
        <f t="shared" si="80"/>
        <v>7.5803072689750103E-2</v>
      </c>
      <c r="EM54">
        <f t="shared" si="81"/>
        <v>2.1600000000000001E-2</v>
      </c>
      <c r="EN54" s="144">
        <f t="shared" si="121"/>
        <v>54.458539184928895</v>
      </c>
      <c r="EO54">
        <f t="shared" si="82"/>
        <v>0.58886444687602579</v>
      </c>
      <c r="EP54" s="144">
        <f t="shared" si="122"/>
        <v>588.8644468760258</v>
      </c>
      <c r="EQ54" s="150">
        <f t="shared" si="83"/>
        <v>0.36529499999999993</v>
      </c>
      <c r="ER54" s="150">
        <f t="shared" si="170"/>
        <v>5.4359374999999995E-2</v>
      </c>
      <c r="ES54" s="456"/>
      <c r="EU54" s="144">
        <f t="shared" si="123"/>
        <v>419.6543749999999</v>
      </c>
      <c r="EV54" s="456">
        <f t="shared" si="85"/>
        <v>2.7691419254967766E-3</v>
      </c>
      <c r="EW54" s="456">
        <f t="shared" si="124"/>
        <v>2.3319089898920228E-2</v>
      </c>
      <c r="EX54" s="456">
        <f t="shared" si="86"/>
        <v>1.9419126767036219E-4</v>
      </c>
      <c r="EY54" s="456">
        <f t="shared" si="87"/>
        <v>0.18572544499675758</v>
      </c>
      <c r="EZ54" s="456">
        <f t="shared" si="88"/>
        <v>0.21877564595809113</v>
      </c>
      <c r="FA54" s="538">
        <f t="shared" si="89"/>
        <v>6.8577695013449216E-4</v>
      </c>
      <c r="FB54" s="144">
        <f t="shared" si="125"/>
        <v>219.46142290822561</v>
      </c>
      <c r="FC54" s="150">
        <f t="shared" si="126"/>
        <v>1.2279802447842514</v>
      </c>
      <c r="FD54" s="5">
        <f t="shared" si="127"/>
        <v>3.92</v>
      </c>
      <c r="FE54" s="150">
        <f t="shared" si="128"/>
        <v>0.76146368354299787</v>
      </c>
      <c r="FF54" s="5">
        <f t="shared" si="129"/>
        <v>76.146368354299781</v>
      </c>
      <c r="FG54">
        <f t="shared" si="130"/>
        <v>49</v>
      </c>
      <c r="FI54" s="59">
        <f t="shared" si="90"/>
        <v>-50</v>
      </c>
      <c r="FJ54">
        <f t="shared" si="91"/>
        <v>-50</v>
      </c>
      <c r="FL54">
        <f t="shared" si="92"/>
        <v>0.82883202513712817</v>
      </c>
    </row>
    <row r="55" spans="5:168">
      <c r="E55" s="147">
        <v>50</v>
      </c>
      <c r="F55" s="188">
        <f t="shared" si="174"/>
        <v>0.6</v>
      </c>
      <c r="G55" s="188">
        <f t="shared" si="171"/>
        <v>0.125</v>
      </c>
      <c r="H55" s="188">
        <f t="shared" si="135"/>
        <v>3</v>
      </c>
      <c r="I55" s="188">
        <f t="shared" si="175"/>
        <v>1</v>
      </c>
      <c r="J55" s="465">
        <f t="shared" si="136"/>
        <v>47.943076998302999</v>
      </c>
      <c r="K55" s="379">
        <f t="shared" si="137"/>
        <v>5.721717307553388</v>
      </c>
      <c r="L55" s="149">
        <f t="shared" si="138"/>
        <v>53.66479430585639</v>
      </c>
      <c r="M55" s="379"/>
      <c r="N55" s="188">
        <f t="shared" si="139"/>
        <v>0.10661957027065289</v>
      </c>
      <c r="O55" s="149">
        <f t="shared" si="172"/>
        <v>9.5843817506472906</v>
      </c>
      <c r="P55" s="149">
        <f t="shared" si="140"/>
        <v>4.2597252225099069</v>
      </c>
      <c r="Q55" s="188">
        <f t="shared" si="6"/>
        <v>1.9168763501294581</v>
      </c>
      <c r="R55" s="188">
        <f t="shared" si="141"/>
        <v>1.1980477188309113</v>
      </c>
      <c r="S55" s="379">
        <f t="shared" si="142"/>
        <v>5</v>
      </c>
      <c r="T55" s="188">
        <f t="shared" si="143"/>
        <v>1.5650461751470783</v>
      </c>
      <c r="U55" s="188">
        <f t="shared" si="10"/>
        <v>0.39172609013872217</v>
      </c>
      <c r="V55" s="188">
        <f t="shared" si="11"/>
        <v>3.2823282053750265</v>
      </c>
      <c r="W55" s="172">
        <f t="shared" si="12"/>
        <v>350</v>
      </c>
      <c r="X55" s="379">
        <f t="shared" si="95"/>
        <v>258.12751286372651</v>
      </c>
      <c r="Z55" s="188">
        <f t="shared" si="13"/>
        <v>1.2170643492885449</v>
      </c>
      <c r="AA55" s="150">
        <f t="shared" si="14"/>
        <v>2.5525155135124202</v>
      </c>
      <c r="AB55" s="150">
        <f t="shared" si="144"/>
        <v>0.54365073568783417</v>
      </c>
      <c r="AC55" s="150"/>
      <c r="AD55" s="150">
        <f t="shared" si="16"/>
        <v>2.0972724367487516</v>
      </c>
      <c r="AE55" s="314">
        <f t="shared" si="145"/>
        <v>572.17173075533879</v>
      </c>
      <c r="AF55" s="456">
        <f t="shared" si="146"/>
        <v>0.36702267643103154</v>
      </c>
      <c r="AH55" s="150">
        <f t="shared" si="147"/>
        <v>1.3801311186847085</v>
      </c>
      <c r="AI55" s="150">
        <f t="shared" si="148"/>
        <v>1.5650461751470783</v>
      </c>
      <c r="AJ55" s="150">
        <f t="shared" si="149"/>
        <v>1.6185527223311691</v>
      </c>
      <c r="AL55" s="314">
        <f t="shared" si="150"/>
        <v>600</v>
      </c>
      <c r="AM55" s="144">
        <f t="shared" si="151"/>
        <v>258.12751286372651</v>
      </c>
      <c r="AO55">
        <f t="shared" si="96"/>
        <v>600</v>
      </c>
      <c r="AP55" s="144">
        <f t="shared" si="24"/>
        <v>258.12751286372651</v>
      </c>
      <c r="AQ55" s="144"/>
      <c r="AR55" s="5">
        <f t="shared" si="97"/>
        <v>3.8740542955137487</v>
      </c>
      <c r="AS55" s="5">
        <f t="shared" si="25"/>
        <v>0.39172609013872217</v>
      </c>
      <c r="AT55" s="5">
        <f t="shared" si="98"/>
        <v>3.4823282053750266</v>
      </c>
      <c r="AU55" s="150">
        <f t="shared" si="99"/>
        <v>0.10111528137134029</v>
      </c>
      <c r="AW55" s="5">
        <f t="shared" si="152"/>
        <v>4.7007130816646656</v>
      </c>
      <c r="AX55" s="5">
        <f t="shared" si="153"/>
        <v>0.61207201584175341</v>
      </c>
      <c r="AY55" s="5">
        <f t="shared" si="28"/>
        <v>9.0793301749757513E-2</v>
      </c>
      <c r="AZ55" s="5"/>
      <c r="BA55" s="150">
        <f t="shared" si="100"/>
        <v>0.28732599908058526</v>
      </c>
      <c r="BB55" s="150">
        <f t="shared" si="154"/>
        <v>0.85667980037264224</v>
      </c>
      <c r="BC55" s="150">
        <f t="shared" si="155"/>
        <v>0.19149313184800237</v>
      </c>
      <c r="BD55" s="150"/>
      <c r="BE55" s="456">
        <f t="shared" si="31"/>
        <v>1.6511245949531299E-3</v>
      </c>
      <c r="BF55" s="456">
        <f t="shared" si="156"/>
        <v>0.40649217845418106</v>
      </c>
      <c r="BG55" s="456">
        <f t="shared" si="157"/>
        <v>0.3093856806151522</v>
      </c>
      <c r="BH55" s="456">
        <f t="shared" si="34"/>
        <v>7.4338404374582071E-2</v>
      </c>
      <c r="BI55">
        <f t="shared" si="35"/>
        <v>2.1574384649236347E-2</v>
      </c>
      <c r="BJ55" s="144">
        <f t="shared" si="101"/>
        <v>330.96006526438856</v>
      </c>
      <c r="BK55">
        <f t="shared" si="158"/>
        <v>0.48311704135993871</v>
      </c>
      <c r="BL55" s="144">
        <f t="shared" si="102"/>
        <v>483.1170413599387</v>
      </c>
      <c r="BM55" s="150">
        <f t="shared" si="159"/>
        <v>0.37274999999999997</v>
      </c>
      <c r="BN55" s="150">
        <f t="shared" si="160"/>
        <v>5.5468749999999997E-2</v>
      </c>
      <c r="BO55" s="456"/>
      <c r="BQ55" s="144">
        <f t="shared" si="103"/>
        <v>428.21875</v>
      </c>
      <c r="BR55" s="456">
        <f t="shared" si="39"/>
        <v>2.4766868924296945E-3</v>
      </c>
      <c r="BS55" s="456">
        <f t="shared" si="104"/>
        <v>2.2017008410995301E-2</v>
      </c>
      <c r="BT55" s="456">
        <f t="shared" si="161"/>
        <v>1.833480977247821E-4</v>
      </c>
      <c r="BU55" s="456">
        <f t="shared" si="41"/>
        <v>0.16401124874897358</v>
      </c>
      <c r="BV55" s="456">
        <f t="shared" si="162"/>
        <v>0.19499573602567488</v>
      </c>
      <c r="BW55" s="538">
        <f t="shared" si="163"/>
        <v>6.3224966495150335E-4</v>
      </c>
      <c r="BX55" s="144">
        <f t="shared" si="105"/>
        <v>195.62798569062639</v>
      </c>
      <c r="BY55" s="150">
        <f t="shared" si="106"/>
        <v>1.1069637770505651</v>
      </c>
      <c r="BZ55" s="5">
        <f t="shared" si="107"/>
        <v>4</v>
      </c>
      <c r="CA55" s="150">
        <f t="shared" si="108"/>
        <v>0.78324424738922438</v>
      </c>
      <c r="CB55" s="5">
        <f t="shared" si="109"/>
        <v>78.324424738922431</v>
      </c>
      <c r="CC55">
        <f t="shared" si="173"/>
        <v>50</v>
      </c>
      <c r="CE55" s="59">
        <f t="shared" si="164"/>
        <v>-50</v>
      </c>
      <c r="CF55">
        <f t="shared" si="165"/>
        <v>-50</v>
      </c>
      <c r="CG55" s="150">
        <f t="shared" si="166"/>
        <v>0.82883202513712817</v>
      </c>
      <c r="CH55" s="150">
        <f t="shared" si="167"/>
        <v>0.44965289283354892</v>
      </c>
      <c r="CI55" s="147">
        <v>50</v>
      </c>
      <c r="CJ55" s="188">
        <f t="shared" si="133"/>
        <v>0.6</v>
      </c>
      <c r="CK55" s="188">
        <f t="shared" si="111"/>
        <v>0.125</v>
      </c>
      <c r="CL55" s="188">
        <f t="shared" si="48"/>
        <v>3</v>
      </c>
      <c r="CM55" s="188">
        <f t="shared" si="134"/>
        <v>1</v>
      </c>
      <c r="CN55" s="465">
        <f t="shared" si="112"/>
        <v>48</v>
      </c>
      <c r="CO55" s="379">
        <f t="shared" si="168"/>
        <v>5.7</v>
      </c>
      <c r="CP55" s="379">
        <f t="shared" si="169"/>
        <v>53.7</v>
      </c>
      <c r="CQ55" s="379"/>
      <c r="CR55" s="188">
        <f t="shared" si="113"/>
        <v>0.10112359550561799</v>
      </c>
      <c r="CS55" s="149">
        <f t="shared" si="114"/>
        <v>9.1011235955056193</v>
      </c>
      <c r="CT55" s="149">
        <f t="shared" si="51"/>
        <v>4.0449438202247192</v>
      </c>
      <c r="CU55" s="188">
        <f t="shared" si="52"/>
        <v>1.8202247191011238</v>
      </c>
      <c r="CV55" s="188">
        <f t="shared" si="53"/>
        <v>1.1376404494382024</v>
      </c>
      <c r="CW55" s="379">
        <f t="shared" si="54"/>
        <v>5</v>
      </c>
      <c r="CX55" s="188">
        <f t="shared" si="55"/>
        <v>1.6481481481481481</v>
      </c>
      <c r="CY55" s="188">
        <f t="shared" si="56"/>
        <v>0.41203703703703703</v>
      </c>
      <c r="CZ55" s="188">
        <f t="shared" si="57"/>
        <v>3.469785575048733</v>
      </c>
      <c r="DA55" s="172">
        <f t="shared" si="58"/>
        <v>350</v>
      </c>
      <c r="DB55" s="379">
        <f t="shared" si="115"/>
        <v>257.61094720984244</v>
      </c>
      <c r="DD55" s="188">
        <f t="shared" si="59"/>
        <v>1.2130885873902635</v>
      </c>
      <c r="DE55" s="150">
        <f t="shared" si="60"/>
        <v>2.5538707102952913</v>
      </c>
      <c r="DF55" s="150">
        <f t="shared" si="61"/>
        <v>0.54216249715765974</v>
      </c>
      <c r="DG55" s="150"/>
      <c r="DH55" s="150">
        <f t="shared" si="62"/>
        <v>2.1052631578947367</v>
      </c>
      <c r="DI55" s="314">
        <f t="shared" si="63"/>
        <v>570</v>
      </c>
      <c r="DJ55" s="456">
        <f t="shared" si="64"/>
        <v>0.36842105263157893</v>
      </c>
      <c r="DL55" s="150">
        <f t="shared" si="65"/>
        <v>1.3801311186847085</v>
      </c>
      <c r="DM55" s="150">
        <f t="shared" si="66"/>
        <v>1.6481481481481481</v>
      </c>
      <c r="DN55" s="150">
        <f t="shared" si="67"/>
        <v>1.6801097393689985</v>
      </c>
      <c r="DP55" s="314">
        <f t="shared" si="68"/>
        <v>600</v>
      </c>
      <c r="DQ55" s="144">
        <f t="shared" si="69"/>
        <v>257.61094720984244</v>
      </c>
      <c r="DS55">
        <f t="shared" si="116"/>
        <v>600</v>
      </c>
      <c r="DT55" s="144">
        <f t="shared" si="70"/>
        <v>257.61094720984244</v>
      </c>
      <c r="DU55" s="144"/>
      <c r="DV55" s="5">
        <f t="shared" si="117"/>
        <v>3.8818226120857702</v>
      </c>
      <c r="DW55" s="5">
        <f t="shared" si="71"/>
        <v>0.41203703703703703</v>
      </c>
      <c r="DX55" s="5">
        <f t="shared" si="118"/>
        <v>3.469785575048733</v>
      </c>
      <c r="DY55" s="150">
        <f t="shared" si="119"/>
        <v>0.10614525139664804</v>
      </c>
      <c r="EA55" s="5">
        <f t="shared" si="72"/>
        <v>4.9444444444444438</v>
      </c>
      <c r="EB55" s="5">
        <f t="shared" si="73"/>
        <v>0.64380787037037035</v>
      </c>
      <c r="EC55" s="5">
        <f t="shared" si="74"/>
        <v>9.0358999350227412E-2</v>
      </c>
      <c r="ED55" s="5"/>
      <c r="EE55" s="150">
        <f t="shared" si="120"/>
        <v>0.3100172820515823</v>
      </c>
      <c r="EF55" s="150">
        <f t="shared" si="75"/>
        <v>0.89964070100831905</v>
      </c>
      <c r="EG55" s="150">
        <f t="shared" si="76"/>
        <v>0.20109615669597719</v>
      </c>
      <c r="EH55" s="150"/>
      <c r="EI55" s="456">
        <f t="shared" si="77"/>
        <v>1.9222143034130065E-3</v>
      </c>
      <c r="EJ55" s="456">
        <f t="shared" si="78"/>
        <v>0.45600000000000002</v>
      </c>
      <c r="EK55" s="456">
        <f t="shared" si="79"/>
        <v>3.2201368401230307E-2</v>
      </c>
      <c r="EL55" s="456">
        <f t="shared" si="80"/>
        <v>7.4287011235955061E-2</v>
      </c>
      <c r="EM55">
        <f t="shared" si="81"/>
        <v>2.1600000000000001E-2</v>
      </c>
      <c r="EN55" s="144">
        <f t="shared" si="121"/>
        <v>53.801368401230306</v>
      </c>
      <c r="EO55">
        <f t="shared" si="82"/>
        <v>0.58679759289508193</v>
      </c>
      <c r="EP55" s="144">
        <f t="shared" si="122"/>
        <v>586.79759289508195</v>
      </c>
      <c r="EQ55" s="150">
        <f t="shared" si="83"/>
        <v>0.37274999999999997</v>
      </c>
      <c r="ER55" s="150">
        <f t="shared" si="170"/>
        <v>5.5468749999999997E-2</v>
      </c>
      <c r="ES55" s="456"/>
      <c r="EU55" s="144">
        <f t="shared" si="123"/>
        <v>428.21875</v>
      </c>
      <c r="EV55" s="456">
        <f t="shared" si="85"/>
        <v>2.8833214551195097E-3</v>
      </c>
      <c r="EW55" s="456">
        <f t="shared" si="124"/>
        <v>2.4280601727322191E-2</v>
      </c>
      <c r="EX55" s="456">
        <f t="shared" si="86"/>
        <v>2.0219832118946506E-4</v>
      </c>
      <c r="EY55" s="456">
        <f t="shared" si="87"/>
        <v>0.18572544499675728</v>
      </c>
      <c r="EZ55" s="456">
        <f t="shared" si="88"/>
        <v>0.2201413889410791</v>
      </c>
      <c r="FA55" s="538">
        <f t="shared" si="89"/>
        <v>6.9977239809642039E-4</v>
      </c>
      <c r="FB55" s="144">
        <f t="shared" si="125"/>
        <v>220.84116133917553</v>
      </c>
      <c r="FC55" s="150">
        <f t="shared" si="126"/>
        <v>1.2358575042342572</v>
      </c>
      <c r="FD55" s="5">
        <f t="shared" si="127"/>
        <v>4</v>
      </c>
      <c r="FE55" s="150">
        <f t="shared" si="128"/>
        <v>0.76396273137020732</v>
      </c>
      <c r="FF55" s="5">
        <f t="shared" si="129"/>
        <v>76.396273137020728</v>
      </c>
      <c r="FG55">
        <f t="shared" si="130"/>
        <v>50</v>
      </c>
      <c r="FI55" s="59">
        <f t="shared" si="90"/>
        <v>-50</v>
      </c>
      <c r="FJ55">
        <f t="shared" si="91"/>
        <v>-50</v>
      </c>
      <c r="FL55">
        <f t="shared" si="92"/>
        <v>0.82883202513712817</v>
      </c>
    </row>
    <row r="56" spans="5:168">
      <c r="E56" s="147">
        <v>51</v>
      </c>
      <c r="F56" s="188">
        <f t="shared" si="174"/>
        <v>0.61199999999999999</v>
      </c>
      <c r="G56" s="188">
        <f t="shared" si="171"/>
        <v>0.1275</v>
      </c>
      <c r="H56" s="188">
        <f t="shared" si="135"/>
        <v>3.06</v>
      </c>
      <c r="I56" s="188">
        <f t="shared" si="175"/>
        <v>1.02</v>
      </c>
      <c r="J56" s="465">
        <f t="shared" si="136"/>
        <v>47.941938538269063</v>
      </c>
      <c r="K56" s="379">
        <f t="shared" si="137"/>
        <v>5.7221516537044552</v>
      </c>
      <c r="L56" s="149">
        <f t="shared" si="138"/>
        <v>53.664090191973521</v>
      </c>
      <c r="M56" s="379"/>
      <c r="N56" s="188">
        <f t="shared" si="139"/>
        <v>0.10662906299602767</v>
      </c>
      <c r="O56" s="149">
        <f t="shared" si="172"/>
        <v>9.5850074710289608</v>
      </c>
      <c r="P56" s="149">
        <f t="shared" si="140"/>
        <v>4.2600033204573151</v>
      </c>
      <c r="Q56" s="188">
        <f t="shared" si="6"/>
        <v>1.9170014942057922</v>
      </c>
      <c r="R56" s="188">
        <f t="shared" si="141"/>
        <v>1.1981259338786201</v>
      </c>
      <c r="S56" s="379">
        <f t="shared" si="142"/>
        <v>5</v>
      </c>
      <c r="T56" s="188">
        <f t="shared" si="143"/>
        <v>1.5962428872637622</v>
      </c>
      <c r="U56" s="188">
        <f t="shared" si="10"/>
        <v>0.39954401576554882</v>
      </c>
      <c r="V56" s="188">
        <f t="shared" si="11"/>
        <v>3.3475020947346743</v>
      </c>
      <c r="W56" s="172">
        <f t="shared" si="12"/>
        <v>350</v>
      </c>
      <c r="X56" s="379">
        <f t="shared" si="95"/>
        <v>253.35402019746516</v>
      </c>
      <c r="Z56" s="188">
        <f t="shared" si="13"/>
        <v>1.2171438058449473</v>
      </c>
      <c r="AA56" s="150">
        <f t="shared" si="14"/>
        <v>2.5524883914399208</v>
      </c>
      <c r="AB56" s="150">
        <f t="shared" si="144"/>
        <v>0.54368045114814068</v>
      </c>
      <c r="AC56" s="150"/>
      <c r="AD56" s="150">
        <f t="shared" si="16"/>
        <v>2.0971132410011082</v>
      </c>
      <c r="AE56" s="314">
        <f t="shared" si="145"/>
        <v>583.65946867785442</v>
      </c>
      <c r="AF56" s="456">
        <f t="shared" si="146"/>
        <v>0.36699481717519394</v>
      </c>
      <c r="AH56" s="150">
        <f t="shared" si="147"/>
        <v>1.3938641048743392</v>
      </c>
      <c r="AI56" s="150">
        <f t="shared" si="148"/>
        <v>1.5962428872637622</v>
      </c>
      <c r="AJ56" s="150">
        <f t="shared" si="149"/>
        <v>1.6416613979731571</v>
      </c>
      <c r="AL56" s="314">
        <f t="shared" si="150"/>
        <v>612</v>
      </c>
      <c r="AM56" s="144">
        <f t="shared" si="151"/>
        <v>253.35402019746516</v>
      </c>
      <c r="AO56">
        <f t="shared" si="96"/>
        <v>612</v>
      </c>
      <c r="AP56" s="144">
        <f t="shared" si="24"/>
        <v>253.35402019746516</v>
      </c>
      <c r="AQ56" s="144"/>
      <c r="AR56" s="5">
        <f t="shared" si="97"/>
        <v>3.9470461105002235</v>
      </c>
      <c r="AS56" s="5">
        <f t="shared" si="25"/>
        <v>0.39954401576554882</v>
      </c>
      <c r="AT56" s="5">
        <f t="shared" si="98"/>
        <v>3.5475020947346745</v>
      </c>
      <c r="AU56" s="150">
        <f t="shared" si="99"/>
        <v>0.10122608264004121</v>
      </c>
      <c r="AW56" s="5">
        <f t="shared" si="152"/>
        <v>4.8904187529703176</v>
      </c>
      <c r="AX56" s="5">
        <f t="shared" si="153"/>
        <v>0.63677327512634341</v>
      </c>
      <c r="AY56" s="5">
        <f t="shared" si="28"/>
        <v>9.4344644974592079E-2</v>
      </c>
      <c r="AZ56" s="5"/>
      <c r="BA56" s="150">
        <f t="shared" si="100"/>
        <v>0.29321390569657935</v>
      </c>
      <c r="BB56" s="150">
        <f t="shared" si="154"/>
        <v>0.87370249926364607</v>
      </c>
      <c r="BC56" s="150">
        <f t="shared" si="155"/>
        <v>0.19529820571775619</v>
      </c>
      <c r="BD56" s="150"/>
      <c r="BE56" s="456">
        <f t="shared" si="31"/>
        <v>1.7194878898768506E-3</v>
      </c>
      <c r="BF56" s="456">
        <f t="shared" si="156"/>
        <v>0.40692260683187181</v>
      </c>
      <c r="BG56" s="456">
        <f t="shared" si="157"/>
        <v>0.30365707161825634</v>
      </c>
      <c r="BH56" s="456">
        <f t="shared" si="34"/>
        <v>7.2961766736677328E-2</v>
      </c>
      <c r="BI56">
        <f t="shared" si="35"/>
        <v>2.1573872342221079E-2</v>
      </c>
      <c r="BJ56" s="144">
        <f t="shared" si="101"/>
        <v>325.23094396047742</v>
      </c>
      <c r="BK56">
        <f t="shared" si="158"/>
        <v>0.48226515277245341</v>
      </c>
      <c r="BL56" s="144">
        <f t="shared" si="102"/>
        <v>482.2651527724534</v>
      </c>
      <c r="BM56" s="150">
        <f t="shared" si="159"/>
        <v>0.38020499999999996</v>
      </c>
      <c r="BN56" s="150">
        <f t="shared" si="160"/>
        <v>5.6578125E-2</v>
      </c>
      <c r="BO56" s="456"/>
      <c r="BQ56" s="144">
        <f t="shared" si="103"/>
        <v>436.78312499999993</v>
      </c>
      <c r="BR56" s="456">
        <f t="shared" si="39"/>
        <v>2.5792318348152759E-3</v>
      </c>
      <c r="BS56" s="456">
        <f t="shared" si="104"/>
        <v>2.2900681716586244E-2</v>
      </c>
      <c r="BT56" s="456">
        <f t="shared" si="161"/>
        <v>1.9070694578287507E-4</v>
      </c>
      <c r="BU56" s="456">
        <f t="shared" si="41"/>
        <v>0.16445116033661872</v>
      </c>
      <c r="BV56" s="456">
        <f t="shared" si="162"/>
        <v>0.19668665523179266</v>
      </c>
      <c r="BW56" s="538">
        <f t="shared" si="163"/>
        <v>6.4554385325314462E-4</v>
      </c>
      <c r="BX56" s="144">
        <f t="shared" si="105"/>
        <v>197.3321990850458</v>
      </c>
      <c r="BY56" s="150">
        <f t="shared" si="106"/>
        <v>1.1163804768574992</v>
      </c>
      <c r="BZ56" s="5">
        <f t="shared" si="107"/>
        <v>4.08</v>
      </c>
      <c r="CA56" s="150">
        <f t="shared" si="108"/>
        <v>0.78516190609417658</v>
      </c>
      <c r="CB56" s="5">
        <f t="shared" si="109"/>
        <v>78.516190609417663</v>
      </c>
      <c r="CC56">
        <f t="shared" si="173"/>
        <v>51</v>
      </c>
      <c r="CE56" s="59">
        <f t="shared" si="164"/>
        <v>-50</v>
      </c>
      <c r="CF56">
        <f t="shared" si="165"/>
        <v>-50</v>
      </c>
      <c r="CG56" s="150">
        <f t="shared" si="166"/>
        <v>0.82883202513712817</v>
      </c>
      <c r="CH56" s="150">
        <f t="shared" si="167"/>
        <v>0.44965289283354892</v>
      </c>
      <c r="CI56" s="147">
        <v>51</v>
      </c>
      <c r="CJ56" s="188">
        <f t="shared" si="133"/>
        <v>0.61199999999999999</v>
      </c>
      <c r="CK56" s="188">
        <f t="shared" si="111"/>
        <v>0.1275</v>
      </c>
      <c r="CL56" s="188">
        <f t="shared" si="48"/>
        <v>3.06</v>
      </c>
      <c r="CM56" s="188">
        <f t="shared" si="134"/>
        <v>1.02</v>
      </c>
      <c r="CN56" s="465">
        <f t="shared" si="112"/>
        <v>48</v>
      </c>
      <c r="CO56" s="379">
        <f t="shared" si="168"/>
        <v>5.7</v>
      </c>
      <c r="CP56" s="379">
        <f t="shared" si="169"/>
        <v>53.7</v>
      </c>
      <c r="CQ56" s="379"/>
      <c r="CR56" s="188">
        <f t="shared" si="113"/>
        <v>0.10112359550561799</v>
      </c>
      <c r="CS56" s="149">
        <f t="shared" si="114"/>
        <v>9.1011235955056193</v>
      </c>
      <c r="CT56" s="149">
        <f t="shared" si="51"/>
        <v>4.0449438202247192</v>
      </c>
      <c r="CU56" s="188">
        <f t="shared" si="52"/>
        <v>1.8202247191011238</v>
      </c>
      <c r="CV56" s="188">
        <f t="shared" si="53"/>
        <v>1.1376404494382024</v>
      </c>
      <c r="CW56" s="379">
        <f t="shared" si="54"/>
        <v>5</v>
      </c>
      <c r="CX56" s="188">
        <f t="shared" si="55"/>
        <v>1.681111111111111</v>
      </c>
      <c r="CY56" s="188">
        <f t="shared" si="56"/>
        <v>0.42027777777777775</v>
      </c>
      <c r="CZ56" s="188">
        <f t="shared" si="57"/>
        <v>3.5391812865497077</v>
      </c>
      <c r="DA56" s="172">
        <f t="shared" si="58"/>
        <v>350</v>
      </c>
      <c r="DB56" s="379">
        <f t="shared" si="115"/>
        <v>252.55975216651223</v>
      </c>
      <c r="DD56" s="188">
        <f t="shared" si="59"/>
        <v>1.2130885873902635</v>
      </c>
      <c r="DE56" s="150">
        <f t="shared" si="60"/>
        <v>2.5538707102952913</v>
      </c>
      <c r="DF56" s="150">
        <f t="shared" si="61"/>
        <v>0.54216249715765974</v>
      </c>
      <c r="DG56" s="150"/>
      <c r="DH56" s="150">
        <f t="shared" si="62"/>
        <v>2.1052631578947367</v>
      </c>
      <c r="DI56" s="314">
        <f t="shared" si="63"/>
        <v>581.4</v>
      </c>
      <c r="DJ56" s="456">
        <f t="shared" si="64"/>
        <v>0.36842105263157893</v>
      </c>
      <c r="DL56" s="150">
        <f t="shared" si="65"/>
        <v>1.3938641048743392</v>
      </c>
      <c r="DM56" s="150">
        <f t="shared" si="66"/>
        <v>1.681111111111111</v>
      </c>
      <c r="DN56" s="150">
        <f t="shared" si="67"/>
        <v>1.7045267489711933</v>
      </c>
      <c r="DP56" s="314">
        <f t="shared" si="68"/>
        <v>612</v>
      </c>
      <c r="DQ56" s="144">
        <f t="shared" si="69"/>
        <v>252.55975216651223</v>
      </c>
      <c r="DS56">
        <f t="shared" si="116"/>
        <v>612</v>
      </c>
      <c r="DT56" s="144">
        <f t="shared" si="70"/>
        <v>252.55975216651223</v>
      </c>
      <c r="DU56" s="144"/>
      <c r="DV56" s="5">
        <f t="shared" si="117"/>
        <v>3.9594590643274854</v>
      </c>
      <c r="DW56" s="5">
        <f t="shared" si="71"/>
        <v>0.42027777777777775</v>
      </c>
      <c r="DX56" s="5">
        <f t="shared" si="118"/>
        <v>3.5391812865497077</v>
      </c>
      <c r="DY56" s="150">
        <f t="shared" si="119"/>
        <v>0.10614525139664804</v>
      </c>
      <c r="EA56" s="5">
        <f t="shared" si="72"/>
        <v>5.1441999999999997</v>
      </c>
      <c r="EB56" s="5">
        <f t="shared" si="73"/>
        <v>0.66981770833333321</v>
      </c>
      <c r="EC56" s="5">
        <f t="shared" si="74"/>
        <v>9.4009502923976598E-2</v>
      </c>
      <c r="ED56" s="5"/>
      <c r="EE56" s="150">
        <f t="shared" si="120"/>
        <v>0.31621762769261391</v>
      </c>
      <c r="EF56" s="150">
        <f t="shared" si="75"/>
        <v>0.91763351502848534</v>
      </c>
      <c r="EG56" s="150">
        <f t="shared" si="76"/>
        <v>0.20511807982989674</v>
      </c>
      <c r="EH56" s="150"/>
      <c r="EI56" s="456">
        <f t="shared" si="77"/>
        <v>1.9998717612708917E-3</v>
      </c>
      <c r="EJ56" s="456">
        <f t="shared" si="78"/>
        <v>0.45600000000000007</v>
      </c>
      <c r="EK56" s="456">
        <f t="shared" si="79"/>
        <v>3.1569969020814027E-2</v>
      </c>
      <c r="EL56" s="456">
        <f t="shared" si="80"/>
        <v>7.2830403172504971E-2</v>
      </c>
      <c r="EM56">
        <f t="shared" si="81"/>
        <v>2.1600000000000001E-2</v>
      </c>
      <c r="EN56" s="144">
        <f t="shared" si="121"/>
        <v>53.16996902081403</v>
      </c>
      <c r="EO56">
        <f t="shared" si="82"/>
        <v>0.58481809707073318</v>
      </c>
      <c r="EP56" s="144">
        <f t="shared" si="122"/>
        <v>584.81809707073319</v>
      </c>
      <c r="EQ56" s="150">
        <f t="shared" si="83"/>
        <v>0.38020499999999996</v>
      </c>
      <c r="ER56" s="150">
        <f t="shared" si="170"/>
        <v>5.6578125E-2</v>
      </c>
      <c r="ES56" s="456"/>
      <c r="EU56" s="144">
        <f t="shared" si="123"/>
        <v>436.78312499999993</v>
      </c>
      <c r="EV56" s="456">
        <f t="shared" si="85"/>
        <v>2.9998076419063373E-3</v>
      </c>
      <c r="EW56" s="456">
        <f t="shared" si="124"/>
        <v>2.5261538037106002E-2</v>
      </c>
      <c r="EX56" s="456">
        <f t="shared" si="86"/>
        <v>2.1036713336551949E-4</v>
      </c>
      <c r="EY56" s="456">
        <f t="shared" si="87"/>
        <v>0.18572544499675722</v>
      </c>
      <c r="EZ56" s="456">
        <f t="shared" si="88"/>
        <v>0.22153496728141264</v>
      </c>
      <c r="FA56" s="538">
        <f t="shared" si="89"/>
        <v>7.1376784605834884E-4</v>
      </c>
      <c r="FB56" s="144">
        <f t="shared" si="125"/>
        <v>222.24873512747098</v>
      </c>
      <c r="FC56" s="150">
        <f t="shared" si="126"/>
        <v>1.243849957198204</v>
      </c>
      <c r="FD56" s="5">
        <f t="shared" si="127"/>
        <v>4.08</v>
      </c>
      <c r="FE56" s="150">
        <f t="shared" si="128"/>
        <v>0.76636269481704022</v>
      </c>
      <c r="FF56" s="5">
        <f t="shared" si="129"/>
        <v>76.636269481704019</v>
      </c>
      <c r="FG56">
        <f t="shared" si="130"/>
        <v>51</v>
      </c>
      <c r="FI56" s="59">
        <f t="shared" si="90"/>
        <v>-50</v>
      </c>
      <c r="FJ56">
        <f t="shared" si="91"/>
        <v>-50</v>
      </c>
      <c r="FL56">
        <f t="shared" si="92"/>
        <v>0.82883202513712817</v>
      </c>
    </row>
    <row r="57" spans="5:168">
      <c r="E57" s="147">
        <v>52</v>
      </c>
      <c r="F57" s="188">
        <f t="shared" si="174"/>
        <v>0.624</v>
      </c>
      <c r="G57" s="188">
        <f t="shared" si="171"/>
        <v>0.13</v>
      </c>
      <c r="H57" s="188">
        <f t="shared" si="135"/>
        <v>3.12</v>
      </c>
      <c r="I57" s="188">
        <f t="shared" si="175"/>
        <v>1.04</v>
      </c>
      <c r="J57" s="465">
        <f t="shared" si="136"/>
        <v>47.940800078235121</v>
      </c>
      <c r="K57" s="379">
        <f t="shared" si="137"/>
        <v>5.7225859998555233</v>
      </c>
      <c r="L57" s="149">
        <f t="shared" si="138"/>
        <v>53.663386078090646</v>
      </c>
      <c r="M57" s="379"/>
      <c r="N57" s="188">
        <f t="shared" si="139"/>
        <v>0.10663855597050938</v>
      </c>
      <c r="O57" s="149">
        <f t="shared" si="172"/>
        <v>9.5856331732760189</v>
      </c>
      <c r="P57" s="149">
        <f t="shared" si="140"/>
        <v>4.2602814103448967</v>
      </c>
      <c r="Q57" s="188">
        <f t="shared" si="6"/>
        <v>1.9171266346552038</v>
      </c>
      <c r="R57" s="188">
        <f t="shared" si="141"/>
        <v>1.1982041466595024</v>
      </c>
      <c r="S57" s="379">
        <f t="shared" si="142"/>
        <v>5</v>
      </c>
      <c r="T57" s="188">
        <f t="shared" si="143"/>
        <v>1.6274355296102461</v>
      </c>
      <c r="U57" s="188">
        <f t="shared" si="10"/>
        <v>0.40736129400120547</v>
      </c>
      <c r="V57" s="188">
        <f t="shared" si="11"/>
        <v>3.4126575565340569</v>
      </c>
      <c r="W57" s="172">
        <f t="shared" si="12"/>
        <v>350</v>
      </c>
      <c r="X57" s="379">
        <f t="shared" si="95"/>
        <v>248.75505244629659</v>
      </c>
      <c r="Z57" s="188">
        <f t="shared" si="13"/>
        <v>1.2172232600985422</v>
      </c>
      <c r="AA57" s="150">
        <f t="shared" si="14"/>
        <v>2.5524612686556876</v>
      </c>
      <c r="AB57" s="150">
        <f t="shared" si="144"/>
        <v>0.54371016467395894</v>
      </c>
      <c r="AC57" s="150"/>
      <c r="AD57" s="150">
        <f t="shared" si="16"/>
        <v>2.0969540694194833</v>
      </c>
      <c r="AE57" s="314">
        <f t="shared" si="145"/>
        <v>595.14894398497427</v>
      </c>
      <c r="AF57" s="456">
        <f t="shared" si="146"/>
        <v>0.36696696214840957</v>
      </c>
      <c r="AH57" s="150">
        <f t="shared" si="147"/>
        <v>1.4074631010979937</v>
      </c>
      <c r="AI57" s="150">
        <f t="shared" si="148"/>
        <v>1.6274355296102461</v>
      </c>
      <c r="AJ57" s="150">
        <f t="shared" si="149"/>
        <v>1.6647670589705525</v>
      </c>
      <c r="AL57" s="314">
        <f t="shared" si="150"/>
        <v>624</v>
      </c>
      <c r="AM57" s="144">
        <f t="shared" si="151"/>
        <v>248.75505244629659</v>
      </c>
      <c r="AO57">
        <f t="shared" si="96"/>
        <v>624</v>
      </c>
      <c r="AP57" s="144">
        <f t="shared" si="24"/>
        <v>248.75505244629659</v>
      </c>
      <c r="AQ57" s="144"/>
      <c r="AR57" s="5">
        <f t="shared" si="97"/>
        <v>4.0200188505352621</v>
      </c>
      <c r="AS57" s="5">
        <f t="shared" si="25"/>
        <v>0.40736129400120547</v>
      </c>
      <c r="AT57" s="5">
        <f t="shared" si="98"/>
        <v>3.6126575565340566</v>
      </c>
      <c r="AU57" s="150">
        <f t="shared" si="99"/>
        <v>0.1013331800538611</v>
      </c>
      <c r="AW57" s="5">
        <f t="shared" si="152"/>
        <v>5.0838689491350442</v>
      </c>
      <c r="AX57" s="5">
        <f t="shared" si="153"/>
        <v>0.66196210275195899</v>
      </c>
      <c r="AY57" s="5">
        <f t="shared" si="28"/>
        <v>9.7963630474044591E-2</v>
      </c>
      <c r="AZ57" s="5"/>
      <c r="BA57" s="150">
        <f t="shared" si="100"/>
        <v>0.2991017828655399</v>
      </c>
      <c r="BB57" s="150">
        <f t="shared" si="154"/>
        <v>0.89072269786912328</v>
      </c>
      <c r="BC57" s="150">
        <f t="shared" si="155"/>
        <v>0.19910272070015694</v>
      </c>
      <c r="BD57" s="150"/>
      <c r="BE57" s="456">
        <f t="shared" si="31"/>
        <v>1.7892375302668918E-3</v>
      </c>
      <c r="BF57" s="456">
        <f t="shared" si="156"/>
        <v>0.40733811390141933</v>
      </c>
      <c r="BG57" s="456">
        <f t="shared" si="157"/>
        <v>0.29813790594446993</v>
      </c>
      <c r="BH57" s="456">
        <f t="shared" si="34"/>
        <v>7.1635460241256721E-2</v>
      </c>
      <c r="BI57">
        <f t="shared" si="35"/>
        <v>2.1573360035205803E-2</v>
      </c>
      <c r="BJ57" s="144">
        <f t="shared" si="101"/>
        <v>319.71126597967577</v>
      </c>
      <c r="BK57">
        <f t="shared" si="158"/>
        <v>0.48145058144326558</v>
      </c>
      <c r="BL57" s="144">
        <f t="shared" si="102"/>
        <v>481.45058144326561</v>
      </c>
      <c r="BM57" s="150">
        <f t="shared" si="159"/>
        <v>0.38765999999999995</v>
      </c>
      <c r="BN57" s="150">
        <f t="shared" si="160"/>
        <v>5.7687499999999996E-2</v>
      </c>
      <c r="BO57" s="456"/>
      <c r="BQ57" s="144">
        <f t="shared" si="103"/>
        <v>445.34749999999997</v>
      </c>
      <c r="BR57" s="456">
        <f t="shared" si="39"/>
        <v>2.6838562954003375E-3</v>
      </c>
      <c r="BS57" s="456">
        <f t="shared" si="104"/>
        <v>2.3801607734977484E-2</v>
      </c>
      <c r="BT57" s="456">
        <f t="shared" si="161"/>
        <v>1.9820946695102353E-4</v>
      </c>
      <c r="BU57" s="456">
        <f t="shared" si="41"/>
        <v>0.16487669118024526</v>
      </c>
      <c r="BV57" s="456">
        <f t="shared" si="162"/>
        <v>0.1983879438464855</v>
      </c>
      <c r="BW57" s="538">
        <f t="shared" si="163"/>
        <v>6.5883929939411371E-4</v>
      </c>
      <c r="BX57" s="144">
        <f t="shared" si="105"/>
        <v>199.04678314587963</v>
      </c>
      <c r="BY57" s="150">
        <f t="shared" si="106"/>
        <v>1.125844864589145</v>
      </c>
      <c r="BZ57" s="5">
        <f t="shared" si="107"/>
        <v>4.16</v>
      </c>
      <c r="CA57" s="150">
        <f t="shared" si="108"/>
        <v>0.78700758470393473</v>
      </c>
      <c r="CB57" s="5">
        <f t="shared" si="109"/>
        <v>78.700758470393467</v>
      </c>
      <c r="CC57">
        <f t="shared" si="173"/>
        <v>52</v>
      </c>
      <c r="CE57" s="59">
        <f t="shared" si="164"/>
        <v>-50</v>
      </c>
      <c r="CF57">
        <f t="shared" si="165"/>
        <v>-50</v>
      </c>
      <c r="CG57" s="150">
        <f t="shared" si="166"/>
        <v>0.82883202513712817</v>
      </c>
      <c r="CH57" s="150">
        <f t="shared" si="167"/>
        <v>0.44965289283354892</v>
      </c>
      <c r="CI57" s="147">
        <v>52</v>
      </c>
      <c r="CJ57" s="188">
        <f t="shared" si="133"/>
        <v>0.624</v>
      </c>
      <c r="CK57" s="188">
        <f t="shared" si="111"/>
        <v>0.13</v>
      </c>
      <c r="CL57" s="188">
        <f t="shared" si="48"/>
        <v>3.12</v>
      </c>
      <c r="CM57" s="188">
        <f t="shared" si="134"/>
        <v>1.04</v>
      </c>
      <c r="CN57" s="465">
        <f t="shared" si="112"/>
        <v>48</v>
      </c>
      <c r="CO57" s="379">
        <f t="shared" si="168"/>
        <v>5.7</v>
      </c>
      <c r="CP57" s="379">
        <f t="shared" si="169"/>
        <v>53.7</v>
      </c>
      <c r="CQ57" s="379"/>
      <c r="CR57" s="188">
        <f t="shared" si="113"/>
        <v>0.10112359550561799</v>
      </c>
      <c r="CS57" s="149">
        <f t="shared" si="114"/>
        <v>9.1011235955056193</v>
      </c>
      <c r="CT57" s="149">
        <f t="shared" si="51"/>
        <v>4.0449438202247192</v>
      </c>
      <c r="CU57" s="188">
        <f t="shared" si="52"/>
        <v>1.8202247191011238</v>
      </c>
      <c r="CV57" s="188">
        <f t="shared" si="53"/>
        <v>1.1376404494382024</v>
      </c>
      <c r="CW57" s="379">
        <f t="shared" si="54"/>
        <v>5</v>
      </c>
      <c r="CX57" s="188">
        <f t="shared" si="55"/>
        <v>1.7140740740740741</v>
      </c>
      <c r="CY57" s="188">
        <f t="shared" si="56"/>
        <v>0.42851851851851852</v>
      </c>
      <c r="CZ57" s="188">
        <f t="shared" si="57"/>
        <v>3.6085769980506823</v>
      </c>
      <c r="DA57" s="172">
        <f t="shared" si="58"/>
        <v>350</v>
      </c>
      <c r="DB57" s="379">
        <f t="shared" si="115"/>
        <v>247.70283385561777</v>
      </c>
      <c r="DD57" s="188">
        <f t="shared" si="59"/>
        <v>1.2130885873902635</v>
      </c>
      <c r="DE57" s="150">
        <f t="shared" si="60"/>
        <v>2.5538707102952913</v>
      </c>
      <c r="DF57" s="150">
        <f t="shared" si="61"/>
        <v>0.54216249715765974</v>
      </c>
      <c r="DG57" s="150"/>
      <c r="DH57" s="150">
        <f t="shared" si="62"/>
        <v>2.1052631578947367</v>
      </c>
      <c r="DI57" s="314">
        <f t="shared" si="63"/>
        <v>592.79999999999995</v>
      </c>
      <c r="DJ57" s="456">
        <f t="shared" si="64"/>
        <v>0.36842105263157893</v>
      </c>
      <c r="DL57" s="150">
        <f t="shared" si="65"/>
        <v>1.4074631010979937</v>
      </c>
      <c r="DM57" s="150">
        <f t="shared" si="66"/>
        <v>1.7140740740740741</v>
      </c>
      <c r="DN57" s="150">
        <f t="shared" si="67"/>
        <v>1.7289437585733882</v>
      </c>
      <c r="DP57" s="314">
        <f t="shared" si="68"/>
        <v>624</v>
      </c>
      <c r="DQ57" s="144">
        <f t="shared" si="69"/>
        <v>247.70283385561777</v>
      </c>
      <c r="DS57">
        <f t="shared" si="116"/>
        <v>624</v>
      </c>
      <c r="DT57" s="144">
        <f t="shared" si="70"/>
        <v>247.70283385561777</v>
      </c>
      <c r="DU57" s="144"/>
      <c r="DV57" s="5">
        <f t="shared" si="117"/>
        <v>4.0370955165691997</v>
      </c>
      <c r="DW57" s="5">
        <f t="shared" si="71"/>
        <v>0.42851851851851852</v>
      </c>
      <c r="DX57" s="5">
        <f t="shared" si="118"/>
        <v>3.6085769980506814</v>
      </c>
      <c r="DY57" s="150">
        <f t="shared" si="119"/>
        <v>0.10614525139664807</v>
      </c>
      <c r="EA57" s="5">
        <f t="shared" si="72"/>
        <v>5.3479111111111113</v>
      </c>
      <c r="EB57" s="5">
        <f t="shared" si="73"/>
        <v>0.69634259259259257</v>
      </c>
      <c r="EC57" s="5">
        <f t="shared" si="74"/>
        <v>9.7732293697205944E-2</v>
      </c>
      <c r="ED57" s="5"/>
      <c r="EE57" s="150">
        <f t="shared" si="120"/>
        <v>0.32241797333364569</v>
      </c>
      <c r="EF57" s="150">
        <f t="shared" si="75"/>
        <v>0.93562632904865184</v>
      </c>
      <c r="EG57" s="150">
        <f t="shared" si="76"/>
        <v>0.2091400029638163</v>
      </c>
      <c r="EH57" s="150"/>
      <c r="EI57" s="456">
        <f t="shared" si="77"/>
        <v>2.0790669905715094E-3</v>
      </c>
      <c r="EJ57" s="456">
        <f t="shared" si="78"/>
        <v>0.45600000000000007</v>
      </c>
      <c r="EK57" s="456">
        <f t="shared" si="79"/>
        <v>3.0962854231952223E-2</v>
      </c>
      <c r="EL57" s="456">
        <f t="shared" si="80"/>
        <v>7.1429818496110659E-2</v>
      </c>
      <c r="EM57">
        <f t="shared" si="81"/>
        <v>2.1600000000000001E-2</v>
      </c>
      <c r="EN57" s="144">
        <f t="shared" si="121"/>
        <v>52.56285423195223</v>
      </c>
      <c r="EO57">
        <f t="shared" si="82"/>
        <v>0.58292104282511215</v>
      </c>
      <c r="EP57" s="144">
        <f t="shared" si="122"/>
        <v>582.92104282511218</v>
      </c>
      <c r="EQ57" s="150">
        <f t="shared" si="83"/>
        <v>0.38765999999999995</v>
      </c>
      <c r="ER57" s="150">
        <f t="shared" si="170"/>
        <v>5.7687499999999996E-2</v>
      </c>
      <c r="ES57" s="456"/>
      <c r="EU57" s="144">
        <f t="shared" si="123"/>
        <v>445.34749999999997</v>
      </c>
      <c r="EV57" s="456">
        <f t="shared" si="85"/>
        <v>3.1186004858572637E-3</v>
      </c>
      <c r="EW57" s="456">
        <f t="shared" si="124"/>
        <v>2.6261898828271683E-2</v>
      </c>
      <c r="EX57" s="456">
        <f t="shared" si="86"/>
        <v>2.1869770419852546E-4</v>
      </c>
      <c r="EY57" s="456">
        <f t="shared" si="87"/>
        <v>0.18572544499675725</v>
      </c>
      <c r="EZ57" s="456">
        <f t="shared" si="88"/>
        <v>0.22295639572216142</v>
      </c>
      <c r="FA57" s="538">
        <f t="shared" si="89"/>
        <v>7.277632940202774E-4</v>
      </c>
      <c r="FB57" s="144">
        <f t="shared" si="125"/>
        <v>223.6841590161817</v>
      </c>
      <c r="FC57" s="150">
        <f t="shared" si="126"/>
        <v>1.2519527018412937</v>
      </c>
      <c r="FD57" s="5">
        <f t="shared" si="127"/>
        <v>4.16</v>
      </c>
      <c r="FE57" s="150">
        <f t="shared" si="128"/>
        <v>0.76866894985698131</v>
      </c>
      <c r="FF57" s="5">
        <f t="shared" si="129"/>
        <v>76.866894985698124</v>
      </c>
      <c r="FG57">
        <f t="shared" si="130"/>
        <v>52</v>
      </c>
      <c r="FI57" s="59">
        <f t="shared" si="90"/>
        <v>-50</v>
      </c>
      <c r="FJ57">
        <f t="shared" si="91"/>
        <v>-50</v>
      </c>
      <c r="FL57">
        <f t="shared" si="92"/>
        <v>0.82883202513712817</v>
      </c>
    </row>
    <row r="58" spans="5:168">
      <c r="E58" s="147">
        <v>53</v>
      </c>
      <c r="F58" s="188">
        <f t="shared" si="174"/>
        <v>0.63600000000000001</v>
      </c>
      <c r="G58" s="188">
        <f t="shared" si="171"/>
        <v>0.13250000000000001</v>
      </c>
      <c r="H58" s="188">
        <f t="shared" si="135"/>
        <v>3.18</v>
      </c>
      <c r="I58" s="188">
        <f t="shared" si="175"/>
        <v>1.06</v>
      </c>
      <c r="J58" s="465">
        <f t="shared" si="136"/>
        <v>47.939661618201185</v>
      </c>
      <c r="K58" s="379">
        <f t="shared" si="137"/>
        <v>5.7230203460065905</v>
      </c>
      <c r="L58" s="149">
        <f t="shared" si="138"/>
        <v>53.662681964207778</v>
      </c>
      <c r="M58" s="379"/>
      <c r="N58" s="188">
        <f t="shared" si="139"/>
        <v>0.10664804919410777</v>
      </c>
      <c r="O58" s="149">
        <f t="shared" si="172"/>
        <v>9.5862588573877492</v>
      </c>
      <c r="P58" s="149">
        <f t="shared" si="140"/>
        <v>4.2605594921723329</v>
      </c>
      <c r="Q58" s="188">
        <f t="shared" si="6"/>
        <v>1.9172517714775499</v>
      </c>
      <c r="R58" s="188">
        <f t="shared" si="141"/>
        <v>1.1982823571734686</v>
      </c>
      <c r="S58" s="379">
        <f t="shared" si="142"/>
        <v>5</v>
      </c>
      <c r="T58" s="188">
        <f t="shared" si="143"/>
        <v>1.6586241031605882</v>
      </c>
      <c r="U58" s="188">
        <f t="shared" si="10"/>
        <v>0.41517792504339102</v>
      </c>
      <c r="V58" s="188">
        <f t="shared" si="11"/>
        <v>3.4777945970112296</v>
      </c>
      <c r="W58" s="172">
        <f t="shared" si="12"/>
        <v>350</v>
      </c>
      <c r="X58" s="379">
        <f t="shared" si="95"/>
        <v>244.32121022352055</v>
      </c>
      <c r="Z58" s="188">
        <f t="shared" si="13"/>
        <v>1.2173027120492379</v>
      </c>
      <c r="AA58" s="150">
        <f t="shared" si="14"/>
        <v>2.5524341451596917</v>
      </c>
      <c r="AB58" s="150">
        <f t="shared" si="144"/>
        <v>0.54373987626524489</v>
      </c>
      <c r="AC58" s="150"/>
      <c r="AD58" s="150">
        <f t="shared" si="16"/>
        <v>2.0967949219983746</v>
      </c>
      <c r="AE58" s="314">
        <f t="shared" si="145"/>
        <v>606.64015667669855</v>
      </c>
      <c r="AF58" s="456">
        <f t="shared" si="146"/>
        <v>0.36693911134971552</v>
      </c>
      <c r="AH58" s="150">
        <f t="shared" si="147"/>
        <v>1.4209319544044392</v>
      </c>
      <c r="AI58" s="150">
        <f t="shared" si="148"/>
        <v>1.6586241031605882</v>
      </c>
      <c r="AJ58" s="150">
        <f t="shared" si="149"/>
        <v>1.6878697060448802</v>
      </c>
      <c r="AL58" s="314">
        <f t="shared" si="150"/>
        <v>636</v>
      </c>
      <c r="AM58" s="144">
        <f t="shared" si="151"/>
        <v>244.32121022352055</v>
      </c>
      <c r="AO58">
        <f t="shared" si="96"/>
        <v>636</v>
      </c>
      <c r="AP58" s="144">
        <f t="shared" si="24"/>
        <v>244.32121022352055</v>
      </c>
      <c r="AQ58" s="144"/>
      <c r="AR58" s="5">
        <f t="shared" si="97"/>
        <v>4.0929725220546205</v>
      </c>
      <c r="AS58" s="5">
        <f t="shared" si="25"/>
        <v>0.41517792504339102</v>
      </c>
      <c r="AT58" s="5">
        <f t="shared" si="98"/>
        <v>3.6777945970112293</v>
      </c>
      <c r="AU58" s="150">
        <f t="shared" si="99"/>
        <v>0.10143677310469139</v>
      </c>
      <c r="AW58" s="5">
        <f t="shared" si="152"/>
        <v>5.2810632065519334</v>
      </c>
      <c r="AX58" s="5">
        <f t="shared" si="153"/>
        <v>0.68763843835311644</v>
      </c>
      <c r="AY58" s="5">
        <f t="shared" si="28"/>
        <v>0.10165023441028469</v>
      </c>
      <c r="AZ58" s="5"/>
      <c r="BA58" s="150">
        <f t="shared" si="100"/>
        <v>0.30498961900286231</v>
      </c>
      <c r="BB58" s="150">
        <f t="shared" si="154"/>
        <v>0.90774040203990991</v>
      </c>
      <c r="BC58" s="150">
        <f t="shared" si="155"/>
        <v>0.2029066781030387</v>
      </c>
      <c r="BD58" s="150"/>
      <c r="BE58" s="456">
        <f t="shared" si="31"/>
        <v>1.8603733539902224E-3</v>
      </c>
      <c r="BF58" s="456">
        <f t="shared" si="156"/>
        <v>0.40773950319636515</v>
      </c>
      <c r="BG58" s="456">
        <f t="shared" si="157"/>
        <v>0.29281690360662427</v>
      </c>
      <c r="BH58" s="456">
        <f t="shared" si="34"/>
        <v>7.035677420443924E-2</v>
      </c>
      <c r="BI58">
        <f t="shared" si="35"/>
        <v>2.1572847728190531E-2</v>
      </c>
      <c r="BJ58" s="144">
        <f t="shared" si="101"/>
        <v>314.38975133481478</v>
      </c>
      <c r="BK58">
        <f t="shared" si="158"/>
        <v>0.48067142020496856</v>
      </c>
      <c r="BL58" s="144">
        <f t="shared" si="102"/>
        <v>480.67142020496857</v>
      </c>
      <c r="BM58" s="150">
        <f t="shared" si="159"/>
        <v>0.39511499999999999</v>
      </c>
      <c r="BN58" s="150">
        <f t="shared" si="160"/>
        <v>5.8796874999999998E-2</v>
      </c>
      <c r="BO58" s="456"/>
      <c r="BQ58" s="144">
        <f t="shared" si="103"/>
        <v>453.91187499999995</v>
      </c>
      <c r="BR58" s="456">
        <f t="shared" si="39"/>
        <v>2.7905600309853333E-3</v>
      </c>
      <c r="BS58" s="456">
        <f t="shared" si="104"/>
        <v>2.4719779124867319E-2</v>
      </c>
      <c r="BT58" s="456">
        <f t="shared" si="161"/>
        <v>2.058556000940508E-4</v>
      </c>
      <c r="BU58" s="456">
        <f t="shared" si="41"/>
        <v>0.16528858523513529</v>
      </c>
      <c r="BV58" s="456">
        <f t="shared" si="162"/>
        <v>0.20010034835055857</v>
      </c>
      <c r="BW58" s="538">
        <f t="shared" si="163"/>
        <v>6.7213593562174265E-4</v>
      </c>
      <c r="BX58" s="144">
        <f t="shared" si="105"/>
        <v>200.77248428618032</v>
      </c>
      <c r="BY58" s="150">
        <f t="shared" si="106"/>
        <v>1.1353557794911486</v>
      </c>
      <c r="BZ58" s="5">
        <f t="shared" si="107"/>
        <v>4.24</v>
      </c>
      <c r="CA58" s="150">
        <f t="shared" si="108"/>
        <v>0.78878499841388627</v>
      </c>
      <c r="CB58" s="5">
        <f t="shared" si="109"/>
        <v>78.878499841388631</v>
      </c>
      <c r="CC58">
        <f t="shared" si="173"/>
        <v>53</v>
      </c>
      <c r="CE58" s="59">
        <f t="shared" si="164"/>
        <v>-50</v>
      </c>
      <c r="CF58">
        <f t="shared" si="165"/>
        <v>-50</v>
      </c>
      <c r="CG58" s="150">
        <f t="shared" si="166"/>
        <v>0.82883202513712817</v>
      </c>
      <c r="CH58" s="150">
        <f t="shared" si="167"/>
        <v>0.44965289283354892</v>
      </c>
      <c r="CI58" s="147">
        <v>53</v>
      </c>
      <c r="CJ58" s="188">
        <f t="shared" si="133"/>
        <v>0.63600000000000001</v>
      </c>
      <c r="CK58" s="188">
        <f t="shared" si="111"/>
        <v>0.13250000000000001</v>
      </c>
      <c r="CL58" s="188">
        <f t="shared" si="48"/>
        <v>3.18</v>
      </c>
      <c r="CM58" s="188">
        <f t="shared" si="134"/>
        <v>1.06</v>
      </c>
      <c r="CN58" s="465">
        <f t="shared" si="112"/>
        <v>48</v>
      </c>
      <c r="CO58" s="379">
        <f t="shared" si="168"/>
        <v>5.7</v>
      </c>
      <c r="CP58" s="379">
        <f t="shared" si="169"/>
        <v>53.7</v>
      </c>
      <c r="CQ58" s="379"/>
      <c r="CR58" s="188">
        <f t="shared" si="113"/>
        <v>0.10112359550561799</v>
      </c>
      <c r="CS58" s="149">
        <f t="shared" si="114"/>
        <v>9.1011235955056193</v>
      </c>
      <c r="CT58" s="149">
        <f t="shared" si="51"/>
        <v>4.0449438202247192</v>
      </c>
      <c r="CU58" s="188">
        <f t="shared" si="52"/>
        <v>1.8202247191011238</v>
      </c>
      <c r="CV58" s="188">
        <f t="shared" si="53"/>
        <v>1.1376404494382024</v>
      </c>
      <c r="CW58" s="379">
        <f t="shared" si="54"/>
        <v>5</v>
      </c>
      <c r="CX58" s="188">
        <f t="shared" si="55"/>
        <v>1.7470370370370369</v>
      </c>
      <c r="CY58" s="188">
        <f t="shared" si="56"/>
        <v>0.43675925925925929</v>
      </c>
      <c r="CZ58" s="188">
        <f t="shared" si="57"/>
        <v>3.6779727095516566</v>
      </c>
      <c r="DA58" s="172">
        <f t="shared" si="58"/>
        <v>350</v>
      </c>
      <c r="DB58" s="379">
        <f t="shared" si="115"/>
        <v>243.02919548098345</v>
      </c>
      <c r="DD58" s="188">
        <f t="shared" si="59"/>
        <v>1.2130885873902635</v>
      </c>
      <c r="DE58" s="150">
        <f t="shared" si="60"/>
        <v>2.5538707102952913</v>
      </c>
      <c r="DF58" s="150">
        <f t="shared" si="61"/>
        <v>0.54216249715765974</v>
      </c>
      <c r="DG58" s="150"/>
      <c r="DH58" s="150">
        <f t="shared" si="62"/>
        <v>2.1052631578947367</v>
      </c>
      <c r="DI58" s="314">
        <f t="shared" si="63"/>
        <v>604.20000000000016</v>
      </c>
      <c r="DJ58" s="456">
        <f t="shared" si="64"/>
        <v>0.36842105263157893</v>
      </c>
      <c r="DL58" s="150">
        <f t="shared" si="65"/>
        <v>1.4209319544044392</v>
      </c>
      <c r="DM58" s="150">
        <f t="shared" si="66"/>
        <v>1.7470370370370369</v>
      </c>
      <c r="DN58" s="150">
        <f t="shared" si="67"/>
        <v>1.753360768175583</v>
      </c>
      <c r="DP58" s="314">
        <f t="shared" si="68"/>
        <v>636</v>
      </c>
      <c r="DQ58" s="144">
        <f t="shared" si="69"/>
        <v>243.02919548098345</v>
      </c>
      <c r="DS58">
        <f t="shared" si="116"/>
        <v>636</v>
      </c>
      <c r="DT58" s="144">
        <f t="shared" si="70"/>
        <v>243.02919548098345</v>
      </c>
      <c r="DU58" s="144"/>
      <c r="DV58" s="5">
        <f t="shared" si="117"/>
        <v>4.1147319688109159</v>
      </c>
      <c r="DW58" s="5">
        <f t="shared" si="71"/>
        <v>0.43675925925925929</v>
      </c>
      <c r="DX58" s="5">
        <f t="shared" si="118"/>
        <v>3.6779727095516566</v>
      </c>
      <c r="DY58" s="150">
        <f t="shared" si="119"/>
        <v>0.10614525139664806</v>
      </c>
      <c r="EA58" s="5">
        <f t="shared" si="72"/>
        <v>5.5555777777777777</v>
      </c>
      <c r="EB58" s="5">
        <f t="shared" si="73"/>
        <v>0.72338252314814822</v>
      </c>
      <c r="EC58" s="5">
        <f t="shared" si="74"/>
        <v>0.1015273716699155</v>
      </c>
      <c r="ED58" s="5"/>
      <c r="EE58" s="150">
        <f t="shared" si="120"/>
        <v>0.32861831897467725</v>
      </c>
      <c r="EF58" s="150">
        <f t="shared" si="75"/>
        <v>0.95361914306881812</v>
      </c>
      <c r="EG58" s="150">
        <f t="shared" si="76"/>
        <v>0.21316192609773582</v>
      </c>
      <c r="EH58" s="150"/>
      <c r="EI58" s="456">
        <f t="shared" si="77"/>
        <v>2.1597999913148544E-3</v>
      </c>
      <c r="EJ58" s="456">
        <f t="shared" si="78"/>
        <v>0.45600000000000002</v>
      </c>
      <c r="EK58" s="456">
        <f t="shared" si="79"/>
        <v>3.0378649435122931E-2</v>
      </c>
      <c r="EL58" s="456">
        <f t="shared" si="80"/>
        <v>7.0082086071655725E-2</v>
      </c>
      <c r="EM58">
        <f t="shared" si="81"/>
        <v>2.1600000000000001E-2</v>
      </c>
      <c r="EN58" s="144">
        <f t="shared" si="121"/>
        <v>51.978649435122932</v>
      </c>
      <c r="EO58">
        <f t="shared" si="82"/>
        <v>0.58110188466542811</v>
      </c>
      <c r="EP58" s="144">
        <f t="shared" si="122"/>
        <v>581.10188466542809</v>
      </c>
      <c r="EQ58" s="150">
        <f t="shared" si="83"/>
        <v>0.39511499999999999</v>
      </c>
      <c r="ER58" s="150">
        <f t="shared" si="170"/>
        <v>5.8796874999999998E-2</v>
      </c>
      <c r="ES58" s="456"/>
      <c r="EU58" s="144">
        <f t="shared" si="123"/>
        <v>453.91187499999995</v>
      </c>
      <c r="EV58" s="456">
        <f t="shared" si="85"/>
        <v>3.2396999869722816E-3</v>
      </c>
      <c r="EW58" s="456">
        <f t="shared" si="124"/>
        <v>2.7281684100819208E-2</v>
      </c>
      <c r="EX58" s="456">
        <f t="shared" si="86"/>
        <v>2.2719003368848294E-4</v>
      </c>
      <c r="EY58" s="456">
        <f t="shared" si="87"/>
        <v>0.18572544499675725</v>
      </c>
      <c r="EZ58" s="456">
        <f t="shared" si="88"/>
        <v>0.22440568930506269</v>
      </c>
      <c r="FA58" s="538">
        <f t="shared" si="89"/>
        <v>7.4175874198220563E-4</v>
      </c>
      <c r="FB58" s="144">
        <f t="shared" si="125"/>
        <v>225.14744804704489</v>
      </c>
      <c r="FC58" s="150">
        <f t="shared" si="126"/>
        <v>1.2601612077124731</v>
      </c>
      <c r="FD58" s="5">
        <f t="shared" si="127"/>
        <v>4.24</v>
      </c>
      <c r="FE58" s="150">
        <f t="shared" si="128"/>
        <v>0.77088649584571423</v>
      </c>
      <c r="FF58" s="5">
        <f t="shared" si="129"/>
        <v>77.088649584571428</v>
      </c>
      <c r="FG58">
        <f t="shared" si="130"/>
        <v>53</v>
      </c>
      <c r="FI58" s="59">
        <f t="shared" si="90"/>
        <v>-50</v>
      </c>
      <c r="FJ58">
        <f t="shared" si="91"/>
        <v>-50</v>
      </c>
      <c r="FL58">
        <f t="shared" si="92"/>
        <v>0.82883202513712817</v>
      </c>
    </row>
    <row r="59" spans="5:168">
      <c r="E59" s="147">
        <v>54</v>
      </c>
      <c r="F59" s="188">
        <f t="shared" si="174"/>
        <v>0.64800000000000002</v>
      </c>
      <c r="G59" s="188">
        <f t="shared" si="171"/>
        <v>0.13500000000000001</v>
      </c>
      <c r="H59" s="188">
        <f t="shared" si="135"/>
        <v>3.24</v>
      </c>
      <c r="I59" s="188">
        <f t="shared" si="175"/>
        <v>1.08</v>
      </c>
      <c r="J59" s="465">
        <f t="shared" si="136"/>
        <v>47.938523158167243</v>
      </c>
      <c r="K59" s="379">
        <f t="shared" si="137"/>
        <v>5.7234546921576586</v>
      </c>
      <c r="L59" s="149">
        <f t="shared" si="138"/>
        <v>53.661977850324902</v>
      </c>
      <c r="M59" s="379"/>
      <c r="N59" s="188">
        <f t="shared" si="139"/>
        <v>0.10665754266683268</v>
      </c>
      <c r="O59" s="149">
        <f t="shared" si="172"/>
        <v>9.5868845233634428</v>
      </c>
      <c r="P59" s="149">
        <f t="shared" si="140"/>
        <v>4.2608375659393074</v>
      </c>
      <c r="Q59" s="188">
        <f t="shared" si="6"/>
        <v>1.9173769046726885</v>
      </c>
      <c r="R59" s="188">
        <f t="shared" si="141"/>
        <v>1.1983605654204303</v>
      </c>
      <c r="S59" s="379">
        <f t="shared" si="142"/>
        <v>5</v>
      </c>
      <c r="T59" s="188">
        <f t="shared" si="143"/>
        <v>1.6898086088885556</v>
      </c>
      <c r="U59" s="188">
        <f t="shared" si="10"/>
        <v>0.42299390908974993</v>
      </c>
      <c r="V59" s="188">
        <f t="shared" si="11"/>
        <v>3.5429132224017428</v>
      </c>
      <c r="W59" s="172">
        <f t="shared" si="12"/>
        <v>350</v>
      </c>
      <c r="X59" s="379">
        <f t="shared" si="95"/>
        <v>240.04375720252227</v>
      </c>
      <c r="Z59" s="188">
        <f t="shared" si="13"/>
        <v>1.2173821616969451</v>
      </c>
      <c r="AA59" s="150">
        <f t="shared" si="14"/>
        <v>2.5524070209519065</v>
      </c>
      <c r="AB59" s="150">
        <f t="shared" si="144"/>
        <v>0.54376958592195601</v>
      </c>
      <c r="AC59" s="150"/>
      <c r="AD59" s="150">
        <f t="shared" si="16"/>
        <v>2.0966357987322821</v>
      </c>
      <c r="AE59" s="314">
        <f t="shared" si="145"/>
        <v>618.13310675302716</v>
      </c>
      <c r="AF59" s="456">
        <f t="shared" si="146"/>
        <v>0.36691126477814939</v>
      </c>
      <c r="AH59" s="150">
        <f t="shared" si="147"/>
        <v>1.4342743312012725</v>
      </c>
      <c r="AI59" s="150">
        <f t="shared" si="148"/>
        <v>1.6898086088885556</v>
      </c>
      <c r="AJ59" s="150">
        <f t="shared" si="149"/>
        <v>1.7109693399174484</v>
      </c>
      <c r="AL59" s="314">
        <f t="shared" si="150"/>
        <v>648</v>
      </c>
      <c r="AM59" s="144">
        <f t="shared" si="151"/>
        <v>240.04375720252227</v>
      </c>
      <c r="AO59">
        <f t="shared" si="96"/>
        <v>648</v>
      </c>
      <c r="AP59" s="144">
        <f t="shared" si="24"/>
        <v>240.04375720252227</v>
      </c>
      <c r="AQ59" s="144"/>
      <c r="AR59" s="5">
        <f t="shared" si="97"/>
        <v>4.1659071314914931</v>
      </c>
      <c r="AS59" s="5">
        <f t="shared" si="25"/>
        <v>0.42299390908974993</v>
      </c>
      <c r="AT59" s="5">
        <f t="shared" si="98"/>
        <v>3.742913222401743</v>
      </c>
      <c r="AU59" s="150">
        <f t="shared" si="99"/>
        <v>0.10153704721168572</v>
      </c>
      <c r="AW59" s="5">
        <f t="shared" si="152"/>
        <v>5.4820010618031594</v>
      </c>
      <c r="AX59" s="5">
        <f t="shared" si="153"/>
        <v>0.71380222158895301</v>
      </c>
      <c r="AY59" s="5">
        <f t="shared" si="28"/>
        <v>0.10540443295615978</v>
      </c>
      <c r="AZ59" s="5"/>
      <c r="BA59" s="150">
        <f t="shared" si="100"/>
        <v>0.31087740335279929</v>
      </c>
      <c r="BB59" s="150">
        <f t="shared" si="154"/>
        <v>0.92475561725386635</v>
      </c>
      <c r="BC59" s="150">
        <f t="shared" si="155"/>
        <v>0.20671007915086428</v>
      </c>
      <c r="BD59" s="150"/>
      <c r="BE59" s="456">
        <f t="shared" si="31"/>
        <v>1.9328951983075813E-3</v>
      </c>
      <c r="BF59" s="456">
        <f t="shared" si="156"/>
        <v>0.40812752156665771</v>
      </c>
      <c r="BG59" s="456">
        <f t="shared" si="157"/>
        <v>0.28768358034066477</v>
      </c>
      <c r="BH59" s="456">
        <f t="shared" si="34"/>
        <v>6.9123189161871518E-2</v>
      </c>
      <c r="BI59">
        <f t="shared" si="35"/>
        <v>2.1572335421175259E-2</v>
      </c>
      <c r="BJ59" s="144">
        <f t="shared" si="101"/>
        <v>309.25591576184001</v>
      </c>
      <c r="BK59">
        <f t="shared" si="158"/>
        <v>0.47992589642945449</v>
      </c>
      <c r="BL59" s="144">
        <f t="shared" si="102"/>
        <v>479.9258964294545</v>
      </c>
      <c r="BM59" s="150">
        <f t="shared" si="159"/>
        <v>0.40256999999999998</v>
      </c>
      <c r="BN59" s="150">
        <f t="shared" si="160"/>
        <v>5.9906250000000001E-2</v>
      </c>
      <c r="BO59" s="456"/>
      <c r="BQ59" s="144">
        <f t="shared" si="103"/>
        <v>462.47624999999999</v>
      </c>
      <c r="BR59" s="456">
        <f t="shared" si="39"/>
        <v>2.8993427974613717E-3</v>
      </c>
      <c r="BS59" s="456">
        <f t="shared" si="104"/>
        <v>2.5655188549277379E-2</v>
      </c>
      <c r="BT59" s="456">
        <f t="shared" si="161"/>
        <v>2.1364528411278291E-4</v>
      </c>
      <c r="BU59" s="456">
        <f t="shared" si="41"/>
        <v>0.16568753608255021</v>
      </c>
      <c r="BV59" s="456">
        <f t="shared" si="162"/>
        <v>0.20182456508374802</v>
      </c>
      <c r="BW59" s="538">
        <f t="shared" si="163"/>
        <v>6.8543369896283688E-4</v>
      </c>
      <c r="BX59" s="144">
        <f t="shared" si="105"/>
        <v>202.50999878271085</v>
      </c>
      <c r="BY59" s="150">
        <f t="shared" si="106"/>
        <v>1.1449121452121653</v>
      </c>
      <c r="BZ59" s="5">
        <f t="shared" si="107"/>
        <v>4.32</v>
      </c>
      <c r="CA59" s="150">
        <f t="shared" si="108"/>
        <v>0.7904976118938658</v>
      </c>
      <c r="CB59" s="5">
        <f t="shared" si="109"/>
        <v>79.049761189386587</v>
      </c>
      <c r="CC59">
        <f t="shared" si="173"/>
        <v>54</v>
      </c>
      <c r="CE59" s="59">
        <f t="shared" si="164"/>
        <v>-50</v>
      </c>
      <c r="CF59">
        <f t="shared" si="165"/>
        <v>-50</v>
      </c>
      <c r="CG59" s="150">
        <f t="shared" si="166"/>
        <v>0.82883202513712817</v>
      </c>
      <c r="CH59" s="150">
        <f t="shared" si="167"/>
        <v>0.44965289283354887</v>
      </c>
      <c r="CI59" s="147">
        <v>54</v>
      </c>
      <c r="CJ59" s="188">
        <f t="shared" si="133"/>
        <v>0.64800000000000002</v>
      </c>
      <c r="CK59" s="188">
        <f t="shared" si="111"/>
        <v>0.13500000000000001</v>
      </c>
      <c r="CL59" s="188">
        <f t="shared" si="48"/>
        <v>3.24</v>
      </c>
      <c r="CM59" s="188">
        <f t="shared" si="134"/>
        <v>1.08</v>
      </c>
      <c r="CN59" s="465">
        <f t="shared" si="112"/>
        <v>48</v>
      </c>
      <c r="CO59" s="379">
        <f t="shared" si="168"/>
        <v>5.7</v>
      </c>
      <c r="CP59" s="379">
        <f t="shared" si="169"/>
        <v>53.7</v>
      </c>
      <c r="CQ59" s="379"/>
      <c r="CR59" s="188">
        <f t="shared" si="113"/>
        <v>0.10112359550561799</v>
      </c>
      <c r="CS59" s="149">
        <f t="shared" si="114"/>
        <v>9.1011235955056193</v>
      </c>
      <c r="CT59" s="149">
        <f t="shared" si="51"/>
        <v>4.0449438202247192</v>
      </c>
      <c r="CU59" s="188">
        <f t="shared" si="52"/>
        <v>1.8202247191011238</v>
      </c>
      <c r="CV59" s="188">
        <f t="shared" si="53"/>
        <v>1.1376404494382024</v>
      </c>
      <c r="CW59" s="379">
        <f t="shared" si="54"/>
        <v>5</v>
      </c>
      <c r="CX59" s="188">
        <f t="shared" si="55"/>
        <v>1.78</v>
      </c>
      <c r="CY59" s="188">
        <f t="shared" si="56"/>
        <v>0.44500000000000001</v>
      </c>
      <c r="CZ59" s="188">
        <f t="shared" si="57"/>
        <v>3.7473684210526317</v>
      </c>
      <c r="DA59" s="172">
        <f t="shared" si="58"/>
        <v>350</v>
      </c>
      <c r="DB59" s="379">
        <f t="shared" si="115"/>
        <v>238.52865482392815</v>
      </c>
      <c r="DD59" s="188">
        <f t="shared" si="59"/>
        <v>1.2130885873902635</v>
      </c>
      <c r="DE59" s="150">
        <f t="shared" si="60"/>
        <v>2.5538707102952913</v>
      </c>
      <c r="DF59" s="150">
        <f t="shared" si="61"/>
        <v>0.54216249715765974</v>
      </c>
      <c r="DG59" s="150"/>
      <c r="DH59" s="150">
        <f t="shared" si="62"/>
        <v>2.1052631578947367</v>
      </c>
      <c r="DI59" s="314">
        <f t="shared" si="63"/>
        <v>615.60000000000014</v>
      </c>
      <c r="DJ59" s="456">
        <f t="shared" si="64"/>
        <v>0.36842105263157893</v>
      </c>
      <c r="DL59" s="150">
        <f t="shared" si="65"/>
        <v>1.4342743312012725</v>
      </c>
      <c r="DM59" s="150">
        <f t="shared" si="66"/>
        <v>1.78</v>
      </c>
      <c r="DN59" s="150">
        <f t="shared" si="67"/>
        <v>1.7777777777777777</v>
      </c>
      <c r="DP59" s="314">
        <f t="shared" si="68"/>
        <v>648</v>
      </c>
      <c r="DQ59" s="144">
        <f t="shared" si="69"/>
        <v>238.52865482392815</v>
      </c>
      <c r="DS59">
        <f t="shared" si="116"/>
        <v>648</v>
      </c>
      <c r="DT59" s="144">
        <f t="shared" si="70"/>
        <v>238.52865482392815</v>
      </c>
      <c r="DU59" s="144"/>
      <c r="DV59" s="5">
        <f t="shared" si="117"/>
        <v>4.192368421052632</v>
      </c>
      <c r="DW59" s="5">
        <f t="shared" si="71"/>
        <v>0.44500000000000001</v>
      </c>
      <c r="DX59" s="5">
        <f t="shared" si="118"/>
        <v>3.7473684210526321</v>
      </c>
      <c r="DY59" s="150">
        <f t="shared" si="119"/>
        <v>0.10614525139664803</v>
      </c>
      <c r="EA59" s="5">
        <f t="shared" si="72"/>
        <v>5.7671999999999999</v>
      </c>
      <c r="EB59" s="5">
        <f t="shared" si="73"/>
        <v>0.75093750000000004</v>
      </c>
      <c r="EC59" s="5">
        <f t="shared" si="74"/>
        <v>0.10539473684210528</v>
      </c>
      <c r="ED59" s="5"/>
      <c r="EE59" s="150">
        <f t="shared" si="120"/>
        <v>0.33481866461570886</v>
      </c>
      <c r="EF59" s="150">
        <f t="shared" si="75"/>
        <v>0.97161195708898462</v>
      </c>
      <c r="EG59" s="150">
        <f t="shared" si="76"/>
        <v>0.21718384923165537</v>
      </c>
      <c r="EH59" s="150"/>
      <c r="EI59" s="456">
        <f t="shared" si="77"/>
        <v>2.242070763500931E-3</v>
      </c>
      <c r="EJ59" s="456">
        <f t="shared" si="78"/>
        <v>0.45600000000000002</v>
      </c>
      <c r="EK59" s="456">
        <f t="shared" si="79"/>
        <v>2.9816081852991016E-2</v>
      </c>
      <c r="EL59" s="456">
        <f t="shared" si="80"/>
        <v>6.8784269662921352E-2</v>
      </c>
      <c r="EM59">
        <f t="shared" si="81"/>
        <v>2.1600000000000001E-2</v>
      </c>
      <c r="EN59" s="144">
        <f t="shared" si="121"/>
        <v>51.416081852991013</v>
      </c>
      <c r="EO59">
        <f t="shared" si="82"/>
        <v>0.5793564138246734</v>
      </c>
      <c r="EP59" s="144">
        <f t="shared" si="122"/>
        <v>579.35641382467338</v>
      </c>
      <c r="EQ59" s="150">
        <f t="shared" si="83"/>
        <v>0.40256999999999998</v>
      </c>
      <c r="ER59" s="150">
        <f t="shared" si="170"/>
        <v>5.9906250000000001E-2</v>
      </c>
      <c r="ES59" s="456"/>
      <c r="EU59" s="144">
        <f t="shared" si="123"/>
        <v>462.47624999999999</v>
      </c>
      <c r="EV59" s="456">
        <f t="shared" si="85"/>
        <v>3.3631061452513958E-3</v>
      </c>
      <c r="EW59" s="456">
        <f t="shared" si="124"/>
        <v>2.8320893854748605E-2</v>
      </c>
      <c r="EX59" s="456">
        <f t="shared" si="86"/>
        <v>2.3584412183539209E-4</v>
      </c>
      <c r="EY59" s="456">
        <f t="shared" si="87"/>
        <v>0.18572544499675719</v>
      </c>
      <c r="EZ59" s="456">
        <f t="shared" si="88"/>
        <v>0.22588286337092059</v>
      </c>
      <c r="FA59" s="538">
        <f t="shared" si="89"/>
        <v>7.5575418994413407E-4</v>
      </c>
      <c r="FB59" s="144">
        <f t="shared" si="125"/>
        <v>226.63861756086473</v>
      </c>
      <c r="FC59" s="150">
        <f t="shared" si="126"/>
        <v>1.2684712813855381</v>
      </c>
      <c r="FD59" s="5">
        <f t="shared" si="127"/>
        <v>4.32</v>
      </c>
      <c r="FE59" s="150">
        <f t="shared" si="128"/>
        <v>0.77301998748554923</v>
      </c>
      <c r="FF59" s="5">
        <f t="shared" si="129"/>
        <v>77.301998748554922</v>
      </c>
      <c r="FG59">
        <f t="shared" si="130"/>
        <v>54</v>
      </c>
      <c r="FI59" s="59">
        <f t="shared" si="90"/>
        <v>-50</v>
      </c>
      <c r="FJ59">
        <f t="shared" si="91"/>
        <v>-50</v>
      </c>
      <c r="FL59">
        <f t="shared" si="92"/>
        <v>0.82883202513712817</v>
      </c>
    </row>
    <row r="60" spans="5:168">
      <c r="E60" s="147">
        <v>55</v>
      </c>
      <c r="F60" s="188">
        <f t="shared" si="174"/>
        <v>0.66</v>
      </c>
      <c r="G60" s="188">
        <f t="shared" si="171"/>
        <v>0.13750000000000001</v>
      </c>
      <c r="H60" s="188">
        <f t="shared" si="135"/>
        <v>3.3000000000000003</v>
      </c>
      <c r="I60" s="188">
        <f t="shared" si="175"/>
        <v>1.1000000000000001</v>
      </c>
      <c r="J60" s="465">
        <f t="shared" si="136"/>
        <v>47.9373846981333</v>
      </c>
      <c r="K60" s="379">
        <f t="shared" si="137"/>
        <v>5.7238890383087266</v>
      </c>
      <c r="L60" s="149">
        <f t="shared" si="138"/>
        <v>53.661273736442027</v>
      </c>
      <c r="M60" s="379"/>
      <c r="N60" s="188">
        <f t="shared" si="139"/>
        <v>0.10666703638869392</v>
      </c>
      <c r="O60" s="149">
        <f t="shared" si="172"/>
        <v>9.587510171202382</v>
      </c>
      <c r="P60" s="149">
        <f t="shared" si="140"/>
        <v>4.2611156316455023</v>
      </c>
      <c r="Q60" s="188">
        <f t="shared" si="6"/>
        <v>1.9175020342404765</v>
      </c>
      <c r="R60" s="188">
        <f t="shared" si="141"/>
        <v>1.1984387714002978</v>
      </c>
      <c r="S60" s="379">
        <f t="shared" si="142"/>
        <v>5</v>
      </c>
      <c r="T60" s="188">
        <f t="shared" si="143"/>
        <v>1.7209890477676244</v>
      </c>
      <c r="U60" s="188">
        <f t="shared" si="10"/>
        <v>0.43080924633787299</v>
      </c>
      <c r="V60" s="188">
        <f t="shared" si="11"/>
        <v>3.6080134389386465</v>
      </c>
      <c r="W60" s="172">
        <f t="shared" si="12"/>
        <v>350</v>
      </c>
      <c r="X60" s="379">
        <f t="shared" si="95"/>
        <v>235.91456266228909</v>
      </c>
      <c r="Z60" s="188">
        <f t="shared" si="13"/>
        <v>1.2174616090415722</v>
      </c>
      <c r="AA60" s="150">
        <f t="shared" si="14"/>
        <v>2.5523798960323032</v>
      </c>
      <c r="AB60" s="150">
        <f t="shared" si="144"/>
        <v>0.54379929364404844</v>
      </c>
      <c r="AC60" s="150"/>
      <c r="AD60" s="150">
        <f t="shared" si="16"/>
        <v>2.0964766996157067</v>
      </c>
      <c r="AE60" s="314">
        <f t="shared" si="145"/>
        <v>629.62779421395999</v>
      </c>
      <c r="AF60" s="456">
        <f t="shared" si="146"/>
        <v>0.36688342243274863</v>
      </c>
      <c r="AH60" s="150">
        <f t="shared" si="147"/>
        <v>1.4474937289114918</v>
      </c>
      <c r="AI60" s="150">
        <f t="shared" si="148"/>
        <v>1.7209890477676244</v>
      </c>
      <c r="AJ60" s="150">
        <f t="shared" si="149"/>
        <v>1.7340659613093514</v>
      </c>
      <c r="AL60" s="314">
        <f t="shared" si="150"/>
        <v>660</v>
      </c>
      <c r="AM60" s="144">
        <f t="shared" si="151"/>
        <v>235.91456266228909</v>
      </c>
      <c r="AO60">
        <f t="shared" si="96"/>
        <v>660</v>
      </c>
      <c r="AP60">
        <f t="shared" si="24"/>
        <v>235.91456266228909</v>
      </c>
      <c r="AR60" s="5">
        <f t="shared" si="97"/>
        <v>4.238822685276519</v>
      </c>
      <c r="AS60" s="5">
        <f t="shared" si="25"/>
        <v>0.43080924633787299</v>
      </c>
      <c r="AT60" s="5">
        <f t="shared" si="98"/>
        <v>3.8080134389386462</v>
      </c>
      <c r="AU60" s="150">
        <f t="shared" si="99"/>
        <v>0.10163417494066969</v>
      </c>
      <c r="AW60" s="5">
        <f t="shared" si="152"/>
        <v>5.6866820516599237</v>
      </c>
      <c r="AX60" s="5">
        <f t="shared" si="153"/>
        <v>0.74045339214321926</v>
      </c>
      <c r="AY60" s="5">
        <f t="shared" si="28"/>
        <v>0.10922620229518969</v>
      </c>
      <c r="AZ60" s="5"/>
      <c r="BA60" s="150">
        <f t="shared" si="100"/>
        <v>0.31676512591603723</v>
      </c>
      <c r="BB60" s="150">
        <f t="shared" si="154"/>
        <v>0.94176834864813519</v>
      </c>
      <c r="BC60" s="150">
        <f t="shared" si="155"/>
        <v>0.21051292499193611</v>
      </c>
      <c r="BD60" s="150"/>
      <c r="BE60" s="456">
        <f t="shared" si="31"/>
        <v>2.0068028999320584E-3</v>
      </c>
      <c r="BF60" s="456">
        <f t="shared" si="156"/>
        <v>0.4085028640903125</v>
      </c>
      <c r="BG60" s="456">
        <f t="shared" si="157"/>
        <v>0.28272817865585065</v>
      </c>
      <c r="BH60" s="456">
        <f t="shared" si="34"/>
        <v>6.7932360299461703E-2</v>
      </c>
      <c r="BI60">
        <f t="shared" si="35"/>
        <v>2.1571823114159984E-2</v>
      </c>
      <c r="BJ60" s="144">
        <f t="shared" si="101"/>
        <v>304.30000177001068</v>
      </c>
      <c r="BK60">
        <f t="shared" si="158"/>
        <v>0.47921236037035103</v>
      </c>
      <c r="BL60" s="144">
        <f t="shared" si="102"/>
        <v>479.21236037035101</v>
      </c>
      <c r="BM60" s="150">
        <f t="shared" si="159"/>
        <v>0.41002499999999997</v>
      </c>
      <c r="BN60" s="150">
        <f t="shared" si="160"/>
        <v>6.1015625000000004E-2</v>
      </c>
      <c r="BO60" s="456"/>
      <c r="BQ60" s="144">
        <f t="shared" si="103"/>
        <v>471.04062499999998</v>
      </c>
      <c r="BR60" s="456">
        <f t="shared" si="39"/>
        <v>3.0102043498980873E-3</v>
      </c>
      <c r="BS60" s="456">
        <f t="shared" si="104"/>
        <v>2.6607828675463064E-2</v>
      </c>
      <c r="BT60" s="456">
        <f t="shared" si="161"/>
        <v>2.2157845794330261E-4</v>
      </c>
      <c r="BU60" s="456">
        <f t="shared" si="41"/>
        <v>0.16607419111679597</v>
      </c>
      <c r="BV60" s="456">
        <f t="shared" si="162"/>
        <v>0.20356124443184584</v>
      </c>
      <c r="BW60" s="538">
        <f t="shared" si="163"/>
        <v>6.9873253080953096E-4</v>
      </c>
      <c r="BX60" s="144">
        <f t="shared" si="105"/>
        <v>204.25997696265537</v>
      </c>
      <c r="BY60" s="150">
        <f t="shared" si="106"/>
        <v>1.1545129623330062</v>
      </c>
      <c r="BZ60" s="5">
        <f t="shared" si="107"/>
        <v>4.4000000000000004</v>
      </c>
      <c r="CA60" s="150">
        <f t="shared" si="108"/>
        <v>0.79214865998834794</v>
      </c>
      <c r="CB60" s="5">
        <f t="shared" si="109"/>
        <v>79.214865998834796</v>
      </c>
      <c r="CC60">
        <f t="shared" si="173"/>
        <v>55.000000000000007</v>
      </c>
      <c r="CE60" s="59">
        <f t="shared" si="164"/>
        <v>-50</v>
      </c>
      <c r="CF60">
        <f t="shared" si="165"/>
        <v>-50</v>
      </c>
      <c r="CG60" s="150">
        <f t="shared" si="166"/>
        <v>0.82883202513712817</v>
      </c>
      <c r="CH60" s="150">
        <f t="shared" si="167"/>
        <v>0.44965289283354892</v>
      </c>
      <c r="CI60" s="147">
        <v>55</v>
      </c>
      <c r="CJ60" s="188">
        <f t="shared" si="133"/>
        <v>0.66</v>
      </c>
      <c r="CK60" s="188">
        <f t="shared" si="111"/>
        <v>0.13750000000000001</v>
      </c>
      <c r="CL60" s="188">
        <f t="shared" si="48"/>
        <v>3.3000000000000003</v>
      </c>
      <c r="CM60" s="188">
        <f t="shared" si="134"/>
        <v>1.1000000000000001</v>
      </c>
      <c r="CN60" s="465">
        <f t="shared" si="112"/>
        <v>48</v>
      </c>
      <c r="CO60" s="379">
        <f t="shared" si="168"/>
        <v>5.7</v>
      </c>
      <c r="CP60" s="379">
        <f t="shared" si="169"/>
        <v>53.7</v>
      </c>
      <c r="CQ60" s="379"/>
      <c r="CR60" s="188">
        <f t="shared" si="113"/>
        <v>0.10112359550561799</v>
      </c>
      <c r="CS60" s="149">
        <f t="shared" si="114"/>
        <v>9.1011235955056193</v>
      </c>
      <c r="CT60" s="149">
        <f t="shared" si="51"/>
        <v>4.0449438202247192</v>
      </c>
      <c r="CU60" s="188">
        <f t="shared" si="52"/>
        <v>1.8202247191011238</v>
      </c>
      <c r="CV60" s="188">
        <f t="shared" si="53"/>
        <v>1.1376404494382024</v>
      </c>
      <c r="CW60" s="379">
        <f t="shared" si="54"/>
        <v>5</v>
      </c>
      <c r="CX60" s="188">
        <f t="shared" si="55"/>
        <v>1.8129629629629629</v>
      </c>
      <c r="CY60" s="188">
        <f t="shared" si="56"/>
        <v>0.45324074074074078</v>
      </c>
      <c r="CZ60" s="188">
        <f t="shared" si="57"/>
        <v>3.8167641325536068</v>
      </c>
      <c r="DA60" s="172">
        <f t="shared" si="58"/>
        <v>350</v>
      </c>
      <c r="DB60" s="379">
        <f t="shared" si="115"/>
        <v>234.19177019076585</v>
      </c>
      <c r="DD60" s="188">
        <f t="shared" si="59"/>
        <v>1.2130885873902635</v>
      </c>
      <c r="DE60" s="150">
        <f t="shared" si="60"/>
        <v>2.5538707102952913</v>
      </c>
      <c r="DF60" s="150">
        <f t="shared" si="61"/>
        <v>0.54216249715765974</v>
      </c>
      <c r="DG60" s="150"/>
      <c r="DH60" s="150">
        <f t="shared" si="62"/>
        <v>2.1052631578947367</v>
      </c>
      <c r="DI60" s="314">
        <f t="shared" si="63"/>
        <v>627.00000000000011</v>
      </c>
      <c r="DJ60" s="456">
        <f t="shared" si="64"/>
        <v>0.36842105263157893</v>
      </c>
      <c r="DL60" s="150">
        <f t="shared" si="65"/>
        <v>1.4474937289114918</v>
      </c>
      <c r="DM60" s="150">
        <f t="shared" si="66"/>
        <v>1.8129629629629629</v>
      </c>
      <c r="DN60" s="150">
        <f t="shared" si="67"/>
        <v>1.8021947873799724</v>
      </c>
      <c r="DP60" s="314">
        <f t="shared" si="68"/>
        <v>660</v>
      </c>
      <c r="DQ60" s="144">
        <f t="shared" si="69"/>
        <v>234.19177019076585</v>
      </c>
      <c r="DS60">
        <f t="shared" si="116"/>
        <v>660</v>
      </c>
      <c r="DT60">
        <f t="shared" si="70"/>
        <v>234.19177019076585</v>
      </c>
      <c r="DV60" s="5">
        <f t="shared" si="117"/>
        <v>4.2700048732943472</v>
      </c>
      <c r="DW60" s="5">
        <f t="shared" si="71"/>
        <v>0.45324074074074078</v>
      </c>
      <c r="DX60" s="5">
        <f t="shared" si="118"/>
        <v>3.8167641325536064</v>
      </c>
      <c r="DY60" s="150">
        <f t="shared" si="119"/>
        <v>0.10614525139664804</v>
      </c>
      <c r="EA60" s="5">
        <f t="shared" si="72"/>
        <v>5.9827777777777786</v>
      </c>
      <c r="EB60" s="5">
        <f t="shared" si="73"/>
        <v>0.77900752314814825</v>
      </c>
      <c r="EC60" s="5">
        <f t="shared" si="74"/>
        <v>0.10933438921377518</v>
      </c>
      <c r="ED60" s="5"/>
      <c r="EE60" s="150">
        <f t="shared" si="120"/>
        <v>0.34101901025674047</v>
      </c>
      <c r="EF60" s="150">
        <f t="shared" si="75"/>
        <v>0.9896047711091509</v>
      </c>
      <c r="EG60" s="150">
        <f t="shared" si="76"/>
        <v>0.22120577236557493</v>
      </c>
      <c r="EH60" s="150"/>
      <c r="EI60" s="456">
        <f t="shared" si="77"/>
        <v>2.3258793071297373E-3</v>
      </c>
      <c r="EJ60" s="456">
        <f t="shared" si="78"/>
        <v>0.45600000000000002</v>
      </c>
      <c r="EK60" s="456">
        <f t="shared" si="79"/>
        <v>2.927397127384573E-2</v>
      </c>
      <c r="EL60" s="456">
        <f t="shared" si="80"/>
        <v>6.7533646578140968E-2</v>
      </c>
      <c r="EM60">
        <f t="shared" si="81"/>
        <v>2.1600000000000001E-2</v>
      </c>
      <c r="EN60" s="144">
        <f t="shared" si="121"/>
        <v>50.873971273845726</v>
      </c>
      <c r="EO60">
        <f t="shared" si="82"/>
        <v>0.57768072765061695</v>
      </c>
      <c r="EP60" s="144">
        <f t="shared" si="122"/>
        <v>577.68072765061697</v>
      </c>
      <c r="EQ60" s="150">
        <f t="shared" si="83"/>
        <v>0.41002499999999997</v>
      </c>
      <c r="ER60" s="150">
        <f t="shared" si="170"/>
        <v>6.1015625000000004E-2</v>
      </c>
      <c r="ES60" s="456"/>
      <c r="EU60" s="144">
        <f t="shared" si="123"/>
        <v>471.04062499999998</v>
      </c>
      <c r="EV60" s="456">
        <f t="shared" si="85"/>
        <v>3.4888189606946058E-3</v>
      </c>
      <c r="EW60" s="456">
        <f t="shared" si="124"/>
        <v>2.937952809005985E-2</v>
      </c>
      <c r="EX60" s="456">
        <f t="shared" si="86"/>
        <v>2.4465996863925278E-4</v>
      </c>
      <c r="EY60" s="456">
        <f t="shared" si="87"/>
        <v>0.18572544499675753</v>
      </c>
      <c r="EZ60" s="456">
        <f t="shared" si="88"/>
        <v>0.22738793356001355</v>
      </c>
      <c r="FA60" s="538">
        <f t="shared" si="89"/>
        <v>7.6974963790606241E-4</v>
      </c>
      <c r="FB60" s="144">
        <f t="shared" si="125"/>
        <v>228.15768319791962</v>
      </c>
      <c r="FC60" s="150">
        <f t="shared" si="126"/>
        <v>1.2768790358485365</v>
      </c>
      <c r="FD60" s="5">
        <f t="shared" si="127"/>
        <v>4.4000000000000004</v>
      </c>
      <c r="FE60" s="150">
        <f t="shared" si="128"/>
        <v>0.77507376363222469</v>
      </c>
      <c r="FF60" s="5">
        <f t="shared" si="129"/>
        <v>77.507376363222463</v>
      </c>
      <c r="FG60">
        <f t="shared" si="130"/>
        <v>55.000000000000007</v>
      </c>
      <c r="FI60" s="59">
        <f t="shared" si="90"/>
        <v>-50</v>
      </c>
      <c r="FJ60">
        <f t="shared" si="91"/>
        <v>-50</v>
      </c>
      <c r="FL60">
        <f t="shared" si="92"/>
        <v>0.82883202513712817</v>
      </c>
    </row>
    <row r="61" spans="5:168">
      <c r="E61" s="147">
        <v>56</v>
      </c>
      <c r="F61" s="188">
        <f t="shared" si="174"/>
        <v>0.67200000000000004</v>
      </c>
      <c r="G61" s="188">
        <f t="shared" si="171"/>
        <v>0.14000000000000001</v>
      </c>
      <c r="H61" s="188">
        <f t="shared" si="135"/>
        <v>3.3600000000000003</v>
      </c>
      <c r="I61" s="188">
        <f t="shared" si="175"/>
        <v>1.1200000000000001</v>
      </c>
      <c r="J61" s="465">
        <f t="shared" si="136"/>
        <v>47.936246238099365</v>
      </c>
      <c r="K61" s="379">
        <f t="shared" si="137"/>
        <v>5.7243233844597938</v>
      </c>
      <c r="L61" s="149">
        <f t="shared" si="138"/>
        <v>53.660569622559159</v>
      </c>
      <c r="M61" s="379"/>
      <c r="N61" s="188">
        <f t="shared" si="139"/>
        <v>0.10667653035970123</v>
      </c>
      <c r="O61" s="149">
        <f t="shared" si="172"/>
        <v>9.5881358009038529</v>
      </c>
      <c r="P61" s="149">
        <f t="shared" si="140"/>
        <v>4.2613936892906006</v>
      </c>
      <c r="Q61" s="188">
        <f t="shared" si="6"/>
        <v>1.9176271601807706</v>
      </c>
      <c r="R61" s="188">
        <f t="shared" si="141"/>
        <v>1.1985169751129816</v>
      </c>
      <c r="S61" s="379">
        <f t="shared" si="142"/>
        <v>5</v>
      </c>
      <c r="T61" s="188">
        <f t="shared" si="143"/>
        <v>1.7521654207709807</v>
      </c>
      <c r="U61" s="188">
        <f t="shared" si="10"/>
        <v>0.43862393698529684</v>
      </c>
      <c r="V61" s="188">
        <f t="shared" si="11"/>
        <v>3.6730952528524901</v>
      </c>
      <c r="W61" s="172">
        <f t="shared" si="12"/>
        <v>350</v>
      </c>
      <c r="X61" s="379">
        <f t="shared" si="95"/>
        <v>231.92604990530967</v>
      </c>
      <c r="Z61" s="188">
        <f t="shared" si="13"/>
        <v>1.2175410540830287</v>
      </c>
      <c r="AA61" s="150">
        <f t="shared" si="14"/>
        <v>2.5523527704008537</v>
      </c>
      <c r="AB61" s="150">
        <f t="shared" si="144"/>
        <v>0.543828999431479</v>
      </c>
      <c r="AC61" s="150"/>
      <c r="AD61" s="150">
        <f t="shared" si="16"/>
        <v>2.0963176246431514</v>
      </c>
      <c r="AE61" s="314">
        <f t="shared" si="145"/>
        <v>641.12421905949691</v>
      </c>
      <c r="AF61" s="456">
        <f t="shared" si="146"/>
        <v>0.3668555843125515</v>
      </c>
      <c r="AH61" s="150">
        <f t="shared" si="147"/>
        <v>1.4605934866804429</v>
      </c>
      <c r="AI61" s="150">
        <f t="shared" si="148"/>
        <v>1.7521654207709807</v>
      </c>
      <c r="AJ61" s="150">
        <f t="shared" si="149"/>
        <v>1.7571595709414671</v>
      </c>
      <c r="AL61" s="314">
        <f t="shared" si="150"/>
        <v>672</v>
      </c>
      <c r="AM61" s="144">
        <f t="shared" si="151"/>
        <v>231.92604990530967</v>
      </c>
      <c r="AO61">
        <f t="shared" si="96"/>
        <v>672</v>
      </c>
      <c r="AP61">
        <f t="shared" si="24"/>
        <v>231.92604990530967</v>
      </c>
      <c r="AR61" s="5">
        <f t="shared" si="97"/>
        <v>4.3117191898377873</v>
      </c>
      <c r="AS61" s="5">
        <f t="shared" si="25"/>
        <v>0.43862393698529684</v>
      </c>
      <c r="AT61" s="5">
        <f t="shared" si="98"/>
        <v>3.8730952528524907</v>
      </c>
      <c r="AU61" s="150">
        <f t="shared" si="99"/>
        <v>0.10172831709891535</v>
      </c>
      <c r="AW61" s="5">
        <f t="shared" si="152"/>
        <v>5.8951057130823905</v>
      </c>
      <c r="AX61" s="5">
        <f t="shared" si="153"/>
        <v>0.7675918897242695</v>
      </c>
      <c r="AY61" s="5">
        <f t="shared" si="28"/>
        <v>0.11311551862156151</v>
      </c>
      <c r="AZ61" s="5"/>
      <c r="BA61" s="150">
        <f t="shared" si="100"/>
        <v>0.32265277738473513</v>
      </c>
      <c r="BB61" s="150">
        <f t="shared" si="154"/>
        <v>0.95877860104810742</v>
      </c>
      <c r="BC61" s="150">
        <f t="shared" si="155"/>
        <v>0.21431521670487111</v>
      </c>
      <c r="BD61" s="150"/>
      <c r="BE61" s="456">
        <f t="shared" si="31"/>
        <v>2.082096295081669E-3</v>
      </c>
      <c r="BF61" s="456">
        <f t="shared" si="156"/>
        <v>0.40886617848305618</v>
      </c>
      <c r="BG61" s="456">
        <f t="shared" si="157"/>
        <v>0.27794160593226613</v>
      </c>
      <c r="BH61" s="456">
        <f t="shared" si="34"/>
        <v>6.6782102577646024E-2</v>
      </c>
      <c r="BI61">
        <f t="shared" si="35"/>
        <v>2.1571310807144712E-2</v>
      </c>
      <c r="BJ61" s="144">
        <f t="shared" si="101"/>
        <v>299.51291673941085</v>
      </c>
      <c r="BK61">
        <f t="shared" si="158"/>
        <v>0.47852927469696843</v>
      </c>
      <c r="BL61" s="144">
        <f t="shared" si="102"/>
        <v>478.52927469696846</v>
      </c>
      <c r="BM61" s="150">
        <f t="shared" si="159"/>
        <v>0.41747999999999996</v>
      </c>
      <c r="BN61" s="150">
        <f t="shared" si="160"/>
        <v>6.2125E-2</v>
      </c>
      <c r="BO61" s="456"/>
      <c r="BQ61" s="144">
        <f t="shared" si="103"/>
        <v>479.60499999999996</v>
      </c>
      <c r="BR61" s="456">
        <f t="shared" si="39"/>
        <v>3.1231444426225033E-3</v>
      </c>
      <c r="BS61" s="456">
        <f t="shared" si="104"/>
        <v>2.7577692174832975E-2</v>
      </c>
      <c r="BT61" s="456">
        <f t="shared" si="161"/>
        <v>2.2965506055627933E-4</v>
      </c>
      <c r="BU61" s="456">
        <f t="shared" si="41"/>
        <v>0.16644915532204949</v>
      </c>
      <c r="BV61" s="456">
        <f t="shared" si="162"/>
        <v>0.20531099460358329</v>
      </c>
      <c r="BW61" s="538">
        <f t="shared" si="163"/>
        <v>7.120323765474739E-4</v>
      </c>
      <c r="BX61" s="144">
        <f t="shared" si="105"/>
        <v>206.02302698013077</v>
      </c>
      <c r="BY61" s="150">
        <f t="shared" si="106"/>
        <v>1.1641573016770992</v>
      </c>
      <c r="BZ61" s="5">
        <f t="shared" si="107"/>
        <v>4.4800000000000004</v>
      </c>
      <c r="CA61" s="150">
        <f t="shared" si="108"/>
        <v>0.79374116640385228</v>
      </c>
      <c r="CB61" s="5">
        <f t="shared" si="109"/>
        <v>79.374116640385225</v>
      </c>
      <c r="CC61">
        <f t="shared" si="173"/>
        <v>56.000000000000007</v>
      </c>
      <c r="CE61" s="59">
        <f t="shared" si="164"/>
        <v>-50</v>
      </c>
      <c r="CF61">
        <f t="shared" si="165"/>
        <v>-50</v>
      </c>
      <c r="CG61" s="150">
        <f t="shared" si="166"/>
        <v>0.82883202513712817</v>
      </c>
      <c r="CH61" s="150">
        <f t="shared" si="167"/>
        <v>0.44965289283354892</v>
      </c>
      <c r="CI61" s="147">
        <v>56</v>
      </c>
      <c r="CJ61" s="188">
        <f t="shared" si="133"/>
        <v>0.67200000000000004</v>
      </c>
      <c r="CK61" s="188">
        <f t="shared" si="111"/>
        <v>0.14000000000000001</v>
      </c>
      <c r="CL61" s="188">
        <f t="shared" si="48"/>
        <v>3.3600000000000003</v>
      </c>
      <c r="CM61" s="188">
        <f t="shared" si="134"/>
        <v>1.1200000000000001</v>
      </c>
      <c r="CN61" s="465">
        <f t="shared" si="112"/>
        <v>48</v>
      </c>
      <c r="CO61" s="379">
        <f t="shared" si="168"/>
        <v>5.7</v>
      </c>
      <c r="CP61" s="379">
        <f t="shared" si="169"/>
        <v>53.7</v>
      </c>
      <c r="CQ61" s="379"/>
      <c r="CR61" s="188">
        <f t="shared" si="113"/>
        <v>0.10112359550561799</v>
      </c>
      <c r="CS61" s="149">
        <f t="shared" si="114"/>
        <v>9.1011235955056193</v>
      </c>
      <c r="CT61" s="149">
        <f t="shared" si="51"/>
        <v>4.0449438202247192</v>
      </c>
      <c r="CU61" s="188">
        <f t="shared" si="52"/>
        <v>1.8202247191011238</v>
      </c>
      <c r="CV61" s="188">
        <f t="shared" si="53"/>
        <v>1.1376404494382024</v>
      </c>
      <c r="CW61" s="379">
        <f t="shared" si="54"/>
        <v>5</v>
      </c>
      <c r="CX61" s="188">
        <f t="shared" si="55"/>
        <v>1.845925925925926</v>
      </c>
      <c r="CY61" s="188">
        <f t="shared" si="56"/>
        <v>0.46148148148148149</v>
      </c>
      <c r="CZ61" s="188">
        <f t="shared" si="57"/>
        <v>3.886159844054581</v>
      </c>
      <c r="DA61" s="172">
        <f t="shared" si="58"/>
        <v>350</v>
      </c>
      <c r="DB61" s="379">
        <f t="shared" si="115"/>
        <v>230.00977429450217</v>
      </c>
      <c r="DD61" s="188">
        <f t="shared" si="59"/>
        <v>1.2130885873902635</v>
      </c>
      <c r="DE61" s="150">
        <f t="shared" si="60"/>
        <v>2.5538707102952913</v>
      </c>
      <c r="DF61" s="150">
        <f t="shared" si="61"/>
        <v>0.54216249715765974</v>
      </c>
      <c r="DG61" s="150"/>
      <c r="DH61" s="150">
        <f t="shared" si="62"/>
        <v>2.1052631578947367</v>
      </c>
      <c r="DI61" s="314">
        <f t="shared" si="63"/>
        <v>638.40000000000009</v>
      </c>
      <c r="DJ61" s="456">
        <f t="shared" si="64"/>
        <v>0.36842105263157893</v>
      </c>
      <c r="DL61" s="150">
        <f t="shared" si="65"/>
        <v>1.4605934866804429</v>
      </c>
      <c r="DM61" s="150">
        <f t="shared" si="66"/>
        <v>1.845925925925926</v>
      </c>
      <c r="DN61" s="150">
        <f t="shared" si="67"/>
        <v>1.8266117969821674</v>
      </c>
      <c r="DP61" s="314">
        <f t="shared" si="68"/>
        <v>672</v>
      </c>
      <c r="DQ61" s="144">
        <f t="shared" si="69"/>
        <v>230.00977429450217</v>
      </c>
      <c r="DS61">
        <f t="shared" si="116"/>
        <v>672</v>
      </c>
      <c r="DT61">
        <f t="shared" si="70"/>
        <v>230.00977429450217</v>
      </c>
      <c r="DV61" s="5">
        <f t="shared" si="117"/>
        <v>4.3476413255360624</v>
      </c>
      <c r="DW61" s="5">
        <f t="shared" si="71"/>
        <v>0.46148148148148149</v>
      </c>
      <c r="DX61" s="5">
        <f t="shared" si="118"/>
        <v>3.886159844054581</v>
      </c>
      <c r="DY61" s="150">
        <f t="shared" si="119"/>
        <v>0.10614525139664804</v>
      </c>
      <c r="EA61" s="5">
        <f t="shared" si="72"/>
        <v>6.2023111111111122</v>
      </c>
      <c r="EB61" s="5">
        <f t="shared" si="73"/>
        <v>0.80759259259259275</v>
      </c>
      <c r="EC61" s="5">
        <f t="shared" si="74"/>
        <v>0.11334632878492526</v>
      </c>
      <c r="ED61" s="5"/>
      <c r="EE61" s="150">
        <f t="shared" si="120"/>
        <v>0.34721935589777214</v>
      </c>
      <c r="EF61" s="150">
        <f t="shared" si="75"/>
        <v>1.0075975851293173</v>
      </c>
      <c r="EG61" s="150">
        <f t="shared" si="76"/>
        <v>0.22522769549949445</v>
      </c>
      <c r="EH61" s="150"/>
      <c r="EI61" s="456">
        <f t="shared" si="77"/>
        <v>2.4112256222012752E-3</v>
      </c>
      <c r="EJ61" s="456">
        <f t="shared" si="78"/>
        <v>0.45600000000000002</v>
      </c>
      <c r="EK61" s="456">
        <f t="shared" si="79"/>
        <v>2.8751221786812768E-2</v>
      </c>
      <c r="EL61" s="456">
        <f t="shared" si="80"/>
        <v>6.6327688603531304E-2</v>
      </c>
      <c r="EM61">
        <f t="shared" si="81"/>
        <v>2.1600000000000001E-2</v>
      </c>
      <c r="EN61" s="144">
        <f t="shared" si="121"/>
        <v>50.351221786812772</v>
      </c>
      <c r="EO61">
        <f t="shared" si="82"/>
        <v>0.57607120227454889</v>
      </c>
      <c r="EP61" s="144">
        <f t="shared" si="122"/>
        <v>576.07120227454891</v>
      </c>
      <c r="EQ61" s="150">
        <f t="shared" si="83"/>
        <v>0.41747999999999996</v>
      </c>
      <c r="ER61" s="150">
        <f t="shared" si="170"/>
        <v>6.2125E-2</v>
      </c>
      <c r="ES61" s="456"/>
      <c r="EU61" s="144">
        <f t="shared" si="123"/>
        <v>479.60499999999996</v>
      </c>
      <c r="EV61" s="456">
        <f t="shared" si="85"/>
        <v>3.6168384333019124E-3</v>
      </c>
      <c r="EW61" s="456">
        <f t="shared" si="124"/>
        <v>3.0457586806752951E-2</v>
      </c>
      <c r="EX61" s="456">
        <f t="shared" si="86"/>
        <v>2.5363757410006498E-4</v>
      </c>
      <c r="EY61" s="456">
        <f t="shared" si="87"/>
        <v>0.18572544499675728</v>
      </c>
      <c r="EZ61" s="456">
        <f t="shared" si="88"/>
        <v>0.22892091581250826</v>
      </c>
      <c r="FA61" s="538">
        <f t="shared" si="89"/>
        <v>7.8374508586799097E-4</v>
      </c>
      <c r="FB61" s="144">
        <f t="shared" si="125"/>
        <v>229.70466089837623</v>
      </c>
      <c r="FC61" s="150">
        <f t="shared" si="126"/>
        <v>1.2853808631729253</v>
      </c>
      <c r="FD61" s="5">
        <f t="shared" si="127"/>
        <v>4.4800000000000004</v>
      </c>
      <c r="FE61" s="150">
        <f t="shared" si="128"/>
        <v>0.77705187329713943</v>
      </c>
      <c r="FF61" s="5">
        <f t="shared" si="129"/>
        <v>77.705187329713937</v>
      </c>
      <c r="FG61">
        <f t="shared" si="130"/>
        <v>56.000000000000007</v>
      </c>
      <c r="FI61" s="59">
        <f t="shared" si="90"/>
        <v>-50</v>
      </c>
      <c r="FJ61">
        <f t="shared" si="91"/>
        <v>-50</v>
      </c>
      <c r="FL61">
        <f t="shared" si="92"/>
        <v>0.82883202513712817</v>
      </c>
    </row>
    <row r="62" spans="5:168">
      <c r="E62" s="147">
        <v>57</v>
      </c>
      <c r="F62" s="188">
        <f t="shared" si="174"/>
        <v>0.68399999999999994</v>
      </c>
      <c r="G62" s="188">
        <f t="shared" si="171"/>
        <v>0.14249999999999999</v>
      </c>
      <c r="H62" s="188">
        <f t="shared" si="135"/>
        <v>3.42</v>
      </c>
      <c r="I62" s="188">
        <f t="shared" si="175"/>
        <v>1.1399999999999999</v>
      </c>
      <c r="J62" s="465">
        <f t="shared" si="136"/>
        <v>47.935107778065422</v>
      </c>
      <c r="K62" s="379">
        <f t="shared" si="137"/>
        <v>5.7247577306108619</v>
      </c>
      <c r="L62" s="149">
        <f t="shared" si="138"/>
        <v>53.659865508676283</v>
      </c>
      <c r="M62" s="379"/>
      <c r="N62" s="188">
        <f t="shared" si="139"/>
        <v>0.10668602457986451</v>
      </c>
      <c r="O62" s="149">
        <f t="shared" si="172"/>
        <v>9.5887614124671412</v>
      </c>
      <c r="P62" s="149">
        <f t="shared" si="140"/>
        <v>4.2616717388742842</v>
      </c>
      <c r="Q62" s="188">
        <f t="shared" si="6"/>
        <v>1.9177522824934283</v>
      </c>
      <c r="R62" s="188">
        <f t="shared" si="141"/>
        <v>1.1985951765583926</v>
      </c>
      <c r="S62" s="379">
        <f t="shared" si="142"/>
        <v>5</v>
      </c>
      <c r="T62" s="188">
        <f t="shared" si="143"/>
        <v>1.7833377288715178</v>
      </c>
      <c r="U62" s="188">
        <f t="shared" si="10"/>
        <v>0.44643798122950384</v>
      </c>
      <c r="V62" s="188">
        <f t="shared" si="11"/>
        <v>3.7381586703713161</v>
      </c>
      <c r="W62" s="172">
        <f t="shared" si="12"/>
        <v>350</v>
      </c>
      <c r="X62" s="379">
        <f t="shared" si="95"/>
        <v>228.07114985933745</v>
      </c>
      <c r="Z62" s="188">
        <f t="shared" si="13"/>
        <v>1.2176204968212243</v>
      </c>
      <c r="AA62" s="150">
        <f t="shared" si="14"/>
        <v>2.5523256440575302</v>
      </c>
      <c r="AB62" s="150">
        <f t="shared" si="144"/>
        <v>0.54385870328420427</v>
      </c>
      <c r="AC62" s="150"/>
      <c r="AD62" s="150">
        <f t="shared" si="16"/>
        <v>2.0961585738091202</v>
      </c>
      <c r="AE62" s="314">
        <f t="shared" si="145"/>
        <v>652.62238128963827</v>
      </c>
      <c r="AF62" s="456">
        <f t="shared" si="146"/>
        <v>0.36682775041659599</v>
      </c>
      <c r="AH62" s="150">
        <f t="shared" si="147"/>
        <v>1.4735767952260144</v>
      </c>
      <c r="AI62" s="150">
        <f t="shared" si="148"/>
        <v>1.7833377288715178</v>
      </c>
      <c r="AJ62" s="150">
        <f t="shared" si="149"/>
        <v>1.7802501695344575</v>
      </c>
      <c r="AL62" s="314">
        <f t="shared" si="150"/>
        <v>683.99999999999989</v>
      </c>
      <c r="AM62" s="144">
        <f t="shared" si="151"/>
        <v>228.07114985933745</v>
      </c>
      <c r="AO62">
        <f t="shared" si="96"/>
        <v>683.99999999999989</v>
      </c>
      <c r="AP62">
        <f t="shared" si="24"/>
        <v>228.07114985933745</v>
      </c>
      <c r="AR62" s="5">
        <f t="shared" si="97"/>
        <v>4.3845966516008215</v>
      </c>
      <c r="AS62" s="5">
        <f t="shared" si="25"/>
        <v>0.44643798122950384</v>
      </c>
      <c r="AT62" s="5">
        <f t="shared" si="98"/>
        <v>3.9381586703713176</v>
      </c>
      <c r="AU62" s="150">
        <f t="shared" si="99"/>
        <v>0.10181962371989424</v>
      </c>
      <c r="AW62" s="5">
        <f t="shared" si="152"/>
        <v>6.1072715832196121</v>
      </c>
      <c r="AX62" s="5">
        <f t="shared" si="153"/>
        <v>0.79521765406505363</v>
      </c>
      <c r="AY62" s="5">
        <f t="shared" si="28"/>
        <v>0.11707235814012416</v>
      </c>
      <c r="AZ62" s="5"/>
      <c r="BA62" s="150">
        <f t="shared" si="100"/>
        <v>0.3285403490841467</v>
      </c>
      <c r="BB62" s="150">
        <f t="shared" si="154"/>
        <v>0.97578637899348042</v>
      </c>
      <c r="BC62" s="150">
        <f t="shared" si="155"/>
        <v>0.21811695530442504</v>
      </c>
      <c r="BD62" s="150"/>
      <c r="BE62" s="456">
        <f t="shared" si="31"/>
        <v>2.1587752195266594E-3</v>
      </c>
      <c r="BF62" s="456">
        <f t="shared" si="156"/>
        <v>0.40921806906481351</v>
      </c>
      <c r="BG62" s="456">
        <f t="shared" si="157"/>
        <v>0.27331537873936623</v>
      </c>
      <c r="BH62" s="456">
        <f t="shared" si="34"/>
        <v>6.5670377350627265E-2</v>
      </c>
      <c r="BI62">
        <f t="shared" si="35"/>
        <v>2.157079850012944E-2</v>
      </c>
      <c r="BJ62" s="144">
        <f t="shared" si="101"/>
        <v>294.88617723949568</v>
      </c>
      <c r="BK62">
        <f t="shared" si="158"/>
        <v>0.47787520508005854</v>
      </c>
      <c r="BL62" s="144">
        <f t="shared" si="102"/>
        <v>477.87520508005855</v>
      </c>
      <c r="BM62" s="150">
        <f t="shared" si="159"/>
        <v>0.42493499999999995</v>
      </c>
      <c r="BN62" s="150">
        <f t="shared" si="160"/>
        <v>6.3234374999999995E-2</v>
      </c>
      <c r="BO62" s="456"/>
      <c r="BQ62" s="144">
        <f t="shared" si="103"/>
        <v>488.16937499999995</v>
      </c>
      <c r="BR62" s="456">
        <f t="shared" si="39"/>
        <v>3.2381628292899888E-3</v>
      </c>
      <c r="BS62" s="456">
        <f t="shared" si="104"/>
        <v>2.8564771722876248E-2</v>
      </c>
      <c r="BT62" s="456">
        <f t="shared" si="161"/>
        <v>2.3787503095636274E-4</v>
      </c>
      <c r="BU62" s="456">
        <f t="shared" si="41"/>
        <v>0.16681299468501823</v>
      </c>
      <c r="BV62" s="456">
        <f t="shared" si="162"/>
        <v>0.20707438504334752</v>
      </c>
      <c r="BW62" s="538">
        <f t="shared" si="163"/>
        <v>7.2533318522138065E-4</v>
      </c>
      <c r="BX62" s="144">
        <f t="shared" si="105"/>
        <v>207.79971822856891</v>
      </c>
      <c r="BY62" s="150">
        <f t="shared" si="106"/>
        <v>1.1738442983086272</v>
      </c>
      <c r="BZ62" s="5">
        <f t="shared" si="107"/>
        <v>4.5599999999999996</v>
      </c>
      <c r="CA62" s="150">
        <f t="shared" si="108"/>
        <v>0.79527796060753009</v>
      </c>
      <c r="CB62" s="5">
        <f t="shared" si="109"/>
        <v>79.527796060753005</v>
      </c>
      <c r="CC62">
        <f t="shared" si="173"/>
        <v>56.999999999999993</v>
      </c>
      <c r="CE62" s="59">
        <f t="shared" si="164"/>
        <v>-50</v>
      </c>
      <c r="CF62">
        <f t="shared" si="165"/>
        <v>-50</v>
      </c>
      <c r="CG62" s="150">
        <f t="shared" si="166"/>
        <v>0.82883202513712839</v>
      </c>
      <c r="CH62" s="150">
        <f t="shared" si="167"/>
        <v>0.44965289283354892</v>
      </c>
      <c r="CI62" s="147">
        <v>57</v>
      </c>
      <c r="CJ62" s="188">
        <f t="shared" si="133"/>
        <v>0.68399999999999994</v>
      </c>
      <c r="CK62" s="188">
        <f t="shared" si="111"/>
        <v>0.14249999999999999</v>
      </c>
      <c r="CL62" s="188">
        <f t="shared" si="48"/>
        <v>3.42</v>
      </c>
      <c r="CM62" s="188">
        <f t="shared" si="134"/>
        <v>1.1399999999999999</v>
      </c>
      <c r="CN62" s="465">
        <f t="shared" si="112"/>
        <v>48</v>
      </c>
      <c r="CO62" s="379">
        <f t="shared" si="168"/>
        <v>5.7</v>
      </c>
      <c r="CP62" s="379">
        <f t="shared" si="169"/>
        <v>53.7</v>
      </c>
      <c r="CQ62" s="379"/>
      <c r="CR62" s="188">
        <f t="shared" si="113"/>
        <v>0.10112359550561799</v>
      </c>
      <c r="CS62" s="149">
        <f t="shared" si="114"/>
        <v>9.1011235955056193</v>
      </c>
      <c r="CT62" s="149">
        <f t="shared" si="51"/>
        <v>4.0449438202247192</v>
      </c>
      <c r="CU62" s="188">
        <f t="shared" si="52"/>
        <v>1.8202247191011238</v>
      </c>
      <c r="CV62" s="188">
        <f t="shared" si="53"/>
        <v>1.1376404494382024</v>
      </c>
      <c r="CW62" s="379">
        <f t="shared" si="54"/>
        <v>5</v>
      </c>
      <c r="CX62" s="188">
        <f t="shared" si="55"/>
        <v>1.8788888888888886</v>
      </c>
      <c r="CY62" s="188">
        <f t="shared" si="56"/>
        <v>0.46972222222222215</v>
      </c>
      <c r="CZ62" s="188">
        <f t="shared" si="57"/>
        <v>3.9555555555555548</v>
      </c>
      <c r="DA62" s="172">
        <f t="shared" si="58"/>
        <v>350</v>
      </c>
      <c r="DB62" s="379">
        <f t="shared" si="115"/>
        <v>225.97451509635309</v>
      </c>
      <c r="DD62" s="188">
        <f t="shared" si="59"/>
        <v>1.2130885873902635</v>
      </c>
      <c r="DE62" s="150">
        <f t="shared" si="60"/>
        <v>2.5538707102952913</v>
      </c>
      <c r="DF62" s="150">
        <f t="shared" si="61"/>
        <v>0.54216249715765974</v>
      </c>
      <c r="DG62" s="150"/>
      <c r="DH62" s="150">
        <f t="shared" si="62"/>
        <v>2.1052631578947367</v>
      </c>
      <c r="DI62" s="314">
        <f t="shared" si="63"/>
        <v>649.79999999999995</v>
      </c>
      <c r="DJ62" s="456">
        <f t="shared" si="64"/>
        <v>0.36842105263157893</v>
      </c>
      <c r="DL62" s="150">
        <f t="shared" si="65"/>
        <v>1.4735767952260144</v>
      </c>
      <c r="DM62" s="150">
        <f t="shared" si="66"/>
        <v>1.8788888888888886</v>
      </c>
      <c r="DN62" s="150">
        <f t="shared" si="67"/>
        <v>1.8510288065843619</v>
      </c>
      <c r="DP62" s="314">
        <f t="shared" si="68"/>
        <v>683.99999999999989</v>
      </c>
      <c r="DQ62" s="144">
        <f t="shared" si="69"/>
        <v>225.97451509635309</v>
      </c>
      <c r="DS62">
        <f t="shared" si="116"/>
        <v>683.99999999999989</v>
      </c>
      <c r="DT62">
        <f t="shared" si="70"/>
        <v>225.97451509635309</v>
      </c>
      <c r="DV62" s="5">
        <f t="shared" si="117"/>
        <v>4.4252777777777759</v>
      </c>
      <c r="DW62" s="5">
        <f t="shared" si="71"/>
        <v>0.46972222222222215</v>
      </c>
      <c r="DX62" s="5">
        <f t="shared" si="118"/>
        <v>3.9555555555555539</v>
      </c>
      <c r="DY62" s="150">
        <f t="shared" si="119"/>
        <v>0.10614525139664807</v>
      </c>
      <c r="EA62" s="5">
        <f t="shared" si="72"/>
        <v>6.425799999999998</v>
      </c>
      <c r="EB62" s="5">
        <f t="shared" si="73"/>
        <v>0.8366927083333332</v>
      </c>
      <c r="EC62" s="5">
        <f t="shared" si="74"/>
        <v>0.11743055555555548</v>
      </c>
      <c r="ED62" s="5"/>
      <c r="EE62" s="150">
        <f t="shared" si="120"/>
        <v>0.35341970153880387</v>
      </c>
      <c r="EF62" s="150">
        <f t="shared" si="75"/>
        <v>1.0255903991494835</v>
      </c>
      <c r="EG62" s="150">
        <f t="shared" si="76"/>
        <v>0.229249618633414</v>
      </c>
      <c r="EH62" s="150"/>
      <c r="EI62" s="456">
        <f t="shared" si="77"/>
        <v>2.4981097087155442E-3</v>
      </c>
      <c r="EJ62" s="456">
        <f t="shared" si="78"/>
        <v>0.45600000000000007</v>
      </c>
      <c r="EK62" s="456">
        <f t="shared" si="79"/>
        <v>2.8246814387044131E-2</v>
      </c>
      <c r="EL62" s="456">
        <f t="shared" si="80"/>
        <v>6.5164044943820262E-2</v>
      </c>
      <c r="EM62">
        <f t="shared" si="81"/>
        <v>2.1600000000000001E-2</v>
      </c>
      <c r="EN62" s="144">
        <f t="shared" si="121"/>
        <v>49.846814387044134</v>
      </c>
      <c r="EO62">
        <f t="shared" si="82"/>
        <v>0.5745244681570002</v>
      </c>
      <c r="EP62" s="144">
        <f t="shared" si="122"/>
        <v>574.52446815700023</v>
      </c>
      <c r="EQ62" s="150">
        <f t="shared" si="83"/>
        <v>0.42493499999999995</v>
      </c>
      <c r="ER62" s="150">
        <f t="shared" si="170"/>
        <v>6.3234374999999995E-2</v>
      </c>
      <c r="ES62" s="456"/>
      <c r="EU62" s="144">
        <f t="shared" si="123"/>
        <v>488.16937499999995</v>
      </c>
      <c r="EV62" s="456">
        <f t="shared" si="85"/>
        <v>3.7471645630733161E-3</v>
      </c>
      <c r="EW62" s="456">
        <f t="shared" si="124"/>
        <v>3.15550700048279E-2</v>
      </c>
      <c r="EX62" s="456">
        <f t="shared" si="86"/>
        <v>2.6277693821782878E-4</v>
      </c>
      <c r="EY62" s="456">
        <f t="shared" si="87"/>
        <v>0.18572544499675742</v>
      </c>
      <c r="EZ62" s="456">
        <f t="shared" si="88"/>
        <v>0.23048182636888589</v>
      </c>
      <c r="FA62" s="538">
        <f t="shared" si="89"/>
        <v>7.977405338299193E-4</v>
      </c>
      <c r="FB62" s="144">
        <f t="shared" si="125"/>
        <v>231.2795669027158</v>
      </c>
      <c r="FC62" s="150">
        <f t="shared" si="126"/>
        <v>1.293973410059716</v>
      </c>
      <c r="FD62" s="5">
        <f t="shared" si="127"/>
        <v>4.5599999999999996</v>
      </c>
      <c r="FE62" s="150">
        <f t="shared" si="128"/>
        <v>0.77895809915431158</v>
      </c>
      <c r="FF62" s="5">
        <f t="shared" si="129"/>
        <v>77.895809915431158</v>
      </c>
      <c r="FG62">
        <f t="shared" si="130"/>
        <v>56.999999999999993</v>
      </c>
      <c r="FI62" s="59">
        <f t="shared" si="90"/>
        <v>-50</v>
      </c>
      <c r="FJ62">
        <f t="shared" si="91"/>
        <v>-50</v>
      </c>
      <c r="FL62">
        <f t="shared" si="92"/>
        <v>0.82883202513712817</v>
      </c>
    </row>
    <row r="63" spans="5:168">
      <c r="E63" s="147">
        <v>58</v>
      </c>
      <c r="F63" s="188">
        <f t="shared" si="174"/>
        <v>0.69599999999999995</v>
      </c>
      <c r="G63" s="188">
        <f t="shared" si="171"/>
        <v>0.14499999999999999</v>
      </c>
      <c r="H63" s="188">
        <f t="shared" si="135"/>
        <v>3.4799999999999995</v>
      </c>
      <c r="I63" s="188">
        <f t="shared" si="175"/>
        <v>1.1599999999999999</v>
      </c>
      <c r="J63" s="465">
        <f t="shared" si="136"/>
        <v>47.93396931803148</v>
      </c>
      <c r="K63" s="379">
        <f t="shared" si="137"/>
        <v>5.72519207676193</v>
      </c>
      <c r="L63" s="149">
        <f t="shared" si="138"/>
        <v>53.659161394793408</v>
      </c>
      <c r="M63" s="379"/>
      <c r="N63" s="188">
        <f t="shared" si="139"/>
        <v>0.10669551904919353</v>
      </c>
      <c r="O63" s="149">
        <f t="shared" si="172"/>
        <v>9.5893870058915365</v>
      </c>
      <c r="P63" s="149">
        <f t="shared" si="140"/>
        <v>4.2619497803962378</v>
      </c>
      <c r="Q63" s="188">
        <f t="shared" si="6"/>
        <v>1.9178774011783073</v>
      </c>
      <c r="R63" s="188">
        <f t="shared" si="141"/>
        <v>1.1986733757364421</v>
      </c>
      <c r="S63" s="379">
        <f t="shared" si="142"/>
        <v>5</v>
      </c>
      <c r="T63" s="188">
        <f t="shared" si="143"/>
        <v>1.81450597304184</v>
      </c>
      <c r="U63" s="188">
        <f t="shared" si="10"/>
        <v>0.45425137926792258</v>
      </c>
      <c r="V63" s="188">
        <f t="shared" si="11"/>
        <v>3.8032036977206749</v>
      </c>
      <c r="W63" s="172">
        <f t="shared" si="12"/>
        <v>350</v>
      </c>
      <c r="X63" s="379">
        <f t="shared" si="95"/>
        <v>224.34325926523704</v>
      </c>
      <c r="Z63" s="188">
        <f t="shared" si="13"/>
        <v>1.217699937256068</v>
      </c>
      <c r="AA63" s="150">
        <f t="shared" si="14"/>
        <v>2.552298517002304</v>
      </c>
      <c r="AB63" s="150">
        <f t="shared" si="144"/>
        <v>0.54388840520218074</v>
      </c>
      <c r="AC63" s="150"/>
      <c r="AD63" s="150">
        <f t="shared" si="16"/>
        <v>2.0959995471081196</v>
      </c>
      <c r="AE63" s="314">
        <f t="shared" si="145"/>
        <v>664.12228090438384</v>
      </c>
      <c r="AF63" s="456">
        <f t="shared" si="146"/>
        <v>0.36679992074392093</v>
      </c>
      <c r="AH63" s="150">
        <f t="shared" si="147"/>
        <v>1.4864467059144129</v>
      </c>
      <c r="AI63" s="150">
        <f t="shared" si="148"/>
        <v>1.81450597304184</v>
      </c>
      <c r="AJ63" s="150">
        <f t="shared" si="149"/>
        <v>1.8033377578087704</v>
      </c>
      <c r="AL63" s="314">
        <f t="shared" si="150"/>
        <v>696</v>
      </c>
      <c r="AM63" s="144">
        <f t="shared" si="151"/>
        <v>224.34325926523704</v>
      </c>
      <c r="AO63">
        <f t="shared" si="96"/>
        <v>696</v>
      </c>
      <c r="AP63">
        <f t="shared" si="24"/>
        <v>224.34325926523704</v>
      </c>
      <c r="AR63" s="5">
        <f t="shared" si="97"/>
        <v>4.4574550769885981</v>
      </c>
      <c r="AS63" s="5">
        <f t="shared" si="25"/>
        <v>0.45425137926792258</v>
      </c>
      <c r="AT63" s="5">
        <f t="shared" si="98"/>
        <v>4.0032036977206751</v>
      </c>
      <c r="AU63" s="150">
        <f t="shared" si="99"/>
        <v>0.10190823495069506</v>
      </c>
      <c r="AW63" s="5">
        <f t="shared" si="152"/>
        <v>6.3231791994094824</v>
      </c>
      <c r="AX63" s="5">
        <f t="shared" si="153"/>
        <v>0.82333062492310971</v>
      </c>
      <c r="AY63" s="5">
        <f t="shared" si="28"/>
        <v>0.12109669706638347</v>
      </c>
      <c r="AZ63" s="5"/>
      <c r="BA63" s="150">
        <f t="shared" si="100"/>
        <v>0.33442783292005829</v>
      </c>
      <c r="BB63" s="150">
        <f t="shared" si="154"/>
        <v>0.99279168676174556</v>
      </c>
      <c r="BC63" s="150">
        <f t="shared" si="155"/>
        <v>0.22191814174674312</v>
      </c>
      <c r="BD63" s="150"/>
      <c r="BE63" s="456">
        <f t="shared" si="31"/>
        <v>2.2368395086321286E-3</v>
      </c>
      <c r="BF63" s="456">
        <f t="shared" si="156"/>
        <v>0.40955910033413878</v>
      </c>
      <c r="BG63" s="456">
        <f t="shared" si="157"/>
        <v>0.26884157265817632</v>
      </c>
      <c r="BH63" s="456">
        <f t="shared" si="34"/>
        <v>6.4595280308191269E-2</v>
      </c>
      <c r="BI63">
        <f t="shared" si="35"/>
        <v>2.1570286193114165E-2</v>
      </c>
      <c r="BJ63" s="144">
        <f t="shared" si="101"/>
        <v>290.4118588512905</v>
      </c>
      <c r="BK63">
        <f t="shared" si="158"/>
        <v>0.47724881170809325</v>
      </c>
      <c r="BL63" s="144">
        <f t="shared" si="102"/>
        <v>477.24881170809323</v>
      </c>
      <c r="BM63" s="150">
        <f t="shared" si="159"/>
        <v>0.43238999999999989</v>
      </c>
      <c r="BN63" s="150">
        <f t="shared" si="160"/>
        <v>6.4343749999999991E-2</v>
      </c>
      <c r="BO63" s="456"/>
      <c r="BQ63" s="144">
        <f t="shared" si="103"/>
        <v>496.73374999999987</v>
      </c>
      <c r="BR63" s="456">
        <f t="shared" si="39"/>
        <v>3.3552592629481925E-3</v>
      </c>
      <c r="BS63" s="456">
        <f t="shared" si="104"/>
        <v>2.9569059999096956E-2</v>
      </c>
      <c r="BT63" s="456">
        <f t="shared" si="161"/>
        <v>2.4623830818163784E-4</v>
      </c>
      <c r="BU63" s="456">
        <f t="shared" si="41"/>
        <v>0.16716623928370597</v>
      </c>
      <c r="BV63" s="456">
        <f t="shared" si="162"/>
        <v>0.20885194952000377</v>
      </c>
      <c r="BW63" s="538">
        <f t="shared" si="163"/>
        <v>7.3863490923364319E-4</v>
      </c>
      <c r="BX63" s="144">
        <f t="shared" si="105"/>
        <v>209.59058442923742</v>
      </c>
      <c r="BY63" s="150">
        <f t="shared" si="106"/>
        <v>1.1835731461373304</v>
      </c>
      <c r="BZ63" s="5">
        <f t="shared" si="107"/>
        <v>4.6399999999999997</v>
      </c>
      <c r="CA63" s="150">
        <f t="shared" si="108"/>
        <v>0.79676169313295686</v>
      </c>
      <c r="CB63" s="5">
        <f t="shared" si="109"/>
        <v>79.676169313295688</v>
      </c>
      <c r="CC63">
        <f t="shared" si="173"/>
        <v>57.999999999999993</v>
      </c>
      <c r="CE63" s="59">
        <f t="shared" si="164"/>
        <v>-50</v>
      </c>
      <c r="CF63">
        <f t="shared" si="165"/>
        <v>-50</v>
      </c>
      <c r="CG63" s="150">
        <f t="shared" si="166"/>
        <v>0.82883202513712817</v>
      </c>
      <c r="CH63" s="150">
        <f t="shared" si="167"/>
        <v>0.44965289283354892</v>
      </c>
      <c r="CI63" s="147">
        <v>58</v>
      </c>
      <c r="CJ63" s="188">
        <f t="shared" si="133"/>
        <v>0.69599999999999995</v>
      </c>
      <c r="CK63" s="188">
        <f t="shared" si="111"/>
        <v>0.14499999999999999</v>
      </c>
      <c r="CL63" s="188">
        <f t="shared" si="48"/>
        <v>3.4799999999999995</v>
      </c>
      <c r="CM63" s="188">
        <f t="shared" si="134"/>
        <v>1.1599999999999999</v>
      </c>
      <c r="CN63" s="465">
        <f t="shared" si="112"/>
        <v>48</v>
      </c>
      <c r="CO63" s="379">
        <f t="shared" si="168"/>
        <v>5.7</v>
      </c>
      <c r="CP63" s="379">
        <f t="shared" si="169"/>
        <v>53.7</v>
      </c>
      <c r="CQ63" s="379"/>
      <c r="CR63" s="188">
        <f t="shared" si="113"/>
        <v>0.10112359550561799</v>
      </c>
      <c r="CS63" s="149">
        <f t="shared" si="114"/>
        <v>9.1011235955056193</v>
      </c>
      <c r="CT63" s="149">
        <f t="shared" si="51"/>
        <v>4.0449438202247192</v>
      </c>
      <c r="CU63" s="188">
        <f t="shared" si="52"/>
        <v>1.8202247191011238</v>
      </c>
      <c r="CV63" s="188">
        <f t="shared" si="53"/>
        <v>1.1376404494382024</v>
      </c>
      <c r="CW63" s="379">
        <f t="shared" si="54"/>
        <v>5</v>
      </c>
      <c r="CX63" s="188">
        <f t="shared" si="55"/>
        <v>1.9118518518518517</v>
      </c>
      <c r="CY63" s="188">
        <f t="shared" si="56"/>
        <v>0.47796296296296287</v>
      </c>
      <c r="CZ63" s="188">
        <f t="shared" si="57"/>
        <v>4.0249512670565304</v>
      </c>
      <c r="DA63" s="172">
        <f t="shared" si="58"/>
        <v>350</v>
      </c>
      <c r="DB63" s="379">
        <f t="shared" si="115"/>
        <v>222.07840276710559</v>
      </c>
      <c r="DD63" s="188">
        <f t="shared" si="59"/>
        <v>1.2130885873902635</v>
      </c>
      <c r="DE63" s="150">
        <f t="shared" si="60"/>
        <v>2.5538707102952913</v>
      </c>
      <c r="DF63" s="150">
        <f t="shared" si="61"/>
        <v>0.54216249715765974</v>
      </c>
      <c r="DG63" s="150"/>
      <c r="DH63" s="150">
        <f t="shared" si="62"/>
        <v>2.1052631578947367</v>
      </c>
      <c r="DI63" s="314">
        <f t="shared" si="63"/>
        <v>661.2</v>
      </c>
      <c r="DJ63" s="456">
        <f t="shared" si="64"/>
        <v>0.36842105263157893</v>
      </c>
      <c r="DL63" s="150">
        <f t="shared" si="65"/>
        <v>1.4864467059144129</v>
      </c>
      <c r="DM63" s="150">
        <f t="shared" si="66"/>
        <v>1.9118518518518517</v>
      </c>
      <c r="DN63" s="150">
        <f t="shared" si="67"/>
        <v>1.8754458161865568</v>
      </c>
      <c r="DP63" s="314">
        <f t="shared" si="68"/>
        <v>696</v>
      </c>
      <c r="DQ63" s="144">
        <f t="shared" si="69"/>
        <v>222.07840276710559</v>
      </c>
      <c r="DS63">
        <f t="shared" si="116"/>
        <v>696</v>
      </c>
      <c r="DT63">
        <f t="shared" si="70"/>
        <v>222.07840276710559</v>
      </c>
      <c r="DV63" s="5">
        <f t="shared" si="117"/>
        <v>4.502914230019492</v>
      </c>
      <c r="DW63" s="5">
        <f t="shared" si="71"/>
        <v>0.47796296296296287</v>
      </c>
      <c r="DX63" s="5">
        <f t="shared" si="118"/>
        <v>4.0249512670565295</v>
      </c>
      <c r="DY63" s="150">
        <f t="shared" si="119"/>
        <v>0.10614525139664806</v>
      </c>
      <c r="EA63" s="5">
        <f t="shared" si="72"/>
        <v>6.653244444444443</v>
      </c>
      <c r="EB63" s="5">
        <f t="shared" si="73"/>
        <v>0.86630787037037005</v>
      </c>
      <c r="EC63" s="5">
        <f t="shared" si="74"/>
        <v>0.12158706952566596</v>
      </c>
      <c r="ED63" s="5"/>
      <c r="EE63" s="150">
        <f t="shared" si="120"/>
        <v>0.35962004717983548</v>
      </c>
      <c r="EF63" s="150">
        <f t="shared" si="75"/>
        <v>1.0435832131696501</v>
      </c>
      <c r="EG63" s="150">
        <f t="shared" si="76"/>
        <v>0.23327154176733356</v>
      </c>
      <c r="EH63" s="150"/>
      <c r="EI63" s="456">
        <f t="shared" si="77"/>
        <v>2.5865315666725418E-3</v>
      </c>
      <c r="EJ63" s="456">
        <f t="shared" si="78"/>
        <v>0.45600000000000002</v>
      </c>
      <c r="EK63" s="456">
        <f t="shared" si="79"/>
        <v>2.7759800345888194E-2</v>
      </c>
      <c r="EL63" s="456">
        <f t="shared" si="80"/>
        <v>6.4040526927547484E-2</v>
      </c>
      <c r="EM63">
        <f t="shared" si="81"/>
        <v>2.1600000000000001E-2</v>
      </c>
      <c r="EN63" s="144">
        <f t="shared" si="121"/>
        <v>49.359800345888196</v>
      </c>
      <c r="EO63">
        <f t="shared" si="82"/>
        <v>0.57303738816321403</v>
      </c>
      <c r="EP63" s="144">
        <f t="shared" si="122"/>
        <v>573.03738816321402</v>
      </c>
      <c r="EQ63" s="150">
        <f t="shared" si="83"/>
        <v>0.43238999999999989</v>
      </c>
      <c r="ER63" s="150">
        <f t="shared" si="170"/>
        <v>6.4343749999999991E-2</v>
      </c>
      <c r="ES63" s="456"/>
      <c r="EU63" s="144">
        <f t="shared" si="123"/>
        <v>496.73374999999987</v>
      </c>
      <c r="EV63" s="456">
        <f t="shared" si="85"/>
        <v>3.8797973500088127E-3</v>
      </c>
      <c r="EW63" s="456">
        <f t="shared" si="124"/>
        <v>3.2671977684284738E-2</v>
      </c>
      <c r="EX63" s="456">
        <f t="shared" si="86"/>
        <v>2.7207806099254422E-4</v>
      </c>
      <c r="EY63" s="456">
        <f t="shared" si="87"/>
        <v>0.18572544499675731</v>
      </c>
      <c r="EZ63" s="456">
        <f t="shared" si="88"/>
        <v>0.23207068177037085</v>
      </c>
      <c r="FA63" s="538">
        <f t="shared" si="89"/>
        <v>8.1173598179184775E-4</v>
      </c>
      <c r="FB63" s="144">
        <f t="shared" si="125"/>
        <v>232.8824177521627</v>
      </c>
      <c r="FC63" s="150">
        <f t="shared" si="126"/>
        <v>1.3026535559153765</v>
      </c>
      <c r="FD63" s="5">
        <f t="shared" si="127"/>
        <v>4.6399999999999997</v>
      </c>
      <c r="FE63" s="150">
        <f t="shared" si="128"/>
        <v>0.78079597882351692</v>
      </c>
      <c r="FF63" s="5">
        <f t="shared" si="129"/>
        <v>78.079597882351692</v>
      </c>
      <c r="FG63">
        <f t="shared" si="130"/>
        <v>57.999999999999993</v>
      </c>
      <c r="FI63" s="59">
        <f t="shared" si="90"/>
        <v>-50</v>
      </c>
      <c r="FJ63">
        <f t="shared" si="91"/>
        <v>-50</v>
      </c>
      <c r="FL63">
        <f t="shared" si="92"/>
        <v>0.82883202513712817</v>
      </c>
    </row>
    <row r="64" spans="5:168">
      <c r="E64" s="147">
        <v>59</v>
      </c>
      <c r="F64" s="188">
        <f t="shared" si="174"/>
        <v>0.70799999999999996</v>
      </c>
      <c r="G64" s="188">
        <f t="shared" si="171"/>
        <v>0.14749999999999999</v>
      </c>
      <c r="H64" s="188">
        <f t="shared" si="135"/>
        <v>3.54</v>
      </c>
      <c r="I64" s="188">
        <f t="shared" si="175"/>
        <v>1.18</v>
      </c>
      <c r="J64" s="465">
        <f t="shared" si="136"/>
        <v>47.932830857997544</v>
      </c>
      <c r="K64" s="379">
        <f t="shared" si="137"/>
        <v>5.7256264229129972</v>
      </c>
      <c r="L64" s="149">
        <f t="shared" si="138"/>
        <v>53.65845728091054</v>
      </c>
      <c r="M64" s="379"/>
      <c r="N64" s="188">
        <f t="shared" si="139"/>
        <v>0.10670501376769806</v>
      </c>
      <c r="O64" s="149">
        <f t="shared" si="172"/>
        <v>9.5900125811763175</v>
      </c>
      <c r="P64" s="149">
        <f t="shared" si="140"/>
        <v>4.2622278138561409</v>
      </c>
      <c r="Q64" s="188">
        <f t="shared" si="6"/>
        <v>1.9180025162352634</v>
      </c>
      <c r="R64" s="188">
        <f t="shared" si="141"/>
        <v>1.1987515726470397</v>
      </c>
      <c r="S64" s="379">
        <f t="shared" si="142"/>
        <v>5</v>
      </c>
      <c r="T64" s="188">
        <f t="shared" si="143"/>
        <v>1.8456701542542608</v>
      </c>
      <c r="U64" s="188">
        <f t="shared" si="10"/>
        <v>0.46206413129792756</v>
      </c>
      <c r="V64" s="188">
        <f t="shared" si="11"/>
        <v>3.8682303411236156</v>
      </c>
      <c r="W64" s="172">
        <f t="shared" si="12"/>
        <v>350</v>
      </c>
      <c r="X64" s="379">
        <f t="shared" si="95"/>
        <v>220.73620293064033</v>
      </c>
      <c r="Z64" s="188">
        <f t="shared" si="13"/>
        <v>1.2177793753874688</v>
      </c>
      <c r="AA64" s="150">
        <f t="shared" si="14"/>
        <v>2.5522713892351483</v>
      </c>
      <c r="AB64" s="150">
        <f t="shared" si="144"/>
        <v>0.5439181051853651</v>
      </c>
      <c r="AC64" s="150"/>
      <c r="AD64" s="150">
        <f t="shared" si="16"/>
        <v>2.0958405445346577</v>
      </c>
      <c r="AE64" s="314">
        <f t="shared" si="145"/>
        <v>675.62391790373351</v>
      </c>
      <c r="AF64" s="456">
        <f t="shared" si="146"/>
        <v>0.36677209529356508</v>
      </c>
      <c r="AH64" s="150">
        <f t="shared" si="147"/>
        <v>1.4992061391346581</v>
      </c>
      <c r="AI64" s="150">
        <f t="shared" si="148"/>
        <v>1.8456701542542608</v>
      </c>
      <c r="AJ64" s="150">
        <f t="shared" si="149"/>
        <v>1.8264223364846377</v>
      </c>
      <c r="AL64" s="314">
        <f t="shared" si="150"/>
        <v>708</v>
      </c>
      <c r="AM64" s="144">
        <f t="shared" si="151"/>
        <v>220.73620293064033</v>
      </c>
      <c r="AO64">
        <f t="shared" si="96"/>
        <v>708</v>
      </c>
      <c r="AP64">
        <f t="shared" si="24"/>
        <v>220.73620293064033</v>
      </c>
      <c r="AR64" s="5">
        <f t="shared" si="97"/>
        <v>4.5302944724215433</v>
      </c>
      <c r="AS64" s="5">
        <f t="shared" si="25"/>
        <v>0.46206413129792756</v>
      </c>
      <c r="AT64" s="5">
        <f t="shared" si="98"/>
        <v>4.0682303411236154</v>
      </c>
      <c r="AU64" s="150">
        <f t="shared" si="99"/>
        <v>0.10199428185314938</v>
      </c>
      <c r="AW64" s="5">
        <f t="shared" si="152"/>
        <v>6.5428280991786538</v>
      </c>
      <c r="AX64" s="5">
        <f t="shared" si="153"/>
        <v>0.85193074208055375</v>
      </c>
      <c r="AY64" s="5">
        <f t="shared" si="28"/>
        <v>0.12518851162649683</v>
      </c>
      <c r="AZ64" s="5"/>
      <c r="BA64" s="150">
        <f t="shared" si="100"/>
        <v>0.34031522133137787</v>
      </c>
      <c r="BB64" s="150">
        <f t="shared" si="154"/>
        <v>1.0097945283893937</v>
      </c>
      <c r="BC64" s="150">
        <f t="shared" si="155"/>
        <v>0.22571877693409975</v>
      </c>
      <c r="BD64" s="150"/>
      <c r="BE64" s="456">
        <f t="shared" si="31"/>
        <v>2.3162889973964945E-3</v>
      </c>
      <c r="BF64" s="456">
        <f t="shared" si="156"/>
        <v>0.40988980019506999</v>
      </c>
      <c r="BG64" s="456">
        <f t="shared" si="157"/>
        <v>0.26451277698277509</v>
      </c>
      <c r="BH64" s="456">
        <f t="shared" si="34"/>
        <v>6.3555030590059833E-2</v>
      </c>
      <c r="BI64">
        <f t="shared" si="35"/>
        <v>2.1569773886098893E-2</v>
      </c>
      <c r="BJ64" s="144">
        <f t="shared" si="101"/>
        <v>286.08255086887397</v>
      </c>
      <c r="BK64">
        <f t="shared" si="158"/>
        <v>0.47664884162849808</v>
      </c>
      <c r="BL64" s="144">
        <f t="shared" si="102"/>
        <v>476.64884162849808</v>
      </c>
      <c r="BM64" s="150">
        <f t="shared" si="159"/>
        <v>0.43984499999999993</v>
      </c>
      <c r="BN64" s="150">
        <f t="shared" si="160"/>
        <v>6.5453124999999987E-2</v>
      </c>
      <c r="BO64" s="456"/>
      <c r="BQ64" s="144">
        <f t="shared" si="103"/>
        <v>505.29812499999991</v>
      </c>
      <c r="BR64" s="456">
        <f t="shared" si="39"/>
        <v>3.4744334960947411E-3</v>
      </c>
      <c r="BS64" s="456">
        <f t="shared" si="104"/>
        <v>3.0590549686954734E-2</v>
      </c>
      <c r="BT64" s="456">
        <f t="shared" si="161"/>
        <v>2.5474483130312941E-4</v>
      </c>
      <c r="BU64" s="456">
        <f t="shared" si="41"/>
        <v>0.16750938608752647</v>
      </c>
      <c r="BV64" s="456">
        <f t="shared" si="162"/>
        <v>0.21064418892706616</v>
      </c>
      <c r="BW64" s="538">
        <f t="shared" si="163"/>
        <v>7.519375040722458E-4</v>
      </c>
      <c r="BX64" s="144">
        <f t="shared" si="105"/>
        <v>211.39612643113838</v>
      </c>
      <c r="BY64" s="150">
        <f t="shared" si="106"/>
        <v>1.1933430930596365</v>
      </c>
      <c r="BZ64" s="5">
        <f t="shared" si="107"/>
        <v>4.72</v>
      </c>
      <c r="CA64" s="150">
        <f t="shared" si="108"/>
        <v>0.79819484946506192</v>
      </c>
      <c r="CB64" s="5">
        <f t="shared" si="109"/>
        <v>79.819484946506194</v>
      </c>
      <c r="CC64">
        <f t="shared" si="173"/>
        <v>59</v>
      </c>
      <c r="CE64" s="59">
        <f t="shared" si="164"/>
        <v>-50</v>
      </c>
      <c r="CF64">
        <f t="shared" si="165"/>
        <v>-50</v>
      </c>
      <c r="CG64" s="150">
        <f t="shared" si="166"/>
        <v>0.82883202513712817</v>
      </c>
      <c r="CH64" s="150">
        <f t="shared" si="167"/>
        <v>0.44965289283354892</v>
      </c>
      <c r="CI64" s="147">
        <v>59</v>
      </c>
      <c r="CJ64" s="188">
        <f t="shared" si="133"/>
        <v>0.70799999999999996</v>
      </c>
      <c r="CK64" s="188">
        <f t="shared" si="111"/>
        <v>0.14749999999999999</v>
      </c>
      <c r="CL64" s="188">
        <f t="shared" si="48"/>
        <v>3.54</v>
      </c>
      <c r="CM64" s="188">
        <f t="shared" si="134"/>
        <v>1.18</v>
      </c>
      <c r="CN64" s="465">
        <f t="shared" si="112"/>
        <v>48</v>
      </c>
      <c r="CO64" s="379">
        <f t="shared" si="168"/>
        <v>5.7</v>
      </c>
      <c r="CP64" s="379">
        <f t="shared" si="169"/>
        <v>53.7</v>
      </c>
      <c r="CQ64" s="379"/>
      <c r="CR64" s="188">
        <f t="shared" si="113"/>
        <v>0.10112359550561799</v>
      </c>
      <c r="CS64" s="149">
        <f t="shared" si="114"/>
        <v>9.1011235955056193</v>
      </c>
      <c r="CT64" s="149">
        <f t="shared" si="51"/>
        <v>4.0449438202247192</v>
      </c>
      <c r="CU64" s="188">
        <f t="shared" si="52"/>
        <v>1.8202247191011238</v>
      </c>
      <c r="CV64" s="188">
        <f t="shared" si="53"/>
        <v>1.1376404494382024</v>
      </c>
      <c r="CW64" s="379">
        <f t="shared" si="54"/>
        <v>5</v>
      </c>
      <c r="CX64" s="188">
        <f t="shared" si="55"/>
        <v>1.9448148148148146</v>
      </c>
      <c r="CY64" s="188">
        <f t="shared" si="56"/>
        <v>0.48620370370370364</v>
      </c>
      <c r="CZ64" s="188">
        <f t="shared" si="57"/>
        <v>4.0943469785575042</v>
      </c>
      <c r="DA64" s="172">
        <f t="shared" si="58"/>
        <v>350</v>
      </c>
      <c r="DB64" s="379">
        <f t="shared" si="115"/>
        <v>218.3143620422394</v>
      </c>
      <c r="DD64" s="188">
        <f t="shared" si="59"/>
        <v>1.2130885873902635</v>
      </c>
      <c r="DE64" s="150">
        <f t="shared" si="60"/>
        <v>2.5538707102952913</v>
      </c>
      <c r="DF64" s="150">
        <f t="shared" si="61"/>
        <v>0.54216249715765974</v>
      </c>
      <c r="DG64" s="150"/>
      <c r="DH64" s="150">
        <f t="shared" si="62"/>
        <v>2.1052631578947367</v>
      </c>
      <c r="DI64" s="314">
        <f t="shared" si="63"/>
        <v>672.6</v>
      </c>
      <c r="DJ64" s="456">
        <f t="shared" si="64"/>
        <v>0.36842105263157893</v>
      </c>
      <c r="DL64" s="150">
        <f t="shared" si="65"/>
        <v>1.4992061391346581</v>
      </c>
      <c r="DM64" s="150">
        <f t="shared" si="66"/>
        <v>1.9448148148148146</v>
      </c>
      <c r="DN64" s="150">
        <f t="shared" si="67"/>
        <v>1.8998628257887515</v>
      </c>
      <c r="DP64" s="314">
        <f t="shared" si="68"/>
        <v>708</v>
      </c>
      <c r="DQ64" s="144">
        <f t="shared" si="69"/>
        <v>218.3143620422394</v>
      </c>
      <c r="DS64">
        <f t="shared" si="116"/>
        <v>708</v>
      </c>
      <c r="DT64">
        <f t="shared" si="70"/>
        <v>218.3143620422394</v>
      </c>
      <c r="DV64" s="5">
        <f t="shared" si="117"/>
        <v>4.5805506822612081</v>
      </c>
      <c r="DW64" s="5">
        <f t="shared" si="71"/>
        <v>0.48620370370370364</v>
      </c>
      <c r="DX64" s="5">
        <f t="shared" si="118"/>
        <v>4.0943469785575042</v>
      </c>
      <c r="DY64" s="150">
        <f t="shared" si="119"/>
        <v>0.10614525139664804</v>
      </c>
      <c r="EA64" s="5">
        <f t="shared" si="72"/>
        <v>6.8846444444444437</v>
      </c>
      <c r="EB64" s="5">
        <f t="shared" si="73"/>
        <v>0.89643807870370351</v>
      </c>
      <c r="EC64" s="5">
        <f t="shared" si="74"/>
        <v>0.12581587069525663</v>
      </c>
      <c r="ED64" s="5"/>
      <c r="EE64" s="150">
        <f t="shared" si="120"/>
        <v>0.36582039282086704</v>
      </c>
      <c r="EF64" s="150">
        <f t="shared" si="75"/>
        <v>1.0615760271898163</v>
      </c>
      <c r="EG64" s="150">
        <f t="shared" si="76"/>
        <v>0.23729346490125308</v>
      </c>
      <c r="EH64" s="150"/>
      <c r="EI64" s="456">
        <f t="shared" si="77"/>
        <v>2.6764911960722691E-3</v>
      </c>
      <c r="EJ64" s="456">
        <f t="shared" si="78"/>
        <v>0.45600000000000002</v>
      </c>
      <c r="EK64" s="456">
        <f t="shared" si="79"/>
        <v>2.7289295255279924E-2</v>
      </c>
      <c r="EL64" s="456">
        <f t="shared" si="80"/>
        <v>6.2955094267758541E-2</v>
      </c>
      <c r="EM64">
        <f t="shared" si="81"/>
        <v>2.1600000000000001E-2</v>
      </c>
      <c r="EN64" s="144">
        <f t="shared" si="121"/>
        <v>48.889295255279919</v>
      </c>
      <c r="EO64">
        <f t="shared" si="82"/>
        <v>0.57160703786823153</v>
      </c>
      <c r="EP64" s="144">
        <f t="shared" si="122"/>
        <v>571.60703786823149</v>
      </c>
      <c r="EQ64" s="150">
        <f t="shared" si="83"/>
        <v>0.43984499999999993</v>
      </c>
      <c r="ER64" s="150">
        <f t="shared" si="170"/>
        <v>6.5453124999999987E-2</v>
      </c>
      <c r="ES64" s="456"/>
      <c r="EU64" s="144">
        <f t="shared" si="123"/>
        <v>505.29812499999991</v>
      </c>
      <c r="EV64" s="456">
        <f t="shared" si="85"/>
        <v>4.0147367941084037E-3</v>
      </c>
      <c r="EW64" s="456">
        <f t="shared" si="124"/>
        <v>3.3808309845123403E-2</v>
      </c>
      <c r="EX64" s="456">
        <f t="shared" si="86"/>
        <v>2.8154094242421114E-4</v>
      </c>
      <c r="EY64" s="456">
        <f t="shared" si="87"/>
        <v>0.18572544499675736</v>
      </c>
      <c r="EZ64" s="456">
        <f t="shared" si="88"/>
        <v>0.23368749885937282</v>
      </c>
      <c r="FA64" s="538">
        <f t="shared" si="89"/>
        <v>8.2573142975377609E-4</v>
      </c>
      <c r="FB64" s="144">
        <f t="shared" si="125"/>
        <v>234.5132302891266</v>
      </c>
      <c r="FC64" s="150">
        <f t="shared" si="126"/>
        <v>1.311418393157358</v>
      </c>
      <c r="FD64" s="5">
        <f t="shared" si="127"/>
        <v>4.72</v>
      </c>
      <c r="FE64" s="150">
        <f t="shared" si="128"/>
        <v>0.78256882416826501</v>
      </c>
      <c r="FF64" s="5">
        <f t="shared" si="129"/>
        <v>78.2568824168265</v>
      </c>
      <c r="FG64">
        <f t="shared" si="130"/>
        <v>59</v>
      </c>
      <c r="FI64" s="59">
        <f t="shared" si="90"/>
        <v>-50</v>
      </c>
      <c r="FJ64">
        <f t="shared" si="91"/>
        <v>-50</v>
      </c>
      <c r="FL64">
        <f t="shared" si="92"/>
        <v>0.82883202513712817</v>
      </c>
    </row>
    <row r="65" spans="5:168">
      <c r="E65" s="147">
        <v>60</v>
      </c>
      <c r="F65" s="188">
        <f t="shared" si="174"/>
        <v>0.72</v>
      </c>
      <c r="G65" s="188">
        <f t="shared" si="171"/>
        <v>0.15</v>
      </c>
      <c r="H65" s="188">
        <f t="shared" si="135"/>
        <v>3.5999999999999996</v>
      </c>
      <c r="I65" s="188">
        <f t="shared" si="175"/>
        <v>1.2</v>
      </c>
      <c r="J65" s="465">
        <f t="shared" si="136"/>
        <v>47.931692397963602</v>
      </c>
      <c r="K65" s="379">
        <f t="shared" si="137"/>
        <v>5.7260607690640652</v>
      </c>
      <c r="L65" s="149">
        <f t="shared" si="138"/>
        <v>53.657753167027664</v>
      </c>
      <c r="M65" s="379"/>
      <c r="N65" s="188">
        <f t="shared" si="139"/>
        <v>0.10671450873538797</v>
      </c>
      <c r="O65" s="149">
        <f t="shared" si="172"/>
        <v>9.5906381383207808</v>
      </c>
      <c r="P65" s="149">
        <f t="shared" si="140"/>
        <v>4.2625058392536799</v>
      </c>
      <c r="Q65" s="188">
        <f t="shared" si="6"/>
        <v>1.9181276276641561</v>
      </c>
      <c r="R65" s="188">
        <f t="shared" si="141"/>
        <v>1.1988297672900976</v>
      </c>
      <c r="S65" s="379">
        <f t="shared" si="142"/>
        <v>5</v>
      </c>
      <c r="T65" s="188">
        <f t="shared" si="143"/>
        <v>1.876830273480802</v>
      </c>
      <c r="U65" s="188">
        <f t="shared" si="10"/>
        <v>0.46987623751683927</v>
      </c>
      <c r="V65" s="188">
        <f t="shared" si="11"/>
        <v>3.9332386068006886</v>
      </c>
      <c r="W65" s="172">
        <f t="shared" si="12"/>
        <v>350</v>
      </c>
      <c r="X65" s="379">
        <f t="shared" si="95"/>
        <v>217.24419959551605</v>
      </c>
      <c r="Z65" s="188">
        <f t="shared" si="13"/>
        <v>1.217858811215337</v>
      </c>
      <c r="AA65" s="150">
        <f t="shared" si="14"/>
        <v>2.5522442607560345</v>
      </c>
      <c r="AB65" s="150">
        <f t="shared" si="144"/>
        <v>0.54394780323371439</v>
      </c>
      <c r="AC65" s="150"/>
      <c r="AD65" s="150">
        <f t="shared" si="16"/>
        <v>2.0956815660832433</v>
      </c>
      <c r="AE65" s="314">
        <f t="shared" si="145"/>
        <v>687.12729228768774</v>
      </c>
      <c r="AF65" s="456">
        <f t="shared" si="146"/>
        <v>0.36674427406456761</v>
      </c>
      <c r="AH65" s="150">
        <f t="shared" si="147"/>
        <v>1.5118578920369088</v>
      </c>
      <c r="AI65" s="150">
        <f t="shared" si="148"/>
        <v>1.876830273480802</v>
      </c>
      <c r="AJ65" s="150">
        <f t="shared" si="149"/>
        <v>1.8495039062820755</v>
      </c>
      <c r="AL65" s="314">
        <f t="shared" si="150"/>
        <v>720</v>
      </c>
      <c r="AM65" s="144">
        <f t="shared" si="151"/>
        <v>217.24419959551605</v>
      </c>
      <c r="AO65">
        <f t="shared" si="96"/>
        <v>720</v>
      </c>
      <c r="AP65">
        <f t="shared" si="24"/>
        <v>217.24419959551605</v>
      </c>
      <c r="AR65" s="5">
        <f t="shared" si="97"/>
        <v>4.6031148443175285</v>
      </c>
      <c r="AS65" s="5">
        <f t="shared" si="25"/>
        <v>0.46987623751683927</v>
      </c>
      <c r="AT65" s="5">
        <f t="shared" si="98"/>
        <v>4.1332386068006892</v>
      </c>
      <c r="AU65" s="150">
        <f t="shared" si="99"/>
        <v>0.10207788712829834</v>
      </c>
      <c r="AW65" s="5">
        <f t="shared" si="152"/>
        <v>6.7662178202424847</v>
      </c>
      <c r="AX65" s="5">
        <f t="shared" si="153"/>
        <v>0.88101794534407363</v>
      </c>
      <c r="AY65" s="5">
        <f t="shared" si="28"/>
        <v>0.12934777805726794</v>
      </c>
      <c r="AZ65" s="5"/>
      <c r="BA65" s="150">
        <f t="shared" si="100"/>
        <v>0.34620250724729673</v>
      </c>
      <c r="BB65" s="150">
        <f t="shared" si="154"/>
        <v>1.0267949076910927</v>
      </c>
      <c r="BC65" s="150">
        <f t="shared" si="155"/>
        <v>0.22951886171918545</v>
      </c>
      <c r="BD65" s="150"/>
      <c r="BE65" s="456">
        <f t="shared" si="31"/>
        <v>2.3971235204862909E-3</v>
      </c>
      <c r="BF65" s="456">
        <f t="shared" si="156"/>
        <v>0.41021066287520952</v>
      </c>
      <c r="BG65" s="456">
        <f t="shared" si="157"/>
        <v>0.26032205375635209</v>
      </c>
      <c r="BH65" s="456">
        <f t="shared" si="34"/>
        <v>6.2547960941881281E-2</v>
      </c>
      <c r="BI65">
        <f t="shared" si="35"/>
        <v>2.1569261579083621E-2</v>
      </c>
      <c r="BJ65" s="144">
        <f t="shared" si="101"/>
        <v>281.89131533543571</v>
      </c>
      <c r="BK65">
        <f t="shared" si="158"/>
        <v>0.47607412182174785</v>
      </c>
      <c r="BL65" s="144">
        <f t="shared" si="102"/>
        <v>476.07412182174784</v>
      </c>
      <c r="BM65" s="150">
        <f t="shared" si="159"/>
        <v>0.44729999999999998</v>
      </c>
      <c r="BN65" s="150">
        <f t="shared" si="160"/>
        <v>6.6562499999999997E-2</v>
      </c>
      <c r="BO65" s="456"/>
      <c r="BQ65" s="144">
        <f t="shared" si="103"/>
        <v>513.86249999999995</v>
      </c>
      <c r="BR65" s="456">
        <f t="shared" si="39"/>
        <v>3.5956852807294362E-3</v>
      </c>
      <c r="BS65" s="456">
        <f t="shared" si="104"/>
        <v>3.1629233473810789E-2</v>
      </c>
      <c r="BT65" s="456">
        <f t="shared" si="161"/>
        <v>2.6339453942435286E-4</v>
      </c>
      <c r="BU65" s="456">
        <f t="shared" si="41"/>
        <v>0.16784290149973147</v>
      </c>
      <c r="BV65" s="456">
        <f t="shared" si="162"/>
        <v>0.21245157382518384</v>
      </c>
      <c r="BW65" s="538">
        <f t="shared" si="163"/>
        <v>7.6524092806471735E-4</v>
      </c>
      <c r="BX65" s="144">
        <f t="shared" si="105"/>
        <v>213.21681475324854</v>
      </c>
      <c r="BY65" s="150">
        <f t="shared" si="106"/>
        <v>1.2031534365749963</v>
      </c>
      <c r="BZ65" s="5">
        <f t="shared" si="107"/>
        <v>4.8</v>
      </c>
      <c r="CA65" s="150">
        <f t="shared" si="108"/>
        <v>0.79957976265530273</v>
      </c>
      <c r="CB65" s="5">
        <f t="shared" si="109"/>
        <v>79.957976265530277</v>
      </c>
      <c r="CC65">
        <f t="shared" si="173"/>
        <v>60</v>
      </c>
      <c r="CE65" s="59">
        <f t="shared" si="164"/>
        <v>-50</v>
      </c>
      <c r="CF65">
        <f t="shared" si="165"/>
        <v>-50</v>
      </c>
      <c r="CG65" s="150">
        <f t="shared" si="166"/>
        <v>0.82883202513712817</v>
      </c>
      <c r="CH65" s="150">
        <f t="shared" si="167"/>
        <v>0.44965289283354887</v>
      </c>
      <c r="CI65" s="147">
        <v>60</v>
      </c>
      <c r="CJ65" s="188">
        <f t="shared" si="133"/>
        <v>0.72</v>
      </c>
      <c r="CK65" s="188">
        <f t="shared" si="111"/>
        <v>0.15</v>
      </c>
      <c r="CL65" s="188">
        <f t="shared" si="48"/>
        <v>3.5999999999999996</v>
      </c>
      <c r="CM65" s="188">
        <f t="shared" si="134"/>
        <v>1.2</v>
      </c>
      <c r="CN65" s="465">
        <f t="shared" si="112"/>
        <v>48</v>
      </c>
      <c r="CO65" s="379">
        <f t="shared" si="168"/>
        <v>5.7</v>
      </c>
      <c r="CP65" s="379">
        <f t="shared" si="169"/>
        <v>53.7</v>
      </c>
      <c r="CQ65" s="379"/>
      <c r="CR65" s="188">
        <f t="shared" si="113"/>
        <v>0.10112359550561799</v>
      </c>
      <c r="CS65" s="149">
        <f t="shared" si="114"/>
        <v>9.1011235955056193</v>
      </c>
      <c r="CT65" s="149">
        <f t="shared" si="51"/>
        <v>4.0449438202247192</v>
      </c>
      <c r="CU65" s="188">
        <f t="shared" si="52"/>
        <v>1.8202247191011238</v>
      </c>
      <c r="CV65" s="188">
        <f t="shared" si="53"/>
        <v>1.1376404494382024</v>
      </c>
      <c r="CW65" s="379">
        <f t="shared" si="54"/>
        <v>5</v>
      </c>
      <c r="CX65" s="188">
        <f t="shared" si="55"/>
        <v>1.9777777777777776</v>
      </c>
      <c r="CY65" s="188">
        <f t="shared" si="56"/>
        <v>0.49444444444444435</v>
      </c>
      <c r="CZ65" s="188">
        <f t="shared" si="57"/>
        <v>4.1637426900584789</v>
      </c>
      <c r="DA65" s="172">
        <f t="shared" si="58"/>
        <v>350</v>
      </c>
      <c r="DB65" s="379">
        <f t="shared" si="115"/>
        <v>214.67578934153539</v>
      </c>
      <c r="DD65" s="188">
        <f t="shared" si="59"/>
        <v>1.2130885873902635</v>
      </c>
      <c r="DE65" s="150">
        <f t="shared" si="60"/>
        <v>2.5538707102952913</v>
      </c>
      <c r="DF65" s="150">
        <f t="shared" si="61"/>
        <v>0.54216249715765974</v>
      </c>
      <c r="DG65" s="150"/>
      <c r="DH65" s="150">
        <f t="shared" si="62"/>
        <v>2.1052631578947367</v>
      </c>
      <c r="DI65" s="314">
        <f t="shared" si="63"/>
        <v>684</v>
      </c>
      <c r="DJ65" s="456">
        <f t="shared" si="64"/>
        <v>0.36842105263157893</v>
      </c>
      <c r="DL65" s="150">
        <f t="shared" si="65"/>
        <v>1.5118578920369088</v>
      </c>
      <c r="DM65" s="150">
        <f t="shared" si="66"/>
        <v>1.9777777777777776</v>
      </c>
      <c r="DN65" s="150">
        <f t="shared" si="67"/>
        <v>1.9242798353909463</v>
      </c>
      <c r="DP65" s="314">
        <f t="shared" si="68"/>
        <v>720</v>
      </c>
      <c r="DQ65" s="144">
        <f t="shared" si="69"/>
        <v>214.67578934153539</v>
      </c>
      <c r="DS65">
        <f t="shared" si="116"/>
        <v>720</v>
      </c>
      <c r="DT65">
        <f t="shared" si="70"/>
        <v>214.67578934153539</v>
      </c>
      <c r="DV65" s="5">
        <f t="shared" si="117"/>
        <v>4.6581871345029242</v>
      </c>
      <c r="DW65" s="5">
        <f t="shared" si="71"/>
        <v>0.49444444444444435</v>
      </c>
      <c r="DX65" s="5">
        <f t="shared" si="118"/>
        <v>4.1637426900584797</v>
      </c>
      <c r="DY65" s="150">
        <f t="shared" si="119"/>
        <v>0.10614525139664802</v>
      </c>
      <c r="EA65" s="5">
        <f t="shared" si="72"/>
        <v>7.1199999999999983</v>
      </c>
      <c r="EB65" s="5">
        <f t="shared" si="73"/>
        <v>0.92708333333333304</v>
      </c>
      <c r="EC65" s="5">
        <f t="shared" si="74"/>
        <v>0.13011695906432746</v>
      </c>
      <c r="ED65" s="5"/>
      <c r="EE65" s="150">
        <f t="shared" si="120"/>
        <v>0.3720207384618987</v>
      </c>
      <c r="EF65" s="150">
        <f t="shared" si="75"/>
        <v>1.0795688412099829</v>
      </c>
      <c r="EG65" s="150">
        <f t="shared" si="76"/>
        <v>0.24131538803517263</v>
      </c>
      <c r="EH65" s="150"/>
      <c r="EI65" s="456">
        <f t="shared" si="77"/>
        <v>2.7679885969147289E-3</v>
      </c>
      <c r="EJ65" s="456">
        <f t="shared" si="78"/>
        <v>0.45600000000000002</v>
      </c>
      <c r="EK65" s="456">
        <f t="shared" si="79"/>
        <v>2.6834473667691924E-2</v>
      </c>
      <c r="EL65" s="456">
        <f t="shared" si="80"/>
        <v>6.1905842696629229E-2</v>
      </c>
      <c r="EM65">
        <f t="shared" si="81"/>
        <v>2.1600000000000001E-2</v>
      </c>
      <c r="EN65" s="144">
        <f t="shared" si="121"/>
        <v>48.434473667691918</v>
      </c>
      <c r="EO65">
        <f t="shared" si="82"/>
        <v>0.57023068783147002</v>
      </c>
      <c r="EP65" s="144">
        <f t="shared" si="122"/>
        <v>570.23068783147005</v>
      </c>
      <c r="EQ65" s="150">
        <f t="shared" si="83"/>
        <v>0.44729999999999998</v>
      </c>
      <c r="ER65" s="150">
        <f t="shared" si="170"/>
        <v>6.6562499999999997E-2</v>
      </c>
      <c r="ES65" s="456"/>
      <c r="EU65" s="144">
        <f t="shared" si="123"/>
        <v>513.86249999999995</v>
      </c>
      <c r="EV65" s="456">
        <f t="shared" si="85"/>
        <v>4.1519828953720936E-3</v>
      </c>
      <c r="EW65" s="456">
        <f t="shared" si="124"/>
        <v>3.4964066487343952E-2</v>
      </c>
      <c r="EX65" s="456">
        <f t="shared" si="86"/>
        <v>2.9116558251282971E-4</v>
      </c>
      <c r="EY65" s="456">
        <f t="shared" si="87"/>
        <v>0.18572544499675747</v>
      </c>
      <c r="EZ65" s="456">
        <f t="shared" si="88"/>
        <v>0.23533229477993356</v>
      </c>
      <c r="FA65" s="538">
        <f t="shared" si="89"/>
        <v>8.3972687771570454E-4</v>
      </c>
      <c r="FB65" s="144">
        <f t="shared" si="125"/>
        <v>236.17202165764925</v>
      </c>
      <c r="FC65" s="150">
        <f t="shared" si="126"/>
        <v>1.3202652094891192</v>
      </c>
      <c r="FD65" s="5">
        <f t="shared" si="127"/>
        <v>4.8</v>
      </c>
      <c r="FE65" s="150">
        <f t="shared" si="128"/>
        <v>0.78427973881881385</v>
      </c>
      <c r="FF65" s="5">
        <f t="shared" si="129"/>
        <v>78.427973881881385</v>
      </c>
      <c r="FG65">
        <f t="shared" si="130"/>
        <v>60</v>
      </c>
      <c r="FI65" s="59">
        <f t="shared" si="90"/>
        <v>-50</v>
      </c>
      <c r="FJ65">
        <f t="shared" si="91"/>
        <v>-50</v>
      </c>
      <c r="FL65">
        <f t="shared" si="92"/>
        <v>0.82883202513712817</v>
      </c>
    </row>
    <row r="66" spans="5:168">
      <c r="E66" s="147">
        <v>61</v>
      </c>
      <c r="F66" s="188">
        <f t="shared" si="174"/>
        <v>0.73199999999999998</v>
      </c>
      <c r="G66" s="188">
        <f t="shared" si="171"/>
        <v>0.1525</v>
      </c>
      <c r="H66" s="188">
        <f t="shared" si="135"/>
        <v>3.66</v>
      </c>
      <c r="I66" s="188">
        <f t="shared" si="175"/>
        <v>1.22</v>
      </c>
      <c r="J66" s="465">
        <f t="shared" si="136"/>
        <v>47.930553937929666</v>
      </c>
      <c r="K66" s="379">
        <f t="shared" si="137"/>
        <v>5.7264951152151333</v>
      </c>
      <c r="L66" s="149">
        <f t="shared" si="138"/>
        <v>53.657049053144803</v>
      </c>
      <c r="M66" s="379"/>
      <c r="N66" s="188">
        <f t="shared" si="139"/>
        <v>0.10672400395227302</v>
      </c>
      <c r="O66" s="149">
        <f t="shared" si="172"/>
        <v>9.5912636773242017</v>
      </c>
      <c r="P66" s="149">
        <f t="shared" si="140"/>
        <v>4.2627838565885341</v>
      </c>
      <c r="Q66" s="188">
        <f t="shared" si="6"/>
        <v>1.9182527354648404</v>
      </c>
      <c r="R66" s="188">
        <f t="shared" si="141"/>
        <v>1.1989079596655252</v>
      </c>
      <c r="S66" s="379">
        <f t="shared" si="142"/>
        <v>5</v>
      </c>
      <c r="T66" s="188">
        <f t="shared" si="143"/>
        <v>1.9079863316931964</v>
      </c>
      <c r="U66" s="188">
        <f t="shared" si="10"/>
        <v>0.4776876981219243</v>
      </c>
      <c r="V66" s="188">
        <f t="shared" si="11"/>
        <v>3.9982285009699523</v>
      </c>
      <c r="W66" s="172">
        <f t="shared" si="12"/>
        <v>350</v>
      </c>
      <c r="X66" s="379">
        <f t="shared" si="95"/>
        <v>213.86183101275699</v>
      </c>
      <c r="Z66" s="188">
        <f t="shared" si="13"/>
        <v>1.2179382447395812</v>
      </c>
      <c r="AA66" s="150">
        <f t="shared" si="14"/>
        <v>2.5522171315649338</v>
      </c>
      <c r="AB66" s="150">
        <f t="shared" si="144"/>
        <v>0.54397749934718476</v>
      </c>
      <c r="AC66" s="150"/>
      <c r="AD66" s="150">
        <f t="shared" si="16"/>
        <v>2.0955226117483874</v>
      </c>
      <c r="AE66" s="314">
        <f t="shared" si="145"/>
        <v>698.63240405624629</v>
      </c>
      <c r="AF66" s="456">
        <f t="shared" si="146"/>
        <v>0.36671645705596784</v>
      </c>
      <c r="AH66" s="150">
        <f t="shared" si="147"/>
        <v>1.5244046456927123</v>
      </c>
      <c r="AI66" s="150">
        <f t="shared" si="148"/>
        <v>1.9079863316931964</v>
      </c>
      <c r="AJ66" s="150">
        <f t="shared" si="149"/>
        <v>1.8725824679208862</v>
      </c>
      <c r="AL66" s="314">
        <f t="shared" si="150"/>
        <v>732</v>
      </c>
      <c r="AM66" s="144">
        <f t="shared" si="151"/>
        <v>213.86183101275699</v>
      </c>
      <c r="AO66">
        <f t="shared" si="96"/>
        <v>732</v>
      </c>
      <c r="AP66">
        <f t="shared" si="24"/>
        <v>213.86183101275699</v>
      </c>
      <c r="AR66" s="5">
        <f t="shared" si="97"/>
        <v>4.6759161990918772</v>
      </c>
      <c r="AS66" s="5">
        <f t="shared" si="25"/>
        <v>0.4776876981219243</v>
      </c>
      <c r="AT66" s="5">
        <f t="shared" si="98"/>
        <v>4.1982285009699529</v>
      </c>
      <c r="AU66" s="150">
        <f t="shared" si="99"/>
        <v>0.10215916577262385</v>
      </c>
      <c r="AW66" s="5">
        <f t="shared" si="152"/>
        <v>6.993347900504971</v>
      </c>
      <c r="AX66" s="5">
        <f t="shared" si="153"/>
        <v>0.91059217454491814</v>
      </c>
      <c r="AY66" s="5">
        <f t="shared" si="28"/>
        <v>0.13357447260614158</v>
      </c>
      <c r="AZ66" s="5"/>
      <c r="BA66" s="150">
        <f t="shared" si="100"/>
        <v>0.35208968404851609</v>
      </c>
      <c r="BB66" s="150">
        <f t="shared" si="154"/>
        <v>1.0437928282770659</v>
      </c>
      <c r="BC66" s="150">
        <f t="shared" si="155"/>
        <v>0.2333183969089912</v>
      </c>
      <c r="BD66" s="150"/>
      <c r="BE66" s="456">
        <f t="shared" si="31"/>
        <v>2.4793429122676779E-3</v>
      </c>
      <c r="BF66" s="456">
        <f t="shared" si="156"/>
        <v>0.41052215156895838</v>
      </c>
      <c r="BG66" s="456">
        <f t="shared" si="157"/>
        <v>0.2562629006655337</v>
      </c>
      <c r="BH66" s="456">
        <f t="shared" si="34"/>
        <v>6.1572508798398526E-2</v>
      </c>
      <c r="BI66">
        <f t="shared" si="35"/>
        <v>2.1568749272068349E-2</v>
      </c>
      <c r="BJ66" s="144">
        <f t="shared" si="101"/>
        <v>277.83164993760204</v>
      </c>
      <c r="BK66">
        <f t="shared" si="158"/>
        <v>0.4755235529277918</v>
      </c>
      <c r="BL66" s="144">
        <f t="shared" si="102"/>
        <v>475.5235529277918</v>
      </c>
      <c r="BM66" s="150">
        <f t="shared" si="159"/>
        <v>0.45475499999999996</v>
      </c>
      <c r="BN66" s="150">
        <f t="shared" si="160"/>
        <v>6.7671874999999992E-2</v>
      </c>
      <c r="BO66" s="456"/>
      <c r="BQ66" s="144">
        <f t="shared" si="103"/>
        <v>522.426875</v>
      </c>
      <c r="BR66" s="456">
        <f t="shared" si="39"/>
        <v>3.7190143684015164E-3</v>
      </c>
      <c r="BS66" s="456">
        <f t="shared" si="104"/>
        <v>3.2685104050879092E-2</v>
      </c>
      <c r="BT66" s="456">
        <f t="shared" si="161"/>
        <v>2.721873716809078E-4</v>
      </c>
      <c r="BU66" s="456">
        <f t="shared" si="41"/>
        <v>0.16816722366935877</v>
      </c>
      <c r="BV66" s="456">
        <f t="shared" si="162"/>
        <v>0.21427454675414903</v>
      </c>
      <c r="BW66" s="538">
        <f t="shared" si="163"/>
        <v>7.7854514215525833E-4</v>
      </c>
      <c r="BX66" s="144">
        <f t="shared" si="105"/>
        <v>215.0530918963043</v>
      </c>
      <c r="BY66" s="150">
        <f t="shared" si="106"/>
        <v>1.2130035198240963</v>
      </c>
      <c r="BZ66" s="5">
        <f t="shared" si="107"/>
        <v>4.88</v>
      </c>
      <c r="CA66" s="150">
        <f t="shared" si="108"/>
        <v>0.80091862480015186</v>
      </c>
      <c r="CB66" s="5">
        <f t="shared" si="109"/>
        <v>80.09186248001518</v>
      </c>
      <c r="CC66">
        <f t="shared" si="173"/>
        <v>61</v>
      </c>
      <c r="CE66" s="59">
        <f t="shared" si="164"/>
        <v>-50</v>
      </c>
      <c r="CF66">
        <f t="shared" si="165"/>
        <v>-50</v>
      </c>
      <c r="CG66" s="150">
        <f t="shared" si="166"/>
        <v>0.82883202513712817</v>
      </c>
      <c r="CH66" s="150">
        <f t="shared" si="167"/>
        <v>0.44965289283354887</v>
      </c>
      <c r="CI66" s="147">
        <v>61</v>
      </c>
      <c r="CJ66" s="188">
        <f t="shared" si="133"/>
        <v>0.73199999999999998</v>
      </c>
      <c r="CK66" s="188">
        <f t="shared" si="111"/>
        <v>0.1525</v>
      </c>
      <c r="CL66" s="188">
        <f t="shared" si="48"/>
        <v>3.66</v>
      </c>
      <c r="CM66" s="188">
        <f t="shared" si="134"/>
        <v>1.22</v>
      </c>
      <c r="CN66" s="465">
        <f t="shared" si="112"/>
        <v>48</v>
      </c>
      <c r="CO66" s="379">
        <f t="shared" si="168"/>
        <v>5.7</v>
      </c>
      <c r="CP66" s="379">
        <f t="shared" si="169"/>
        <v>53.7</v>
      </c>
      <c r="CQ66" s="379"/>
      <c r="CR66" s="188">
        <f t="shared" si="113"/>
        <v>0.10112359550561799</v>
      </c>
      <c r="CS66" s="149">
        <f t="shared" si="114"/>
        <v>9.1011235955056193</v>
      </c>
      <c r="CT66" s="149">
        <f t="shared" si="51"/>
        <v>4.0449438202247192</v>
      </c>
      <c r="CU66" s="188">
        <f t="shared" si="52"/>
        <v>1.8202247191011238</v>
      </c>
      <c r="CV66" s="188">
        <f t="shared" si="53"/>
        <v>1.1376404494382024</v>
      </c>
      <c r="CW66" s="379">
        <f t="shared" si="54"/>
        <v>5</v>
      </c>
      <c r="CX66" s="188">
        <f t="shared" si="55"/>
        <v>2.0107407407407405</v>
      </c>
      <c r="CY66" s="188">
        <f t="shared" si="56"/>
        <v>0.50268518518518512</v>
      </c>
      <c r="CZ66" s="188">
        <f t="shared" si="57"/>
        <v>4.2331384015594535</v>
      </c>
      <c r="DA66" s="172">
        <f t="shared" si="58"/>
        <v>350</v>
      </c>
      <c r="DB66" s="379">
        <f t="shared" si="115"/>
        <v>211.15651410642826</v>
      </c>
      <c r="DD66" s="188">
        <f t="shared" si="59"/>
        <v>1.2130885873902635</v>
      </c>
      <c r="DE66" s="150">
        <f t="shared" si="60"/>
        <v>2.5538707102952913</v>
      </c>
      <c r="DF66" s="150">
        <f t="shared" si="61"/>
        <v>0.54216249715765974</v>
      </c>
      <c r="DG66" s="150"/>
      <c r="DH66" s="150">
        <f t="shared" si="62"/>
        <v>2.1052631578947367</v>
      </c>
      <c r="DI66" s="314">
        <f t="shared" si="63"/>
        <v>695.4</v>
      </c>
      <c r="DJ66" s="456">
        <f t="shared" si="64"/>
        <v>0.36842105263157893</v>
      </c>
      <c r="DL66" s="150">
        <f t="shared" si="65"/>
        <v>1.5244046456927123</v>
      </c>
      <c r="DM66" s="150">
        <f t="shared" si="66"/>
        <v>2.0107407407407405</v>
      </c>
      <c r="DN66" s="150">
        <f t="shared" si="67"/>
        <v>1.948696844993141</v>
      </c>
      <c r="DP66" s="314">
        <f t="shared" si="68"/>
        <v>732</v>
      </c>
      <c r="DQ66" s="144">
        <f t="shared" si="69"/>
        <v>211.15651410642826</v>
      </c>
      <c r="DS66">
        <f t="shared" si="116"/>
        <v>732</v>
      </c>
      <c r="DT66">
        <f t="shared" si="70"/>
        <v>211.15651410642826</v>
      </c>
      <c r="DV66" s="5">
        <f t="shared" si="117"/>
        <v>4.7358235867446394</v>
      </c>
      <c r="DW66" s="5">
        <f t="shared" si="71"/>
        <v>0.50268518518518512</v>
      </c>
      <c r="DX66" s="5">
        <f t="shared" si="118"/>
        <v>4.2331384015594544</v>
      </c>
      <c r="DY66" s="150">
        <f t="shared" si="119"/>
        <v>0.10614525139664803</v>
      </c>
      <c r="EA66" s="5">
        <f t="shared" si="72"/>
        <v>7.3593111111111105</v>
      </c>
      <c r="EB66" s="5">
        <f t="shared" si="73"/>
        <v>0.95824363425925918</v>
      </c>
      <c r="EC66" s="5">
        <f t="shared" si="74"/>
        <v>0.13449033463287846</v>
      </c>
      <c r="ED66" s="5"/>
      <c r="EE66" s="150">
        <f t="shared" si="120"/>
        <v>0.37822108410293032</v>
      </c>
      <c r="EF66" s="150">
        <f t="shared" si="75"/>
        <v>1.097561655230149</v>
      </c>
      <c r="EG66" s="150">
        <f t="shared" si="76"/>
        <v>0.24533731116909219</v>
      </c>
      <c r="EH66" s="150"/>
      <c r="EI66" s="456">
        <f t="shared" si="77"/>
        <v>2.861023769199918E-3</v>
      </c>
      <c r="EJ66" s="456">
        <f t="shared" si="78"/>
        <v>0.45600000000000002</v>
      </c>
      <c r="EK66" s="456">
        <f t="shared" si="79"/>
        <v>2.6394564263303531E-2</v>
      </c>
      <c r="EL66" s="456">
        <f t="shared" si="80"/>
        <v>6.0890992816356619E-2</v>
      </c>
      <c r="EM66">
        <f t="shared" si="81"/>
        <v>2.1600000000000001E-2</v>
      </c>
      <c r="EN66" s="144">
        <f t="shared" si="121"/>
        <v>47.994564263303538</v>
      </c>
      <c r="EO66">
        <f t="shared" si="82"/>
        <v>0.5689057876147825</v>
      </c>
      <c r="EP66" s="144">
        <f t="shared" si="122"/>
        <v>568.90578761478253</v>
      </c>
      <c r="EQ66" s="150">
        <f t="shared" si="83"/>
        <v>0.45475499999999996</v>
      </c>
      <c r="ER66" s="150">
        <f t="shared" si="170"/>
        <v>6.7671874999999992E-2</v>
      </c>
      <c r="ES66" s="456"/>
      <c r="EU66" s="144">
        <f t="shared" si="123"/>
        <v>522.426875</v>
      </c>
      <c r="EV66" s="456">
        <f t="shared" si="85"/>
        <v>4.2915356537998771E-3</v>
      </c>
      <c r="EW66" s="456">
        <f t="shared" si="124"/>
        <v>3.6139247610946335E-2</v>
      </c>
      <c r="EX66" s="456">
        <f t="shared" si="86"/>
        <v>3.0095198125839982E-4</v>
      </c>
      <c r="EY66" s="456">
        <f t="shared" si="87"/>
        <v>0.18572544499675739</v>
      </c>
      <c r="EZ66" s="456">
        <f t="shared" si="88"/>
        <v>0.23700508697818326</v>
      </c>
      <c r="FA66" s="538">
        <f t="shared" si="89"/>
        <v>8.5372232567763298E-4</v>
      </c>
      <c r="FB66" s="144">
        <f t="shared" si="125"/>
        <v>237.85880930386088</v>
      </c>
      <c r="FC66" s="150">
        <f t="shared" si="126"/>
        <v>1.3291914719186435</v>
      </c>
      <c r="FD66" s="5">
        <f t="shared" si="127"/>
        <v>4.88</v>
      </c>
      <c r="FE66" s="150">
        <f t="shared" si="128"/>
        <v>0.78593163410566835</v>
      </c>
      <c r="FF66" s="5">
        <f t="shared" si="129"/>
        <v>78.593163410566831</v>
      </c>
      <c r="FG66">
        <f t="shared" si="130"/>
        <v>61</v>
      </c>
      <c r="FI66" s="59">
        <f t="shared" si="90"/>
        <v>-50</v>
      </c>
      <c r="FJ66">
        <f t="shared" si="91"/>
        <v>-50</v>
      </c>
      <c r="FL66">
        <f t="shared" si="92"/>
        <v>0.82883202513712817</v>
      </c>
    </row>
    <row r="67" spans="5:168">
      <c r="E67" s="147">
        <v>62</v>
      </c>
      <c r="F67" s="188">
        <f t="shared" si="174"/>
        <v>0.74399999999999999</v>
      </c>
      <c r="G67" s="188">
        <f t="shared" si="171"/>
        <v>0.155</v>
      </c>
      <c r="H67" s="188">
        <f t="shared" si="135"/>
        <v>3.7199999999999998</v>
      </c>
      <c r="I67" s="188">
        <f t="shared" si="175"/>
        <v>1.24</v>
      </c>
      <c r="J67" s="465">
        <f t="shared" si="136"/>
        <v>47.929415477895724</v>
      </c>
      <c r="K67" s="379">
        <f t="shared" si="137"/>
        <v>5.7269294613662005</v>
      </c>
      <c r="L67" s="149">
        <f t="shared" si="138"/>
        <v>53.656344939261928</v>
      </c>
      <c r="M67" s="379"/>
      <c r="N67" s="188">
        <f t="shared" si="139"/>
        <v>0.10673349941836306</v>
      </c>
      <c r="O67" s="149">
        <f t="shared" si="172"/>
        <v>9.5918891981858714</v>
      </c>
      <c r="P67" s="149">
        <f t="shared" si="140"/>
        <v>4.2630618658603865</v>
      </c>
      <c r="Q67" s="188">
        <f t="shared" si="6"/>
        <v>1.9183778396371742</v>
      </c>
      <c r="R67" s="188">
        <f t="shared" si="141"/>
        <v>1.1989861497732339</v>
      </c>
      <c r="S67" s="379">
        <f t="shared" si="142"/>
        <v>5</v>
      </c>
      <c r="T67" s="188">
        <f t="shared" si="143"/>
        <v>1.9391383298628855</v>
      </c>
      <c r="U67" s="188">
        <f t="shared" si="10"/>
        <v>0.48549851331039529</v>
      </c>
      <c r="V67" s="188">
        <f t="shared" si="11"/>
        <v>4.0632000298469677</v>
      </c>
      <c r="W67" s="172">
        <f t="shared" si="12"/>
        <v>350</v>
      </c>
      <c r="X67" s="379">
        <f t="shared" si="95"/>
        <v>210.58401389596526</v>
      </c>
      <c r="Z67" s="188">
        <f t="shared" si="13"/>
        <v>1.2180176759601105</v>
      </c>
      <c r="AA67" s="150">
        <f t="shared" si="14"/>
        <v>2.5521900016618195</v>
      </c>
      <c r="AB67" s="150">
        <f t="shared" si="144"/>
        <v>0.54400719352573301</v>
      </c>
      <c r="AC67" s="150"/>
      <c r="AD67" s="150">
        <f t="shared" si="16"/>
        <v>2.0953636815246042</v>
      </c>
      <c r="AE67" s="314">
        <f t="shared" si="145"/>
        <v>710.13925320940882</v>
      </c>
      <c r="AF67" s="456">
        <f t="shared" si="146"/>
        <v>0.3666886442668057</v>
      </c>
      <c r="AH67" s="150">
        <f t="shared" si="147"/>
        <v>1.5368489717290903</v>
      </c>
      <c r="AI67" s="150">
        <f t="shared" si="148"/>
        <v>1.9391383298628855</v>
      </c>
      <c r="AJ67" s="150">
        <f t="shared" si="149"/>
        <v>1.8956580221206558</v>
      </c>
      <c r="AL67" s="314">
        <f t="shared" si="150"/>
        <v>744</v>
      </c>
      <c r="AM67" s="144">
        <f t="shared" si="151"/>
        <v>210.58401389596526</v>
      </c>
      <c r="AO67">
        <f t="shared" si="96"/>
        <v>744</v>
      </c>
      <c r="AP67">
        <f t="shared" si="24"/>
        <v>210.58401389596526</v>
      </c>
      <c r="AR67" s="5">
        <f t="shared" si="97"/>
        <v>4.7486985431573627</v>
      </c>
      <c r="AS67" s="5">
        <f t="shared" si="25"/>
        <v>0.48549851331039529</v>
      </c>
      <c r="AT67" s="5">
        <f t="shared" si="98"/>
        <v>4.263200029846967</v>
      </c>
      <c r="AU67" s="150">
        <f t="shared" si="99"/>
        <v>0.10223822567342675</v>
      </c>
      <c r="AW67" s="5">
        <f t="shared" si="152"/>
        <v>7.2242178780586821</v>
      </c>
      <c r="AX67" s="5">
        <f t="shared" si="153"/>
        <v>0.94065336953889078</v>
      </c>
      <c r="AY67" s="5">
        <f t="shared" si="28"/>
        <v>0.13786857153119847</v>
      </c>
      <c r="AZ67" s="5"/>
      <c r="BA67" s="150">
        <f t="shared" si="100"/>
        <v>0.3579767455320963</v>
      </c>
      <c r="BB67" s="150">
        <f t="shared" si="154"/>
        <v>1.0607882935688546</v>
      </c>
      <c r="BC67" s="150">
        <f t="shared" si="155"/>
        <v>0.2371173832683322</v>
      </c>
      <c r="BD67" s="150"/>
      <c r="BE67" s="456">
        <f t="shared" si="31"/>
        <v>2.5629470068350246E-3</v>
      </c>
      <c r="BF67" s="456">
        <f t="shared" si="156"/>
        <v>0.41082470083563966</v>
      </c>
      <c r="BG67" s="456">
        <f t="shared" si="157"/>
        <v>0.25232921737556713</v>
      </c>
      <c r="BH67" s="456">
        <f t="shared" si="34"/>
        <v>6.0627208193486166E-2</v>
      </c>
      <c r="BI67">
        <f t="shared" si="35"/>
        <v>2.1568236965053077E-2</v>
      </c>
      <c r="BJ67" s="144">
        <f t="shared" si="101"/>
        <v>273.89745434062019</v>
      </c>
      <c r="BK67">
        <f t="shared" si="158"/>
        <v>0.47499610355423283</v>
      </c>
      <c r="BL67" s="144">
        <f t="shared" si="102"/>
        <v>474.99610355423283</v>
      </c>
      <c r="BM67" s="150">
        <f t="shared" si="159"/>
        <v>0.4622099999999999</v>
      </c>
      <c r="BN67" s="150">
        <f t="shared" si="160"/>
        <v>6.8781250000000002E-2</v>
      </c>
      <c r="BO67" s="456"/>
      <c r="BQ67" s="144">
        <f t="shared" si="103"/>
        <v>530.99124999999992</v>
      </c>
      <c r="BR67" s="456">
        <f t="shared" si="39"/>
        <v>3.8444205102525367E-3</v>
      </c>
      <c r="BS67" s="456">
        <f t="shared" si="104"/>
        <v>3.3758154113181671E-2</v>
      </c>
      <c r="BT67" s="456">
        <f t="shared" si="161"/>
        <v>2.8112326724010573E-4</v>
      </c>
      <c r="BU67" s="456">
        <f t="shared" si="41"/>
        <v>0.16848276459668635</v>
      </c>
      <c r="BV67" s="456">
        <f t="shared" si="162"/>
        <v>0.21611352433841252</v>
      </c>
      <c r="BW67" s="538">
        <f t="shared" si="163"/>
        <v>7.9185010970253403E-4</v>
      </c>
      <c r="BX67" s="144">
        <f t="shared" si="105"/>
        <v>216.90537444811505</v>
      </c>
      <c r="BY67" s="150">
        <f t="shared" si="106"/>
        <v>1.2228927280023478</v>
      </c>
      <c r="BZ67" s="5">
        <f t="shared" si="107"/>
        <v>4.96</v>
      </c>
      <c r="CA67" s="150">
        <f t="shared" si="108"/>
        <v>0.80221349750031057</v>
      </c>
      <c r="CB67" s="5">
        <f t="shared" si="109"/>
        <v>80.221349750031052</v>
      </c>
      <c r="CC67">
        <f t="shared" si="173"/>
        <v>62</v>
      </c>
      <c r="CE67" s="59">
        <f t="shared" si="164"/>
        <v>-50</v>
      </c>
      <c r="CF67">
        <f t="shared" si="165"/>
        <v>-50</v>
      </c>
      <c r="CG67" s="150">
        <f t="shared" si="166"/>
        <v>0.82883202513712817</v>
      </c>
      <c r="CH67" s="150">
        <f t="shared" si="167"/>
        <v>0.44965289283354892</v>
      </c>
      <c r="CI67" s="147">
        <v>62</v>
      </c>
      <c r="CJ67" s="188">
        <f t="shared" si="133"/>
        <v>0.74399999999999999</v>
      </c>
      <c r="CK67" s="188">
        <f t="shared" si="111"/>
        <v>0.155</v>
      </c>
      <c r="CL67" s="188">
        <f t="shared" si="48"/>
        <v>3.7199999999999998</v>
      </c>
      <c r="CM67" s="188">
        <f t="shared" si="134"/>
        <v>1.24</v>
      </c>
      <c r="CN67" s="465">
        <f t="shared" si="112"/>
        <v>48</v>
      </c>
      <c r="CO67" s="379">
        <f t="shared" si="168"/>
        <v>5.7</v>
      </c>
      <c r="CP67" s="379">
        <f t="shared" si="169"/>
        <v>53.7</v>
      </c>
      <c r="CQ67" s="379"/>
      <c r="CR67" s="188">
        <f t="shared" si="113"/>
        <v>0.10112359550561799</v>
      </c>
      <c r="CS67" s="149">
        <f t="shared" si="114"/>
        <v>9.1011235955056193</v>
      </c>
      <c r="CT67" s="149">
        <f t="shared" si="51"/>
        <v>4.0449438202247192</v>
      </c>
      <c r="CU67" s="188">
        <f t="shared" si="52"/>
        <v>1.8202247191011238</v>
      </c>
      <c r="CV67" s="188">
        <f t="shared" si="53"/>
        <v>1.1376404494382024</v>
      </c>
      <c r="CW67" s="379">
        <f t="shared" si="54"/>
        <v>5</v>
      </c>
      <c r="CX67" s="188">
        <f t="shared" si="55"/>
        <v>2.0437037037037036</v>
      </c>
      <c r="CY67" s="188">
        <f t="shared" si="56"/>
        <v>0.51092592592592589</v>
      </c>
      <c r="CZ67" s="188">
        <f t="shared" si="57"/>
        <v>4.3025341130604282</v>
      </c>
      <c r="DA67" s="172">
        <f t="shared" si="58"/>
        <v>350</v>
      </c>
      <c r="DB67" s="379">
        <f t="shared" si="115"/>
        <v>207.75076387890522</v>
      </c>
      <c r="DD67" s="188">
        <f t="shared" si="59"/>
        <v>1.2130885873902635</v>
      </c>
      <c r="DE67" s="150">
        <f t="shared" si="60"/>
        <v>2.5538707102952913</v>
      </c>
      <c r="DF67" s="150">
        <f t="shared" si="61"/>
        <v>0.54216249715765974</v>
      </c>
      <c r="DG67" s="150"/>
      <c r="DH67" s="150">
        <f t="shared" si="62"/>
        <v>2.1052631578947367</v>
      </c>
      <c r="DI67" s="314">
        <f t="shared" si="63"/>
        <v>706.80000000000007</v>
      </c>
      <c r="DJ67" s="456">
        <f t="shared" si="64"/>
        <v>0.36842105263157893</v>
      </c>
      <c r="DL67" s="150">
        <f t="shared" si="65"/>
        <v>1.5368489717290903</v>
      </c>
      <c r="DM67" s="150">
        <f t="shared" si="66"/>
        <v>2.0437037037037036</v>
      </c>
      <c r="DN67" s="150">
        <f t="shared" si="67"/>
        <v>1.9731138545953359</v>
      </c>
      <c r="DP67" s="314">
        <f t="shared" si="68"/>
        <v>744</v>
      </c>
      <c r="DQ67" s="144">
        <f t="shared" si="69"/>
        <v>207.75076387890522</v>
      </c>
      <c r="DS67">
        <f t="shared" si="116"/>
        <v>744</v>
      </c>
      <c r="DT67">
        <f t="shared" si="70"/>
        <v>207.75076387890522</v>
      </c>
      <c r="DV67" s="5">
        <f t="shared" si="117"/>
        <v>4.8134600389863547</v>
      </c>
      <c r="DW67" s="5">
        <f t="shared" si="71"/>
        <v>0.51092592592592589</v>
      </c>
      <c r="DX67" s="5">
        <f t="shared" si="118"/>
        <v>4.3025341130604291</v>
      </c>
      <c r="DY67" s="150">
        <f t="shared" si="119"/>
        <v>0.10614525139664804</v>
      </c>
      <c r="EA67" s="5">
        <f t="shared" si="72"/>
        <v>7.6025777777777774</v>
      </c>
      <c r="EB67" s="5">
        <f t="shared" si="73"/>
        <v>0.98991898148148139</v>
      </c>
      <c r="EC67" s="5">
        <f t="shared" si="74"/>
        <v>0.13893599740090967</v>
      </c>
      <c r="ED67" s="5"/>
      <c r="EE67" s="150">
        <f t="shared" si="120"/>
        <v>0.38442142974396198</v>
      </c>
      <c r="EF67" s="150">
        <f t="shared" si="75"/>
        <v>1.1155544692503157</v>
      </c>
      <c r="EG67" s="150">
        <f t="shared" si="76"/>
        <v>0.24935923430301177</v>
      </c>
      <c r="EH67" s="150"/>
      <c r="EI67" s="456">
        <f t="shared" si="77"/>
        <v>2.9555967129278383E-3</v>
      </c>
      <c r="EJ67" s="456">
        <f t="shared" si="78"/>
        <v>0.45600000000000007</v>
      </c>
      <c r="EK67" s="456">
        <f t="shared" si="79"/>
        <v>2.596884548486315E-2</v>
      </c>
      <c r="EL67" s="456">
        <f t="shared" si="80"/>
        <v>5.9908880028996025E-2</v>
      </c>
      <c r="EM67">
        <f t="shared" si="81"/>
        <v>2.1600000000000001E-2</v>
      </c>
      <c r="EN67" s="144">
        <f t="shared" si="121"/>
        <v>47.568845484863147</v>
      </c>
      <c r="EO67">
        <f t="shared" si="82"/>
        <v>0.56762995134716021</v>
      </c>
      <c r="EP67" s="144">
        <f t="shared" si="122"/>
        <v>567.62995134716016</v>
      </c>
      <c r="EQ67" s="150">
        <f t="shared" si="83"/>
        <v>0.4622099999999999</v>
      </c>
      <c r="ER67" s="150">
        <f t="shared" si="170"/>
        <v>6.8781250000000002E-2</v>
      </c>
      <c r="ES67" s="456"/>
      <c r="EU67" s="144">
        <f t="shared" si="123"/>
        <v>530.99124999999992</v>
      </c>
      <c r="EV67" s="456">
        <f t="shared" si="85"/>
        <v>4.4333950693917568E-3</v>
      </c>
      <c r="EW67" s="456">
        <f t="shared" si="124"/>
        <v>3.7333853215930607E-2</v>
      </c>
      <c r="EX67" s="456">
        <f t="shared" si="86"/>
        <v>3.1090013866092158E-4</v>
      </c>
      <c r="EY67" s="456">
        <f t="shared" si="87"/>
        <v>0.18572544499675761</v>
      </c>
      <c r="EZ67" s="456">
        <f t="shared" si="88"/>
        <v>0.23870589320280627</v>
      </c>
      <c r="FA67" s="538">
        <f t="shared" si="89"/>
        <v>8.6771777363956154E-4</v>
      </c>
      <c r="FB67" s="144">
        <f t="shared" si="125"/>
        <v>239.57361097644582</v>
      </c>
      <c r="FC67" s="150">
        <f t="shared" si="126"/>
        <v>1.338194812323606</v>
      </c>
      <c r="FD67" s="5">
        <f t="shared" si="127"/>
        <v>4.96</v>
      </c>
      <c r="FE67" s="150">
        <f t="shared" si="128"/>
        <v>0.78752724356744641</v>
      </c>
      <c r="FF67" s="5">
        <f t="shared" si="129"/>
        <v>78.752724356744636</v>
      </c>
      <c r="FG67">
        <f t="shared" si="130"/>
        <v>62</v>
      </c>
      <c r="FI67" s="59">
        <f t="shared" si="90"/>
        <v>-50</v>
      </c>
      <c r="FJ67">
        <f t="shared" si="91"/>
        <v>-50</v>
      </c>
      <c r="FL67">
        <f t="shared" si="92"/>
        <v>0.82883202513712817</v>
      </c>
    </row>
    <row r="68" spans="5:168">
      <c r="E68" s="147">
        <v>63</v>
      </c>
      <c r="F68" s="188">
        <f t="shared" si="174"/>
        <v>0.75600000000000001</v>
      </c>
      <c r="G68" s="188">
        <f t="shared" si="171"/>
        <v>0.1575</v>
      </c>
      <c r="H68" s="188">
        <f t="shared" si="135"/>
        <v>3.7800000000000002</v>
      </c>
      <c r="I68" s="188">
        <f t="shared" si="175"/>
        <v>1.26</v>
      </c>
      <c r="J68" s="465">
        <f t="shared" si="136"/>
        <v>47.928277017861781</v>
      </c>
      <c r="K68" s="379">
        <f t="shared" si="137"/>
        <v>5.7273638075172686</v>
      </c>
      <c r="L68" s="149">
        <f t="shared" si="138"/>
        <v>53.655640825379052</v>
      </c>
      <c r="M68" s="379"/>
      <c r="N68" s="188">
        <f t="shared" si="139"/>
        <v>0.10674299513366789</v>
      </c>
      <c r="O68" s="149">
        <f t="shared" si="172"/>
        <v>9.592514700905074</v>
      </c>
      <c r="P68" s="149">
        <f t="shared" si="140"/>
        <v>4.2633398670689218</v>
      </c>
      <c r="Q68" s="188">
        <f t="shared" si="6"/>
        <v>1.9185029401810147</v>
      </c>
      <c r="R68" s="188">
        <f t="shared" si="141"/>
        <v>1.1990643376131342</v>
      </c>
      <c r="S68" s="379">
        <f t="shared" si="142"/>
        <v>5</v>
      </c>
      <c r="T68" s="188">
        <f t="shared" si="143"/>
        <v>1.9702862689610208</v>
      </c>
      <c r="U68" s="188">
        <f t="shared" si="10"/>
        <v>0.49330868327941102</v>
      </c>
      <c r="V68" s="188">
        <f t="shared" si="11"/>
        <v>4.1281531996448022</v>
      </c>
      <c r="W68" s="172">
        <f t="shared" si="12"/>
        <v>350</v>
      </c>
      <c r="X68" s="379">
        <f t="shared" si="95"/>
        <v>207.40597442896319</v>
      </c>
      <c r="Z68" s="188">
        <f t="shared" si="13"/>
        <v>1.2180971048768352</v>
      </c>
      <c r="AA68" s="150">
        <f t="shared" si="14"/>
        <v>2.5521628710466637</v>
      </c>
      <c r="AB68" s="150">
        <f t="shared" si="144"/>
        <v>0.54403688576931619</v>
      </c>
      <c r="AC68" s="150"/>
      <c r="AD68" s="150">
        <f t="shared" si="16"/>
        <v>2.0952047754064069</v>
      </c>
      <c r="AE68" s="314">
        <f t="shared" si="145"/>
        <v>721.64783974717591</v>
      </c>
      <c r="AF68" s="456">
        <f t="shared" si="146"/>
        <v>0.36666083569612118</v>
      </c>
      <c r="AH68" s="150">
        <f t="shared" si="147"/>
        <v>1.5491933384829668</v>
      </c>
      <c r="AI68" s="150">
        <f t="shared" si="148"/>
        <v>1.9702862689610208</v>
      </c>
      <c r="AJ68" s="150">
        <f t="shared" si="149"/>
        <v>1.9187305696007562</v>
      </c>
      <c r="AL68" s="314">
        <f t="shared" si="150"/>
        <v>756</v>
      </c>
      <c r="AM68" s="144">
        <f t="shared" si="151"/>
        <v>207.40597442896319</v>
      </c>
      <c r="AO68">
        <f t="shared" si="96"/>
        <v>756</v>
      </c>
      <c r="AP68">
        <f t="shared" si="24"/>
        <v>207.40597442896319</v>
      </c>
      <c r="AR68" s="5">
        <f t="shared" si="97"/>
        <v>4.8214618829242131</v>
      </c>
      <c r="AS68" s="5">
        <f t="shared" si="25"/>
        <v>0.49330868327941102</v>
      </c>
      <c r="AT68" s="5">
        <f t="shared" si="98"/>
        <v>4.3281531996448024</v>
      </c>
      <c r="AU68" s="150">
        <f t="shared" si="99"/>
        <v>0.10231516814983502</v>
      </c>
      <c r="AW68" s="5">
        <f t="shared" si="152"/>
        <v>7.4588272911846936</v>
      </c>
      <c r="AX68" s="5">
        <f t="shared" si="153"/>
        <v>0.97120147020634029</v>
      </c>
      <c r="AY68" s="5">
        <f t="shared" si="28"/>
        <v>0.1422300511011502</v>
      </c>
      <c r="AZ68" s="5"/>
      <c r="BA68" s="150">
        <f t="shared" si="100"/>
        <v>0.36386368587953971</v>
      </c>
      <c r="BB68" s="150">
        <f t="shared" si="154"/>
        <v>1.0777813068136486</v>
      </c>
      <c r="BC68" s="150">
        <f t="shared" si="155"/>
        <v>0.24091582152305083</v>
      </c>
      <c r="BD68" s="150"/>
      <c r="BE68" s="456">
        <f t="shared" si="31"/>
        <v>2.6479356380368869E-3</v>
      </c>
      <c r="BF68" s="456">
        <f t="shared" si="156"/>
        <v>0.41111871877862688</v>
      </c>
      <c r="BG68" s="456">
        <f t="shared" si="157"/>
        <v>0.2485152749397726</v>
      </c>
      <c r="BH68" s="456">
        <f t="shared" si="34"/>
        <v>5.9710682408962976E-2</v>
      </c>
      <c r="BI68">
        <f t="shared" si="35"/>
        <v>2.1567724658037801E-2</v>
      </c>
      <c r="BJ68" s="144">
        <f t="shared" si="101"/>
        <v>270.08299959781039</v>
      </c>
      <c r="BK68">
        <f t="shared" si="158"/>
        <v>0.47449080510428765</v>
      </c>
      <c r="BL68" s="144">
        <f t="shared" si="102"/>
        <v>474.49080510428763</v>
      </c>
      <c r="BM68" s="150">
        <f t="shared" si="159"/>
        <v>0.469665</v>
      </c>
      <c r="BN68" s="150">
        <f t="shared" si="160"/>
        <v>6.9890624999999998E-2</v>
      </c>
      <c r="BO68" s="456"/>
      <c r="BQ68" s="144">
        <f t="shared" si="103"/>
        <v>539.55562499999996</v>
      </c>
      <c r="BR68" s="456">
        <f t="shared" si="39"/>
        <v>3.9719034570553299E-3</v>
      </c>
      <c r="BS68" s="456">
        <f t="shared" si="104"/>
        <v>3.4848376359508083E-2</v>
      </c>
      <c r="BT68" s="456">
        <f t="shared" si="161"/>
        <v>2.9020216530063243E-4</v>
      </c>
      <c r="BU68" s="456">
        <f t="shared" si="41"/>
        <v>0.16878991205337315</v>
      </c>
      <c r="BV68" s="456">
        <f t="shared" si="162"/>
        <v>0.21796889920728885</v>
      </c>
      <c r="BW68" s="538">
        <f t="shared" si="163"/>
        <v>8.0515579629593435E-4</v>
      </c>
      <c r="BX68" s="144">
        <f t="shared" si="105"/>
        <v>218.77405500358481</v>
      </c>
      <c r="BY68" s="150">
        <f t="shared" si="106"/>
        <v>1.2328204851078726</v>
      </c>
      <c r="BZ68" s="5">
        <f t="shared" si="107"/>
        <v>5.04</v>
      </c>
      <c r="CA68" s="150">
        <f t="shared" si="108"/>
        <v>0.80346632140443408</v>
      </c>
      <c r="CB68" s="5">
        <f t="shared" si="109"/>
        <v>80.346632140443404</v>
      </c>
      <c r="CC68">
        <f t="shared" si="173"/>
        <v>63</v>
      </c>
      <c r="CE68" s="59">
        <f t="shared" si="164"/>
        <v>-50</v>
      </c>
      <c r="CF68">
        <f t="shared" si="165"/>
        <v>-50</v>
      </c>
      <c r="CG68" s="150">
        <f t="shared" si="166"/>
        <v>0.82883202513712817</v>
      </c>
      <c r="CH68" s="150">
        <f t="shared" si="167"/>
        <v>0.44965289283354892</v>
      </c>
      <c r="CI68" s="147">
        <v>63</v>
      </c>
      <c r="CJ68" s="188">
        <f t="shared" si="133"/>
        <v>0.75600000000000001</v>
      </c>
      <c r="CK68" s="188">
        <f t="shared" si="111"/>
        <v>0.1575</v>
      </c>
      <c r="CL68" s="188">
        <f t="shared" si="48"/>
        <v>3.7800000000000002</v>
      </c>
      <c r="CM68" s="188">
        <f t="shared" si="134"/>
        <v>1.26</v>
      </c>
      <c r="CN68" s="465">
        <f t="shared" si="112"/>
        <v>48</v>
      </c>
      <c r="CO68" s="379">
        <f t="shared" si="168"/>
        <v>5.7</v>
      </c>
      <c r="CP68" s="379">
        <f t="shared" si="169"/>
        <v>53.7</v>
      </c>
      <c r="CQ68" s="379"/>
      <c r="CR68" s="188">
        <f t="shared" si="113"/>
        <v>0.10112359550561799</v>
      </c>
      <c r="CS68" s="149">
        <f t="shared" si="114"/>
        <v>9.1011235955056193</v>
      </c>
      <c r="CT68" s="149">
        <f t="shared" si="51"/>
        <v>4.0449438202247192</v>
      </c>
      <c r="CU68" s="188">
        <f t="shared" si="52"/>
        <v>1.8202247191011238</v>
      </c>
      <c r="CV68" s="188">
        <f t="shared" si="53"/>
        <v>1.1376404494382024</v>
      </c>
      <c r="CW68" s="379">
        <f t="shared" si="54"/>
        <v>5</v>
      </c>
      <c r="CX68" s="188">
        <f t="shared" si="55"/>
        <v>2.0766666666666667</v>
      </c>
      <c r="CY68" s="188">
        <f t="shared" si="56"/>
        <v>0.51916666666666678</v>
      </c>
      <c r="CZ68" s="188">
        <f t="shared" si="57"/>
        <v>4.3719298245614038</v>
      </c>
      <c r="DA68" s="172">
        <f t="shared" si="58"/>
        <v>350</v>
      </c>
      <c r="DB68" s="379">
        <f t="shared" si="115"/>
        <v>204.45313270622415</v>
      </c>
      <c r="DD68" s="188">
        <f t="shared" si="59"/>
        <v>1.2130885873902635</v>
      </c>
      <c r="DE68" s="150">
        <f t="shared" si="60"/>
        <v>2.5538707102952913</v>
      </c>
      <c r="DF68" s="150">
        <f t="shared" si="61"/>
        <v>0.54216249715765974</v>
      </c>
      <c r="DG68" s="150"/>
      <c r="DH68" s="150">
        <f t="shared" si="62"/>
        <v>2.1052631578947367</v>
      </c>
      <c r="DI68" s="314">
        <f t="shared" si="63"/>
        <v>718.20000000000016</v>
      </c>
      <c r="DJ68" s="456">
        <f t="shared" si="64"/>
        <v>0.36842105263157893</v>
      </c>
      <c r="DL68" s="150">
        <f t="shared" si="65"/>
        <v>1.5491933384829668</v>
      </c>
      <c r="DM68" s="150">
        <f t="shared" si="66"/>
        <v>2.0766666666666667</v>
      </c>
      <c r="DN68" s="150">
        <f t="shared" si="67"/>
        <v>1.9975308641975307</v>
      </c>
      <c r="DP68" s="314">
        <f t="shared" si="68"/>
        <v>756</v>
      </c>
      <c r="DQ68" s="144">
        <f t="shared" si="69"/>
        <v>204.45313270622415</v>
      </c>
      <c r="DS68">
        <f t="shared" si="116"/>
        <v>756</v>
      </c>
      <c r="DT68">
        <f t="shared" si="70"/>
        <v>204.45313270622415</v>
      </c>
      <c r="DV68" s="5">
        <f t="shared" si="117"/>
        <v>4.8910964912280708</v>
      </c>
      <c r="DW68" s="5">
        <f t="shared" si="71"/>
        <v>0.51916666666666678</v>
      </c>
      <c r="DX68" s="5">
        <f t="shared" si="118"/>
        <v>4.3719298245614038</v>
      </c>
      <c r="DY68" s="150">
        <f t="shared" si="119"/>
        <v>0.10614525139664806</v>
      </c>
      <c r="EA68" s="5">
        <f t="shared" si="72"/>
        <v>7.8498000000000001</v>
      </c>
      <c r="EB68" s="5">
        <f t="shared" si="73"/>
        <v>1.0221093750000003</v>
      </c>
      <c r="EC68" s="5">
        <f t="shared" si="74"/>
        <v>0.14345394736842104</v>
      </c>
      <c r="ED68" s="5"/>
      <c r="EE68" s="150">
        <f t="shared" si="120"/>
        <v>0.39062177538499371</v>
      </c>
      <c r="EF68" s="150">
        <f t="shared" si="75"/>
        <v>1.133547283270482</v>
      </c>
      <c r="EG68" s="150">
        <f t="shared" si="76"/>
        <v>0.25338115743693124</v>
      </c>
      <c r="EH68" s="150"/>
      <c r="EI68" s="456">
        <f t="shared" si="77"/>
        <v>3.0517074280984897E-3</v>
      </c>
      <c r="EJ68" s="456">
        <f t="shared" si="78"/>
        <v>0.45600000000000002</v>
      </c>
      <c r="EK68" s="456">
        <f t="shared" si="79"/>
        <v>2.5556641588278018E-2</v>
      </c>
      <c r="EL68" s="456">
        <f t="shared" si="80"/>
        <v>5.8957945425361168E-2</v>
      </c>
      <c r="EM68">
        <f t="shared" si="81"/>
        <v>2.1600000000000001E-2</v>
      </c>
      <c r="EN68" s="144">
        <f t="shared" si="121"/>
        <v>47.156641588278021</v>
      </c>
      <c r="EO68">
        <f t="shared" si="82"/>
        <v>0.56640094466422319</v>
      </c>
      <c r="EP68" s="144">
        <f t="shared" si="122"/>
        <v>566.40094466422318</v>
      </c>
      <c r="EQ68" s="150">
        <f t="shared" si="83"/>
        <v>0.469665</v>
      </c>
      <c r="ER68" s="150">
        <f t="shared" si="170"/>
        <v>6.9890624999999998E-2</v>
      </c>
      <c r="ES68" s="456"/>
      <c r="EU68" s="144">
        <f t="shared" si="123"/>
        <v>539.55562499999996</v>
      </c>
      <c r="EV68" s="456">
        <f t="shared" si="85"/>
        <v>4.5775611421477345E-3</v>
      </c>
      <c r="EW68" s="456">
        <f t="shared" si="124"/>
        <v>3.8547883302296707E-2</v>
      </c>
      <c r="EX68" s="456">
        <f t="shared" si="86"/>
        <v>3.2101005472039466E-4</v>
      </c>
      <c r="EY68" s="456">
        <f t="shared" si="87"/>
        <v>0.18572544499675739</v>
      </c>
      <c r="EZ68" s="456">
        <f t="shared" si="88"/>
        <v>0.24043473150551162</v>
      </c>
      <c r="FA68" s="538">
        <f t="shared" si="89"/>
        <v>8.8171322160148977E-4</v>
      </c>
      <c r="FB68" s="144">
        <f t="shared" si="125"/>
        <v>241.31644472711312</v>
      </c>
      <c r="FC68" s="150">
        <f t="shared" si="126"/>
        <v>1.3472730143913361</v>
      </c>
      <c r="FD68" s="5">
        <f t="shared" si="127"/>
        <v>5.04</v>
      </c>
      <c r="FE68" s="150">
        <f t="shared" si="128"/>
        <v>0.78906913617818442</v>
      </c>
      <c r="FF68" s="5">
        <f t="shared" si="129"/>
        <v>78.906913617818446</v>
      </c>
      <c r="FG68">
        <f t="shared" si="130"/>
        <v>63</v>
      </c>
      <c r="FI68" s="59">
        <f t="shared" si="90"/>
        <v>-50</v>
      </c>
      <c r="FJ68">
        <f t="shared" si="91"/>
        <v>-50</v>
      </c>
      <c r="FL68">
        <f t="shared" si="92"/>
        <v>0.82883202513712817</v>
      </c>
    </row>
    <row r="69" spans="5:168">
      <c r="E69" s="147">
        <v>64</v>
      </c>
      <c r="F69" s="188">
        <f t="shared" si="174"/>
        <v>0.76800000000000002</v>
      </c>
      <c r="G69" s="188">
        <f t="shared" si="171"/>
        <v>0.16</v>
      </c>
      <c r="H69" s="188">
        <f t="shared" ref="H69:H105" si="176">F69*Vout</f>
        <v>3.84</v>
      </c>
      <c r="I69" s="188">
        <f t="shared" si="175"/>
        <v>1.28</v>
      </c>
      <c r="J69" s="465">
        <f t="shared" ref="J69:J105" si="177">Vin-(F69/CG69/Nps+G69/CH69/(Nps/Nsec1sec2))*(Rdcr_pri+RON/1000)</f>
        <v>47.927138557827845</v>
      </c>
      <c r="K69" s="379">
        <f t="shared" ref="K69:K105" si="178">MAX((S69+Vfwd2+Rdcr_sec*F69/CG69)*Nps,(Vout2+Vfwd22+Rdcr_sec2*G69/CH69)*Nps/Nsec1sec2)</f>
        <v>5.7277981536683358</v>
      </c>
      <c r="L69" s="149">
        <f t="shared" ref="L69:L105" si="179">MAX((Vout+Vfwd2+F69/CG69*Rdcr_sec)*Nps+J69, (Vout2+Vfwd22+G69/CH69*Rdcr_sec2)*Nps/Nsec1sec2+J69)</f>
        <v>53.654936711496184</v>
      </c>
      <c r="M69" s="379"/>
      <c r="N69" s="188">
        <f t="shared" ref="N69:N105" si="180">MAX((Vout+Vfwd2+F69/CG69*Rdcr_sec)*Nps/((Vout+Vfwd2+F69/CG69*Rdcr_sec)*Nps+J69), (Vout2+Vfwd22+G69/CH69*Rdcr_sec2)*Nps/Nsec1sec2/((Vout2+Vfwd22+G69/CH69*Rdcr_sec2)*Nps/Nsec1sec2+J69))</f>
        <v>0.1067524910981973</v>
      </c>
      <c r="O69" s="149">
        <f t="shared" si="172"/>
        <v>9.5931401854810971</v>
      </c>
      <c r="P69" s="149">
        <f t="shared" ref="P69:P105" si="181">N69*J69*Isw_max*0.5*Efficiency*(Pout2/Pout_total)</f>
        <v>4.2636178602138211</v>
      </c>
      <c r="Q69" s="188">
        <f t="shared" ref="Q69:Q105" si="182">O69/Vout</f>
        <v>1.9186280370962194</v>
      </c>
      <c r="R69" s="188">
        <f t="shared" ref="R69:R105" si="183">O69/Vout2</f>
        <v>1.1991425231851371</v>
      </c>
      <c r="S69" s="379">
        <f t="shared" ref="S69:S105" si="184">MIN(Vout,O69/F69)</f>
        <v>5</v>
      </c>
      <c r="T69" s="188">
        <f t="shared" ref="T69:T105" si="185">MIN(2*(Vout*F69+Vout2*G69)/(Efficiency*J69*N69), Isw_max)</f>
        <v>2.0014301499584639</v>
      </c>
      <c r="U69" s="188">
        <f t="shared" ref="U69:U105" si="186">L*T69/J69*1000000</f>
        <v>0.501118208226076</v>
      </c>
      <c r="V69" s="188">
        <f t="shared" ref="V69:V105" si="187">L*T69/K69*1000000</f>
        <v>4.1930880165740332</v>
      </c>
      <c r="W69" s="172">
        <f t="shared" ref="W69:W105" si="188">IF(1/((350000*L)*(1/J69+1/K69))&gt;Isw_min, 350, 0.001/((Isw_min*L)*(1/J69+1/K69)))</f>
        <v>350</v>
      </c>
      <c r="X69" s="379">
        <f t="shared" si="95"/>
        <v>204.32322506819628</v>
      </c>
      <c r="Z69" s="188">
        <f t="shared" ref="Z69:Z105" si="189">1/((W69*1000*L)*(1/J69+1/K69))</f>
        <v>1.2181765314896633</v>
      </c>
      <c r="AA69" s="150">
        <f t="shared" ref="AA69:AA105" si="190">L*Z69/K69*1000000</f>
        <v>2.5521357397194366</v>
      </c>
      <c r="AB69" s="150">
        <f t="shared" ref="AB69:AB100" si="191">0.5*AA69*Z69*Nps*W69/1000*(Pout/Pout_total)</f>
        <v>0.54406657607789022</v>
      </c>
      <c r="AC69" s="150"/>
      <c r="AD69" s="150">
        <f t="shared" ref="AD69:AD105" si="192">L*Isw_min/K69*1000000</f>
        <v>2.0950458933883116</v>
      </c>
      <c r="AE69" s="314">
        <f t="shared" ref="AE69:AE100" si="193">MAX(10, F69/(0.5*AD69/1000000*Isw_min*Nps)/1000*Pout_total/Pout)</f>
        <v>733.15816366954698</v>
      </c>
      <c r="AF69" s="456">
        <f t="shared" ref="AF69:AF105" si="194">0.5*AD69/1000000*Isw_min*Nps*W69*1000*(Pout/Pout_total)</f>
        <v>0.3666330313429545</v>
      </c>
      <c r="AH69" s="150">
        <f t="shared" ref="AH69:AH105" si="195">SQRT((H69+I69)/(0.5*L*Fsw_DCM))</f>
        <v>1.561440116717653</v>
      </c>
      <c r="AI69" s="150">
        <f t="shared" ref="AI69:AI100" si="196">MAX(IF(F69&gt;AB69,T69,AH69),Isw_min)</f>
        <v>2.0014301499584639</v>
      </c>
      <c r="AJ69" s="150">
        <f t="shared" ref="AJ69:AJ100" si="197">IF(F69&gt;AF69, (AI69-Isw_min)/1.08*0.8+1.2, AE69*0.2/350+1)</f>
        <v>1.9418001110803436</v>
      </c>
      <c r="AL69" s="314">
        <f t="shared" ref="AL69:AL105" si="198">F69*1000</f>
        <v>768</v>
      </c>
      <c r="AM69" s="144">
        <f t="shared" ref="AM69:AM105" si="199">IF(F69&gt;AF69, X69, AE69)</f>
        <v>204.32322506819628</v>
      </c>
      <c r="AO69">
        <f t="shared" si="96"/>
        <v>768</v>
      </c>
      <c r="AP69">
        <f t="shared" ref="AP69:AP105" si="200">IF(H69&gt;O69, "",AM69)</f>
        <v>204.32322506819628</v>
      </c>
      <c r="AR69" s="5">
        <f t="shared" si="97"/>
        <v>4.8942062248001097</v>
      </c>
      <c r="AS69" s="5">
        <f t="shared" ref="AS69:AS105" si="201">L*AI69/J69*1000000</f>
        <v>0.501118208226076</v>
      </c>
      <c r="AT69" s="5">
        <f t="shared" si="98"/>
        <v>4.3930880165740334</v>
      </c>
      <c r="AU69" s="150">
        <f t="shared" si="99"/>
        <v>0.10239008844514777</v>
      </c>
      <c r="AW69" s="5">
        <f t="shared" ref="AW69:AW105" si="202">F69*AS69/Vout_ripple*1000</f>
        <v>7.6971756783525285</v>
      </c>
      <c r="AX69" s="5">
        <f t="shared" ref="AX69:AX105" si="203">G69*AS69/Vout_ripple2*1000</f>
        <v>1.002236416452152</v>
      </c>
      <c r="AY69" s="5">
        <f t="shared" ref="AY69:AY105" si="204">H69/Efficiency/J69*AT69/Vinripple1</f>
        <v>0.14665888759533358</v>
      </c>
      <c r="AZ69" s="5"/>
      <c r="BA69" s="150">
        <f t="shared" si="100"/>
        <v>0.36975049962776529</v>
      </c>
      <c r="BB69" s="150">
        <f t="shared" ref="BB69:BB105" si="205">AI69*Npri_sec1*SQRT((1-AU69)/3)*(Pout/Pout_total)</f>
        <v>1.0947718710973249</v>
      </c>
      <c r="BC69" s="150">
        <f t="shared" ref="BC69:BC105" si="206">AI69*Npri_sec2*SQRT((1-AU69)/3)*(Pout2/Pout_total)</f>
        <v>0.24471371236293149</v>
      </c>
      <c r="BD69" s="150"/>
      <c r="BE69" s="456">
        <f t="shared" ref="BE69:BE105" si="207">Rdson*BA69^2</f>
        <v>2.7343086394996416E-3</v>
      </c>
      <c r="BF69" s="456">
        <f t="shared" ref="BF69:BF105" si="208">0.5*L69*AI69*AM69*1000*Tfall</f>
        <v>0.41140458902845733</v>
      </c>
      <c r="BG69" s="456">
        <f t="shared" ref="BG69:BG105" si="209">Qg*Vdd*AM69*1000*0+Qg*J69*AM69*1000</f>
        <v>0.24481568796064218</v>
      </c>
      <c r="BH69" s="456">
        <f t="shared" ref="BH69:BH105" si="210">0.5*(Coss+Csw)*L69^2*AM69*1000</f>
        <v>5.8821637284649564E-2</v>
      </c>
      <c r="BI69">
        <f t="shared" ref="BI69:BI105" si="211">J69*IQ</f>
        <v>2.1567212351022529E-2</v>
      </c>
      <c r="BJ69" s="144">
        <f t="shared" si="101"/>
        <v>266.38290031166474</v>
      </c>
      <c r="BK69">
        <f t="shared" ref="BK69:BK105" si="212">(BF69+BG69*0+BH69+BI69*0+BE69*(1+RdsonTC*(Ta-25)))/(1-BE69*RdsonTC*ThetaJA)</f>
        <v>0.47400674706997326</v>
      </c>
      <c r="BL69" s="144">
        <f t="shared" si="102"/>
        <v>474.00674706997324</v>
      </c>
      <c r="BM69" s="150">
        <f t="shared" ref="BM69:BM105" si="213">Vfwd2*F69*(1+Diode_TC/1000*(Ta-25))</f>
        <v>0.47711999999999993</v>
      </c>
      <c r="BN69" s="150">
        <f t="shared" ref="BN69:BN105" si="214">Vfwd22*G69*(1+Diode_TC/1000*(Ta-25))</f>
        <v>7.0999999999999994E-2</v>
      </c>
      <c r="BO69" s="456"/>
      <c r="BQ69" s="144">
        <f t="shared" si="103"/>
        <v>548.11999999999989</v>
      </c>
      <c r="BR69" s="456">
        <f t="shared" ref="BR69:BR105" si="215">Rdcr_pri*BA69^2</f>
        <v>4.1014629592494621E-3</v>
      </c>
      <c r="BS69" s="456">
        <f t="shared" ref="BS69:BS105" si="216">Rdcr_sec*BB69^2</f>
        <v>3.5955763492378126E-2</v>
      </c>
      <c r="BT69" s="456">
        <f t="shared" ref="BT69:BT105" si="217">Rdcr_sec2*BC69^2</f>
        <v>2.9942400509223784E-4</v>
      </c>
      <c r="BU69" s="456">
        <f t="shared" ref="BU69:BU105" si="218">AI69^2.5*AM69^2.5*k_core</f>
        <v>0.16908903133601863</v>
      </c>
      <c r="BV69" s="456">
        <f t="shared" ref="BV69:BV100" si="219">(BU69+(BR69+BS69+BT69)*(1+Ltc*(Ta-25)))/(1-(BR69+BS69+BT69)*Ltc*ThetaCa)</f>
        <v>0.21984104174858229</v>
      </c>
      <c r="BW69" s="538">
        <f t="shared" ref="BW69:BW105" si="220">0.5*Lleak*0.000000001*AI69^2*AM69*1000</f>
        <v>8.1846216958836098E-4</v>
      </c>
      <c r="BX69" s="144">
        <f t="shared" si="105"/>
        <v>220.65950391817066</v>
      </c>
      <c r="BY69" s="150">
        <f t="shared" si="106"/>
        <v>1.2427862509881438</v>
      </c>
      <c r="BZ69" s="5">
        <f t="shared" si="107"/>
        <v>5.12</v>
      </c>
      <c r="CA69" s="150">
        <f t="shared" si="108"/>
        <v>0.80467892492928894</v>
      </c>
      <c r="CB69" s="5">
        <f t="shared" si="109"/>
        <v>80.467892492928897</v>
      </c>
      <c r="CC69">
        <f t="shared" si="173"/>
        <v>64</v>
      </c>
      <c r="CE69" s="59">
        <f t="shared" ref="CE69:CE105" si="221">IF(ABS(F69-Ioutmax_Vinnom)&lt;Iout/200, AM69, -50)</f>
        <v>-50</v>
      </c>
      <c r="CF69">
        <f t="shared" ref="CF69:CF105" si="222">IF(ABS(F69-Ioutmax_Vinnom)&lt;Iout/200, (O69+P69)*CA69, -50)</f>
        <v>-50</v>
      </c>
      <c r="CG69" s="150">
        <f t="shared" ref="CG69:CG105" si="223">MIN(SQRT(2*DT69*1000*Ls1_*(CL69+CJ69*Vfwd1))/(CW69+Vfwd1), 1-DY69)</f>
        <v>0.82883202513712817</v>
      </c>
      <c r="CH69" s="150">
        <f t="shared" ref="CH69:CH105" si="224">MIN(SQRT(2*DT69*1000*Ls2_*(CM69+CK69*Vfwd22))/(Vout2+Vfwd22), 1-DY69)</f>
        <v>0.44965289283354892</v>
      </c>
      <c r="CI69" s="147">
        <v>64</v>
      </c>
      <c r="CJ69" s="188">
        <f t="shared" si="133"/>
        <v>0.76800000000000002</v>
      </c>
      <c r="CK69" s="188">
        <f t="shared" si="111"/>
        <v>0.16</v>
      </c>
      <c r="CL69" s="188">
        <f t="shared" ref="CL69:CL105" si="225">CJ69*Vout</f>
        <v>3.84</v>
      </c>
      <c r="CM69" s="188">
        <f t="shared" si="134"/>
        <v>1.28</v>
      </c>
      <c r="CN69" s="465">
        <f t="shared" si="112"/>
        <v>48</v>
      </c>
      <c r="CO69" s="379">
        <f t="shared" ref="CO69:CO105" si="226">(CW69+Vfwd2)*Nps</f>
        <v>5.7</v>
      </c>
      <c r="CP69" s="379">
        <f t="shared" ref="CP69:CP105" si="227">(Vout+Vfwd2)*Nps+CN69</f>
        <v>53.7</v>
      </c>
      <c r="CQ69" s="379"/>
      <c r="CR69" s="188">
        <f t="shared" ref="CR69:CR105" si="228">(Vout+Vfwd1)*Nps/((Vout+Vfwd1)*Nps+CN69)</f>
        <v>0.10112359550561799</v>
      </c>
      <c r="CS69" s="149">
        <f t="shared" si="114"/>
        <v>9.1011235955056193</v>
      </c>
      <c r="CT69" s="149">
        <f t="shared" ref="CT69:CT105" si="229">CR69*CN69*Isw_max*0.5*Efficiency*(Pout2/Pout_total)</f>
        <v>4.0449438202247192</v>
      </c>
      <c r="CU69" s="188">
        <f t="shared" ref="CU69:CU105" si="230">CS69/Vout</f>
        <v>1.8202247191011238</v>
      </c>
      <c r="CV69" s="188">
        <f t="shared" ref="CV69:CV105" si="231">CS69/Vout2</f>
        <v>1.1376404494382024</v>
      </c>
      <c r="CW69" s="379">
        <f t="shared" ref="CW69:CW105" si="232">MIN(Vout,CS69/CJ69)</f>
        <v>5</v>
      </c>
      <c r="CX69" s="188">
        <f t="shared" ref="CX69:CX105" si="233">MIN(2*(Vout*CJ69+Vout2*CK69)/(Efficiency*CN69*CR69), Isw_max)</f>
        <v>2.1096296296296297</v>
      </c>
      <c r="CY69" s="188">
        <f t="shared" ref="CY69:CY105" si="234">L*CX69/CN69*1000000</f>
        <v>0.52740740740740744</v>
      </c>
      <c r="CZ69" s="188">
        <f t="shared" ref="CZ69:CZ105" si="235">L*CX69/CO69*1000000</f>
        <v>4.4413255360623785</v>
      </c>
      <c r="DA69" s="172">
        <f t="shared" ref="DA69:DA105" si="236">IF(1/((350000*L)*(1/CN69+1/CO69))&gt;Isw_min, 350, 0.001/((Isw_min*L)*(1/CN69+1/CO69)))</f>
        <v>350</v>
      </c>
      <c r="DB69" s="379">
        <f t="shared" si="115"/>
        <v>201.25855250768939</v>
      </c>
      <c r="DD69" s="188">
        <f t="shared" ref="DD69:DD105" si="237">1/((DA69*1000*L)*(1/CN69+1/CO69))</f>
        <v>1.2130885873902635</v>
      </c>
      <c r="DE69" s="150">
        <f t="shared" ref="DE69:DE105" si="238">L*DD69/CO69*1000000</f>
        <v>2.5538707102952913</v>
      </c>
      <c r="DF69" s="150">
        <f t="shared" ref="DF69:DF105" si="239">0.5*DE69*DD69*Nps*DA69/1000*(Pout/Pout_total)</f>
        <v>0.54216249715765974</v>
      </c>
      <c r="DG69" s="150"/>
      <c r="DH69" s="150">
        <f t="shared" ref="DH69:DH105" si="240">L*Isw_min/CO69*1000000</f>
        <v>2.1052631578947367</v>
      </c>
      <c r="DI69" s="314">
        <f t="shared" ref="DI69:DI105" si="241">MAX(10, CJ69/(0.5*DH69/1000000*Isw_min*Nps)/1000*Pout_total/Pout)</f>
        <v>729.6</v>
      </c>
      <c r="DJ69" s="456">
        <f t="shared" ref="DJ69:DJ105" si="242">0.5*DH69/1000000*Isw_min*Nps*DA69*1000*(Pout/Pout_total)</f>
        <v>0.36842105263157893</v>
      </c>
      <c r="DL69" s="150">
        <f t="shared" ref="DL69:DL105" si="243">SQRT((CL69+CM69)/(0.5*L*Fsw_DCM))</f>
        <v>1.561440116717653</v>
      </c>
      <c r="DM69" s="150">
        <f t="shared" ref="DM69:DM105" si="244">MAX(IF(CJ69&gt;DF69,CX69,DL69),Isw_min)</f>
        <v>2.1096296296296297</v>
      </c>
      <c r="DN69" s="150">
        <f t="shared" ref="DN69:DN105" si="245">IF(CJ69&gt;DJ69, (DM69-Isw_min)/1.08*0.8+1.2, DI69*0.2/350+1)</f>
        <v>2.0219478737997258</v>
      </c>
      <c r="DP69" s="314">
        <f t="shared" ref="DP69:DP105" si="246">CJ69*1000</f>
        <v>768</v>
      </c>
      <c r="DQ69" s="144">
        <f t="shared" ref="DQ69:DQ105" si="247">IF(CJ69&gt;DJ69, DB69, DI69)</f>
        <v>201.25855250768939</v>
      </c>
      <c r="DS69">
        <f t="shared" si="116"/>
        <v>768</v>
      </c>
      <c r="DT69">
        <f t="shared" ref="DT69:DT90" si="248">IF(CL69&gt;CS69, "",DQ69)</f>
        <v>201.25855250768939</v>
      </c>
      <c r="DV69" s="5">
        <f t="shared" si="117"/>
        <v>4.968732943469786</v>
      </c>
      <c r="DW69" s="5">
        <f t="shared" ref="DW69:DW105" si="249">L*DM69/CN69*1000000</f>
        <v>0.52740740740740744</v>
      </c>
      <c r="DX69" s="5">
        <f t="shared" si="118"/>
        <v>4.4413255360623785</v>
      </c>
      <c r="DY69" s="150">
        <f t="shared" si="119"/>
        <v>0.10614525139664804</v>
      </c>
      <c r="EA69" s="5">
        <f t="shared" ref="EA69:EA105" si="250">CJ69*DW69/Vout_ripple*1000</f>
        <v>8.1009777777777785</v>
      </c>
      <c r="EB69" s="5">
        <f t="shared" ref="EB69:EB105" si="251">CK69*DW69/Vout_ripple2*1000</f>
        <v>1.0548148148148149</v>
      </c>
      <c r="EC69" s="5">
        <f t="shared" ref="EC69:EC105" si="252">CL69/Efficiency/CN69*DX69/Vinripple1</f>
        <v>0.1480441845354126</v>
      </c>
      <c r="ED69" s="5"/>
      <c r="EE69" s="150">
        <f t="shared" si="120"/>
        <v>0.39682212102602532</v>
      </c>
      <c r="EF69" s="150">
        <f t="shared" ref="EF69:EF105" si="253">DM69*Npri_sec1*SQRT((1-DY69)/3)*(Pout/Pout_total)</f>
        <v>1.1515400972906484</v>
      </c>
      <c r="EG69" s="150">
        <f t="shared" ref="EG69:EG105" si="254">DM69*Npri_sec2*SQRT((1-DY69)/3)*(Pout2/Pout_total)</f>
        <v>0.25740308057085082</v>
      </c>
      <c r="EH69" s="150"/>
      <c r="EI69" s="456">
        <f t="shared" ref="EI69:EI105" si="255">Rdson*EE69^2</f>
        <v>3.14935591471187E-3</v>
      </c>
      <c r="EJ69" s="456">
        <f t="shared" ref="EJ69:EJ105" si="256">0.5*CP69*DM69*DQ69*1000*Trise</f>
        <v>0.45600000000000002</v>
      </c>
      <c r="EK69" s="456">
        <f t="shared" ref="EK69:EK105" si="257">Qg*Vdd*DQ69*1000</f>
        <v>2.5157319063461171E-2</v>
      </c>
      <c r="EL69" s="456">
        <f t="shared" ref="EL69:EL105" si="258">0.5*(Coss+Csw)*CP69^2*DQ69*1000</f>
        <v>5.8036727528089894E-2</v>
      </c>
      <c r="EM69">
        <f t="shared" ref="EM69:EM105" si="259">CN69*IQ</f>
        <v>2.1600000000000001E-2</v>
      </c>
      <c r="EN69" s="144">
        <f t="shared" si="121"/>
        <v>46.757319063461175</v>
      </c>
      <c r="EO69">
        <f t="shared" ref="EO69:EO105" si="260">(EJ69+EK69+EL69+EM69+EI69*(1+RdsonTC*(Ta-25)))/(1-EI69*RdsonTC*ThetaJA)</f>
        <v>0.56521667287213573</v>
      </c>
      <c r="EP69" s="144">
        <f t="shared" si="122"/>
        <v>565.21667287213575</v>
      </c>
      <c r="EQ69" s="150">
        <f t="shared" ref="EQ69:EQ105" si="261">Vfwd2*CJ69*(1+Diode_TC/1000*(Ta-25))</f>
        <v>0.47711999999999993</v>
      </c>
      <c r="ER69" s="150">
        <f t="shared" ref="ER69:ER105" si="262">Vfwd22*CK69*(1+Diode_TC/1000*(Ta-25))</f>
        <v>7.0999999999999994E-2</v>
      </c>
      <c r="ES69" s="456"/>
      <c r="EU69" s="144">
        <f t="shared" si="123"/>
        <v>548.11999999999989</v>
      </c>
      <c r="EV69" s="456">
        <f t="shared" ref="EV69:EV105" si="263">Rdcr_pri*EE69^2</f>
        <v>4.724033872067805E-3</v>
      </c>
      <c r="EW69" s="456">
        <f t="shared" si="124"/>
        <v>3.9781337870044682E-2</v>
      </c>
      <c r="EX69" s="456">
        <f t="shared" ref="EX69:EX105" si="264">Rdcr_sec2*EG69^2</f>
        <v>3.312817294368196E-4</v>
      </c>
      <c r="EY69" s="456">
        <f t="shared" ref="EY69:EY105" si="265">DM69^2.5*DQ69^2.5*k_core</f>
        <v>0.18572544499675753</v>
      </c>
      <c r="EZ69" s="456">
        <f t="shared" ref="EZ69:EZ105" si="266">(EY69+(EV69+EW69+EX69)*(1+Ltc*(Ta-25)))/(1-(EV69+EW69+EX69)*Ltc*ThetaCa)</f>
        <v>0.24219162024151722</v>
      </c>
      <c r="FA69" s="538">
        <f t="shared" ref="FA69:FA105" si="267">0.5*Lleak*0.000000001*DM69^2*DQ69*1000</f>
        <v>8.9570866956341822E-4</v>
      </c>
      <c r="FB69" s="144">
        <f t="shared" si="125"/>
        <v>243.08732891108065</v>
      </c>
      <c r="FC69" s="150">
        <f t="shared" si="126"/>
        <v>1.3564240017832163</v>
      </c>
      <c r="FD69" s="5">
        <f t="shared" si="127"/>
        <v>5.12</v>
      </c>
      <c r="FE69" s="150">
        <f t="shared" si="128"/>
        <v>0.79055972842270061</v>
      </c>
      <c r="FF69" s="5">
        <f t="shared" si="129"/>
        <v>79.055972842270066</v>
      </c>
      <c r="FG69">
        <f t="shared" si="130"/>
        <v>64</v>
      </c>
      <c r="FI69" s="59">
        <f t="shared" ref="FI69:FI105" si="268">IF(ABS(CJ69-Ioutmax_Vinnom)&lt;Iout/200, DQ69, -50)</f>
        <v>-50</v>
      </c>
      <c r="FJ69">
        <f t="shared" ref="FJ69:FJ105" si="269">IF(ABS(CJ69-Ioutmax_Vinnom)&lt;Iout/200, (CS69+CT69)*FE69, -50)</f>
        <v>-50</v>
      </c>
      <c r="FL69">
        <f t="shared" ref="FL69:FL105" si="270">MIN(SQRT(2*DQ69*1000*L*CJ69*(Vout+Vfwd1))/(Nps*(Vout+Vfwd1)),1-DY69)</f>
        <v>0.82883202513712817</v>
      </c>
    </row>
    <row r="70" spans="5:168">
      <c r="E70" s="147">
        <v>65</v>
      </c>
      <c r="F70" s="188">
        <f t="shared" si="174"/>
        <v>0.78</v>
      </c>
      <c r="G70" s="188">
        <f t="shared" ref="G70:G105" si="271">IF(PLOT_TYPE=1, E70/100*Iout2, min_I*EXP(Q70*rr/100))</f>
        <v>0.16250000000000001</v>
      </c>
      <c r="H70" s="188">
        <f t="shared" si="176"/>
        <v>3.9000000000000004</v>
      </c>
      <c r="I70" s="188">
        <f t="shared" si="175"/>
        <v>1.3</v>
      </c>
      <c r="J70" s="465">
        <f t="shared" si="177"/>
        <v>47.926000097793903</v>
      </c>
      <c r="K70" s="379">
        <f t="shared" si="178"/>
        <v>5.7282324998194039</v>
      </c>
      <c r="L70" s="149">
        <f t="shared" si="179"/>
        <v>53.654232597613309</v>
      </c>
      <c r="M70" s="379"/>
      <c r="N70" s="188">
        <f t="shared" si="180"/>
        <v>0.10676198731196114</v>
      </c>
      <c r="O70" s="149">
        <f t="shared" ref="O70:O101" si="272">N70*J70*Isw_max*0.5*Efficiency*Pout/(Pout+Pout2)</f>
        <v>9.5937656519132268</v>
      </c>
      <c r="P70" s="149">
        <f t="shared" si="181"/>
        <v>4.2638958452947673</v>
      </c>
      <c r="Q70" s="188">
        <f t="shared" si="182"/>
        <v>1.9187531303826453</v>
      </c>
      <c r="R70" s="188">
        <f t="shared" si="183"/>
        <v>1.1992207064891534</v>
      </c>
      <c r="S70" s="379">
        <f t="shared" si="184"/>
        <v>5</v>
      </c>
      <c r="T70" s="188">
        <f t="shared" si="185"/>
        <v>2.0325699738257872</v>
      </c>
      <c r="U70" s="188">
        <f t="shared" si="186"/>
        <v>0.50892708834744149</v>
      </c>
      <c r="V70" s="188">
        <f t="shared" si="187"/>
        <v>4.2580044868427436</v>
      </c>
      <c r="W70" s="172">
        <f t="shared" si="188"/>
        <v>350</v>
      </c>
      <c r="X70" s="379">
        <f t="shared" ref="X70:X105" si="273">MIN(1/(U70+V70+0.2)*1000, 350)</f>
        <v>201.33154340095973</v>
      </c>
      <c r="Z70" s="188">
        <f t="shared" si="189"/>
        <v>1.2182559557985051</v>
      </c>
      <c r="AA70" s="150">
        <f t="shared" si="190"/>
        <v>2.5521086076801112</v>
      </c>
      <c r="AB70" s="150">
        <f t="shared" si="191"/>
        <v>0.54409626445141202</v>
      </c>
      <c r="AC70" s="150"/>
      <c r="AD70" s="150">
        <f t="shared" si="192"/>
        <v>2.0948870354648368</v>
      </c>
      <c r="AE70" s="314">
        <f t="shared" si="193"/>
        <v>744.67022497652226</v>
      </c>
      <c r="AF70" s="456">
        <f t="shared" si="194"/>
        <v>0.36660523120634647</v>
      </c>
      <c r="AH70" s="150">
        <f t="shared" si="195"/>
        <v>1.5735915849388864</v>
      </c>
      <c r="AI70" s="150">
        <f t="shared" si="196"/>
        <v>2.0325699738257872</v>
      </c>
      <c r="AJ70" s="150">
        <f t="shared" si="197"/>
        <v>1.9648666472783609</v>
      </c>
      <c r="AL70" s="314">
        <f t="shared" si="198"/>
        <v>780</v>
      </c>
      <c r="AM70" s="144">
        <f t="shared" si="199"/>
        <v>201.33154340095973</v>
      </c>
      <c r="AO70">
        <f t="shared" ref="AO70:AO105" si="274">IF(H70&gt;O70, "",AL70)</f>
        <v>780</v>
      </c>
      <c r="AP70">
        <f t="shared" si="200"/>
        <v>201.33154340095973</v>
      </c>
      <c r="AR70" s="5">
        <f t="shared" ref="AR70:AR133" si="275">1/AM70*1000</f>
        <v>4.966931575190185</v>
      </c>
      <c r="AS70" s="5">
        <f t="shared" si="201"/>
        <v>0.50892708834744149</v>
      </c>
      <c r="AT70" s="5">
        <f t="shared" ref="AT70:AT105" si="276">AR70-AS70</f>
        <v>4.4580044868427438</v>
      </c>
      <c r="AU70" s="150">
        <f t="shared" ref="AU70:AU105" si="277">AS70/AR70</f>
        <v>0.10246307617554698</v>
      </c>
      <c r="AW70" s="5">
        <f t="shared" si="202"/>
        <v>7.9392625782200872</v>
      </c>
      <c r="AX70" s="5">
        <f t="shared" si="203"/>
        <v>1.0337581482057407</v>
      </c>
      <c r="AY70" s="5">
        <f t="shared" si="204"/>
        <v>0.15115505730370601</v>
      </c>
      <c r="AZ70" s="5"/>
      <c r="BA70" s="150">
        <f t="shared" ref="BA70:BA105" si="278">AI70*SQRT(AU70/3)</f>
        <v>0.37563718164267434</v>
      </c>
      <c r="BB70" s="150">
        <f t="shared" si="205"/>
        <v>1.111759989356337</v>
      </c>
      <c r="BC70" s="150">
        <f t="shared" si="206"/>
        <v>0.2485110564443577</v>
      </c>
      <c r="BD70" s="150"/>
      <c r="BE70" s="456">
        <f t="shared" si="207"/>
        <v>2.8220658446490303E-3</v>
      </c>
      <c r="BF70" s="456">
        <f t="shared" si="208"/>
        <v>0.41168267255019686</v>
      </c>
      <c r="BG70" s="456">
        <f t="shared" si="209"/>
        <v>0.24122538921808481</v>
      </c>
      <c r="BH70" s="456">
        <f t="shared" si="210"/>
        <v>5.7958855121304172E-2</v>
      </c>
      <c r="BI70">
        <f t="shared" si="211"/>
        <v>2.1566700044007257E-2</v>
      </c>
      <c r="BJ70" s="144">
        <f t="shared" ref="BJ70:BJ105" si="279">(BG70+BI70)*1000</f>
        <v>262.79208926209208</v>
      </c>
      <c r="BK70">
        <f t="shared" si="212"/>
        <v>0.47354307274242313</v>
      </c>
      <c r="BL70" s="144">
        <f t="shared" ref="BL70:BL105" si="280">BK70*1000</f>
        <v>473.54307274242313</v>
      </c>
      <c r="BM70" s="150">
        <f t="shared" si="213"/>
        <v>0.48457499999999992</v>
      </c>
      <c r="BN70" s="150">
        <f t="shared" si="214"/>
        <v>7.2109375000000003E-2</v>
      </c>
      <c r="BO70" s="456"/>
      <c r="BQ70" s="144">
        <f t="shared" ref="BQ70:BQ105" si="281">SUM(BM70:BP70)*1000</f>
        <v>556.68437499999993</v>
      </c>
      <c r="BR70" s="456">
        <f t="shared" si="215"/>
        <v>4.2330987669735457E-3</v>
      </c>
      <c r="BS70" s="456">
        <f t="shared" si="216"/>
        <v>3.7080308218008076E-2</v>
      </c>
      <c r="BT70" s="456">
        <f t="shared" si="217"/>
        <v>3.0878872587545371E-4</v>
      </c>
      <c r="BU70" s="456">
        <f t="shared" si="218"/>
        <v>0.16938046686974489</v>
      </c>
      <c r="BV70" s="456">
        <f t="shared" si="219"/>
        <v>0.2217303017122392</v>
      </c>
      <c r="BW70" s="538">
        <f t="shared" si="220"/>
        <v>8.3176919914383402E-4</v>
      </c>
      <c r="BX70" s="144">
        <f t="shared" ref="BX70:BX105" si="282">(BV70+BW70)*1000</f>
        <v>222.56207091138302</v>
      </c>
      <c r="BY70" s="150">
        <f t="shared" ref="BY70:BY104" si="283">SUM(BK70,BM70:BP70,BV70:BW70)</f>
        <v>1.2527895186538058</v>
      </c>
      <c r="BZ70" s="5">
        <f t="shared" ref="BZ70:BZ105" si="284">MIN(H70+I70,O70+P70)</f>
        <v>5.2</v>
      </c>
      <c r="CA70" s="150">
        <f t="shared" ref="CA70:CA105" si="285">BZ70/(BZ70+BY70)</f>
        <v>0.80585303223788318</v>
      </c>
      <c r="CB70" s="5">
        <f t="shared" ref="CB70:CB105" si="286">CA70*100</f>
        <v>80.585303223788316</v>
      </c>
      <c r="CC70">
        <f t="shared" ref="CC70:CC105" si="287">F70/Iout*100</f>
        <v>65</v>
      </c>
      <c r="CE70" s="59">
        <f t="shared" si="221"/>
        <v>-50</v>
      </c>
      <c r="CF70">
        <f t="shared" si="222"/>
        <v>-50</v>
      </c>
      <c r="CG70" s="150">
        <f t="shared" si="223"/>
        <v>0.82883202513712839</v>
      </c>
      <c r="CH70" s="150">
        <f t="shared" si="224"/>
        <v>0.44965289283354898</v>
      </c>
      <c r="CI70" s="147">
        <v>65</v>
      </c>
      <c r="CJ70" s="188">
        <f t="shared" si="133"/>
        <v>0.78</v>
      </c>
      <c r="CK70" s="188">
        <f t="shared" ref="CK70:CK105" si="288">IF(PLOT_TYPE=1, CI70/100*Iout2, min_I*EXP(CU70*rr/100))</f>
        <v>0.16250000000000001</v>
      </c>
      <c r="CL70" s="188">
        <f t="shared" si="225"/>
        <v>3.9000000000000004</v>
      </c>
      <c r="CM70" s="188">
        <f t="shared" si="134"/>
        <v>1.3</v>
      </c>
      <c r="CN70" s="465">
        <f t="shared" ref="CN70:CN105" si="289">Vin</f>
        <v>48</v>
      </c>
      <c r="CO70" s="379">
        <f t="shared" si="226"/>
        <v>5.7</v>
      </c>
      <c r="CP70" s="379">
        <f t="shared" si="227"/>
        <v>53.7</v>
      </c>
      <c r="CQ70" s="379"/>
      <c r="CR70" s="188">
        <f t="shared" si="228"/>
        <v>0.10112359550561799</v>
      </c>
      <c r="CS70" s="149">
        <f t="shared" ref="CS70:CS105" si="290">CR70*CN70*Isw_max*0.5*Efficiency*Pout/(Pout+Pout2)</f>
        <v>9.1011235955056193</v>
      </c>
      <c r="CT70" s="149">
        <f t="shared" si="229"/>
        <v>4.0449438202247192</v>
      </c>
      <c r="CU70" s="188">
        <f t="shared" si="230"/>
        <v>1.8202247191011238</v>
      </c>
      <c r="CV70" s="188">
        <f t="shared" si="231"/>
        <v>1.1376404494382024</v>
      </c>
      <c r="CW70" s="379">
        <f t="shared" si="232"/>
        <v>5</v>
      </c>
      <c r="CX70" s="188">
        <f t="shared" si="233"/>
        <v>2.1425925925925924</v>
      </c>
      <c r="CY70" s="188">
        <f t="shared" si="234"/>
        <v>0.5356481481481481</v>
      </c>
      <c r="CZ70" s="188">
        <f t="shared" si="235"/>
        <v>4.5107212475633522</v>
      </c>
      <c r="DA70" s="172">
        <f t="shared" si="236"/>
        <v>350</v>
      </c>
      <c r="DB70" s="379">
        <f t="shared" ref="DB70:DB105" si="291">MIN(1/(CY70+CZ70)*1000, 350)</f>
        <v>198.16226708449423</v>
      </c>
      <c r="DD70" s="188">
        <f t="shared" si="237"/>
        <v>1.2130885873902635</v>
      </c>
      <c r="DE70" s="150">
        <f t="shared" si="238"/>
        <v>2.5538707102952913</v>
      </c>
      <c r="DF70" s="150">
        <f t="shared" si="239"/>
        <v>0.54216249715765974</v>
      </c>
      <c r="DG70" s="150"/>
      <c r="DH70" s="150">
        <f t="shared" si="240"/>
        <v>2.1052631578947367</v>
      </c>
      <c r="DI70" s="314">
        <f t="shared" si="241"/>
        <v>741.00000000000011</v>
      </c>
      <c r="DJ70" s="456">
        <f t="shared" si="242"/>
        <v>0.36842105263157893</v>
      </c>
      <c r="DL70" s="150">
        <f t="shared" si="243"/>
        <v>1.5735915849388864</v>
      </c>
      <c r="DM70" s="150">
        <f t="shared" si="244"/>
        <v>2.1425925925925924</v>
      </c>
      <c r="DN70" s="150">
        <f t="shared" si="245"/>
        <v>2.0463648834019201</v>
      </c>
      <c r="DP70" s="314">
        <f t="shared" si="246"/>
        <v>780</v>
      </c>
      <c r="DQ70" s="144">
        <f t="shared" si="247"/>
        <v>198.16226708449423</v>
      </c>
      <c r="DS70">
        <f t="shared" ref="DS70:DS90" si="292">IF(CL70&gt;CS70, "",DP70)</f>
        <v>780</v>
      </c>
      <c r="DT70">
        <f t="shared" si="248"/>
        <v>198.16226708449423</v>
      </c>
      <c r="DV70" s="5">
        <f t="shared" ref="DV70:DV105" si="293">1/DQ70*1000</f>
        <v>5.0463693957115003</v>
      </c>
      <c r="DW70" s="5">
        <f t="shared" si="249"/>
        <v>0.5356481481481481</v>
      </c>
      <c r="DX70" s="5">
        <f t="shared" ref="DX70:DX105" si="294">DV70-DW70</f>
        <v>4.5107212475633522</v>
      </c>
      <c r="DY70" s="150">
        <f t="shared" ref="DY70:DY105" si="295">DW70/DV70</f>
        <v>0.10614525139664804</v>
      </c>
      <c r="EA70" s="5">
        <f t="shared" si="250"/>
        <v>8.3561111111111117</v>
      </c>
      <c r="EB70" s="5">
        <f t="shared" si="251"/>
        <v>1.0880353009259258</v>
      </c>
      <c r="EC70" s="5">
        <f t="shared" si="252"/>
        <v>0.15270670890188431</v>
      </c>
      <c r="ED70" s="5"/>
      <c r="EE70" s="150">
        <f t="shared" ref="EE70:EE105" si="296">DM70*SQRT(DY70/3)</f>
        <v>0.40302246666705693</v>
      </c>
      <c r="EF70" s="150">
        <f t="shared" si="253"/>
        <v>1.1695329113108146</v>
      </c>
      <c r="EG70" s="150">
        <f t="shared" si="254"/>
        <v>0.26142500370477034</v>
      </c>
      <c r="EH70" s="150"/>
      <c r="EI70" s="456">
        <f t="shared" si="255"/>
        <v>3.2485421727679806E-3</v>
      </c>
      <c r="EJ70" s="456">
        <f t="shared" si="256"/>
        <v>0.45600000000000007</v>
      </c>
      <c r="EK70" s="456">
        <f t="shared" si="257"/>
        <v>2.4770283385561778E-2</v>
      </c>
      <c r="EL70" s="456">
        <f t="shared" si="258"/>
        <v>5.7143854796888528E-2</v>
      </c>
      <c r="EM70">
        <f t="shared" si="259"/>
        <v>2.1600000000000001E-2</v>
      </c>
      <c r="EN70" s="144">
        <f t="shared" ref="EN70:EN105" si="297">(EK70+EM70)*1000</f>
        <v>46.370283385561777</v>
      </c>
      <c r="EO70">
        <f t="shared" si="260"/>
        <v>0.5640751702040806</v>
      </c>
      <c r="EP70" s="144">
        <f t="shared" ref="EP70:EP105" si="298">EO70*1000</f>
        <v>564.07517020408056</v>
      </c>
      <c r="EQ70" s="150">
        <f t="shared" si="261"/>
        <v>0.48457499999999992</v>
      </c>
      <c r="ER70" s="150">
        <f t="shared" si="262"/>
        <v>7.2109375000000003E-2</v>
      </c>
      <c r="ES70" s="456"/>
      <c r="EU70" s="144">
        <f t="shared" ref="EU70:EU105" si="299">SUM(EQ70:ET70)*1000</f>
        <v>556.68437499999993</v>
      </c>
      <c r="EV70" s="456">
        <f t="shared" si="263"/>
        <v>4.87281325915197E-3</v>
      </c>
      <c r="EW70" s="456">
        <f t="shared" ref="EW70:EW105" si="300">Rdcr_sec*EF70^2</f>
        <v>4.1034216919174492E-2</v>
      </c>
      <c r="EX70" s="456">
        <f t="shared" si="264"/>
        <v>3.4171516281019597E-4</v>
      </c>
      <c r="EY70" s="456">
        <f t="shared" si="265"/>
        <v>0.18572544499675728</v>
      </c>
      <c r="EZ70" s="456">
        <f t="shared" si="266"/>
        <v>0.24397657807003575</v>
      </c>
      <c r="FA70" s="538">
        <f t="shared" si="267"/>
        <v>9.0970411752534688E-4</v>
      </c>
      <c r="FB70" s="144">
        <f t="shared" ref="FB70:FB105" si="301">(EZ70+FA70)*1000</f>
        <v>244.88628218756108</v>
      </c>
      <c r="FC70" s="150">
        <f t="shared" ref="FC70:FC105" si="302">SUM(EO70,EQ70:ET70,EZ70:FA70)</f>
        <v>1.3656458273916416</v>
      </c>
      <c r="FD70" s="5">
        <f t="shared" ref="FD70:FD105" si="303">MIN(CL70+CM70,CS70+CT70)</f>
        <v>5.2</v>
      </c>
      <c r="FE70" s="150">
        <f t="shared" ref="FE70:FE105" si="304">FD70/(FD70+FC70)</f>
        <v>0.7920012953342358</v>
      </c>
      <c r="FF70" s="5">
        <f t="shared" ref="FF70:FF105" si="305">FE70*100</f>
        <v>79.200129533423578</v>
      </c>
      <c r="FG70">
        <f t="shared" ref="FG70:FG105" si="306">CJ70/Iout*100</f>
        <v>65</v>
      </c>
      <c r="FI70" s="59">
        <f t="shared" si="268"/>
        <v>-50</v>
      </c>
      <c r="FJ70">
        <f t="shared" si="269"/>
        <v>-50</v>
      </c>
      <c r="FL70">
        <f t="shared" si="270"/>
        <v>0.82883202513712839</v>
      </c>
    </row>
    <row r="71" spans="5:168">
      <c r="E71" s="147">
        <v>66</v>
      </c>
      <c r="F71" s="188">
        <f t="shared" si="174"/>
        <v>0.79200000000000004</v>
      </c>
      <c r="G71" s="188">
        <f t="shared" si="271"/>
        <v>0.16500000000000001</v>
      </c>
      <c r="H71" s="188">
        <f t="shared" si="176"/>
        <v>3.96</v>
      </c>
      <c r="I71" s="188">
        <f t="shared" si="175"/>
        <v>1.32</v>
      </c>
      <c r="J71" s="465">
        <f t="shared" si="177"/>
        <v>47.92486163775996</v>
      </c>
      <c r="K71" s="379">
        <f t="shared" si="178"/>
        <v>5.7286668459704719</v>
      </c>
      <c r="L71" s="149">
        <f t="shared" si="179"/>
        <v>53.653528483730433</v>
      </c>
      <c r="M71" s="379"/>
      <c r="N71" s="188">
        <f t="shared" si="180"/>
        <v>0.1067714837749692</v>
      </c>
      <c r="O71" s="149">
        <f t="shared" si="272"/>
        <v>9.5943911002007454</v>
      </c>
      <c r="P71" s="149">
        <f t="shared" si="181"/>
        <v>4.2641738223114425</v>
      </c>
      <c r="Q71" s="188">
        <f t="shared" si="182"/>
        <v>1.9188782200401491</v>
      </c>
      <c r="R71" s="188">
        <f t="shared" si="183"/>
        <v>1.1992988875250932</v>
      </c>
      <c r="S71" s="379">
        <f t="shared" si="184"/>
        <v>5</v>
      </c>
      <c r="T71" s="188">
        <f t="shared" si="185"/>
        <v>2.0637057415332714</v>
      </c>
      <c r="U71" s="188">
        <f t="shared" si="186"/>
        <v>0.51673532384050436</v>
      </c>
      <c r="V71" s="188">
        <f t="shared" si="187"/>
        <v>4.3229026166565294</v>
      </c>
      <c r="W71" s="172">
        <f t="shared" si="188"/>
        <v>350</v>
      </c>
      <c r="X71" s="379">
        <f t="shared" si="273"/>
        <v>198.4269528499849</v>
      </c>
      <c r="Z71" s="188">
        <f t="shared" si="189"/>
        <v>1.2183353778032693</v>
      </c>
      <c r="AA71" s="150">
        <f t="shared" si="190"/>
        <v>2.5520814749286589</v>
      </c>
      <c r="AB71" s="150">
        <f t="shared" si="191"/>
        <v>0.54412595088983817</v>
      </c>
      <c r="AC71" s="150"/>
      <c r="AD71" s="150">
        <f t="shared" si="192"/>
        <v>2.0947282016305011</v>
      </c>
      <c r="AE71" s="314">
        <f t="shared" si="193"/>
        <v>756.18402366810221</v>
      </c>
      <c r="AF71" s="456">
        <f t="shared" si="194"/>
        <v>0.36657743528533765</v>
      </c>
      <c r="AH71" s="150">
        <f t="shared" si="195"/>
        <v>1.5856499343441837</v>
      </c>
      <c r="AI71" s="150">
        <f t="shared" si="196"/>
        <v>2.0637057415332714</v>
      </c>
      <c r="AJ71" s="150">
        <f t="shared" si="197"/>
        <v>1.9879301789135342</v>
      </c>
      <c r="AL71" s="314">
        <f t="shared" si="198"/>
        <v>792</v>
      </c>
      <c r="AM71" s="144">
        <f t="shared" si="199"/>
        <v>198.4269528499849</v>
      </c>
      <c r="AO71">
        <f t="shared" si="274"/>
        <v>792</v>
      </c>
      <c r="AP71">
        <f t="shared" si="200"/>
        <v>198.4269528499849</v>
      </c>
      <c r="AR71" s="5">
        <f t="shared" si="275"/>
        <v>5.039637940497034</v>
      </c>
      <c r="AS71" s="5">
        <f t="shared" si="201"/>
        <v>0.51673532384050436</v>
      </c>
      <c r="AT71" s="5">
        <f t="shared" si="276"/>
        <v>4.5229026166565296</v>
      </c>
      <c r="AU71" s="150">
        <f t="shared" si="277"/>
        <v>0.10253421573962145</v>
      </c>
      <c r="AW71" s="5">
        <f t="shared" si="202"/>
        <v>8.1850875296335897</v>
      </c>
      <c r="AX71" s="5">
        <f t="shared" si="203"/>
        <v>1.0657666054210402</v>
      </c>
      <c r="AY71" s="5">
        <f t="shared" si="204"/>
        <v>0.15571853652683992</v>
      </c>
      <c r="AZ71" s="5"/>
      <c r="BA71" s="150">
        <f t="shared" si="278"/>
        <v>0.38152372709503946</v>
      </c>
      <c r="BB71" s="150">
        <f t="shared" si="205"/>
        <v>1.1287456643885605</v>
      </c>
      <c r="BC71" s="150">
        <f t="shared" si="206"/>
        <v>0.25230785439273706</v>
      </c>
      <c r="BD71" s="150"/>
      <c r="BE71" s="456">
        <f t="shared" si="207"/>
        <v>2.9112070867298029E-3</v>
      </c>
      <c r="BF71" s="456">
        <f t="shared" si="208"/>
        <v>0.41195330929296309</v>
      </c>
      <c r="BG71" s="456">
        <f t="shared" si="209"/>
        <v>0.23773960651344611</v>
      </c>
      <c r="BH71" s="456">
        <f t="shared" si="210"/>
        <v>5.7121189116029265E-2</v>
      </c>
      <c r="BI71">
        <f t="shared" si="211"/>
        <v>2.1566187736991982E-2</v>
      </c>
      <c r="BJ71" s="144">
        <f t="shared" si="279"/>
        <v>259.30579425043811</v>
      </c>
      <c r="BK71">
        <f t="shared" si="212"/>
        <v>0.47309897529683026</v>
      </c>
      <c r="BL71" s="144">
        <f t="shared" si="280"/>
        <v>473.09897529683025</v>
      </c>
      <c r="BM71" s="150">
        <f t="shared" si="213"/>
        <v>0.49202999999999997</v>
      </c>
      <c r="BN71" s="150">
        <f t="shared" si="214"/>
        <v>7.3218749999999999E-2</v>
      </c>
      <c r="BO71" s="456"/>
      <c r="BQ71" s="144">
        <f t="shared" si="281"/>
        <v>565.24874999999997</v>
      </c>
      <c r="BR71" s="456">
        <f t="shared" si="215"/>
        <v>4.3668106300947043E-3</v>
      </c>
      <c r="BS71" s="456">
        <f t="shared" si="216"/>
        <v>3.8222003246279182E-2</v>
      </c>
      <c r="BT71" s="456">
        <f t="shared" si="217"/>
        <v>3.1829626694133305E-4</v>
      </c>
      <c r="BU71" s="456">
        <f t="shared" si="218"/>
        <v>0.16966454367653602</v>
      </c>
      <c r="BV71" s="456">
        <f t="shared" si="219"/>
        <v>0.22363700967875955</v>
      </c>
      <c r="BW71" s="538">
        <f t="shared" si="220"/>
        <v>8.4507685629840268E-4</v>
      </c>
      <c r="BX71" s="144">
        <f t="shared" si="282"/>
        <v>224.48208653505793</v>
      </c>
      <c r="BY71" s="150">
        <f t="shared" si="283"/>
        <v>1.2628298118318881</v>
      </c>
      <c r="BZ71" s="5">
        <f t="shared" si="284"/>
        <v>5.28</v>
      </c>
      <c r="CA71" s="150">
        <f t="shared" si="285"/>
        <v>0.80699027054804051</v>
      </c>
      <c r="CB71" s="5">
        <f t="shared" si="286"/>
        <v>80.699027054804048</v>
      </c>
      <c r="CC71">
        <f t="shared" si="287"/>
        <v>66</v>
      </c>
      <c r="CE71" s="59">
        <f t="shared" si="221"/>
        <v>-50</v>
      </c>
      <c r="CF71">
        <f t="shared" si="222"/>
        <v>-50</v>
      </c>
      <c r="CG71" s="150">
        <f t="shared" si="223"/>
        <v>0.82883202513712817</v>
      </c>
      <c r="CH71" s="150">
        <f t="shared" si="224"/>
        <v>0.44965289283354892</v>
      </c>
      <c r="CI71" s="147">
        <v>66</v>
      </c>
      <c r="CJ71" s="188">
        <f t="shared" si="133"/>
        <v>0.79200000000000004</v>
      </c>
      <c r="CK71" s="188">
        <f t="shared" si="288"/>
        <v>0.16500000000000001</v>
      </c>
      <c r="CL71" s="188">
        <f t="shared" si="225"/>
        <v>3.96</v>
      </c>
      <c r="CM71" s="188">
        <f t="shared" si="134"/>
        <v>1.32</v>
      </c>
      <c r="CN71" s="465">
        <f t="shared" si="289"/>
        <v>48</v>
      </c>
      <c r="CO71" s="379">
        <f t="shared" si="226"/>
        <v>5.7</v>
      </c>
      <c r="CP71" s="379">
        <f t="shared" si="227"/>
        <v>53.7</v>
      </c>
      <c r="CQ71" s="379"/>
      <c r="CR71" s="188">
        <f t="shared" si="228"/>
        <v>0.10112359550561799</v>
      </c>
      <c r="CS71" s="149">
        <f t="shared" si="290"/>
        <v>9.1011235955056193</v>
      </c>
      <c r="CT71" s="149">
        <f t="shared" si="229"/>
        <v>4.0449438202247192</v>
      </c>
      <c r="CU71" s="188">
        <f t="shared" si="230"/>
        <v>1.8202247191011238</v>
      </c>
      <c r="CV71" s="188">
        <f t="shared" si="231"/>
        <v>1.1376404494382024</v>
      </c>
      <c r="CW71" s="379">
        <f t="shared" si="232"/>
        <v>5</v>
      </c>
      <c r="CX71" s="188">
        <f t="shared" si="233"/>
        <v>2.1755555555555555</v>
      </c>
      <c r="CY71" s="188">
        <f t="shared" si="234"/>
        <v>0.54388888888888887</v>
      </c>
      <c r="CZ71" s="188">
        <f t="shared" si="235"/>
        <v>4.5801169590643269</v>
      </c>
      <c r="DA71" s="172">
        <f t="shared" si="236"/>
        <v>350</v>
      </c>
      <c r="DB71" s="379">
        <f t="shared" si="291"/>
        <v>195.1598084923049</v>
      </c>
      <c r="DD71" s="188">
        <f t="shared" si="237"/>
        <v>1.2130885873902635</v>
      </c>
      <c r="DE71" s="150">
        <f t="shared" si="238"/>
        <v>2.5538707102952913</v>
      </c>
      <c r="DF71" s="150">
        <f t="shared" si="239"/>
        <v>0.54216249715765974</v>
      </c>
      <c r="DG71" s="150"/>
      <c r="DH71" s="150">
        <f t="shared" si="240"/>
        <v>2.1052631578947367</v>
      </c>
      <c r="DI71" s="314">
        <f t="shared" si="241"/>
        <v>752.40000000000009</v>
      </c>
      <c r="DJ71" s="456">
        <f t="shared" si="242"/>
        <v>0.36842105263157893</v>
      </c>
      <c r="DL71" s="150">
        <f t="shared" si="243"/>
        <v>1.5856499343441837</v>
      </c>
      <c r="DM71" s="150">
        <f t="shared" si="244"/>
        <v>2.1755555555555555</v>
      </c>
      <c r="DN71" s="150">
        <f t="shared" si="245"/>
        <v>2.0707818930041153</v>
      </c>
      <c r="DP71" s="314">
        <f t="shared" si="246"/>
        <v>792</v>
      </c>
      <c r="DQ71" s="144">
        <f t="shared" si="247"/>
        <v>195.1598084923049</v>
      </c>
      <c r="DS71">
        <f t="shared" si="292"/>
        <v>792</v>
      </c>
      <c r="DT71">
        <f t="shared" si="248"/>
        <v>195.1598084923049</v>
      </c>
      <c r="DV71" s="5">
        <f t="shared" si="293"/>
        <v>5.1240058479532156</v>
      </c>
      <c r="DW71" s="5">
        <f t="shared" si="249"/>
        <v>0.54388888888888887</v>
      </c>
      <c r="DX71" s="5">
        <f t="shared" si="294"/>
        <v>4.5801169590643269</v>
      </c>
      <c r="DY71" s="150">
        <f t="shared" si="295"/>
        <v>0.10614525139664806</v>
      </c>
      <c r="EA71" s="5">
        <f t="shared" si="250"/>
        <v>8.6151999999999997</v>
      </c>
      <c r="EB71" s="5">
        <f t="shared" si="251"/>
        <v>1.1217708333333334</v>
      </c>
      <c r="EC71" s="5">
        <f t="shared" si="252"/>
        <v>0.15744152046783622</v>
      </c>
      <c r="ED71" s="5"/>
      <c r="EE71" s="150">
        <f t="shared" si="296"/>
        <v>0.40922281230808866</v>
      </c>
      <c r="EF71" s="150">
        <f t="shared" si="253"/>
        <v>1.187525725330981</v>
      </c>
      <c r="EG71" s="150">
        <f t="shared" si="254"/>
        <v>0.26544692683868992</v>
      </c>
      <c r="EH71" s="150"/>
      <c r="EI71" s="456">
        <f t="shared" si="255"/>
        <v>3.3492662022668231E-3</v>
      </c>
      <c r="EJ71" s="456">
        <f t="shared" si="256"/>
        <v>0.45600000000000002</v>
      </c>
      <c r="EK71" s="456">
        <f t="shared" si="257"/>
        <v>2.4394976061538114E-2</v>
      </c>
      <c r="EL71" s="456">
        <f t="shared" si="258"/>
        <v>5.627803881511749E-2</v>
      </c>
      <c r="EM71">
        <f t="shared" si="259"/>
        <v>2.1600000000000001E-2</v>
      </c>
      <c r="EN71" s="144">
        <f t="shared" si="297"/>
        <v>45.994976061538118</v>
      </c>
      <c r="EO71">
        <f t="shared" si="260"/>
        <v>0.56297459005342132</v>
      </c>
      <c r="EP71" s="144">
        <f t="shared" si="298"/>
        <v>562.97459005342137</v>
      </c>
      <c r="EQ71" s="150">
        <f t="shared" si="261"/>
        <v>0.49202999999999997</v>
      </c>
      <c r="ER71" s="150">
        <f t="shared" si="262"/>
        <v>7.3218749999999999E-2</v>
      </c>
      <c r="ES71" s="456"/>
      <c r="EU71" s="144">
        <f t="shared" si="299"/>
        <v>565.24874999999997</v>
      </c>
      <c r="EV71" s="456">
        <f t="shared" si="263"/>
        <v>5.0238993034002338E-3</v>
      </c>
      <c r="EW71" s="456">
        <f t="shared" si="300"/>
        <v>4.2306520449686177E-2</v>
      </c>
      <c r="EX71" s="456">
        <f t="shared" si="264"/>
        <v>3.5231035484052404E-4</v>
      </c>
      <c r="EY71" s="456">
        <f t="shared" si="265"/>
        <v>0.18572544499675739</v>
      </c>
      <c r="EZ71" s="456">
        <f t="shared" si="266"/>
        <v>0.24578962395477594</v>
      </c>
      <c r="FA71" s="538">
        <f t="shared" si="267"/>
        <v>9.2369956548727511E-4</v>
      </c>
      <c r="FB71" s="144">
        <f t="shared" si="301"/>
        <v>246.7133235202632</v>
      </c>
      <c r="FC71" s="150">
        <f t="shared" si="302"/>
        <v>1.3749366635736844</v>
      </c>
      <c r="FD71" s="5">
        <f t="shared" si="303"/>
        <v>5.28</v>
      </c>
      <c r="FE71" s="150">
        <f t="shared" si="304"/>
        <v>0.79339598059595262</v>
      </c>
      <c r="FF71" s="5">
        <f t="shared" si="305"/>
        <v>79.339598059595261</v>
      </c>
      <c r="FG71">
        <f t="shared" si="306"/>
        <v>66</v>
      </c>
      <c r="FI71" s="59">
        <f t="shared" si="268"/>
        <v>-50</v>
      </c>
      <c r="FJ71">
        <f t="shared" si="269"/>
        <v>-50</v>
      </c>
      <c r="FL71">
        <f t="shared" si="270"/>
        <v>0.82883202513712817</v>
      </c>
    </row>
    <row r="72" spans="5:168">
      <c r="E72" s="147">
        <v>67</v>
      </c>
      <c r="F72" s="188">
        <f t="shared" ref="F72:F103" si="307">IF(PLOT_TYPE=1, E72/100*Iout_max, min_I*EXP(O72*rr/100))</f>
        <v>0.80400000000000005</v>
      </c>
      <c r="G72" s="188">
        <f t="shared" si="271"/>
        <v>0.16750000000000001</v>
      </c>
      <c r="H72" s="188">
        <f t="shared" si="176"/>
        <v>4.0200000000000005</v>
      </c>
      <c r="I72" s="188">
        <f t="shared" ref="I72:I105" si="308">Vout2*G72</f>
        <v>1.34</v>
      </c>
      <c r="J72" s="465">
        <f t="shared" si="177"/>
        <v>47.923723177726025</v>
      </c>
      <c r="K72" s="379">
        <f t="shared" si="178"/>
        <v>5.7291011921215391</v>
      </c>
      <c r="L72" s="149">
        <f t="shared" si="179"/>
        <v>53.652824369847565</v>
      </c>
      <c r="M72" s="379"/>
      <c r="N72" s="188">
        <f t="shared" si="180"/>
        <v>0.10678098048723127</v>
      </c>
      <c r="O72" s="149">
        <f t="shared" si="272"/>
        <v>9.5950165303429422</v>
      </c>
      <c r="P72" s="149">
        <f t="shared" si="181"/>
        <v>4.2644517912635296</v>
      </c>
      <c r="Q72" s="188">
        <f t="shared" si="182"/>
        <v>1.9190033060685885</v>
      </c>
      <c r="R72" s="188">
        <f t="shared" si="183"/>
        <v>1.1993770662928678</v>
      </c>
      <c r="S72" s="379">
        <f t="shared" si="184"/>
        <v>5</v>
      </c>
      <c r="T72" s="188">
        <f t="shared" si="185"/>
        <v>2.0948374540509098</v>
      </c>
      <c r="U72" s="188">
        <f t="shared" si="186"/>
        <v>0.52454291490220806</v>
      </c>
      <c r="V72" s="188">
        <f t="shared" si="187"/>
        <v>4.3877824122184981</v>
      </c>
      <c r="W72" s="172">
        <f t="shared" si="188"/>
        <v>350</v>
      </c>
      <c r="X72" s="379">
        <f t="shared" si="273"/>
        <v>195.60570503896437</v>
      </c>
      <c r="Z72" s="188">
        <f t="shared" si="189"/>
        <v>1.2184147975038655</v>
      </c>
      <c r="AA72" s="150">
        <f t="shared" si="190"/>
        <v>2.5520543414650532</v>
      </c>
      <c r="AB72" s="150">
        <f t="shared" si="191"/>
        <v>0.54415563539312561</v>
      </c>
      <c r="AC72" s="150"/>
      <c r="AD72" s="150">
        <f t="shared" si="192"/>
        <v>2.0945693918798267</v>
      </c>
      <c r="AE72" s="314">
        <f t="shared" si="193"/>
        <v>767.69955974428615</v>
      </c>
      <c r="AF72" s="456">
        <f t="shared" si="194"/>
        <v>0.36654964357896969</v>
      </c>
      <c r="AH72" s="150">
        <f t="shared" si="195"/>
        <v>1.5976172734359606</v>
      </c>
      <c r="AI72" s="150">
        <f t="shared" si="196"/>
        <v>2.0948374540509098</v>
      </c>
      <c r="AJ72" s="150">
        <f t="shared" si="197"/>
        <v>2.0109907067043777</v>
      </c>
      <c r="AL72" s="314">
        <f t="shared" si="198"/>
        <v>804</v>
      </c>
      <c r="AM72" s="144">
        <f t="shared" si="199"/>
        <v>195.60570503896437</v>
      </c>
      <c r="AO72">
        <f t="shared" si="274"/>
        <v>804</v>
      </c>
      <c r="AP72">
        <f t="shared" si="200"/>
        <v>195.60570503896437</v>
      </c>
      <c r="AR72" s="5">
        <f t="shared" si="275"/>
        <v>5.1123253271207068</v>
      </c>
      <c r="AS72" s="5">
        <f t="shared" si="201"/>
        <v>0.52454291490220806</v>
      </c>
      <c r="AT72" s="5">
        <f t="shared" si="276"/>
        <v>4.5877824122184983</v>
      </c>
      <c r="AU72" s="150">
        <f t="shared" si="277"/>
        <v>0.1026035866926399</v>
      </c>
      <c r="AW72" s="5">
        <f t="shared" si="202"/>
        <v>8.434650071627507</v>
      </c>
      <c r="AX72" s="5">
        <f t="shared" si="203"/>
        <v>1.0982617280764984</v>
      </c>
      <c r="AY72" s="5">
        <f t="shared" si="204"/>
        <v>0.16034930157591765</v>
      </c>
      <c r="AZ72" s="5"/>
      <c r="BA72" s="150">
        <f t="shared" si="278"/>
        <v>0.38741013143848563</v>
      </c>
      <c r="BB72" s="150">
        <f t="shared" si="205"/>
        <v>1.1457288988632146</v>
      </c>
      <c r="BC72" s="150">
        <f t="shared" si="206"/>
        <v>0.25610410680471857</v>
      </c>
      <c r="BD72" s="150"/>
      <c r="BE72" s="456">
        <f t="shared" si="207"/>
        <v>3.0017321988236945E-3</v>
      </c>
      <c r="BF72" s="456">
        <f t="shared" si="208"/>
        <v>0.41221681969746032</v>
      </c>
      <c r="BG72" s="456">
        <f t="shared" si="209"/>
        <v>0.2343538415067814</v>
      </c>
      <c r="BH72" s="456">
        <f t="shared" si="210"/>
        <v>5.6307558276675017E-2</v>
      </c>
      <c r="BI72">
        <f t="shared" si="211"/>
        <v>2.156567542997671E-2</v>
      </c>
      <c r="BJ72" s="144">
        <f t="shared" si="279"/>
        <v>255.91951693675813</v>
      </c>
      <c r="BK72">
        <f t="shared" si="212"/>
        <v>0.47267369421439798</v>
      </c>
      <c r="BL72" s="144">
        <f t="shared" si="280"/>
        <v>472.67369421439798</v>
      </c>
      <c r="BM72" s="150">
        <f t="shared" si="213"/>
        <v>0.49948499999999996</v>
      </c>
      <c r="BN72" s="150">
        <f t="shared" si="214"/>
        <v>7.4328124999999995E-2</v>
      </c>
      <c r="BO72" s="456"/>
      <c r="BQ72" s="144">
        <f t="shared" si="281"/>
        <v>573.8131249999999</v>
      </c>
      <c r="BR72" s="456">
        <f t="shared" si="215"/>
        <v>4.5025982982355413E-3</v>
      </c>
      <c r="BS72" s="456">
        <f t="shared" si="216"/>
        <v>3.9380841290709429E-2</v>
      </c>
      <c r="BT72" s="456">
        <f t="shared" si="217"/>
        <v>3.2794656761121348E-4</v>
      </c>
      <c r="BU72" s="456">
        <f t="shared" si="218"/>
        <v>0.16994156872145424</v>
      </c>
      <c r="BV72" s="456">
        <f t="shared" si="219"/>
        <v>0.22556147840549021</v>
      </c>
      <c r="BW72" s="538">
        <f t="shared" si="220"/>
        <v>8.5838511403303847E-4</v>
      </c>
      <c r="BX72" s="144">
        <f t="shared" si="282"/>
        <v>226.41986351952326</v>
      </c>
      <c r="BY72" s="150">
        <f t="shared" si="283"/>
        <v>1.2729066827339213</v>
      </c>
      <c r="BZ72" s="5">
        <f t="shared" si="284"/>
        <v>5.36</v>
      </c>
      <c r="CA72" s="150">
        <f t="shared" si="285"/>
        <v>0.80809217683592371</v>
      </c>
      <c r="CB72" s="5">
        <f t="shared" si="286"/>
        <v>80.809217683592365</v>
      </c>
      <c r="CC72">
        <f t="shared" si="287"/>
        <v>67</v>
      </c>
      <c r="CE72" s="59">
        <f t="shared" si="221"/>
        <v>-50</v>
      </c>
      <c r="CF72">
        <f t="shared" si="222"/>
        <v>-50</v>
      </c>
      <c r="CG72" s="150">
        <f t="shared" si="223"/>
        <v>0.82883202513712817</v>
      </c>
      <c r="CH72" s="150">
        <f t="shared" si="224"/>
        <v>0.44965289283354887</v>
      </c>
      <c r="CI72" s="147">
        <v>67</v>
      </c>
      <c r="CJ72" s="188">
        <f t="shared" ref="CJ72:CJ105" si="309">IF(PLOT_TYPE=1, CI72/100*Iout_max, min_I*EXP(CS72*rr/100))</f>
        <v>0.80400000000000005</v>
      </c>
      <c r="CK72" s="188">
        <f t="shared" si="288"/>
        <v>0.16750000000000001</v>
      </c>
      <c r="CL72" s="188">
        <f t="shared" si="225"/>
        <v>4.0200000000000005</v>
      </c>
      <c r="CM72" s="188">
        <f t="shared" ref="CM72:CM105" si="310">Vout2*CK72</f>
        <v>1.34</v>
      </c>
      <c r="CN72" s="465">
        <f t="shared" si="289"/>
        <v>48</v>
      </c>
      <c r="CO72" s="379">
        <f t="shared" si="226"/>
        <v>5.7</v>
      </c>
      <c r="CP72" s="379">
        <f t="shared" si="227"/>
        <v>53.7</v>
      </c>
      <c r="CQ72" s="379"/>
      <c r="CR72" s="188">
        <f t="shared" si="228"/>
        <v>0.10112359550561799</v>
      </c>
      <c r="CS72" s="149">
        <f t="shared" si="290"/>
        <v>9.1011235955056193</v>
      </c>
      <c r="CT72" s="149">
        <f t="shared" si="229"/>
        <v>4.0449438202247192</v>
      </c>
      <c r="CU72" s="188">
        <f t="shared" si="230"/>
        <v>1.8202247191011238</v>
      </c>
      <c r="CV72" s="188">
        <f t="shared" si="231"/>
        <v>1.1376404494382024</v>
      </c>
      <c r="CW72" s="379">
        <f t="shared" si="232"/>
        <v>5</v>
      </c>
      <c r="CX72" s="188">
        <f t="shared" si="233"/>
        <v>2.2085185185185185</v>
      </c>
      <c r="CY72" s="188">
        <f t="shared" si="234"/>
        <v>0.55212962962962964</v>
      </c>
      <c r="CZ72" s="188">
        <f t="shared" si="235"/>
        <v>4.6495126705653016</v>
      </c>
      <c r="DA72" s="172">
        <f t="shared" si="236"/>
        <v>350</v>
      </c>
      <c r="DB72" s="379">
        <f t="shared" si="291"/>
        <v>192.24697552973316</v>
      </c>
      <c r="DD72" s="188">
        <f t="shared" si="237"/>
        <v>1.2130885873902635</v>
      </c>
      <c r="DE72" s="150">
        <f t="shared" si="238"/>
        <v>2.5538707102952913</v>
      </c>
      <c r="DF72" s="150">
        <f t="shared" si="239"/>
        <v>0.54216249715765974</v>
      </c>
      <c r="DG72" s="150"/>
      <c r="DH72" s="150">
        <f t="shared" si="240"/>
        <v>2.1052631578947367</v>
      </c>
      <c r="DI72" s="314">
        <f t="shared" si="241"/>
        <v>763.80000000000007</v>
      </c>
      <c r="DJ72" s="456">
        <f t="shared" si="242"/>
        <v>0.36842105263157893</v>
      </c>
      <c r="DL72" s="150">
        <f t="shared" si="243"/>
        <v>1.5976172734359606</v>
      </c>
      <c r="DM72" s="150">
        <f t="shared" si="244"/>
        <v>2.2085185185185185</v>
      </c>
      <c r="DN72" s="150">
        <f t="shared" si="245"/>
        <v>2.09519890260631</v>
      </c>
      <c r="DP72" s="314">
        <f t="shared" si="246"/>
        <v>804</v>
      </c>
      <c r="DQ72" s="144">
        <f t="shared" si="247"/>
        <v>192.24697552973316</v>
      </c>
      <c r="DS72">
        <f t="shared" si="292"/>
        <v>804</v>
      </c>
      <c r="DT72">
        <f t="shared" si="248"/>
        <v>192.24697552973316</v>
      </c>
      <c r="DV72" s="5">
        <f t="shared" si="293"/>
        <v>5.2016423001949317</v>
      </c>
      <c r="DW72" s="5">
        <f t="shared" si="249"/>
        <v>0.55212962962962964</v>
      </c>
      <c r="DX72" s="5">
        <f t="shared" si="294"/>
        <v>4.6495126705653025</v>
      </c>
      <c r="DY72" s="150">
        <f t="shared" si="295"/>
        <v>0.10614525139664804</v>
      </c>
      <c r="EA72" s="5">
        <f t="shared" si="250"/>
        <v>8.8782444444444444</v>
      </c>
      <c r="EB72" s="5">
        <f t="shared" si="251"/>
        <v>1.1560214120370369</v>
      </c>
      <c r="EC72" s="5">
        <f t="shared" si="252"/>
        <v>0.16224861923326836</v>
      </c>
      <c r="ED72" s="5"/>
      <c r="EE72" s="150">
        <f t="shared" si="296"/>
        <v>0.41542315794912027</v>
      </c>
      <c r="EF72" s="150">
        <f t="shared" si="253"/>
        <v>1.2055185393511476</v>
      </c>
      <c r="EG72" s="150">
        <f t="shared" si="254"/>
        <v>0.26946884997260945</v>
      </c>
      <c r="EH72" s="150"/>
      <c r="EI72" s="456">
        <f t="shared" si="255"/>
        <v>3.4515280032083946E-3</v>
      </c>
      <c r="EJ72" s="456">
        <f t="shared" si="256"/>
        <v>0.45600000000000002</v>
      </c>
      <c r="EK72" s="456">
        <f t="shared" si="257"/>
        <v>2.4030871941216645E-2</v>
      </c>
      <c r="EL72" s="456">
        <f t="shared" si="258"/>
        <v>5.5438068086533628E-2</v>
      </c>
      <c r="EM72">
        <f t="shared" si="259"/>
        <v>2.1600000000000001E-2</v>
      </c>
      <c r="EN72" s="144">
        <f t="shared" si="297"/>
        <v>45.630871941216647</v>
      </c>
      <c r="EO72">
        <f t="shared" si="260"/>
        <v>0.56191319608150447</v>
      </c>
      <c r="EP72" s="144">
        <f t="shared" si="298"/>
        <v>561.91319608150445</v>
      </c>
      <c r="EQ72" s="150">
        <f t="shared" si="261"/>
        <v>0.49948499999999996</v>
      </c>
      <c r="ER72" s="150">
        <f t="shared" si="262"/>
        <v>7.4328124999999995E-2</v>
      </c>
      <c r="ES72" s="456"/>
      <c r="EU72" s="144">
        <f t="shared" si="299"/>
        <v>573.8131249999999</v>
      </c>
      <c r="EV72" s="456">
        <f t="shared" si="263"/>
        <v>5.1772920048125913E-3</v>
      </c>
      <c r="EW72" s="456">
        <f t="shared" si="300"/>
        <v>4.3598248461579732E-2</v>
      </c>
      <c r="EX72" s="456">
        <f t="shared" si="264"/>
        <v>3.6306730552780354E-4</v>
      </c>
      <c r="EY72" s="456">
        <f t="shared" si="265"/>
        <v>0.18572544499675733</v>
      </c>
      <c r="EZ72" s="456">
        <f t="shared" si="266"/>
        <v>0.24763077716444545</v>
      </c>
      <c r="FA72" s="538">
        <f t="shared" si="267"/>
        <v>9.3769501344920345E-4</v>
      </c>
      <c r="FB72" s="144">
        <f t="shared" si="301"/>
        <v>248.56847217789465</v>
      </c>
      <c r="FC72" s="150">
        <f t="shared" si="302"/>
        <v>1.3842947932593992</v>
      </c>
      <c r="FD72" s="5">
        <f t="shared" si="303"/>
        <v>5.36</v>
      </c>
      <c r="FE72" s="150">
        <f t="shared" si="304"/>
        <v>0.79474580579678455</v>
      </c>
      <c r="FF72" s="5">
        <f t="shared" si="305"/>
        <v>79.474580579678459</v>
      </c>
      <c r="FG72">
        <f t="shared" si="306"/>
        <v>67</v>
      </c>
      <c r="FI72" s="59">
        <f t="shared" si="268"/>
        <v>-50</v>
      </c>
      <c r="FJ72">
        <f t="shared" si="269"/>
        <v>-50</v>
      </c>
      <c r="FL72">
        <f t="shared" si="270"/>
        <v>0.82883202513712817</v>
      </c>
    </row>
    <row r="73" spans="5:168">
      <c r="E73" s="147">
        <v>68</v>
      </c>
      <c r="F73" s="188">
        <f t="shared" si="307"/>
        <v>0.81600000000000006</v>
      </c>
      <c r="G73" s="188">
        <f t="shared" si="271"/>
        <v>0.17</v>
      </c>
      <c r="H73" s="188">
        <f t="shared" si="176"/>
        <v>4.08</v>
      </c>
      <c r="I73" s="188">
        <f t="shared" si="308"/>
        <v>1.36</v>
      </c>
      <c r="J73" s="465">
        <f t="shared" si="177"/>
        <v>47.922584717692082</v>
      </c>
      <c r="K73" s="379">
        <f t="shared" si="178"/>
        <v>5.7295355382726072</v>
      </c>
      <c r="L73" s="149">
        <f t="shared" si="179"/>
        <v>53.652120255964689</v>
      </c>
      <c r="M73" s="379"/>
      <c r="N73" s="188">
        <f t="shared" si="180"/>
        <v>0.10679047744875721</v>
      </c>
      <c r="O73" s="149">
        <f t="shared" si="272"/>
        <v>9.5956419423390997</v>
      </c>
      <c r="P73" s="149">
        <f t="shared" si="181"/>
        <v>4.2647297521507106</v>
      </c>
      <c r="Q73" s="188">
        <f t="shared" si="182"/>
        <v>1.9191283884678199</v>
      </c>
      <c r="R73" s="188">
        <f t="shared" si="183"/>
        <v>1.1994552427923875</v>
      </c>
      <c r="S73" s="379">
        <f t="shared" si="184"/>
        <v>5</v>
      </c>
      <c r="T73" s="188">
        <f t="shared" si="185"/>
        <v>2.1259651123484038</v>
      </c>
      <c r="U73" s="188">
        <f t="shared" si="186"/>
        <v>0.53234986172944188</v>
      </c>
      <c r="V73" s="188">
        <f t="shared" si="187"/>
        <v>4.4526438797292656</v>
      </c>
      <c r="W73" s="172">
        <f t="shared" si="188"/>
        <v>350</v>
      </c>
      <c r="X73" s="379">
        <f t="shared" si="273"/>
        <v>192.8642636545724</v>
      </c>
      <c r="Z73" s="188">
        <f t="shared" si="189"/>
        <v>1.2184942149002032</v>
      </c>
      <c r="AA73" s="150">
        <f t="shared" si="190"/>
        <v>2.5520272072892651</v>
      </c>
      <c r="AB73" s="150">
        <f t="shared" si="191"/>
        <v>0.54418531796123093</v>
      </c>
      <c r="AC73" s="150"/>
      <c r="AD73" s="150">
        <f t="shared" si="192"/>
        <v>2.0944106062073349</v>
      </c>
      <c r="AE73" s="314">
        <f t="shared" si="193"/>
        <v>779.21683320507464</v>
      </c>
      <c r="AF73" s="456">
        <f t="shared" si="194"/>
        <v>0.36652185608628363</v>
      </c>
      <c r="AH73" s="150">
        <f t="shared" si="195"/>
        <v>1.6094956323259131</v>
      </c>
      <c r="AI73" s="150">
        <f t="shared" si="196"/>
        <v>2.1259651123484038</v>
      </c>
      <c r="AJ73" s="150">
        <f t="shared" si="197"/>
        <v>2.0340482313691881</v>
      </c>
      <c r="AL73" s="314">
        <f t="shared" si="198"/>
        <v>816.00000000000011</v>
      </c>
      <c r="AM73" s="144">
        <f t="shared" si="199"/>
        <v>192.8642636545724</v>
      </c>
      <c r="AO73">
        <f t="shared" si="274"/>
        <v>816.00000000000011</v>
      </c>
      <c r="AP73">
        <f t="shared" si="200"/>
        <v>192.8642636545724</v>
      </c>
      <c r="AR73" s="5">
        <f t="shared" si="275"/>
        <v>5.1849937414587073</v>
      </c>
      <c r="AS73" s="5">
        <f t="shared" si="201"/>
        <v>0.53234986172944188</v>
      </c>
      <c r="AT73" s="5">
        <f t="shared" si="276"/>
        <v>4.6526438797292657</v>
      </c>
      <c r="AU73" s="150">
        <f t="shared" si="277"/>
        <v>0.10267126408906224</v>
      </c>
      <c r="AW73" s="5">
        <f t="shared" si="202"/>
        <v>8.6879497434244932</v>
      </c>
      <c r="AX73" s="5">
        <f t="shared" si="203"/>
        <v>1.1312434561750639</v>
      </c>
      <c r="AY73" s="5">
        <f t="shared" si="204"/>
        <v>0.16504732877272621</v>
      </c>
      <c r="AZ73" s="5"/>
      <c r="BA73" s="150">
        <f t="shared" si="278"/>
        <v>0.39329639038935055</v>
      </c>
      <c r="BB73" s="150">
        <f t="shared" si="205"/>
        <v>1.1627096953299338</v>
      </c>
      <c r="BC73" s="150">
        <f t="shared" si="206"/>
        <v>0.25989981425022057</v>
      </c>
      <c r="BD73" s="150"/>
      <c r="BE73" s="456">
        <f t="shared" si="207"/>
        <v>3.0936410138658488E-3</v>
      </c>
      <c r="BF73" s="456">
        <f t="shared" si="208"/>
        <v>0.41247350607558014</v>
      </c>
      <c r="BG73" s="456">
        <f t="shared" si="209"/>
        <v>0.23106385035003871</v>
      </c>
      <c r="BH73" s="456">
        <f t="shared" si="210"/>
        <v>5.551694276781647E-2</v>
      </c>
      <c r="BI73">
        <f t="shared" si="211"/>
        <v>2.1565163122961438E-2</v>
      </c>
      <c r="BJ73" s="144">
        <f t="shared" si="279"/>
        <v>252.62901347300016</v>
      </c>
      <c r="BK73">
        <f t="shared" si="212"/>
        <v>0.47226651200792935</v>
      </c>
      <c r="BL73" s="144">
        <f t="shared" si="280"/>
        <v>472.26651200792935</v>
      </c>
      <c r="BM73" s="150">
        <f t="shared" si="213"/>
        <v>0.50694000000000006</v>
      </c>
      <c r="BN73" s="150">
        <f t="shared" si="214"/>
        <v>7.5437500000000005E-2</v>
      </c>
      <c r="BO73" s="456"/>
      <c r="BQ73" s="144">
        <f t="shared" si="281"/>
        <v>582.37750000000005</v>
      </c>
      <c r="BR73" s="456">
        <f t="shared" si="215"/>
        <v>4.6404615207987733E-3</v>
      </c>
      <c r="BS73" s="456">
        <f t="shared" si="216"/>
        <v>4.055681506842683E-2</v>
      </c>
      <c r="BT73" s="456">
        <f t="shared" si="217"/>
        <v>3.3773956723649577E-4</v>
      </c>
      <c r="BU73" s="456">
        <f t="shared" si="218"/>
        <v>0.17021183214840094</v>
      </c>
      <c r="BV73" s="456">
        <f t="shared" si="219"/>
        <v>0.22750400406246546</v>
      </c>
      <c r="BW73" s="538">
        <f t="shared" si="220"/>
        <v>8.7169394685730414E-4</v>
      </c>
      <c r="BX73" s="144">
        <f t="shared" si="282"/>
        <v>228.37569800932275</v>
      </c>
      <c r="BY73" s="150">
        <f t="shared" si="283"/>
        <v>1.2830197100172522</v>
      </c>
      <c r="BZ73" s="5">
        <f t="shared" si="284"/>
        <v>5.44</v>
      </c>
      <c r="CA73" s="150">
        <f t="shared" si="285"/>
        <v>0.80916020399203026</v>
      </c>
      <c r="CB73" s="5">
        <f t="shared" si="286"/>
        <v>80.91602039920302</v>
      </c>
      <c r="CC73">
        <f t="shared" si="287"/>
        <v>68</v>
      </c>
      <c r="CE73" s="59">
        <f t="shared" si="221"/>
        <v>-50</v>
      </c>
      <c r="CF73">
        <f t="shared" si="222"/>
        <v>-50</v>
      </c>
      <c r="CG73" s="150">
        <f t="shared" si="223"/>
        <v>0.82883202513712806</v>
      </c>
      <c r="CH73" s="150">
        <f t="shared" si="224"/>
        <v>0.44965289283354887</v>
      </c>
      <c r="CI73" s="147">
        <v>68</v>
      </c>
      <c r="CJ73" s="188">
        <f t="shared" si="309"/>
        <v>0.81600000000000006</v>
      </c>
      <c r="CK73" s="188">
        <f t="shared" si="288"/>
        <v>0.17</v>
      </c>
      <c r="CL73" s="188">
        <f t="shared" si="225"/>
        <v>4.08</v>
      </c>
      <c r="CM73" s="188">
        <f t="shared" si="310"/>
        <v>1.36</v>
      </c>
      <c r="CN73" s="465">
        <f t="shared" si="289"/>
        <v>48</v>
      </c>
      <c r="CO73" s="379">
        <f t="shared" si="226"/>
        <v>5.7</v>
      </c>
      <c r="CP73" s="379">
        <f t="shared" si="227"/>
        <v>53.7</v>
      </c>
      <c r="CQ73" s="379"/>
      <c r="CR73" s="188">
        <f t="shared" si="228"/>
        <v>0.10112359550561799</v>
      </c>
      <c r="CS73" s="149">
        <f t="shared" si="290"/>
        <v>9.1011235955056193</v>
      </c>
      <c r="CT73" s="149">
        <f t="shared" si="229"/>
        <v>4.0449438202247192</v>
      </c>
      <c r="CU73" s="188">
        <f t="shared" si="230"/>
        <v>1.8202247191011238</v>
      </c>
      <c r="CV73" s="188">
        <f t="shared" si="231"/>
        <v>1.1376404494382024</v>
      </c>
      <c r="CW73" s="379">
        <f t="shared" si="232"/>
        <v>5</v>
      </c>
      <c r="CX73" s="188">
        <f t="shared" si="233"/>
        <v>2.2414814814814816</v>
      </c>
      <c r="CY73" s="188">
        <f t="shared" si="234"/>
        <v>0.56037037037037041</v>
      </c>
      <c r="CZ73" s="188">
        <f t="shared" si="235"/>
        <v>4.7189083820662772</v>
      </c>
      <c r="DA73" s="172">
        <f t="shared" si="236"/>
        <v>350</v>
      </c>
      <c r="DB73" s="379">
        <f t="shared" si="291"/>
        <v>189.41981412488411</v>
      </c>
      <c r="DD73" s="188">
        <f t="shared" si="237"/>
        <v>1.2130885873902635</v>
      </c>
      <c r="DE73" s="150">
        <f t="shared" si="238"/>
        <v>2.5538707102952913</v>
      </c>
      <c r="DF73" s="150">
        <f t="shared" si="239"/>
        <v>0.54216249715765974</v>
      </c>
      <c r="DG73" s="150"/>
      <c r="DH73" s="150">
        <f t="shared" si="240"/>
        <v>2.1052631578947367</v>
      </c>
      <c r="DI73" s="314">
        <f t="shared" si="241"/>
        <v>775.20000000000016</v>
      </c>
      <c r="DJ73" s="456">
        <f t="shared" si="242"/>
        <v>0.36842105263157893</v>
      </c>
      <c r="DL73" s="150">
        <f t="shared" si="243"/>
        <v>1.6094956323259131</v>
      </c>
      <c r="DM73" s="150">
        <f t="shared" si="244"/>
        <v>2.2414814814814816</v>
      </c>
      <c r="DN73" s="150">
        <f t="shared" si="245"/>
        <v>2.1196159122085048</v>
      </c>
      <c r="DP73" s="314">
        <f t="shared" si="246"/>
        <v>816.00000000000011</v>
      </c>
      <c r="DQ73" s="144">
        <f t="shared" si="247"/>
        <v>189.41981412488411</v>
      </c>
      <c r="DS73">
        <f t="shared" si="292"/>
        <v>816.00000000000011</v>
      </c>
      <c r="DT73">
        <f t="shared" si="248"/>
        <v>189.41981412488411</v>
      </c>
      <c r="DV73" s="5">
        <f t="shared" si="293"/>
        <v>5.2792787524366487</v>
      </c>
      <c r="DW73" s="5">
        <f t="shared" si="249"/>
        <v>0.56037037037037041</v>
      </c>
      <c r="DX73" s="5">
        <f t="shared" si="294"/>
        <v>4.7189083820662781</v>
      </c>
      <c r="DY73" s="150">
        <f t="shared" si="295"/>
        <v>0.10614525139664802</v>
      </c>
      <c r="EA73" s="5">
        <f t="shared" si="250"/>
        <v>9.1452444444444456</v>
      </c>
      <c r="EB73" s="5">
        <f t="shared" si="251"/>
        <v>1.1907870370370373</v>
      </c>
      <c r="EC73" s="5">
        <f t="shared" si="252"/>
        <v>0.16712800519818069</v>
      </c>
      <c r="ED73" s="5"/>
      <c r="EE73" s="150">
        <f t="shared" si="296"/>
        <v>0.42162350359015194</v>
      </c>
      <c r="EF73" s="150">
        <f t="shared" si="253"/>
        <v>1.223511353371314</v>
      </c>
      <c r="EG73" s="150">
        <f t="shared" si="254"/>
        <v>0.27349077310652903</v>
      </c>
      <c r="EH73" s="150"/>
      <c r="EI73" s="456">
        <f t="shared" si="255"/>
        <v>3.5553275755926973E-3</v>
      </c>
      <c r="EJ73" s="456">
        <f t="shared" si="256"/>
        <v>0.45599999999999996</v>
      </c>
      <c r="EK73" s="456">
        <f t="shared" si="257"/>
        <v>2.3677476765610512E-2</v>
      </c>
      <c r="EL73" s="456">
        <f t="shared" si="258"/>
        <v>5.4622802379378721E-2</v>
      </c>
      <c r="EM73">
        <f t="shared" si="259"/>
        <v>2.1600000000000001E-2</v>
      </c>
      <c r="EN73" s="144">
        <f t="shared" si="297"/>
        <v>45.277476765610515</v>
      </c>
      <c r="EO73">
        <f t="shared" si="260"/>
        <v>0.56088935411006746</v>
      </c>
      <c r="EP73" s="144">
        <f t="shared" si="298"/>
        <v>560.88935411006742</v>
      </c>
      <c r="EQ73" s="150">
        <f t="shared" si="261"/>
        <v>0.50694000000000006</v>
      </c>
      <c r="ER73" s="150">
        <f t="shared" si="262"/>
        <v>7.5437500000000005E-2</v>
      </c>
      <c r="ES73" s="456"/>
      <c r="EU73" s="144">
        <f t="shared" si="299"/>
        <v>582.37750000000005</v>
      </c>
      <c r="EV73" s="456">
        <f t="shared" si="263"/>
        <v>5.3329913633890459E-3</v>
      </c>
      <c r="EW73" s="456">
        <f t="shared" si="300"/>
        <v>4.4909400954855135E-2</v>
      </c>
      <c r="EX73" s="456">
        <f t="shared" si="264"/>
        <v>3.7398601487203468E-4</v>
      </c>
      <c r="EY73" s="456">
        <f t="shared" si="265"/>
        <v>0.18572544499675744</v>
      </c>
      <c r="EZ73" s="456">
        <f t="shared" si="266"/>
        <v>0.24950005727326779</v>
      </c>
      <c r="FA73" s="538">
        <f t="shared" si="267"/>
        <v>9.5169046141113189E-4</v>
      </c>
      <c r="FB73" s="144">
        <f t="shared" si="301"/>
        <v>250.45174773467892</v>
      </c>
      <c r="FC73" s="150">
        <f t="shared" si="302"/>
        <v>1.3937186018447465</v>
      </c>
      <c r="FD73" s="5">
        <f t="shared" si="303"/>
        <v>5.44</v>
      </c>
      <c r="FE73" s="150">
        <f t="shared" si="304"/>
        <v>0.7960526789223491</v>
      </c>
      <c r="FF73" s="5">
        <f t="shared" si="305"/>
        <v>79.605267892234906</v>
      </c>
      <c r="FG73">
        <f t="shared" si="306"/>
        <v>68</v>
      </c>
      <c r="FI73" s="59">
        <f t="shared" si="268"/>
        <v>-50</v>
      </c>
      <c r="FJ73">
        <f t="shared" si="269"/>
        <v>-50</v>
      </c>
      <c r="FL73">
        <f t="shared" si="270"/>
        <v>0.82883202513712817</v>
      </c>
    </row>
    <row r="74" spans="5:168">
      <c r="E74" s="147">
        <v>69</v>
      </c>
      <c r="F74" s="188">
        <f t="shared" si="307"/>
        <v>0.82799999999999996</v>
      </c>
      <c r="G74" s="188">
        <f t="shared" si="271"/>
        <v>0.17249999999999999</v>
      </c>
      <c r="H74" s="188">
        <f t="shared" si="176"/>
        <v>4.1399999999999997</v>
      </c>
      <c r="I74" s="188">
        <f t="shared" si="308"/>
        <v>1.38</v>
      </c>
      <c r="J74" s="465">
        <f t="shared" si="177"/>
        <v>47.92144625765814</v>
      </c>
      <c r="K74" s="379">
        <f t="shared" si="178"/>
        <v>5.7299698844236753</v>
      </c>
      <c r="L74" s="149">
        <f t="shared" si="179"/>
        <v>53.651416142081814</v>
      </c>
      <c r="M74" s="379"/>
      <c r="N74" s="188">
        <f t="shared" si="180"/>
        <v>0.10679997465955682</v>
      </c>
      <c r="O74" s="149">
        <f t="shared" si="272"/>
        <v>9.5962673361885038</v>
      </c>
      <c r="P74" s="149">
        <f t="shared" si="181"/>
        <v>4.2650077049726685</v>
      </c>
      <c r="Q74" s="188">
        <f t="shared" si="182"/>
        <v>1.9192534672377008</v>
      </c>
      <c r="R74" s="188">
        <f t="shared" si="183"/>
        <v>1.199533417023563</v>
      </c>
      <c r="S74" s="379">
        <f t="shared" si="184"/>
        <v>5</v>
      </c>
      <c r="T74" s="188">
        <f t="shared" si="185"/>
        <v>2.1570887173951672</v>
      </c>
      <c r="U74" s="188">
        <f t="shared" si="186"/>
        <v>0.54015616451904169</v>
      </c>
      <c r="V74" s="188">
        <f t="shared" si="187"/>
        <v>4.5174870253869654</v>
      </c>
      <c r="W74" s="172">
        <f t="shared" si="188"/>
        <v>350</v>
      </c>
      <c r="X74" s="379">
        <f t="shared" si="273"/>
        <v>190.19928965888562</v>
      </c>
      <c r="Z74" s="188">
        <f t="shared" si="189"/>
        <v>1.218573629992191</v>
      </c>
      <c r="AA74" s="150">
        <f t="shared" si="190"/>
        <v>2.5520000724012659</v>
      </c>
      <c r="AB74" s="150">
        <f t="shared" si="191"/>
        <v>0.54421499859411038</v>
      </c>
      <c r="AC74" s="150"/>
      <c r="AD74" s="150">
        <f t="shared" si="192"/>
        <v>2.0942518446075518</v>
      </c>
      <c r="AE74" s="314">
        <f t="shared" si="193"/>
        <v>790.73584405046711</v>
      </c>
      <c r="AF74" s="456">
        <f t="shared" si="194"/>
        <v>0.36649407280632151</v>
      </c>
      <c r="AH74" s="150">
        <f t="shared" si="195"/>
        <v>1.6212869667555549</v>
      </c>
      <c r="AI74" s="150">
        <f t="shared" si="196"/>
        <v>2.1570887173951672</v>
      </c>
      <c r="AJ74" s="150">
        <f t="shared" si="197"/>
        <v>2.0571027536260496</v>
      </c>
      <c r="AL74" s="314">
        <f t="shared" si="198"/>
        <v>828</v>
      </c>
      <c r="AM74" s="144">
        <f t="shared" si="199"/>
        <v>190.19928965888562</v>
      </c>
      <c r="AO74">
        <f t="shared" si="274"/>
        <v>828</v>
      </c>
      <c r="AP74">
        <f t="shared" si="200"/>
        <v>190.19928965888562</v>
      </c>
      <c r="AR74" s="5">
        <f t="shared" si="275"/>
        <v>5.2576431899060072</v>
      </c>
      <c r="AS74" s="5">
        <f t="shared" si="201"/>
        <v>0.54015616451904169</v>
      </c>
      <c r="AT74" s="5">
        <f t="shared" si="276"/>
        <v>4.7174870253869656</v>
      </c>
      <c r="AU74" s="150">
        <f t="shared" si="277"/>
        <v>0.10273731879638988</v>
      </c>
      <c r="AW74" s="5">
        <f t="shared" si="202"/>
        <v>8.9449860844353299</v>
      </c>
      <c r="AX74" s="5">
        <f t="shared" si="203"/>
        <v>1.1647117297441836</v>
      </c>
      <c r="AY74" s="5">
        <f t="shared" si="204"/>
        <v>0.16981259444965238</v>
      </c>
      <c r="AZ74" s="5"/>
      <c r="BA74" s="150">
        <f t="shared" si="278"/>
        <v>0.39918249990824273</v>
      </c>
      <c r="BB74" s="150">
        <f t="shared" si="205"/>
        <v>1.1796880562270893</v>
      </c>
      <c r="BC74" s="150">
        <f t="shared" si="206"/>
        <v>0.26369497727429059</v>
      </c>
      <c r="BD74" s="150"/>
      <c r="BE74" s="456">
        <f t="shared" si="207"/>
        <v>3.1869333646598842E-3</v>
      </c>
      <c r="BF74" s="456">
        <f t="shared" si="208"/>
        <v>0.41272365387456023</v>
      </c>
      <c r="BG74" s="456">
        <f t="shared" si="209"/>
        <v>0.22786562594082602</v>
      </c>
      <c r="BH74" s="456">
        <f t="shared" si="210"/>
        <v>5.4748379646171783E-2</v>
      </c>
      <c r="BI74">
        <f t="shared" si="211"/>
        <v>2.1564650815946163E-2</v>
      </c>
      <c r="BJ74" s="144">
        <f t="shared" si="279"/>
        <v>249.43027675677217</v>
      </c>
      <c r="BK74">
        <f t="shared" si="212"/>
        <v>0.47187675122141409</v>
      </c>
      <c r="BL74" s="144">
        <f t="shared" si="280"/>
        <v>471.87675122141411</v>
      </c>
      <c r="BM74" s="150">
        <f t="shared" si="213"/>
        <v>0.51439499999999982</v>
      </c>
      <c r="BN74" s="150">
        <f t="shared" si="214"/>
        <v>7.6546874999999986E-2</v>
      </c>
      <c r="BO74" s="456"/>
      <c r="BQ74" s="144">
        <f t="shared" si="281"/>
        <v>590.94187499999987</v>
      </c>
      <c r="BR74" s="456">
        <f t="shared" si="215"/>
        <v>4.7804000469898258E-3</v>
      </c>
      <c r="BS74" s="456">
        <f t="shared" si="216"/>
        <v>4.1749917300145448E-2</v>
      </c>
      <c r="BT74" s="456">
        <f t="shared" si="217"/>
        <v>3.4767520519844318E-4</v>
      </c>
      <c r="BU74" s="456">
        <f t="shared" si="218"/>
        <v>0.17047560841584714</v>
      </c>
      <c r="BV74" s="456">
        <f t="shared" si="219"/>
        <v>0.22946486736822172</v>
      </c>
      <c r="BW74" s="538">
        <f t="shared" si="220"/>
        <v>8.8500333070276539E-4</v>
      </c>
      <c r="BX74" s="144">
        <f t="shared" si="282"/>
        <v>230.34987069892449</v>
      </c>
      <c r="BY74" s="150">
        <f t="shared" si="283"/>
        <v>1.2931684969203385</v>
      </c>
      <c r="BZ74" s="5">
        <f t="shared" si="284"/>
        <v>5.52</v>
      </c>
      <c r="CA74" s="150">
        <f t="shared" si="285"/>
        <v>0.810195726481024</v>
      </c>
      <c r="CB74" s="5">
        <f t="shared" si="286"/>
        <v>81.019572648102397</v>
      </c>
      <c r="CC74">
        <f t="shared" si="287"/>
        <v>69</v>
      </c>
      <c r="CE74" s="59">
        <f t="shared" si="221"/>
        <v>-50</v>
      </c>
      <c r="CF74">
        <f t="shared" si="222"/>
        <v>-50</v>
      </c>
      <c r="CG74" s="150">
        <f t="shared" si="223"/>
        <v>0.82883202513712817</v>
      </c>
      <c r="CH74" s="150">
        <f t="shared" si="224"/>
        <v>0.44965289283354887</v>
      </c>
      <c r="CI74" s="147">
        <v>69</v>
      </c>
      <c r="CJ74" s="188">
        <f t="shared" si="309"/>
        <v>0.82799999999999996</v>
      </c>
      <c r="CK74" s="188">
        <f t="shared" si="288"/>
        <v>0.17249999999999999</v>
      </c>
      <c r="CL74" s="188">
        <f t="shared" si="225"/>
        <v>4.1399999999999997</v>
      </c>
      <c r="CM74" s="188">
        <f t="shared" si="310"/>
        <v>1.38</v>
      </c>
      <c r="CN74" s="465">
        <f t="shared" si="289"/>
        <v>48</v>
      </c>
      <c r="CO74" s="379">
        <f t="shared" si="226"/>
        <v>5.7</v>
      </c>
      <c r="CP74" s="379">
        <f t="shared" si="227"/>
        <v>53.7</v>
      </c>
      <c r="CQ74" s="379"/>
      <c r="CR74" s="188">
        <f t="shared" si="228"/>
        <v>0.10112359550561799</v>
      </c>
      <c r="CS74" s="149">
        <f t="shared" si="290"/>
        <v>9.1011235955056193</v>
      </c>
      <c r="CT74" s="149">
        <f t="shared" si="229"/>
        <v>4.0449438202247192</v>
      </c>
      <c r="CU74" s="188">
        <f t="shared" si="230"/>
        <v>1.8202247191011238</v>
      </c>
      <c r="CV74" s="188">
        <f t="shared" si="231"/>
        <v>1.1376404494382024</v>
      </c>
      <c r="CW74" s="379">
        <f t="shared" si="232"/>
        <v>5</v>
      </c>
      <c r="CX74" s="188">
        <f t="shared" si="233"/>
        <v>2.2744444444444443</v>
      </c>
      <c r="CY74" s="188">
        <f t="shared" si="234"/>
        <v>0.56861111111111107</v>
      </c>
      <c r="CZ74" s="188">
        <f t="shared" si="235"/>
        <v>4.788304093567251</v>
      </c>
      <c r="DA74" s="172">
        <f t="shared" si="236"/>
        <v>350</v>
      </c>
      <c r="DB74" s="379">
        <f t="shared" si="291"/>
        <v>186.67459942742207</v>
      </c>
      <c r="DD74" s="188">
        <f t="shared" si="237"/>
        <v>1.2130885873902635</v>
      </c>
      <c r="DE74" s="150">
        <f t="shared" si="238"/>
        <v>2.5538707102952913</v>
      </c>
      <c r="DF74" s="150">
        <f t="shared" si="239"/>
        <v>0.54216249715765974</v>
      </c>
      <c r="DG74" s="150"/>
      <c r="DH74" s="150">
        <f t="shared" si="240"/>
        <v>2.1052631578947367</v>
      </c>
      <c r="DI74" s="314">
        <f t="shared" si="241"/>
        <v>786.6</v>
      </c>
      <c r="DJ74" s="456">
        <f t="shared" si="242"/>
        <v>0.36842105263157893</v>
      </c>
      <c r="DL74" s="150">
        <f t="shared" si="243"/>
        <v>1.6212869667555549</v>
      </c>
      <c r="DM74" s="150">
        <f t="shared" si="244"/>
        <v>2.2744444444444443</v>
      </c>
      <c r="DN74" s="150">
        <f t="shared" si="245"/>
        <v>2.1440329218106995</v>
      </c>
      <c r="DP74" s="314">
        <f t="shared" si="246"/>
        <v>828</v>
      </c>
      <c r="DQ74" s="144">
        <f t="shared" si="247"/>
        <v>186.67459942742207</v>
      </c>
      <c r="DS74">
        <f t="shared" si="292"/>
        <v>828</v>
      </c>
      <c r="DT74">
        <f t="shared" si="248"/>
        <v>186.67459942742207</v>
      </c>
      <c r="DV74" s="5">
        <f t="shared" si="293"/>
        <v>5.3569152046783621</v>
      </c>
      <c r="DW74" s="5">
        <f t="shared" si="249"/>
        <v>0.56861111111111107</v>
      </c>
      <c r="DX74" s="5">
        <f t="shared" si="294"/>
        <v>4.788304093567251</v>
      </c>
      <c r="DY74" s="150">
        <f t="shared" si="295"/>
        <v>0.10614525139664804</v>
      </c>
      <c r="EA74" s="5">
        <f t="shared" si="250"/>
        <v>9.4161999999999999</v>
      </c>
      <c r="EB74" s="5">
        <f t="shared" si="251"/>
        <v>1.2260677083333331</v>
      </c>
      <c r="EC74" s="5">
        <f t="shared" si="252"/>
        <v>0.17207967836257304</v>
      </c>
      <c r="ED74" s="5"/>
      <c r="EE74" s="150">
        <f t="shared" si="296"/>
        <v>0.4278238492311835</v>
      </c>
      <c r="EF74" s="150">
        <f t="shared" si="253"/>
        <v>1.2415041673914802</v>
      </c>
      <c r="EG74" s="150">
        <f t="shared" si="254"/>
        <v>0.2775126962404485</v>
      </c>
      <c r="EH74" s="150"/>
      <c r="EI74" s="456">
        <f t="shared" si="255"/>
        <v>3.6606649194197284E-3</v>
      </c>
      <c r="EJ74" s="456">
        <f t="shared" si="256"/>
        <v>0.45600000000000002</v>
      </c>
      <c r="EK74" s="456">
        <f t="shared" si="257"/>
        <v>2.3334324928427758E-2</v>
      </c>
      <c r="EL74" s="456">
        <f t="shared" si="258"/>
        <v>5.3831167562286286E-2</v>
      </c>
      <c r="EM74">
        <f t="shared" si="259"/>
        <v>2.1600000000000001E-2</v>
      </c>
      <c r="EN74" s="144">
        <f t="shared" si="297"/>
        <v>44.934324928427763</v>
      </c>
      <c r="EO74">
        <f t="shared" si="260"/>
        <v>0.55990152471865751</v>
      </c>
      <c r="EP74" s="144">
        <f t="shared" si="298"/>
        <v>559.90152471865747</v>
      </c>
      <c r="EQ74" s="150">
        <f t="shared" si="261"/>
        <v>0.51439499999999982</v>
      </c>
      <c r="ER74" s="150">
        <f t="shared" si="262"/>
        <v>7.6546874999999986E-2</v>
      </c>
      <c r="ES74" s="456"/>
      <c r="EU74" s="144">
        <f t="shared" si="299"/>
        <v>590.94187499999987</v>
      </c>
      <c r="EV74" s="456">
        <f t="shared" si="263"/>
        <v>5.4909973791295924E-3</v>
      </c>
      <c r="EW74" s="456">
        <f t="shared" si="300"/>
        <v>4.6239977929512371E-2</v>
      </c>
      <c r="EX74" s="456">
        <f t="shared" si="264"/>
        <v>3.850664828732172E-4</v>
      </c>
      <c r="EY74" s="456">
        <f t="shared" si="265"/>
        <v>0.18572544499675753</v>
      </c>
      <c r="EZ74" s="456">
        <f t="shared" si="266"/>
        <v>0.25139748416150376</v>
      </c>
      <c r="FA74" s="538">
        <f t="shared" si="267"/>
        <v>9.6568590937306012E-4</v>
      </c>
      <c r="FB74" s="144">
        <f t="shared" si="301"/>
        <v>252.36317007087683</v>
      </c>
      <c r="FC74" s="150">
        <f t="shared" si="302"/>
        <v>1.403206569789534</v>
      </c>
      <c r="FD74" s="5">
        <f t="shared" si="303"/>
        <v>5.52</v>
      </c>
      <c r="FE74" s="150">
        <f t="shared" si="304"/>
        <v>0.79731840215303706</v>
      </c>
      <c r="FF74" s="5">
        <f t="shared" si="305"/>
        <v>79.731840215303706</v>
      </c>
      <c r="FG74">
        <f t="shared" si="306"/>
        <v>69</v>
      </c>
      <c r="FI74" s="59">
        <f t="shared" si="268"/>
        <v>-50</v>
      </c>
      <c r="FJ74">
        <f t="shared" si="269"/>
        <v>-50</v>
      </c>
      <c r="FL74">
        <f t="shared" si="270"/>
        <v>0.82883202513712817</v>
      </c>
    </row>
    <row r="75" spans="5:168">
      <c r="E75" s="147">
        <v>70</v>
      </c>
      <c r="F75" s="188">
        <f t="shared" si="307"/>
        <v>0.84</v>
      </c>
      <c r="G75" s="188">
        <f t="shared" si="271"/>
        <v>0.17499999999999999</v>
      </c>
      <c r="H75" s="188">
        <f t="shared" si="176"/>
        <v>4.2</v>
      </c>
      <c r="I75" s="188">
        <f t="shared" si="308"/>
        <v>1.4</v>
      </c>
      <c r="J75" s="465">
        <f t="shared" si="177"/>
        <v>47.920307797624204</v>
      </c>
      <c r="K75" s="379">
        <f t="shared" si="178"/>
        <v>5.7304042305747425</v>
      </c>
      <c r="L75" s="149">
        <f t="shared" si="179"/>
        <v>53.650712028198946</v>
      </c>
      <c r="M75" s="379"/>
      <c r="N75" s="188">
        <f t="shared" si="180"/>
        <v>0.10680947211963987</v>
      </c>
      <c r="O75" s="149">
        <f t="shared" si="272"/>
        <v>9.5968927118904439</v>
      </c>
      <c r="P75" s="149">
        <f t="shared" si="181"/>
        <v>4.2652856497290861</v>
      </c>
      <c r="Q75" s="188">
        <f t="shared" si="182"/>
        <v>1.9193785423780887</v>
      </c>
      <c r="R75" s="188">
        <f t="shared" si="183"/>
        <v>1.1996115889863055</v>
      </c>
      <c r="S75" s="379">
        <f t="shared" si="184"/>
        <v>5</v>
      </c>
      <c r="T75" s="188">
        <f t="shared" si="185"/>
        <v>2.1882082701603229</v>
      </c>
      <c r="U75" s="188">
        <f t="shared" si="186"/>
        <v>0.54796182346778921</v>
      </c>
      <c r="V75" s="188">
        <f t="shared" si="187"/>
        <v>4.5823118553872462</v>
      </c>
      <c r="W75" s="172">
        <f t="shared" si="188"/>
        <v>350</v>
      </c>
      <c r="X75" s="379">
        <f t="shared" si="273"/>
        <v>187.60762772218555</v>
      </c>
      <c r="Z75" s="188">
        <f t="shared" si="189"/>
        <v>1.2186530427797386</v>
      </c>
      <c r="AA75" s="150">
        <f t="shared" si="190"/>
        <v>2.5519729368010289</v>
      </c>
      <c r="AB75" s="150">
        <f t="shared" si="191"/>
        <v>0.54424467729172088</v>
      </c>
      <c r="AC75" s="150"/>
      <c r="AD75" s="150">
        <f t="shared" si="192"/>
        <v>2.0940931070750022</v>
      </c>
      <c r="AE75" s="314">
        <f t="shared" si="193"/>
        <v>802.25659228046391</v>
      </c>
      <c r="AF75" s="456">
        <f t="shared" si="194"/>
        <v>0.36646629373812545</v>
      </c>
      <c r="AH75" s="150">
        <f t="shared" si="195"/>
        <v>1.6329931618554521</v>
      </c>
      <c r="AI75" s="150">
        <f t="shared" si="196"/>
        <v>2.1882082701603229</v>
      </c>
      <c r="AJ75" s="150">
        <f t="shared" si="197"/>
        <v>2.0801542741928318</v>
      </c>
      <c r="AL75" s="314">
        <f t="shared" si="198"/>
        <v>840</v>
      </c>
      <c r="AM75" s="144">
        <f t="shared" si="199"/>
        <v>187.60762772218555</v>
      </c>
      <c r="AO75">
        <f t="shared" si="274"/>
        <v>840</v>
      </c>
      <c r="AP75">
        <f t="shared" si="200"/>
        <v>187.60762772218555</v>
      </c>
      <c r="AR75" s="5">
        <f t="shared" si="275"/>
        <v>5.3302736788550353</v>
      </c>
      <c r="AS75" s="5">
        <f t="shared" si="201"/>
        <v>0.54796182346778921</v>
      </c>
      <c r="AT75" s="5">
        <f t="shared" si="276"/>
        <v>4.7823118553872463</v>
      </c>
      <c r="AU75" s="150">
        <f t="shared" si="277"/>
        <v>0.10280181778311497</v>
      </c>
      <c r="AW75" s="5">
        <f t="shared" si="202"/>
        <v>9.2057586342588582</v>
      </c>
      <c r="AX75" s="5">
        <f t="shared" si="203"/>
        <v>1.1986664888357887</v>
      </c>
      <c r="AY75" s="5">
        <f t="shared" si="204"/>
        <v>0.17464507494967721</v>
      </c>
      <c r="AZ75" s="5"/>
      <c r="BA75" s="150">
        <f t="shared" si="278"/>
        <v>0.40506845618313092</v>
      </c>
      <c r="BB75" s="150">
        <f t="shared" si="205"/>
        <v>1.1966639838894177</v>
      </c>
      <c r="BC75" s="150">
        <f t="shared" si="206"/>
        <v>0.26748959639881104</v>
      </c>
      <c r="BD75" s="150"/>
      <c r="BE75" s="456">
        <f t="shared" si="207"/>
        <v>3.2816090838917013E-3</v>
      </c>
      <c r="BF75" s="456">
        <f t="shared" si="208"/>
        <v>0.41296753283681509</v>
      </c>
      <c r="BG75" s="456">
        <f t="shared" si="209"/>
        <v>0.22475538164073067</v>
      </c>
      <c r="BH75" s="456">
        <f t="shared" si="210"/>
        <v>5.4000958947965742E-2</v>
      </c>
      <c r="BI75">
        <f t="shared" si="211"/>
        <v>2.1564138508930891E-2</v>
      </c>
      <c r="BJ75" s="144">
        <f t="shared" si="279"/>
        <v>246.31952014966154</v>
      </c>
      <c r="BK75">
        <f t="shared" si="212"/>
        <v>0.47150377167723284</v>
      </c>
      <c r="BL75" s="144">
        <f t="shared" si="280"/>
        <v>471.50377167723286</v>
      </c>
      <c r="BM75" s="150">
        <f t="shared" si="213"/>
        <v>0.52184999999999993</v>
      </c>
      <c r="BN75" s="150">
        <f t="shared" si="214"/>
        <v>7.7656249999999996E-2</v>
      </c>
      <c r="BO75" s="456"/>
      <c r="BQ75" s="144">
        <f t="shared" si="281"/>
        <v>599.50624999999991</v>
      </c>
      <c r="BR75" s="456">
        <f t="shared" si="215"/>
        <v>4.9224136258375515E-3</v>
      </c>
      <c r="BS75" s="456">
        <f t="shared" si="216"/>
        <v>4.2960140710142779E-2</v>
      </c>
      <c r="BT75" s="456">
        <f t="shared" si="217"/>
        <v>3.577534209079941E-4</v>
      </c>
      <c r="BU75" s="456">
        <f t="shared" si="218"/>
        <v>0.17073315734184771</v>
      </c>
      <c r="BV75" s="456">
        <f t="shared" si="219"/>
        <v>0.2314443346348993</v>
      </c>
      <c r="BW75" s="538">
        <f t="shared" si="220"/>
        <v>8.983132428251919E-4</v>
      </c>
      <c r="BX75" s="144">
        <f t="shared" si="282"/>
        <v>232.34264787772449</v>
      </c>
      <c r="BY75" s="150">
        <f t="shared" si="283"/>
        <v>1.3033526695549573</v>
      </c>
      <c r="BZ75" s="5">
        <f t="shared" si="284"/>
        <v>5.6</v>
      </c>
      <c r="CA75" s="150">
        <f t="shared" si="285"/>
        <v>0.81120004555134784</v>
      </c>
      <c r="CB75" s="5">
        <f t="shared" si="286"/>
        <v>81.120004555134784</v>
      </c>
      <c r="CC75">
        <f t="shared" si="287"/>
        <v>70</v>
      </c>
      <c r="CE75" s="59">
        <f t="shared" si="221"/>
        <v>-50</v>
      </c>
      <c r="CF75">
        <f t="shared" si="222"/>
        <v>-50</v>
      </c>
      <c r="CG75" s="150">
        <f t="shared" si="223"/>
        <v>0.82883202513712817</v>
      </c>
      <c r="CH75" s="150">
        <f t="shared" si="224"/>
        <v>0.44965289283354887</v>
      </c>
      <c r="CI75" s="147">
        <v>70</v>
      </c>
      <c r="CJ75" s="188">
        <f t="shared" si="309"/>
        <v>0.84</v>
      </c>
      <c r="CK75" s="188">
        <f t="shared" si="288"/>
        <v>0.17499999999999999</v>
      </c>
      <c r="CL75" s="188">
        <f t="shared" si="225"/>
        <v>4.2</v>
      </c>
      <c r="CM75" s="188">
        <f t="shared" si="310"/>
        <v>1.4</v>
      </c>
      <c r="CN75" s="465">
        <f t="shared" si="289"/>
        <v>48</v>
      </c>
      <c r="CO75" s="379">
        <f t="shared" si="226"/>
        <v>5.7</v>
      </c>
      <c r="CP75" s="379">
        <f t="shared" si="227"/>
        <v>53.7</v>
      </c>
      <c r="CQ75" s="379"/>
      <c r="CR75" s="188">
        <f t="shared" si="228"/>
        <v>0.10112359550561799</v>
      </c>
      <c r="CS75" s="149">
        <f t="shared" si="290"/>
        <v>9.1011235955056193</v>
      </c>
      <c r="CT75" s="149">
        <f t="shared" si="229"/>
        <v>4.0449438202247192</v>
      </c>
      <c r="CU75" s="188">
        <f t="shared" si="230"/>
        <v>1.8202247191011238</v>
      </c>
      <c r="CV75" s="188">
        <f t="shared" si="231"/>
        <v>1.1376404494382024</v>
      </c>
      <c r="CW75" s="379">
        <f t="shared" si="232"/>
        <v>5</v>
      </c>
      <c r="CX75" s="188">
        <f t="shared" si="233"/>
        <v>2.3074074074074069</v>
      </c>
      <c r="CY75" s="188">
        <f t="shared" si="234"/>
        <v>0.57685185185185173</v>
      </c>
      <c r="CZ75" s="188">
        <f t="shared" si="235"/>
        <v>4.8576998050682256</v>
      </c>
      <c r="DA75" s="172">
        <f t="shared" si="236"/>
        <v>350</v>
      </c>
      <c r="DB75" s="379">
        <f t="shared" si="291"/>
        <v>184.00781943560176</v>
      </c>
      <c r="DD75" s="188">
        <f t="shared" si="237"/>
        <v>1.2130885873902635</v>
      </c>
      <c r="DE75" s="150">
        <f t="shared" si="238"/>
        <v>2.5538707102952913</v>
      </c>
      <c r="DF75" s="150">
        <f t="shared" si="239"/>
        <v>0.54216249715765974</v>
      </c>
      <c r="DG75" s="150"/>
      <c r="DH75" s="150">
        <f t="shared" si="240"/>
        <v>2.1052631578947367</v>
      </c>
      <c r="DI75" s="314">
        <f t="shared" si="241"/>
        <v>798</v>
      </c>
      <c r="DJ75" s="456">
        <f t="shared" si="242"/>
        <v>0.36842105263157893</v>
      </c>
      <c r="DL75" s="150">
        <f t="shared" si="243"/>
        <v>1.6329931618554521</v>
      </c>
      <c r="DM75" s="150">
        <f t="shared" si="244"/>
        <v>2.3074074074074069</v>
      </c>
      <c r="DN75" s="150">
        <f t="shared" si="245"/>
        <v>2.1684499314128938</v>
      </c>
      <c r="DP75" s="314">
        <f t="shared" si="246"/>
        <v>840</v>
      </c>
      <c r="DQ75" s="144">
        <f t="shared" si="247"/>
        <v>184.00781943560176</v>
      </c>
      <c r="DS75">
        <f t="shared" si="292"/>
        <v>840</v>
      </c>
      <c r="DT75">
        <f t="shared" si="248"/>
        <v>184.00781943560176</v>
      </c>
      <c r="DV75" s="5">
        <f t="shared" si="293"/>
        <v>5.4345516569200774</v>
      </c>
      <c r="DW75" s="5">
        <f t="shared" si="249"/>
        <v>0.57685185185185173</v>
      </c>
      <c r="DX75" s="5">
        <f t="shared" si="294"/>
        <v>4.8576998050682256</v>
      </c>
      <c r="DY75" s="150">
        <f t="shared" si="295"/>
        <v>0.10614525139664803</v>
      </c>
      <c r="EA75" s="5">
        <f t="shared" si="250"/>
        <v>9.691111111111109</v>
      </c>
      <c r="EB75" s="5">
        <f t="shared" si="251"/>
        <v>1.2618634259259256</v>
      </c>
      <c r="EC75" s="5">
        <f t="shared" si="252"/>
        <v>0.17710363872644572</v>
      </c>
      <c r="ED75" s="5"/>
      <c r="EE75" s="150">
        <f t="shared" si="296"/>
        <v>0.43402419487221511</v>
      </c>
      <c r="EF75" s="150">
        <f t="shared" si="253"/>
        <v>1.2594969814116463</v>
      </c>
      <c r="EG75" s="150">
        <f t="shared" si="254"/>
        <v>0.28153461937436802</v>
      </c>
      <c r="EH75" s="150"/>
      <c r="EI75" s="456">
        <f t="shared" si="255"/>
        <v>3.7675400346894911E-3</v>
      </c>
      <c r="EJ75" s="456">
        <f t="shared" si="256"/>
        <v>0.45599999999999996</v>
      </c>
      <c r="EK75" s="456">
        <f t="shared" si="257"/>
        <v>2.3000977429450221E-2</v>
      </c>
      <c r="EL75" s="456">
        <f t="shared" si="258"/>
        <v>5.3062150882825052E-2</v>
      </c>
      <c r="EM75">
        <f t="shared" si="259"/>
        <v>2.1600000000000001E-2</v>
      </c>
      <c r="EN75" s="144">
        <f t="shared" si="297"/>
        <v>44.600977429450225</v>
      </c>
      <c r="EO75">
        <f t="shared" si="260"/>
        <v>0.558948256476553</v>
      </c>
      <c r="EP75" s="144">
        <f t="shared" si="298"/>
        <v>558.94825647655296</v>
      </c>
      <c r="EQ75" s="150">
        <f t="shared" si="261"/>
        <v>0.52184999999999993</v>
      </c>
      <c r="ER75" s="150">
        <f t="shared" si="262"/>
        <v>7.7656249999999996E-2</v>
      </c>
      <c r="ES75" s="456"/>
      <c r="EU75" s="144">
        <f t="shared" si="299"/>
        <v>599.50624999999991</v>
      </c>
      <c r="EV75" s="456">
        <f t="shared" si="263"/>
        <v>5.651310052034236E-3</v>
      </c>
      <c r="EW75" s="456">
        <f t="shared" si="300"/>
        <v>4.758997938555147E-2</v>
      </c>
      <c r="EX75" s="456">
        <f t="shared" si="264"/>
        <v>3.9630870953135137E-4</v>
      </c>
      <c r="EY75" s="456">
        <f t="shared" si="265"/>
        <v>0.18572544499675728</v>
      </c>
      <c r="EZ75" s="456">
        <f t="shared" si="266"/>
        <v>0.25332307801598342</v>
      </c>
      <c r="FA75" s="538">
        <f t="shared" si="267"/>
        <v>9.7968135733498825E-4</v>
      </c>
      <c r="FB75" s="144">
        <f t="shared" si="301"/>
        <v>254.30275937331842</v>
      </c>
      <c r="FC75" s="150">
        <f t="shared" si="302"/>
        <v>1.4127572658498715</v>
      </c>
      <c r="FD75" s="5">
        <f t="shared" si="303"/>
        <v>5.6</v>
      </c>
      <c r="FE75" s="150">
        <f t="shared" si="304"/>
        <v>0.79854467903379511</v>
      </c>
      <c r="FF75" s="5">
        <f t="shared" si="305"/>
        <v>79.854467903379515</v>
      </c>
      <c r="FG75">
        <f t="shared" si="306"/>
        <v>70</v>
      </c>
      <c r="FI75" s="59">
        <f t="shared" si="268"/>
        <v>-50</v>
      </c>
      <c r="FJ75">
        <f t="shared" si="269"/>
        <v>-50</v>
      </c>
      <c r="FL75">
        <f t="shared" si="270"/>
        <v>0.82883202513712817</v>
      </c>
    </row>
    <row r="76" spans="5:168">
      <c r="E76" s="147">
        <v>71</v>
      </c>
      <c r="F76" s="188">
        <f t="shared" si="307"/>
        <v>0.85199999999999998</v>
      </c>
      <c r="G76" s="188">
        <f t="shared" si="271"/>
        <v>0.17749999999999999</v>
      </c>
      <c r="H76" s="188">
        <f t="shared" si="176"/>
        <v>4.26</v>
      </c>
      <c r="I76" s="188">
        <f t="shared" si="308"/>
        <v>1.42</v>
      </c>
      <c r="J76" s="465">
        <f t="shared" si="177"/>
        <v>47.919169337590262</v>
      </c>
      <c r="K76" s="379">
        <f t="shared" si="178"/>
        <v>5.7308385767258105</v>
      </c>
      <c r="L76" s="149">
        <f t="shared" si="179"/>
        <v>53.65000791431607</v>
      </c>
      <c r="M76" s="379"/>
      <c r="N76" s="188">
        <f t="shared" si="180"/>
        <v>0.10681896982901623</v>
      </c>
      <c r="O76" s="149">
        <f t="shared" si="272"/>
        <v>9.5975180694442006</v>
      </c>
      <c r="P76" s="149">
        <f t="shared" si="181"/>
        <v>4.2655635864196446</v>
      </c>
      <c r="Q76" s="188">
        <f t="shared" si="182"/>
        <v>1.9195036138888402</v>
      </c>
      <c r="R76" s="188">
        <f t="shared" si="183"/>
        <v>1.1996897586805251</v>
      </c>
      <c r="S76" s="379">
        <f t="shared" si="184"/>
        <v>5</v>
      </c>
      <c r="T76" s="188">
        <f t="shared" si="185"/>
        <v>2.2193237716127059</v>
      </c>
      <c r="U76" s="188">
        <f t="shared" si="186"/>
        <v>0.55576683877241273</v>
      </c>
      <c r="V76" s="188">
        <f t="shared" si="187"/>
        <v>4.6471183759232693</v>
      </c>
      <c r="W76" s="172">
        <f t="shared" si="188"/>
        <v>350</v>
      </c>
      <c r="X76" s="379">
        <f t="shared" si="273"/>
        <v>185.08629376023586</v>
      </c>
      <c r="Z76" s="188">
        <f t="shared" si="189"/>
        <v>1.2187324532627557</v>
      </c>
      <c r="AA76" s="150">
        <f t="shared" si="190"/>
        <v>2.5519458004885252</v>
      </c>
      <c r="AB76" s="150">
        <f t="shared" si="191"/>
        <v>0.54427435405401925</v>
      </c>
      <c r="AC76" s="150"/>
      <c r="AD76" s="150">
        <f t="shared" si="192"/>
        <v>2.0939343936042145</v>
      </c>
      <c r="AE76" s="314">
        <f t="shared" si="193"/>
        <v>813.77907789506514</v>
      </c>
      <c r="AF76" s="456">
        <f t="shared" si="194"/>
        <v>0.36643851888073753</v>
      </c>
      <c r="AH76" s="150">
        <f t="shared" si="195"/>
        <v>1.6446160356636148</v>
      </c>
      <c r="AI76" s="150">
        <f t="shared" si="196"/>
        <v>2.2193237716127059</v>
      </c>
      <c r="AJ76" s="150">
        <f t="shared" si="197"/>
        <v>2.1032027937871893</v>
      </c>
      <c r="AL76" s="314">
        <f t="shared" si="198"/>
        <v>852</v>
      </c>
      <c r="AM76" s="144">
        <f t="shared" si="199"/>
        <v>185.08629376023586</v>
      </c>
      <c r="AO76">
        <f t="shared" si="274"/>
        <v>852</v>
      </c>
      <c r="AP76">
        <f t="shared" si="200"/>
        <v>185.08629376023586</v>
      </c>
      <c r="AR76" s="5">
        <f t="shared" si="275"/>
        <v>5.4028852146956821</v>
      </c>
      <c r="AS76" s="5">
        <f t="shared" si="201"/>
        <v>0.55576683877241273</v>
      </c>
      <c r="AT76" s="5">
        <f t="shared" si="276"/>
        <v>4.8471183759232694</v>
      </c>
      <c r="AU76" s="150">
        <f t="shared" si="277"/>
        <v>0.10286482438322843</v>
      </c>
      <c r="AW76" s="5">
        <f t="shared" si="202"/>
        <v>9.4702669326819127</v>
      </c>
      <c r="AX76" s="5">
        <f t="shared" si="203"/>
        <v>1.2331076735262907</v>
      </c>
      <c r="AY76" s="5">
        <f t="shared" si="204"/>
        <v>0.17954474662637085</v>
      </c>
      <c r="AZ76" s="5"/>
      <c r="BA76" s="150">
        <f t="shared" si="278"/>
        <v>0.41095425561381982</v>
      </c>
      <c r="BB76" s="150">
        <f t="shared" si="205"/>
        <v>1.2136374805550354</v>
      </c>
      <c r="BC76" s="150">
        <f t="shared" si="206"/>
        <v>0.27128367212406668</v>
      </c>
      <c r="BD76" s="150"/>
      <c r="BE76" s="456">
        <f t="shared" si="207"/>
        <v>3.3776680041421752E-3</v>
      </c>
      <c r="BF76" s="456">
        <f t="shared" si="208"/>
        <v>0.41320539806534845</v>
      </c>
      <c r="BG76" s="456">
        <f t="shared" si="209"/>
        <v>0.22172953631909298</v>
      </c>
      <c r="BH76" s="456">
        <f t="shared" si="210"/>
        <v>5.3273820094812033E-2</v>
      </c>
      <c r="BI76">
        <f t="shared" si="211"/>
        <v>2.1563626201915619E-2</v>
      </c>
      <c r="BJ76" s="144">
        <f t="shared" si="279"/>
        <v>243.29316252100861</v>
      </c>
      <c r="BK76">
        <f t="shared" si="212"/>
        <v>0.47114696794746008</v>
      </c>
      <c r="BL76" s="144">
        <f t="shared" si="280"/>
        <v>471.1469679474601</v>
      </c>
      <c r="BM76" s="150">
        <f t="shared" si="213"/>
        <v>0.52930499999999991</v>
      </c>
      <c r="BN76" s="150">
        <f t="shared" si="214"/>
        <v>7.8765624999999992E-2</v>
      </c>
      <c r="BO76" s="456"/>
      <c r="BQ76" s="144">
        <f t="shared" si="281"/>
        <v>608.07062499999984</v>
      </c>
      <c r="BR76" s="456">
        <f t="shared" si="215"/>
        <v>5.066502006213263E-3</v>
      </c>
      <c r="BS76" s="456">
        <f t="shared" si="216"/>
        <v>4.4187478026239214E-2</v>
      </c>
      <c r="BT76" s="456">
        <f t="shared" si="217"/>
        <v>3.6797415380559058E-4</v>
      </c>
      <c r="BU76" s="456">
        <f t="shared" si="218"/>
        <v>0.17098472506667192</v>
      </c>
      <c r="BV76" s="456">
        <f t="shared" si="219"/>
        <v>0.2334426587309652</v>
      </c>
      <c r="BW76" s="538">
        <f t="shared" si="220"/>
        <v>9.1162366171472888E-4</v>
      </c>
      <c r="BX76" s="144">
        <f t="shared" si="282"/>
        <v>234.35428239267995</v>
      </c>
      <c r="BY76" s="150">
        <f t="shared" si="283"/>
        <v>1.31357187534014</v>
      </c>
      <c r="BZ76" s="5">
        <f t="shared" si="284"/>
        <v>5.68</v>
      </c>
      <c r="CA76" s="150">
        <f t="shared" si="285"/>
        <v>0.81217439403577263</v>
      </c>
      <c r="CB76" s="5">
        <f t="shared" si="286"/>
        <v>81.217439403577259</v>
      </c>
      <c r="CC76">
        <f t="shared" si="287"/>
        <v>71</v>
      </c>
      <c r="CE76" s="59">
        <f t="shared" si="221"/>
        <v>-50</v>
      </c>
      <c r="CF76">
        <f t="shared" si="222"/>
        <v>-50</v>
      </c>
      <c r="CG76" s="150">
        <f t="shared" si="223"/>
        <v>0.82883202513712817</v>
      </c>
      <c r="CH76" s="150">
        <f t="shared" si="224"/>
        <v>0.44965289283354892</v>
      </c>
      <c r="CI76" s="147">
        <v>71</v>
      </c>
      <c r="CJ76" s="188">
        <f t="shared" si="309"/>
        <v>0.85199999999999998</v>
      </c>
      <c r="CK76" s="188">
        <f t="shared" si="288"/>
        <v>0.17749999999999999</v>
      </c>
      <c r="CL76" s="188">
        <f t="shared" si="225"/>
        <v>4.26</v>
      </c>
      <c r="CM76" s="188">
        <f t="shared" si="310"/>
        <v>1.42</v>
      </c>
      <c r="CN76" s="465">
        <f t="shared" si="289"/>
        <v>48</v>
      </c>
      <c r="CO76" s="379">
        <f t="shared" si="226"/>
        <v>5.7</v>
      </c>
      <c r="CP76" s="379">
        <f t="shared" si="227"/>
        <v>53.7</v>
      </c>
      <c r="CQ76" s="379"/>
      <c r="CR76" s="188">
        <f t="shared" si="228"/>
        <v>0.10112359550561799</v>
      </c>
      <c r="CS76" s="149">
        <f t="shared" si="290"/>
        <v>9.1011235955056193</v>
      </c>
      <c r="CT76" s="149">
        <f t="shared" si="229"/>
        <v>4.0449438202247192</v>
      </c>
      <c r="CU76" s="188">
        <f t="shared" si="230"/>
        <v>1.8202247191011238</v>
      </c>
      <c r="CV76" s="188">
        <f t="shared" si="231"/>
        <v>1.1376404494382024</v>
      </c>
      <c r="CW76" s="379">
        <f t="shared" si="232"/>
        <v>5</v>
      </c>
      <c r="CX76" s="188">
        <f t="shared" si="233"/>
        <v>2.34037037037037</v>
      </c>
      <c r="CY76" s="188">
        <f t="shared" si="234"/>
        <v>0.5850925925925925</v>
      </c>
      <c r="CZ76" s="188">
        <f t="shared" si="235"/>
        <v>4.9270955165692003</v>
      </c>
      <c r="DA76" s="172">
        <f t="shared" si="236"/>
        <v>350</v>
      </c>
      <c r="DB76" s="379">
        <f t="shared" si="291"/>
        <v>181.41616000693134</v>
      </c>
      <c r="DD76" s="188">
        <f t="shared" si="237"/>
        <v>1.2130885873902635</v>
      </c>
      <c r="DE76" s="150">
        <f t="shared" si="238"/>
        <v>2.5538707102952913</v>
      </c>
      <c r="DF76" s="150">
        <f t="shared" si="239"/>
        <v>0.54216249715765974</v>
      </c>
      <c r="DG76" s="150"/>
      <c r="DH76" s="150">
        <f t="shared" si="240"/>
        <v>2.1052631578947367</v>
      </c>
      <c r="DI76" s="314">
        <f t="shared" si="241"/>
        <v>809.40000000000009</v>
      </c>
      <c r="DJ76" s="456">
        <f t="shared" si="242"/>
        <v>0.36842105263157893</v>
      </c>
      <c r="DL76" s="150">
        <f t="shared" si="243"/>
        <v>1.6446160356636148</v>
      </c>
      <c r="DM76" s="150">
        <f t="shared" si="244"/>
        <v>2.34037037037037</v>
      </c>
      <c r="DN76" s="150">
        <f t="shared" si="245"/>
        <v>2.1928669410150889</v>
      </c>
      <c r="DP76" s="314">
        <f t="shared" si="246"/>
        <v>852</v>
      </c>
      <c r="DQ76" s="144">
        <f t="shared" si="247"/>
        <v>181.41616000693134</v>
      </c>
      <c r="DS76">
        <f t="shared" si="292"/>
        <v>852</v>
      </c>
      <c r="DT76">
        <f t="shared" si="248"/>
        <v>181.41616000693134</v>
      </c>
      <c r="DV76" s="5">
        <f t="shared" si="293"/>
        <v>5.5121881091617917</v>
      </c>
      <c r="DW76" s="5">
        <f t="shared" si="249"/>
        <v>0.5850925925925925</v>
      </c>
      <c r="DX76" s="5">
        <f t="shared" si="294"/>
        <v>4.9270955165691994</v>
      </c>
      <c r="DY76" s="150">
        <f t="shared" si="295"/>
        <v>0.10614525139664806</v>
      </c>
      <c r="EA76" s="5">
        <f t="shared" si="250"/>
        <v>9.9699777777777765</v>
      </c>
      <c r="EB76" s="5">
        <f t="shared" si="251"/>
        <v>1.2981741898148145</v>
      </c>
      <c r="EC76" s="5">
        <f t="shared" si="252"/>
        <v>0.1821998862897985</v>
      </c>
      <c r="ED76" s="5"/>
      <c r="EE76" s="150">
        <f t="shared" si="296"/>
        <v>0.44022454051324683</v>
      </c>
      <c r="EF76" s="150">
        <f t="shared" si="253"/>
        <v>1.2774897954318127</v>
      </c>
      <c r="EG76" s="150">
        <f t="shared" si="254"/>
        <v>0.28555654250828755</v>
      </c>
      <c r="EH76" s="150"/>
      <c r="EI76" s="456">
        <f t="shared" si="255"/>
        <v>3.8759529214019862E-3</v>
      </c>
      <c r="EJ76" s="456">
        <f t="shared" si="256"/>
        <v>0.45600000000000002</v>
      </c>
      <c r="EK76" s="456">
        <f t="shared" si="257"/>
        <v>2.2677020000866414E-2</v>
      </c>
      <c r="EL76" s="456">
        <f t="shared" si="258"/>
        <v>5.231479664503879E-2</v>
      </c>
      <c r="EM76">
        <f t="shared" si="259"/>
        <v>2.1600000000000001E-2</v>
      </c>
      <c r="EN76" s="144">
        <f t="shared" si="297"/>
        <v>44.277020000866415</v>
      </c>
      <c r="EO76">
        <f t="shared" si="260"/>
        <v>0.55802817974664054</v>
      </c>
      <c r="EP76" s="144">
        <f t="shared" si="298"/>
        <v>558.02817974664049</v>
      </c>
      <c r="EQ76" s="150">
        <f t="shared" si="261"/>
        <v>0.52930499999999991</v>
      </c>
      <c r="ER76" s="150">
        <f t="shared" si="262"/>
        <v>7.8765624999999992E-2</v>
      </c>
      <c r="ES76" s="456"/>
      <c r="EU76" s="144">
        <f t="shared" si="299"/>
        <v>608.07062499999984</v>
      </c>
      <c r="EV76" s="456">
        <f t="shared" si="263"/>
        <v>5.8139293821029793E-3</v>
      </c>
      <c r="EW76" s="456">
        <f t="shared" si="300"/>
        <v>4.8959405322972438E-2</v>
      </c>
      <c r="EX76" s="456">
        <f t="shared" si="264"/>
        <v>4.0771269484643719E-4</v>
      </c>
      <c r="EY76" s="456">
        <f t="shared" si="265"/>
        <v>0.18572544499675744</v>
      </c>
      <c r="EZ76" s="456">
        <f t="shared" si="266"/>
        <v>0.25527685933064675</v>
      </c>
      <c r="FA76" s="538">
        <f t="shared" si="267"/>
        <v>9.9367680529691702E-4</v>
      </c>
      <c r="FB76" s="144">
        <f t="shared" si="301"/>
        <v>256.2705361359437</v>
      </c>
      <c r="FC76" s="150">
        <f t="shared" si="302"/>
        <v>1.4223693408825839</v>
      </c>
      <c r="FD76" s="5">
        <f t="shared" si="303"/>
        <v>5.68</v>
      </c>
      <c r="FE76" s="150">
        <f t="shared" si="304"/>
        <v>0.79973312107339212</v>
      </c>
      <c r="FF76" s="5">
        <f t="shared" si="305"/>
        <v>79.973312107339211</v>
      </c>
      <c r="FG76">
        <f t="shared" si="306"/>
        <v>71</v>
      </c>
      <c r="FI76" s="59">
        <f t="shared" si="268"/>
        <v>-50</v>
      </c>
      <c r="FJ76">
        <f t="shared" si="269"/>
        <v>-50</v>
      </c>
      <c r="FL76">
        <f t="shared" si="270"/>
        <v>0.82883202513712817</v>
      </c>
    </row>
    <row r="77" spans="5:168">
      <c r="E77" s="147">
        <v>72</v>
      </c>
      <c r="F77" s="188">
        <f t="shared" si="307"/>
        <v>0.86399999999999999</v>
      </c>
      <c r="G77" s="188">
        <f t="shared" si="271"/>
        <v>0.18</v>
      </c>
      <c r="H77" s="188">
        <f t="shared" si="176"/>
        <v>4.32</v>
      </c>
      <c r="I77" s="188">
        <f t="shared" si="308"/>
        <v>1.44</v>
      </c>
      <c r="J77" s="465">
        <f t="shared" si="177"/>
        <v>47.918030877556326</v>
      </c>
      <c r="K77" s="379">
        <f t="shared" si="178"/>
        <v>5.7312729228768777</v>
      </c>
      <c r="L77" s="149">
        <f t="shared" si="179"/>
        <v>53.649303800433202</v>
      </c>
      <c r="M77" s="379"/>
      <c r="N77" s="188">
        <f t="shared" si="180"/>
        <v>0.10682846778769568</v>
      </c>
      <c r="O77" s="149">
        <f t="shared" si="272"/>
        <v>9.5981434088490616</v>
      </c>
      <c r="P77" s="149">
        <f t="shared" si="181"/>
        <v>4.265841515044027</v>
      </c>
      <c r="Q77" s="188">
        <f t="shared" si="182"/>
        <v>1.9196286817698123</v>
      </c>
      <c r="R77" s="188">
        <f t="shared" si="183"/>
        <v>1.1997679261061327</v>
      </c>
      <c r="S77" s="379">
        <f t="shared" si="184"/>
        <v>5</v>
      </c>
      <c r="T77" s="188">
        <f t="shared" si="185"/>
        <v>2.2504352227208608</v>
      </c>
      <c r="U77" s="188">
        <f t="shared" si="186"/>
        <v>0.56357121062958659</v>
      </c>
      <c r="V77" s="188">
        <f t="shared" si="187"/>
        <v>4.7119065931857165</v>
      </c>
      <c r="W77" s="172">
        <f t="shared" si="188"/>
        <v>350</v>
      </c>
      <c r="X77" s="379">
        <f t="shared" si="273"/>
        <v>182.63246347253965</v>
      </c>
      <c r="Z77" s="188">
        <f t="shared" si="189"/>
        <v>1.2188118614411507</v>
      </c>
      <c r="AA77" s="150">
        <f t="shared" si="190"/>
        <v>2.5519186634637268</v>
      </c>
      <c r="AB77" s="150">
        <f t="shared" si="191"/>
        <v>0.54430402888096174</v>
      </c>
      <c r="AC77" s="150"/>
      <c r="AD77" s="150">
        <f t="shared" si="192"/>
        <v>2.0937757041897185</v>
      </c>
      <c r="AE77" s="314">
        <f t="shared" si="193"/>
        <v>825.30330089427025</v>
      </c>
      <c r="AF77" s="456">
        <f t="shared" si="194"/>
        <v>0.3664107482332008</v>
      </c>
      <c r="AH77" s="150">
        <f t="shared" si="195"/>
        <v>1.65615734242165</v>
      </c>
      <c r="AI77" s="150">
        <f t="shared" si="196"/>
        <v>2.2504352227208608</v>
      </c>
      <c r="AJ77" s="150">
        <f t="shared" si="197"/>
        <v>2.1262483131265633</v>
      </c>
      <c r="AL77" s="314">
        <f t="shared" si="198"/>
        <v>864</v>
      </c>
      <c r="AM77" s="144">
        <f t="shared" si="199"/>
        <v>182.63246347253965</v>
      </c>
      <c r="AO77">
        <f t="shared" si="274"/>
        <v>864</v>
      </c>
      <c r="AP77">
        <f t="shared" si="200"/>
        <v>182.63246347253965</v>
      </c>
      <c r="AR77" s="5">
        <f t="shared" si="275"/>
        <v>5.4754778038153029</v>
      </c>
      <c r="AS77" s="5">
        <f t="shared" si="201"/>
        <v>0.56357121062958659</v>
      </c>
      <c r="AT77" s="5">
        <f t="shared" si="276"/>
        <v>4.9119065931857167</v>
      </c>
      <c r="AU77" s="150">
        <f t="shared" si="277"/>
        <v>0.10292639853948293</v>
      </c>
      <c r="AW77" s="5">
        <f t="shared" si="202"/>
        <v>9.7385105196792576</v>
      </c>
      <c r="AX77" s="5">
        <f t="shared" si="203"/>
        <v>1.2680352239165698</v>
      </c>
      <c r="AY77" s="5">
        <f t="shared" si="204"/>
        <v>0.18451158584388755</v>
      </c>
      <c r="AZ77" s="5"/>
      <c r="BA77" s="150">
        <f t="shared" si="278"/>
        <v>0.4168398947976798</v>
      </c>
      <c r="BB77" s="150">
        <f t="shared" si="205"/>
        <v>1.2306085483718843</v>
      </c>
      <c r="BC77" s="150">
        <f t="shared" si="206"/>
        <v>0.27507720493018589</v>
      </c>
      <c r="BD77" s="150"/>
      <c r="BE77" s="456">
        <f t="shared" si="207"/>
        <v>3.4751099578988155E-3</v>
      </c>
      <c r="BF77" s="456">
        <f t="shared" si="208"/>
        <v>0.41343749100359189</v>
      </c>
      <c r="BG77" s="456">
        <f t="shared" si="209"/>
        <v>0.21878470059803332</v>
      </c>
      <c r="BH77" s="456">
        <f t="shared" si="210"/>
        <v>5.2566148588267837E-2</v>
      </c>
      <c r="BI77">
        <f t="shared" si="211"/>
        <v>2.1563113894900347E-2</v>
      </c>
      <c r="BJ77" s="144">
        <f t="shared" si="279"/>
        <v>240.34781449293365</v>
      </c>
      <c r="BK77">
        <f t="shared" si="212"/>
        <v>0.47080576702826576</v>
      </c>
      <c r="BL77" s="144">
        <f t="shared" si="280"/>
        <v>470.80576702826579</v>
      </c>
      <c r="BM77" s="150">
        <f t="shared" si="213"/>
        <v>0.53676000000000001</v>
      </c>
      <c r="BN77" s="150">
        <f t="shared" si="214"/>
        <v>7.9874999999999988E-2</v>
      </c>
      <c r="BO77" s="456"/>
      <c r="BQ77" s="144">
        <f t="shared" si="281"/>
        <v>616.63499999999999</v>
      </c>
      <c r="BR77" s="456">
        <f t="shared" si="215"/>
        <v>5.2126649368482228E-3</v>
      </c>
      <c r="BS77" s="456">
        <f t="shared" si="216"/>
        <v>4.5431921979778689E-2</v>
      </c>
      <c r="BT77" s="456">
        <f t="shared" si="217"/>
        <v>3.7833734336101743E-4</v>
      </c>
      <c r="BU77" s="456">
        <f t="shared" si="218"/>
        <v>0.1712305449405237</v>
      </c>
      <c r="BV77" s="456">
        <f t="shared" si="219"/>
        <v>0.2354600799690296</v>
      </c>
      <c r="BW77" s="538">
        <f t="shared" si="220"/>
        <v>9.2493456701327236E-4</v>
      </c>
      <c r="BX77" s="144">
        <f t="shared" si="282"/>
        <v>236.38501453604289</v>
      </c>
      <c r="BY77" s="150">
        <f t="shared" si="283"/>
        <v>1.3238257815643086</v>
      </c>
      <c r="BZ77" s="5">
        <f t="shared" si="284"/>
        <v>5.76</v>
      </c>
      <c r="CA77" s="150">
        <f t="shared" si="285"/>
        <v>0.81311994077980121</v>
      </c>
      <c r="CB77" s="5">
        <f t="shared" si="286"/>
        <v>81.311994077980117</v>
      </c>
      <c r="CC77">
        <f t="shared" si="287"/>
        <v>72</v>
      </c>
      <c r="CE77" s="59">
        <f t="shared" si="221"/>
        <v>-50</v>
      </c>
      <c r="CF77">
        <f t="shared" si="222"/>
        <v>-50</v>
      </c>
      <c r="CG77" s="150">
        <f t="shared" si="223"/>
        <v>0.82883202513712817</v>
      </c>
      <c r="CH77" s="150">
        <f t="shared" si="224"/>
        <v>0.44965289283354892</v>
      </c>
      <c r="CI77" s="147">
        <v>72</v>
      </c>
      <c r="CJ77" s="188">
        <f t="shared" si="309"/>
        <v>0.86399999999999999</v>
      </c>
      <c r="CK77" s="188">
        <f t="shared" si="288"/>
        <v>0.18</v>
      </c>
      <c r="CL77" s="188">
        <f t="shared" si="225"/>
        <v>4.32</v>
      </c>
      <c r="CM77" s="188">
        <f t="shared" si="310"/>
        <v>1.44</v>
      </c>
      <c r="CN77" s="465">
        <f t="shared" si="289"/>
        <v>48</v>
      </c>
      <c r="CO77" s="379">
        <f t="shared" si="226"/>
        <v>5.7</v>
      </c>
      <c r="CP77" s="379">
        <f t="shared" si="227"/>
        <v>53.7</v>
      </c>
      <c r="CQ77" s="379"/>
      <c r="CR77" s="188">
        <f t="shared" si="228"/>
        <v>0.10112359550561799</v>
      </c>
      <c r="CS77" s="149">
        <f t="shared" si="290"/>
        <v>9.1011235955056193</v>
      </c>
      <c r="CT77" s="149">
        <f t="shared" si="229"/>
        <v>4.0449438202247192</v>
      </c>
      <c r="CU77" s="188">
        <f t="shared" si="230"/>
        <v>1.8202247191011238</v>
      </c>
      <c r="CV77" s="188">
        <f t="shared" si="231"/>
        <v>1.1376404494382024</v>
      </c>
      <c r="CW77" s="379">
        <f t="shared" si="232"/>
        <v>5</v>
      </c>
      <c r="CX77" s="188">
        <f t="shared" si="233"/>
        <v>2.3733333333333331</v>
      </c>
      <c r="CY77" s="188">
        <f t="shared" si="234"/>
        <v>0.59333333333333327</v>
      </c>
      <c r="CZ77" s="188">
        <f t="shared" si="235"/>
        <v>4.996491228070175</v>
      </c>
      <c r="DA77" s="172">
        <f t="shared" si="236"/>
        <v>350</v>
      </c>
      <c r="DB77" s="379">
        <f t="shared" si="291"/>
        <v>178.89649111794614</v>
      </c>
      <c r="DD77" s="188">
        <f t="shared" si="237"/>
        <v>1.2130885873902635</v>
      </c>
      <c r="DE77" s="150">
        <f t="shared" si="238"/>
        <v>2.5538707102952913</v>
      </c>
      <c r="DF77" s="150">
        <f t="shared" si="239"/>
        <v>0.54216249715765974</v>
      </c>
      <c r="DG77" s="150"/>
      <c r="DH77" s="150">
        <f t="shared" si="240"/>
        <v>2.1052631578947367</v>
      </c>
      <c r="DI77" s="314">
        <f t="shared" si="241"/>
        <v>820.80000000000007</v>
      </c>
      <c r="DJ77" s="456">
        <f t="shared" si="242"/>
        <v>0.36842105263157893</v>
      </c>
      <c r="DL77" s="150">
        <f t="shared" si="243"/>
        <v>1.65615734242165</v>
      </c>
      <c r="DM77" s="150">
        <f t="shared" si="244"/>
        <v>2.3733333333333331</v>
      </c>
      <c r="DN77" s="150">
        <f t="shared" si="245"/>
        <v>2.2172839506172837</v>
      </c>
      <c r="DP77" s="314">
        <f t="shared" si="246"/>
        <v>864</v>
      </c>
      <c r="DQ77" s="144">
        <f t="shared" si="247"/>
        <v>178.89649111794614</v>
      </c>
      <c r="DS77">
        <f t="shared" si="292"/>
        <v>864</v>
      </c>
      <c r="DT77">
        <f t="shared" si="248"/>
        <v>178.89649111794614</v>
      </c>
      <c r="DV77" s="5">
        <f t="shared" si="293"/>
        <v>5.5898245614035087</v>
      </c>
      <c r="DW77" s="5">
        <f t="shared" si="249"/>
        <v>0.59333333333333327</v>
      </c>
      <c r="DX77" s="5">
        <f t="shared" si="294"/>
        <v>4.996491228070175</v>
      </c>
      <c r="DY77" s="150">
        <f t="shared" si="295"/>
        <v>0.10614525139664803</v>
      </c>
      <c r="EA77" s="5">
        <f t="shared" si="250"/>
        <v>10.252799999999999</v>
      </c>
      <c r="EB77" s="5">
        <f t="shared" si="251"/>
        <v>1.3349999999999997</v>
      </c>
      <c r="EC77" s="5">
        <f t="shared" si="252"/>
        <v>0.18736842105263155</v>
      </c>
      <c r="ED77" s="5"/>
      <c r="EE77" s="150">
        <f t="shared" si="296"/>
        <v>0.44642488615427844</v>
      </c>
      <c r="EF77" s="150">
        <f t="shared" si="253"/>
        <v>1.2954826094519794</v>
      </c>
      <c r="EG77" s="150">
        <f t="shared" si="254"/>
        <v>0.28957846564220713</v>
      </c>
      <c r="EH77" s="150"/>
      <c r="EI77" s="456">
        <f t="shared" si="255"/>
        <v>3.9859035795572094E-3</v>
      </c>
      <c r="EJ77" s="456">
        <f t="shared" si="256"/>
        <v>0.45600000000000002</v>
      </c>
      <c r="EK77" s="456">
        <f t="shared" si="257"/>
        <v>2.2362061389743268E-2</v>
      </c>
      <c r="EL77" s="456">
        <f t="shared" si="258"/>
        <v>5.1588202247191024E-2</v>
      </c>
      <c r="EM77">
        <f t="shared" si="259"/>
        <v>2.1600000000000001E-2</v>
      </c>
      <c r="EN77" s="144">
        <f t="shared" si="297"/>
        <v>43.962061389743269</v>
      </c>
      <c r="EO77">
        <f t="shared" si="260"/>
        <v>0.5571400010056311</v>
      </c>
      <c r="EP77" s="144">
        <f t="shared" si="298"/>
        <v>557.14000100563112</v>
      </c>
      <c r="EQ77" s="150">
        <f t="shared" si="261"/>
        <v>0.53676000000000001</v>
      </c>
      <c r="ER77" s="150">
        <f t="shared" si="262"/>
        <v>7.9874999999999988E-2</v>
      </c>
      <c r="ES77" s="456"/>
      <c r="EU77" s="144">
        <f t="shared" si="299"/>
        <v>616.63499999999999</v>
      </c>
      <c r="EV77" s="456">
        <f t="shared" si="263"/>
        <v>5.9788553693358145E-3</v>
      </c>
      <c r="EW77" s="456">
        <f t="shared" si="300"/>
        <v>5.0348255741775289E-2</v>
      </c>
      <c r="EX77" s="456">
        <f t="shared" si="264"/>
        <v>4.192784388184747E-4</v>
      </c>
      <c r="EY77" s="456">
        <f t="shared" si="265"/>
        <v>0.18572544499675697</v>
      </c>
      <c r="EZ77" s="456">
        <f t="shared" si="266"/>
        <v>0.2572588489070895</v>
      </c>
      <c r="FA77" s="538">
        <f t="shared" si="267"/>
        <v>1.0076722532588454E-3</v>
      </c>
      <c r="FB77" s="144">
        <f t="shared" si="301"/>
        <v>258.2665211603483</v>
      </c>
      <c r="FC77" s="150">
        <f t="shared" si="302"/>
        <v>1.4320415221659795</v>
      </c>
      <c r="FD77" s="5">
        <f t="shared" si="303"/>
        <v>5.76</v>
      </c>
      <c r="FE77" s="150">
        <f t="shared" si="304"/>
        <v>0.80088525382502229</v>
      </c>
      <c r="FF77" s="5">
        <f t="shared" si="305"/>
        <v>80.088525382502226</v>
      </c>
      <c r="FG77">
        <f t="shared" si="306"/>
        <v>72</v>
      </c>
      <c r="FI77" s="59">
        <f t="shared" si="268"/>
        <v>-50</v>
      </c>
      <c r="FJ77">
        <f t="shared" si="269"/>
        <v>-50</v>
      </c>
      <c r="FL77">
        <f t="shared" si="270"/>
        <v>0.82883202513712817</v>
      </c>
    </row>
    <row r="78" spans="5:168">
      <c r="E78" s="147">
        <v>73</v>
      </c>
      <c r="F78" s="188">
        <f t="shared" si="307"/>
        <v>0.876</v>
      </c>
      <c r="G78" s="188">
        <f t="shared" si="271"/>
        <v>0.1825</v>
      </c>
      <c r="H78" s="188">
        <f t="shared" si="176"/>
        <v>4.38</v>
      </c>
      <c r="I78" s="188">
        <f t="shared" si="308"/>
        <v>1.46</v>
      </c>
      <c r="J78" s="465">
        <f t="shared" si="177"/>
        <v>47.916892417522384</v>
      </c>
      <c r="K78" s="379">
        <f t="shared" si="178"/>
        <v>5.7317072690279458</v>
      </c>
      <c r="L78" s="149">
        <f t="shared" si="179"/>
        <v>53.648599686550327</v>
      </c>
      <c r="M78" s="379"/>
      <c r="N78" s="188">
        <f t="shared" si="180"/>
        <v>0.10683796599568808</v>
      </c>
      <c r="O78" s="149">
        <f t="shared" si="272"/>
        <v>9.5987687301043128</v>
      </c>
      <c r="P78" s="149">
        <f t="shared" si="181"/>
        <v>4.266119435601917</v>
      </c>
      <c r="Q78" s="188">
        <f t="shared" si="182"/>
        <v>1.9197537460208625</v>
      </c>
      <c r="R78" s="188">
        <f t="shared" si="183"/>
        <v>1.1998460912630391</v>
      </c>
      <c r="S78" s="379">
        <f t="shared" si="184"/>
        <v>5</v>
      </c>
      <c r="T78" s="188">
        <f t="shared" si="185"/>
        <v>2.2815426244530435</v>
      </c>
      <c r="U78" s="188">
        <f t="shared" si="186"/>
        <v>0.57137493923593163</v>
      </c>
      <c r="V78" s="188">
        <f t="shared" si="187"/>
        <v>4.7766765133627818</v>
      </c>
      <c r="W78" s="172">
        <f t="shared" si="188"/>
        <v>350</v>
      </c>
      <c r="X78" s="379">
        <f t="shared" si="273"/>
        <v>180.24346178902127</v>
      </c>
      <c r="Z78" s="188">
        <f t="shared" si="189"/>
        <v>1.2188912673148333</v>
      </c>
      <c r="AA78" s="150">
        <f t="shared" si="190"/>
        <v>2.5518915257266053</v>
      </c>
      <c r="AB78" s="150">
        <f t="shared" si="191"/>
        <v>0.54433370177250495</v>
      </c>
      <c r="AC78" s="150"/>
      <c r="AD78" s="150">
        <f t="shared" si="192"/>
        <v>2.0936170388260442</v>
      </c>
      <c r="AE78" s="314">
        <f t="shared" si="193"/>
        <v>836.82926127808003</v>
      </c>
      <c r="AF78" s="456">
        <f t="shared" si="194"/>
        <v>0.36638298179455775</v>
      </c>
      <c r="AH78" s="150">
        <f t="shared" si="195"/>
        <v>1.6676187756655838</v>
      </c>
      <c r="AI78" s="150">
        <f t="shared" si="196"/>
        <v>2.2815426244530435</v>
      </c>
      <c r="AJ78" s="150">
        <f t="shared" si="197"/>
        <v>2.1492908329281804</v>
      </c>
      <c r="AL78" s="314">
        <f t="shared" si="198"/>
        <v>876</v>
      </c>
      <c r="AM78" s="144">
        <f t="shared" si="199"/>
        <v>180.24346178902127</v>
      </c>
      <c r="AO78">
        <f t="shared" si="274"/>
        <v>876</v>
      </c>
      <c r="AP78">
        <f t="shared" si="200"/>
        <v>180.24346178902127</v>
      </c>
      <c r="AR78" s="5">
        <f t="shared" si="275"/>
        <v>5.5480514525987132</v>
      </c>
      <c r="AS78" s="5">
        <f t="shared" si="201"/>
        <v>0.57137493923593163</v>
      </c>
      <c r="AT78" s="5">
        <f t="shared" si="276"/>
        <v>4.9766765133627819</v>
      </c>
      <c r="AU78" s="150">
        <f t="shared" si="277"/>
        <v>0.10298659702737598</v>
      </c>
      <c r="AW78" s="5">
        <f t="shared" si="202"/>
        <v>10.010488935413523</v>
      </c>
      <c r="AX78" s="5">
        <f t="shared" si="203"/>
        <v>1.3034490801319691</v>
      </c>
      <c r="AY78" s="5">
        <f t="shared" si="204"/>
        <v>0.18954556897696029</v>
      </c>
      <c r="AZ78" s="5"/>
      <c r="BA78" s="150">
        <f t="shared" si="278"/>
        <v>0.42272537051651615</v>
      </c>
      <c r="BB78" s="150">
        <f t="shared" si="205"/>
        <v>1.2475771894036729</v>
      </c>
      <c r="BC78" s="150">
        <f t="shared" si="206"/>
        <v>0.27887019527846807</v>
      </c>
      <c r="BD78" s="150"/>
      <c r="BE78" s="456">
        <f t="shared" si="207"/>
        <v>3.5739347775665172E-3</v>
      </c>
      <c r="BF78" s="456">
        <f t="shared" si="208"/>
        <v>0.41366404033758691</v>
      </c>
      <c r="BG78" s="456">
        <f t="shared" si="209"/>
        <v>0.21591766418765845</v>
      </c>
      <c r="BH78" s="456">
        <f t="shared" si="210"/>
        <v>5.187717296636802E-2</v>
      </c>
      <c r="BI78">
        <f t="shared" si="211"/>
        <v>2.1562601587885071E-2</v>
      </c>
      <c r="BJ78" s="144">
        <f t="shared" si="279"/>
        <v>237.4802657755435</v>
      </c>
      <c r="BK78">
        <f t="shared" si="212"/>
        <v>0.47047962619863859</v>
      </c>
      <c r="BL78" s="144">
        <f t="shared" si="280"/>
        <v>470.47962619863858</v>
      </c>
      <c r="BM78" s="150">
        <f t="shared" si="213"/>
        <v>0.54421499999999989</v>
      </c>
      <c r="BN78" s="150">
        <f t="shared" si="214"/>
        <v>8.0984374999999997E-2</v>
      </c>
      <c r="BO78" s="456"/>
      <c r="BQ78" s="144">
        <f t="shared" si="281"/>
        <v>625.19937499999992</v>
      </c>
      <c r="BR78" s="456">
        <f t="shared" si="215"/>
        <v>5.360902166349775E-3</v>
      </c>
      <c r="BS78" s="456">
        <f t="shared" si="216"/>
        <v>4.6693465305611033E-2</v>
      </c>
      <c r="BT78" s="456">
        <f t="shared" si="217"/>
        <v>3.8884292907325461E-4</v>
      </c>
      <c r="BU78" s="456">
        <f t="shared" si="218"/>
        <v>0.17147083834306406</v>
      </c>
      <c r="BV78" s="456">
        <f t="shared" si="219"/>
        <v>0.23749682692546875</v>
      </c>
      <c r="BW78" s="538">
        <f t="shared" si="220"/>
        <v>9.3824593943840422E-4</v>
      </c>
      <c r="BX78" s="144">
        <f t="shared" si="282"/>
        <v>238.43507286490714</v>
      </c>
      <c r="BY78" s="150">
        <f t="shared" si="283"/>
        <v>1.3341140740635458</v>
      </c>
      <c r="BZ78" s="5">
        <f t="shared" si="284"/>
        <v>5.84</v>
      </c>
      <c r="CA78" s="150">
        <f t="shared" si="285"/>
        <v>0.81403779473109494</v>
      </c>
      <c r="CB78" s="5">
        <f t="shared" si="286"/>
        <v>81.403779473109495</v>
      </c>
      <c r="CC78">
        <f t="shared" si="287"/>
        <v>73</v>
      </c>
      <c r="CE78" s="59">
        <f t="shared" si="221"/>
        <v>-50</v>
      </c>
      <c r="CF78">
        <f t="shared" si="222"/>
        <v>-50</v>
      </c>
      <c r="CG78" s="150">
        <f t="shared" si="223"/>
        <v>0.82883202513712817</v>
      </c>
      <c r="CH78" s="150">
        <f t="shared" si="224"/>
        <v>0.44965289283354887</v>
      </c>
      <c r="CI78" s="147">
        <v>73</v>
      </c>
      <c r="CJ78" s="188">
        <f t="shared" si="309"/>
        <v>0.876</v>
      </c>
      <c r="CK78" s="188">
        <f t="shared" si="288"/>
        <v>0.1825</v>
      </c>
      <c r="CL78" s="188">
        <f t="shared" si="225"/>
        <v>4.38</v>
      </c>
      <c r="CM78" s="188">
        <f t="shared" si="310"/>
        <v>1.46</v>
      </c>
      <c r="CN78" s="465">
        <f t="shared" si="289"/>
        <v>48</v>
      </c>
      <c r="CO78" s="379">
        <f t="shared" si="226"/>
        <v>5.7</v>
      </c>
      <c r="CP78" s="379">
        <f t="shared" si="227"/>
        <v>53.7</v>
      </c>
      <c r="CQ78" s="379"/>
      <c r="CR78" s="188">
        <f t="shared" si="228"/>
        <v>0.10112359550561799</v>
      </c>
      <c r="CS78" s="149">
        <f t="shared" si="290"/>
        <v>9.1011235955056193</v>
      </c>
      <c r="CT78" s="149">
        <f t="shared" si="229"/>
        <v>4.0449438202247192</v>
      </c>
      <c r="CU78" s="188">
        <f t="shared" si="230"/>
        <v>1.8202247191011238</v>
      </c>
      <c r="CV78" s="188">
        <f t="shared" si="231"/>
        <v>1.1376404494382024</v>
      </c>
      <c r="CW78" s="379">
        <f t="shared" si="232"/>
        <v>5</v>
      </c>
      <c r="CX78" s="188">
        <f t="shared" si="233"/>
        <v>2.4062962962962962</v>
      </c>
      <c r="CY78" s="188">
        <f t="shared" si="234"/>
        <v>0.60157407407407404</v>
      </c>
      <c r="CZ78" s="188">
        <f t="shared" si="235"/>
        <v>5.0658869395711505</v>
      </c>
      <c r="DA78" s="172">
        <f t="shared" si="236"/>
        <v>350</v>
      </c>
      <c r="DB78" s="379">
        <f t="shared" si="291"/>
        <v>176.44585425331672</v>
      </c>
      <c r="DD78" s="188">
        <f t="shared" si="237"/>
        <v>1.2130885873902635</v>
      </c>
      <c r="DE78" s="150">
        <f t="shared" si="238"/>
        <v>2.5538707102952913</v>
      </c>
      <c r="DF78" s="150">
        <f t="shared" si="239"/>
        <v>0.54216249715765974</v>
      </c>
      <c r="DG78" s="150"/>
      <c r="DH78" s="150">
        <f t="shared" si="240"/>
        <v>2.1052631578947367</v>
      </c>
      <c r="DI78" s="314">
        <f t="shared" si="241"/>
        <v>832.20000000000016</v>
      </c>
      <c r="DJ78" s="456">
        <f t="shared" si="242"/>
        <v>0.36842105263157893</v>
      </c>
      <c r="DL78" s="150">
        <f t="shared" si="243"/>
        <v>1.6676187756655838</v>
      </c>
      <c r="DM78" s="150">
        <f t="shared" si="244"/>
        <v>2.4062962962962962</v>
      </c>
      <c r="DN78" s="150">
        <f t="shared" si="245"/>
        <v>2.2417009602194784</v>
      </c>
      <c r="DP78" s="314">
        <f t="shared" si="246"/>
        <v>876</v>
      </c>
      <c r="DQ78" s="144">
        <f t="shared" si="247"/>
        <v>176.44585425331672</v>
      </c>
      <c r="DS78">
        <f t="shared" si="292"/>
        <v>876</v>
      </c>
      <c r="DT78">
        <f t="shared" si="248"/>
        <v>176.44585425331672</v>
      </c>
      <c r="DV78" s="5">
        <f t="shared" si="293"/>
        <v>5.6674610136452248</v>
      </c>
      <c r="DW78" s="5">
        <f t="shared" si="249"/>
        <v>0.60157407407407404</v>
      </c>
      <c r="DX78" s="5">
        <f t="shared" si="294"/>
        <v>5.0658869395711505</v>
      </c>
      <c r="DY78" s="150">
        <f t="shared" si="295"/>
        <v>0.10614525139664803</v>
      </c>
      <c r="EA78" s="5">
        <f t="shared" si="250"/>
        <v>10.539577777777778</v>
      </c>
      <c r="EB78" s="5">
        <f t="shared" si="251"/>
        <v>1.3723408564814814</v>
      </c>
      <c r="EC78" s="5">
        <f t="shared" si="252"/>
        <v>0.19260924301494475</v>
      </c>
      <c r="ED78" s="5"/>
      <c r="EE78" s="150">
        <f t="shared" si="296"/>
        <v>0.45262523179531011</v>
      </c>
      <c r="EF78" s="150">
        <f t="shared" si="253"/>
        <v>1.3134754234721457</v>
      </c>
      <c r="EG78" s="150">
        <f t="shared" si="254"/>
        <v>0.29360038877612671</v>
      </c>
      <c r="EH78" s="150"/>
      <c r="EI78" s="456">
        <f t="shared" si="255"/>
        <v>4.0973920091551645E-3</v>
      </c>
      <c r="EJ78" s="456">
        <f t="shared" si="256"/>
        <v>0.45599999999999996</v>
      </c>
      <c r="EK78" s="456">
        <f t="shared" si="257"/>
        <v>2.2055731781664589E-2</v>
      </c>
      <c r="EL78" s="456">
        <f t="shared" si="258"/>
        <v>5.08815145451747E-2</v>
      </c>
      <c r="EM78">
        <f t="shared" si="259"/>
        <v>2.1600000000000001E-2</v>
      </c>
      <c r="EN78" s="144">
        <f t="shared" si="297"/>
        <v>43.655731781664592</v>
      </c>
      <c r="EO78">
        <f t="shared" si="260"/>
        <v>0.55628249763111115</v>
      </c>
      <c r="EP78" s="144">
        <f t="shared" si="298"/>
        <v>556.28249763111114</v>
      </c>
      <c r="EQ78" s="150">
        <f t="shared" si="261"/>
        <v>0.54421499999999989</v>
      </c>
      <c r="ER78" s="150">
        <f t="shared" si="262"/>
        <v>8.0984374999999997E-2</v>
      </c>
      <c r="ES78" s="456"/>
      <c r="EU78" s="144">
        <f t="shared" si="299"/>
        <v>625.19937499999992</v>
      </c>
      <c r="EV78" s="456">
        <f t="shared" si="263"/>
        <v>6.1460880137327459E-3</v>
      </c>
      <c r="EW78" s="456">
        <f t="shared" si="300"/>
        <v>5.1756530641959973E-2</v>
      </c>
      <c r="EX78" s="456">
        <f t="shared" si="264"/>
        <v>4.3100594144746375E-4</v>
      </c>
      <c r="EY78" s="456">
        <f t="shared" si="265"/>
        <v>0.18572544499675728</v>
      </c>
      <c r="EZ78" s="456">
        <f t="shared" si="266"/>
        <v>0.25926906785512399</v>
      </c>
      <c r="FA78" s="538">
        <f t="shared" si="267"/>
        <v>1.0216677012207737E-3</v>
      </c>
      <c r="FB78" s="144">
        <f t="shared" si="301"/>
        <v>260.29073555634477</v>
      </c>
      <c r="FC78" s="150">
        <f t="shared" si="302"/>
        <v>1.4417726081874558</v>
      </c>
      <c r="FD78" s="5">
        <f t="shared" si="303"/>
        <v>5.84</v>
      </c>
      <c r="FE78" s="150">
        <f t="shared" si="304"/>
        <v>0.80200252249481663</v>
      </c>
      <c r="FF78" s="5">
        <f t="shared" si="305"/>
        <v>80.200252249481665</v>
      </c>
      <c r="FG78">
        <f t="shared" si="306"/>
        <v>73</v>
      </c>
      <c r="FI78" s="59">
        <f t="shared" si="268"/>
        <v>-50</v>
      </c>
      <c r="FJ78">
        <f t="shared" si="269"/>
        <v>-50</v>
      </c>
      <c r="FL78">
        <f t="shared" si="270"/>
        <v>0.82883202513712817</v>
      </c>
    </row>
    <row r="79" spans="5:168">
      <c r="E79" s="147">
        <v>74</v>
      </c>
      <c r="F79" s="188">
        <f t="shared" si="307"/>
        <v>0.88800000000000001</v>
      </c>
      <c r="G79" s="188">
        <f t="shared" si="271"/>
        <v>0.185</v>
      </c>
      <c r="H79" s="188">
        <f t="shared" si="176"/>
        <v>4.4400000000000004</v>
      </c>
      <c r="I79" s="188">
        <f t="shared" si="308"/>
        <v>1.48</v>
      </c>
      <c r="J79" s="465">
        <f t="shared" si="177"/>
        <v>47.915753957488441</v>
      </c>
      <c r="K79" s="379">
        <f t="shared" si="178"/>
        <v>5.7321416151790139</v>
      </c>
      <c r="L79" s="149">
        <f t="shared" si="179"/>
        <v>53.647895572667451</v>
      </c>
      <c r="M79" s="379"/>
      <c r="N79" s="188">
        <f t="shared" si="180"/>
        <v>0.10684746445300321</v>
      </c>
      <c r="O79" s="149">
        <f t="shared" si="272"/>
        <v>9.5993940332092382</v>
      </c>
      <c r="P79" s="149">
        <f t="shared" si="181"/>
        <v>4.266397348092994</v>
      </c>
      <c r="Q79" s="188">
        <f t="shared" si="182"/>
        <v>1.9198788066418477</v>
      </c>
      <c r="R79" s="188">
        <f t="shared" si="183"/>
        <v>1.1999242541511548</v>
      </c>
      <c r="S79" s="379">
        <f t="shared" si="184"/>
        <v>5</v>
      </c>
      <c r="T79" s="188">
        <f t="shared" si="185"/>
        <v>2.3126459777772208</v>
      </c>
      <c r="U79" s="188">
        <f t="shared" si="186"/>
        <v>0.57917802478801461</v>
      </c>
      <c r="V79" s="188">
        <f t="shared" si="187"/>
        <v>4.8414281426401864</v>
      </c>
      <c r="W79" s="172">
        <f t="shared" si="188"/>
        <v>350</v>
      </c>
      <c r="X79" s="379">
        <f t="shared" si="273"/>
        <v>177.91675314222667</v>
      </c>
      <c r="Z79" s="188">
        <f t="shared" si="189"/>
        <v>1.2189706708837127</v>
      </c>
      <c r="AA79" s="150">
        <f t="shared" si="190"/>
        <v>2.5518643872771332</v>
      </c>
      <c r="AB79" s="150">
        <f t="shared" si="191"/>
        <v>0.5443633727286058</v>
      </c>
      <c r="AC79" s="150"/>
      <c r="AD79" s="150">
        <f t="shared" si="192"/>
        <v>2.093458397507725</v>
      </c>
      <c r="AE79" s="314">
        <f t="shared" si="193"/>
        <v>848.35695904649413</v>
      </c>
      <c r="AF79" s="456">
        <f t="shared" si="194"/>
        <v>0.36635521956385186</v>
      </c>
      <c r="AH79" s="150">
        <f t="shared" si="195"/>
        <v>1.6790019711267818</v>
      </c>
      <c r="AI79" s="150">
        <f t="shared" si="196"/>
        <v>2.3126459777772208</v>
      </c>
      <c r="AJ79" s="150">
        <f t="shared" si="197"/>
        <v>2.1723303539090524</v>
      </c>
      <c r="AL79" s="314">
        <f t="shared" si="198"/>
        <v>888</v>
      </c>
      <c r="AM79" s="144">
        <f t="shared" si="199"/>
        <v>177.91675314222667</v>
      </c>
      <c r="AO79">
        <f t="shared" si="274"/>
        <v>888</v>
      </c>
      <c r="AP79">
        <f t="shared" si="200"/>
        <v>177.91675314222667</v>
      </c>
      <c r="AR79" s="5">
        <f t="shared" si="275"/>
        <v>5.6206061674282006</v>
      </c>
      <c r="AS79" s="5">
        <f t="shared" si="201"/>
        <v>0.57917802478801461</v>
      </c>
      <c r="AT79" s="5">
        <f t="shared" si="276"/>
        <v>5.0414281426401857</v>
      </c>
      <c r="AU79" s="150">
        <f t="shared" si="277"/>
        <v>0.10304547366161164</v>
      </c>
      <c r="AW79" s="5">
        <f t="shared" si="202"/>
        <v>10.286201720235139</v>
      </c>
      <c r="AX79" s="5">
        <f t="shared" si="203"/>
        <v>1.3393491823222836</v>
      </c>
      <c r="AY79" s="5">
        <f t="shared" si="204"/>
        <v>0.19464667241089592</v>
      </c>
      <c r="AZ79" s="5"/>
      <c r="BA79" s="150">
        <f t="shared" si="278"/>
        <v>0.42861067972446992</v>
      </c>
      <c r="BB79" s="150">
        <f t="shared" si="205"/>
        <v>1.2645434056353491</v>
      </c>
      <c r="BC79" s="150">
        <f t="shared" si="206"/>
        <v>0.28266264361260746</v>
      </c>
      <c r="BD79" s="150"/>
      <c r="BE79" s="456">
        <f t="shared" si="207"/>
        <v>3.6741422954774429E-3</v>
      </c>
      <c r="BF79" s="456">
        <f t="shared" si="208"/>
        <v>0.41388526282759236</v>
      </c>
      <c r="BG79" s="456">
        <f t="shared" si="209"/>
        <v>0.21312538421195354</v>
      </c>
      <c r="BH79" s="456">
        <f t="shared" si="210"/>
        <v>5.1206161998230727E-2</v>
      </c>
      <c r="BI79">
        <f t="shared" si="211"/>
        <v>2.1562089280869799E-2</v>
      </c>
      <c r="BJ79" s="144">
        <f t="shared" si="279"/>
        <v>234.68747349282336</v>
      </c>
      <c r="BK79">
        <f t="shared" si="212"/>
        <v>0.47016803104660609</v>
      </c>
      <c r="BL79" s="144">
        <f t="shared" si="280"/>
        <v>470.16803104660607</v>
      </c>
      <c r="BM79" s="150">
        <f t="shared" si="213"/>
        <v>0.55166999999999988</v>
      </c>
      <c r="BN79" s="150">
        <f t="shared" si="214"/>
        <v>8.2093749999999993E-2</v>
      </c>
      <c r="BO79" s="456"/>
      <c r="BQ79" s="144">
        <f t="shared" si="281"/>
        <v>633.76374999999985</v>
      </c>
      <c r="BR79" s="456">
        <f t="shared" si="215"/>
        <v>5.5112134432161643E-3</v>
      </c>
      <c r="BS79" s="456">
        <f t="shared" si="216"/>
        <v>4.7972100742075405E-2</v>
      </c>
      <c r="BT79" s="456">
        <f t="shared" si="217"/>
        <v>3.9949085047033973E-4</v>
      </c>
      <c r="BU79" s="456">
        <f t="shared" si="218"/>
        <v>0.17170581544075719</v>
      </c>
      <c r="BV79" s="456">
        <f t="shared" si="219"/>
        <v>0.23955311719787656</v>
      </c>
      <c r="BW79" s="538">
        <f t="shared" si="220"/>
        <v>9.5155776071326724E-4</v>
      </c>
      <c r="BX79" s="144">
        <f t="shared" si="282"/>
        <v>240.50467495858982</v>
      </c>
      <c r="BY79" s="150">
        <f t="shared" si="283"/>
        <v>1.344436456005196</v>
      </c>
      <c r="BZ79" s="5">
        <f t="shared" si="284"/>
        <v>5.92</v>
      </c>
      <c r="CA79" s="150">
        <f t="shared" si="285"/>
        <v>0.81492900871975982</v>
      </c>
      <c r="CB79" s="5">
        <f t="shared" si="286"/>
        <v>81.492900871975976</v>
      </c>
      <c r="CC79">
        <f t="shared" si="287"/>
        <v>74</v>
      </c>
      <c r="CE79" s="59">
        <f t="shared" si="221"/>
        <v>-50</v>
      </c>
      <c r="CF79">
        <f t="shared" si="222"/>
        <v>-50</v>
      </c>
      <c r="CG79" s="150">
        <f t="shared" si="223"/>
        <v>0.82883202513712817</v>
      </c>
      <c r="CH79" s="150">
        <f t="shared" si="224"/>
        <v>0.44965289283354887</v>
      </c>
      <c r="CI79" s="147">
        <v>74</v>
      </c>
      <c r="CJ79" s="188">
        <f t="shared" si="309"/>
        <v>0.88800000000000001</v>
      </c>
      <c r="CK79" s="188">
        <f t="shared" si="288"/>
        <v>0.185</v>
      </c>
      <c r="CL79" s="188">
        <f t="shared" si="225"/>
        <v>4.4400000000000004</v>
      </c>
      <c r="CM79" s="188">
        <f t="shared" si="310"/>
        <v>1.48</v>
      </c>
      <c r="CN79" s="465">
        <f t="shared" si="289"/>
        <v>48</v>
      </c>
      <c r="CO79" s="379">
        <f t="shared" si="226"/>
        <v>5.7</v>
      </c>
      <c r="CP79" s="379">
        <f t="shared" si="227"/>
        <v>53.7</v>
      </c>
      <c r="CQ79" s="379"/>
      <c r="CR79" s="188">
        <f t="shared" si="228"/>
        <v>0.10112359550561799</v>
      </c>
      <c r="CS79" s="149">
        <f t="shared" si="290"/>
        <v>9.1011235955056193</v>
      </c>
      <c r="CT79" s="149">
        <f t="shared" si="229"/>
        <v>4.0449438202247192</v>
      </c>
      <c r="CU79" s="188">
        <f t="shared" si="230"/>
        <v>1.8202247191011238</v>
      </c>
      <c r="CV79" s="188">
        <f t="shared" si="231"/>
        <v>1.1376404494382024</v>
      </c>
      <c r="CW79" s="379">
        <f t="shared" si="232"/>
        <v>5</v>
      </c>
      <c r="CX79" s="188">
        <f t="shared" si="233"/>
        <v>2.4392592592592592</v>
      </c>
      <c r="CY79" s="188">
        <f t="shared" si="234"/>
        <v>0.60981481481481481</v>
      </c>
      <c r="CZ79" s="188">
        <f t="shared" si="235"/>
        <v>5.1352826510721243</v>
      </c>
      <c r="DA79" s="172">
        <f t="shared" si="236"/>
        <v>350</v>
      </c>
      <c r="DB79" s="379">
        <f t="shared" si="291"/>
        <v>174.06145081746112</v>
      </c>
      <c r="DD79" s="188">
        <f t="shared" si="237"/>
        <v>1.2130885873902635</v>
      </c>
      <c r="DE79" s="150">
        <f t="shared" si="238"/>
        <v>2.5538707102952913</v>
      </c>
      <c r="DF79" s="150">
        <f t="shared" si="239"/>
        <v>0.54216249715765974</v>
      </c>
      <c r="DG79" s="150"/>
      <c r="DH79" s="150">
        <f t="shared" si="240"/>
        <v>2.1052631578947367</v>
      </c>
      <c r="DI79" s="314">
        <f t="shared" si="241"/>
        <v>843.6</v>
      </c>
      <c r="DJ79" s="456">
        <f t="shared" si="242"/>
        <v>0.36842105263157893</v>
      </c>
      <c r="DL79" s="150">
        <f t="shared" si="243"/>
        <v>1.6790019711267818</v>
      </c>
      <c r="DM79" s="150">
        <f t="shared" si="244"/>
        <v>2.4392592592592592</v>
      </c>
      <c r="DN79" s="150">
        <f t="shared" si="245"/>
        <v>2.2661179698216736</v>
      </c>
      <c r="DP79" s="314">
        <f t="shared" si="246"/>
        <v>888</v>
      </c>
      <c r="DQ79" s="144">
        <f t="shared" si="247"/>
        <v>174.06145081746112</v>
      </c>
      <c r="DS79">
        <f t="shared" si="292"/>
        <v>888</v>
      </c>
      <c r="DT79">
        <f t="shared" si="248"/>
        <v>174.06145081746112</v>
      </c>
      <c r="DV79" s="5">
        <f t="shared" si="293"/>
        <v>5.7450974658869391</v>
      </c>
      <c r="DW79" s="5">
        <f t="shared" si="249"/>
        <v>0.60981481481481481</v>
      </c>
      <c r="DX79" s="5">
        <f t="shared" si="294"/>
        <v>5.1352826510721243</v>
      </c>
      <c r="DY79" s="150">
        <f t="shared" si="295"/>
        <v>0.10614525139664806</v>
      </c>
      <c r="EA79" s="5">
        <f t="shared" si="250"/>
        <v>10.83031111111111</v>
      </c>
      <c r="EB79" s="5">
        <f t="shared" si="251"/>
        <v>1.4101967592592592</v>
      </c>
      <c r="EC79" s="5">
        <f t="shared" si="252"/>
        <v>0.19792235217673812</v>
      </c>
      <c r="ED79" s="5"/>
      <c r="EE79" s="150">
        <f t="shared" si="296"/>
        <v>0.45882557743634184</v>
      </c>
      <c r="EF79" s="150">
        <f t="shared" si="253"/>
        <v>1.3314682374923121</v>
      </c>
      <c r="EG79" s="150">
        <f t="shared" si="254"/>
        <v>0.29762231191004629</v>
      </c>
      <c r="EH79" s="150"/>
      <c r="EI79" s="456">
        <f t="shared" si="255"/>
        <v>4.2104182101958508E-3</v>
      </c>
      <c r="EJ79" s="456">
        <f t="shared" si="256"/>
        <v>0.45600000000000002</v>
      </c>
      <c r="EK79" s="456">
        <f t="shared" si="257"/>
        <v>2.1757681352182642E-2</v>
      </c>
      <c r="EL79" s="456">
        <f t="shared" si="258"/>
        <v>5.0193926510780452E-2</v>
      </c>
      <c r="EM79">
        <f t="shared" si="259"/>
        <v>2.1600000000000001E-2</v>
      </c>
      <c r="EN79" s="144">
        <f t="shared" si="297"/>
        <v>43.357681352182638</v>
      </c>
      <c r="EO79">
        <f t="shared" si="260"/>
        <v>0.55545451311126448</v>
      </c>
      <c r="EP79" s="144">
        <f t="shared" si="298"/>
        <v>555.45451311126453</v>
      </c>
      <c r="EQ79" s="150">
        <f t="shared" si="261"/>
        <v>0.55166999999999988</v>
      </c>
      <c r="ER79" s="150">
        <f t="shared" si="262"/>
        <v>8.2093749999999993E-2</v>
      </c>
      <c r="ES79" s="456"/>
      <c r="EU79" s="144">
        <f t="shared" si="299"/>
        <v>633.76374999999985</v>
      </c>
      <c r="EV79" s="456">
        <f t="shared" si="263"/>
        <v>6.3156273152937753E-3</v>
      </c>
      <c r="EW79" s="456">
        <f t="shared" si="300"/>
        <v>5.318423002352652E-2</v>
      </c>
      <c r="EX79" s="456">
        <f t="shared" si="264"/>
        <v>4.428952027334044E-4</v>
      </c>
      <c r="EY79" s="456">
        <f t="shared" si="265"/>
        <v>0.18572544499675731</v>
      </c>
      <c r="EZ79" s="456">
        <f t="shared" si="266"/>
        <v>0.26130753759333991</v>
      </c>
      <c r="FA79" s="538">
        <f t="shared" si="267"/>
        <v>1.0356631491827023E-3</v>
      </c>
      <c r="FB79" s="144">
        <f t="shared" si="301"/>
        <v>262.34320074252258</v>
      </c>
      <c r="FC79" s="150">
        <f t="shared" si="302"/>
        <v>1.451561463853787</v>
      </c>
      <c r="FD79" s="5">
        <f t="shared" si="303"/>
        <v>5.92</v>
      </c>
      <c r="FE79" s="150">
        <f t="shared" si="304"/>
        <v>0.80308629712015944</v>
      </c>
      <c r="FF79" s="5">
        <f t="shared" si="305"/>
        <v>80.308629712015943</v>
      </c>
      <c r="FG79">
        <f t="shared" si="306"/>
        <v>74</v>
      </c>
      <c r="FI79" s="59">
        <f t="shared" si="268"/>
        <v>-50</v>
      </c>
      <c r="FJ79">
        <f t="shared" si="269"/>
        <v>-50</v>
      </c>
      <c r="FL79">
        <f t="shared" si="270"/>
        <v>0.82883202513712817</v>
      </c>
    </row>
    <row r="80" spans="5:168">
      <c r="E80" s="147">
        <v>75</v>
      </c>
      <c r="F80" s="188">
        <f t="shared" si="307"/>
        <v>0.89999999999999991</v>
      </c>
      <c r="G80" s="188">
        <f t="shared" si="271"/>
        <v>0.1875</v>
      </c>
      <c r="H80" s="188">
        <f t="shared" si="176"/>
        <v>4.5</v>
      </c>
      <c r="I80" s="188">
        <f t="shared" si="308"/>
        <v>1.5</v>
      </c>
      <c r="J80" s="465">
        <f t="shared" si="177"/>
        <v>47.914615497454506</v>
      </c>
      <c r="K80" s="379">
        <f t="shared" si="178"/>
        <v>5.7325759613300811</v>
      </c>
      <c r="L80" s="149">
        <f t="shared" si="179"/>
        <v>53.64719145878459</v>
      </c>
      <c r="M80" s="379"/>
      <c r="N80" s="188">
        <f t="shared" si="180"/>
        <v>0.10685696315965086</v>
      </c>
      <c r="O80" s="149">
        <f t="shared" si="272"/>
        <v>9.6000193181631239</v>
      </c>
      <c r="P80" s="149">
        <f t="shared" si="181"/>
        <v>4.2666752525169436</v>
      </c>
      <c r="Q80" s="188">
        <f t="shared" si="182"/>
        <v>1.9200038636326249</v>
      </c>
      <c r="R80" s="188">
        <f t="shared" si="183"/>
        <v>1.2000024147703905</v>
      </c>
      <c r="S80" s="379">
        <f t="shared" si="184"/>
        <v>5</v>
      </c>
      <c r="T80" s="188">
        <f t="shared" si="185"/>
        <v>2.3437452836610722</v>
      </c>
      <c r="U80" s="188">
        <f t="shared" si="186"/>
        <v>0.58698046748234933</v>
      </c>
      <c r="V80" s="188">
        <f t="shared" si="187"/>
        <v>4.9061614872011701</v>
      </c>
      <c r="W80" s="172">
        <f t="shared" si="188"/>
        <v>350</v>
      </c>
      <c r="X80" s="379">
        <f t="shared" si="273"/>
        <v>175.6499324906768</v>
      </c>
      <c r="Z80" s="188">
        <f t="shared" si="189"/>
        <v>1.2190500721476982</v>
      </c>
      <c r="AA80" s="150">
        <f t="shared" si="190"/>
        <v>2.5518372481152838</v>
      </c>
      <c r="AB80" s="150">
        <f t="shared" si="191"/>
        <v>0.5443930417492211</v>
      </c>
      <c r="AC80" s="150"/>
      <c r="AD80" s="150">
        <f t="shared" si="192"/>
        <v>2.093299780229295</v>
      </c>
      <c r="AE80" s="314">
        <f t="shared" si="193"/>
        <v>859.88639419951232</v>
      </c>
      <c r="AF80" s="456">
        <f t="shared" si="194"/>
        <v>0.36632746154012658</v>
      </c>
      <c r="AH80" s="150">
        <f t="shared" si="195"/>
        <v>1.6903085094570331</v>
      </c>
      <c r="AI80" s="150">
        <f t="shared" si="196"/>
        <v>2.3437452836610722</v>
      </c>
      <c r="AJ80" s="150">
        <f t="shared" si="197"/>
        <v>2.1953668767859793</v>
      </c>
      <c r="AL80" s="314">
        <f t="shared" si="198"/>
        <v>899.99999999999989</v>
      </c>
      <c r="AM80" s="144">
        <f t="shared" si="199"/>
        <v>175.6499324906768</v>
      </c>
      <c r="AO80">
        <f t="shared" si="274"/>
        <v>899.99999999999989</v>
      </c>
      <c r="AP80">
        <f t="shared" si="200"/>
        <v>175.6499324906768</v>
      </c>
      <c r="AR80" s="5">
        <f t="shared" si="275"/>
        <v>5.6931419546835196</v>
      </c>
      <c r="AS80" s="5">
        <f t="shared" si="201"/>
        <v>0.58698046748234933</v>
      </c>
      <c r="AT80" s="5">
        <f t="shared" si="276"/>
        <v>5.1061614872011702</v>
      </c>
      <c r="AU80" s="150">
        <f t="shared" si="277"/>
        <v>0.10310307948662058</v>
      </c>
      <c r="AW80" s="5">
        <f t="shared" si="202"/>
        <v>10.565648414682288</v>
      </c>
      <c r="AX80" s="5">
        <f t="shared" si="203"/>
        <v>1.3757354706617562</v>
      </c>
      <c r="AY80" s="5">
        <f t="shared" si="204"/>
        <v>0.19981487254156971</v>
      </c>
      <c r="AZ80" s="5"/>
      <c r="BA80" s="150">
        <f t="shared" si="278"/>
        <v>0.43449581953686089</v>
      </c>
      <c r="BB80" s="150">
        <f t="shared" si="205"/>
        <v>1.281507198978153</v>
      </c>
      <c r="BC80" s="150">
        <f t="shared" si="206"/>
        <v>0.28645455035982248</v>
      </c>
      <c r="BD80" s="150"/>
      <c r="BE80" s="456">
        <f t="shared" si="207"/>
        <v>3.7757323439001679E-3</v>
      </c>
      <c r="BF80" s="456">
        <f t="shared" si="208"/>
        <v>0.41410136407548043</v>
      </c>
      <c r="BG80" s="456">
        <f t="shared" si="209"/>
        <v>0.21040497443611547</v>
      </c>
      <c r="BH80" s="456">
        <f t="shared" si="210"/>
        <v>5.0552422095287083E-2</v>
      </c>
      <c r="BI80">
        <f t="shared" si="211"/>
        <v>2.1561576973854527E-2</v>
      </c>
      <c r="BJ80" s="144">
        <f t="shared" si="279"/>
        <v>231.96655140997001</v>
      </c>
      <c r="BK80">
        <f t="shared" si="212"/>
        <v>0.46987049364786654</v>
      </c>
      <c r="BL80" s="144">
        <f t="shared" si="280"/>
        <v>469.87049364786651</v>
      </c>
      <c r="BM80" s="150">
        <f t="shared" si="213"/>
        <v>0.55912499999999987</v>
      </c>
      <c r="BN80" s="150">
        <f t="shared" si="214"/>
        <v>8.3203124999999989E-2</v>
      </c>
      <c r="BO80" s="456"/>
      <c r="BQ80" s="144">
        <f t="shared" si="281"/>
        <v>642.32812499999989</v>
      </c>
      <c r="BR80" s="456">
        <f t="shared" si="215"/>
        <v>5.6635985158502511E-3</v>
      </c>
      <c r="BS80" s="456">
        <f t="shared" si="216"/>
        <v>4.926782103098494E-2</v>
      </c>
      <c r="BT80" s="456">
        <f t="shared" si="217"/>
        <v>4.1028104710924036E-4</v>
      </c>
      <c r="BU80" s="456">
        <f t="shared" si="218"/>
        <v>0.17193567588748476</v>
      </c>
      <c r="BV80" s="456">
        <f t="shared" si="219"/>
        <v>0.24162915810578844</v>
      </c>
      <c r="BW80" s="538">
        <f t="shared" si="220"/>
        <v>9.6487001350186472E-4</v>
      </c>
      <c r="BX80" s="144">
        <f t="shared" si="282"/>
        <v>242.59402811929033</v>
      </c>
      <c r="BY80" s="150">
        <f t="shared" si="283"/>
        <v>1.3547926467671569</v>
      </c>
      <c r="BZ80" s="5">
        <f t="shared" si="284"/>
        <v>6</v>
      </c>
      <c r="CA80" s="150">
        <f t="shared" si="285"/>
        <v>0.81579458295637142</v>
      </c>
      <c r="CB80" s="5">
        <f t="shared" si="286"/>
        <v>81.579458295637139</v>
      </c>
      <c r="CC80">
        <f t="shared" si="287"/>
        <v>75</v>
      </c>
      <c r="CE80" s="59">
        <f t="shared" si="221"/>
        <v>-50</v>
      </c>
      <c r="CF80">
        <f t="shared" si="222"/>
        <v>-50</v>
      </c>
      <c r="CG80" s="150">
        <f t="shared" si="223"/>
        <v>0.82883202513712817</v>
      </c>
      <c r="CH80" s="150">
        <f t="shared" si="224"/>
        <v>0.44965289283354887</v>
      </c>
      <c r="CI80" s="147">
        <v>75</v>
      </c>
      <c r="CJ80" s="188">
        <f t="shared" si="309"/>
        <v>0.89999999999999991</v>
      </c>
      <c r="CK80" s="188">
        <f t="shared" si="288"/>
        <v>0.1875</v>
      </c>
      <c r="CL80" s="188">
        <f t="shared" si="225"/>
        <v>4.5</v>
      </c>
      <c r="CM80" s="188">
        <f t="shared" si="310"/>
        <v>1.5</v>
      </c>
      <c r="CN80" s="465">
        <f t="shared" si="289"/>
        <v>48</v>
      </c>
      <c r="CO80" s="379">
        <f t="shared" si="226"/>
        <v>5.7</v>
      </c>
      <c r="CP80" s="379">
        <f t="shared" si="227"/>
        <v>53.7</v>
      </c>
      <c r="CQ80" s="379"/>
      <c r="CR80" s="188">
        <f t="shared" si="228"/>
        <v>0.10112359550561799</v>
      </c>
      <c r="CS80" s="149">
        <f t="shared" si="290"/>
        <v>9.1011235955056193</v>
      </c>
      <c r="CT80" s="149">
        <f t="shared" si="229"/>
        <v>4.0449438202247192</v>
      </c>
      <c r="CU80" s="188">
        <f t="shared" si="230"/>
        <v>1.8202247191011238</v>
      </c>
      <c r="CV80" s="188">
        <f t="shared" si="231"/>
        <v>1.1376404494382024</v>
      </c>
      <c r="CW80" s="379">
        <f t="shared" si="232"/>
        <v>5</v>
      </c>
      <c r="CX80" s="188">
        <f t="shared" si="233"/>
        <v>2.4722222222222219</v>
      </c>
      <c r="CY80" s="188">
        <f t="shared" si="234"/>
        <v>0.61805555555555547</v>
      </c>
      <c r="CZ80" s="188">
        <f t="shared" si="235"/>
        <v>5.204678362573099</v>
      </c>
      <c r="DA80" s="172">
        <f t="shared" si="236"/>
        <v>350</v>
      </c>
      <c r="DB80" s="379">
        <f t="shared" si="291"/>
        <v>171.74063147322832</v>
      </c>
      <c r="DD80" s="188">
        <f t="shared" si="237"/>
        <v>1.2130885873902635</v>
      </c>
      <c r="DE80" s="150">
        <f t="shared" si="238"/>
        <v>2.5538707102952913</v>
      </c>
      <c r="DF80" s="150">
        <f t="shared" si="239"/>
        <v>0.54216249715765974</v>
      </c>
      <c r="DG80" s="150"/>
      <c r="DH80" s="150">
        <f t="shared" si="240"/>
        <v>2.1052631578947367</v>
      </c>
      <c r="DI80" s="314">
        <f t="shared" si="241"/>
        <v>855</v>
      </c>
      <c r="DJ80" s="456">
        <f t="shared" si="242"/>
        <v>0.36842105263157893</v>
      </c>
      <c r="DL80" s="150">
        <f t="shared" si="243"/>
        <v>1.6903085094570331</v>
      </c>
      <c r="DM80" s="150">
        <f t="shared" si="244"/>
        <v>2.4722222222222219</v>
      </c>
      <c r="DN80" s="150">
        <f t="shared" si="245"/>
        <v>2.2905349794238679</v>
      </c>
      <c r="DP80" s="314">
        <f t="shared" si="246"/>
        <v>899.99999999999989</v>
      </c>
      <c r="DQ80" s="144">
        <f t="shared" si="247"/>
        <v>171.74063147322832</v>
      </c>
      <c r="DS80">
        <f t="shared" si="292"/>
        <v>899.99999999999989</v>
      </c>
      <c r="DT80">
        <f t="shared" si="248"/>
        <v>171.74063147322832</v>
      </c>
      <c r="DV80" s="5">
        <f t="shared" si="293"/>
        <v>5.8227339181286535</v>
      </c>
      <c r="DW80" s="5">
        <f t="shared" si="249"/>
        <v>0.61805555555555547</v>
      </c>
      <c r="DX80" s="5">
        <f t="shared" si="294"/>
        <v>5.2046783625730981</v>
      </c>
      <c r="DY80" s="150">
        <f t="shared" si="295"/>
        <v>0.10614525139664806</v>
      </c>
      <c r="EA80" s="5">
        <f t="shared" si="250"/>
        <v>11.124999999999998</v>
      </c>
      <c r="EB80" s="5">
        <f t="shared" si="251"/>
        <v>1.4485677083333333</v>
      </c>
      <c r="EC80" s="5">
        <f t="shared" si="252"/>
        <v>0.20330774853801162</v>
      </c>
      <c r="ED80" s="5"/>
      <c r="EE80" s="150">
        <f t="shared" si="296"/>
        <v>0.46502592307737339</v>
      </c>
      <c r="EF80" s="150">
        <f t="shared" si="253"/>
        <v>1.3494610515124783</v>
      </c>
      <c r="EG80" s="150">
        <f t="shared" si="254"/>
        <v>0.30164423504396576</v>
      </c>
      <c r="EH80" s="150"/>
      <c r="EI80" s="456">
        <f t="shared" si="255"/>
        <v>4.3249821826792639E-3</v>
      </c>
      <c r="EJ80" s="456">
        <f t="shared" si="256"/>
        <v>0.45600000000000002</v>
      </c>
      <c r="EK80" s="456">
        <f t="shared" si="257"/>
        <v>2.146757893415354E-2</v>
      </c>
      <c r="EL80" s="456">
        <f t="shared" si="258"/>
        <v>4.952467415730339E-2</v>
      </c>
      <c r="EM80">
        <f t="shared" si="259"/>
        <v>2.1600000000000001E-2</v>
      </c>
      <c r="EN80" s="144">
        <f t="shared" si="297"/>
        <v>43.067578934153545</v>
      </c>
      <c r="EO80">
        <f t="shared" si="260"/>
        <v>0.5546549526378155</v>
      </c>
      <c r="EP80" s="144">
        <f t="shared" si="298"/>
        <v>554.65495263781554</v>
      </c>
      <c r="EQ80" s="150">
        <f t="shared" si="261"/>
        <v>0.55912499999999987</v>
      </c>
      <c r="ER80" s="150">
        <f t="shared" si="262"/>
        <v>8.3203124999999989E-2</v>
      </c>
      <c r="ES80" s="456"/>
      <c r="EU80" s="144">
        <f t="shared" si="299"/>
        <v>642.32812499999989</v>
      </c>
      <c r="EV80" s="456">
        <f t="shared" si="263"/>
        <v>6.4874732740188958E-3</v>
      </c>
      <c r="EW80" s="456">
        <f t="shared" si="300"/>
        <v>5.4631353886474908E-2</v>
      </c>
      <c r="EX80" s="456">
        <f t="shared" si="264"/>
        <v>4.5494622267629631E-4</v>
      </c>
      <c r="EY80" s="456">
        <f t="shared" si="265"/>
        <v>0.18572544499675722</v>
      </c>
      <c r="EZ80" s="456">
        <f t="shared" si="266"/>
        <v>0.2633742798496817</v>
      </c>
      <c r="FA80" s="538">
        <f t="shared" si="267"/>
        <v>1.0496585971446306E-3</v>
      </c>
      <c r="FB80" s="144">
        <f t="shared" si="301"/>
        <v>264.4239384468263</v>
      </c>
      <c r="FC80" s="150">
        <f t="shared" si="302"/>
        <v>1.4614070160846417</v>
      </c>
      <c r="FD80" s="5">
        <f t="shared" si="303"/>
        <v>6</v>
      </c>
      <c r="FE80" s="150">
        <f t="shared" si="304"/>
        <v>0.80413787735553499</v>
      </c>
      <c r="FF80" s="5">
        <f t="shared" si="305"/>
        <v>80.413787735553498</v>
      </c>
      <c r="FG80">
        <f t="shared" si="306"/>
        <v>75</v>
      </c>
      <c r="FI80" s="59">
        <f t="shared" si="268"/>
        <v>-50</v>
      </c>
      <c r="FJ80">
        <f t="shared" si="269"/>
        <v>-50</v>
      </c>
      <c r="FL80">
        <f t="shared" si="270"/>
        <v>0.82883202513712817</v>
      </c>
    </row>
    <row r="81" spans="5:168">
      <c r="E81" s="147">
        <v>76</v>
      </c>
      <c r="F81" s="188">
        <f t="shared" si="307"/>
        <v>0.91199999999999992</v>
      </c>
      <c r="G81" s="188">
        <f t="shared" si="271"/>
        <v>0.19</v>
      </c>
      <c r="H81" s="188">
        <f t="shared" si="176"/>
        <v>4.5599999999999996</v>
      </c>
      <c r="I81" s="188">
        <f t="shared" si="308"/>
        <v>1.52</v>
      </c>
      <c r="J81" s="465">
        <f t="shared" si="177"/>
        <v>47.913477037420563</v>
      </c>
      <c r="K81" s="379">
        <f t="shared" si="178"/>
        <v>5.7330103074811491</v>
      </c>
      <c r="L81" s="149">
        <f t="shared" si="179"/>
        <v>53.646487344901715</v>
      </c>
      <c r="M81" s="379"/>
      <c r="N81" s="188">
        <f t="shared" si="180"/>
        <v>0.10686646211564092</v>
      </c>
      <c r="O81" s="149">
        <f t="shared" si="272"/>
        <v>9.6006445849652557</v>
      </c>
      <c r="P81" s="149">
        <f t="shared" si="181"/>
        <v>4.266953148873446</v>
      </c>
      <c r="Q81" s="188">
        <f t="shared" si="182"/>
        <v>1.9201289169930511</v>
      </c>
      <c r="R81" s="188">
        <f t="shared" si="183"/>
        <v>1.200080573120657</v>
      </c>
      <c r="S81" s="379">
        <f t="shared" si="184"/>
        <v>5</v>
      </c>
      <c r="T81" s="188">
        <f t="shared" si="185"/>
        <v>2.374840543071985</v>
      </c>
      <c r="U81" s="188">
        <f t="shared" si="186"/>
        <v>0.59478226751539509</v>
      </c>
      <c r="V81" s="188">
        <f t="shared" si="187"/>
        <v>4.9708765532264874</v>
      </c>
      <c r="W81" s="172">
        <f t="shared" si="188"/>
        <v>350</v>
      </c>
      <c r="X81" s="379">
        <f t="shared" si="273"/>
        <v>173.44071702656302</v>
      </c>
      <c r="Z81" s="188">
        <f t="shared" si="189"/>
        <v>1.2191294711066991</v>
      </c>
      <c r="AA81" s="150">
        <f t="shared" si="190"/>
        <v>2.5518101082410261</v>
      </c>
      <c r="AB81" s="150">
        <f t="shared" si="191"/>
        <v>0.54442270883430688</v>
      </c>
      <c r="AC81" s="150"/>
      <c r="AD81" s="150">
        <f t="shared" si="192"/>
        <v>2.0931411869852909</v>
      </c>
      <c r="AE81" s="314">
        <f t="shared" si="193"/>
        <v>871.41756673713462</v>
      </c>
      <c r="AF81" s="456">
        <f t="shared" si="194"/>
        <v>0.36629970772242593</v>
      </c>
      <c r="AH81" s="150">
        <f t="shared" si="195"/>
        <v>1.701539918790651</v>
      </c>
      <c r="AI81" s="150">
        <f t="shared" si="196"/>
        <v>2.374840543071985</v>
      </c>
      <c r="AJ81" s="150">
        <f t="shared" si="197"/>
        <v>2.2184004022755444</v>
      </c>
      <c r="AL81" s="314">
        <f t="shared" si="198"/>
        <v>911.99999999999989</v>
      </c>
      <c r="AM81" s="144">
        <f t="shared" si="199"/>
        <v>173.44071702656302</v>
      </c>
      <c r="AO81">
        <f t="shared" si="274"/>
        <v>911.99999999999989</v>
      </c>
      <c r="AP81">
        <f t="shared" si="200"/>
        <v>173.44071702656302</v>
      </c>
      <c r="AR81" s="5">
        <f t="shared" si="275"/>
        <v>5.7656588207418835</v>
      </c>
      <c r="AS81" s="5">
        <f t="shared" si="201"/>
        <v>0.59478226751539509</v>
      </c>
      <c r="AT81" s="5">
        <f t="shared" si="276"/>
        <v>5.1708765532264884</v>
      </c>
      <c r="AU81" s="150">
        <f t="shared" si="277"/>
        <v>0.10315946295255514</v>
      </c>
      <c r="AW81" s="5">
        <f t="shared" si="202"/>
        <v>10.848828559480806</v>
      </c>
      <c r="AX81" s="5">
        <f t="shared" si="203"/>
        <v>1.4126078853490633</v>
      </c>
      <c r="AY81" s="5">
        <f t="shared" si="204"/>
        <v>0.20505014577542002</v>
      </c>
      <c r="AZ81" s="5"/>
      <c r="BA81" s="150">
        <f t="shared" si="278"/>
        <v>0.4403807872198845</v>
      </c>
      <c r="BB81" s="150">
        <f t="shared" si="205"/>
        <v>1.2984685712742821</v>
      </c>
      <c r="BC81" s="150">
        <f t="shared" si="206"/>
        <v>0.2902459159318983</v>
      </c>
      <c r="BD81" s="150"/>
      <c r="BE81" s="456">
        <f t="shared" si="207"/>
        <v>3.8787047550481036E-3</v>
      </c>
      <c r="BF81" s="456">
        <f t="shared" si="208"/>
        <v>0.4143125392336266</v>
      </c>
      <c r="BG81" s="456">
        <f t="shared" si="209"/>
        <v>0.20775369531514962</v>
      </c>
      <c r="BH81" s="456">
        <f t="shared" si="210"/>
        <v>4.9915294919868097E-2</v>
      </c>
      <c r="BI81">
        <f t="shared" si="211"/>
        <v>2.1561064666839252E-2</v>
      </c>
      <c r="BJ81" s="144">
        <f t="shared" si="279"/>
        <v>229.31475998198886</v>
      </c>
      <c r="BK81">
        <f t="shared" si="212"/>
        <v>0.46958655088327117</v>
      </c>
      <c r="BL81" s="144">
        <f t="shared" si="280"/>
        <v>469.58655088327117</v>
      </c>
      <c r="BM81" s="150">
        <f t="shared" si="213"/>
        <v>0.56657999999999986</v>
      </c>
      <c r="BN81" s="150">
        <f t="shared" si="214"/>
        <v>8.4312499999999999E-2</v>
      </c>
      <c r="BO81" s="456"/>
      <c r="BQ81" s="144">
        <f t="shared" si="281"/>
        <v>650.89249999999993</v>
      </c>
      <c r="BR81" s="456">
        <f t="shared" si="215"/>
        <v>5.8180571325721553E-3</v>
      </c>
      <c r="BS81" s="456">
        <f t="shared" si="216"/>
        <v>5.0580618917612258E-2</v>
      </c>
      <c r="BT81" s="456">
        <f t="shared" si="217"/>
        <v>4.2121345857573287E-4</v>
      </c>
      <c r="BU81" s="456">
        <f t="shared" si="218"/>
        <v>0.17216060947330322</v>
      </c>
      <c r="BV81" s="456">
        <f t="shared" si="219"/>
        <v>0.243725147339553</v>
      </c>
      <c r="BW81" s="538">
        <f t="shared" si="220"/>
        <v>9.7818268134928317E-4</v>
      </c>
      <c r="BX81" s="144">
        <f t="shared" si="282"/>
        <v>244.70333002090229</v>
      </c>
      <c r="BY81" s="150">
        <f t="shared" si="283"/>
        <v>1.3651823809041734</v>
      </c>
      <c r="BZ81" s="5">
        <f t="shared" si="284"/>
        <v>6.08</v>
      </c>
      <c r="CA81" s="150">
        <f t="shared" si="285"/>
        <v>0.81663546827198341</v>
      </c>
      <c r="CB81" s="5">
        <f t="shared" si="286"/>
        <v>81.663546827198346</v>
      </c>
      <c r="CC81">
        <f t="shared" si="287"/>
        <v>76</v>
      </c>
      <c r="CE81" s="59">
        <f t="shared" si="221"/>
        <v>-50</v>
      </c>
      <c r="CF81">
        <f t="shared" si="222"/>
        <v>-50</v>
      </c>
      <c r="CG81" s="150">
        <f t="shared" si="223"/>
        <v>0.82883202513712839</v>
      </c>
      <c r="CH81" s="150">
        <f t="shared" si="224"/>
        <v>0.44965289283354898</v>
      </c>
      <c r="CI81" s="147">
        <v>76</v>
      </c>
      <c r="CJ81" s="188">
        <f t="shared" si="309"/>
        <v>0.91199999999999992</v>
      </c>
      <c r="CK81" s="188">
        <f t="shared" si="288"/>
        <v>0.19</v>
      </c>
      <c r="CL81" s="188">
        <f t="shared" si="225"/>
        <v>4.5599999999999996</v>
      </c>
      <c r="CM81" s="188">
        <f t="shared" si="310"/>
        <v>1.52</v>
      </c>
      <c r="CN81" s="465">
        <f t="shared" si="289"/>
        <v>48</v>
      </c>
      <c r="CO81" s="379">
        <f t="shared" si="226"/>
        <v>5.7</v>
      </c>
      <c r="CP81" s="379">
        <f t="shared" si="227"/>
        <v>53.7</v>
      </c>
      <c r="CQ81" s="379"/>
      <c r="CR81" s="188">
        <f t="shared" si="228"/>
        <v>0.10112359550561799</v>
      </c>
      <c r="CS81" s="149">
        <f t="shared" si="290"/>
        <v>9.1011235955056193</v>
      </c>
      <c r="CT81" s="149">
        <f t="shared" si="229"/>
        <v>4.0449438202247192</v>
      </c>
      <c r="CU81" s="188">
        <f t="shared" si="230"/>
        <v>1.8202247191011238</v>
      </c>
      <c r="CV81" s="188">
        <f t="shared" si="231"/>
        <v>1.1376404494382024</v>
      </c>
      <c r="CW81" s="379">
        <f t="shared" si="232"/>
        <v>5</v>
      </c>
      <c r="CX81" s="188">
        <f t="shared" si="233"/>
        <v>2.505185185185185</v>
      </c>
      <c r="CY81" s="188">
        <f t="shared" si="234"/>
        <v>0.62629629629629624</v>
      </c>
      <c r="CZ81" s="188">
        <f t="shared" si="235"/>
        <v>5.2740740740740737</v>
      </c>
      <c r="DA81" s="172">
        <f t="shared" si="236"/>
        <v>350</v>
      </c>
      <c r="DB81" s="379">
        <f t="shared" si="291"/>
        <v>169.48088632226481</v>
      </c>
      <c r="DD81" s="188">
        <f t="shared" si="237"/>
        <v>1.2130885873902635</v>
      </c>
      <c r="DE81" s="150">
        <f t="shared" si="238"/>
        <v>2.5538707102952913</v>
      </c>
      <c r="DF81" s="150">
        <f t="shared" si="239"/>
        <v>0.54216249715765974</v>
      </c>
      <c r="DG81" s="150"/>
      <c r="DH81" s="150">
        <f t="shared" si="240"/>
        <v>2.1052631578947367</v>
      </c>
      <c r="DI81" s="314">
        <f t="shared" si="241"/>
        <v>866.4</v>
      </c>
      <c r="DJ81" s="456">
        <f t="shared" si="242"/>
        <v>0.36842105263157893</v>
      </c>
      <c r="DL81" s="150">
        <f t="shared" si="243"/>
        <v>1.701539918790651</v>
      </c>
      <c r="DM81" s="150">
        <f t="shared" si="244"/>
        <v>2.505185185185185</v>
      </c>
      <c r="DN81" s="150">
        <f t="shared" si="245"/>
        <v>2.314951989026063</v>
      </c>
      <c r="DP81" s="314">
        <f t="shared" si="246"/>
        <v>911.99999999999989</v>
      </c>
      <c r="DQ81" s="144">
        <f t="shared" si="247"/>
        <v>169.48088632226481</v>
      </c>
      <c r="DS81">
        <f t="shared" si="292"/>
        <v>911.99999999999989</v>
      </c>
      <c r="DT81">
        <f t="shared" si="248"/>
        <v>169.48088632226481</v>
      </c>
      <c r="DV81" s="5">
        <f t="shared" si="293"/>
        <v>5.9003703703703696</v>
      </c>
      <c r="DW81" s="5">
        <f t="shared" si="249"/>
        <v>0.62629629629629624</v>
      </c>
      <c r="DX81" s="5">
        <f t="shared" si="294"/>
        <v>5.2740740740740737</v>
      </c>
      <c r="DY81" s="150">
        <f t="shared" si="295"/>
        <v>0.10614525139664804</v>
      </c>
      <c r="EA81" s="5">
        <f t="shared" si="250"/>
        <v>11.423644444444443</v>
      </c>
      <c r="EB81" s="5">
        <f t="shared" si="251"/>
        <v>1.4874537037037034</v>
      </c>
      <c r="EC81" s="5">
        <f t="shared" si="252"/>
        <v>0.20876543209876536</v>
      </c>
      <c r="ED81" s="5"/>
      <c r="EE81" s="150">
        <f t="shared" si="296"/>
        <v>0.47122626871840501</v>
      </c>
      <c r="EF81" s="150">
        <f t="shared" si="253"/>
        <v>1.3674538655326449</v>
      </c>
      <c r="EG81" s="150">
        <f t="shared" si="254"/>
        <v>0.30566615817788534</v>
      </c>
      <c r="EH81" s="150"/>
      <c r="EI81" s="456">
        <f t="shared" si="255"/>
        <v>4.4410839266054089E-3</v>
      </c>
      <c r="EJ81" s="456">
        <f t="shared" si="256"/>
        <v>0.45600000000000007</v>
      </c>
      <c r="EK81" s="456">
        <f t="shared" si="257"/>
        <v>2.1185110790283099E-2</v>
      </c>
      <c r="EL81" s="456">
        <f t="shared" si="258"/>
        <v>4.8873033707865193E-2</v>
      </c>
      <c r="EM81">
        <f t="shared" si="259"/>
        <v>2.1600000000000001E-2</v>
      </c>
      <c r="EN81" s="144">
        <f t="shared" si="297"/>
        <v>42.785110790283106</v>
      </c>
      <c r="EO81">
        <f t="shared" si="260"/>
        <v>0.55388277904689942</v>
      </c>
      <c r="EP81" s="144">
        <f t="shared" si="298"/>
        <v>553.88277904689937</v>
      </c>
      <c r="EQ81" s="150">
        <f t="shared" si="261"/>
        <v>0.56657999999999986</v>
      </c>
      <c r="ER81" s="150">
        <f t="shared" si="262"/>
        <v>8.4312499999999999E-2</v>
      </c>
      <c r="ES81" s="456"/>
      <c r="EU81" s="144">
        <f t="shared" si="299"/>
        <v>650.89249999999993</v>
      </c>
      <c r="EV81" s="456">
        <f t="shared" si="263"/>
        <v>6.6616258899081125E-3</v>
      </c>
      <c r="EW81" s="456">
        <f t="shared" si="300"/>
        <v>5.6097902230805186E-2</v>
      </c>
      <c r="EX81" s="456">
        <f t="shared" si="264"/>
        <v>4.6715900127614009E-4</v>
      </c>
      <c r="EY81" s="456">
        <f t="shared" si="265"/>
        <v>0.18572544499675764</v>
      </c>
      <c r="EZ81" s="456">
        <f t="shared" si="266"/>
        <v>0.26546931666203083</v>
      </c>
      <c r="FA81" s="538">
        <f t="shared" si="267"/>
        <v>1.0636540451065591E-3</v>
      </c>
      <c r="FB81" s="144">
        <f t="shared" si="301"/>
        <v>266.53297070713739</v>
      </c>
      <c r="FC81" s="150">
        <f t="shared" si="302"/>
        <v>1.4713082497540366</v>
      </c>
      <c r="FD81" s="5">
        <f t="shared" si="303"/>
        <v>6.08</v>
      </c>
      <c r="FE81" s="150">
        <f t="shared" si="304"/>
        <v>0.8051584968999298</v>
      </c>
      <c r="FF81" s="5">
        <f t="shared" si="305"/>
        <v>80.515849689992976</v>
      </c>
      <c r="FG81">
        <f t="shared" si="306"/>
        <v>76</v>
      </c>
      <c r="FI81" s="59">
        <f t="shared" si="268"/>
        <v>-50</v>
      </c>
      <c r="FJ81">
        <f t="shared" si="269"/>
        <v>-50</v>
      </c>
      <c r="FL81">
        <f t="shared" si="270"/>
        <v>0.82883202513712839</v>
      </c>
    </row>
    <row r="82" spans="5:168">
      <c r="E82" s="147">
        <v>77</v>
      </c>
      <c r="F82" s="188">
        <f t="shared" si="307"/>
        <v>0.92399999999999993</v>
      </c>
      <c r="G82" s="188">
        <f t="shared" si="271"/>
        <v>0.1925</v>
      </c>
      <c r="H82" s="188">
        <f t="shared" si="176"/>
        <v>4.6199999999999992</v>
      </c>
      <c r="I82" s="188">
        <f t="shared" si="308"/>
        <v>1.54</v>
      </c>
      <c r="J82" s="465">
        <f t="shared" si="177"/>
        <v>47.91233857738662</v>
      </c>
      <c r="K82" s="379">
        <f t="shared" si="178"/>
        <v>5.7334446536322172</v>
      </c>
      <c r="L82" s="149">
        <f t="shared" si="179"/>
        <v>53.645783231018839</v>
      </c>
      <c r="M82" s="379"/>
      <c r="N82" s="188">
        <f t="shared" si="180"/>
        <v>0.10687596132098318</v>
      </c>
      <c r="O82" s="149">
        <f t="shared" si="272"/>
        <v>9.6012698336149178</v>
      </c>
      <c r="P82" s="149">
        <f t="shared" si="181"/>
        <v>4.2672310371621851</v>
      </c>
      <c r="Q82" s="188">
        <f t="shared" si="182"/>
        <v>1.9202539667229837</v>
      </c>
      <c r="R82" s="188">
        <f t="shared" si="183"/>
        <v>1.2001587292018647</v>
      </c>
      <c r="S82" s="379">
        <f t="shared" si="184"/>
        <v>5</v>
      </c>
      <c r="T82" s="188">
        <f t="shared" si="185"/>
        <v>2.4059317569770617</v>
      </c>
      <c r="U82" s="188">
        <f t="shared" si="186"/>
        <v>0.60258342508355855</v>
      </c>
      <c r="V82" s="188">
        <f t="shared" si="187"/>
        <v>5.0355733468944273</v>
      </c>
      <c r="W82" s="172">
        <f t="shared" si="188"/>
        <v>350</v>
      </c>
      <c r="X82" s="379">
        <f t="shared" si="273"/>
        <v>171.2869385076819</v>
      </c>
      <c r="Z82" s="188">
        <f t="shared" si="189"/>
        <v>1.2192088677606243</v>
      </c>
      <c r="AA82" s="150">
        <f t="shared" si="190"/>
        <v>2.5517829676543338</v>
      </c>
      <c r="AB82" s="150">
        <f t="shared" si="191"/>
        <v>0.54445237398382007</v>
      </c>
      <c r="AC82" s="150"/>
      <c r="AD82" s="150">
        <f t="shared" si="192"/>
        <v>2.0929826177702493</v>
      </c>
      <c r="AE82" s="314">
        <f t="shared" si="193"/>
        <v>882.95047665936136</v>
      </c>
      <c r="AF82" s="456">
        <f t="shared" si="194"/>
        <v>0.36627195810979363</v>
      </c>
      <c r="AH82" s="150">
        <f t="shared" si="195"/>
        <v>1.7126976771553504</v>
      </c>
      <c r="AI82" s="150">
        <f t="shared" si="196"/>
        <v>2.4059317569770617</v>
      </c>
      <c r="AJ82" s="150">
        <f t="shared" si="197"/>
        <v>2.2414309310941198</v>
      </c>
      <c r="AL82" s="314">
        <f t="shared" si="198"/>
        <v>923.99999999999989</v>
      </c>
      <c r="AM82" s="144">
        <f t="shared" si="199"/>
        <v>171.2869385076819</v>
      </c>
      <c r="AO82">
        <f t="shared" si="274"/>
        <v>923.99999999999989</v>
      </c>
      <c r="AP82">
        <f t="shared" si="200"/>
        <v>171.2869385076819</v>
      </c>
      <c r="AR82" s="5">
        <f t="shared" si="275"/>
        <v>5.8381567719779861</v>
      </c>
      <c r="AS82" s="5">
        <f t="shared" si="201"/>
        <v>0.60258342508355855</v>
      </c>
      <c r="AT82" s="5">
        <f t="shared" si="276"/>
        <v>5.2355733468944274</v>
      </c>
      <c r="AU82" s="150">
        <f t="shared" si="277"/>
        <v>0.10321467007803584</v>
      </c>
      <c r="AW82" s="5">
        <f t="shared" si="202"/>
        <v>11.135741695544162</v>
      </c>
      <c r="AX82" s="5">
        <f t="shared" si="203"/>
        <v>1.4499663666073128</v>
      </c>
      <c r="AY82" s="5">
        <f t="shared" si="204"/>
        <v>0.21035246852944367</v>
      </c>
      <c r="AZ82" s="5"/>
      <c r="BA82" s="150">
        <f t="shared" si="278"/>
        <v>0.44626558018109075</v>
      </c>
      <c r="BB82" s="150">
        <f t="shared" si="205"/>
        <v>1.3154275243012103</v>
      </c>
      <c r="BC82" s="150">
        <f t="shared" si="206"/>
        <v>0.29403674072615288</v>
      </c>
      <c r="BD82" s="150"/>
      <c r="BE82" s="456">
        <f t="shared" si="207"/>
        <v>3.9830593610873108E-3</v>
      </c>
      <c r="BF82" s="456">
        <f t="shared" si="208"/>
        <v>0.41451897366043705</v>
      </c>
      <c r="BG82" s="456">
        <f t="shared" si="209"/>
        <v>0.20516894479160144</v>
      </c>
      <c r="BH82" s="456">
        <f t="shared" si="210"/>
        <v>4.9294155173815773E-2</v>
      </c>
      <c r="BI82">
        <f t="shared" si="211"/>
        <v>2.156055235982398E-2</v>
      </c>
      <c r="BJ82" s="144">
        <f t="shared" si="279"/>
        <v>226.72949715142542</v>
      </c>
      <c r="BK82">
        <f t="shared" si="212"/>
        <v>0.469315762882969</v>
      </c>
      <c r="BL82" s="144">
        <f t="shared" si="280"/>
        <v>469.31576288296901</v>
      </c>
      <c r="BM82" s="150">
        <f t="shared" si="213"/>
        <v>0.57403499999999996</v>
      </c>
      <c r="BN82" s="150">
        <f t="shared" si="214"/>
        <v>8.5421874999999994E-2</v>
      </c>
      <c r="BO82" s="456"/>
      <c r="BQ82" s="144">
        <f t="shared" si="281"/>
        <v>659.45687499999997</v>
      </c>
      <c r="BR82" s="456">
        <f t="shared" si="215"/>
        <v>5.9745890416309658E-3</v>
      </c>
      <c r="BS82" s="456">
        <f t="shared" si="216"/>
        <v>5.1910487150676345E-2</v>
      </c>
      <c r="BT82" s="456">
        <f t="shared" si="217"/>
        <v>4.3228802448429422E-4</v>
      </c>
      <c r="BU82" s="456">
        <f t="shared" si="218"/>
        <v>0.17238079672578585</v>
      </c>
      <c r="BV82" s="456">
        <f t="shared" si="219"/>
        <v>0.24584127356179331</v>
      </c>
      <c r="BW82" s="538">
        <f t="shared" si="220"/>
        <v>9.9149574862642258E-4</v>
      </c>
      <c r="BX82" s="144">
        <f t="shared" si="282"/>
        <v>246.83276931041974</v>
      </c>
      <c r="BY82" s="150">
        <f t="shared" si="283"/>
        <v>1.3756054071933888</v>
      </c>
      <c r="BZ82" s="5">
        <f t="shared" si="284"/>
        <v>6.1599999999999993</v>
      </c>
      <c r="CA82" s="150">
        <f t="shared" si="285"/>
        <v>0.81745256912201714</v>
      </c>
      <c r="CB82" s="5">
        <f t="shared" si="286"/>
        <v>81.745256912201711</v>
      </c>
      <c r="CC82">
        <f t="shared" si="287"/>
        <v>77</v>
      </c>
      <c r="CE82" s="59">
        <f t="shared" si="221"/>
        <v>-50</v>
      </c>
      <c r="CF82">
        <f t="shared" si="222"/>
        <v>-50</v>
      </c>
      <c r="CG82" s="150">
        <f t="shared" si="223"/>
        <v>0.82883202513712817</v>
      </c>
      <c r="CH82" s="150">
        <f t="shared" si="224"/>
        <v>0.44965289283354898</v>
      </c>
      <c r="CI82" s="147">
        <v>77</v>
      </c>
      <c r="CJ82" s="188">
        <f t="shared" si="309"/>
        <v>0.92399999999999993</v>
      </c>
      <c r="CK82" s="188">
        <f t="shared" si="288"/>
        <v>0.1925</v>
      </c>
      <c r="CL82" s="188">
        <f t="shared" si="225"/>
        <v>4.6199999999999992</v>
      </c>
      <c r="CM82" s="188">
        <f t="shared" si="310"/>
        <v>1.54</v>
      </c>
      <c r="CN82" s="465">
        <f t="shared" si="289"/>
        <v>48</v>
      </c>
      <c r="CO82" s="379">
        <f t="shared" si="226"/>
        <v>5.7</v>
      </c>
      <c r="CP82" s="379">
        <f t="shared" si="227"/>
        <v>53.7</v>
      </c>
      <c r="CQ82" s="379"/>
      <c r="CR82" s="188">
        <f t="shared" si="228"/>
        <v>0.10112359550561799</v>
      </c>
      <c r="CS82" s="149">
        <f t="shared" si="290"/>
        <v>9.1011235955056193</v>
      </c>
      <c r="CT82" s="149">
        <f t="shared" si="229"/>
        <v>4.0449438202247192</v>
      </c>
      <c r="CU82" s="188">
        <f t="shared" si="230"/>
        <v>1.8202247191011238</v>
      </c>
      <c r="CV82" s="188">
        <f t="shared" si="231"/>
        <v>1.1376404494382024</v>
      </c>
      <c r="CW82" s="379">
        <f t="shared" si="232"/>
        <v>5</v>
      </c>
      <c r="CX82" s="188">
        <f t="shared" si="233"/>
        <v>2.5381481481481476</v>
      </c>
      <c r="CY82" s="188">
        <f t="shared" si="234"/>
        <v>0.6345370370370369</v>
      </c>
      <c r="CZ82" s="188">
        <f t="shared" si="235"/>
        <v>5.3434697855750466</v>
      </c>
      <c r="DA82" s="172">
        <f t="shared" si="236"/>
        <v>350</v>
      </c>
      <c r="DB82" s="379">
        <f t="shared" si="291"/>
        <v>167.2798358505471</v>
      </c>
      <c r="DD82" s="188">
        <f t="shared" si="237"/>
        <v>1.2130885873902635</v>
      </c>
      <c r="DE82" s="150">
        <f t="shared" si="238"/>
        <v>2.5538707102952913</v>
      </c>
      <c r="DF82" s="150">
        <f t="shared" si="239"/>
        <v>0.54216249715765974</v>
      </c>
      <c r="DG82" s="150"/>
      <c r="DH82" s="150">
        <f t="shared" si="240"/>
        <v>2.1052631578947367</v>
      </c>
      <c r="DI82" s="314">
        <f t="shared" si="241"/>
        <v>877.79999999999984</v>
      </c>
      <c r="DJ82" s="456">
        <f t="shared" si="242"/>
        <v>0.36842105263157893</v>
      </c>
      <c r="DL82" s="150">
        <f t="shared" si="243"/>
        <v>1.7126976771553504</v>
      </c>
      <c r="DM82" s="150">
        <f t="shared" si="244"/>
        <v>2.5381481481481476</v>
      </c>
      <c r="DN82" s="150">
        <f t="shared" si="245"/>
        <v>2.3393689986282573</v>
      </c>
      <c r="DP82" s="314">
        <f t="shared" si="246"/>
        <v>923.99999999999989</v>
      </c>
      <c r="DQ82" s="144">
        <f t="shared" si="247"/>
        <v>167.2798358505471</v>
      </c>
      <c r="DS82">
        <f t="shared" si="292"/>
        <v>923.99999999999989</v>
      </c>
      <c r="DT82">
        <f t="shared" si="248"/>
        <v>167.2798358505471</v>
      </c>
      <c r="DV82" s="5">
        <f t="shared" si="293"/>
        <v>5.9780068226120839</v>
      </c>
      <c r="DW82" s="5">
        <f t="shared" si="249"/>
        <v>0.6345370370370369</v>
      </c>
      <c r="DX82" s="5">
        <f t="shared" si="294"/>
        <v>5.3434697855750475</v>
      </c>
      <c r="DY82" s="150">
        <f t="shared" si="295"/>
        <v>0.10614525139664806</v>
      </c>
      <c r="EA82" s="5">
        <f t="shared" si="250"/>
        <v>11.72624444444444</v>
      </c>
      <c r="EB82" s="5">
        <f t="shared" si="251"/>
        <v>1.52685474537037</v>
      </c>
      <c r="EC82" s="5">
        <f t="shared" si="252"/>
        <v>0.21429540285899923</v>
      </c>
      <c r="ED82" s="5"/>
      <c r="EE82" s="150">
        <f t="shared" si="296"/>
        <v>0.47742661435943667</v>
      </c>
      <c r="EF82" s="150">
        <f t="shared" si="253"/>
        <v>1.3854466795528111</v>
      </c>
      <c r="EG82" s="150">
        <f t="shared" si="254"/>
        <v>0.30968808131180481</v>
      </c>
      <c r="EH82" s="150"/>
      <c r="EI82" s="456">
        <f t="shared" si="255"/>
        <v>4.5587234419742851E-3</v>
      </c>
      <c r="EJ82" s="456">
        <f t="shared" si="256"/>
        <v>0.45600000000000007</v>
      </c>
      <c r="EK82" s="456">
        <f t="shared" si="257"/>
        <v>2.0909979481318387E-2</v>
      </c>
      <c r="EL82" s="456">
        <f t="shared" si="258"/>
        <v>4.8238318984386429E-2</v>
      </c>
      <c r="EM82">
        <f t="shared" si="259"/>
        <v>2.1600000000000001E-2</v>
      </c>
      <c r="EN82" s="144">
        <f t="shared" si="297"/>
        <v>42.509979481318389</v>
      </c>
      <c r="EO82">
        <f t="shared" si="260"/>
        <v>0.55313700907622831</v>
      </c>
      <c r="EP82" s="144">
        <f t="shared" si="298"/>
        <v>553.13700907622831</v>
      </c>
      <c r="EQ82" s="150">
        <f t="shared" si="261"/>
        <v>0.57403499999999996</v>
      </c>
      <c r="ER82" s="150">
        <f t="shared" si="262"/>
        <v>8.5421874999999994E-2</v>
      </c>
      <c r="ES82" s="456"/>
      <c r="EU82" s="144">
        <f t="shared" si="299"/>
        <v>659.45687499999997</v>
      </c>
      <c r="EV82" s="456">
        <f t="shared" si="263"/>
        <v>6.8380851629614272E-3</v>
      </c>
      <c r="EW82" s="456">
        <f t="shared" si="300"/>
        <v>5.7583875056517284E-2</v>
      </c>
      <c r="EX82" s="456">
        <f t="shared" si="264"/>
        <v>4.7953353853293518E-4</v>
      </c>
      <c r="EY82" s="456">
        <f t="shared" si="265"/>
        <v>0.18572544499675753</v>
      </c>
      <c r="EZ82" s="456">
        <f t="shared" si="266"/>
        <v>0.26759267037879425</v>
      </c>
      <c r="FA82" s="538">
        <f t="shared" si="267"/>
        <v>1.0776494930684875E-3</v>
      </c>
      <c r="FB82" s="144">
        <f t="shared" si="301"/>
        <v>268.67031987186272</v>
      </c>
      <c r="FC82" s="150">
        <f t="shared" si="302"/>
        <v>1.481264203948091</v>
      </c>
      <c r="FD82" s="5">
        <f t="shared" si="303"/>
        <v>6.1599999999999993</v>
      </c>
      <c r="FE82" s="150">
        <f t="shared" si="304"/>
        <v>0.80614932759650548</v>
      </c>
      <c r="FF82" s="5">
        <f t="shared" si="305"/>
        <v>80.614932759650543</v>
      </c>
      <c r="FG82">
        <f t="shared" si="306"/>
        <v>77</v>
      </c>
      <c r="FI82" s="59">
        <f t="shared" si="268"/>
        <v>-50</v>
      </c>
      <c r="FJ82">
        <f t="shared" si="269"/>
        <v>-50</v>
      </c>
      <c r="FL82">
        <f t="shared" si="270"/>
        <v>0.82883202513712817</v>
      </c>
    </row>
    <row r="83" spans="5:168">
      <c r="E83" s="147">
        <v>78</v>
      </c>
      <c r="F83" s="188">
        <f t="shared" si="307"/>
        <v>0.93599999999999994</v>
      </c>
      <c r="G83" s="188">
        <f t="shared" si="271"/>
        <v>0.19500000000000001</v>
      </c>
      <c r="H83" s="188">
        <f t="shared" si="176"/>
        <v>4.68</v>
      </c>
      <c r="I83" s="188">
        <f t="shared" si="308"/>
        <v>1.56</v>
      </c>
      <c r="J83" s="465">
        <f t="shared" si="177"/>
        <v>47.911200117352685</v>
      </c>
      <c r="K83" s="379">
        <f t="shared" si="178"/>
        <v>5.7338789997832844</v>
      </c>
      <c r="L83" s="149">
        <f t="shared" si="179"/>
        <v>53.645079117135971</v>
      </c>
      <c r="M83" s="379"/>
      <c r="N83" s="188">
        <f t="shared" si="180"/>
        <v>0.1068854607756874</v>
      </c>
      <c r="O83" s="149">
        <f t="shared" si="272"/>
        <v>9.601895064111396</v>
      </c>
      <c r="P83" s="149">
        <f t="shared" si="181"/>
        <v>4.267508917382842</v>
      </c>
      <c r="Q83" s="188">
        <f t="shared" si="182"/>
        <v>1.9203790128222793</v>
      </c>
      <c r="R83" s="188">
        <f t="shared" si="183"/>
        <v>1.2002368830139245</v>
      </c>
      <c r="S83" s="379">
        <f t="shared" si="184"/>
        <v>5</v>
      </c>
      <c r="T83" s="188">
        <f t="shared" si="185"/>
        <v>2.4370189263431143</v>
      </c>
      <c r="U83" s="188">
        <f t="shared" si="186"/>
        <v>0.61038394038319177</v>
      </c>
      <c r="V83" s="188">
        <f t="shared" si="187"/>
        <v>5.1002518743807945</v>
      </c>
      <c r="W83" s="172">
        <f t="shared" si="188"/>
        <v>350</v>
      </c>
      <c r="X83" s="379">
        <f t="shared" si="273"/>
        <v>169.18653615946567</v>
      </c>
      <c r="Z83" s="188">
        <f t="shared" si="189"/>
        <v>1.2192882621093832</v>
      </c>
      <c r="AA83" s="150">
        <f t="shared" si="190"/>
        <v>2.5517558263551785</v>
      </c>
      <c r="AB83" s="150">
        <f t="shared" si="191"/>
        <v>0.54448203719771737</v>
      </c>
      <c r="AC83" s="150"/>
      <c r="AD83" s="150">
        <f t="shared" si="192"/>
        <v>2.0928240725787113</v>
      </c>
      <c r="AE83" s="314">
        <f t="shared" si="193"/>
        <v>894.48512396619219</v>
      </c>
      <c r="AF83" s="456">
        <f t="shared" si="194"/>
        <v>0.36624421270127444</v>
      </c>
      <c r="AH83" s="150">
        <f t="shared" si="195"/>
        <v>1.7237832147426693</v>
      </c>
      <c r="AI83" s="150">
        <f t="shared" si="196"/>
        <v>2.4370189263431143</v>
      </c>
      <c r="AJ83" s="150">
        <f t="shared" si="197"/>
        <v>2.2644584639578627</v>
      </c>
      <c r="AL83" s="314">
        <f t="shared" si="198"/>
        <v>936</v>
      </c>
      <c r="AM83" s="144">
        <f t="shared" si="199"/>
        <v>169.18653615946567</v>
      </c>
      <c r="AO83">
        <f t="shared" si="274"/>
        <v>936</v>
      </c>
      <c r="AP83">
        <f t="shared" si="200"/>
        <v>169.18653615946567</v>
      </c>
      <c r="AR83" s="5">
        <f t="shared" si="275"/>
        <v>5.9106358147639861</v>
      </c>
      <c r="AS83" s="5">
        <f t="shared" si="201"/>
        <v>0.61038394038319177</v>
      </c>
      <c r="AT83" s="5">
        <f t="shared" si="276"/>
        <v>5.3002518743807947</v>
      </c>
      <c r="AU83" s="150">
        <f t="shared" si="277"/>
        <v>0.10326874460079802</v>
      </c>
      <c r="AW83" s="5">
        <f t="shared" si="202"/>
        <v>11.426387363973349</v>
      </c>
      <c r="AX83" s="5">
        <f t="shared" si="203"/>
        <v>1.4878108546840298</v>
      </c>
      <c r="AY83" s="5">
        <f t="shared" si="204"/>
        <v>0.21572181723119049</v>
      </c>
      <c r="AZ83" s="5"/>
      <c r="BA83" s="150">
        <f t="shared" si="278"/>
        <v>0.45215019596057288</v>
      </c>
      <c r="BB83" s="150">
        <f t="shared" si="205"/>
        <v>1.3323840597756831</v>
      </c>
      <c r="BC83" s="150">
        <f t="shared" si="206"/>
        <v>0.29782702512632919</v>
      </c>
      <c r="BD83" s="150"/>
      <c r="BE83" s="456">
        <f t="shared" si="207"/>
        <v>4.0887959941436893E-3</v>
      </c>
      <c r="BF83" s="456">
        <f t="shared" si="208"/>
        <v>0.41472084352713917</v>
      </c>
      <c r="BG83" s="456">
        <f t="shared" si="209"/>
        <v>0.20264824977744714</v>
      </c>
      <c r="BH83" s="456">
        <f t="shared" si="210"/>
        <v>4.8688408551503512E-2</v>
      </c>
      <c r="BI83">
        <f t="shared" si="211"/>
        <v>2.1560040052808708E-2</v>
      </c>
      <c r="BJ83" s="144">
        <f t="shared" si="279"/>
        <v>224.20828983025584</v>
      </c>
      <c r="BK83">
        <f t="shared" si="212"/>
        <v>0.46905771158622139</v>
      </c>
      <c r="BL83" s="144">
        <f t="shared" si="280"/>
        <v>469.05771158622139</v>
      </c>
      <c r="BM83" s="150">
        <f t="shared" si="213"/>
        <v>0.58148999999999984</v>
      </c>
      <c r="BN83" s="150">
        <f t="shared" si="214"/>
        <v>8.6531250000000004E-2</v>
      </c>
      <c r="BO83" s="456"/>
      <c r="BQ83" s="144">
        <f t="shared" si="281"/>
        <v>668.02124999999978</v>
      </c>
      <c r="BR83" s="456">
        <f t="shared" si="215"/>
        <v>6.1331939912155336E-3</v>
      </c>
      <c r="BS83" s="456">
        <f t="shared" si="216"/>
        <v>5.3257418482329934E-2</v>
      </c>
      <c r="BT83" s="456">
        <f t="shared" si="217"/>
        <v>4.4350468447799561E-4</v>
      </c>
      <c r="BU83" s="456">
        <f t="shared" si="218"/>
        <v>0.17259640946792079</v>
      </c>
      <c r="BV83" s="456">
        <f t="shared" si="219"/>
        <v>0.24797771696542897</v>
      </c>
      <c r="BW83" s="538">
        <f t="shared" si="220"/>
        <v>1.0048092004788312E-3</v>
      </c>
      <c r="BX83" s="144">
        <f t="shared" si="282"/>
        <v>248.98252616590779</v>
      </c>
      <c r="BY83" s="150">
        <f t="shared" si="283"/>
        <v>1.3860614877521289</v>
      </c>
      <c r="BZ83" s="5">
        <f t="shared" si="284"/>
        <v>6.24</v>
      </c>
      <c r="CA83" s="150">
        <f t="shared" si="285"/>
        <v>0.81824674637383665</v>
      </c>
      <c r="CB83" s="5">
        <f t="shared" si="286"/>
        <v>81.824674637383666</v>
      </c>
      <c r="CC83">
        <f t="shared" si="287"/>
        <v>78</v>
      </c>
      <c r="CE83" s="59">
        <f t="shared" si="221"/>
        <v>-50</v>
      </c>
      <c r="CF83">
        <f t="shared" si="222"/>
        <v>-50</v>
      </c>
      <c r="CG83" s="150">
        <f t="shared" si="223"/>
        <v>0.82883202513712817</v>
      </c>
      <c r="CH83" s="150">
        <f t="shared" si="224"/>
        <v>0.44965289283354887</v>
      </c>
      <c r="CI83" s="147">
        <v>78</v>
      </c>
      <c r="CJ83" s="188">
        <f t="shared" si="309"/>
        <v>0.93599999999999994</v>
      </c>
      <c r="CK83" s="188">
        <f t="shared" si="288"/>
        <v>0.19500000000000001</v>
      </c>
      <c r="CL83" s="188">
        <f t="shared" si="225"/>
        <v>4.68</v>
      </c>
      <c r="CM83" s="188">
        <f t="shared" si="310"/>
        <v>1.56</v>
      </c>
      <c r="CN83" s="465">
        <f t="shared" si="289"/>
        <v>48</v>
      </c>
      <c r="CO83" s="379">
        <f t="shared" si="226"/>
        <v>5.7</v>
      </c>
      <c r="CP83" s="379">
        <f t="shared" si="227"/>
        <v>53.7</v>
      </c>
      <c r="CQ83" s="379"/>
      <c r="CR83" s="188">
        <f t="shared" si="228"/>
        <v>0.10112359550561799</v>
      </c>
      <c r="CS83" s="149">
        <f t="shared" si="290"/>
        <v>9.1011235955056193</v>
      </c>
      <c r="CT83" s="149">
        <f t="shared" si="229"/>
        <v>4.0449438202247192</v>
      </c>
      <c r="CU83" s="188">
        <f t="shared" si="230"/>
        <v>1.8202247191011238</v>
      </c>
      <c r="CV83" s="188">
        <f t="shared" si="231"/>
        <v>1.1376404494382024</v>
      </c>
      <c r="CW83" s="379">
        <f t="shared" si="232"/>
        <v>5</v>
      </c>
      <c r="CX83" s="188">
        <f t="shared" si="233"/>
        <v>2.5711111111111111</v>
      </c>
      <c r="CY83" s="188">
        <f t="shared" si="234"/>
        <v>0.64277777777777767</v>
      </c>
      <c r="CZ83" s="188">
        <f t="shared" si="235"/>
        <v>5.412865497076023</v>
      </c>
      <c r="DA83" s="172">
        <f t="shared" si="236"/>
        <v>350</v>
      </c>
      <c r="DB83" s="379">
        <f t="shared" si="291"/>
        <v>165.13522257041183</v>
      </c>
      <c r="DD83" s="188">
        <f t="shared" si="237"/>
        <v>1.2130885873902635</v>
      </c>
      <c r="DE83" s="150">
        <f t="shared" si="238"/>
        <v>2.5538707102952913</v>
      </c>
      <c r="DF83" s="150">
        <f t="shared" si="239"/>
        <v>0.54216249715765974</v>
      </c>
      <c r="DG83" s="150"/>
      <c r="DH83" s="150">
        <f t="shared" si="240"/>
        <v>2.1052631578947367</v>
      </c>
      <c r="DI83" s="314">
        <f t="shared" si="241"/>
        <v>889.20000000000016</v>
      </c>
      <c r="DJ83" s="456">
        <f t="shared" si="242"/>
        <v>0.36842105263157893</v>
      </c>
      <c r="DL83" s="150">
        <f t="shared" si="243"/>
        <v>1.7237832147426693</v>
      </c>
      <c r="DM83" s="150">
        <f t="shared" si="244"/>
        <v>2.5711111111111111</v>
      </c>
      <c r="DN83" s="150">
        <f t="shared" si="245"/>
        <v>2.3637860082304525</v>
      </c>
      <c r="DP83" s="314">
        <f t="shared" si="246"/>
        <v>936</v>
      </c>
      <c r="DQ83" s="144">
        <f t="shared" si="247"/>
        <v>165.13522257041183</v>
      </c>
      <c r="DS83">
        <f t="shared" si="292"/>
        <v>936</v>
      </c>
      <c r="DT83">
        <f t="shared" si="248"/>
        <v>165.13522257041183</v>
      </c>
      <c r="DV83" s="5">
        <f t="shared" si="293"/>
        <v>6.0556432748538018</v>
      </c>
      <c r="DW83" s="5">
        <f t="shared" si="249"/>
        <v>0.64277777777777767</v>
      </c>
      <c r="DX83" s="5">
        <f t="shared" si="294"/>
        <v>5.4128654970760239</v>
      </c>
      <c r="DY83" s="150">
        <f t="shared" si="295"/>
        <v>0.10614525139664802</v>
      </c>
      <c r="EA83" s="5">
        <f t="shared" si="250"/>
        <v>12.032799999999996</v>
      </c>
      <c r="EB83" s="5">
        <f t="shared" si="251"/>
        <v>1.5667708333333332</v>
      </c>
      <c r="EC83" s="5">
        <f t="shared" si="252"/>
        <v>0.21989766081871343</v>
      </c>
      <c r="ED83" s="5"/>
      <c r="EE83" s="150">
        <f t="shared" si="296"/>
        <v>0.48362696000046834</v>
      </c>
      <c r="EF83" s="150">
        <f t="shared" si="253"/>
        <v>1.4034394935729777</v>
      </c>
      <c r="EG83" s="150">
        <f t="shared" si="254"/>
        <v>0.31371000444572444</v>
      </c>
      <c r="EH83" s="150"/>
      <c r="EI83" s="456">
        <f t="shared" si="255"/>
        <v>4.6779007287858923E-3</v>
      </c>
      <c r="EJ83" s="456">
        <f t="shared" si="256"/>
        <v>0.45600000000000002</v>
      </c>
      <c r="EK83" s="456">
        <f t="shared" si="257"/>
        <v>2.0641902821301478E-2</v>
      </c>
      <c r="EL83" s="456">
        <f t="shared" si="258"/>
        <v>4.7619878997407099E-2</v>
      </c>
      <c r="EM83">
        <f t="shared" si="259"/>
        <v>2.1600000000000001E-2</v>
      </c>
      <c r="EN83" s="144">
        <f t="shared" si="297"/>
        <v>42.24190282130148</v>
      </c>
      <c r="EO83">
        <f t="shared" si="260"/>
        <v>0.55241670991016656</v>
      </c>
      <c r="EP83" s="144">
        <f t="shared" si="298"/>
        <v>552.41670991016656</v>
      </c>
      <c r="EQ83" s="150">
        <f t="shared" si="261"/>
        <v>0.58148999999999984</v>
      </c>
      <c r="ER83" s="150">
        <f t="shared" si="262"/>
        <v>8.6531250000000004E-2</v>
      </c>
      <c r="ES83" s="456"/>
      <c r="EU83" s="144">
        <f t="shared" si="299"/>
        <v>668.02124999999978</v>
      </c>
      <c r="EV83" s="456">
        <f t="shared" si="263"/>
        <v>7.0168510931788381E-3</v>
      </c>
      <c r="EW83" s="456">
        <f t="shared" si="300"/>
        <v>5.9089272363611285E-2</v>
      </c>
      <c r="EX83" s="456">
        <f t="shared" si="264"/>
        <v>4.9206983444668225E-4</v>
      </c>
      <c r="EY83" s="456">
        <f t="shared" si="265"/>
        <v>0.18572544499675719</v>
      </c>
      <c r="EZ83" s="456">
        <f t="shared" si="266"/>
        <v>0.26974436365950821</v>
      </c>
      <c r="FA83" s="538">
        <f t="shared" si="267"/>
        <v>1.091644941030416E-3</v>
      </c>
      <c r="FB83" s="144">
        <f t="shared" si="301"/>
        <v>270.83600860053866</v>
      </c>
      <c r="FC83" s="150">
        <f t="shared" si="302"/>
        <v>1.4912739685107048</v>
      </c>
      <c r="FD83" s="5">
        <f t="shared" si="303"/>
        <v>6.24</v>
      </c>
      <c r="FE83" s="150">
        <f t="shared" si="304"/>
        <v>0.80711148323230708</v>
      </c>
      <c r="FF83" s="5">
        <f t="shared" si="305"/>
        <v>80.711148323230702</v>
      </c>
      <c r="FG83">
        <f t="shared" si="306"/>
        <v>78</v>
      </c>
      <c r="FI83" s="59">
        <f t="shared" si="268"/>
        <v>-50</v>
      </c>
      <c r="FJ83">
        <f t="shared" si="269"/>
        <v>-50</v>
      </c>
      <c r="FL83">
        <f t="shared" si="270"/>
        <v>0.82883202513712817</v>
      </c>
    </row>
    <row r="84" spans="5:168">
      <c r="E84" s="147">
        <v>79</v>
      </c>
      <c r="F84" s="188">
        <f t="shared" si="307"/>
        <v>0.94799999999999995</v>
      </c>
      <c r="G84" s="188">
        <f t="shared" si="271"/>
        <v>0.19750000000000001</v>
      </c>
      <c r="H84" s="188">
        <f t="shared" si="176"/>
        <v>4.74</v>
      </c>
      <c r="I84" s="188">
        <f t="shared" si="308"/>
        <v>1.58</v>
      </c>
      <c r="J84" s="465">
        <f t="shared" si="177"/>
        <v>47.910061657318742</v>
      </c>
      <c r="K84" s="379">
        <f t="shared" si="178"/>
        <v>5.7343133459343525</v>
      </c>
      <c r="L84" s="149">
        <f t="shared" si="179"/>
        <v>53.644375003253096</v>
      </c>
      <c r="M84" s="379"/>
      <c r="N84" s="188">
        <f t="shared" si="180"/>
        <v>0.1068949604797635</v>
      </c>
      <c r="O84" s="149">
        <f t="shared" si="272"/>
        <v>9.6025202764539745</v>
      </c>
      <c r="P84" s="149">
        <f t="shared" si="181"/>
        <v>4.2677867895350996</v>
      </c>
      <c r="Q84" s="188">
        <f t="shared" si="182"/>
        <v>1.9205040552907948</v>
      </c>
      <c r="R84" s="188">
        <f t="shared" si="183"/>
        <v>1.2003150345567468</v>
      </c>
      <c r="S84" s="379">
        <f t="shared" si="184"/>
        <v>5</v>
      </c>
      <c r="T84" s="188">
        <f t="shared" si="185"/>
        <v>2.4681020521366661</v>
      </c>
      <c r="U84" s="188">
        <f t="shared" si="186"/>
        <v>0.61818381361059394</v>
      </c>
      <c r="V84" s="188">
        <f t="shared" si="187"/>
        <v>5.1649121418589212</v>
      </c>
      <c r="W84" s="172">
        <f t="shared" si="188"/>
        <v>350</v>
      </c>
      <c r="X84" s="379">
        <f t="shared" si="273"/>
        <v>167.13755009826284</v>
      </c>
      <c r="Z84" s="188">
        <f t="shared" si="189"/>
        <v>1.2193676541528855</v>
      </c>
      <c r="AA84" s="150">
        <f t="shared" si="190"/>
        <v>2.5517286843435327</v>
      </c>
      <c r="AB84" s="150">
        <f t="shared" si="191"/>
        <v>0.54451169847595537</v>
      </c>
      <c r="AC84" s="150"/>
      <c r="AD84" s="150">
        <f t="shared" si="192"/>
        <v>2.0926655514052159</v>
      </c>
      <c r="AE84" s="314">
        <f t="shared" si="193"/>
        <v>906.02150865762758</v>
      </c>
      <c r="AF84" s="456">
        <f t="shared" si="194"/>
        <v>0.3662164714959128</v>
      </c>
      <c r="AH84" s="150">
        <f t="shared" si="195"/>
        <v>1.7347979160478058</v>
      </c>
      <c r="AI84" s="150">
        <f t="shared" si="196"/>
        <v>2.4681020521366661</v>
      </c>
      <c r="AJ84" s="150">
        <f t="shared" si="197"/>
        <v>2.2874830015827157</v>
      </c>
      <c r="AL84" s="314">
        <f t="shared" si="198"/>
        <v>948</v>
      </c>
      <c r="AM84" s="144">
        <f t="shared" si="199"/>
        <v>167.13755009826284</v>
      </c>
      <c r="AO84">
        <f t="shared" si="274"/>
        <v>948</v>
      </c>
      <c r="AP84">
        <f t="shared" si="200"/>
        <v>167.13755009826284</v>
      </c>
      <c r="AR84" s="5">
        <f t="shared" si="275"/>
        <v>5.9830959554695156</v>
      </c>
      <c r="AS84" s="5">
        <f t="shared" si="201"/>
        <v>0.61818381361059394</v>
      </c>
      <c r="AT84" s="5">
        <f t="shared" si="276"/>
        <v>5.3649121418589214</v>
      </c>
      <c r="AU84" s="150">
        <f t="shared" si="277"/>
        <v>0.10332172811727583</v>
      </c>
      <c r="AW84" s="5">
        <f t="shared" si="202"/>
        <v>11.720765106056861</v>
      </c>
      <c r="AX84" s="5">
        <f t="shared" si="203"/>
        <v>1.5261412898511539</v>
      </c>
      <c r="AY84" s="5">
        <f t="shared" si="204"/>
        <v>0.22115816831875793</v>
      </c>
      <c r="AZ84" s="5"/>
      <c r="BA84" s="150">
        <f t="shared" si="278"/>
        <v>0.45803463222280943</v>
      </c>
      <c r="BB84" s="150">
        <f t="shared" si="205"/>
        <v>1.3493381793574175</v>
      </c>
      <c r="BC84" s="150">
        <f t="shared" si="206"/>
        <v>0.30161676950342275</v>
      </c>
      <c r="BD84" s="150"/>
      <c r="BE84" s="456">
        <f t="shared" si="207"/>
        <v>4.1959144863096863E-3</v>
      </c>
      <c r="BF84" s="456">
        <f t="shared" si="208"/>
        <v>0.41491831638001009</v>
      </c>
      <c r="BG84" s="456">
        <f t="shared" si="209"/>
        <v>0.20018925826152431</v>
      </c>
      <c r="BH84" s="456">
        <f t="shared" si="210"/>
        <v>4.8097489843179693E-2</v>
      </c>
      <c r="BI84">
        <f t="shared" si="211"/>
        <v>2.1559527745793432E-2</v>
      </c>
      <c r="BJ84" s="144">
        <f t="shared" si="279"/>
        <v>221.74878600731773</v>
      </c>
      <c r="BK84">
        <f t="shared" si="212"/>
        <v>0.4688119994069801</v>
      </c>
      <c r="BL84" s="144">
        <f t="shared" si="280"/>
        <v>468.81199940698008</v>
      </c>
      <c r="BM84" s="150">
        <f t="shared" si="213"/>
        <v>0.58894499999999994</v>
      </c>
      <c r="BN84" s="150">
        <f t="shared" si="214"/>
        <v>8.7640625E-2</v>
      </c>
      <c r="BO84" s="456"/>
      <c r="BQ84" s="144">
        <f t="shared" si="281"/>
        <v>676.58562499999994</v>
      </c>
      <c r="BR84" s="456">
        <f t="shared" si="215"/>
        <v>6.2938717294645282E-3</v>
      </c>
      <c r="BS84" s="456">
        <f t="shared" si="216"/>
        <v>5.4621405668147702E-2</v>
      </c>
      <c r="BT84" s="456">
        <f t="shared" si="217"/>
        <v>4.5486337822840423E-4</v>
      </c>
      <c r="BU84" s="456">
        <f t="shared" si="218"/>
        <v>0.17280761133619627</v>
      </c>
      <c r="BV84" s="456">
        <f t="shared" si="219"/>
        <v>0.25013464979189015</v>
      </c>
      <c r="BW84" s="538">
        <f t="shared" si="220"/>
        <v>1.0181230227792992E-3</v>
      </c>
      <c r="BX84" s="144">
        <f t="shared" si="282"/>
        <v>251.15277281466948</v>
      </c>
      <c r="BY84" s="150">
        <f t="shared" si="283"/>
        <v>1.3965503972216493</v>
      </c>
      <c r="BZ84" s="5">
        <f t="shared" si="284"/>
        <v>6.32</v>
      </c>
      <c r="CA84" s="150">
        <f t="shared" si="285"/>
        <v>0.81901881989593717</v>
      </c>
      <c r="CB84" s="5">
        <f t="shared" si="286"/>
        <v>81.901881989593718</v>
      </c>
      <c r="CC84">
        <f t="shared" si="287"/>
        <v>79</v>
      </c>
      <c r="CE84" s="59">
        <f t="shared" si="221"/>
        <v>-50</v>
      </c>
      <c r="CF84">
        <f t="shared" si="222"/>
        <v>-50</v>
      </c>
      <c r="CG84" s="150">
        <f t="shared" si="223"/>
        <v>0.82883202513712817</v>
      </c>
      <c r="CH84" s="150">
        <f t="shared" si="224"/>
        <v>0.44965289283354887</v>
      </c>
      <c r="CI84" s="147">
        <v>79</v>
      </c>
      <c r="CJ84" s="188">
        <f t="shared" si="309"/>
        <v>0.94799999999999995</v>
      </c>
      <c r="CK84" s="188">
        <f t="shared" si="288"/>
        <v>0.19750000000000001</v>
      </c>
      <c r="CL84" s="188">
        <f t="shared" si="225"/>
        <v>4.74</v>
      </c>
      <c r="CM84" s="188">
        <f t="shared" si="310"/>
        <v>1.58</v>
      </c>
      <c r="CN84" s="465">
        <f t="shared" si="289"/>
        <v>48</v>
      </c>
      <c r="CO84" s="379">
        <f t="shared" si="226"/>
        <v>5.7</v>
      </c>
      <c r="CP84" s="379">
        <f t="shared" si="227"/>
        <v>53.7</v>
      </c>
      <c r="CQ84" s="379"/>
      <c r="CR84" s="188">
        <f t="shared" si="228"/>
        <v>0.10112359550561799</v>
      </c>
      <c r="CS84" s="149">
        <f t="shared" si="290"/>
        <v>9.1011235955056193</v>
      </c>
      <c r="CT84" s="149">
        <f t="shared" si="229"/>
        <v>4.0449438202247192</v>
      </c>
      <c r="CU84" s="188">
        <f t="shared" si="230"/>
        <v>1.8202247191011238</v>
      </c>
      <c r="CV84" s="188">
        <f t="shared" si="231"/>
        <v>1.1376404494382024</v>
      </c>
      <c r="CW84" s="379">
        <f t="shared" si="232"/>
        <v>5</v>
      </c>
      <c r="CX84" s="188">
        <f t="shared" si="233"/>
        <v>2.6040740740740742</v>
      </c>
      <c r="CY84" s="188">
        <f t="shared" si="234"/>
        <v>0.65101851851851855</v>
      </c>
      <c r="CZ84" s="188">
        <f t="shared" si="235"/>
        <v>5.4822612085769977</v>
      </c>
      <c r="DA84" s="172">
        <f t="shared" si="236"/>
        <v>350</v>
      </c>
      <c r="DB84" s="379">
        <f t="shared" si="291"/>
        <v>163.04490329736865</v>
      </c>
      <c r="DD84" s="188">
        <f t="shared" si="237"/>
        <v>1.2130885873902635</v>
      </c>
      <c r="DE84" s="150">
        <f t="shared" si="238"/>
        <v>2.5538707102952913</v>
      </c>
      <c r="DF84" s="150">
        <f t="shared" si="239"/>
        <v>0.54216249715765974</v>
      </c>
      <c r="DG84" s="150"/>
      <c r="DH84" s="150">
        <f t="shared" si="240"/>
        <v>2.1052631578947367</v>
      </c>
      <c r="DI84" s="314">
        <f t="shared" si="241"/>
        <v>900.6</v>
      </c>
      <c r="DJ84" s="456">
        <f t="shared" si="242"/>
        <v>0.36842105263157893</v>
      </c>
      <c r="DL84" s="150">
        <f t="shared" si="243"/>
        <v>1.7347979160478058</v>
      </c>
      <c r="DM84" s="150">
        <f t="shared" si="244"/>
        <v>2.6040740740740742</v>
      </c>
      <c r="DN84" s="150">
        <f t="shared" si="245"/>
        <v>2.3882030178326477</v>
      </c>
      <c r="DP84" s="314">
        <f t="shared" si="246"/>
        <v>948</v>
      </c>
      <c r="DQ84" s="144">
        <f t="shared" si="247"/>
        <v>163.04490329736865</v>
      </c>
      <c r="DS84">
        <f t="shared" si="292"/>
        <v>948</v>
      </c>
      <c r="DT84">
        <f t="shared" si="248"/>
        <v>163.04490329736865</v>
      </c>
      <c r="DV84" s="5">
        <f t="shared" si="293"/>
        <v>6.1332797270955162</v>
      </c>
      <c r="DW84" s="5">
        <f t="shared" si="249"/>
        <v>0.65101851851851855</v>
      </c>
      <c r="DX84" s="5">
        <f t="shared" si="294"/>
        <v>5.4822612085769977</v>
      </c>
      <c r="DY84" s="150">
        <f t="shared" si="295"/>
        <v>0.10614525139664806</v>
      </c>
      <c r="EA84" s="5">
        <f t="shared" si="250"/>
        <v>12.343311111111111</v>
      </c>
      <c r="EB84" s="5">
        <f t="shared" si="251"/>
        <v>1.6072019675925926</v>
      </c>
      <c r="EC84" s="5">
        <f t="shared" si="252"/>
        <v>0.2255722059779077</v>
      </c>
      <c r="ED84" s="5"/>
      <c r="EE84" s="150">
        <f t="shared" si="296"/>
        <v>0.48982730564150012</v>
      </c>
      <c r="EF84" s="150">
        <f t="shared" si="253"/>
        <v>1.4214323075931441</v>
      </c>
      <c r="EG84" s="150">
        <f t="shared" si="254"/>
        <v>0.31773192757964402</v>
      </c>
      <c r="EH84" s="150"/>
      <c r="EI84" s="456">
        <f t="shared" si="255"/>
        <v>4.7986157870402316E-3</v>
      </c>
      <c r="EJ84" s="456">
        <f t="shared" si="256"/>
        <v>0.45600000000000002</v>
      </c>
      <c r="EK84" s="456">
        <f t="shared" si="257"/>
        <v>2.0380612912171081E-2</v>
      </c>
      <c r="EL84" s="456">
        <f t="shared" si="258"/>
        <v>4.7017095718958908E-2</v>
      </c>
      <c r="EM84">
        <f t="shared" si="259"/>
        <v>2.1600000000000001E-2</v>
      </c>
      <c r="EN84" s="144">
        <f t="shared" si="297"/>
        <v>41.980612912171082</v>
      </c>
      <c r="EO84">
        <f t="shared" si="260"/>
        <v>0.55172099598720836</v>
      </c>
      <c r="EP84" s="144">
        <f t="shared" si="298"/>
        <v>551.72099598720831</v>
      </c>
      <c r="EQ84" s="150">
        <f t="shared" si="261"/>
        <v>0.58894499999999994</v>
      </c>
      <c r="ER84" s="150">
        <f t="shared" si="262"/>
        <v>8.7640625E-2</v>
      </c>
      <c r="ES84" s="456"/>
      <c r="EU84" s="144">
        <f t="shared" si="299"/>
        <v>676.58562499999994</v>
      </c>
      <c r="EV84" s="456">
        <f t="shared" si="263"/>
        <v>7.197923680560347E-3</v>
      </c>
      <c r="EW84" s="456">
        <f t="shared" si="300"/>
        <v>6.0614094152087107E-2</v>
      </c>
      <c r="EX84" s="456">
        <f t="shared" si="264"/>
        <v>5.047678890173808E-4</v>
      </c>
      <c r="EY84" s="456">
        <f t="shared" si="265"/>
        <v>0.18572544499675769</v>
      </c>
      <c r="EZ84" s="456">
        <f t="shared" si="266"/>
        <v>0.27192441947544543</v>
      </c>
      <c r="FA84" s="538">
        <f t="shared" si="267"/>
        <v>1.1056403889923444E-3</v>
      </c>
      <c r="FB84" s="144">
        <f t="shared" si="301"/>
        <v>273.03005986443782</v>
      </c>
      <c r="FC84" s="150">
        <f t="shared" si="302"/>
        <v>1.501336680851646</v>
      </c>
      <c r="FD84" s="5">
        <f t="shared" si="303"/>
        <v>6.32</v>
      </c>
      <c r="FE84" s="150">
        <f t="shared" si="304"/>
        <v>0.808046023063136</v>
      </c>
      <c r="FF84" s="5">
        <f t="shared" si="305"/>
        <v>80.804602306313598</v>
      </c>
      <c r="FG84">
        <f t="shared" si="306"/>
        <v>79</v>
      </c>
      <c r="FI84" s="59">
        <f t="shared" si="268"/>
        <v>-50</v>
      </c>
      <c r="FJ84">
        <f t="shared" si="269"/>
        <v>-50</v>
      </c>
      <c r="FL84">
        <f t="shared" si="270"/>
        <v>0.82883202513712817</v>
      </c>
    </row>
    <row r="85" spans="5:168">
      <c r="E85" s="147">
        <v>80</v>
      </c>
      <c r="F85" s="188">
        <f t="shared" si="307"/>
        <v>0.96</v>
      </c>
      <c r="G85" s="188">
        <f t="shared" si="271"/>
        <v>0.2</v>
      </c>
      <c r="H85" s="188">
        <f t="shared" si="176"/>
        <v>4.8</v>
      </c>
      <c r="I85" s="188">
        <f t="shared" si="308"/>
        <v>1.6</v>
      </c>
      <c r="J85" s="465">
        <f t="shared" si="177"/>
        <v>47.908923197284807</v>
      </c>
      <c r="K85" s="379">
        <f t="shared" si="178"/>
        <v>5.7347476920854206</v>
      </c>
      <c r="L85" s="149">
        <f t="shared" si="179"/>
        <v>53.643670889370227</v>
      </c>
      <c r="M85" s="379"/>
      <c r="N85" s="188">
        <f t="shared" si="180"/>
        <v>0.10690446043322122</v>
      </c>
      <c r="O85" s="149">
        <f t="shared" si="272"/>
        <v>9.6031454706419392</v>
      </c>
      <c r="P85" s="149">
        <f t="shared" si="181"/>
        <v>4.2680646536186391</v>
      </c>
      <c r="Q85" s="188">
        <f t="shared" si="182"/>
        <v>1.9206290941283879</v>
      </c>
      <c r="R85" s="188">
        <f t="shared" si="183"/>
        <v>1.2003931838302424</v>
      </c>
      <c r="S85" s="379">
        <f t="shared" si="184"/>
        <v>5</v>
      </c>
      <c r="T85" s="188">
        <f t="shared" si="185"/>
        <v>2.4991811353239535</v>
      </c>
      <c r="U85" s="188">
        <f t="shared" si="186"/>
        <v>0.62598304496201052</v>
      </c>
      <c r="V85" s="188">
        <f t="shared" si="187"/>
        <v>5.2295541554996676</v>
      </c>
      <c r="W85" s="172">
        <f t="shared" si="188"/>
        <v>350</v>
      </c>
      <c r="X85" s="379">
        <f t="shared" si="273"/>
        <v>165.13811523175173</v>
      </c>
      <c r="Z85" s="188">
        <f t="shared" si="189"/>
        <v>1.2194470438910399</v>
      </c>
      <c r="AA85" s="150">
        <f t="shared" si="190"/>
        <v>2.551701541619368</v>
      </c>
      <c r="AB85" s="150">
        <f t="shared" si="191"/>
        <v>0.54454135781849089</v>
      </c>
      <c r="AC85" s="150"/>
      <c r="AD85" s="150">
        <f t="shared" si="192"/>
        <v>2.0925070542443067</v>
      </c>
      <c r="AE85" s="314">
        <f t="shared" si="193"/>
        <v>917.55963073366729</v>
      </c>
      <c r="AF85" s="456">
        <f t="shared" si="194"/>
        <v>0.36618873449275363</v>
      </c>
      <c r="AH85" s="150">
        <f t="shared" si="195"/>
        <v>1.7457431218879389</v>
      </c>
      <c r="AI85" s="150">
        <f t="shared" si="196"/>
        <v>2.4991811353239535</v>
      </c>
      <c r="AJ85" s="150">
        <f t="shared" si="197"/>
        <v>2.3105045446844099</v>
      </c>
      <c r="AL85" s="314">
        <f t="shared" si="198"/>
        <v>960</v>
      </c>
      <c r="AM85" s="144">
        <f t="shared" si="199"/>
        <v>165.13811523175173</v>
      </c>
      <c r="AO85">
        <f t="shared" si="274"/>
        <v>960</v>
      </c>
      <c r="AP85">
        <f t="shared" si="200"/>
        <v>165.13811523175173</v>
      </c>
      <c r="AR85" s="5">
        <f t="shared" si="275"/>
        <v>6.0555372004616794</v>
      </c>
      <c r="AS85" s="5">
        <f t="shared" si="201"/>
        <v>0.62598304496201052</v>
      </c>
      <c r="AT85" s="5">
        <f t="shared" si="276"/>
        <v>5.4295541554996687</v>
      </c>
      <c r="AU85" s="150">
        <f t="shared" si="277"/>
        <v>0.10337366021205931</v>
      </c>
      <c r="AW85" s="5">
        <f t="shared" si="202"/>
        <v>12.018874463270601</v>
      </c>
      <c r="AX85" s="5">
        <f t="shared" si="203"/>
        <v>1.5649576124050264</v>
      </c>
      <c r="AY85" s="5">
        <f t="shared" si="204"/>
        <v>0.22666149824078627</v>
      </c>
      <c r="AZ85" s="5"/>
      <c r="BA85" s="150">
        <f t="shared" si="278"/>
        <v>0.4639188867490997</v>
      </c>
      <c r="BB85" s="150">
        <f t="shared" si="205"/>
        <v>1.36628988465254</v>
      </c>
      <c r="BC85" s="150">
        <f t="shared" si="206"/>
        <v>0.30540597421645016</v>
      </c>
      <c r="BD85" s="150"/>
      <c r="BE85" s="456">
        <f t="shared" si="207"/>
        <v>4.3044146696504795E-3</v>
      </c>
      <c r="BF85" s="456">
        <f t="shared" si="208"/>
        <v>0.41511155166181896</v>
      </c>
      <c r="BG85" s="456">
        <f t="shared" si="209"/>
        <v>0.19778973198955901</v>
      </c>
      <c r="BH85" s="456">
        <f t="shared" si="210"/>
        <v>4.7520861175911415E-2</v>
      </c>
      <c r="BI85">
        <f t="shared" si="211"/>
        <v>2.1559015438778164E-2</v>
      </c>
      <c r="BJ85" s="144">
        <f t="shared" si="279"/>
        <v>219.34874742833719</v>
      </c>
      <c r="BK85">
        <f t="shared" si="212"/>
        <v>0.46857824799627656</v>
      </c>
      <c r="BL85" s="144">
        <f t="shared" si="280"/>
        <v>468.57824799627656</v>
      </c>
      <c r="BM85" s="150">
        <f t="shared" si="213"/>
        <v>0.59639999999999993</v>
      </c>
      <c r="BN85" s="150">
        <f t="shared" si="214"/>
        <v>8.8749999999999996E-2</v>
      </c>
      <c r="BO85" s="456"/>
      <c r="BQ85" s="144">
        <f t="shared" si="281"/>
        <v>685.15</v>
      </c>
      <c r="BR85" s="456">
        <f t="shared" si="215"/>
        <v>6.4566220044757197E-3</v>
      </c>
      <c r="BS85" s="456">
        <f t="shared" si="216"/>
        <v>5.6002441467115527E-2</v>
      </c>
      <c r="BT85" s="456">
        <f t="shared" si="217"/>
        <v>4.6636404543549514E-4</v>
      </c>
      <c r="BU85" s="456">
        <f t="shared" si="218"/>
        <v>0.17301455826213777</v>
      </c>
      <c r="BV85" s="456">
        <f t="shared" si="219"/>
        <v>0.25231223681278869</v>
      </c>
      <c r="BW85" s="538">
        <f t="shared" si="220"/>
        <v>1.0314372020838931E-3</v>
      </c>
      <c r="BX85" s="144">
        <f t="shared" si="282"/>
        <v>253.34367401487256</v>
      </c>
      <c r="BY85" s="150">
        <f t="shared" si="283"/>
        <v>1.4070719220111492</v>
      </c>
      <c r="BZ85" s="5">
        <f t="shared" si="284"/>
        <v>6.4</v>
      </c>
      <c r="CA85" s="150">
        <f t="shared" si="285"/>
        <v>0.8197695709650028</v>
      </c>
      <c r="CB85" s="5">
        <f t="shared" si="286"/>
        <v>81.976957096500286</v>
      </c>
      <c r="CC85">
        <f t="shared" si="287"/>
        <v>80</v>
      </c>
      <c r="CE85" s="59">
        <f t="shared" si="221"/>
        <v>-50</v>
      </c>
      <c r="CF85">
        <f t="shared" si="222"/>
        <v>-50</v>
      </c>
      <c r="CG85" s="150">
        <f t="shared" si="223"/>
        <v>0.82883202513712817</v>
      </c>
      <c r="CH85" s="150">
        <f t="shared" si="224"/>
        <v>0.44965289283354892</v>
      </c>
      <c r="CI85" s="147">
        <v>80</v>
      </c>
      <c r="CJ85" s="188">
        <f t="shared" si="309"/>
        <v>0.96</v>
      </c>
      <c r="CK85" s="188">
        <f t="shared" si="288"/>
        <v>0.2</v>
      </c>
      <c r="CL85" s="188">
        <f t="shared" si="225"/>
        <v>4.8</v>
      </c>
      <c r="CM85" s="188">
        <f t="shared" si="310"/>
        <v>1.6</v>
      </c>
      <c r="CN85" s="465">
        <f t="shared" si="289"/>
        <v>48</v>
      </c>
      <c r="CO85" s="379">
        <f t="shared" si="226"/>
        <v>5.7</v>
      </c>
      <c r="CP85" s="379">
        <f t="shared" si="227"/>
        <v>53.7</v>
      </c>
      <c r="CQ85" s="379"/>
      <c r="CR85" s="188">
        <f t="shared" si="228"/>
        <v>0.10112359550561799</v>
      </c>
      <c r="CS85" s="149">
        <f t="shared" si="290"/>
        <v>9.1011235955056193</v>
      </c>
      <c r="CT85" s="149">
        <f t="shared" si="229"/>
        <v>4.0449438202247192</v>
      </c>
      <c r="CU85" s="188">
        <f t="shared" si="230"/>
        <v>1.8202247191011238</v>
      </c>
      <c r="CV85" s="188">
        <f t="shared" si="231"/>
        <v>1.1376404494382024</v>
      </c>
      <c r="CW85" s="379">
        <f t="shared" si="232"/>
        <v>5</v>
      </c>
      <c r="CX85" s="188">
        <f t="shared" si="233"/>
        <v>2.6370370370370368</v>
      </c>
      <c r="CY85" s="188">
        <f t="shared" si="234"/>
        <v>0.65925925925925921</v>
      </c>
      <c r="CZ85" s="188">
        <f t="shared" si="235"/>
        <v>5.5516569200779724</v>
      </c>
      <c r="DA85" s="172">
        <f t="shared" si="236"/>
        <v>350</v>
      </c>
      <c r="DB85" s="379">
        <f t="shared" si="291"/>
        <v>161.00684200615154</v>
      </c>
      <c r="DD85" s="188">
        <f t="shared" si="237"/>
        <v>1.2130885873902635</v>
      </c>
      <c r="DE85" s="150">
        <f t="shared" si="238"/>
        <v>2.5538707102952913</v>
      </c>
      <c r="DF85" s="150">
        <f t="shared" si="239"/>
        <v>0.54216249715765974</v>
      </c>
      <c r="DG85" s="150"/>
      <c r="DH85" s="150">
        <f t="shared" si="240"/>
        <v>2.1052631578947367</v>
      </c>
      <c r="DI85" s="314">
        <f t="shared" si="241"/>
        <v>912</v>
      </c>
      <c r="DJ85" s="456">
        <f t="shared" si="242"/>
        <v>0.36842105263157893</v>
      </c>
      <c r="DL85" s="150">
        <f t="shared" si="243"/>
        <v>1.7457431218879389</v>
      </c>
      <c r="DM85" s="150">
        <f t="shared" si="244"/>
        <v>2.6370370370370368</v>
      </c>
      <c r="DN85" s="150">
        <f t="shared" si="245"/>
        <v>2.4126200274348424</v>
      </c>
      <c r="DP85" s="314">
        <f t="shared" si="246"/>
        <v>960</v>
      </c>
      <c r="DQ85" s="144">
        <f t="shared" si="247"/>
        <v>161.00684200615154</v>
      </c>
      <c r="DS85">
        <f t="shared" si="292"/>
        <v>960</v>
      </c>
      <c r="DT85">
        <f t="shared" si="248"/>
        <v>161.00684200615154</v>
      </c>
      <c r="DV85" s="5">
        <f t="shared" si="293"/>
        <v>6.2109161793372314</v>
      </c>
      <c r="DW85" s="5">
        <f t="shared" si="249"/>
        <v>0.65925925925925921</v>
      </c>
      <c r="DX85" s="5">
        <f t="shared" si="294"/>
        <v>5.5516569200779724</v>
      </c>
      <c r="DY85" s="150">
        <f t="shared" si="295"/>
        <v>0.10614525139664804</v>
      </c>
      <c r="EA85" s="5">
        <f t="shared" si="250"/>
        <v>12.657777777777776</v>
      </c>
      <c r="EB85" s="5">
        <f t="shared" si="251"/>
        <v>1.6481481481481481</v>
      </c>
      <c r="EC85" s="5">
        <f t="shared" si="252"/>
        <v>0.23131903833658213</v>
      </c>
      <c r="ED85" s="5"/>
      <c r="EE85" s="150">
        <f t="shared" si="296"/>
        <v>0.49602765128253162</v>
      </c>
      <c r="EF85" s="150">
        <f t="shared" si="253"/>
        <v>1.4394251216133103</v>
      </c>
      <c r="EG85" s="150">
        <f t="shared" si="254"/>
        <v>0.32175385071356349</v>
      </c>
      <c r="EH85" s="150"/>
      <c r="EI85" s="456">
        <f t="shared" si="255"/>
        <v>4.9208686167372959E-3</v>
      </c>
      <c r="EJ85" s="456">
        <f t="shared" si="256"/>
        <v>0.45600000000000002</v>
      </c>
      <c r="EK85" s="456">
        <f t="shared" si="257"/>
        <v>2.0125855250768942E-2</v>
      </c>
      <c r="EL85" s="456">
        <f t="shared" si="258"/>
        <v>4.6429382022471925E-2</v>
      </c>
      <c r="EM85">
        <f t="shared" si="259"/>
        <v>2.1600000000000001E-2</v>
      </c>
      <c r="EN85" s="144">
        <f t="shared" si="297"/>
        <v>41.725855250768937</v>
      </c>
      <c r="EO85">
        <f t="shared" si="260"/>
        <v>0.55104902604689043</v>
      </c>
      <c r="EP85" s="144">
        <f t="shared" si="298"/>
        <v>551.04902604689039</v>
      </c>
      <c r="EQ85" s="150">
        <f t="shared" si="261"/>
        <v>0.59639999999999993</v>
      </c>
      <c r="ER85" s="150">
        <f t="shared" si="262"/>
        <v>8.8749999999999996E-2</v>
      </c>
      <c r="ES85" s="456"/>
      <c r="EU85" s="144">
        <f t="shared" si="299"/>
        <v>685.15</v>
      </c>
      <c r="EV85" s="456">
        <f t="shared" si="263"/>
        <v>7.3813029251059443E-3</v>
      </c>
      <c r="EW85" s="456">
        <f t="shared" si="300"/>
        <v>6.2158340421944791E-2</v>
      </c>
      <c r="EX85" s="456">
        <f t="shared" si="264"/>
        <v>5.1762770224503057E-4</v>
      </c>
      <c r="EY85" s="456">
        <f t="shared" si="265"/>
        <v>0.18572544499675731</v>
      </c>
      <c r="EZ85" s="456">
        <f t="shared" si="266"/>
        <v>0.2741328611102295</v>
      </c>
      <c r="FA85" s="538">
        <f t="shared" si="267"/>
        <v>1.1196358369542727E-3</v>
      </c>
      <c r="FB85" s="144">
        <f t="shared" si="301"/>
        <v>275.25249694718377</v>
      </c>
      <c r="FC85" s="150">
        <f t="shared" si="302"/>
        <v>1.5114515229940744</v>
      </c>
      <c r="FD85" s="5">
        <f t="shared" si="303"/>
        <v>6.4</v>
      </c>
      <c r="FE85" s="150">
        <f t="shared" si="304"/>
        <v>0.80895395508635215</v>
      </c>
      <c r="FF85" s="5">
        <f t="shared" si="305"/>
        <v>80.895395508635218</v>
      </c>
      <c r="FG85">
        <f t="shared" si="306"/>
        <v>80</v>
      </c>
      <c r="FI85" s="59">
        <f t="shared" si="268"/>
        <v>-50</v>
      </c>
      <c r="FJ85">
        <f t="shared" si="269"/>
        <v>-50</v>
      </c>
      <c r="FL85">
        <f t="shared" si="270"/>
        <v>0.82883202513712817</v>
      </c>
    </row>
    <row r="86" spans="5:168">
      <c r="E86" s="147">
        <v>81</v>
      </c>
      <c r="F86" s="188">
        <f t="shared" si="307"/>
        <v>0.97199999999999998</v>
      </c>
      <c r="G86" s="188">
        <f t="shared" si="271"/>
        <v>0.20250000000000001</v>
      </c>
      <c r="H86" s="188">
        <f t="shared" si="176"/>
        <v>4.8599999999999994</v>
      </c>
      <c r="I86" s="188">
        <f t="shared" si="308"/>
        <v>1.62</v>
      </c>
      <c r="J86" s="465">
        <f t="shared" si="177"/>
        <v>47.907784737250864</v>
      </c>
      <c r="K86" s="379">
        <f t="shared" si="178"/>
        <v>5.7351820382364878</v>
      </c>
      <c r="L86" s="149">
        <f t="shared" si="179"/>
        <v>53.642966775487352</v>
      </c>
      <c r="M86" s="379"/>
      <c r="N86" s="188">
        <f t="shared" si="180"/>
        <v>0.10691396063607041</v>
      </c>
      <c r="O86" s="149">
        <f t="shared" si="272"/>
        <v>9.603770646674576</v>
      </c>
      <c r="P86" s="149">
        <f t="shared" si="181"/>
        <v>4.2683425096331442</v>
      </c>
      <c r="Q86" s="188">
        <f t="shared" si="182"/>
        <v>1.9207541293349153</v>
      </c>
      <c r="R86" s="188">
        <f t="shared" si="183"/>
        <v>1.200471330834322</v>
      </c>
      <c r="S86" s="379">
        <f t="shared" si="184"/>
        <v>5</v>
      </c>
      <c r="T86" s="188">
        <f t="shared" si="185"/>
        <v>2.5302561768709229</v>
      </c>
      <c r="U86" s="188">
        <f t="shared" si="186"/>
        <v>0.63378163463363313</v>
      </c>
      <c r="V86" s="188">
        <f t="shared" si="187"/>
        <v>5.2941779214714204</v>
      </c>
      <c r="W86" s="172">
        <f t="shared" si="188"/>
        <v>350</v>
      </c>
      <c r="X86" s="379">
        <f t="shared" si="273"/>
        <v>163.18645559658401</v>
      </c>
      <c r="Z86" s="188">
        <f t="shared" si="189"/>
        <v>1.2195264313237557</v>
      </c>
      <c r="AA86" s="150">
        <f t="shared" si="190"/>
        <v>2.551674398182656</v>
      </c>
      <c r="AB86" s="150">
        <f t="shared" si="191"/>
        <v>0.54457101522528018</v>
      </c>
      <c r="AC86" s="150"/>
      <c r="AD86" s="150">
        <f t="shared" si="192"/>
        <v>2.0923485810905285</v>
      </c>
      <c r="AE86" s="314">
        <f t="shared" si="193"/>
        <v>929.09949019431087</v>
      </c>
      <c r="AF86" s="456">
        <f t="shared" si="194"/>
        <v>0.36616100169084248</v>
      </c>
      <c r="AH86" s="150">
        <f t="shared" si="195"/>
        <v>1.7566201313073597</v>
      </c>
      <c r="AI86" s="150">
        <f t="shared" si="196"/>
        <v>2.5302561768709229</v>
      </c>
      <c r="AJ86" s="150">
        <f t="shared" si="197"/>
        <v>2.3335230939784615</v>
      </c>
      <c r="AL86" s="314">
        <f t="shared" si="198"/>
        <v>972</v>
      </c>
      <c r="AM86" s="144">
        <f t="shared" si="199"/>
        <v>163.18645559658401</v>
      </c>
      <c r="AO86">
        <f t="shared" si="274"/>
        <v>972</v>
      </c>
      <c r="AP86">
        <f t="shared" si="200"/>
        <v>163.18645559658401</v>
      </c>
      <c r="AR86" s="5">
        <f t="shared" si="275"/>
        <v>6.1279595561050542</v>
      </c>
      <c r="AS86" s="5">
        <f t="shared" si="201"/>
        <v>0.63378163463363313</v>
      </c>
      <c r="AT86" s="5">
        <f t="shared" si="276"/>
        <v>5.4941779214714206</v>
      </c>
      <c r="AU86" s="150">
        <f t="shared" si="277"/>
        <v>0.10342457857807179</v>
      </c>
      <c r="AW86" s="5">
        <f t="shared" si="202"/>
        <v>12.320714977277825</v>
      </c>
      <c r="AX86" s="5">
        <f t="shared" si="203"/>
        <v>1.6042597626663841</v>
      </c>
      <c r="AY86" s="5">
        <f t="shared" si="204"/>
        <v>0.23223178345645334</v>
      </c>
      <c r="AZ86" s="5"/>
      <c r="BA86" s="150">
        <f t="shared" si="278"/>
        <v>0.46980295743054529</v>
      </c>
      <c r="BB86" s="150">
        <f t="shared" si="205"/>
        <v>1.3832391772167723</v>
      </c>
      <c r="BC86" s="150">
        <f t="shared" si="206"/>
        <v>0.30919463961316085</v>
      </c>
      <c r="BD86" s="150"/>
      <c r="BE86" s="456">
        <f t="shared" si="207"/>
        <v>4.4142963762097351E-3</v>
      </c>
      <c r="BF86" s="456">
        <f t="shared" si="208"/>
        <v>0.41530070119588824</v>
      </c>
      <c r="BG86" s="456">
        <f t="shared" si="209"/>
        <v>0.19544753966890233</v>
      </c>
      <c r="BH86" s="456">
        <f t="shared" si="210"/>
        <v>4.695801038062055E-2</v>
      </c>
      <c r="BI86">
        <f t="shared" si="211"/>
        <v>2.1558503131762888E-2</v>
      </c>
      <c r="BJ86" s="144">
        <f t="shared" si="279"/>
        <v>217.0060428006652</v>
      </c>
      <c r="BK86">
        <f t="shared" si="212"/>
        <v>0.46835609709332393</v>
      </c>
      <c r="BL86" s="144">
        <f t="shared" si="280"/>
        <v>468.35609709332391</v>
      </c>
      <c r="BM86" s="150">
        <f t="shared" si="213"/>
        <v>0.60385499999999992</v>
      </c>
      <c r="BN86" s="150">
        <f t="shared" si="214"/>
        <v>8.9859375000000005E-2</v>
      </c>
      <c r="BO86" s="456"/>
      <c r="BQ86" s="144">
        <f t="shared" si="281"/>
        <v>693.7143749999999</v>
      </c>
      <c r="BR86" s="456">
        <f t="shared" si="215"/>
        <v>6.6214445643146018E-3</v>
      </c>
      <c r="BS86" s="456">
        <f t="shared" si="216"/>
        <v>5.7400518641619991E-2</v>
      </c>
      <c r="BT86" s="456">
        <f t="shared" si="217"/>
        <v>4.7800662582756209E-4</v>
      </c>
      <c r="BU86" s="456">
        <f t="shared" si="218"/>
        <v>0.17321739892027188</v>
      </c>
      <c r="BV86" s="456">
        <f t="shared" si="219"/>
        <v>0.25451063577802052</v>
      </c>
      <c r="BW86" s="538">
        <f t="shared" si="220"/>
        <v>1.044751725591138E-3</v>
      </c>
      <c r="BX86" s="144">
        <f t="shared" si="282"/>
        <v>255.55538750361168</v>
      </c>
      <c r="BY86" s="150">
        <f t="shared" si="283"/>
        <v>1.4176258595969355</v>
      </c>
      <c r="BZ86" s="5">
        <f t="shared" si="284"/>
        <v>6.4799999999999995</v>
      </c>
      <c r="CA86" s="150">
        <f t="shared" si="285"/>
        <v>0.8204997445055866</v>
      </c>
      <c r="CB86" s="5">
        <f t="shared" si="286"/>
        <v>82.049974450558665</v>
      </c>
      <c r="CC86">
        <f t="shared" si="287"/>
        <v>81</v>
      </c>
      <c r="CE86" s="59">
        <f t="shared" si="221"/>
        <v>-50</v>
      </c>
      <c r="CF86">
        <f t="shared" si="222"/>
        <v>-50</v>
      </c>
      <c r="CG86" s="150">
        <f t="shared" si="223"/>
        <v>0.82883202513712817</v>
      </c>
      <c r="CH86" s="150">
        <f t="shared" si="224"/>
        <v>0.44965289283354898</v>
      </c>
      <c r="CI86" s="147">
        <v>81</v>
      </c>
      <c r="CJ86" s="188">
        <f t="shared" si="309"/>
        <v>0.97199999999999998</v>
      </c>
      <c r="CK86" s="188">
        <f t="shared" si="288"/>
        <v>0.20250000000000001</v>
      </c>
      <c r="CL86" s="188">
        <f t="shared" si="225"/>
        <v>4.8599999999999994</v>
      </c>
      <c r="CM86" s="188">
        <f t="shared" si="310"/>
        <v>1.62</v>
      </c>
      <c r="CN86" s="465">
        <f t="shared" si="289"/>
        <v>48</v>
      </c>
      <c r="CO86" s="379">
        <f t="shared" si="226"/>
        <v>5.7</v>
      </c>
      <c r="CP86" s="379">
        <f t="shared" si="227"/>
        <v>53.7</v>
      </c>
      <c r="CQ86" s="379"/>
      <c r="CR86" s="188">
        <f t="shared" si="228"/>
        <v>0.10112359550561799</v>
      </c>
      <c r="CS86" s="149">
        <f t="shared" si="290"/>
        <v>9.1011235955056193</v>
      </c>
      <c r="CT86" s="149">
        <f t="shared" si="229"/>
        <v>4.0449438202247192</v>
      </c>
      <c r="CU86" s="188">
        <f t="shared" si="230"/>
        <v>1.8202247191011238</v>
      </c>
      <c r="CV86" s="188">
        <f t="shared" si="231"/>
        <v>1.1376404494382024</v>
      </c>
      <c r="CW86" s="379">
        <f t="shared" si="232"/>
        <v>5</v>
      </c>
      <c r="CX86" s="188">
        <f t="shared" si="233"/>
        <v>2.6699999999999995</v>
      </c>
      <c r="CY86" s="188">
        <f t="shared" si="234"/>
        <v>0.66749999999999987</v>
      </c>
      <c r="CZ86" s="188">
        <f t="shared" si="235"/>
        <v>5.6210526315789453</v>
      </c>
      <c r="DA86" s="172">
        <f t="shared" si="236"/>
        <v>350</v>
      </c>
      <c r="DB86" s="379">
        <f t="shared" si="291"/>
        <v>159.01910321595219</v>
      </c>
      <c r="DD86" s="188">
        <f t="shared" si="237"/>
        <v>1.2130885873902635</v>
      </c>
      <c r="DE86" s="150">
        <f t="shared" si="238"/>
        <v>2.5538707102952913</v>
      </c>
      <c r="DF86" s="150">
        <f t="shared" si="239"/>
        <v>0.54216249715765974</v>
      </c>
      <c r="DG86" s="150"/>
      <c r="DH86" s="150">
        <f t="shared" si="240"/>
        <v>2.1052631578947367</v>
      </c>
      <c r="DI86" s="314">
        <f t="shared" si="241"/>
        <v>923.40000000000009</v>
      </c>
      <c r="DJ86" s="456">
        <f t="shared" si="242"/>
        <v>0.36842105263157893</v>
      </c>
      <c r="DL86" s="150">
        <f t="shared" si="243"/>
        <v>1.7566201313073597</v>
      </c>
      <c r="DM86" s="150">
        <f t="shared" si="244"/>
        <v>2.6699999999999995</v>
      </c>
      <c r="DN86" s="150">
        <f t="shared" si="245"/>
        <v>2.4370370370370367</v>
      </c>
      <c r="DP86" s="314">
        <f t="shared" si="246"/>
        <v>972</v>
      </c>
      <c r="DQ86" s="144">
        <f t="shared" si="247"/>
        <v>159.01910321595219</v>
      </c>
      <c r="DS86">
        <f t="shared" si="292"/>
        <v>972</v>
      </c>
      <c r="DT86">
        <f t="shared" si="248"/>
        <v>159.01910321595219</v>
      </c>
      <c r="DV86" s="5">
        <f t="shared" si="293"/>
        <v>6.2885526315789448</v>
      </c>
      <c r="DW86" s="5">
        <f t="shared" si="249"/>
        <v>0.66749999999999987</v>
      </c>
      <c r="DX86" s="5">
        <f t="shared" si="294"/>
        <v>5.6210526315789453</v>
      </c>
      <c r="DY86" s="150">
        <f t="shared" si="295"/>
        <v>0.10614525139664807</v>
      </c>
      <c r="EA86" s="5">
        <f t="shared" si="250"/>
        <v>12.976199999999999</v>
      </c>
      <c r="EB86" s="5">
        <f t="shared" si="251"/>
        <v>1.6896093749999996</v>
      </c>
      <c r="EC86" s="5">
        <f t="shared" si="252"/>
        <v>0.23713815789473672</v>
      </c>
      <c r="ED86" s="5"/>
      <c r="EE86" s="150">
        <f t="shared" si="296"/>
        <v>0.50222799692356335</v>
      </c>
      <c r="EF86" s="150">
        <f t="shared" si="253"/>
        <v>1.4574179356334767</v>
      </c>
      <c r="EG86" s="150">
        <f t="shared" si="254"/>
        <v>0.32577577384748302</v>
      </c>
      <c r="EH86" s="150"/>
      <c r="EI86" s="456">
        <f t="shared" si="255"/>
        <v>5.0446592178770957E-3</v>
      </c>
      <c r="EJ86" s="456">
        <f t="shared" si="256"/>
        <v>0.45600000000000018</v>
      </c>
      <c r="EK86" s="456">
        <f t="shared" si="257"/>
        <v>1.9877387901994024E-2</v>
      </c>
      <c r="EL86" s="456">
        <f t="shared" si="258"/>
        <v>4.5856179775280927E-2</v>
      </c>
      <c r="EM86">
        <f t="shared" si="259"/>
        <v>2.1600000000000001E-2</v>
      </c>
      <c r="EN86" s="144">
        <f t="shared" si="297"/>
        <v>41.477387901994028</v>
      </c>
      <c r="EO86">
        <f t="shared" si="260"/>
        <v>0.55040000039545722</v>
      </c>
      <c r="EP86" s="144">
        <f t="shared" si="298"/>
        <v>550.40000039545725</v>
      </c>
      <c r="EQ86" s="150">
        <f t="shared" si="261"/>
        <v>0.60385499999999992</v>
      </c>
      <c r="ER86" s="150">
        <f t="shared" si="262"/>
        <v>8.9859375000000005E-2</v>
      </c>
      <c r="ES86" s="456"/>
      <c r="EU86" s="144">
        <f t="shared" si="299"/>
        <v>693.7143749999999</v>
      </c>
      <c r="EV86" s="456">
        <f t="shared" si="263"/>
        <v>7.566988826815643E-3</v>
      </c>
      <c r="EW86" s="456">
        <f t="shared" si="300"/>
        <v>6.3722011173184337E-2</v>
      </c>
      <c r="EX86" s="456">
        <f t="shared" si="264"/>
        <v>5.3064927412963209E-4</v>
      </c>
      <c r="EY86" s="456">
        <f t="shared" si="265"/>
        <v>0.18572544499675744</v>
      </c>
      <c r="EZ86" s="456">
        <f t="shared" si="266"/>
        <v>0.27636971216046669</v>
      </c>
      <c r="FA86" s="538">
        <f t="shared" si="267"/>
        <v>1.1336312849162013E-3</v>
      </c>
      <c r="FB86" s="144">
        <f t="shared" si="301"/>
        <v>277.50334344538294</v>
      </c>
      <c r="FC86" s="150">
        <f t="shared" si="302"/>
        <v>1.52161771884084</v>
      </c>
      <c r="FD86" s="5">
        <f t="shared" si="303"/>
        <v>6.4799999999999995</v>
      </c>
      <c r="FE86" s="150">
        <f t="shared" si="304"/>
        <v>0.80983623908225522</v>
      </c>
      <c r="FF86" s="5">
        <f t="shared" si="305"/>
        <v>80.983623908225525</v>
      </c>
      <c r="FG86">
        <f t="shared" si="306"/>
        <v>81</v>
      </c>
      <c r="FI86" s="59">
        <f t="shared" si="268"/>
        <v>-50</v>
      </c>
      <c r="FJ86">
        <f t="shared" si="269"/>
        <v>-50</v>
      </c>
      <c r="FL86">
        <f t="shared" si="270"/>
        <v>0.82883202513712817</v>
      </c>
    </row>
    <row r="87" spans="5:168">
      <c r="E87" s="147">
        <v>82</v>
      </c>
      <c r="F87" s="188">
        <f t="shared" si="307"/>
        <v>0.98399999999999987</v>
      </c>
      <c r="G87" s="188">
        <f t="shared" si="271"/>
        <v>0.20499999999999999</v>
      </c>
      <c r="H87" s="188">
        <f t="shared" si="176"/>
        <v>4.919999999999999</v>
      </c>
      <c r="I87" s="188">
        <f t="shared" si="308"/>
        <v>1.64</v>
      </c>
      <c r="J87" s="465">
        <f t="shared" si="177"/>
        <v>47.906646277216922</v>
      </c>
      <c r="K87" s="379">
        <f t="shared" si="178"/>
        <v>5.7356163843875558</v>
      </c>
      <c r="L87" s="149">
        <f t="shared" si="179"/>
        <v>53.642262661604477</v>
      </c>
      <c r="M87" s="379"/>
      <c r="N87" s="188">
        <f t="shared" si="180"/>
        <v>0.1069234610883209</v>
      </c>
      <c r="O87" s="149">
        <f t="shared" si="272"/>
        <v>9.604395804551169</v>
      </c>
      <c r="P87" s="149">
        <f t="shared" si="181"/>
        <v>4.2686203575782971</v>
      </c>
      <c r="Q87" s="188">
        <f t="shared" si="182"/>
        <v>1.9208791609102338</v>
      </c>
      <c r="R87" s="188">
        <f t="shared" si="183"/>
        <v>1.2005494755688961</v>
      </c>
      <c r="S87" s="379">
        <f t="shared" si="184"/>
        <v>5</v>
      </c>
      <c r="T87" s="188">
        <f t="shared" si="185"/>
        <v>2.5613271777432334</v>
      </c>
      <c r="U87" s="188">
        <f t="shared" si="186"/>
        <v>0.64157958282160021</v>
      </c>
      <c r="V87" s="188">
        <f t="shared" si="187"/>
        <v>5.3587834459400927</v>
      </c>
      <c r="W87" s="172">
        <f t="shared" si="188"/>
        <v>350</v>
      </c>
      <c r="X87" s="379">
        <f t="shared" si="273"/>
        <v>161.28087909712528</v>
      </c>
      <c r="Z87" s="188">
        <f t="shared" si="189"/>
        <v>1.2196058164509422</v>
      </c>
      <c r="AA87" s="150">
        <f t="shared" si="190"/>
        <v>2.551647254033369</v>
      </c>
      <c r="AB87" s="150">
        <f t="shared" si="191"/>
        <v>0.54460067069628004</v>
      </c>
      <c r="AC87" s="150"/>
      <c r="AD87" s="150">
        <f t="shared" si="192"/>
        <v>2.0921901319384264</v>
      </c>
      <c r="AE87" s="314">
        <f t="shared" si="193"/>
        <v>940.6410870395589</v>
      </c>
      <c r="AF87" s="456">
        <f t="shared" si="194"/>
        <v>0.36613327308922461</v>
      </c>
      <c r="AH87" s="150">
        <f t="shared" si="195"/>
        <v>1.7674302033770735</v>
      </c>
      <c r="AI87" s="150">
        <f t="shared" si="196"/>
        <v>2.5613271777432334</v>
      </c>
      <c r="AJ87" s="150">
        <f t="shared" si="197"/>
        <v>2.3565386501801728</v>
      </c>
      <c r="AL87" s="314">
        <f t="shared" si="198"/>
        <v>983.99999999999989</v>
      </c>
      <c r="AM87" s="144">
        <f t="shared" si="199"/>
        <v>161.28087909712528</v>
      </c>
      <c r="AO87">
        <f t="shared" si="274"/>
        <v>983.99999999999989</v>
      </c>
      <c r="AP87">
        <f t="shared" si="200"/>
        <v>161.28087909712528</v>
      </c>
      <c r="AR87" s="5">
        <f t="shared" si="275"/>
        <v>6.200363028761692</v>
      </c>
      <c r="AS87" s="5">
        <f t="shared" si="201"/>
        <v>0.64157958282160021</v>
      </c>
      <c r="AT87" s="5">
        <f t="shared" si="276"/>
        <v>5.558783445940092</v>
      </c>
      <c r="AU87" s="150">
        <f t="shared" si="277"/>
        <v>0.10347451912823458</v>
      </c>
      <c r="AW87" s="5">
        <f t="shared" si="202"/>
        <v>12.62628618992909</v>
      </c>
      <c r="AX87" s="5">
        <f t="shared" si="203"/>
        <v>1.6440476809803506</v>
      </c>
      <c r="AY87" s="5">
        <f t="shared" si="204"/>
        <v>0.23786900043546927</v>
      </c>
      <c r="AZ87" s="5"/>
      <c r="BA87" s="150">
        <f t="shared" si="278"/>
        <v>0.47568684226153179</v>
      </c>
      <c r="BB87" s="150">
        <f t="shared" si="205"/>
        <v>1.4001860585583945</v>
      </c>
      <c r="BC87" s="150">
        <f t="shared" si="206"/>
        <v>0.31298276603069997</v>
      </c>
      <c r="BD87" s="150"/>
      <c r="BE87" s="456">
        <f t="shared" si="207"/>
        <v>4.5255594380149491E-3</v>
      </c>
      <c r="BF87" s="456">
        <f t="shared" si="208"/>
        <v>0.41548590963586868</v>
      </c>
      <c r="BG87" s="456">
        <f t="shared" si="209"/>
        <v>0.19316065065461421</v>
      </c>
      <c r="BH87" s="456">
        <f t="shared" si="210"/>
        <v>4.6408449474792203E-2</v>
      </c>
      <c r="BI87">
        <f t="shared" si="211"/>
        <v>2.1557990824747613E-2</v>
      </c>
      <c r="BJ87" s="144">
        <f t="shared" si="279"/>
        <v>214.71864147936182</v>
      </c>
      <c r="BK87">
        <f t="shared" si="212"/>
        <v>0.46814520345800359</v>
      </c>
      <c r="BL87" s="144">
        <f t="shared" si="280"/>
        <v>468.14520345800361</v>
      </c>
      <c r="BM87" s="150">
        <f t="shared" si="213"/>
        <v>0.6113099999999998</v>
      </c>
      <c r="BN87" s="150">
        <f t="shared" si="214"/>
        <v>9.0968749999999987E-2</v>
      </c>
      <c r="BO87" s="456"/>
      <c r="BQ87" s="144">
        <f t="shared" si="281"/>
        <v>702.27874999999983</v>
      </c>
      <c r="BR87" s="456">
        <f t="shared" si="215"/>
        <v>6.7883391570224228E-3</v>
      </c>
      <c r="BS87" s="456">
        <f t="shared" si="216"/>
        <v>5.8815629957438748E-2</v>
      </c>
      <c r="BT87" s="456">
        <f t="shared" si="217"/>
        <v>4.8979105916113937E-4</v>
      </c>
      <c r="BU87" s="456">
        <f t="shared" si="218"/>
        <v>0.17341627514521266</v>
      </c>
      <c r="BV87" s="456">
        <f t="shared" si="219"/>
        <v>0.25672999783299622</v>
      </c>
      <c r="BW87" s="538">
        <f t="shared" si="220"/>
        <v>1.0580665811040953E-3</v>
      </c>
      <c r="BX87" s="144">
        <f t="shared" si="282"/>
        <v>257.78806441410029</v>
      </c>
      <c r="BY87" s="150">
        <f t="shared" si="283"/>
        <v>1.4282120178721038</v>
      </c>
      <c r="BZ87" s="5">
        <f t="shared" si="284"/>
        <v>6.5599999999999987</v>
      </c>
      <c r="CA87" s="150">
        <f t="shared" si="285"/>
        <v>0.82121005117581358</v>
      </c>
      <c r="CB87" s="5">
        <f t="shared" si="286"/>
        <v>82.121005117581362</v>
      </c>
      <c r="CC87">
        <f t="shared" si="287"/>
        <v>82</v>
      </c>
      <c r="CE87" s="59">
        <f t="shared" si="221"/>
        <v>-50</v>
      </c>
      <c r="CF87">
        <f t="shared" si="222"/>
        <v>-50</v>
      </c>
      <c r="CG87" s="150">
        <f t="shared" si="223"/>
        <v>0.82883202513712817</v>
      </c>
      <c r="CH87" s="150">
        <f t="shared" si="224"/>
        <v>0.44965289283354892</v>
      </c>
      <c r="CI87" s="147">
        <v>82</v>
      </c>
      <c r="CJ87" s="188">
        <f t="shared" si="309"/>
        <v>0.98399999999999987</v>
      </c>
      <c r="CK87" s="188">
        <f t="shared" si="288"/>
        <v>0.20499999999999999</v>
      </c>
      <c r="CL87" s="188">
        <f t="shared" si="225"/>
        <v>4.919999999999999</v>
      </c>
      <c r="CM87" s="188">
        <f t="shared" si="310"/>
        <v>1.64</v>
      </c>
      <c r="CN87" s="465">
        <f t="shared" si="289"/>
        <v>48</v>
      </c>
      <c r="CO87" s="379">
        <f t="shared" si="226"/>
        <v>5.7</v>
      </c>
      <c r="CP87" s="379">
        <f t="shared" si="227"/>
        <v>53.7</v>
      </c>
      <c r="CQ87" s="379"/>
      <c r="CR87" s="188">
        <f t="shared" si="228"/>
        <v>0.10112359550561799</v>
      </c>
      <c r="CS87" s="149">
        <f t="shared" si="290"/>
        <v>9.1011235955056193</v>
      </c>
      <c r="CT87" s="149">
        <f t="shared" si="229"/>
        <v>4.0449438202247192</v>
      </c>
      <c r="CU87" s="188">
        <f t="shared" si="230"/>
        <v>1.8202247191011238</v>
      </c>
      <c r="CV87" s="188">
        <f t="shared" si="231"/>
        <v>1.1376404494382024</v>
      </c>
      <c r="CW87" s="379">
        <f t="shared" si="232"/>
        <v>5</v>
      </c>
      <c r="CX87" s="188">
        <f t="shared" si="233"/>
        <v>2.7029629629629621</v>
      </c>
      <c r="CY87" s="188">
        <f t="shared" si="234"/>
        <v>0.67574074074074064</v>
      </c>
      <c r="CZ87" s="188">
        <f t="shared" si="235"/>
        <v>5.69044834307992</v>
      </c>
      <c r="DA87" s="172">
        <f t="shared" si="236"/>
        <v>350</v>
      </c>
      <c r="DB87" s="379">
        <f t="shared" si="291"/>
        <v>157.07984585966005</v>
      </c>
      <c r="DD87" s="188">
        <f t="shared" si="237"/>
        <v>1.2130885873902635</v>
      </c>
      <c r="DE87" s="150">
        <f t="shared" si="238"/>
        <v>2.5538707102952913</v>
      </c>
      <c r="DF87" s="150">
        <f t="shared" si="239"/>
        <v>0.54216249715765974</v>
      </c>
      <c r="DG87" s="150"/>
      <c r="DH87" s="150">
        <f t="shared" si="240"/>
        <v>2.1052631578947367</v>
      </c>
      <c r="DI87" s="314">
        <f t="shared" si="241"/>
        <v>934.79999999999984</v>
      </c>
      <c r="DJ87" s="456">
        <f t="shared" si="242"/>
        <v>0.36842105263157893</v>
      </c>
      <c r="DL87" s="150">
        <f t="shared" si="243"/>
        <v>1.7674302033770735</v>
      </c>
      <c r="DM87" s="150">
        <f t="shared" si="244"/>
        <v>2.7029629629629621</v>
      </c>
      <c r="DN87" s="150">
        <f t="shared" si="245"/>
        <v>2.461454046639231</v>
      </c>
      <c r="DP87" s="314">
        <f t="shared" si="246"/>
        <v>983.99999999999989</v>
      </c>
      <c r="DQ87" s="144">
        <f t="shared" si="247"/>
        <v>157.07984585966005</v>
      </c>
      <c r="DS87">
        <f t="shared" si="292"/>
        <v>983.99999999999989</v>
      </c>
      <c r="DT87">
        <f t="shared" si="248"/>
        <v>157.07984585966005</v>
      </c>
      <c r="DV87" s="5">
        <f t="shared" si="293"/>
        <v>6.3661890838206618</v>
      </c>
      <c r="DW87" s="5">
        <f t="shared" si="249"/>
        <v>0.67574074074074064</v>
      </c>
      <c r="DX87" s="5">
        <f t="shared" si="294"/>
        <v>5.6904483430799209</v>
      </c>
      <c r="DY87" s="150">
        <f t="shared" si="295"/>
        <v>0.10614525139664804</v>
      </c>
      <c r="EA87" s="5">
        <f t="shared" si="250"/>
        <v>13.298577777777773</v>
      </c>
      <c r="EB87" s="5">
        <f t="shared" si="251"/>
        <v>1.7315856481481477</v>
      </c>
      <c r="EC87" s="5">
        <f t="shared" si="252"/>
        <v>0.24302956465237155</v>
      </c>
      <c r="ED87" s="5"/>
      <c r="EE87" s="150">
        <f t="shared" si="296"/>
        <v>0.50842834256459479</v>
      </c>
      <c r="EF87" s="150">
        <f t="shared" si="253"/>
        <v>1.4754107496536428</v>
      </c>
      <c r="EG87" s="150">
        <f t="shared" si="254"/>
        <v>0.32979769698140249</v>
      </c>
      <c r="EH87" s="150"/>
      <c r="EI87" s="456">
        <f t="shared" si="255"/>
        <v>5.1699875904596196E-3</v>
      </c>
      <c r="EJ87" s="456">
        <f t="shared" si="256"/>
        <v>0.45599999999999996</v>
      </c>
      <c r="EK87" s="456">
        <f t="shared" si="257"/>
        <v>1.9634980732457508E-2</v>
      </c>
      <c r="EL87" s="456">
        <f t="shared" si="258"/>
        <v>4.5296958070704323E-2</v>
      </c>
      <c r="EM87">
        <f t="shared" si="259"/>
        <v>2.1600000000000001E-2</v>
      </c>
      <c r="EN87" s="144">
        <f t="shared" si="297"/>
        <v>41.234980732457508</v>
      </c>
      <c r="EO87">
        <f t="shared" si="260"/>
        <v>0.54977315837159402</v>
      </c>
      <c r="EP87" s="144">
        <f t="shared" si="298"/>
        <v>549.77315837159404</v>
      </c>
      <c r="EQ87" s="150">
        <f t="shared" si="261"/>
        <v>0.6113099999999998</v>
      </c>
      <c r="ER87" s="150">
        <f t="shared" si="262"/>
        <v>9.0968749999999987E-2</v>
      </c>
      <c r="ES87" s="456"/>
      <c r="EU87" s="144">
        <f t="shared" si="299"/>
        <v>702.27874999999983</v>
      </c>
      <c r="EV87" s="456">
        <f t="shared" si="263"/>
        <v>7.7549813856894285E-3</v>
      </c>
      <c r="EW87" s="456">
        <f t="shared" si="300"/>
        <v>6.5305106405805738E-2</v>
      </c>
      <c r="EX87" s="456">
        <f t="shared" si="264"/>
        <v>5.4383260467118482E-4</v>
      </c>
      <c r="EY87" s="456">
        <f t="shared" si="265"/>
        <v>0.18572544499675731</v>
      </c>
      <c r="EZ87" s="456">
        <f t="shared" si="266"/>
        <v>0.27863499653637552</v>
      </c>
      <c r="FA87" s="538">
        <f t="shared" si="267"/>
        <v>1.147626732878129E-3</v>
      </c>
      <c r="FB87" s="144">
        <f t="shared" si="301"/>
        <v>279.78262326925363</v>
      </c>
      <c r="FC87" s="150">
        <f t="shared" si="302"/>
        <v>1.5318345316408473</v>
      </c>
      <c r="FD87" s="5">
        <f t="shared" si="303"/>
        <v>6.5599999999999987</v>
      </c>
      <c r="FE87" s="150">
        <f t="shared" si="304"/>
        <v>0.81069378944279713</v>
      </c>
      <c r="FF87" s="5">
        <f t="shared" si="305"/>
        <v>81.06937894427972</v>
      </c>
      <c r="FG87">
        <f t="shared" si="306"/>
        <v>82</v>
      </c>
      <c r="FI87" s="59">
        <f t="shared" si="268"/>
        <v>-50</v>
      </c>
      <c r="FJ87">
        <f t="shared" si="269"/>
        <v>-50</v>
      </c>
      <c r="FL87">
        <f t="shared" si="270"/>
        <v>0.82883202513712817</v>
      </c>
    </row>
    <row r="88" spans="5:168">
      <c r="E88" s="147">
        <v>83</v>
      </c>
      <c r="F88" s="188">
        <f t="shared" si="307"/>
        <v>0.99599999999999989</v>
      </c>
      <c r="G88" s="188">
        <f t="shared" si="271"/>
        <v>0.20749999999999999</v>
      </c>
      <c r="H88" s="188">
        <f t="shared" si="176"/>
        <v>4.9799999999999995</v>
      </c>
      <c r="I88" s="188">
        <f t="shared" si="308"/>
        <v>1.66</v>
      </c>
      <c r="J88" s="465">
        <f t="shared" si="177"/>
        <v>47.905507817182986</v>
      </c>
      <c r="K88" s="379">
        <f t="shared" si="178"/>
        <v>5.736050730538623</v>
      </c>
      <c r="L88" s="149">
        <f t="shared" si="179"/>
        <v>53.641558547721608</v>
      </c>
      <c r="M88" s="379"/>
      <c r="N88" s="188">
        <f t="shared" si="180"/>
        <v>0.10693296178998249</v>
      </c>
      <c r="O88" s="149">
        <f t="shared" si="272"/>
        <v>9.6050209442710042</v>
      </c>
      <c r="P88" s="149">
        <f t="shared" si="181"/>
        <v>4.2688981974537796</v>
      </c>
      <c r="Q88" s="188">
        <f t="shared" si="182"/>
        <v>1.9210041888542009</v>
      </c>
      <c r="R88" s="188">
        <f t="shared" si="183"/>
        <v>1.2006276180338755</v>
      </c>
      <c r="S88" s="379">
        <f t="shared" si="184"/>
        <v>5</v>
      </c>
      <c r="T88" s="188">
        <f t="shared" si="185"/>
        <v>2.5923941389062577</v>
      </c>
      <c r="U88" s="188">
        <f t="shared" si="186"/>
        <v>0.64937688972199681</v>
      </c>
      <c r="V88" s="188">
        <f t="shared" si="187"/>
        <v>5.4233707350691338</v>
      </c>
      <c r="W88" s="172">
        <f t="shared" si="188"/>
        <v>350</v>
      </c>
      <c r="X88" s="379">
        <f t="shared" si="273"/>
        <v>159.41977261253166</v>
      </c>
      <c r="Z88" s="188">
        <f t="shared" si="189"/>
        <v>1.2196851992725084</v>
      </c>
      <c r="AA88" s="150">
        <f t="shared" si="190"/>
        <v>2.5516201091714787</v>
      </c>
      <c r="AB88" s="150">
        <f t="shared" si="191"/>
        <v>0.54463032423144708</v>
      </c>
      <c r="AC88" s="150"/>
      <c r="AD88" s="150">
        <f t="shared" si="192"/>
        <v>2.0920317067825485</v>
      </c>
      <c r="AE88" s="314">
        <f t="shared" si="193"/>
        <v>952.18442126941136</v>
      </c>
      <c r="AF88" s="456">
        <f t="shared" si="194"/>
        <v>0.36610554868694595</v>
      </c>
      <c r="AH88" s="150">
        <f t="shared" si="195"/>
        <v>1.7781745588959375</v>
      </c>
      <c r="AI88" s="150">
        <f t="shared" si="196"/>
        <v>2.5923941389062577</v>
      </c>
      <c r="AJ88" s="150">
        <f t="shared" si="197"/>
        <v>2.3795512140046351</v>
      </c>
      <c r="AL88" s="314">
        <f t="shared" si="198"/>
        <v>995.99999999999989</v>
      </c>
      <c r="AM88" s="144">
        <f t="shared" si="199"/>
        <v>159.41977261253166</v>
      </c>
      <c r="AO88">
        <f t="shared" si="274"/>
        <v>995.99999999999989</v>
      </c>
      <c r="AP88">
        <f t="shared" si="200"/>
        <v>159.41977261253166</v>
      </c>
      <c r="AR88" s="5">
        <f t="shared" si="275"/>
        <v>6.2727476247911298</v>
      </c>
      <c r="AS88" s="5">
        <f t="shared" si="201"/>
        <v>0.64937688972199681</v>
      </c>
      <c r="AT88" s="5">
        <f t="shared" si="276"/>
        <v>5.6233707350691331</v>
      </c>
      <c r="AU88" s="150">
        <f t="shared" si="277"/>
        <v>0.10352351609931378</v>
      </c>
      <c r="AW88" s="5">
        <f t="shared" si="202"/>
        <v>12.935587643262174</v>
      </c>
      <c r="AX88" s="5">
        <f t="shared" si="203"/>
        <v>1.684321307716429</v>
      </c>
      <c r="AY88" s="5">
        <f t="shared" si="204"/>
        <v>0.24357312565807171</v>
      </c>
      <c r="AZ88" s="5"/>
      <c r="BA88" s="150">
        <f t="shared" si="278"/>
        <v>0.48157053933366872</v>
      </c>
      <c r="BB88" s="150">
        <f t="shared" si="205"/>
        <v>1.4171305301410024</v>
      </c>
      <c r="BC88" s="150">
        <f t="shared" si="206"/>
        <v>0.31677035379622409</v>
      </c>
      <c r="BD88" s="150"/>
      <c r="BE88" s="456">
        <f t="shared" si="207"/>
        <v>4.6382036870824114E-3</v>
      </c>
      <c r="BF88" s="456">
        <f t="shared" si="208"/>
        <v>0.41566731488402425</v>
      </c>
      <c r="BG88" s="456">
        <f t="shared" si="209"/>
        <v>0.19092712907757925</v>
      </c>
      <c r="BH88" s="456">
        <f t="shared" si="210"/>
        <v>4.587171325140723E-2</v>
      </c>
      <c r="BI88">
        <f t="shared" si="211"/>
        <v>2.1557478517732345E-2</v>
      </c>
      <c r="BJ88" s="144">
        <f t="shared" si="279"/>
        <v>212.48460759531159</v>
      </c>
      <c r="BK88">
        <f t="shared" si="212"/>
        <v>0.46794523987808667</v>
      </c>
      <c r="BL88" s="144">
        <f t="shared" si="280"/>
        <v>467.94523987808668</v>
      </c>
      <c r="BM88" s="150">
        <f t="shared" si="213"/>
        <v>0.6187649999999999</v>
      </c>
      <c r="BN88" s="150">
        <f t="shared" si="214"/>
        <v>9.2078124999999997E-2</v>
      </c>
      <c r="BO88" s="456"/>
      <c r="BQ88" s="144">
        <f t="shared" si="281"/>
        <v>710.84312499999987</v>
      </c>
      <c r="BR88" s="456">
        <f t="shared" si="215"/>
        <v>6.9573055306236175E-3</v>
      </c>
      <c r="BS88" s="456">
        <f t="shared" si="216"/>
        <v>6.0247768183731551E-2</v>
      </c>
      <c r="BT88" s="456">
        <f t="shared" si="217"/>
        <v>5.0171728522092494E-4</v>
      </c>
      <c r="BU88" s="456">
        <f t="shared" si="218"/>
        <v>0.173611322320327</v>
      </c>
      <c r="BV88" s="456">
        <f t="shared" si="219"/>
        <v>0.25897046790745515</v>
      </c>
      <c r="BW88" s="538">
        <f t="shared" si="220"/>
        <v>1.0713817569950931E-3</v>
      </c>
      <c r="BX88" s="144">
        <f t="shared" si="282"/>
        <v>260.04184966445024</v>
      </c>
      <c r="BY88" s="150">
        <f t="shared" si="283"/>
        <v>1.4388302145425369</v>
      </c>
      <c r="BZ88" s="5">
        <f t="shared" si="284"/>
        <v>6.64</v>
      </c>
      <c r="CA88" s="150">
        <f t="shared" si="285"/>
        <v>0.82190116931130353</v>
      </c>
      <c r="CB88" s="5">
        <f t="shared" si="286"/>
        <v>82.190116931130348</v>
      </c>
      <c r="CC88">
        <f t="shared" si="287"/>
        <v>83</v>
      </c>
      <c r="CE88" s="59">
        <f t="shared" si="221"/>
        <v>-50</v>
      </c>
      <c r="CF88">
        <f t="shared" si="222"/>
        <v>-50</v>
      </c>
      <c r="CG88" s="150">
        <f t="shared" si="223"/>
        <v>0.82883202513712817</v>
      </c>
      <c r="CH88" s="150">
        <f t="shared" si="224"/>
        <v>0.44965289283354892</v>
      </c>
      <c r="CI88" s="147">
        <v>83</v>
      </c>
      <c r="CJ88" s="188">
        <f t="shared" si="309"/>
        <v>0.99599999999999989</v>
      </c>
      <c r="CK88" s="188">
        <f t="shared" si="288"/>
        <v>0.20749999999999999</v>
      </c>
      <c r="CL88" s="188">
        <f t="shared" si="225"/>
        <v>4.9799999999999995</v>
      </c>
      <c r="CM88" s="188">
        <f t="shared" si="310"/>
        <v>1.66</v>
      </c>
      <c r="CN88" s="465">
        <f t="shared" si="289"/>
        <v>48</v>
      </c>
      <c r="CO88" s="379">
        <f t="shared" si="226"/>
        <v>5.7</v>
      </c>
      <c r="CP88" s="379">
        <f t="shared" si="227"/>
        <v>53.7</v>
      </c>
      <c r="CQ88" s="379"/>
      <c r="CR88" s="188">
        <f t="shared" si="228"/>
        <v>0.10112359550561799</v>
      </c>
      <c r="CS88" s="149">
        <f t="shared" si="290"/>
        <v>9.1011235955056193</v>
      </c>
      <c r="CT88" s="149">
        <f t="shared" si="229"/>
        <v>4.0449438202247192</v>
      </c>
      <c r="CU88" s="188">
        <f t="shared" si="230"/>
        <v>1.8202247191011238</v>
      </c>
      <c r="CV88" s="188">
        <f t="shared" si="231"/>
        <v>1.1376404494382024</v>
      </c>
      <c r="CW88" s="379">
        <f t="shared" si="232"/>
        <v>5</v>
      </c>
      <c r="CX88" s="188">
        <f t="shared" si="233"/>
        <v>2.7359259259259257</v>
      </c>
      <c r="CY88" s="188">
        <f t="shared" si="234"/>
        <v>0.68398148148148141</v>
      </c>
      <c r="CZ88" s="188">
        <f t="shared" si="235"/>
        <v>5.7598440545808955</v>
      </c>
      <c r="DA88" s="172">
        <f t="shared" si="236"/>
        <v>350</v>
      </c>
      <c r="DB88" s="379">
        <f t="shared" si="291"/>
        <v>155.18731759629065</v>
      </c>
      <c r="DD88" s="188">
        <f t="shared" si="237"/>
        <v>1.2130885873902635</v>
      </c>
      <c r="DE88" s="150">
        <f t="shared" si="238"/>
        <v>2.5538707102952913</v>
      </c>
      <c r="DF88" s="150">
        <f t="shared" si="239"/>
        <v>0.54216249715765974</v>
      </c>
      <c r="DG88" s="150"/>
      <c r="DH88" s="150">
        <f t="shared" si="240"/>
        <v>2.1052631578947367</v>
      </c>
      <c r="DI88" s="314">
        <f t="shared" si="241"/>
        <v>946.20000000000016</v>
      </c>
      <c r="DJ88" s="456">
        <f t="shared" si="242"/>
        <v>0.36842105263157893</v>
      </c>
      <c r="DL88" s="150">
        <f t="shared" si="243"/>
        <v>1.7781745588959375</v>
      </c>
      <c r="DM88" s="150">
        <f t="shared" si="244"/>
        <v>2.7359259259259257</v>
      </c>
      <c r="DN88" s="150">
        <f t="shared" si="245"/>
        <v>2.4858710562414261</v>
      </c>
      <c r="DP88" s="314">
        <f t="shared" si="246"/>
        <v>995.99999999999989</v>
      </c>
      <c r="DQ88" s="144">
        <f t="shared" si="247"/>
        <v>155.18731759629065</v>
      </c>
      <c r="DS88">
        <f t="shared" si="292"/>
        <v>995.99999999999989</v>
      </c>
      <c r="DT88">
        <f t="shared" si="248"/>
        <v>155.18731759629065</v>
      </c>
      <c r="DV88" s="5">
        <f t="shared" si="293"/>
        <v>6.4438255360623771</v>
      </c>
      <c r="DW88" s="5">
        <f t="shared" si="249"/>
        <v>0.68398148148148141</v>
      </c>
      <c r="DX88" s="5">
        <f t="shared" si="294"/>
        <v>5.7598440545808955</v>
      </c>
      <c r="DY88" s="150">
        <f t="shared" si="295"/>
        <v>0.10614525139664806</v>
      </c>
      <c r="EA88" s="5">
        <f t="shared" si="250"/>
        <v>13.624911111111109</v>
      </c>
      <c r="EB88" s="5">
        <f t="shared" si="251"/>
        <v>1.7740769675925923</v>
      </c>
      <c r="EC88" s="5">
        <f t="shared" si="252"/>
        <v>0.2489932586094866</v>
      </c>
      <c r="ED88" s="5"/>
      <c r="EE88" s="150">
        <f t="shared" si="296"/>
        <v>0.51462868820562657</v>
      </c>
      <c r="EF88" s="150">
        <f t="shared" si="253"/>
        <v>1.4934035636738094</v>
      </c>
      <c r="EG88" s="150">
        <f t="shared" si="254"/>
        <v>0.33381962011532212</v>
      </c>
      <c r="EH88" s="150"/>
      <c r="EI88" s="456">
        <f t="shared" si="255"/>
        <v>5.2968537344848798E-3</v>
      </c>
      <c r="EJ88" s="456">
        <f t="shared" si="256"/>
        <v>0.45600000000000002</v>
      </c>
      <c r="EK88" s="456">
        <f t="shared" si="257"/>
        <v>1.9398414699536331E-2</v>
      </c>
      <c r="EL88" s="456">
        <f t="shared" si="258"/>
        <v>4.475121158792475E-2</v>
      </c>
      <c r="EM88">
        <f t="shared" si="259"/>
        <v>2.1600000000000001E-2</v>
      </c>
      <c r="EN88" s="144">
        <f t="shared" si="297"/>
        <v>40.998414699536326</v>
      </c>
      <c r="EO88">
        <f t="shared" si="260"/>
        <v>0.54916777599536604</v>
      </c>
      <c r="EP88" s="144">
        <f t="shared" si="298"/>
        <v>549.16777599536601</v>
      </c>
      <c r="EQ88" s="150">
        <f t="shared" si="261"/>
        <v>0.6187649999999999</v>
      </c>
      <c r="ER88" s="150">
        <f t="shared" si="262"/>
        <v>9.2078124999999997E-2</v>
      </c>
      <c r="ES88" s="456"/>
      <c r="EU88" s="144">
        <f t="shared" si="299"/>
        <v>710.84312499999987</v>
      </c>
      <c r="EV88" s="456">
        <f t="shared" si="263"/>
        <v>7.9452806017273198E-3</v>
      </c>
      <c r="EW88" s="456">
        <f t="shared" si="300"/>
        <v>6.6907626119809022E-2</v>
      </c>
      <c r="EX88" s="456">
        <f t="shared" si="264"/>
        <v>5.5717769386968985E-4</v>
      </c>
      <c r="EY88" s="456">
        <f t="shared" si="265"/>
        <v>0.18572544499675736</v>
      </c>
      <c r="EZ88" s="456">
        <f t="shared" si="266"/>
        <v>0.2809287384624341</v>
      </c>
      <c r="FA88" s="538">
        <f t="shared" si="267"/>
        <v>1.1616221808400579E-3</v>
      </c>
      <c r="FB88" s="144">
        <f t="shared" si="301"/>
        <v>282.09036064327415</v>
      </c>
      <c r="FC88" s="150">
        <f t="shared" si="302"/>
        <v>1.5421012616386403</v>
      </c>
      <c r="FD88" s="5">
        <f t="shared" si="303"/>
        <v>6.64</v>
      </c>
      <c r="FE88" s="150">
        <f t="shared" si="304"/>
        <v>0.81152747780466838</v>
      </c>
      <c r="FF88" s="5">
        <f t="shared" si="305"/>
        <v>81.152747780466839</v>
      </c>
      <c r="FG88">
        <f t="shared" si="306"/>
        <v>83</v>
      </c>
      <c r="FI88" s="59">
        <f t="shared" si="268"/>
        <v>-50</v>
      </c>
      <c r="FJ88">
        <f t="shared" si="269"/>
        <v>-50</v>
      </c>
      <c r="FL88">
        <f t="shared" si="270"/>
        <v>0.82883202513712817</v>
      </c>
    </row>
    <row r="89" spans="5:168">
      <c r="E89" s="147">
        <v>84</v>
      </c>
      <c r="F89" s="188">
        <f t="shared" si="307"/>
        <v>1.008</v>
      </c>
      <c r="G89" s="188">
        <f t="shared" si="271"/>
        <v>0.21</v>
      </c>
      <c r="H89" s="188">
        <f t="shared" si="176"/>
        <v>5.04</v>
      </c>
      <c r="I89" s="188">
        <f t="shared" si="308"/>
        <v>1.68</v>
      </c>
      <c r="J89" s="465">
        <f t="shared" si="177"/>
        <v>47.904369357149044</v>
      </c>
      <c r="K89" s="379">
        <f t="shared" si="178"/>
        <v>5.7364850766896911</v>
      </c>
      <c r="L89" s="149">
        <f t="shared" si="179"/>
        <v>53.640854433838733</v>
      </c>
      <c r="M89" s="379"/>
      <c r="N89" s="188">
        <f t="shared" si="180"/>
        <v>0.10694246274106502</v>
      </c>
      <c r="O89" s="149">
        <f t="shared" si="272"/>
        <v>9.6056460658333656</v>
      </c>
      <c r="P89" s="149">
        <f t="shared" si="181"/>
        <v>4.2691760292592731</v>
      </c>
      <c r="Q89" s="188">
        <f t="shared" si="182"/>
        <v>1.9211292131666731</v>
      </c>
      <c r="R89" s="188">
        <f t="shared" si="183"/>
        <v>1.2007057582291707</v>
      </c>
      <c r="S89" s="379">
        <f t="shared" si="184"/>
        <v>5</v>
      </c>
      <c r="T89" s="188">
        <f t="shared" si="185"/>
        <v>2.6234570613250785</v>
      </c>
      <c r="U89" s="188">
        <f t="shared" si="186"/>
        <v>0.65717355553085421</v>
      </c>
      <c r="V89" s="188">
        <f t="shared" si="187"/>
        <v>5.4879397950195168</v>
      </c>
      <c r="W89" s="172">
        <f t="shared" si="188"/>
        <v>350</v>
      </c>
      <c r="X89" s="379">
        <f t="shared" si="273"/>
        <v>157.6015974424256</v>
      </c>
      <c r="Z89" s="188">
        <f t="shared" si="189"/>
        <v>1.2197645797883638</v>
      </c>
      <c r="AA89" s="150">
        <f t="shared" si="190"/>
        <v>2.5515929635969568</v>
      </c>
      <c r="AB89" s="150">
        <f t="shared" si="191"/>
        <v>0.54465997583073789</v>
      </c>
      <c r="AC89" s="150"/>
      <c r="AD89" s="150">
        <f t="shared" si="192"/>
        <v>2.0918733056174443</v>
      </c>
      <c r="AE89" s="314">
        <f t="shared" si="193"/>
        <v>963.72949288386781</v>
      </c>
      <c r="AF89" s="456">
        <f t="shared" si="194"/>
        <v>0.36607782848305281</v>
      </c>
      <c r="AH89" s="150">
        <f t="shared" si="195"/>
        <v>1.7888543819998317</v>
      </c>
      <c r="AI89" s="150">
        <f t="shared" si="196"/>
        <v>2.6234570613250785</v>
      </c>
      <c r="AJ89" s="150">
        <f t="shared" si="197"/>
        <v>2.4025607861667249</v>
      </c>
      <c r="AL89" s="314">
        <f t="shared" si="198"/>
        <v>1008</v>
      </c>
      <c r="AM89" s="144">
        <f t="shared" si="199"/>
        <v>157.6015974424256</v>
      </c>
      <c r="AO89">
        <f t="shared" si="274"/>
        <v>1008</v>
      </c>
      <c r="AP89">
        <f t="shared" si="200"/>
        <v>157.6015974424256</v>
      </c>
      <c r="AR89" s="5">
        <f t="shared" si="275"/>
        <v>6.3451133505503723</v>
      </c>
      <c r="AS89" s="5">
        <f t="shared" si="201"/>
        <v>0.65717355553085421</v>
      </c>
      <c r="AT89" s="5">
        <f t="shared" si="276"/>
        <v>5.6879397950195179</v>
      </c>
      <c r="AU89" s="150">
        <f t="shared" si="277"/>
        <v>0.1035716021485812</v>
      </c>
      <c r="AW89" s="5">
        <f t="shared" si="202"/>
        <v>13.248618879502022</v>
      </c>
      <c r="AX89" s="5">
        <f t="shared" si="203"/>
        <v>1.7250805832684923</v>
      </c>
      <c r="AY89" s="5">
        <f t="shared" si="204"/>
        <v>0.24934413561502014</v>
      </c>
      <c r="AZ89" s="5"/>
      <c r="BA89" s="150">
        <f t="shared" si="278"/>
        <v>0.48745404683015148</v>
      </c>
      <c r="BB89" s="150">
        <f t="shared" si="205"/>
        <v>1.4340725933860696</v>
      </c>
      <c r="BC89" s="150">
        <f t="shared" si="206"/>
        <v>0.32055740322747439</v>
      </c>
      <c r="BD89" s="150"/>
      <c r="BE89" s="456">
        <f t="shared" si="207"/>
        <v>4.75222895542183E-3</v>
      </c>
      <c r="BF89" s="456">
        <f t="shared" si="208"/>
        <v>0.41584504848057158</v>
      </c>
      <c r="BG89" s="456">
        <f t="shared" si="209"/>
        <v>0.18874512837896679</v>
      </c>
      <c r="BH89" s="456">
        <f t="shared" si="210"/>
        <v>4.5347357965523138E-2</v>
      </c>
      <c r="BI89">
        <f t="shared" si="211"/>
        <v>2.1556966210717069E-2</v>
      </c>
      <c r="BJ89" s="144">
        <f t="shared" si="279"/>
        <v>210.30209458968386</v>
      </c>
      <c r="BK89">
        <f t="shared" si="212"/>
        <v>0.46775589424515746</v>
      </c>
      <c r="BL89" s="144">
        <f t="shared" si="280"/>
        <v>467.75589424515744</v>
      </c>
      <c r="BM89" s="150">
        <f t="shared" si="213"/>
        <v>0.62622</v>
      </c>
      <c r="BN89" s="150">
        <f t="shared" si="214"/>
        <v>9.3187499999999993E-2</v>
      </c>
      <c r="BO89" s="456"/>
      <c r="BQ89" s="144">
        <f t="shared" si="281"/>
        <v>719.40750000000003</v>
      </c>
      <c r="BR89" s="456">
        <f t="shared" si="215"/>
        <v>7.1283434331327446E-3</v>
      </c>
      <c r="BS89" s="456">
        <f t="shared" si="216"/>
        <v>6.1696926093031422E-2</v>
      </c>
      <c r="BT89" s="456">
        <f t="shared" si="217"/>
        <v>5.1378524381970802E-4</v>
      </c>
      <c r="BU89" s="456">
        <f t="shared" si="218"/>
        <v>0.17380266974020836</v>
      </c>
      <c r="BV89" s="456">
        <f t="shared" si="219"/>
        <v>0.26123218507809337</v>
      </c>
      <c r="BW89" s="538">
        <f t="shared" si="220"/>
        <v>1.0846972421728967E-3</v>
      </c>
      <c r="BX89" s="144">
        <f t="shared" si="282"/>
        <v>262.3168823202663</v>
      </c>
      <c r="BY89" s="150">
        <f t="shared" si="283"/>
        <v>1.4494802765654238</v>
      </c>
      <c r="BZ89" s="5">
        <f t="shared" si="284"/>
        <v>6.72</v>
      </c>
      <c r="CA89" s="150">
        <f t="shared" si="285"/>
        <v>0.82257374673841466</v>
      </c>
      <c r="CB89" s="5">
        <f t="shared" si="286"/>
        <v>82.257374673841468</v>
      </c>
      <c r="CC89">
        <f t="shared" si="287"/>
        <v>84.000000000000014</v>
      </c>
      <c r="CE89" s="59">
        <f t="shared" si="221"/>
        <v>-50</v>
      </c>
      <c r="CF89">
        <f t="shared" si="222"/>
        <v>-50</v>
      </c>
      <c r="CG89" s="150">
        <f t="shared" si="223"/>
        <v>0.82883202513712817</v>
      </c>
      <c r="CH89" s="150">
        <f t="shared" si="224"/>
        <v>0.44965289283354892</v>
      </c>
      <c r="CI89" s="147">
        <v>84</v>
      </c>
      <c r="CJ89" s="188">
        <f t="shared" si="309"/>
        <v>1.008</v>
      </c>
      <c r="CK89" s="188">
        <f t="shared" si="288"/>
        <v>0.21</v>
      </c>
      <c r="CL89" s="188">
        <f t="shared" si="225"/>
        <v>5.04</v>
      </c>
      <c r="CM89" s="188">
        <f t="shared" si="310"/>
        <v>1.68</v>
      </c>
      <c r="CN89" s="465">
        <f t="shared" si="289"/>
        <v>48</v>
      </c>
      <c r="CO89" s="379">
        <f t="shared" si="226"/>
        <v>5.7</v>
      </c>
      <c r="CP89" s="379">
        <f t="shared" si="227"/>
        <v>53.7</v>
      </c>
      <c r="CQ89" s="379"/>
      <c r="CR89" s="188">
        <f t="shared" si="228"/>
        <v>0.10112359550561799</v>
      </c>
      <c r="CS89" s="149">
        <f t="shared" si="290"/>
        <v>9.1011235955056193</v>
      </c>
      <c r="CT89" s="149">
        <f t="shared" si="229"/>
        <v>4.0449438202247192</v>
      </c>
      <c r="CU89" s="188">
        <f t="shared" si="230"/>
        <v>1.8202247191011238</v>
      </c>
      <c r="CV89" s="188">
        <f t="shared" si="231"/>
        <v>1.1376404494382024</v>
      </c>
      <c r="CW89" s="379">
        <f t="shared" si="232"/>
        <v>5</v>
      </c>
      <c r="CX89" s="188">
        <f t="shared" si="233"/>
        <v>2.7688888888888887</v>
      </c>
      <c r="CY89" s="188">
        <f t="shared" si="234"/>
        <v>0.69222222222222218</v>
      </c>
      <c r="CZ89" s="188">
        <f t="shared" si="235"/>
        <v>5.8292397660818702</v>
      </c>
      <c r="DA89" s="172">
        <f t="shared" si="236"/>
        <v>350</v>
      </c>
      <c r="DB89" s="379">
        <f t="shared" si="291"/>
        <v>153.33984952966813</v>
      </c>
      <c r="DD89" s="188">
        <f t="shared" si="237"/>
        <v>1.2130885873902635</v>
      </c>
      <c r="DE89" s="150">
        <f t="shared" si="238"/>
        <v>2.5538707102952913</v>
      </c>
      <c r="DF89" s="150">
        <f t="shared" si="239"/>
        <v>0.54216249715765974</v>
      </c>
      <c r="DG89" s="150"/>
      <c r="DH89" s="150">
        <f t="shared" si="240"/>
        <v>2.1052631578947367</v>
      </c>
      <c r="DI89" s="314">
        <f t="shared" si="241"/>
        <v>957.6</v>
      </c>
      <c r="DJ89" s="456">
        <f t="shared" si="242"/>
        <v>0.36842105263157893</v>
      </c>
      <c r="DL89" s="150">
        <f t="shared" si="243"/>
        <v>1.7888543819998317</v>
      </c>
      <c r="DM89" s="150">
        <f t="shared" si="244"/>
        <v>2.7688888888888887</v>
      </c>
      <c r="DN89" s="150">
        <f t="shared" si="245"/>
        <v>2.5102880658436213</v>
      </c>
      <c r="DP89" s="314">
        <f t="shared" si="246"/>
        <v>1008</v>
      </c>
      <c r="DQ89" s="144">
        <f t="shared" si="247"/>
        <v>153.33984952966813</v>
      </c>
      <c r="DS89">
        <f t="shared" si="292"/>
        <v>1008</v>
      </c>
      <c r="DT89">
        <f t="shared" si="248"/>
        <v>153.33984952966813</v>
      </c>
      <c r="DV89" s="5">
        <f t="shared" si="293"/>
        <v>6.5214619883040932</v>
      </c>
      <c r="DW89" s="5">
        <f t="shared" si="249"/>
        <v>0.69222222222222218</v>
      </c>
      <c r="DX89" s="5">
        <f t="shared" si="294"/>
        <v>5.8292397660818711</v>
      </c>
      <c r="DY89" s="150">
        <f t="shared" si="295"/>
        <v>0.10614525139664804</v>
      </c>
      <c r="EA89" s="5">
        <f t="shared" si="250"/>
        <v>13.9552</v>
      </c>
      <c r="EB89" s="5">
        <f t="shared" si="251"/>
        <v>1.8170833333333332</v>
      </c>
      <c r="EC89" s="5">
        <f t="shared" si="252"/>
        <v>0.25502923976608183</v>
      </c>
      <c r="ED89" s="5"/>
      <c r="EE89" s="150">
        <f t="shared" si="296"/>
        <v>0.52082903384665824</v>
      </c>
      <c r="EF89" s="150">
        <f t="shared" si="253"/>
        <v>1.5113963776939758</v>
      </c>
      <c r="EG89" s="150">
        <f t="shared" si="254"/>
        <v>0.3378415432492417</v>
      </c>
      <c r="EH89" s="150"/>
      <c r="EI89" s="456">
        <f t="shared" si="255"/>
        <v>5.4252576499528695E-3</v>
      </c>
      <c r="EJ89" s="456">
        <f t="shared" si="256"/>
        <v>0.45600000000000002</v>
      </c>
      <c r="EK89" s="456">
        <f t="shared" si="257"/>
        <v>1.9167481191208518E-2</v>
      </c>
      <c r="EL89" s="456">
        <f t="shared" si="258"/>
        <v>4.4218459069020881E-2</v>
      </c>
      <c r="EM89">
        <f t="shared" si="259"/>
        <v>2.1600000000000001E-2</v>
      </c>
      <c r="EN89" s="144">
        <f t="shared" si="297"/>
        <v>40.767481191208518</v>
      </c>
      <c r="EO89">
        <f t="shared" si="260"/>
        <v>0.54858316378508576</v>
      </c>
      <c r="EP89" s="144">
        <f t="shared" si="298"/>
        <v>548.58316378508573</v>
      </c>
      <c r="EQ89" s="150">
        <f t="shared" si="261"/>
        <v>0.62622</v>
      </c>
      <c r="ER89" s="150">
        <f t="shared" si="262"/>
        <v>9.3187499999999993E-2</v>
      </c>
      <c r="ES89" s="456"/>
      <c r="EU89" s="144">
        <f t="shared" si="299"/>
        <v>719.40750000000003</v>
      </c>
      <c r="EV89" s="456">
        <f t="shared" si="263"/>
        <v>8.1378864749293029E-3</v>
      </c>
      <c r="EW89" s="456">
        <f t="shared" si="300"/>
        <v>6.8529570315194133E-2</v>
      </c>
      <c r="EX89" s="456">
        <f t="shared" si="264"/>
        <v>5.7068454172514631E-4</v>
      </c>
      <c r="EY89" s="456">
        <f t="shared" si="265"/>
        <v>0.18572544499675722</v>
      </c>
      <c r="EZ89" s="456">
        <f t="shared" si="266"/>
        <v>0.28325096247803028</v>
      </c>
      <c r="FA89" s="538">
        <f t="shared" si="267"/>
        <v>1.1756176288019863E-3</v>
      </c>
      <c r="FB89" s="144">
        <f t="shared" si="301"/>
        <v>284.42658010683226</v>
      </c>
      <c r="FC89" s="150">
        <f t="shared" si="302"/>
        <v>1.5524172438919182</v>
      </c>
      <c r="FD89" s="5">
        <f t="shared" si="303"/>
        <v>6.72</v>
      </c>
      <c r="FE89" s="150">
        <f t="shared" si="304"/>
        <v>0.81233813550227152</v>
      </c>
      <c r="FF89" s="5">
        <f t="shared" si="305"/>
        <v>81.233813550227154</v>
      </c>
      <c r="FG89">
        <f t="shared" si="306"/>
        <v>84.000000000000014</v>
      </c>
      <c r="FI89" s="59">
        <f t="shared" si="268"/>
        <v>-50</v>
      </c>
      <c r="FJ89">
        <f t="shared" si="269"/>
        <v>-50</v>
      </c>
      <c r="FL89">
        <f t="shared" si="270"/>
        <v>0.82883202513712817</v>
      </c>
    </row>
    <row r="90" spans="5:168">
      <c r="E90" s="147">
        <v>85</v>
      </c>
      <c r="F90" s="188">
        <f t="shared" si="307"/>
        <v>1.02</v>
      </c>
      <c r="G90" s="188">
        <f t="shared" si="271"/>
        <v>0.21249999999999999</v>
      </c>
      <c r="H90" s="188">
        <f t="shared" si="176"/>
        <v>5.0999999999999996</v>
      </c>
      <c r="I90" s="188">
        <f t="shared" si="308"/>
        <v>1.7</v>
      </c>
      <c r="J90" s="465">
        <f t="shared" si="177"/>
        <v>47.903230897115101</v>
      </c>
      <c r="K90" s="379">
        <f t="shared" si="178"/>
        <v>5.7369194228407592</v>
      </c>
      <c r="L90" s="149">
        <f t="shared" si="179"/>
        <v>53.640150319955858</v>
      </c>
      <c r="M90" s="379"/>
      <c r="N90" s="188">
        <f t="shared" si="180"/>
        <v>0.10695196394157831</v>
      </c>
      <c r="O90" s="149">
        <f t="shared" si="272"/>
        <v>9.6062711692375391</v>
      </c>
      <c r="P90" s="149">
        <f t="shared" si="181"/>
        <v>4.2694538529944612</v>
      </c>
      <c r="Q90" s="188">
        <f t="shared" si="182"/>
        <v>1.9212542338475078</v>
      </c>
      <c r="R90" s="188">
        <f t="shared" si="183"/>
        <v>1.2007838961546924</v>
      </c>
      <c r="S90" s="379">
        <f t="shared" si="184"/>
        <v>5</v>
      </c>
      <c r="T90" s="188">
        <f t="shared" si="185"/>
        <v>2.6545159459644907</v>
      </c>
      <c r="U90" s="188">
        <f t="shared" si="186"/>
        <v>0.66496958044415033</v>
      </c>
      <c r="V90" s="188">
        <f t="shared" si="187"/>
        <v>5.5524906319497518</v>
      </c>
      <c r="W90" s="172">
        <f t="shared" si="188"/>
        <v>350</v>
      </c>
      <c r="X90" s="379">
        <f t="shared" si="273"/>
        <v>155.82488506414447</v>
      </c>
      <c r="Z90" s="188">
        <f t="shared" si="189"/>
        <v>1.2198439579984177</v>
      </c>
      <c r="AA90" s="150">
        <f t="shared" si="190"/>
        <v>2.5515658173097768</v>
      </c>
      <c r="AB90" s="150">
        <f t="shared" si="191"/>
        <v>0.5446896254941096</v>
      </c>
      <c r="AC90" s="150"/>
      <c r="AD90" s="150">
        <f t="shared" si="192"/>
        <v>2.0917149284376633</v>
      </c>
      <c r="AE90" s="314">
        <f t="shared" si="193"/>
        <v>975.27630188292903</v>
      </c>
      <c r="AF90" s="456">
        <f t="shared" si="194"/>
        <v>0.36605011247659108</v>
      </c>
      <c r="AH90" s="150">
        <f t="shared" si="195"/>
        <v>1.7994708216848745</v>
      </c>
      <c r="AI90" s="150">
        <f t="shared" si="196"/>
        <v>2.6545159459644907</v>
      </c>
      <c r="AJ90" s="150">
        <f t="shared" si="197"/>
        <v>2.4255673673811042</v>
      </c>
      <c r="AL90" s="314">
        <f t="shared" si="198"/>
        <v>1020</v>
      </c>
      <c r="AM90" s="144">
        <f t="shared" si="199"/>
        <v>155.82488506414447</v>
      </c>
      <c r="AO90">
        <f t="shared" si="274"/>
        <v>1020</v>
      </c>
      <c r="AP90">
        <f t="shared" si="200"/>
        <v>155.82488506414447</v>
      </c>
      <c r="AR90" s="5">
        <f t="shared" si="275"/>
        <v>6.4174602123939026</v>
      </c>
      <c r="AS90" s="5">
        <f t="shared" si="201"/>
        <v>0.66496958044415033</v>
      </c>
      <c r="AT90" s="5">
        <f t="shared" si="276"/>
        <v>5.752490631949752</v>
      </c>
      <c r="AU90" s="150">
        <f t="shared" si="277"/>
        <v>0.10361880844386209</v>
      </c>
      <c r="AW90" s="5">
        <f t="shared" si="202"/>
        <v>13.565379441060667</v>
      </c>
      <c r="AX90" s="5">
        <f t="shared" si="203"/>
        <v>1.7663254480547743</v>
      </c>
      <c r="AY90" s="5">
        <f t="shared" si="204"/>
        <v>0.25518200680759079</v>
      </c>
      <c r="AZ90" s="5"/>
      <c r="BA90" s="150">
        <f t="shared" si="278"/>
        <v>0.49333736302051118</v>
      </c>
      <c r="BB90" s="150">
        <f t="shared" si="205"/>
        <v>1.4510122496753384</v>
      </c>
      <c r="BC90" s="150">
        <f t="shared" si="206"/>
        <v>0.32434391463331097</v>
      </c>
      <c r="BD90" s="150"/>
      <c r="BE90" s="456">
        <f t="shared" si="207"/>
        <v>4.8676350750406329E-3</v>
      </c>
      <c r="BF90" s="456">
        <f t="shared" si="208"/>
        <v>0.41601923596638457</v>
      </c>
      <c r="BG90" s="456">
        <f t="shared" si="209"/>
        <v>0.18661288621860336</v>
      </c>
      <c r="BH90" s="456">
        <f t="shared" si="210"/>
        <v>4.4834960110709518E-2</v>
      </c>
      <c r="BI90">
        <f t="shared" si="211"/>
        <v>2.1556453903701794E-2</v>
      </c>
      <c r="BJ90" s="144">
        <f t="shared" si="279"/>
        <v>208.16934012230516</v>
      </c>
      <c r="BK90">
        <f t="shared" si="212"/>
        <v>0.46757686869375603</v>
      </c>
      <c r="BL90" s="144">
        <f t="shared" si="280"/>
        <v>467.57686869375601</v>
      </c>
      <c r="BM90" s="150">
        <f t="shared" si="213"/>
        <v>0.63367499999999999</v>
      </c>
      <c r="BN90" s="150">
        <f t="shared" si="214"/>
        <v>9.4296874999999988E-2</v>
      </c>
      <c r="BO90" s="456"/>
      <c r="BQ90" s="144">
        <f t="shared" si="281"/>
        <v>727.97187499999995</v>
      </c>
      <c r="BR90" s="456">
        <f t="shared" si="215"/>
        <v>7.301452612560949E-3</v>
      </c>
      <c r="BS90" s="456">
        <f t="shared" si="216"/>
        <v>6.3163096461236592E-2</v>
      </c>
      <c r="BT90" s="456">
        <f t="shared" si="217"/>
        <v>5.259948747983026E-4</v>
      </c>
      <c r="BU90" s="456">
        <f t="shared" si="218"/>
        <v>0.17399044094899727</v>
      </c>
      <c r="BV90" s="456">
        <f t="shared" si="219"/>
        <v>0.26351528290704324</v>
      </c>
      <c r="BW90" s="538">
        <f t="shared" si="220"/>
        <v>1.0980130260521271E-3</v>
      </c>
      <c r="BX90" s="144">
        <f t="shared" si="282"/>
        <v>264.61329593309534</v>
      </c>
      <c r="BY90" s="150">
        <f t="shared" si="283"/>
        <v>1.4601620396268513</v>
      </c>
      <c r="BZ90" s="5">
        <f t="shared" si="284"/>
        <v>6.8</v>
      </c>
      <c r="CA90" s="150">
        <f t="shared" si="285"/>
        <v>0.82322840246693119</v>
      </c>
      <c r="CB90" s="5">
        <f t="shared" si="286"/>
        <v>82.322840246693119</v>
      </c>
      <c r="CC90">
        <f t="shared" si="287"/>
        <v>85.000000000000014</v>
      </c>
      <c r="CE90" s="59">
        <f t="shared" si="221"/>
        <v>-50</v>
      </c>
      <c r="CF90">
        <f t="shared" si="222"/>
        <v>-50</v>
      </c>
      <c r="CG90" s="150">
        <f t="shared" si="223"/>
        <v>0.82883202513712817</v>
      </c>
      <c r="CH90" s="150">
        <f t="shared" si="224"/>
        <v>0.44965289283354887</v>
      </c>
      <c r="CI90" s="147">
        <v>85</v>
      </c>
      <c r="CJ90" s="188">
        <f t="shared" si="309"/>
        <v>1.02</v>
      </c>
      <c r="CK90" s="188">
        <f t="shared" si="288"/>
        <v>0.21249999999999999</v>
      </c>
      <c r="CL90" s="188">
        <f t="shared" si="225"/>
        <v>5.0999999999999996</v>
      </c>
      <c r="CM90" s="188">
        <f t="shared" si="310"/>
        <v>1.7</v>
      </c>
      <c r="CN90" s="465">
        <f t="shared" si="289"/>
        <v>48</v>
      </c>
      <c r="CO90" s="379">
        <f t="shared" si="226"/>
        <v>5.7</v>
      </c>
      <c r="CP90" s="379">
        <f t="shared" si="227"/>
        <v>53.7</v>
      </c>
      <c r="CQ90" s="379"/>
      <c r="CR90" s="188">
        <f t="shared" si="228"/>
        <v>0.10112359550561799</v>
      </c>
      <c r="CS90" s="149">
        <f t="shared" si="290"/>
        <v>9.1011235955056193</v>
      </c>
      <c r="CT90" s="149">
        <f t="shared" si="229"/>
        <v>4.0449438202247192</v>
      </c>
      <c r="CU90" s="188">
        <f t="shared" si="230"/>
        <v>1.8202247191011238</v>
      </c>
      <c r="CV90" s="188">
        <f t="shared" si="231"/>
        <v>1.1376404494382024</v>
      </c>
      <c r="CW90" s="379">
        <f t="shared" si="232"/>
        <v>5</v>
      </c>
      <c r="CX90" s="188">
        <f t="shared" si="233"/>
        <v>2.8018518518518518</v>
      </c>
      <c r="CY90" s="188">
        <f t="shared" si="234"/>
        <v>0.70046296296296295</v>
      </c>
      <c r="CZ90" s="188">
        <f t="shared" si="235"/>
        <v>5.8986354775828458</v>
      </c>
      <c r="DA90" s="172">
        <f t="shared" si="236"/>
        <v>350</v>
      </c>
      <c r="DB90" s="379">
        <f t="shared" si="291"/>
        <v>151.53585129990731</v>
      </c>
      <c r="DD90" s="188">
        <f t="shared" si="237"/>
        <v>1.2130885873902635</v>
      </c>
      <c r="DE90" s="150">
        <f t="shared" si="238"/>
        <v>2.5538707102952913</v>
      </c>
      <c r="DF90" s="150">
        <f t="shared" si="239"/>
        <v>0.54216249715765974</v>
      </c>
      <c r="DG90" s="150"/>
      <c r="DH90" s="150">
        <f t="shared" si="240"/>
        <v>2.1052631578947367</v>
      </c>
      <c r="DI90" s="314">
        <f t="shared" si="241"/>
        <v>969.00000000000011</v>
      </c>
      <c r="DJ90" s="456">
        <f t="shared" si="242"/>
        <v>0.36842105263157893</v>
      </c>
      <c r="DL90" s="150">
        <f t="shared" si="243"/>
        <v>1.7994708216848745</v>
      </c>
      <c r="DM90" s="150">
        <f t="shared" si="244"/>
        <v>2.8018518518518518</v>
      </c>
      <c r="DN90" s="150">
        <f t="shared" si="245"/>
        <v>2.5347050754458165</v>
      </c>
      <c r="DP90" s="314">
        <f t="shared" si="246"/>
        <v>1020</v>
      </c>
      <c r="DQ90" s="144">
        <f t="shared" si="247"/>
        <v>151.53585129990731</v>
      </c>
      <c r="DS90">
        <f t="shared" si="292"/>
        <v>1020</v>
      </c>
      <c r="DT90">
        <f t="shared" si="248"/>
        <v>151.53585129990731</v>
      </c>
      <c r="DV90" s="5">
        <f t="shared" si="293"/>
        <v>6.5990984405458093</v>
      </c>
      <c r="DW90" s="5">
        <f t="shared" si="249"/>
        <v>0.70046296296296295</v>
      </c>
      <c r="DX90" s="5">
        <f t="shared" si="294"/>
        <v>5.8986354775828467</v>
      </c>
      <c r="DY90" s="150">
        <f t="shared" si="295"/>
        <v>0.10614525139664804</v>
      </c>
      <c r="EA90" s="5">
        <f t="shared" si="250"/>
        <v>14.289444444444444</v>
      </c>
      <c r="EB90" s="5">
        <f t="shared" si="251"/>
        <v>1.8606047453703702</v>
      </c>
      <c r="EC90" s="5">
        <f t="shared" si="252"/>
        <v>0.26113750812215719</v>
      </c>
      <c r="ED90" s="5"/>
      <c r="EE90" s="150">
        <f t="shared" si="296"/>
        <v>0.52702937948768991</v>
      </c>
      <c r="EF90" s="150">
        <f t="shared" si="253"/>
        <v>1.5293891917141424</v>
      </c>
      <c r="EG90" s="150">
        <f t="shared" si="254"/>
        <v>0.34186346638316123</v>
      </c>
      <c r="EH90" s="150"/>
      <c r="EI90" s="456">
        <f t="shared" si="255"/>
        <v>5.5551993368635885E-3</v>
      </c>
      <c r="EJ90" s="456">
        <f t="shared" si="256"/>
        <v>0.45599999999999996</v>
      </c>
      <c r="EK90" s="456">
        <f t="shared" si="257"/>
        <v>1.8941981412488415E-2</v>
      </c>
      <c r="EL90" s="456">
        <f t="shared" si="258"/>
        <v>4.369824190350298E-2</v>
      </c>
      <c r="EM90">
        <f t="shared" si="259"/>
        <v>2.1600000000000001E-2</v>
      </c>
      <c r="EN90" s="144">
        <f t="shared" si="297"/>
        <v>40.541981412488418</v>
      </c>
      <c r="EO90">
        <f t="shared" si="260"/>
        <v>0.54801866472828609</v>
      </c>
      <c r="EP90" s="144">
        <f t="shared" si="298"/>
        <v>548.01866472828613</v>
      </c>
      <c r="EQ90" s="150">
        <f t="shared" si="261"/>
        <v>0.63367499999999999</v>
      </c>
      <c r="ER90" s="150">
        <f t="shared" si="262"/>
        <v>9.4296874999999988E-2</v>
      </c>
      <c r="ES90" s="456"/>
      <c r="EU90" s="144">
        <f t="shared" si="299"/>
        <v>727.97187499999995</v>
      </c>
      <c r="EV90" s="456">
        <f t="shared" si="263"/>
        <v>8.3327990052953823E-3</v>
      </c>
      <c r="EW90" s="456">
        <f t="shared" si="300"/>
        <v>7.017093899196114E-2</v>
      </c>
      <c r="EX90" s="456">
        <f t="shared" si="264"/>
        <v>5.8435314823755409E-4</v>
      </c>
      <c r="EY90" s="456">
        <f t="shared" si="265"/>
        <v>0.18572544499675744</v>
      </c>
      <c r="EZ90" s="456">
        <f t="shared" si="266"/>
        <v>0.28560169343812541</v>
      </c>
      <c r="FA90" s="538">
        <f t="shared" si="267"/>
        <v>1.1896130767639146E-3</v>
      </c>
      <c r="FB90" s="144">
        <f t="shared" si="301"/>
        <v>286.7913065148893</v>
      </c>
      <c r="FC90" s="150">
        <f t="shared" si="302"/>
        <v>1.5627818462431753</v>
      </c>
      <c r="FD90" s="5">
        <f t="shared" si="303"/>
        <v>6.8</v>
      </c>
      <c r="FE90" s="150">
        <f t="shared" si="304"/>
        <v>0.81312655585470928</v>
      </c>
      <c r="FF90" s="5">
        <f t="shared" si="305"/>
        <v>81.312655585470921</v>
      </c>
      <c r="FG90">
        <f t="shared" si="306"/>
        <v>85.000000000000014</v>
      </c>
      <c r="FI90" s="59">
        <f t="shared" si="268"/>
        <v>-50</v>
      </c>
      <c r="FJ90">
        <f t="shared" si="269"/>
        <v>-50</v>
      </c>
      <c r="FL90">
        <f t="shared" si="270"/>
        <v>0.82883202513712817</v>
      </c>
    </row>
    <row r="91" spans="5:168">
      <c r="E91" s="147">
        <v>86</v>
      </c>
      <c r="F91" s="188">
        <f t="shared" si="307"/>
        <v>1.032</v>
      </c>
      <c r="G91" s="188">
        <f t="shared" si="271"/>
        <v>0.215</v>
      </c>
      <c r="H91" s="188">
        <f t="shared" si="176"/>
        <v>5.16</v>
      </c>
      <c r="I91" s="188">
        <f t="shared" si="308"/>
        <v>1.72</v>
      </c>
      <c r="J91" s="465">
        <f t="shared" si="177"/>
        <v>47.902092437081166</v>
      </c>
      <c r="K91" s="379">
        <f t="shared" si="178"/>
        <v>5.7373537689918264</v>
      </c>
      <c r="L91" s="149">
        <f t="shared" si="179"/>
        <v>53.639446206072989</v>
      </c>
      <c r="M91" s="379"/>
      <c r="N91" s="188">
        <f t="shared" si="180"/>
        <v>0.10696146539153215</v>
      </c>
      <c r="O91" s="149">
        <f t="shared" si="272"/>
        <v>9.6068962544828089</v>
      </c>
      <c r="P91" s="149">
        <f t="shared" si="181"/>
        <v>4.2697316686590252</v>
      </c>
      <c r="Q91" s="188">
        <f t="shared" si="182"/>
        <v>1.9213792508965617</v>
      </c>
      <c r="R91" s="188">
        <f t="shared" si="183"/>
        <v>1.2008620318103511</v>
      </c>
      <c r="S91" s="379">
        <f t="shared" si="184"/>
        <v>5</v>
      </c>
      <c r="T91" s="188">
        <f t="shared" si="185"/>
        <v>2.6855707937890037</v>
      </c>
      <c r="U91" s="188">
        <f t="shared" si="186"/>
        <v>0.67276496465780966</v>
      </c>
      <c r="V91" s="188">
        <f t="shared" si="187"/>
        <v>5.6170232520158816</v>
      </c>
      <c r="W91" s="172">
        <f t="shared" si="188"/>
        <v>350</v>
      </c>
      <c r="X91" s="379">
        <f t="shared" si="273"/>
        <v>154.08823317697494</v>
      </c>
      <c r="Z91" s="188">
        <f t="shared" si="189"/>
        <v>1.2199233339025788</v>
      </c>
      <c r="AA91" s="150">
        <f t="shared" si="190"/>
        <v>2.5515386703099083</v>
      </c>
      <c r="AB91" s="150">
        <f t="shared" si="191"/>
        <v>0.54471927322151781</v>
      </c>
      <c r="AC91" s="150"/>
      <c r="AD91" s="150">
        <f t="shared" si="192"/>
        <v>2.0915565752377603</v>
      </c>
      <c r="AE91" s="314">
        <f t="shared" si="193"/>
        <v>986.82484826659436</v>
      </c>
      <c r="AF91" s="456">
        <f t="shared" si="194"/>
        <v>0.36602240066660807</v>
      </c>
      <c r="AH91" s="150">
        <f t="shared" si="195"/>
        <v>1.8100249932502248</v>
      </c>
      <c r="AI91" s="150">
        <f t="shared" si="196"/>
        <v>2.6855707937890037</v>
      </c>
      <c r="AJ91" s="150">
        <f t="shared" si="197"/>
        <v>2.4485709583622253</v>
      </c>
      <c r="AL91" s="314">
        <f t="shared" si="198"/>
        <v>1032</v>
      </c>
      <c r="AM91" s="144">
        <f t="shared" si="199"/>
        <v>154.08823317697494</v>
      </c>
      <c r="AO91">
        <f t="shared" si="274"/>
        <v>1032</v>
      </c>
      <c r="AP91">
        <f t="shared" si="200"/>
        <v>154.08823317697494</v>
      </c>
      <c r="AR91" s="5">
        <f t="shared" si="275"/>
        <v>6.4897882166736913</v>
      </c>
      <c r="AS91" s="5">
        <f t="shared" si="201"/>
        <v>0.67276496465780966</v>
      </c>
      <c r="AT91" s="5">
        <f t="shared" si="276"/>
        <v>5.8170232520158818</v>
      </c>
      <c r="AU91" s="150">
        <f t="shared" si="277"/>
        <v>0.10366516474749186</v>
      </c>
      <c r="AW91" s="5">
        <f t="shared" si="202"/>
        <v>13.885868870537191</v>
      </c>
      <c r="AX91" s="5">
        <f t="shared" si="203"/>
        <v>1.8080558425178634</v>
      </c>
      <c r="AY91" s="5">
        <f t="shared" si="204"/>
        <v>0.26108671574757231</v>
      </c>
      <c r="AZ91" s="5"/>
      <c r="BA91" s="150">
        <f t="shared" si="278"/>
        <v>0.49922048625572146</v>
      </c>
      <c r="BB91" s="150">
        <f t="shared" si="205"/>
        <v>1.4679495003530494</v>
      </c>
      <c r="BC91" s="150">
        <f t="shared" si="206"/>
        <v>0.32812988831421103</v>
      </c>
      <c r="BD91" s="150"/>
      <c r="BE91" s="456">
        <f t="shared" si="207"/>
        <v>4.9844218779479801E-3</v>
      </c>
      <c r="BF91" s="456">
        <f t="shared" si="208"/>
        <v>0.41618999722116345</v>
      </c>
      <c r="BG91" s="456">
        <f t="shared" si="209"/>
        <v>0.18452871972774923</v>
      </c>
      <c r="BH91" s="456">
        <f t="shared" si="210"/>
        <v>4.4334115278246905E-2</v>
      </c>
      <c r="BI91">
        <f t="shared" si="211"/>
        <v>2.1555941596686525E-2</v>
      </c>
      <c r="BJ91" s="144">
        <f t="shared" si="279"/>
        <v>206.08466132443576</v>
      </c>
      <c r="BK91">
        <f t="shared" si="212"/>
        <v>0.46740787879874984</v>
      </c>
      <c r="BL91" s="144">
        <f t="shared" si="280"/>
        <v>467.40787879874983</v>
      </c>
      <c r="BM91" s="150">
        <f t="shared" si="213"/>
        <v>0.64112999999999987</v>
      </c>
      <c r="BN91" s="150">
        <f t="shared" si="214"/>
        <v>9.5406249999999998E-2</v>
      </c>
      <c r="BO91" s="456"/>
      <c r="BQ91" s="144">
        <f t="shared" si="281"/>
        <v>736.53624999999988</v>
      </c>
      <c r="BR91" s="456">
        <f t="shared" si="215"/>
        <v>7.4766328169219697E-3</v>
      </c>
      <c r="BS91" s="456">
        <f t="shared" si="216"/>
        <v>6.4646272067603011E-2</v>
      </c>
      <c r="BT91" s="456">
        <f t="shared" si="217"/>
        <v>5.3834611802548304E-4</v>
      </c>
      <c r="BU91" s="456">
        <f t="shared" si="218"/>
        <v>0.17417475405639918</v>
      </c>
      <c r="BV91" s="456">
        <f t="shared" si="219"/>
        <v>0.2658198897580562</v>
      </c>
      <c r="BW91" s="538">
        <f t="shared" si="220"/>
        <v>1.1113290985247473E-3</v>
      </c>
      <c r="BX91" s="144">
        <f t="shared" si="282"/>
        <v>266.93121885658093</v>
      </c>
      <c r="BY91" s="150">
        <f t="shared" si="283"/>
        <v>1.4708753476553305</v>
      </c>
      <c r="BZ91" s="5">
        <f t="shared" si="284"/>
        <v>6.88</v>
      </c>
      <c r="CA91" s="150">
        <f t="shared" si="285"/>
        <v>0.82386572827143112</v>
      </c>
      <c r="CB91" s="5">
        <f t="shared" si="286"/>
        <v>82.386572827143112</v>
      </c>
      <c r="CC91">
        <f t="shared" si="287"/>
        <v>86.000000000000014</v>
      </c>
      <c r="CE91" s="59">
        <f t="shared" si="221"/>
        <v>-50</v>
      </c>
      <c r="CF91">
        <f t="shared" si="222"/>
        <v>-50</v>
      </c>
      <c r="CG91" s="150">
        <f t="shared" si="223"/>
        <v>0.82883202513712817</v>
      </c>
      <c r="CH91" s="150">
        <f t="shared" si="224"/>
        <v>0.44965289283354892</v>
      </c>
      <c r="CI91" s="147">
        <v>86</v>
      </c>
      <c r="CJ91" s="188">
        <f t="shared" si="309"/>
        <v>1.032</v>
      </c>
      <c r="CK91" s="188">
        <f t="shared" si="288"/>
        <v>0.215</v>
      </c>
      <c r="CL91" s="188">
        <f t="shared" si="225"/>
        <v>5.16</v>
      </c>
      <c r="CM91" s="188">
        <f t="shared" si="310"/>
        <v>1.72</v>
      </c>
      <c r="CN91" s="465">
        <f t="shared" si="289"/>
        <v>48</v>
      </c>
      <c r="CO91" s="379">
        <f t="shared" si="226"/>
        <v>5.7</v>
      </c>
      <c r="CP91" s="379">
        <f t="shared" si="227"/>
        <v>53.7</v>
      </c>
      <c r="CQ91" s="379"/>
      <c r="CR91" s="188">
        <f t="shared" si="228"/>
        <v>0.10112359550561799</v>
      </c>
      <c r="CS91" s="149">
        <f t="shared" si="290"/>
        <v>9.1011235955056193</v>
      </c>
      <c r="CT91" s="149">
        <f t="shared" si="229"/>
        <v>4.0449438202247192</v>
      </c>
      <c r="CU91" s="188">
        <f t="shared" si="230"/>
        <v>1.8202247191011238</v>
      </c>
      <c r="CV91" s="188">
        <f t="shared" si="231"/>
        <v>1.1376404494382024</v>
      </c>
      <c r="CW91" s="379">
        <f t="shared" si="232"/>
        <v>5</v>
      </c>
      <c r="CX91" s="188">
        <f t="shared" si="233"/>
        <v>2.8348148148148145</v>
      </c>
      <c r="CY91" s="188">
        <f t="shared" si="234"/>
        <v>0.70870370370370361</v>
      </c>
      <c r="CZ91" s="188">
        <f t="shared" si="235"/>
        <v>5.9680311890838196</v>
      </c>
      <c r="DA91" s="172">
        <f t="shared" si="236"/>
        <v>350</v>
      </c>
      <c r="DB91" s="379">
        <f t="shared" si="291"/>
        <v>149.77380651735029</v>
      </c>
      <c r="DD91" s="188">
        <f t="shared" si="237"/>
        <v>1.2130885873902635</v>
      </c>
      <c r="DE91" s="150">
        <f t="shared" si="238"/>
        <v>2.5538707102952913</v>
      </c>
      <c r="DF91" s="150">
        <f t="shared" si="239"/>
        <v>0.54216249715765974</v>
      </c>
      <c r="DG91" s="150"/>
      <c r="DH91" s="150">
        <f t="shared" si="240"/>
        <v>2.1052631578947367</v>
      </c>
      <c r="DI91" s="314">
        <f t="shared" si="241"/>
        <v>980.40000000000009</v>
      </c>
      <c r="DJ91" s="456">
        <f t="shared" si="242"/>
        <v>0.36842105263157893</v>
      </c>
      <c r="DL91" s="150">
        <f t="shared" si="243"/>
        <v>1.8100249932502248</v>
      </c>
      <c r="DM91" s="150">
        <f t="shared" si="244"/>
        <v>2.8348148148148145</v>
      </c>
      <c r="DN91" s="150">
        <f t="shared" si="245"/>
        <v>2.5591220850480108</v>
      </c>
      <c r="DP91" s="314">
        <f t="shared" si="246"/>
        <v>1032</v>
      </c>
      <c r="DQ91" s="144">
        <f t="shared" si="247"/>
        <v>149.77380651735029</v>
      </c>
      <c r="DS91">
        <f>IF(CL91&gt;CS91, "",DP91)</f>
        <v>1032</v>
      </c>
      <c r="DT91">
        <f>IF(CL91&gt;CS91, "",DQ91)</f>
        <v>149.77380651735029</v>
      </c>
      <c r="DV91" s="5">
        <f t="shared" si="293"/>
        <v>6.6767348927875227</v>
      </c>
      <c r="DW91" s="5">
        <f t="shared" si="249"/>
        <v>0.70870370370370361</v>
      </c>
      <c r="DX91" s="5">
        <f t="shared" si="294"/>
        <v>5.9680311890838187</v>
      </c>
      <c r="DY91" s="150">
        <f t="shared" si="295"/>
        <v>0.10614525139664806</v>
      </c>
      <c r="EA91" s="5">
        <f t="shared" si="250"/>
        <v>14.627644444444444</v>
      </c>
      <c r="EB91" s="5">
        <f t="shared" si="251"/>
        <v>1.9046412037037035</v>
      </c>
      <c r="EC91" s="5">
        <f t="shared" si="252"/>
        <v>0.26731806367771266</v>
      </c>
      <c r="ED91" s="5"/>
      <c r="EE91" s="150">
        <f t="shared" si="296"/>
        <v>0.53322972512872158</v>
      </c>
      <c r="EF91" s="150">
        <f t="shared" si="253"/>
        <v>1.5473820057343086</v>
      </c>
      <c r="EG91" s="150">
        <f t="shared" si="254"/>
        <v>0.3458853895170807</v>
      </c>
      <c r="EH91" s="150"/>
      <c r="EI91" s="456">
        <f t="shared" si="255"/>
        <v>5.6866787952170395E-3</v>
      </c>
      <c r="EJ91" s="456">
        <f t="shared" si="256"/>
        <v>0.45600000000000007</v>
      </c>
      <c r="EK91" s="456">
        <f t="shared" si="257"/>
        <v>1.8721725814668785E-2</v>
      </c>
      <c r="EL91" s="456">
        <f t="shared" si="258"/>
        <v>4.3190122811601797E-2</v>
      </c>
      <c r="EM91">
        <f t="shared" si="259"/>
        <v>2.1600000000000001E-2</v>
      </c>
      <c r="EN91" s="144">
        <f t="shared" si="297"/>
        <v>40.321725814668788</v>
      </c>
      <c r="EO91">
        <f t="shared" si="260"/>
        <v>0.54747365239425483</v>
      </c>
      <c r="EP91" s="144">
        <f t="shared" si="298"/>
        <v>547.47365239425483</v>
      </c>
      <c r="EQ91" s="150">
        <f t="shared" si="261"/>
        <v>0.64112999999999987</v>
      </c>
      <c r="ER91" s="150">
        <f t="shared" si="262"/>
        <v>9.5406249999999998E-2</v>
      </c>
      <c r="ES91" s="456"/>
      <c r="EU91" s="144">
        <f t="shared" si="299"/>
        <v>736.53624999999988</v>
      </c>
      <c r="EV91" s="456">
        <f t="shared" si="263"/>
        <v>8.5300181928255597E-3</v>
      </c>
      <c r="EW91" s="456">
        <f t="shared" si="300"/>
        <v>7.1831732150109961E-2</v>
      </c>
      <c r="EX91" s="456">
        <f t="shared" si="264"/>
        <v>5.9818351340691319E-4</v>
      </c>
      <c r="EY91" s="456">
        <f t="shared" si="265"/>
        <v>0.18572544499675739</v>
      </c>
      <c r="EZ91" s="456">
        <f t="shared" si="266"/>
        <v>0.28798095651392225</v>
      </c>
      <c r="FA91" s="538">
        <f t="shared" si="267"/>
        <v>1.2036085247258434E-3</v>
      </c>
      <c r="FB91" s="144">
        <f t="shared" si="301"/>
        <v>289.18456503864809</v>
      </c>
      <c r="FC91" s="150">
        <f t="shared" si="302"/>
        <v>1.5731944674329026</v>
      </c>
      <c r="FD91" s="5">
        <f t="shared" si="303"/>
        <v>6.88</v>
      </c>
      <c r="FE91" s="150">
        <f t="shared" si="304"/>
        <v>0.81389349629967089</v>
      </c>
      <c r="FF91" s="5">
        <f t="shared" si="305"/>
        <v>81.389349629967086</v>
      </c>
      <c r="FG91">
        <f t="shared" si="306"/>
        <v>86.000000000000014</v>
      </c>
      <c r="FI91" s="59">
        <f t="shared" si="268"/>
        <v>-50</v>
      </c>
      <c r="FJ91">
        <f t="shared" si="269"/>
        <v>-50</v>
      </c>
      <c r="FL91">
        <f t="shared" si="270"/>
        <v>0.82883202513712817</v>
      </c>
    </row>
    <row r="92" spans="5:168">
      <c r="E92" s="147">
        <v>87</v>
      </c>
      <c r="F92" s="188">
        <f t="shared" si="307"/>
        <v>1.044</v>
      </c>
      <c r="G92" s="188">
        <f t="shared" si="271"/>
        <v>0.2175</v>
      </c>
      <c r="H92" s="188">
        <f t="shared" si="176"/>
        <v>5.2200000000000006</v>
      </c>
      <c r="I92" s="188">
        <f t="shared" si="308"/>
        <v>1.74</v>
      </c>
      <c r="J92" s="465">
        <f t="shared" si="177"/>
        <v>47.900953977047223</v>
      </c>
      <c r="K92" s="379">
        <f t="shared" si="178"/>
        <v>5.7377881151428944</v>
      </c>
      <c r="L92" s="149">
        <f t="shared" si="179"/>
        <v>53.638742092190114</v>
      </c>
      <c r="M92" s="379"/>
      <c r="N92" s="188">
        <f t="shared" si="180"/>
        <v>0.10697096709093641</v>
      </c>
      <c r="O92" s="149">
        <f t="shared" si="272"/>
        <v>9.6075213215684592</v>
      </c>
      <c r="P92" s="149">
        <f t="shared" si="181"/>
        <v>4.2700094762526479</v>
      </c>
      <c r="Q92" s="188">
        <f t="shared" si="182"/>
        <v>1.9215042643136919</v>
      </c>
      <c r="R92" s="188">
        <f t="shared" si="183"/>
        <v>1.2009401651960574</v>
      </c>
      <c r="S92" s="379">
        <f t="shared" si="184"/>
        <v>5</v>
      </c>
      <c r="T92" s="188">
        <f t="shared" si="185"/>
        <v>2.7166216057628372</v>
      </c>
      <c r="U92" s="188">
        <f t="shared" si="186"/>
        <v>0.68055970836770363</v>
      </c>
      <c r="V92" s="188">
        <f t="shared" si="187"/>
        <v>5.6815376613714834</v>
      </c>
      <c r="W92" s="172">
        <f t="shared" si="188"/>
        <v>350</v>
      </c>
      <c r="X92" s="379">
        <f t="shared" si="273"/>
        <v>152.39030201097813</v>
      </c>
      <c r="Z92" s="188">
        <f t="shared" si="189"/>
        <v>1.2200027075007567</v>
      </c>
      <c r="AA92" s="150">
        <f t="shared" si="190"/>
        <v>2.5515115225973242</v>
      </c>
      <c r="AB92" s="150">
        <f t="shared" si="191"/>
        <v>0.54474891901291977</v>
      </c>
      <c r="AC92" s="150"/>
      <c r="AD92" s="150">
        <f t="shared" si="192"/>
        <v>2.0913982460122877</v>
      </c>
      <c r="AE92" s="314">
        <f t="shared" si="193"/>
        <v>998.37513203486367</v>
      </c>
      <c r="AF92" s="456">
        <f t="shared" si="194"/>
        <v>0.36599469305215038</v>
      </c>
      <c r="AH92" s="150">
        <f t="shared" si="195"/>
        <v>1.820517979665599</v>
      </c>
      <c r="AI92" s="150">
        <f t="shared" si="196"/>
        <v>2.7166216057628372</v>
      </c>
      <c r="AJ92" s="150">
        <f t="shared" si="197"/>
        <v>2.4715715598243237</v>
      </c>
      <c r="AL92" s="314">
        <f t="shared" si="198"/>
        <v>1044</v>
      </c>
      <c r="AM92" s="144">
        <f t="shared" si="199"/>
        <v>152.39030201097813</v>
      </c>
      <c r="AO92">
        <f t="shared" si="274"/>
        <v>1044</v>
      </c>
      <c r="AP92">
        <f t="shared" si="200"/>
        <v>152.39030201097813</v>
      </c>
      <c r="AR92" s="5">
        <f t="shared" si="275"/>
        <v>6.5620973697391873</v>
      </c>
      <c r="AS92" s="5">
        <f t="shared" si="201"/>
        <v>0.68055970836770363</v>
      </c>
      <c r="AT92" s="5">
        <f t="shared" si="276"/>
        <v>5.8815376613714836</v>
      </c>
      <c r="AU92" s="150">
        <f t="shared" si="277"/>
        <v>0.10371069949465755</v>
      </c>
      <c r="AW92" s="5">
        <f t="shared" si="202"/>
        <v>14.210086710717654</v>
      </c>
      <c r="AX92" s="5">
        <f t="shared" si="203"/>
        <v>1.8502717071246939</v>
      </c>
      <c r="AY92" s="5">
        <f t="shared" si="204"/>
        <v>0.26705823895725972</v>
      </c>
      <c r="AZ92" s="5"/>
      <c r="BA92" s="150">
        <f t="shared" si="278"/>
        <v>0.50510341496363409</v>
      </c>
      <c r="BB92" s="150">
        <f t="shared" si="205"/>
        <v>1.4848843467280182</v>
      </c>
      <c r="BC92" s="150">
        <f t="shared" si="206"/>
        <v>0.33191532456273348</v>
      </c>
      <c r="BD92" s="150"/>
      <c r="BE92" s="456">
        <f t="shared" si="207"/>
        <v>5.1025891961585029E-3</v>
      </c>
      <c r="BF92" s="456">
        <f t="shared" si="208"/>
        <v>0.41635744677898534</v>
      </c>
      <c r="BG92" s="456">
        <f t="shared" si="209"/>
        <v>0.18249102107940476</v>
      </c>
      <c r="BH92" s="456">
        <f t="shared" si="210"/>
        <v>4.3844437092630938E-2</v>
      </c>
      <c r="BI92">
        <f t="shared" si="211"/>
        <v>2.155542928967125E-2</v>
      </c>
      <c r="BJ92" s="144">
        <f t="shared" si="279"/>
        <v>204.04645036907601</v>
      </c>
      <c r="BK92">
        <f t="shared" si="212"/>
        <v>0.46724865282639028</v>
      </c>
      <c r="BL92" s="144">
        <f t="shared" si="280"/>
        <v>467.2486528263903</v>
      </c>
      <c r="BM92" s="150">
        <f t="shared" si="213"/>
        <v>0.64858499999999997</v>
      </c>
      <c r="BN92" s="150">
        <f t="shared" si="214"/>
        <v>9.6515624999999994E-2</v>
      </c>
      <c r="BO92" s="456"/>
      <c r="BQ92" s="144">
        <f t="shared" si="281"/>
        <v>745.10062499999992</v>
      </c>
      <c r="BR92" s="456">
        <f t="shared" si="215"/>
        <v>7.653883794237753E-3</v>
      </c>
      <c r="BS92" s="456">
        <f t="shared" si="216"/>
        <v>6.6146445694736794E-2</v>
      </c>
      <c r="BT92" s="456">
        <f t="shared" si="217"/>
        <v>5.5083891339792359E-4</v>
      </c>
      <c r="BU92" s="456">
        <f t="shared" si="218"/>
        <v>0.17435572203310459</v>
      </c>
      <c r="BV92" s="456">
        <f t="shared" si="219"/>
        <v>0.26814612909209212</v>
      </c>
      <c r="BW92" s="538">
        <f t="shared" si="220"/>
        <v>1.124645449933453E-3</v>
      </c>
      <c r="BX92" s="144">
        <f t="shared" si="282"/>
        <v>269.27077454202561</v>
      </c>
      <c r="BY92" s="150">
        <f t="shared" si="283"/>
        <v>1.4816200523684155</v>
      </c>
      <c r="BZ92" s="5">
        <f t="shared" si="284"/>
        <v>6.9600000000000009</v>
      </c>
      <c r="CA92" s="150">
        <f t="shared" si="285"/>
        <v>0.82448629016977315</v>
      </c>
      <c r="CB92" s="5">
        <f t="shared" si="286"/>
        <v>82.448629016977321</v>
      </c>
      <c r="CC92">
        <f t="shared" si="287"/>
        <v>87.000000000000014</v>
      </c>
      <c r="CE92" s="59">
        <f t="shared" si="221"/>
        <v>-50</v>
      </c>
      <c r="CF92">
        <f t="shared" si="222"/>
        <v>-50</v>
      </c>
      <c r="CG92" s="150">
        <f t="shared" si="223"/>
        <v>0.82883202513712817</v>
      </c>
      <c r="CH92" s="150">
        <f t="shared" si="224"/>
        <v>0.44965289283354887</v>
      </c>
      <c r="CI92" s="147">
        <v>87</v>
      </c>
      <c r="CJ92" s="188">
        <f t="shared" si="309"/>
        <v>1.044</v>
      </c>
      <c r="CK92" s="188">
        <f t="shared" si="288"/>
        <v>0.2175</v>
      </c>
      <c r="CL92" s="188">
        <f t="shared" si="225"/>
        <v>5.2200000000000006</v>
      </c>
      <c r="CM92" s="188">
        <f t="shared" si="310"/>
        <v>1.74</v>
      </c>
      <c r="CN92" s="465">
        <f t="shared" si="289"/>
        <v>48</v>
      </c>
      <c r="CO92" s="379">
        <f t="shared" si="226"/>
        <v>5.7</v>
      </c>
      <c r="CP92" s="379">
        <f t="shared" si="227"/>
        <v>53.7</v>
      </c>
      <c r="CQ92" s="379"/>
      <c r="CR92" s="188">
        <f t="shared" si="228"/>
        <v>0.10112359550561799</v>
      </c>
      <c r="CS92" s="149">
        <f t="shared" si="290"/>
        <v>9.1011235955056193</v>
      </c>
      <c r="CT92" s="149">
        <f t="shared" si="229"/>
        <v>4.0449438202247192</v>
      </c>
      <c r="CU92" s="188">
        <f t="shared" si="230"/>
        <v>1.8202247191011238</v>
      </c>
      <c r="CV92" s="188">
        <f t="shared" si="231"/>
        <v>1.1376404494382024</v>
      </c>
      <c r="CW92" s="379">
        <f t="shared" si="232"/>
        <v>5</v>
      </c>
      <c r="CX92" s="188">
        <f t="shared" si="233"/>
        <v>2.867777777777778</v>
      </c>
      <c r="CY92" s="188">
        <f t="shared" si="234"/>
        <v>0.71694444444444461</v>
      </c>
      <c r="CZ92" s="188">
        <f t="shared" si="235"/>
        <v>6.037426900584796</v>
      </c>
      <c r="DA92" s="172">
        <f t="shared" si="236"/>
        <v>350</v>
      </c>
      <c r="DB92" s="379">
        <f t="shared" si="291"/>
        <v>148.0522685114037</v>
      </c>
      <c r="DD92" s="188">
        <f t="shared" si="237"/>
        <v>1.2130885873902635</v>
      </c>
      <c r="DE92" s="150">
        <f t="shared" si="238"/>
        <v>2.5538707102952913</v>
      </c>
      <c r="DF92" s="150">
        <f t="shared" si="239"/>
        <v>0.54216249715765974</v>
      </c>
      <c r="DG92" s="150"/>
      <c r="DH92" s="150">
        <f t="shared" si="240"/>
        <v>2.1052631578947367</v>
      </c>
      <c r="DI92" s="314">
        <f t="shared" si="241"/>
        <v>991.80000000000007</v>
      </c>
      <c r="DJ92" s="456">
        <f t="shared" si="242"/>
        <v>0.36842105263157893</v>
      </c>
      <c r="DL92" s="150">
        <f t="shared" si="243"/>
        <v>1.820517979665599</v>
      </c>
      <c r="DM92" s="150">
        <f t="shared" si="244"/>
        <v>2.867777777777778</v>
      </c>
      <c r="DN92" s="150">
        <f t="shared" si="245"/>
        <v>2.5835390946502059</v>
      </c>
      <c r="DP92" s="314">
        <f t="shared" si="246"/>
        <v>1044</v>
      </c>
      <c r="DQ92" s="144">
        <f t="shared" si="247"/>
        <v>148.0522685114037</v>
      </c>
      <c r="DS92">
        <f>IF(CL92&gt;CS92, "",DP92)</f>
        <v>1044</v>
      </c>
      <c r="DT92">
        <f>IF(CL92&gt;CS92, "",DQ92)</f>
        <v>148.0522685114037</v>
      </c>
      <c r="DV92" s="5">
        <f t="shared" si="293"/>
        <v>6.7543713450292397</v>
      </c>
      <c r="DW92" s="5">
        <f t="shared" si="249"/>
        <v>0.71694444444444461</v>
      </c>
      <c r="DX92" s="5">
        <f t="shared" si="294"/>
        <v>6.0374269005847951</v>
      </c>
      <c r="DY92" s="150">
        <f t="shared" si="295"/>
        <v>0.10614525139664807</v>
      </c>
      <c r="EA92" s="5">
        <f t="shared" si="250"/>
        <v>14.969800000000003</v>
      </c>
      <c r="EB92" s="5">
        <f t="shared" si="251"/>
        <v>1.9491927083333336</v>
      </c>
      <c r="EC92" s="5">
        <f t="shared" si="252"/>
        <v>0.27357090643274851</v>
      </c>
      <c r="ED92" s="5"/>
      <c r="EE92" s="150">
        <f t="shared" si="296"/>
        <v>0.53943007076975336</v>
      </c>
      <c r="EF92" s="150">
        <f t="shared" si="253"/>
        <v>1.5653748197544752</v>
      </c>
      <c r="EG92" s="150">
        <f t="shared" si="254"/>
        <v>0.34990731265100039</v>
      </c>
      <c r="EH92" s="150"/>
      <c r="EI92" s="456">
        <f t="shared" si="255"/>
        <v>5.8196960250132225E-3</v>
      </c>
      <c r="EJ92" s="456">
        <f t="shared" si="256"/>
        <v>0.45600000000000002</v>
      </c>
      <c r="EK92" s="456">
        <f t="shared" si="257"/>
        <v>1.8506533563925464E-2</v>
      </c>
      <c r="EL92" s="456">
        <f t="shared" si="258"/>
        <v>4.269368461836498E-2</v>
      </c>
      <c r="EM92">
        <f t="shared" si="259"/>
        <v>2.1600000000000001E-2</v>
      </c>
      <c r="EN92" s="144">
        <f t="shared" si="297"/>
        <v>40.10653356392546</v>
      </c>
      <c r="EO92">
        <f t="shared" si="260"/>
        <v>0.5469475291767355</v>
      </c>
      <c r="EP92" s="144">
        <f t="shared" si="298"/>
        <v>546.94752917673554</v>
      </c>
      <c r="EQ92" s="150">
        <f t="shared" si="261"/>
        <v>0.64858499999999997</v>
      </c>
      <c r="ER92" s="150">
        <f t="shared" si="262"/>
        <v>9.6515624999999994E-2</v>
      </c>
      <c r="ES92" s="456"/>
      <c r="EU92" s="144">
        <f t="shared" si="299"/>
        <v>745.10062499999992</v>
      </c>
      <c r="EV92" s="456">
        <f t="shared" si="263"/>
        <v>8.7295440375198333E-3</v>
      </c>
      <c r="EW92" s="456">
        <f t="shared" si="300"/>
        <v>7.3511949789640679E-2</v>
      </c>
      <c r="EX92" s="456">
        <f t="shared" si="264"/>
        <v>6.121756372332247E-4</v>
      </c>
      <c r="EY92" s="456">
        <f t="shared" si="265"/>
        <v>0.18572544499675728</v>
      </c>
      <c r="EZ92" s="456">
        <f t="shared" si="266"/>
        <v>0.29038877719354661</v>
      </c>
      <c r="FA92" s="538">
        <f t="shared" si="267"/>
        <v>1.2176039726877717E-3</v>
      </c>
      <c r="FB92" s="144">
        <f t="shared" si="301"/>
        <v>291.60638116623437</v>
      </c>
      <c r="FC92" s="150">
        <f t="shared" si="302"/>
        <v>1.5836545353429694</v>
      </c>
      <c r="FD92" s="5">
        <f t="shared" si="303"/>
        <v>6.9600000000000009</v>
      </c>
      <c r="FE92" s="150">
        <f t="shared" si="304"/>
        <v>0.81463968038597712</v>
      </c>
      <c r="FF92" s="5">
        <f t="shared" si="305"/>
        <v>81.463968038597713</v>
      </c>
      <c r="FG92">
        <f t="shared" si="306"/>
        <v>87.000000000000014</v>
      </c>
      <c r="FI92" s="59">
        <f t="shared" si="268"/>
        <v>-50</v>
      </c>
      <c r="FJ92">
        <f t="shared" si="269"/>
        <v>-50</v>
      </c>
      <c r="FL92">
        <f t="shared" si="270"/>
        <v>0.82883202513712817</v>
      </c>
    </row>
    <row r="93" spans="5:168">
      <c r="E93" s="147">
        <v>88</v>
      </c>
      <c r="F93" s="188">
        <f t="shared" si="307"/>
        <v>1.056</v>
      </c>
      <c r="G93" s="188">
        <f t="shared" si="271"/>
        <v>0.22</v>
      </c>
      <c r="H93" s="188">
        <f t="shared" si="176"/>
        <v>5.28</v>
      </c>
      <c r="I93" s="188">
        <f t="shared" si="308"/>
        <v>1.76</v>
      </c>
      <c r="J93" s="465">
        <f t="shared" si="177"/>
        <v>47.89981551701328</v>
      </c>
      <c r="K93" s="379">
        <f t="shared" si="178"/>
        <v>5.7382224612939625</v>
      </c>
      <c r="L93" s="149">
        <f t="shared" si="179"/>
        <v>53.638037978307246</v>
      </c>
      <c r="M93" s="379"/>
      <c r="N93" s="188">
        <f t="shared" si="180"/>
        <v>0.10698046903980089</v>
      </c>
      <c r="O93" s="149">
        <f t="shared" si="272"/>
        <v>9.6081463704937757</v>
      </c>
      <c r="P93" s="149">
        <f t="shared" si="181"/>
        <v>4.2702872757750114</v>
      </c>
      <c r="Q93" s="188">
        <f t="shared" si="182"/>
        <v>1.9216292740987551</v>
      </c>
      <c r="R93" s="188">
        <f t="shared" si="183"/>
        <v>1.201018296311722</v>
      </c>
      <c r="S93" s="379">
        <f t="shared" si="184"/>
        <v>5</v>
      </c>
      <c r="T93" s="188">
        <f t="shared" si="185"/>
        <v>2.7476683828499238</v>
      </c>
      <c r="U93" s="188">
        <f t="shared" si="186"/>
        <v>0.68835381176964927</v>
      </c>
      <c r="V93" s="188">
        <f t="shared" si="187"/>
        <v>5.7460338661676653</v>
      </c>
      <c r="W93" s="172">
        <f t="shared" si="188"/>
        <v>350</v>
      </c>
      <c r="X93" s="379">
        <f t="shared" si="273"/>
        <v>150.72981087998585</v>
      </c>
      <c r="Z93" s="188">
        <f t="shared" si="189"/>
        <v>1.2200820787928603</v>
      </c>
      <c r="AA93" s="150">
        <f t="shared" si="190"/>
        <v>2.5514843741719977</v>
      </c>
      <c r="AB93" s="150">
        <f t="shared" si="191"/>
        <v>0.54477856286827253</v>
      </c>
      <c r="AC93" s="150"/>
      <c r="AD93" s="150">
        <f t="shared" si="192"/>
        <v>2.0912399407558024</v>
      </c>
      <c r="AE93" s="314">
        <f t="shared" si="193"/>
        <v>1009.9271531877372</v>
      </c>
      <c r="AF93" s="456">
        <f t="shared" si="194"/>
        <v>0.36596698963226543</v>
      </c>
      <c r="AH93" s="150">
        <f t="shared" si="195"/>
        <v>1.8309508328682538</v>
      </c>
      <c r="AI93" s="150">
        <f t="shared" si="196"/>
        <v>2.7476683828499238</v>
      </c>
      <c r="AJ93" s="150">
        <f t="shared" si="197"/>
        <v>2.494569172481425</v>
      </c>
      <c r="AL93" s="314">
        <f t="shared" si="198"/>
        <v>1056</v>
      </c>
      <c r="AM93" s="144">
        <f t="shared" si="199"/>
        <v>150.72981087998585</v>
      </c>
      <c r="AO93">
        <f t="shared" si="274"/>
        <v>1056</v>
      </c>
      <c r="AP93">
        <f t="shared" si="200"/>
        <v>150.72981087998585</v>
      </c>
      <c r="AR93" s="5">
        <f t="shared" si="275"/>
        <v>6.6343876779373154</v>
      </c>
      <c r="AS93" s="5">
        <f t="shared" si="201"/>
        <v>0.68835381176964927</v>
      </c>
      <c r="AT93" s="5">
        <f t="shared" si="276"/>
        <v>5.9460338661676664</v>
      </c>
      <c r="AU93" s="150">
        <f t="shared" si="277"/>
        <v>0.10375543986655661</v>
      </c>
      <c r="AW93" s="5">
        <f t="shared" si="202"/>
        <v>14.538032504574995</v>
      </c>
      <c r="AX93" s="5">
        <f t="shared" si="203"/>
        <v>1.8929729823665356</v>
      </c>
      <c r="AY93" s="5">
        <f t="shared" si="204"/>
        <v>0.27309655296944924</v>
      </c>
      <c r="AZ93" s="5"/>
      <c r="BA93" s="150">
        <f t="shared" si="278"/>
        <v>0.51098614764471839</v>
      </c>
      <c r="BB93" s="150">
        <f t="shared" si="205"/>
        <v>1.5018167900755788</v>
      </c>
      <c r="BC93" s="150">
        <f t="shared" si="206"/>
        <v>0.33570022366395291</v>
      </c>
      <c r="BD93" s="150"/>
      <c r="BE93" s="456">
        <f t="shared" si="207"/>
        <v>5.2221368616957985E-3</v>
      </c>
      <c r="BF93" s="456">
        <f t="shared" si="208"/>
        <v>0.41652169412298279</v>
      </c>
      <c r="BG93" s="456">
        <f t="shared" si="209"/>
        <v>0.18049825335164058</v>
      </c>
      <c r="BH93" s="456">
        <f t="shared" si="210"/>
        <v>4.3365556217492933E-2</v>
      </c>
      <c r="BI93">
        <f t="shared" si="211"/>
        <v>2.1554916982655974E-2</v>
      </c>
      <c r="BJ93" s="144">
        <f t="shared" si="279"/>
        <v>202.05317033429654</v>
      </c>
      <c r="BK93">
        <f t="shared" si="212"/>
        <v>0.46709893103491534</v>
      </c>
      <c r="BL93" s="144">
        <f t="shared" si="280"/>
        <v>467.09893103491532</v>
      </c>
      <c r="BM93" s="150">
        <f t="shared" si="213"/>
        <v>0.65603999999999996</v>
      </c>
      <c r="BN93" s="150">
        <f t="shared" si="214"/>
        <v>9.762499999999999E-2</v>
      </c>
      <c r="BO93" s="456"/>
      <c r="BQ93" s="144">
        <f t="shared" si="281"/>
        <v>753.66499999999996</v>
      </c>
      <c r="BR93" s="456">
        <f t="shared" si="215"/>
        <v>7.8332052925436969E-3</v>
      </c>
      <c r="BS93" s="456">
        <f t="shared" si="216"/>
        <v>6.7663610128587445E-2</v>
      </c>
      <c r="BT93" s="456">
        <f t="shared" si="217"/>
        <v>5.6347320084014008E-4</v>
      </c>
      <c r="BU93" s="456">
        <f t="shared" si="218"/>
        <v>0.17453345298715073</v>
      </c>
      <c r="BV93" s="456">
        <f t="shared" si="219"/>
        <v>0.27049411974385618</v>
      </c>
      <c r="BW93" s="538">
        <f t="shared" si="220"/>
        <v>1.1379620710468298E-3</v>
      </c>
      <c r="BX93" s="144">
        <f t="shared" si="282"/>
        <v>271.63208181490302</v>
      </c>
      <c r="BY93" s="150">
        <f t="shared" si="283"/>
        <v>1.4923960128498184</v>
      </c>
      <c r="BZ93" s="5">
        <f t="shared" si="284"/>
        <v>7.04</v>
      </c>
      <c r="CA93" s="150">
        <f t="shared" si="285"/>
        <v>0.82509062980641479</v>
      </c>
      <c r="CB93" s="5">
        <f t="shared" si="286"/>
        <v>82.509062980641474</v>
      </c>
      <c r="CC93">
        <f t="shared" si="287"/>
        <v>88.000000000000014</v>
      </c>
      <c r="CE93" s="59">
        <f t="shared" si="221"/>
        <v>-50</v>
      </c>
      <c r="CF93">
        <f t="shared" si="222"/>
        <v>-50</v>
      </c>
      <c r="CG93" s="150">
        <f t="shared" si="223"/>
        <v>0.82883202513712817</v>
      </c>
      <c r="CH93" s="150">
        <f t="shared" si="224"/>
        <v>0.44965289283354892</v>
      </c>
      <c r="CI93" s="147">
        <v>88</v>
      </c>
      <c r="CJ93" s="188">
        <f t="shared" si="309"/>
        <v>1.056</v>
      </c>
      <c r="CK93" s="188">
        <f t="shared" si="288"/>
        <v>0.22</v>
      </c>
      <c r="CL93" s="188">
        <f t="shared" si="225"/>
        <v>5.28</v>
      </c>
      <c r="CM93" s="188">
        <f t="shared" si="310"/>
        <v>1.76</v>
      </c>
      <c r="CN93" s="465">
        <f t="shared" si="289"/>
        <v>48</v>
      </c>
      <c r="CO93" s="379">
        <f t="shared" si="226"/>
        <v>5.7</v>
      </c>
      <c r="CP93" s="379">
        <f t="shared" si="227"/>
        <v>53.7</v>
      </c>
      <c r="CQ93" s="379"/>
      <c r="CR93" s="188">
        <f t="shared" si="228"/>
        <v>0.10112359550561799</v>
      </c>
      <c r="CS93" s="149">
        <f t="shared" si="290"/>
        <v>9.1011235955056193</v>
      </c>
      <c r="CT93" s="149">
        <f t="shared" si="229"/>
        <v>4.0449438202247192</v>
      </c>
      <c r="CU93" s="188">
        <f t="shared" si="230"/>
        <v>1.8202247191011238</v>
      </c>
      <c r="CV93" s="188">
        <f t="shared" si="231"/>
        <v>1.1376404494382024</v>
      </c>
      <c r="CW93" s="379">
        <f t="shared" si="232"/>
        <v>5</v>
      </c>
      <c r="CX93" s="188">
        <f t="shared" si="233"/>
        <v>2.9007407407407406</v>
      </c>
      <c r="CY93" s="188">
        <f t="shared" si="234"/>
        <v>0.72518518518518527</v>
      </c>
      <c r="CZ93" s="188">
        <f t="shared" si="235"/>
        <v>6.1068226120857698</v>
      </c>
      <c r="DA93" s="172">
        <f t="shared" si="236"/>
        <v>350</v>
      </c>
      <c r="DB93" s="379">
        <f t="shared" si="291"/>
        <v>146.36985636922867</v>
      </c>
      <c r="DD93" s="188">
        <f t="shared" si="237"/>
        <v>1.2130885873902635</v>
      </c>
      <c r="DE93" s="150">
        <f t="shared" si="238"/>
        <v>2.5538707102952913</v>
      </c>
      <c r="DF93" s="150">
        <f t="shared" si="239"/>
        <v>0.54216249715765974</v>
      </c>
      <c r="DG93" s="150"/>
      <c r="DH93" s="150">
        <f t="shared" si="240"/>
        <v>2.1052631578947367</v>
      </c>
      <c r="DI93" s="314">
        <f t="shared" si="241"/>
        <v>1003.2000000000002</v>
      </c>
      <c r="DJ93" s="456">
        <f t="shared" si="242"/>
        <v>0.36842105263157893</v>
      </c>
      <c r="DL93" s="150">
        <f t="shared" si="243"/>
        <v>1.8309508328682538</v>
      </c>
      <c r="DM93" s="150">
        <f t="shared" si="244"/>
        <v>2.9007407407407406</v>
      </c>
      <c r="DN93" s="150">
        <f t="shared" si="245"/>
        <v>2.6079561042524002</v>
      </c>
      <c r="DP93" s="314">
        <f t="shared" si="246"/>
        <v>1056</v>
      </c>
      <c r="DQ93" s="144">
        <f t="shared" si="247"/>
        <v>146.36985636922867</v>
      </c>
      <c r="DS93">
        <f>IF(CL93&gt;CS93, "",DP93)</f>
        <v>1056</v>
      </c>
      <c r="DT93">
        <f>IF(CL93&gt;CS93, "",DQ93)</f>
        <v>146.36985636922867</v>
      </c>
      <c r="DV93" s="5">
        <f t="shared" si="293"/>
        <v>6.832007797270955</v>
      </c>
      <c r="DW93" s="5">
        <f t="shared" si="249"/>
        <v>0.72518518518518527</v>
      </c>
      <c r="DX93" s="5">
        <f t="shared" si="294"/>
        <v>6.1068226120857698</v>
      </c>
      <c r="DY93" s="150">
        <f t="shared" si="295"/>
        <v>0.10614525139664806</v>
      </c>
      <c r="EA93" s="5">
        <f t="shared" si="250"/>
        <v>15.315911111111113</v>
      </c>
      <c r="EB93" s="5">
        <f t="shared" si="251"/>
        <v>1.9942592592592594</v>
      </c>
      <c r="EC93" s="5">
        <f t="shared" si="252"/>
        <v>0.2798960363872644</v>
      </c>
      <c r="ED93" s="5"/>
      <c r="EE93" s="150">
        <f t="shared" si="296"/>
        <v>0.54563041641078491</v>
      </c>
      <c r="EF93" s="150">
        <f t="shared" si="253"/>
        <v>1.5833676337746414</v>
      </c>
      <c r="EG93" s="150">
        <f t="shared" si="254"/>
        <v>0.35392923578491986</v>
      </c>
      <c r="EH93" s="150"/>
      <c r="EI93" s="456">
        <f t="shared" si="255"/>
        <v>5.9542510262521314E-3</v>
      </c>
      <c r="EJ93" s="456">
        <f t="shared" si="256"/>
        <v>0.45600000000000007</v>
      </c>
      <c r="EK93" s="456">
        <f t="shared" si="257"/>
        <v>1.8296232046153584E-2</v>
      </c>
      <c r="EL93" s="456">
        <f t="shared" si="258"/>
        <v>4.2208529111338107E-2</v>
      </c>
      <c r="EM93">
        <f t="shared" si="259"/>
        <v>2.1600000000000001E-2</v>
      </c>
      <c r="EN93" s="144">
        <f t="shared" si="297"/>
        <v>39.896232046153585</v>
      </c>
      <c r="EO93">
        <f t="shared" si="260"/>
        <v>0.54643972465644974</v>
      </c>
      <c r="EP93" s="144">
        <f t="shared" si="298"/>
        <v>546.4397246564497</v>
      </c>
      <c r="EQ93" s="150">
        <f t="shared" si="261"/>
        <v>0.65603999999999996</v>
      </c>
      <c r="ER93" s="150">
        <f t="shared" si="262"/>
        <v>9.762499999999999E-2</v>
      </c>
      <c r="ES93" s="456"/>
      <c r="EU93" s="144">
        <f t="shared" si="299"/>
        <v>753.66499999999996</v>
      </c>
      <c r="EV93" s="456">
        <f t="shared" si="263"/>
        <v>8.9313765393781962E-3</v>
      </c>
      <c r="EW93" s="456">
        <f t="shared" si="300"/>
        <v>7.521159191055321E-2</v>
      </c>
      <c r="EX93" s="456">
        <f t="shared" si="264"/>
        <v>6.2632951971648698E-4</v>
      </c>
      <c r="EY93" s="456">
        <f t="shared" si="265"/>
        <v>0.18572544499675719</v>
      </c>
      <c r="EZ93" s="456">
        <f t="shared" si="266"/>
        <v>0.29282518128273433</v>
      </c>
      <c r="FA93" s="538">
        <f t="shared" si="267"/>
        <v>1.2315994206497001E-3</v>
      </c>
      <c r="FB93" s="144">
        <f t="shared" si="301"/>
        <v>294.05678070338405</v>
      </c>
      <c r="FC93" s="150">
        <f t="shared" si="302"/>
        <v>1.5941615053598339</v>
      </c>
      <c r="FD93" s="5">
        <f t="shared" si="303"/>
        <v>7.04</v>
      </c>
      <c r="FE93" s="150">
        <f t="shared" si="304"/>
        <v>0.81536579963552613</v>
      </c>
      <c r="FF93" s="5">
        <f t="shared" si="305"/>
        <v>81.536579963552612</v>
      </c>
      <c r="FG93">
        <f t="shared" si="306"/>
        <v>88.000000000000014</v>
      </c>
      <c r="FI93" s="59">
        <f t="shared" si="268"/>
        <v>-50</v>
      </c>
      <c r="FJ93">
        <f t="shared" si="269"/>
        <v>-50</v>
      </c>
      <c r="FL93">
        <f t="shared" si="270"/>
        <v>0.82883202513712817</v>
      </c>
    </row>
    <row r="94" spans="5:168">
      <c r="E94" s="147">
        <v>89</v>
      </c>
      <c r="F94" s="188">
        <f t="shared" si="307"/>
        <v>1.0680000000000001</v>
      </c>
      <c r="G94" s="188">
        <f t="shared" si="271"/>
        <v>0.2225</v>
      </c>
      <c r="H94" s="188">
        <f t="shared" si="176"/>
        <v>5.34</v>
      </c>
      <c r="I94" s="188">
        <f t="shared" si="308"/>
        <v>1.78</v>
      </c>
      <c r="J94" s="465">
        <f t="shared" si="177"/>
        <v>47.898677056979345</v>
      </c>
      <c r="K94" s="379">
        <f t="shared" si="178"/>
        <v>5.7386568074450297</v>
      </c>
      <c r="L94" s="149">
        <f t="shared" si="179"/>
        <v>53.637333864424377</v>
      </c>
      <c r="M94" s="379"/>
      <c r="N94" s="188">
        <f t="shared" si="180"/>
        <v>0.10698997123813539</v>
      </c>
      <c r="O94" s="149">
        <f t="shared" si="272"/>
        <v>9.608771401258041</v>
      </c>
      <c r="P94" s="149">
        <f t="shared" si="181"/>
        <v>4.270565067225796</v>
      </c>
      <c r="Q94" s="188">
        <f t="shared" si="182"/>
        <v>1.9217542802516081</v>
      </c>
      <c r="R94" s="188">
        <f t="shared" si="183"/>
        <v>1.2010964251572551</v>
      </c>
      <c r="S94" s="379">
        <f t="shared" si="184"/>
        <v>5</v>
      </c>
      <c r="T94" s="188">
        <f t="shared" si="185"/>
        <v>2.7787111260139112</v>
      </c>
      <c r="U94" s="188">
        <f t="shared" si="186"/>
        <v>0.69614727505941176</v>
      </c>
      <c r="V94" s="188">
        <f t="shared" si="187"/>
        <v>5.8105118725530867</v>
      </c>
      <c r="W94" s="172">
        <f t="shared" si="188"/>
        <v>350</v>
      </c>
      <c r="X94" s="379">
        <f t="shared" si="273"/>
        <v>149.10553496012835</v>
      </c>
      <c r="Z94" s="188">
        <f t="shared" si="189"/>
        <v>1.220161447778799</v>
      </c>
      <c r="AA94" s="150">
        <f t="shared" si="190"/>
        <v>2.5514572250338987</v>
      </c>
      <c r="AB94" s="150">
        <f t="shared" si="191"/>
        <v>0.54480820478753178</v>
      </c>
      <c r="AC94" s="150"/>
      <c r="AD94" s="150">
        <f t="shared" si="192"/>
        <v>2.0910816594628616</v>
      </c>
      <c r="AE94" s="314">
        <f t="shared" si="193"/>
        <v>1021.4809117252154</v>
      </c>
      <c r="AF94" s="456">
        <f t="shared" si="194"/>
        <v>0.36593929040600076</v>
      </c>
      <c r="AH94" s="150">
        <f t="shared" si="195"/>
        <v>1.841324574993825</v>
      </c>
      <c r="AI94" s="150">
        <f t="shared" si="196"/>
        <v>2.7787111260139112</v>
      </c>
      <c r="AJ94" s="150">
        <f t="shared" si="197"/>
        <v>2.5175637970473419</v>
      </c>
      <c r="AL94" s="314">
        <f t="shared" si="198"/>
        <v>1068</v>
      </c>
      <c r="AM94" s="144">
        <f t="shared" si="199"/>
        <v>149.10553496012835</v>
      </c>
      <c r="AO94">
        <f t="shared" si="274"/>
        <v>1068</v>
      </c>
      <c r="AP94">
        <f t="shared" si="200"/>
        <v>149.10553496012835</v>
      </c>
      <c r="AR94" s="5">
        <f t="shared" si="275"/>
        <v>6.7066591476124993</v>
      </c>
      <c r="AS94" s="5">
        <f t="shared" si="201"/>
        <v>0.69614727505941176</v>
      </c>
      <c r="AT94" s="5">
        <f t="shared" si="276"/>
        <v>6.0105118725530877</v>
      </c>
      <c r="AU94" s="150">
        <f t="shared" si="277"/>
        <v>0.1037994118587692</v>
      </c>
      <c r="AW94" s="5">
        <f t="shared" si="202"/>
        <v>14.869705795269036</v>
      </c>
      <c r="AX94" s="5">
        <f t="shared" si="203"/>
        <v>1.9361596087589887</v>
      </c>
      <c r="AY94" s="5">
        <f t="shared" si="204"/>
        <v>0.27920163432743439</v>
      </c>
      <c r="AZ94" s="5"/>
      <c r="BA94" s="150">
        <f t="shared" si="278"/>
        <v>0.51686868286808074</v>
      </c>
      <c r="BB94" s="150">
        <f t="shared" si="205"/>
        <v>1.5187468316393995</v>
      </c>
      <c r="BC94" s="150">
        <f t="shared" si="206"/>
        <v>0.33948458589586583</v>
      </c>
      <c r="BD94" s="150"/>
      <c r="BE94" s="456">
        <f t="shared" si="207"/>
        <v>5.3430647065956923E-3</v>
      </c>
      <c r="BF94" s="456">
        <f t="shared" si="208"/>
        <v>0.41668284396073835</v>
      </c>
      <c r="BG94" s="456">
        <f t="shared" si="209"/>
        <v>0.1785489466615833</v>
      </c>
      <c r="BH94" s="456">
        <f t="shared" si="210"/>
        <v>4.2897119426561221E-2</v>
      </c>
      <c r="BI94">
        <f t="shared" si="211"/>
        <v>2.1554404675640706E-2</v>
      </c>
      <c r="BJ94" s="144">
        <f t="shared" si="279"/>
        <v>200.10335133722401</v>
      </c>
      <c r="BK94">
        <f t="shared" si="212"/>
        <v>0.46695846502090654</v>
      </c>
      <c r="BL94" s="144">
        <f t="shared" si="280"/>
        <v>466.95846502090654</v>
      </c>
      <c r="BM94" s="150">
        <f t="shared" si="213"/>
        <v>0.66349500000000006</v>
      </c>
      <c r="BN94" s="150">
        <f t="shared" si="214"/>
        <v>9.8734374999999999E-2</v>
      </c>
      <c r="BO94" s="456"/>
      <c r="BQ94" s="144">
        <f t="shared" si="281"/>
        <v>762.22937500000012</v>
      </c>
      <c r="BR94" s="456">
        <f t="shared" si="215"/>
        <v>8.0145970598935381E-3</v>
      </c>
      <c r="BS94" s="456">
        <f t="shared" si="216"/>
        <v>6.9197758158441425E-2</v>
      </c>
      <c r="BT94" s="456">
        <f t="shared" si="217"/>
        <v>5.762489203044376E-4</v>
      </c>
      <c r="BU94" s="456">
        <f t="shared" si="218"/>
        <v>0.17470805042264709</v>
      </c>
      <c r="BV94" s="456">
        <f t="shared" si="219"/>
        <v>0.27286397618070524</v>
      </c>
      <c r="BW94" s="538">
        <f t="shared" si="220"/>
        <v>1.1512789530361296E-3</v>
      </c>
      <c r="BX94" s="144">
        <f t="shared" si="282"/>
        <v>274.01525513374139</v>
      </c>
      <c r="BY94" s="150">
        <f t="shared" si="283"/>
        <v>1.503203095154648</v>
      </c>
      <c r="BZ94" s="5">
        <f t="shared" si="284"/>
        <v>7.12</v>
      </c>
      <c r="CA94" s="150">
        <f t="shared" si="285"/>
        <v>0.82567926574763228</v>
      </c>
      <c r="CB94" s="5">
        <f t="shared" si="286"/>
        <v>82.567926574763234</v>
      </c>
      <c r="CC94">
        <f t="shared" si="287"/>
        <v>89.000000000000014</v>
      </c>
      <c r="CE94" s="59">
        <f t="shared" si="221"/>
        <v>-50</v>
      </c>
      <c r="CF94">
        <f t="shared" si="222"/>
        <v>-50</v>
      </c>
      <c r="CG94" s="150">
        <f t="shared" si="223"/>
        <v>0.82883202513712817</v>
      </c>
      <c r="CH94" s="150">
        <f t="shared" si="224"/>
        <v>0.44965289283354892</v>
      </c>
      <c r="CI94" s="147">
        <v>89</v>
      </c>
      <c r="CJ94" s="188">
        <f t="shared" si="309"/>
        <v>1.0680000000000001</v>
      </c>
      <c r="CK94" s="188">
        <f t="shared" si="288"/>
        <v>0.2225</v>
      </c>
      <c r="CL94" s="188">
        <f t="shared" si="225"/>
        <v>5.34</v>
      </c>
      <c r="CM94" s="188">
        <f t="shared" si="310"/>
        <v>1.78</v>
      </c>
      <c r="CN94" s="465">
        <f t="shared" si="289"/>
        <v>48</v>
      </c>
      <c r="CO94" s="379">
        <f t="shared" si="226"/>
        <v>5.7</v>
      </c>
      <c r="CP94" s="379">
        <f t="shared" si="227"/>
        <v>53.7</v>
      </c>
      <c r="CQ94" s="379"/>
      <c r="CR94" s="188">
        <f t="shared" si="228"/>
        <v>0.10112359550561799</v>
      </c>
      <c r="CS94" s="149">
        <f t="shared" si="290"/>
        <v>9.1011235955056193</v>
      </c>
      <c r="CT94" s="149">
        <f t="shared" si="229"/>
        <v>4.0449438202247192</v>
      </c>
      <c r="CU94" s="188">
        <f t="shared" si="230"/>
        <v>1.8202247191011238</v>
      </c>
      <c r="CV94" s="188">
        <f t="shared" si="231"/>
        <v>1.1376404494382024</v>
      </c>
      <c r="CW94" s="379">
        <f t="shared" si="232"/>
        <v>5</v>
      </c>
      <c r="CX94" s="188">
        <f t="shared" si="233"/>
        <v>2.9337037037037037</v>
      </c>
      <c r="CY94" s="188">
        <f t="shared" si="234"/>
        <v>0.73342592592592593</v>
      </c>
      <c r="CZ94" s="188">
        <f t="shared" si="235"/>
        <v>6.1762183235867445</v>
      </c>
      <c r="DA94" s="172">
        <f t="shared" si="236"/>
        <v>350</v>
      </c>
      <c r="DB94" s="379">
        <f t="shared" si="291"/>
        <v>144.72525124148453</v>
      </c>
      <c r="DD94" s="188">
        <f t="shared" si="237"/>
        <v>1.2130885873902635</v>
      </c>
      <c r="DE94" s="150">
        <f t="shared" si="238"/>
        <v>2.5538707102952913</v>
      </c>
      <c r="DF94" s="150">
        <f t="shared" si="239"/>
        <v>0.54216249715765974</v>
      </c>
      <c r="DG94" s="150"/>
      <c r="DH94" s="150">
        <f t="shared" si="240"/>
        <v>2.1052631578947367</v>
      </c>
      <c r="DI94" s="314">
        <f t="shared" si="241"/>
        <v>1014.6</v>
      </c>
      <c r="DJ94" s="456">
        <f t="shared" si="242"/>
        <v>0.36842105263157893</v>
      </c>
      <c r="DL94" s="150">
        <f t="shared" si="243"/>
        <v>1.841324574993825</v>
      </c>
      <c r="DM94" s="150">
        <f t="shared" si="244"/>
        <v>2.9337037037037037</v>
      </c>
      <c r="DN94" s="150">
        <f t="shared" si="245"/>
        <v>2.6323731138545954</v>
      </c>
      <c r="DP94" s="314">
        <f t="shared" si="246"/>
        <v>1068</v>
      </c>
      <c r="DQ94" s="144">
        <f t="shared" si="247"/>
        <v>144.72525124148453</v>
      </c>
      <c r="DS94">
        <f>IF(CL94&gt;CS94, "",DP94)</f>
        <v>1068</v>
      </c>
      <c r="DT94">
        <f>IF(CL94&gt;CS94, "",DQ94)</f>
        <v>144.72525124148453</v>
      </c>
      <c r="DV94" s="5">
        <f t="shared" si="293"/>
        <v>6.9096442495126702</v>
      </c>
      <c r="DW94" s="5">
        <f t="shared" si="249"/>
        <v>0.73342592592592593</v>
      </c>
      <c r="DX94" s="5">
        <f t="shared" si="294"/>
        <v>6.1762183235867445</v>
      </c>
      <c r="DY94" s="150">
        <f t="shared" si="295"/>
        <v>0.10614525139664804</v>
      </c>
      <c r="EA94" s="5">
        <f t="shared" si="250"/>
        <v>15.665977777777778</v>
      </c>
      <c r="EB94" s="5">
        <f t="shared" si="251"/>
        <v>2.0398408564814816</v>
      </c>
      <c r="EC94" s="5">
        <f t="shared" si="252"/>
        <v>0.28629345354126051</v>
      </c>
      <c r="ED94" s="5"/>
      <c r="EE94" s="150">
        <f t="shared" si="296"/>
        <v>0.55183076205181647</v>
      </c>
      <c r="EF94" s="150">
        <f t="shared" si="253"/>
        <v>1.6013604477948078</v>
      </c>
      <c r="EG94" s="150">
        <f t="shared" si="254"/>
        <v>0.35795115891883944</v>
      </c>
      <c r="EH94" s="150"/>
      <c r="EI94" s="456">
        <f t="shared" si="255"/>
        <v>6.0903437989337696E-3</v>
      </c>
      <c r="EJ94" s="456">
        <f t="shared" si="256"/>
        <v>0.45600000000000007</v>
      </c>
      <c r="EK94" s="456">
        <f t="shared" si="257"/>
        <v>1.8090656405185566E-2</v>
      </c>
      <c r="EL94" s="456">
        <f t="shared" si="258"/>
        <v>4.1734275975255662E-2</v>
      </c>
      <c r="EM94">
        <f t="shared" si="259"/>
        <v>2.1600000000000001E-2</v>
      </c>
      <c r="EN94" s="144">
        <f t="shared" si="297"/>
        <v>39.690656405185571</v>
      </c>
      <c r="EO94">
        <f t="shared" si="260"/>
        <v>0.54594969407400595</v>
      </c>
      <c r="EP94" s="144">
        <f t="shared" si="298"/>
        <v>545.94969407400595</v>
      </c>
      <c r="EQ94" s="150">
        <f t="shared" si="261"/>
        <v>0.66349500000000006</v>
      </c>
      <c r="ER94" s="150">
        <f t="shared" si="262"/>
        <v>9.8734374999999999E-2</v>
      </c>
      <c r="ES94" s="456"/>
      <c r="EU94" s="144">
        <f t="shared" si="299"/>
        <v>762.22937500000012</v>
      </c>
      <c r="EV94" s="456">
        <f t="shared" si="263"/>
        <v>9.1355156984006536E-3</v>
      </c>
      <c r="EW94" s="456">
        <f t="shared" si="300"/>
        <v>7.6930658512847624E-2</v>
      </c>
      <c r="EX94" s="456">
        <f t="shared" si="264"/>
        <v>6.4064516085670124E-4</v>
      </c>
      <c r="EY94" s="456">
        <f t="shared" si="265"/>
        <v>0.18572544499675739</v>
      </c>
      <c r="EZ94" s="456">
        <f t="shared" si="266"/>
        <v>0.29529019490552977</v>
      </c>
      <c r="FA94" s="538">
        <f t="shared" si="267"/>
        <v>1.2455948686116284E-3</v>
      </c>
      <c r="FB94" s="144">
        <f t="shared" si="301"/>
        <v>296.53578977414139</v>
      </c>
      <c r="FC94" s="150">
        <f t="shared" si="302"/>
        <v>1.6047148588481475</v>
      </c>
      <c r="FD94" s="5">
        <f t="shared" si="303"/>
        <v>7.12</v>
      </c>
      <c r="FE94" s="150">
        <f t="shared" si="304"/>
        <v>0.81607251528447033</v>
      </c>
      <c r="FF94" s="5">
        <f t="shared" si="305"/>
        <v>81.607251528447037</v>
      </c>
      <c r="FG94">
        <f t="shared" si="306"/>
        <v>89.000000000000014</v>
      </c>
      <c r="FI94" s="59">
        <f t="shared" si="268"/>
        <v>-50</v>
      </c>
      <c r="FJ94">
        <f t="shared" si="269"/>
        <v>-50</v>
      </c>
      <c r="FL94">
        <f t="shared" si="270"/>
        <v>0.82883202513712817</v>
      </c>
    </row>
    <row r="95" spans="5:168">
      <c r="E95" s="147">
        <v>90</v>
      </c>
      <c r="F95" s="188">
        <f t="shared" si="307"/>
        <v>1.08</v>
      </c>
      <c r="G95" s="188">
        <f t="shared" si="271"/>
        <v>0.22500000000000001</v>
      </c>
      <c r="H95" s="188">
        <f t="shared" si="176"/>
        <v>5.4</v>
      </c>
      <c r="I95" s="188">
        <f t="shared" si="308"/>
        <v>1.8</v>
      </c>
      <c r="J95" s="465">
        <f t="shared" si="177"/>
        <v>47.897538596945402</v>
      </c>
      <c r="K95" s="379">
        <f t="shared" si="178"/>
        <v>5.7390911535960978</v>
      </c>
      <c r="L95" s="149">
        <f t="shared" si="179"/>
        <v>53.636629750541502</v>
      </c>
      <c r="M95" s="379"/>
      <c r="N95" s="188">
        <f t="shared" si="180"/>
        <v>0.10699947368594981</v>
      </c>
      <c r="O95" s="149">
        <f t="shared" si="272"/>
        <v>9.6093964138605461</v>
      </c>
      <c r="P95" s="149">
        <f t="shared" si="181"/>
        <v>4.2708428506046872</v>
      </c>
      <c r="Q95" s="188">
        <f t="shared" si="182"/>
        <v>1.9218792827721092</v>
      </c>
      <c r="R95" s="188">
        <f t="shared" si="183"/>
        <v>1.2011745517325683</v>
      </c>
      <c r="S95" s="379">
        <f t="shared" si="184"/>
        <v>5</v>
      </c>
      <c r="T95" s="188">
        <f t="shared" si="185"/>
        <v>2.8097498362181557</v>
      </c>
      <c r="U95" s="188">
        <f t="shared" si="186"/>
        <v>0.70394009843270156</v>
      </c>
      <c r="V95" s="188">
        <f t="shared" si="187"/>
        <v>5.8749716866739243</v>
      </c>
      <c r="W95" s="172">
        <f t="shared" si="188"/>
        <v>350</v>
      </c>
      <c r="X95" s="379">
        <f t="shared" si="273"/>
        <v>147.51630227686624</v>
      </c>
      <c r="Z95" s="188">
        <f t="shared" si="189"/>
        <v>1.220240814458482</v>
      </c>
      <c r="AA95" s="150">
        <f t="shared" si="190"/>
        <v>2.5514300751830006</v>
      </c>
      <c r="AB95" s="150">
        <f t="shared" si="191"/>
        <v>0.54483784477065489</v>
      </c>
      <c r="AC95" s="150"/>
      <c r="AD95" s="150">
        <f t="shared" si="192"/>
        <v>2.0909234021280243</v>
      </c>
      <c r="AE95" s="314">
        <f t="shared" si="193"/>
        <v>1033.0364076472977</v>
      </c>
      <c r="AF95" s="456">
        <f t="shared" si="194"/>
        <v>0.3659115953724042</v>
      </c>
      <c r="AH95" s="150">
        <f t="shared" si="195"/>
        <v>1.8516401995451028</v>
      </c>
      <c r="AI95" s="150">
        <f t="shared" si="196"/>
        <v>2.8097498362181557</v>
      </c>
      <c r="AJ95" s="150">
        <f t="shared" si="197"/>
        <v>2.5405554342356709</v>
      </c>
      <c r="AL95" s="314">
        <f t="shared" si="198"/>
        <v>1080</v>
      </c>
      <c r="AM95" s="144">
        <f t="shared" si="199"/>
        <v>147.51630227686624</v>
      </c>
      <c r="AO95">
        <f t="shared" si="274"/>
        <v>1080</v>
      </c>
      <c r="AP95">
        <f t="shared" si="200"/>
        <v>147.51630227686624</v>
      </c>
      <c r="AR95" s="5">
        <f t="shared" si="275"/>
        <v>6.7789117851066258</v>
      </c>
      <c r="AS95" s="5">
        <f t="shared" si="201"/>
        <v>0.70394009843270156</v>
      </c>
      <c r="AT95" s="5">
        <f t="shared" si="276"/>
        <v>6.0749716866739245</v>
      </c>
      <c r="AU95" s="150">
        <f t="shared" si="277"/>
        <v>0.10384264034520538</v>
      </c>
      <c r="AW95" s="5">
        <f t="shared" si="202"/>
        <v>15.205106126146354</v>
      </c>
      <c r="AX95" s="5">
        <f t="shared" si="203"/>
        <v>1.9798315268419733</v>
      </c>
      <c r="AY95" s="5">
        <f t="shared" si="204"/>
        <v>0.28537345958499899</v>
      </c>
      <c r="AZ95" s="5"/>
      <c r="BA95" s="150">
        <f t="shared" si="278"/>
        <v>0.52275101926774303</v>
      </c>
      <c r="BB95" s="150">
        <f t="shared" si="205"/>
        <v>1.5356744726331772</v>
      </c>
      <c r="BC95" s="150">
        <f t="shared" si="206"/>
        <v>0.34326841152976906</v>
      </c>
      <c r="BD95" s="150"/>
      <c r="BE95" s="456">
        <f t="shared" si="207"/>
        <v>5.4653725629092856E-3</v>
      </c>
      <c r="BF95" s="456">
        <f t="shared" si="208"/>
        <v>0.41684099648185829</v>
      </c>
      <c r="BG95" s="456">
        <f t="shared" si="209"/>
        <v>0.17664169454962161</v>
      </c>
      <c r="BH95" s="456">
        <f t="shared" si="210"/>
        <v>4.2438788734752993E-2</v>
      </c>
      <c r="BI95">
        <f t="shared" si="211"/>
        <v>2.155389236862543E-2</v>
      </c>
      <c r="BJ95" s="144">
        <f t="shared" si="279"/>
        <v>198.19558691824705</v>
      </c>
      <c r="BK95">
        <f t="shared" si="212"/>
        <v>0.46682701710795826</v>
      </c>
      <c r="BL95" s="144">
        <f t="shared" si="280"/>
        <v>466.82701710795828</v>
      </c>
      <c r="BM95" s="150">
        <f t="shared" si="213"/>
        <v>0.67094999999999994</v>
      </c>
      <c r="BN95" s="150">
        <f t="shared" si="214"/>
        <v>9.9843749999999995E-2</v>
      </c>
      <c r="BO95" s="456"/>
      <c r="BQ95" s="144">
        <f t="shared" si="281"/>
        <v>770.79374999999993</v>
      </c>
      <c r="BR95" s="456">
        <f t="shared" si="215"/>
        <v>8.1980588443639271E-3</v>
      </c>
      <c r="BS95" s="456">
        <f t="shared" si="216"/>
        <v>7.0748882576915598E-2</v>
      </c>
      <c r="BT95" s="456">
        <f t="shared" si="217"/>
        <v>5.8916601177085449E-4</v>
      </c>
      <c r="BU95" s="456">
        <f t="shared" si="218"/>
        <v>0.17487961348216846</v>
      </c>
      <c r="BV95" s="456">
        <f t="shared" si="219"/>
        <v>0.27525580874522548</v>
      </c>
      <c r="BW95" s="538">
        <f t="shared" si="220"/>
        <v>1.1645960874535524E-3</v>
      </c>
      <c r="BX95" s="144">
        <f t="shared" si="282"/>
        <v>276.42040483267903</v>
      </c>
      <c r="BY95" s="150">
        <f t="shared" si="283"/>
        <v>1.5140411719406373</v>
      </c>
      <c r="BZ95" s="5">
        <f t="shared" si="284"/>
        <v>7.2</v>
      </c>
      <c r="CA95" s="150">
        <f t="shared" si="285"/>
        <v>0.8262526946951001</v>
      </c>
      <c r="CB95" s="5">
        <f t="shared" si="286"/>
        <v>82.625269469510016</v>
      </c>
      <c r="CC95">
        <f t="shared" si="287"/>
        <v>90.000000000000014</v>
      </c>
      <c r="CE95" s="59">
        <f t="shared" si="221"/>
        <v>-50</v>
      </c>
      <c r="CF95">
        <f t="shared" si="222"/>
        <v>-50</v>
      </c>
      <c r="CG95" s="150">
        <f t="shared" si="223"/>
        <v>0.82883202513712817</v>
      </c>
      <c r="CH95" s="150">
        <f t="shared" si="224"/>
        <v>0.44965289283354887</v>
      </c>
      <c r="CI95" s="147">
        <v>90</v>
      </c>
      <c r="CJ95" s="188">
        <f t="shared" si="309"/>
        <v>1.08</v>
      </c>
      <c r="CK95" s="188">
        <f t="shared" si="288"/>
        <v>0.22500000000000001</v>
      </c>
      <c r="CL95" s="188">
        <f t="shared" si="225"/>
        <v>5.4</v>
      </c>
      <c r="CM95" s="188">
        <f t="shared" si="310"/>
        <v>1.8</v>
      </c>
      <c r="CN95" s="465">
        <f t="shared" si="289"/>
        <v>48</v>
      </c>
      <c r="CO95" s="379">
        <f t="shared" si="226"/>
        <v>5.7</v>
      </c>
      <c r="CP95" s="379">
        <f t="shared" si="227"/>
        <v>53.7</v>
      </c>
      <c r="CQ95" s="379"/>
      <c r="CR95" s="188">
        <f t="shared" si="228"/>
        <v>0.10112359550561799</v>
      </c>
      <c r="CS95" s="149">
        <f t="shared" si="290"/>
        <v>9.1011235955056193</v>
      </c>
      <c r="CT95" s="149">
        <f t="shared" si="229"/>
        <v>4.0449438202247192</v>
      </c>
      <c r="CU95" s="188">
        <f t="shared" si="230"/>
        <v>1.8202247191011238</v>
      </c>
      <c r="CV95" s="188">
        <f t="shared" si="231"/>
        <v>1.1376404494382024</v>
      </c>
      <c r="CW95" s="379">
        <f t="shared" si="232"/>
        <v>5</v>
      </c>
      <c r="CX95" s="188">
        <f t="shared" si="233"/>
        <v>2.9666666666666663</v>
      </c>
      <c r="CY95" s="188">
        <f t="shared" si="234"/>
        <v>0.74166666666666659</v>
      </c>
      <c r="CZ95" s="188">
        <f t="shared" si="235"/>
        <v>6.2456140350877192</v>
      </c>
      <c r="DA95" s="172">
        <f t="shared" si="236"/>
        <v>350</v>
      </c>
      <c r="DB95" s="379">
        <f t="shared" si="291"/>
        <v>143.11719289435692</v>
      </c>
      <c r="DD95" s="188">
        <f t="shared" si="237"/>
        <v>1.2130885873902635</v>
      </c>
      <c r="DE95" s="150">
        <f t="shared" si="238"/>
        <v>2.5538707102952913</v>
      </c>
      <c r="DF95" s="150">
        <f t="shared" si="239"/>
        <v>0.54216249715765974</v>
      </c>
      <c r="DG95" s="150"/>
      <c r="DH95" s="150">
        <f t="shared" si="240"/>
        <v>2.1052631578947367</v>
      </c>
      <c r="DI95" s="314">
        <f t="shared" si="241"/>
        <v>1026.0000000000002</v>
      </c>
      <c r="DJ95" s="456">
        <f t="shared" si="242"/>
        <v>0.36842105263157893</v>
      </c>
      <c r="DL95" s="150">
        <f t="shared" si="243"/>
        <v>1.8516401995451028</v>
      </c>
      <c r="DM95" s="150">
        <f t="shared" si="244"/>
        <v>2.9666666666666663</v>
      </c>
      <c r="DN95" s="150">
        <f t="shared" si="245"/>
        <v>2.6567901234567897</v>
      </c>
      <c r="DP95" s="314">
        <f t="shared" si="246"/>
        <v>1080</v>
      </c>
      <c r="DQ95" s="144">
        <f t="shared" si="247"/>
        <v>143.11719289435692</v>
      </c>
      <c r="DS95">
        <f>IF(CL95&gt;CS95, "",DP95)</f>
        <v>1080</v>
      </c>
      <c r="DT95">
        <f>IF(CL95&gt;CS95, "",DQ95)</f>
        <v>143.11719289435692</v>
      </c>
      <c r="DV95" s="5">
        <f t="shared" si="293"/>
        <v>6.9872807017543854</v>
      </c>
      <c r="DW95" s="5">
        <f t="shared" si="249"/>
        <v>0.74166666666666659</v>
      </c>
      <c r="DX95" s="5">
        <f t="shared" si="294"/>
        <v>6.2456140350877192</v>
      </c>
      <c r="DY95" s="150">
        <f t="shared" si="295"/>
        <v>0.10614525139664804</v>
      </c>
      <c r="EA95" s="5">
        <f t="shared" si="250"/>
        <v>16.02</v>
      </c>
      <c r="EB95" s="5">
        <f t="shared" si="251"/>
        <v>2.0859375</v>
      </c>
      <c r="EC95" s="5">
        <f t="shared" si="252"/>
        <v>0.29276315789473678</v>
      </c>
      <c r="ED95" s="5"/>
      <c r="EE95" s="150">
        <f t="shared" si="296"/>
        <v>0.55803110769284803</v>
      </c>
      <c r="EF95" s="150">
        <f t="shared" si="253"/>
        <v>1.6193532618149742</v>
      </c>
      <c r="EG95" s="150">
        <f t="shared" si="254"/>
        <v>0.36197308205275891</v>
      </c>
      <c r="EH95" s="150"/>
      <c r="EI95" s="456">
        <f t="shared" si="255"/>
        <v>6.227974343058139E-3</v>
      </c>
      <c r="EJ95" s="456">
        <f t="shared" si="256"/>
        <v>0.45600000000000002</v>
      </c>
      <c r="EK95" s="456">
        <f t="shared" si="257"/>
        <v>1.7889649111794612E-2</v>
      </c>
      <c r="EL95" s="456">
        <f t="shared" si="258"/>
        <v>4.1270561797752819E-2</v>
      </c>
      <c r="EM95">
        <f t="shared" si="259"/>
        <v>2.1600000000000001E-2</v>
      </c>
      <c r="EN95" s="144">
        <f t="shared" si="297"/>
        <v>39.48964911179462</v>
      </c>
      <c r="EO95">
        <f t="shared" si="260"/>
        <v>0.54547691690461853</v>
      </c>
      <c r="EP95" s="144">
        <f t="shared" si="298"/>
        <v>545.47691690461852</v>
      </c>
      <c r="EQ95" s="150">
        <f t="shared" si="261"/>
        <v>0.67094999999999994</v>
      </c>
      <c r="ER95" s="150">
        <f t="shared" si="262"/>
        <v>9.9843749999999995E-2</v>
      </c>
      <c r="ES95" s="456"/>
      <c r="EU95" s="144">
        <f t="shared" si="299"/>
        <v>770.79374999999993</v>
      </c>
      <c r="EV95" s="456">
        <f t="shared" si="263"/>
        <v>9.341961514587209E-3</v>
      </c>
      <c r="EW95" s="456">
        <f t="shared" si="300"/>
        <v>7.8669149596523893E-2</v>
      </c>
      <c r="EX95" s="456">
        <f t="shared" si="264"/>
        <v>6.5512256065386671E-4</v>
      </c>
      <c r="EY95" s="456">
        <f t="shared" si="265"/>
        <v>0.18572544499675711</v>
      </c>
      <c r="EZ95" s="456">
        <f t="shared" si="266"/>
        <v>0.29778384450499013</v>
      </c>
      <c r="FA95" s="538">
        <f t="shared" si="267"/>
        <v>1.2595903165735568E-3</v>
      </c>
      <c r="FB95" s="144">
        <f t="shared" si="301"/>
        <v>299.04343482156372</v>
      </c>
      <c r="FC95" s="150">
        <f t="shared" si="302"/>
        <v>1.6153141017261821</v>
      </c>
      <c r="FD95" s="5">
        <f t="shared" si="303"/>
        <v>7.2</v>
      </c>
      <c r="FE95" s="150">
        <f t="shared" si="304"/>
        <v>0.81676045991261081</v>
      </c>
      <c r="FF95" s="5">
        <f t="shared" si="305"/>
        <v>81.676045991261077</v>
      </c>
      <c r="FG95">
        <f t="shared" si="306"/>
        <v>90.000000000000014</v>
      </c>
      <c r="FI95" s="59">
        <f t="shared" si="268"/>
        <v>-50</v>
      </c>
      <c r="FJ95">
        <f t="shared" si="269"/>
        <v>-50</v>
      </c>
      <c r="FL95">
        <f t="shared" si="270"/>
        <v>0.82883202513712817</v>
      </c>
    </row>
    <row r="96" spans="5:168">
      <c r="E96" s="147">
        <v>91</v>
      </c>
      <c r="F96" s="188">
        <f t="shared" si="307"/>
        <v>1.0920000000000001</v>
      </c>
      <c r="G96" s="188">
        <f t="shared" si="271"/>
        <v>0.22750000000000001</v>
      </c>
      <c r="H96" s="188">
        <f t="shared" si="176"/>
        <v>5.4600000000000009</v>
      </c>
      <c r="I96" s="188">
        <f t="shared" si="308"/>
        <v>1.82</v>
      </c>
      <c r="J96" s="465">
        <f t="shared" si="177"/>
        <v>47.896400136911467</v>
      </c>
      <c r="K96" s="379">
        <f t="shared" si="178"/>
        <v>5.739525499747165</v>
      </c>
      <c r="L96" s="149">
        <f t="shared" si="179"/>
        <v>53.635925636658634</v>
      </c>
      <c r="M96" s="379"/>
      <c r="N96" s="188">
        <f t="shared" si="180"/>
        <v>0.10700897638325388</v>
      </c>
      <c r="O96" s="149">
        <f t="shared" si="272"/>
        <v>9.6100214083005682</v>
      </c>
      <c r="P96" s="149">
        <f t="shared" si="181"/>
        <v>4.2711206259113634</v>
      </c>
      <c r="Q96" s="188">
        <f t="shared" si="182"/>
        <v>1.9220042816601137</v>
      </c>
      <c r="R96" s="188">
        <f t="shared" si="183"/>
        <v>1.201252676037571</v>
      </c>
      <c r="S96" s="379">
        <f t="shared" si="184"/>
        <v>5</v>
      </c>
      <c r="T96" s="188">
        <f t="shared" si="185"/>
        <v>2.8407845144257302</v>
      </c>
      <c r="U96" s="188">
        <f t="shared" si="186"/>
        <v>0.71173228208517669</v>
      </c>
      <c r="V96" s="188">
        <f t="shared" si="187"/>
        <v>5.9394133146739145</v>
      </c>
      <c r="W96" s="172">
        <f t="shared" si="188"/>
        <v>350</v>
      </c>
      <c r="X96" s="379">
        <f t="shared" si="273"/>
        <v>145.96099088494722</v>
      </c>
      <c r="Z96" s="188">
        <f t="shared" si="189"/>
        <v>1.2203201788318183</v>
      </c>
      <c r="AA96" s="150">
        <f t="shared" si="190"/>
        <v>2.5514029246192744</v>
      </c>
      <c r="AB96" s="150">
        <f t="shared" si="191"/>
        <v>0.54486748281759811</v>
      </c>
      <c r="AC96" s="150"/>
      <c r="AD96" s="150">
        <f t="shared" si="192"/>
        <v>2.0907651687458517</v>
      </c>
      <c r="AE96" s="314">
        <f t="shared" si="193"/>
        <v>1044.593640953984</v>
      </c>
      <c r="AF96" s="456">
        <f t="shared" si="194"/>
        <v>0.36588390453052405</v>
      </c>
      <c r="AH96" s="150">
        <f t="shared" si="195"/>
        <v>1.8618986725025257</v>
      </c>
      <c r="AI96" s="150">
        <f t="shared" si="196"/>
        <v>2.8407845144257302</v>
      </c>
      <c r="AJ96" s="150">
        <f t="shared" si="197"/>
        <v>2.5635440847598003</v>
      </c>
      <c r="AL96" s="314">
        <f t="shared" si="198"/>
        <v>1092</v>
      </c>
      <c r="AM96" s="144">
        <f t="shared" si="199"/>
        <v>145.96099088494722</v>
      </c>
      <c r="AO96">
        <f t="shared" si="274"/>
        <v>1092</v>
      </c>
      <c r="AP96">
        <f t="shared" si="200"/>
        <v>145.96099088494722</v>
      </c>
      <c r="AR96" s="5">
        <f t="shared" si="275"/>
        <v>6.8511455967590909</v>
      </c>
      <c r="AS96" s="5">
        <f t="shared" si="201"/>
        <v>0.71173228208517669</v>
      </c>
      <c r="AT96" s="5">
        <f t="shared" si="276"/>
        <v>6.1394133146739138</v>
      </c>
      <c r="AU96" s="150">
        <f t="shared" si="277"/>
        <v>0.10388514913795717</v>
      </c>
      <c r="AW96" s="5">
        <f t="shared" si="202"/>
        <v>15.544233040740261</v>
      </c>
      <c r="AX96" s="5">
        <f t="shared" si="203"/>
        <v>2.0239886771797213</v>
      </c>
      <c r="AY96" s="5">
        <f t="shared" si="204"/>
        <v>0.29161200530641401</v>
      </c>
      <c r="AZ96" s="5"/>
      <c r="BA96" s="150">
        <f t="shared" si="278"/>
        <v>0.52863315553916035</v>
      </c>
      <c r="BB96" s="150">
        <f t="shared" si="205"/>
        <v>1.5525997142422301</v>
      </c>
      <c r="BC96" s="150">
        <f t="shared" si="206"/>
        <v>0.34705170083061609</v>
      </c>
      <c r="BD96" s="150"/>
      <c r="BE96" s="456">
        <f t="shared" si="207"/>
        <v>5.5890602627058014E-3</v>
      </c>
      <c r="BF96" s="456">
        <f t="shared" si="208"/>
        <v>0.41699624759905213</v>
      </c>
      <c r="BG96" s="456">
        <f t="shared" si="209"/>
        <v>0.17477515059513798</v>
      </c>
      <c r="BH96" s="456">
        <f t="shared" si="210"/>
        <v>4.1990240584903638E-2</v>
      </c>
      <c r="BI96">
        <f t="shared" si="211"/>
        <v>2.1553380061610158E-2</v>
      </c>
      <c r="BJ96" s="144">
        <f t="shared" si="279"/>
        <v>196.32853065674817</v>
      </c>
      <c r="BK96">
        <f t="shared" si="212"/>
        <v>0.46670435977448749</v>
      </c>
      <c r="BL96" s="144">
        <f t="shared" si="280"/>
        <v>466.7043597744875</v>
      </c>
      <c r="BM96" s="150">
        <f t="shared" si="213"/>
        <v>0.67840499999999992</v>
      </c>
      <c r="BN96" s="150">
        <f t="shared" si="214"/>
        <v>0.100953125</v>
      </c>
      <c r="BO96" s="456"/>
      <c r="BQ96" s="144">
        <f t="shared" si="281"/>
        <v>779.35812499999986</v>
      </c>
      <c r="BR96" s="456">
        <f t="shared" si="215"/>
        <v>8.3835903940587021E-3</v>
      </c>
      <c r="BS96" s="456">
        <f t="shared" si="216"/>
        <v>7.2316976179951628E-2</v>
      </c>
      <c r="BT96" s="456">
        <f t="shared" si="217"/>
        <v>6.0222441524711724E-4</v>
      </c>
      <c r="BU96" s="456">
        <f t="shared" si="218"/>
        <v>0.17504823717399082</v>
      </c>
      <c r="BV96" s="456">
        <f t="shared" si="219"/>
        <v>0.27766972388266015</v>
      </c>
      <c r="BW96" s="538">
        <f t="shared" si="220"/>
        <v>1.1779134662119198E-3</v>
      </c>
      <c r="BX96" s="144">
        <f t="shared" si="282"/>
        <v>278.84763734887207</v>
      </c>
      <c r="BY96" s="150">
        <f t="shared" si="283"/>
        <v>1.5249101221233596</v>
      </c>
      <c r="BZ96" s="5">
        <f t="shared" si="284"/>
        <v>7.2800000000000011</v>
      </c>
      <c r="CA96" s="150">
        <f t="shared" si="285"/>
        <v>0.82681139262377645</v>
      </c>
      <c r="CB96" s="5">
        <f t="shared" si="286"/>
        <v>82.681139262377641</v>
      </c>
      <c r="CC96">
        <f t="shared" si="287"/>
        <v>91.000000000000014</v>
      </c>
      <c r="CE96" s="59">
        <f t="shared" si="221"/>
        <v>-50</v>
      </c>
      <c r="CF96">
        <f t="shared" si="222"/>
        <v>-50</v>
      </c>
      <c r="CG96" s="150">
        <f t="shared" si="223"/>
        <v>0.82883202513712817</v>
      </c>
      <c r="CH96" s="150">
        <f t="shared" si="224"/>
        <v>0.44965289283354892</v>
      </c>
      <c r="CI96" s="147">
        <v>91</v>
      </c>
      <c r="CJ96" s="188">
        <f t="shared" si="309"/>
        <v>1.0920000000000001</v>
      </c>
      <c r="CK96" s="188">
        <f t="shared" si="288"/>
        <v>0.22750000000000001</v>
      </c>
      <c r="CL96" s="188">
        <f t="shared" si="225"/>
        <v>5.4600000000000009</v>
      </c>
      <c r="CM96" s="188">
        <f t="shared" si="310"/>
        <v>1.82</v>
      </c>
      <c r="CN96" s="465">
        <f t="shared" si="289"/>
        <v>48</v>
      </c>
      <c r="CO96" s="379">
        <f t="shared" si="226"/>
        <v>5.7</v>
      </c>
      <c r="CP96" s="379">
        <f t="shared" si="227"/>
        <v>53.7</v>
      </c>
      <c r="CQ96" s="379"/>
      <c r="CR96" s="188">
        <f t="shared" si="228"/>
        <v>0.10112359550561799</v>
      </c>
      <c r="CS96" s="149">
        <f t="shared" si="290"/>
        <v>9.1011235955056193</v>
      </c>
      <c r="CT96" s="149">
        <f t="shared" si="229"/>
        <v>4.0449438202247192</v>
      </c>
      <c r="CU96" s="188">
        <f t="shared" si="230"/>
        <v>1.8202247191011238</v>
      </c>
      <c r="CV96" s="188">
        <f t="shared" si="231"/>
        <v>1.1376404494382024</v>
      </c>
      <c r="CW96" s="379">
        <f t="shared" si="232"/>
        <v>5</v>
      </c>
      <c r="CX96" s="188">
        <f t="shared" si="233"/>
        <v>2.9996296296296299</v>
      </c>
      <c r="CY96" s="188">
        <f t="shared" si="234"/>
        <v>0.74990740740740758</v>
      </c>
      <c r="CZ96" s="188">
        <f t="shared" si="235"/>
        <v>6.3150097465886947</v>
      </c>
      <c r="DA96" s="172">
        <f t="shared" si="236"/>
        <v>350</v>
      </c>
      <c r="DB96" s="379">
        <f t="shared" si="291"/>
        <v>141.5444764889244</v>
      </c>
      <c r="DD96" s="188">
        <f t="shared" si="237"/>
        <v>1.2130885873902635</v>
      </c>
      <c r="DE96" s="150">
        <f t="shared" si="238"/>
        <v>2.5538707102952913</v>
      </c>
      <c r="DF96" s="150">
        <f t="shared" si="239"/>
        <v>0.54216249715765974</v>
      </c>
      <c r="DG96" s="150"/>
      <c r="DH96" s="150">
        <f t="shared" si="240"/>
        <v>2.1052631578947367</v>
      </c>
      <c r="DI96" s="314">
        <f t="shared" si="241"/>
        <v>1037.4000000000003</v>
      </c>
      <c r="DJ96" s="456">
        <f t="shared" si="242"/>
        <v>0.36842105263157893</v>
      </c>
      <c r="DL96" s="150">
        <f t="shared" si="243"/>
        <v>1.8618986725025257</v>
      </c>
      <c r="DM96" s="150">
        <f t="shared" si="244"/>
        <v>2.9996296296296299</v>
      </c>
      <c r="DN96" s="150">
        <f t="shared" si="245"/>
        <v>2.6812071330589848</v>
      </c>
      <c r="DP96" s="314">
        <f t="shared" si="246"/>
        <v>1092</v>
      </c>
      <c r="DQ96" s="144">
        <f t="shared" si="247"/>
        <v>141.5444764889244</v>
      </c>
      <c r="DS96">
        <f t="shared" ref="DS96:DS105" si="311">IF(CL96&gt;CS96, "",DP96)</f>
        <v>1092</v>
      </c>
      <c r="DT96">
        <f t="shared" ref="DT96:DT105" si="312">IF(CL96&gt;CS96, "",DQ96)</f>
        <v>141.5444764889244</v>
      </c>
      <c r="DV96" s="5">
        <f t="shared" si="293"/>
        <v>7.0649171539961015</v>
      </c>
      <c r="DW96" s="5">
        <f t="shared" si="249"/>
        <v>0.74990740740740758</v>
      </c>
      <c r="DX96" s="5">
        <f t="shared" si="294"/>
        <v>6.3150097465886939</v>
      </c>
      <c r="DY96" s="150">
        <f t="shared" si="295"/>
        <v>0.10614525139664807</v>
      </c>
      <c r="EA96" s="5">
        <f t="shared" si="250"/>
        <v>16.377977777777787</v>
      </c>
      <c r="EB96" s="5">
        <f t="shared" si="251"/>
        <v>2.1325491898148154</v>
      </c>
      <c r="EC96" s="5">
        <f t="shared" si="252"/>
        <v>0.29930514944769326</v>
      </c>
      <c r="ED96" s="5"/>
      <c r="EE96" s="150">
        <f t="shared" si="296"/>
        <v>0.56423145333387992</v>
      </c>
      <c r="EF96" s="150">
        <f t="shared" si="253"/>
        <v>1.6373460758351408</v>
      </c>
      <c r="EG96" s="150">
        <f t="shared" si="254"/>
        <v>0.36599500518667855</v>
      </c>
      <c r="EH96" s="150"/>
      <c r="EI96" s="456">
        <f t="shared" si="255"/>
        <v>6.3671426586252465E-3</v>
      </c>
      <c r="EJ96" s="456">
        <f t="shared" si="256"/>
        <v>0.45600000000000002</v>
      </c>
      <c r="EK96" s="456">
        <f t="shared" si="257"/>
        <v>1.769305956111555E-2</v>
      </c>
      <c r="EL96" s="456">
        <f t="shared" si="258"/>
        <v>4.0817039140634649E-2</v>
      </c>
      <c r="EM96">
        <f t="shared" si="259"/>
        <v>2.1600000000000001E-2</v>
      </c>
      <c r="EN96" s="144">
        <f t="shared" si="297"/>
        <v>39.293059561115548</v>
      </c>
      <c r="EO96">
        <f t="shared" si="260"/>
        <v>0.54502089552679955</v>
      </c>
      <c r="EP96" s="144">
        <f t="shared" si="298"/>
        <v>545.02089552679956</v>
      </c>
      <c r="EQ96" s="150">
        <f t="shared" si="261"/>
        <v>0.67840499999999992</v>
      </c>
      <c r="ER96" s="150">
        <f t="shared" si="262"/>
        <v>0.100953125</v>
      </c>
      <c r="ES96" s="456"/>
      <c r="EU96" s="144">
        <f t="shared" si="299"/>
        <v>779.35812499999986</v>
      </c>
      <c r="EV96" s="456">
        <f t="shared" si="263"/>
        <v>9.5507139879378693E-3</v>
      </c>
      <c r="EW96" s="456">
        <f t="shared" si="300"/>
        <v>8.0427065161582045E-2</v>
      </c>
      <c r="EX96" s="456">
        <f t="shared" si="264"/>
        <v>6.6976171910798426E-4</v>
      </c>
      <c r="EY96" s="456">
        <f t="shared" si="265"/>
        <v>0.18572544499675744</v>
      </c>
      <c r="EZ96" s="456">
        <f t="shared" si="266"/>
        <v>0.30030615684390477</v>
      </c>
      <c r="FA96" s="538">
        <f t="shared" si="267"/>
        <v>1.2735857645354855E-3</v>
      </c>
      <c r="FB96" s="144">
        <f t="shared" si="301"/>
        <v>301.57974260844026</v>
      </c>
      <c r="FC96" s="150">
        <f t="shared" si="302"/>
        <v>1.6259587631352397</v>
      </c>
      <c r="FD96" s="5">
        <f t="shared" si="303"/>
        <v>7.2800000000000011</v>
      </c>
      <c r="FE96" s="150">
        <f t="shared" si="304"/>
        <v>0.81743023896925848</v>
      </c>
      <c r="FF96" s="5">
        <f t="shared" si="305"/>
        <v>81.743023896925848</v>
      </c>
      <c r="FG96">
        <f t="shared" si="306"/>
        <v>91.000000000000014</v>
      </c>
      <c r="FI96" s="59">
        <f t="shared" si="268"/>
        <v>-50</v>
      </c>
      <c r="FJ96">
        <f t="shared" si="269"/>
        <v>-50</v>
      </c>
      <c r="FL96">
        <f t="shared" si="270"/>
        <v>0.82883202513712817</v>
      </c>
    </row>
    <row r="97" spans="5:169">
      <c r="E97" s="147">
        <v>92</v>
      </c>
      <c r="F97" s="188">
        <f t="shared" si="307"/>
        <v>1.1040000000000001</v>
      </c>
      <c r="G97" s="188">
        <f t="shared" si="271"/>
        <v>0.23</v>
      </c>
      <c r="H97" s="188">
        <f t="shared" si="176"/>
        <v>5.5200000000000005</v>
      </c>
      <c r="I97" s="188">
        <f t="shared" si="308"/>
        <v>1.84</v>
      </c>
      <c r="J97" s="465">
        <f t="shared" si="177"/>
        <v>47.895261676877524</v>
      </c>
      <c r="K97" s="379">
        <f t="shared" si="178"/>
        <v>5.739959845898233</v>
      </c>
      <c r="L97" s="149">
        <f t="shared" si="179"/>
        <v>53.635221522775758</v>
      </c>
      <c r="M97" s="379"/>
      <c r="N97" s="188">
        <f t="shared" si="180"/>
        <v>0.10701847933005751</v>
      </c>
      <c r="O97" s="149">
        <f t="shared" si="272"/>
        <v>9.6106463845773984</v>
      </c>
      <c r="P97" s="149">
        <f t="shared" si="181"/>
        <v>4.2713983931455104</v>
      </c>
      <c r="Q97" s="188">
        <f t="shared" si="182"/>
        <v>1.9221292769154796</v>
      </c>
      <c r="R97" s="188">
        <f t="shared" si="183"/>
        <v>1.2013307980721748</v>
      </c>
      <c r="S97" s="379">
        <f t="shared" si="184"/>
        <v>5</v>
      </c>
      <c r="T97" s="188">
        <f t="shared" si="185"/>
        <v>2.8718151615994176</v>
      </c>
      <c r="U97" s="188">
        <f t="shared" si="186"/>
        <v>0.71952382621244104</v>
      </c>
      <c r="V97" s="188">
        <f t="shared" si="187"/>
        <v>6.0038367626943154</v>
      </c>
      <c r="W97" s="172">
        <f t="shared" si="188"/>
        <v>350</v>
      </c>
      <c r="X97" s="379">
        <f t="shared" si="273"/>
        <v>144.43852622703079</v>
      </c>
      <c r="Z97" s="188">
        <f t="shared" si="189"/>
        <v>1.2203995408987172</v>
      </c>
      <c r="AA97" s="150">
        <f t="shared" si="190"/>
        <v>2.5513757733426927</v>
      </c>
      <c r="AB97" s="150">
        <f t="shared" si="191"/>
        <v>0.54489711892831805</v>
      </c>
      <c r="AC97" s="150"/>
      <c r="AD97" s="150">
        <f t="shared" si="192"/>
        <v>2.090606959310906</v>
      </c>
      <c r="AE97" s="314">
        <f t="shared" si="193"/>
        <v>1056.1526116452749</v>
      </c>
      <c r="AF97" s="456">
        <f t="shared" si="194"/>
        <v>0.36585621787940853</v>
      </c>
      <c r="AH97" s="150">
        <f t="shared" si="195"/>
        <v>1.8721009333799032</v>
      </c>
      <c r="AI97" s="150">
        <f t="shared" si="196"/>
        <v>2.8718151615994176</v>
      </c>
      <c r="AJ97" s="150">
        <f t="shared" si="197"/>
        <v>2.586529749332902</v>
      </c>
      <c r="AL97" s="314">
        <f t="shared" si="198"/>
        <v>1104</v>
      </c>
      <c r="AM97" s="144">
        <f t="shared" si="199"/>
        <v>144.43852622703079</v>
      </c>
      <c r="AO97">
        <f t="shared" si="274"/>
        <v>1104</v>
      </c>
      <c r="AP97">
        <f t="shared" si="200"/>
        <v>144.43852622703079</v>
      </c>
      <c r="AR97" s="5">
        <f t="shared" si="275"/>
        <v>6.9233605889067578</v>
      </c>
      <c r="AS97" s="5">
        <f t="shared" si="201"/>
        <v>0.71952382621244104</v>
      </c>
      <c r="AT97" s="5">
        <f t="shared" si="276"/>
        <v>6.2038367626943165</v>
      </c>
      <c r="AU97" s="150">
        <f t="shared" si="277"/>
        <v>0.1039269610433592</v>
      </c>
      <c r="AW97" s="5">
        <f t="shared" si="202"/>
        <v>15.887086082770702</v>
      </c>
      <c r="AX97" s="5">
        <f t="shared" si="203"/>
        <v>2.0686310003607677</v>
      </c>
      <c r="AY97" s="5">
        <f t="shared" si="204"/>
        <v>0.29791724806643061</v>
      </c>
      <c r="AZ97" s="5"/>
      <c r="BA97" s="150">
        <f t="shared" si="278"/>
        <v>0.53451509043596079</v>
      </c>
      <c r="BB97" s="150">
        <f t="shared" si="205"/>
        <v>1.5695225576249825</v>
      </c>
      <c r="BC97" s="150">
        <f t="shared" si="206"/>
        <v>0.35083445405734903</v>
      </c>
      <c r="BD97" s="150"/>
      <c r="BE97" s="456">
        <f t="shared" si="207"/>
        <v>5.7141276380752674E-3</v>
      </c>
      <c r="BF97" s="456">
        <f t="shared" si="208"/>
        <v>0.41714868917393738</v>
      </c>
      <c r="BG97" s="456">
        <f t="shared" si="209"/>
        <v>0.1729480252466544</v>
      </c>
      <c r="BH97" s="456">
        <f t="shared" si="210"/>
        <v>4.1551165086021941E-2</v>
      </c>
      <c r="BI97">
        <f t="shared" si="211"/>
        <v>2.1552867754594886E-2</v>
      </c>
      <c r="BJ97" s="144">
        <f t="shared" si="279"/>
        <v>194.5008930012493</v>
      </c>
      <c r="BK97">
        <f t="shared" si="212"/>
        <v>0.46659027511779666</v>
      </c>
      <c r="BL97" s="144">
        <f t="shared" si="280"/>
        <v>466.59027511779664</v>
      </c>
      <c r="BM97" s="150">
        <f t="shared" si="213"/>
        <v>0.68586000000000003</v>
      </c>
      <c r="BN97" s="150">
        <f t="shared" si="214"/>
        <v>0.1020625</v>
      </c>
      <c r="BO97" s="456"/>
      <c r="BQ97" s="144">
        <f t="shared" si="281"/>
        <v>787.92250000000013</v>
      </c>
      <c r="BR97" s="456">
        <f t="shared" si="215"/>
        <v>8.5711914571129002E-3</v>
      </c>
      <c r="BS97" s="456">
        <f t="shared" si="216"/>
        <v>7.3902031766809997E-2</v>
      </c>
      <c r="BT97" s="456">
        <f t="shared" si="217"/>
        <v>6.154240707685908E-4</v>
      </c>
      <c r="BU97" s="456">
        <f t="shared" si="218"/>
        <v>0.17521401258528529</v>
      </c>
      <c r="BV97" s="456">
        <f t="shared" si="219"/>
        <v>0.28010582435429981</v>
      </c>
      <c r="BW97" s="538">
        <f t="shared" si="220"/>
        <v>1.1912310815656352E-3</v>
      </c>
      <c r="BX97" s="144">
        <f t="shared" si="282"/>
        <v>281.29705543586545</v>
      </c>
      <c r="BY97" s="150">
        <f t="shared" si="283"/>
        <v>1.535809830553662</v>
      </c>
      <c r="BZ97" s="5">
        <f t="shared" si="284"/>
        <v>7.36</v>
      </c>
      <c r="CA97" s="150">
        <f t="shared" si="285"/>
        <v>0.82735581584953055</v>
      </c>
      <c r="CB97" s="5">
        <f t="shared" si="286"/>
        <v>82.735581584953053</v>
      </c>
      <c r="CC97">
        <f t="shared" si="287"/>
        <v>92.000000000000014</v>
      </c>
      <c r="CE97" s="59">
        <f t="shared" si="221"/>
        <v>-50</v>
      </c>
      <c r="CF97">
        <f t="shared" si="222"/>
        <v>-50</v>
      </c>
      <c r="CG97" s="150">
        <f t="shared" si="223"/>
        <v>0.82883202513712817</v>
      </c>
      <c r="CH97" s="150">
        <f t="shared" si="224"/>
        <v>0.44965289283354887</v>
      </c>
      <c r="CI97" s="147">
        <v>92</v>
      </c>
      <c r="CJ97" s="188">
        <f t="shared" si="309"/>
        <v>1.1040000000000001</v>
      </c>
      <c r="CK97" s="188">
        <f t="shared" si="288"/>
        <v>0.23</v>
      </c>
      <c r="CL97" s="188">
        <f t="shared" si="225"/>
        <v>5.5200000000000005</v>
      </c>
      <c r="CM97" s="188">
        <f t="shared" si="310"/>
        <v>1.84</v>
      </c>
      <c r="CN97" s="465">
        <f t="shared" si="289"/>
        <v>48</v>
      </c>
      <c r="CO97" s="379">
        <f t="shared" si="226"/>
        <v>5.7</v>
      </c>
      <c r="CP97" s="379">
        <f t="shared" si="227"/>
        <v>53.7</v>
      </c>
      <c r="CQ97" s="379"/>
      <c r="CR97" s="188">
        <f t="shared" si="228"/>
        <v>0.10112359550561799</v>
      </c>
      <c r="CS97" s="149">
        <f t="shared" si="290"/>
        <v>9.1011235955056193</v>
      </c>
      <c r="CT97" s="149">
        <f t="shared" si="229"/>
        <v>4.0449438202247192</v>
      </c>
      <c r="CU97" s="188">
        <f t="shared" si="230"/>
        <v>1.8202247191011238</v>
      </c>
      <c r="CV97" s="188">
        <f t="shared" si="231"/>
        <v>1.1376404494382024</v>
      </c>
      <c r="CW97" s="379">
        <f t="shared" si="232"/>
        <v>5</v>
      </c>
      <c r="CX97" s="188">
        <f t="shared" si="233"/>
        <v>3.0325925925925925</v>
      </c>
      <c r="CY97" s="188">
        <f t="shared" si="234"/>
        <v>0.75814814814814824</v>
      </c>
      <c r="CZ97" s="188">
        <f t="shared" si="235"/>
        <v>6.3844054580896685</v>
      </c>
      <c r="DA97" s="172">
        <f t="shared" si="236"/>
        <v>350</v>
      </c>
      <c r="DB97" s="379">
        <f t="shared" si="291"/>
        <v>140.00594957056654</v>
      </c>
      <c r="DD97" s="188">
        <f t="shared" si="237"/>
        <v>1.2130885873902635</v>
      </c>
      <c r="DE97" s="150">
        <f t="shared" si="238"/>
        <v>2.5538707102952913</v>
      </c>
      <c r="DF97" s="150">
        <f t="shared" si="239"/>
        <v>0.54216249715765974</v>
      </c>
      <c r="DG97" s="150"/>
      <c r="DH97" s="150">
        <f t="shared" si="240"/>
        <v>2.1052631578947367</v>
      </c>
      <c r="DI97" s="314">
        <f t="shared" si="241"/>
        <v>1048.8000000000002</v>
      </c>
      <c r="DJ97" s="456">
        <f t="shared" si="242"/>
        <v>0.36842105263157893</v>
      </c>
      <c r="DL97" s="150">
        <f t="shared" si="243"/>
        <v>1.8721009333799032</v>
      </c>
      <c r="DM97" s="150">
        <f t="shared" si="244"/>
        <v>3.0325925925925925</v>
      </c>
      <c r="DN97" s="150">
        <f t="shared" si="245"/>
        <v>2.7056241426611796</v>
      </c>
      <c r="DP97" s="314">
        <f t="shared" si="246"/>
        <v>1104</v>
      </c>
      <c r="DQ97" s="144">
        <f t="shared" si="247"/>
        <v>140.00594957056654</v>
      </c>
      <c r="DS97">
        <f t="shared" si="311"/>
        <v>1104</v>
      </c>
      <c r="DT97">
        <f t="shared" si="312"/>
        <v>140.00594957056654</v>
      </c>
      <c r="DV97" s="5">
        <f t="shared" si="293"/>
        <v>7.1425536062378168</v>
      </c>
      <c r="DW97" s="5">
        <f t="shared" si="249"/>
        <v>0.75814814814814824</v>
      </c>
      <c r="DX97" s="5">
        <f t="shared" si="294"/>
        <v>6.3844054580896685</v>
      </c>
      <c r="DY97" s="150">
        <f t="shared" si="295"/>
        <v>0.10614525139664806</v>
      </c>
      <c r="EA97" s="5">
        <f t="shared" si="250"/>
        <v>16.739911111111113</v>
      </c>
      <c r="EB97" s="5">
        <f t="shared" si="251"/>
        <v>2.1796759259259262</v>
      </c>
      <c r="EC97" s="5">
        <f t="shared" si="252"/>
        <v>0.30591942820012991</v>
      </c>
      <c r="ED97" s="5"/>
      <c r="EE97" s="150">
        <f t="shared" si="296"/>
        <v>0.57043179897491147</v>
      </c>
      <c r="EF97" s="150">
        <f t="shared" si="253"/>
        <v>1.655338889855307</v>
      </c>
      <c r="EG97" s="150">
        <f t="shared" si="254"/>
        <v>0.37001692832059807</v>
      </c>
      <c r="EH97" s="150"/>
      <c r="EI97" s="456">
        <f t="shared" si="255"/>
        <v>6.5078487456350764E-3</v>
      </c>
      <c r="EJ97" s="456">
        <f t="shared" si="256"/>
        <v>0.45600000000000002</v>
      </c>
      <c r="EK97" s="456">
        <f t="shared" si="257"/>
        <v>1.7500743696320816E-2</v>
      </c>
      <c r="EL97" s="456">
        <f t="shared" si="258"/>
        <v>4.0373375671714715E-2</v>
      </c>
      <c r="EM97">
        <f t="shared" si="259"/>
        <v>2.1600000000000001E-2</v>
      </c>
      <c r="EN97" s="144">
        <f t="shared" si="297"/>
        <v>39.100743696320812</v>
      </c>
      <c r="EO97">
        <f t="shared" si="260"/>
        <v>0.5445811539778751</v>
      </c>
      <c r="EP97" s="144">
        <f t="shared" si="298"/>
        <v>544.58115397787515</v>
      </c>
      <c r="EQ97" s="150">
        <f t="shared" si="261"/>
        <v>0.68586000000000003</v>
      </c>
      <c r="ER97" s="150">
        <f t="shared" si="262"/>
        <v>0.1020625</v>
      </c>
      <c r="ES97" s="456"/>
      <c r="EU97" s="144">
        <f t="shared" si="299"/>
        <v>787.92250000000013</v>
      </c>
      <c r="EV97" s="456">
        <f t="shared" si="263"/>
        <v>9.7617731184526137E-3</v>
      </c>
      <c r="EW97" s="456">
        <f t="shared" si="300"/>
        <v>8.2204405208022011E-2</v>
      </c>
      <c r="EX97" s="456">
        <f t="shared" si="264"/>
        <v>6.8456263621905313E-4</v>
      </c>
      <c r="EY97" s="456">
        <f t="shared" si="265"/>
        <v>0.18572544499675761</v>
      </c>
      <c r="EZ97" s="456">
        <f t="shared" si="266"/>
        <v>0.30285715900551513</v>
      </c>
      <c r="FA97" s="538">
        <f t="shared" si="267"/>
        <v>1.2875812124974134E-3</v>
      </c>
      <c r="FB97" s="144">
        <f t="shared" si="301"/>
        <v>304.14474021801254</v>
      </c>
      <c r="FC97" s="150">
        <f t="shared" si="302"/>
        <v>1.6366483941958878</v>
      </c>
      <c r="FD97" s="5">
        <f t="shared" si="303"/>
        <v>7.36</v>
      </c>
      <c r="FE97" s="150">
        <f t="shared" si="304"/>
        <v>0.81808243220311261</v>
      </c>
      <c r="FF97" s="5">
        <f t="shared" si="305"/>
        <v>81.808243220311255</v>
      </c>
      <c r="FG97">
        <f t="shared" si="306"/>
        <v>92.000000000000014</v>
      </c>
      <c r="FI97" s="59">
        <f t="shared" si="268"/>
        <v>-50</v>
      </c>
      <c r="FJ97">
        <f t="shared" si="269"/>
        <v>-50</v>
      </c>
      <c r="FL97">
        <f t="shared" si="270"/>
        <v>0.82883202513712817</v>
      </c>
    </row>
    <row r="98" spans="5:169">
      <c r="E98" s="147">
        <v>93</v>
      </c>
      <c r="F98" s="188">
        <f t="shared" si="307"/>
        <v>1.1160000000000001</v>
      </c>
      <c r="G98" s="188">
        <f t="shared" si="271"/>
        <v>0.23250000000000001</v>
      </c>
      <c r="H98" s="188">
        <f t="shared" si="176"/>
        <v>5.58</v>
      </c>
      <c r="I98" s="188">
        <f t="shared" si="308"/>
        <v>1.86</v>
      </c>
      <c r="J98" s="465">
        <f t="shared" si="177"/>
        <v>47.894123216843582</v>
      </c>
      <c r="K98" s="379">
        <f t="shared" si="178"/>
        <v>5.7403941920493011</v>
      </c>
      <c r="L98" s="149">
        <f t="shared" si="179"/>
        <v>53.634517408892883</v>
      </c>
      <c r="M98" s="379"/>
      <c r="N98" s="188">
        <f t="shared" si="180"/>
        <v>0.10702798252637048</v>
      </c>
      <c r="O98" s="149">
        <f t="shared" si="272"/>
        <v>9.6112713426903191</v>
      </c>
      <c r="P98" s="149">
        <f t="shared" si="181"/>
        <v>4.2716761523068083</v>
      </c>
      <c r="Q98" s="188">
        <f t="shared" si="182"/>
        <v>1.9222542685380639</v>
      </c>
      <c r="R98" s="188">
        <f t="shared" si="183"/>
        <v>1.2014089178362899</v>
      </c>
      <c r="S98" s="379">
        <f t="shared" si="184"/>
        <v>5</v>
      </c>
      <c r="T98" s="188">
        <f t="shared" si="185"/>
        <v>2.9028417787017164</v>
      </c>
      <c r="U98" s="188">
        <f t="shared" si="186"/>
        <v>0.72731473101004618</v>
      </c>
      <c r="V98" s="188">
        <f t="shared" si="187"/>
        <v>6.0682420368739427</v>
      </c>
      <c r="W98" s="172">
        <f t="shared" si="188"/>
        <v>350</v>
      </c>
      <c r="X98" s="379">
        <f t="shared" si="273"/>
        <v>142.94787865790977</v>
      </c>
      <c r="Z98" s="188">
        <f t="shared" si="189"/>
        <v>1.2204789006590879</v>
      </c>
      <c r="AA98" s="150">
        <f t="shared" si="190"/>
        <v>2.551348621353227</v>
      </c>
      <c r="AB98" s="150">
        <f t="shared" si="191"/>
        <v>0.54492675310277161</v>
      </c>
      <c r="AC98" s="150"/>
      <c r="AD98" s="150">
        <f t="shared" si="192"/>
        <v>2.0904487738177506</v>
      </c>
      <c r="AE98" s="314">
        <f t="shared" si="193"/>
        <v>1067.7133197211701</v>
      </c>
      <c r="AF98" s="456">
        <f t="shared" si="194"/>
        <v>0.36582853541810639</v>
      </c>
      <c r="AH98" s="150">
        <f t="shared" si="195"/>
        <v>1.8822478962286404</v>
      </c>
      <c r="AI98" s="150">
        <f t="shared" si="196"/>
        <v>2.9028417787017164</v>
      </c>
      <c r="AJ98" s="150">
        <f t="shared" si="197"/>
        <v>2.6095124286679381</v>
      </c>
      <c r="AL98" s="314">
        <f t="shared" si="198"/>
        <v>1116</v>
      </c>
      <c r="AM98" s="144">
        <f t="shared" si="199"/>
        <v>142.94787865790977</v>
      </c>
      <c r="AO98">
        <f t="shared" si="274"/>
        <v>1116</v>
      </c>
      <c r="AP98">
        <f t="shared" si="200"/>
        <v>142.94787865790977</v>
      </c>
      <c r="AR98" s="5">
        <f t="shared" si="275"/>
        <v>6.9955567678839898</v>
      </c>
      <c r="AS98" s="5">
        <f t="shared" si="201"/>
        <v>0.72731473101004618</v>
      </c>
      <c r="AT98" s="5">
        <f t="shared" si="276"/>
        <v>6.2682420368739438</v>
      </c>
      <c r="AU98" s="150">
        <f t="shared" si="277"/>
        <v>0.10396809791453436</v>
      </c>
      <c r="AW98" s="5">
        <f t="shared" si="202"/>
        <v>16.233664796144232</v>
      </c>
      <c r="AX98" s="5">
        <f t="shared" si="203"/>
        <v>2.113758436997947</v>
      </c>
      <c r="AY98" s="5">
        <f t="shared" si="204"/>
        <v>0.30428916445027643</v>
      </c>
      <c r="AZ98" s="5"/>
      <c r="BA98" s="150">
        <f t="shared" si="278"/>
        <v>0.54039682276689116</v>
      </c>
      <c r="BB98" s="150">
        <f t="shared" si="205"/>
        <v>1.586443003914364</v>
      </c>
      <c r="BC98" s="150">
        <f t="shared" si="206"/>
        <v>0.35461667146321074</v>
      </c>
      <c r="BD98" s="150"/>
      <c r="BE98" s="456">
        <f t="shared" si="207"/>
        <v>5.8405745211310154E-3</v>
      </c>
      <c r="BF98" s="456">
        <f t="shared" si="208"/>
        <v>0.41729840922868894</v>
      </c>
      <c r="BG98" s="456">
        <f t="shared" si="209"/>
        <v>0.17115908285070838</v>
      </c>
      <c r="BH98" s="456">
        <f t="shared" si="210"/>
        <v>4.1121265299301747E-2</v>
      </c>
      <c r="BI98">
        <f t="shared" si="211"/>
        <v>2.1552355447579611E-2</v>
      </c>
      <c r="BJ98" s="144">
        <f t="shared" si="279"/>
        <v>192.71143829828799</v>
      </c>
      <c r="BK98">
        <f t="shared" si="212"/>
        <v>0.46648455435173625</v>
      </c>
      <c r="BL98" s="144">
        <f t="shared" si="280"/>
        <v>466.48455435173622</v>
      </c>
      <c r="BM98" s="150">
        <f t="shared" si="213"/>
        <v>0.69331500000000001</v>
      </c>
      <c r="BN98" s="150">
        <f t="shared" si="214"/>
        <v>0.103171875</v>
      </c>
      <c r="BO98" s="456"/>
      <c r="BQ98" s="144">
        <f t="shared" si="281"/>
        <v>796.48687500000005</v>
      </c>
      <c r="BR98" s="456">
        <f t="shared" si="215"/>
        <v>8.7608617816965235E-3</v>
      </c>
      <c r="BS98" s="456">
        <f t="shared" si="216"/>
        <v>7.5504042140064911E-2</v>
      </c>
      <c r="BT98" s="456">
        <f t="shared" si="217"/>
        <v>6.2876491839823374E-4</v>
      </c>
      <c r="BU98" s="456">
        <f t="shared" si="218"/>
        <v>0.1753770270822485</v>
      </c>
      <c r="BV98" s="456">
        <f t="shared" si="219"/>
        <v>0.28256420943781413</v>
      </c>
      <c r="BW98" s="538">
        <f t="shared" si="220"/>
        <v>1.204548926092838E-3</v>
      </c>
      <c r="BX98" s="144">
        <f t="shared" si="282"/>
        <v>283.76875836390695</v>
      </c>
      <c r="BY98" s="150">
        <f t="shared" si="283"/>
        <v>1.546740187715643</v>
      </c>
      <c r="BZ98" s="5">
        <f t="shared" si="284"/>
        <v>7.44</v>
      </c>
      <c r="CA98" s="150">
        <f t="shared" si="285"/>
        <v>0.82788640203152331</v>
      </c>
      <c r="CB98" s="5">
        <f t="shared" si="286"/>
        <v>82.788640203152326</v>
      </c>
      <c r="CC98">
        <f t="shared" si="287"/>
        <v>93.000000000000014</v>
      </c>
      <c r="CE98" s="59">
        <f t="shared" si="221"/>
        <v>-50</v>
      </c>
      <c r="CF98">
        <f t="shared" si="222"/>
        <v>-50</v>
      </c>
      <c r="CG98" s="150">
        <f t="shared" si="223"/>
        <v>0.82883202513712817</v>
      </c>
      <c r="CH98" s="150">
        <f t="shared" si="224"/>
        <v>0.44965289283354887</v>
      </c>
      <c r="CI98" s="147">
        <v>93</v>
      </c>
      <c r="CJ98" s="188">
        <f t="shared" si="309"/>
        <v>1.1160000000000001</v>
      </c>
      <c r="CK98" s="188">
        <f t="shared" si="288"/>
        <v>0.23250000000000001</v>
      </c>
      <c r="CL98" s="188">
        <f t="shared" si="225"/>
        <v>5.58</v>
      </c>
      <c r="CM98" s="188">
        <f t="shared" si="310"/>
        <v>1.86</v>
      </c>
      <c r="CN98" s="465">
        <f t="shared" si="289"/>
        <v>48</v>
      </c>
      <c r="CO98" s="379">
        <f t="shared" si="226"/>
        <v>5.7</v>
      </c>
      <c r="CP98" s="379">
        <f t="shared" si="227"/>
        <v>53.7</v>
      </c>
      <c r="CQ98" s="379"/>
      <c r="CR98" s="188">
        <f t="shared" si="228"/>
        <v>0.10112359550561799</v>
      </c>
      <c r="CS98" s="149">
        <f t="shared" si="290"/>
        <v>9.1011235955056193</v>
      </c>
      <c r="CT98" s="149">
        <f t="shared" si="229"/>
        <v>4.0449438202247192</v>
      </c>
      <c r="CU98" s="188">
        <f t="shared" si="230"/>
        <v>1.8202247191011238</v>
      </c>
      <c r="CV98" s="188">
        <f t="shared" si="231"/>
        <v>1.1376404494382024</v>
      </c>
      <c r="CW98" s="379">
        <f t="shared" si="232"/>
        <v>5</v>
      </c>
      <c r="CX98" s="188">
        <f t="shared" si="233"/>
        <v>3.0655555555555556</v>
      </c>
      <c r="CY98" s="188">
        <f t="shared" si="234"/>
        <v>0.76638888888888901</v>
      </c>
      <c r="CZ98" s="188">
        <f t="shared" si="235"/>
        <v>6.4538011695906441</v>
      </c>
      <c r="DA98" s="172">
        <f t="shared" si="236"/>
        <v>350</v>
      </c>
      <c r="DB98" s="379">
        <f t="shared" si="291"/>
        <v>138.50050925260345</v>
      </c>
      <c r="DD98" s="188">
        <f t="shared" si="237"/>
        <v>1.2130885873902635</v>
      </c>
      <c r="DE98" s="150">
        <f t="shared" si="238"/>
        <v>2.5538707102952913</v>
      </c>
      <c r="DF98" s="150">
        <f t="shared" si="239"/>
        <v>0.54216249715765974</v>
      </c>
      <c r="DG98" s="150"/>
      <c r="DH98" s="150">
        <f t="shared" si="240"/>
        <v>2.1052631578947367</v>
      </c>
      <c r="DI98" s="314">
        <f t="shared" si="241"/>
        <v>1060.2000000000003</v>
      </c>
      <c r="DJ98" s="456">
        <f t="shared" si="242"/>
        <v>0.36842105263157893</v>
      </c>
      <c r="DL98" s="150">
        <f t="shared" si="243"/>
        <v>1.8822478962286404</v>
      </c>
      <c r="DM98" s="150">
        <f t="shared" si="244"/>
        <v>3.0655555555555556</v>
      </c>
      <c r="DN98" s="150">
        <f t="shared" si="245"/>
        <v>2.7300411522633743</v>
      </c>
      <c r="DP98" s="314">
        <f t="shared" si="246"/>
        <v>1116</v>
      </c>
      <c r="DQ98" s="144">
        <f t="shared" si="247"/>
        <v>138.50050925260345</v>
      </c>
      <c r="DS98">
        <f t="shared" si="311"/>
        <v>1116</v>
      </c>
      <c r="DT98">
        <f t="shared" si="312"/>
        <v>138.50050925260345</v>
      </c>
      <c r="DV98" s="5">
        <f t="shared" si="293"/>
        <v>7.2201900584795329</v>
      </c>
      <c r="DW98" s="5">
        <f t="shared" si="249"/>
        <v>0.76638888888888901</v>
      </c>
      <c r="DX98" s="5">
        <f t="shared" si="294"/>
        <v>6.4538011695906441</v>
      </c>
      <c r="DY98" s="150">
        <f t="shared" si="295"/>
        <v>0.10614525139664806</v>
      </c>
      <c r="EA98" s="5">
        <f t="shared" si="250"/>
        <v>17.105800000000006</v>
      </c>
      <c r="EB98" s="5">
        <f t="shared" si="251"/>
        <v>2.2273177083333335</v>
      </c>
      <c r="EC98" s="5">
        <f t="shared" si="252"/>
        <v>0.31260599415204682</v>
      </c>
      <c r="ED98" s="5"/>
      <c r="EE98" s="150">
        <f t="shared" si="296"/>
        <v>0.57663214461594314</v>
      </c>
      <c r="EF98" s="150">
        <f t="shared" si="253"/>
        <v>1.6733317038754734</v>
      </c>
      <c r="EG98" s="150">
        <f t="shared" si="254"/>
        <v>0.37403885145451765</v>
      </c>
      <c r="EH98" s="150"/>
      <c r="EI98" s="456">
        <f t="shared" si="255"/>
        <v>6.65009260408764E-3</v>
      </c>
      <c r="EJ98" s="456">
        <f t="shared" si="256"/>
        <v>0.45600000000000002</v>
      </c>
      <c r="EK98" s="456">
        <f t="shared" si="257"/>
        <v>1.7312563656575429E-2</v>
      </c>
      <c r="EL98" s="456">
        <f t="shared" si="258"/>
        <v>3.9939253352664017E-2</v>
      </c>
      <c r="EM98">
        <f t="shared" si="259"/>
        <v>2.1600000000000001E-2</v>
      </c>
      <c r="EN98" s="144">
        <f t="shared" si="297"/>
        <v>38.912563656575429</v>
      </c>
      <c r="EO98">
        <f t="shared" si="260"/>
        <v>0.54415723678979355</v>
      </c>
      <c r="EP98" s="144">
        <f t="shared" si="298"/>
        <v>544.1572367897935</v>
      </c>
      <c r="EQ98" s="150">
        <f t="shared" si="261"/>
        <v>0.69331500000000001</v>
      </c>
      <c r="ER98" s="150">
        <f t="shared" si="262"/>
        <v>0.103171875</v>
      </c>
      <c r="ES98" s="456"/>
      <c r="EU98" s="144">
        <f t="shared" si="299"/>
        <v>796.48687500000005</v>
      </c>
      <c r="EV98" s="456">
        <f t="shared" si="263"/>
        <v>9.9751389061314595E-3</v>
      </c>
      <c r="EW98" s="456">
        <f t="shared" si="300"/>
        <v>8.4001169735843845E-2</v>
      </c>
      <c r="EX98" s="456">
        <f t="shared" si="264"/>
        <v>6.9952531198707354E-4</v>
      </c>
      <c r="EY98" s="456">
        <f t="shared" si="265"/>
        <v>0.18572544499675728</v>
      </c>
      <c r="EZ98" s="456">
        <f t="shared" si="266"/>
        <v>0.30543687839425232</v>
      </c>
      <c r="FA98" s="538">
        <f t="shared" si="267"/>
        <v>1.301576660459342E-3</v>
      </c>
      <c r="FB98" s="144">
        <f t="shared" si="301"/>
        <v>306.73845505471166</v>
      </c>
      <c r="FC98" s="150">
        <f t="shared" si="302"/>
        <v>1.647382566844505</v>
      </c>
      <c r="FD98" s="5">
        <f t="shared" si="303"/>
        <v>7.44</v>
      </c>
      <c r="FE98" s="150">
        <f t="shared" si="304"/>
        <v>0.8187175950030966</v>
      </c>
      <c r="FF98" s="5">
        <f t="shared" si="305"/>
        <v>81.871759500309665</v>
      </c>
      <c r="FG98">
        <f t="shared" si="306"/>
        <v>93.000000000000014</v>
      </c>
      <c r="FI98" s="59">
        <f t="shared" si="268"/>
        <v>-50</v>
      </c>
      <c r="FJ98">
        <f t="shared" si="269"/>
        <v>-50</v>
      </c>
      <c r="FL98">
        <f t="shared" si="270"/>
        <v>0.82883202513712817</v>
      </c>
    </row>
    <row r="99" spans="5:169">
      <c r="E99" s="147">
        <v>94</v>
      </c>
      <c r="F99" s="188">
        <f t="shared" si="307"/>
        <v>1.1279999999999999</v>
      </c>
      <c r="G99" s="188">
        <f t="shared" si="271"/>
        <v>0.23499999999999999</v>
      </c>
      <c r="H99" s="188">
        <f t="shared" si="176"/>
        <v>5.64</v>
      </c>
      <c r="I99" s="188">
        <f t="shared" si="308"/>
        <v>1.88</v>
      </c>
      <c r="J99" s="465">
        <f t="shared" si="177"/>
        <v>47.892984756809646</v>
      </c>
      <c r="K99" s="379">
        <f t="shared" si="178"/>
        <v>5.7408285382003683</v>
      </c>
      <c r="L99" s="149">
        <f t="shared" si="179"/>
        <v>53.633813295010015</v>
      </c>
      <c r="M99" s="379"/>
      <c r="N99" s="188">
        <f t="shared" si="180"/>
        <v>0.10703748597220261</v>
      </c>
      <c r="O99" s="149">
        <f t="shared" si="272"/>
        <v>9.611896282638611</v>
      </c>
      <c r="P99" s="149">
        <f t="shared" si="181"/>
        <v>4.2719539033949383</v>
      </c>
      <c r="Q99" s="188">
        <f t="shared" si="182"/>
        <v>1.9223792565277222</v>
      </c>
      <c r="R99" s="188">
        <f t="shared" si="183"/>
        <v>1.2014870353298264</v>
      </c>
      <c r="S99" s="379">
        <f t="shared" si="184"/>
        <v>5</v>
      </c>
      <c r="T99" s="188">
        <f t="shared" si="185"/>
        <v>2.9338643666948383</v>
      </c>
      <c r="U99" s="188">
        <f t="shared" si="186"/>
        <v>0.73510499667348994</v>
      </c>
      <c r="V99" s="188">
        <f t="shared" si="187"/>
        <v>6.1326291433491464</v>
      </c>
      <c r="W99" s="172">
        <f t="shared" si="188"/>
        <v>350</v>
      </c>
      <c r="X99" s="379">
        <f t="shared" si="273"/>
        <v>141.48806112234396</v>
      </c>
      <c r="Z99" s="188">
        <f t="shared" si="189"/>
        <v>1.2205582581128394</v>
      </c>
      <c r="AA99" s="150">
        <f t="shared" si="190"/>
        <v>2.5513214686508494</v>
      </c>
      <c r="AB99" s="150">
        <f t="shared" si="191"/>
        <v>0.54495638534091506</v>
      </c>
      <c r="AC99" s="150"/>
      <c r="AD99" s="150">
        <f t="shared" si="192"/>
        <v>2.090290612260953</v>
      </c>
      <c r="AE99" s="314">
        <f t="shared" si="193"/>
        <v>1079.2757651816692</v>
      </c>
      <c r="AF99" s="456">
        <f t="shared" si="194"/>
        <v>0.36580085714566679</v>
      </c>
      <c r="AH99" s="150">
        <f t="shared" si="195"/>
        <v>1.892340450593492</v>
      </c>
      <c r="AI99" s="150">
        <f t="shared" si="196"/>
        <v>2.9338643666948383</v>
      </c>
      <c r="AJ99" s="150">
        <f t="shared" si="197"/>
        <v>2.6324921234776579</v>
      </c>
      <c r="AL99" s="314">
        <f t="shared" si="198"/>
        <v>1128</v>
      </c>
      <c r="AM99" s="144">
        <f t="shared" si="199"/>
        <v>141.48806112234396</v>
      </c>
      <c r="AO99">
        <f t="shared" si="274"/>
        <v>1128</v>
      </c>
      <c r="AP99">
        <f t="shared" si="200"/>
        <v>141.48806112234396</v>
      </c>
      <c r="AR99" s="5">
        <f t="shared" si="275"/>
        <v>7.0677341400226368</v>
      </c>
      <c r="AS99" s="5">
        <f t="shared" si="201"/>
        <v>0.73510499667348994</v>
      </c>
      <c r="AT99" s="5">
        <f t="shared" si="276"/>
        <v>6.3326291433491466</v>
      </c>
      <c r="AU99" s="150">
        <f t="shared" si="277"/>
        <v>0.1040085807006792</v>
      </c>
      <c r="AW99" s="5">
        <f t="shared" si="202"/>
        <v>16.58396872495393</v>
      </c>
      <c r="AX99" s="5">
        <f t="shared" si="203"/>
        <v>2.1593709277283768</v>
      </c>
      <c r="AY99" s="5">
        <f t="shared" si="204"/>
        <v>0.3107277310536497</v>
      </c>
      <c r="AZ99" s="5"/>
      <c r="BA99" s="150">
        <f t="shared" si="278"/>
        <v>0.54627835139295167</v>
      </c>
      <c r="BB99" s="150">
        <f t="shared" si="205"/>
        <v>1.6033610542191155</v>
      </c>
      <c r="BC99" s="150">
        <f t="shared" si="206"/>
        <v>0.35839835329603759</v>
      </c>
      <c r="BD99" s="150"/>
      <c r="BE99" s="456">
        <f t="shared" si="207"/>
        <v>5.9684007440120234E-3</v>
      </c>
      <c r="BF99" s="456">
        <f t="shared" si="208"/>
        <v>0.4174454921445564</v>
      </c>
      <c r="BG99" s="456">
        <f t="shared" si="209"/>
        <v>0.16940713886507425</v>
      </c>
      <c r="BH99" s="456">
        <f t="shared" si="210"/>
        <v>4.0700256568433686E-2</v>
      </c>
      <c r="BI99">
        <f t="shared" si="211"/>
        <v>2.1551843140564339E-2</v>
      </c>
      <c r="BJ99" s="144">
        <f t="shared" si="279"/>
        <v>190.9589820056386</v>
      </c>
      <c r="BK99">
        <f t="shared" si="212"/>
        <v>0.46638699733553557</v>
      </c>
      <c r="BL99" s="144">
        <f t="shared" si="280"/>
        <v>466.38699733553557</v>
      </c>
      <c r="BM99" s="150">
        <f t="shared" si="213"/>
        <v>0.70076999999999989</v>
      </c>
      <c r="BN99" s="150">
        <f t="shared" si="214"/>
        <v>0.10428124999999999</v>
      </c>
      <c r="BO99" s="456"/>
      <c r="BQ99" s="144">
        <f t="shared" si="281"/>
        <v>805.05124999999987</v>
      </c>
      <c r="BR99" s="456">
        <f t="shared" si="215"/>
        <v>8.9526011160180347E-3</v>
      </c>
      <c r="BS99" s="456">
        <f t="shared" si="216"/>
        <v>7.7123000105598999E-2</v>
      </c>
      <c r="BT99" s="456">
        <f t="shared" si="217"/>
        <v>6.4224689822655679E-4</v>
      </c>
      <c r="BU99" s="456">
        <f t="shared" si="218"/>
        <v>0.17553736449811294</v>
      </c>
      <c r="BV99" s="456">
        <f t="shared" si="219"/>
        <v>0.28504497511547006</v>
      </c>
      <c r="BW99" s="538">
        <f t="shared" si="220"/>
        <v>1.2178669926786656E-3</v>
      </c>
      <c r="BX99" s="144">
        <f t="shared" si="282"/>
        <v>286.26284210814873</v>
      </c>
      <c r="BY99" s="150">
        <f t="shared" si="283"/>
        <v>1.557701089443684</v>
      </c>
      <c r="BZ99" s="5">
        <f t="shared" si="284"/>
        <v>7.52</v>
      </c>
      <c r="CA99" s="150">
        <f t="shared" si="285"/>
        <v>0.82840357111393426</v>
      </c>
      <c r="CB99" s="5">
        <f t="shared" si="286"/>
        <v>82.840357111393431</v>
      </c>
      <c r="CC99">
        <f t="shared" si="287"/>
        <v>94</v>
      </c>
      <c r="CE99" s="59">
        <f t="shared" si="221"/>
        <v>-50</v>
      </c>
      <c r="CF99">
        <f t="shared" si="222"/>
        <v>-50</v>
      </c>
      <c r="CG99" s="150">
        <f t="shared" si="223"/>
        <v>0.82883202513712817</v>
      </c>
      <c r="CH99" s="150">
        <f t="shared" si="224"/>
        <v>0.44965289283354892</v>
      </c>
      <c r="CI99" s="147">
        <v>94</v>
      </c>
      <c r="CJ99" s="188">
        <f t="shared" si="309"/>
        <v>1.1279999999999999</v>
      </c>
      <c r="CK99" s="188">
        <f t="shared" si="288"/>
        <v>0.23499999999999999</v>
      </c>
      <c r="CL99" s="188">
        <f t="shared" si="225"/>
        <v>5.64</v>
      </c>
      <c r="CM99" s="188">
        <f t="shared" si="310"/>
        <v>1.88</v>
      </c>
      <c r="CN99" s="465">
        <f t="shared" si="289"/>
        <v>48</v>
      </c>
      <c r="CO99" s="379">
        <f t="shared" si="226"/>
        <v>5.7</v>
      </c>
      <c r="CP99" s="379">
        <f t="shared" si="227"/>
        <v>53.7</v>
      </c>
      <c r="CQ99" s="379"/>
      <c r="CR99" s="188">
        <f t="shared" si="228"/>
        <v>0.10112359550561799</v>
      </c>
      <c r="CS99" s="149">
        <f t="shared" si="290"/>
        <v>9.1011235955056193</v>
      </c>
      <c r="CT99" s="149">
        <f t="shared" si="229"/>
        <v>4.0449438202247192</v>
      </c>
      <c r="CU99" s="188">
        <f t="shared" si="230"/>
        <v>1.8202247191011238</v>
      </c>
      <c r="CV99" s="188">
        <f t="shared" si="231"/>
        <v>1.1376404494382024</v>
      </c>
      <c r="CW99" s="379">
        <f t="shared" si="232"/>
        <v>5</v>
      </c>
      <c r="CX99" s="188">
        <f t="shared" si="233"/>
        <v>3.0985185185185182</v>
      </c>
      <c r="CY99" s="188">
        <f t="shared" si="234"/>
        <v>0.77462962962962967</v>
      </c>
      <c r="CZ99" s="188">
        <f t="shared" si="235"/>
        <v>6.5231968810916179</v>
      </c>
      <c r="DA99" s="172">
        <f t="shared" si="236"/>
        <v>350</v>
      </c>
      <c r="DB99" s="379">
        <f t="shared" si="291"/>
        <v>137.02709957970345</v>
      </c>
      <c r="DD99" s="188">
        <f t="shared" si="237"/>
        <v>1.2130885873902635</v>
      </c>
      <c r="DE99" s="150">
        <f t="shared" si="238"/>
        <v>2.5538707102952913</v>
      </c>
      <c r="DF99" s="150">
        <f t="shared" si="239"/>
        <v>0.54216249715765974</v>
      </c>
      <c r="DG99" s="150"/>
      <c r="DH99" s="150">
        <f t="shared" si="240"/>
        <v>2.1052631578947367</v>
      </c>
      <c r="DI99" s="314">
        <f t="shared" si="241"/>
        <v>1071.5999999999999</v>
      </c>
      <c r="DJ99" s="456">
        <f t="shared" si="242"/>
        <v>0.36842105263157893</v>
      </c>
      <c r="DL99" s="150">
        <f t="shared" si="243"/>
        <v>1.892340450593492</v>
      </c>
      <c r="DM99" s="150">
        <f t="shared" si="244"/>
        <v>3.0985185185185182</v>
      </c>
      <c r="DN99" s="150">
        <f t="shared" si="245"/>
        <v>2.754458161865569</v>
      </c>
      <c r="DP99" s="314">
        <f t="shared" si="246"/>
        <v>1128</v>
      </c>
      <c r="DQ99" s="144">
        <f t="shared" si="247"/>
        <v>137.02709957970345</v>
      </c>
      <c r="DS99">
        <f t="shared" si="311"/>
        <v>1128</v>
      </c>
      <c r="DT99">
        <f t="shared" si="312"/>
        <v>137.02709957970345</v>
      </c>
      <c r="DV99" s="5">
        <f t="shared" si="293"/>
        <v>7.2978265107212472</v>
      </c>
      <c r="DW99" s="5">
        <f t="shared" si="249"/>
        <v>0.77462962962962967</v>
      </c>
      <c r="DX99" s="5">
        <f t="shared" si="294"/>
        <v>6.5231968810916179</v>
      </c>
      <c r="DY99" s="150">
        <f t="shared" si="295"/>
        <v>0.10614525139664806</v>
      </c>
      <c r="EA99" s="5">
        <f t="shared" si="250"/>
        <v>17.475644444444441</v>
      </c>
      <c r="EB99" s="5">
        <f t="shared" si="251"/>
        <v>2.2754745370370366</v>
      </c>
      <c r="EC99" s="5">
        <f t="shared" si="252"/>
        <v>0.31936484730344372</v>
      </c>
      <c r="ED99" s="5"/>
      <c r="EE99" s="150">
        <f t="shared" si="296"/>
        <v>0.5828324902569747</v>
      </c>
      <c r="EF99" s="150">
        <f t="shared" si="253"/>
        <v>1.6913245178956395</v>
      </c>
      <c r="EG99" s="150">
        <f t="shared" si="254"/>
        <v>0.37806077458843707</v>
      </c>
      <c r="EH99" s="150"/>
      <c r="EI99" s="456">
        <f t="shared" si="255"/>
        <v>6.7938742339829303E-3</v>
      </c>
      <c r="EJ99" s="456">
        <f t="shared" si="256"/>
        <v>0.45600000000000002</v>
      </c>
      <c r="EK99" s="456">
        <f t="shared" si="257"/>
        <v>1.712838744746293E-2</v>
      </c>
      <c r="EL99" s="456">
        <f t="shared" si="258"/>
        <v>3.9514367678699515E-2</v>
      </c>
      <c r="EM99">
        <f t="shared" si="259"/>
        <v>2.1600000000000001E-2</v>
      </c>
      <c r="EN99" s="144">
        <f t="shared" si="297"/>
        <v>38.728387447462929</v>
      </c>
      <c r="EO99">
        <f t="shared" si="260"/>
        <v>0.54374870789923946</v>
      </c>
      <c r="EP99" s="144">
        <f t="shared" si="298"/>
        <v>543.74870789923943</v>
      </c>
      <c r="EQ99" s="150">
        <f t="shared" si="261"/>
        <v>0.70076999999999989</v>
      </c>
      <c r="ER99" s="150">
        <f t="shared" si="262"/>
        <v>0.10428124999999999</v>
      </c>
      <c r="ES99" s="456"/>
      <c r="EU99" s="144">
        <f t="shared" si="299"/>
        <v>805.05124999999987</v>
      </c>
      <c r="EV99" s="456">
        <f t="shared" si="263"/>
        <v>1.0190811350974395E-2</v>
      </c>
      <c r="EW99" s="456">
        <f t="shared" si="300"/>
        <v>8.581735874504752E-2</v>
      </c>
      <c r="EX99" s="456">
        <f t="shared" si="264"/>
        <v>7.1464974641204505E-4</v>
      </c>
      <c r="EY99" s="456">
        <f t="shared" si="265"/>
        <v>0.18572544499675755</v>
      </c>
      <c r="EZ99" s="456">
        <f t="shared" si="266"/>
        <v>0.30804534273647977</v>
      </c>
      <c r="FA99" s="538">
        <f t="shared" si="267"/>
        <v>1.3155721084212705E-3</v>
      </c>
      <c r="FB99" s="144">
        <f t="shared" si="301"/>
        <v>309.360914844901</v>
      </c>
      <c r="FC99" s="150">
        <f t="shared" si="302"/>
        <v>1.6581608727441406</v>
      </c>
      <c r="FD99" s="5">
        <f t="shared" si="303"/>
        <v>7.52</v>
      </c>
      <c r="FE99" s="150">
        <f t="shared" si="304"/>
        <v>0.81933625965651935</v>
      </c>
      <c r="FF99" s="5">
        <f t="shared" si="305"/>
        <v>81.933625965651942</v>
      </c>
      <c r="FG99">
        <f t="shared" si="306"/>
        <v>94</v>
      </c>
      <c r="FI99" s="59">
        <f t="shared" si="268"/>
        <v>-50</v>
      </c>
      <c r="FJ99">
        <f t="shared" si="269"/>
        <v>-50</v>
      </c>
      <c r="FL99">
        <f t="shared" si="270"/>
        <v>0.82883202513712817</v>
      </c>
    </row>
    <row r="100" spans="5:169">
      <c r="E100" s="147">
        <v>95</v>
      </c>
      <c r="F100" s="188">
        <f t="shared" si="307"/>
        <v>1.1399999999999999</v>
      </c>
      <c r="G100" s="188">
        <f t="shared" si="271"/>
        <v>0.23749999999999999</v>
      </c>
      <c r="H100" s="188">
        <f t="shared" si="176"/>
        <v>5.6999999999999993</v>
      </c>
      <c r="I100" s="188">
        <f t="shared" si="308"/>
        <v>1.9</v>
      </c>
      <c r="J100" s="465">
        <f t="shared" si="177"/>
        <v>47.891846296775704</v>
      </c>
      <c r="K100" s="379">
        <f t="shared" si="178"/>
        <v>5.7412628843514364</v>
      </c>
      <c r="L100" s="149">
        <f t="shared" si="179"/>
        <v>53.633109181127139</v>
      </c>
      <c r="M100" s="379"/>
      <c r="N100" s="188">
        <f t="shared" si="180"/>
        <v>0.10704698966756376</v>
      </c>
      <c r="O100" s="149">
        <f t="shared" si="272"/>
        <v>9.6125212044215633</v>
      </c>
      <c r="P100" s="149">
        <f t="shared" si="181"/>
        <v>4.2722316464095833</v>
      </c>
      <c r="Q100" s="188">
        <f t="shared" si="182"/>
        <v>1.9225042408843127</v>
      </c>
      <c r="R100" s="188">
        <f t="shared" si="183"/>
        <v>1.2015651505526954</v>
      </c>
      <c r="S100" s="379">
        <f t="shared" si="184"/>
        <v>5</v>
      </c>
      <c r="T100" s="188">
        <f t="shared" si="185"/>
        <v>2.9648829265407062</v>
      </c>
      <c r="U100" s="188">
        <f t="shared" si="186"/>
        <v>0.74289462339821699</v>
      </c>
      <c r="V100" s="188">
        <f t="shared" si="187"/>
        <v>6.1969980882538218</v>
      </c>
      <c r="W100" s="172">
        <f t="shared" si="188"/>
        <v>350</v>
      </c>
      <c r="X100" s="379">
        <f t="shared" si="273"/>
        <v>140.05812697549882</v>
      </c>
      <c r="Z100" s="188">
        <f t="shared" si="189"/>
        <v>1.2206376132598813</v>
      </c>
      <c r="AA100" s="150">
        <f t="shared" si="190"/>
        <v>2.5512943152355327</v>
      </c>
      <c r="AB100" s="150">
        <f t="shared" si="191"/>
        <v>0.54498601564270566</v>
      </c>
      <c r="AC100" s="150"/>
      <c r="AD100" s="150">
        <f t="shared" si="192"/>
        <v>2.0901324746350789</v>
      </c>
      <c r="AE100" s="314">
        <f t="shared" si="193"/>
        <v>1090.8399480267728</v>
      </c>
      <c r="AF100" s="456">
        <f t="shared" si="194"/>
        <v>0.36577318306113887</v>
      </c>
      <c r="AH100" s="150">
        <f t="shared" si="195"/>
        <v>1.9023794624226835</v>
      </c>
      <c r="AI100" s="150">
        <f t="shared" si="196"/>
        <v>2.9648829265407062</v>
      </c>
      <c r="AJ100" s="150">
        <f t="shared" si="197"/>
        <v>2.6554688344745969</v>
      </c>
      <c r="AL100" s="314">
        <f t="shared" si="198"/>
        <v>1140</v>
      </c>
      <c r="AM100" s="144">
        <f t="shared" si="199"/>
        <v>140.05812697549882</v>
      </c>
      <c r="AO100">
        <f t="shared" si="274"/>
        <v>1140</v>
      </c>
      <c r="AP100">
        <f t="shared" si="200"/>
        <v>140.05812697549882</v>
      </c>
      <c r="AR100" s="5">
        <f t="shared" si="275"/>
        <v>7.1398927116520392</v>
      </c>
      <c r="AS100" s="5">
        <f t="shared" si="201"/>
        <v>0.74289462339821699</v>
      </c>
      <c r="AT100" s="5">
        <f t="shared" si="276"/>
        <v>6.396998088253822</v>
      </c>
      <c r="AU100" s="150">
        <f t="shared" si="277"/>
        <v>0.10404842949332287</v>
      </c>
      <c r="AW100" s="5">
        <f t="shared" si="202"/>
        <v>16.937997413479348</v>
      </c>
      <c r="AX100" s="5">
        <f t="shared" si="203"/>
        <v>2.2054684132134565</v>
      </c>
      <c r="AY100" s="5">
        <f t="shared" si="204"/>
        <v>0.31723292448271462</v>
      </c>
      <c r="AZ100" s="5"/>
      <c r="BA100" s="150">
        <f t="shared" si="278"/>
        <v>0.55215967522470832</v>
      </c>
      <c r="BB100" s="150">
        <f t="shared" si="205"/>
        <v>1.620276709625017</v>
      </c>
      <c r="BC100" s="150">
        <f t="shared" si="206"/>
        <v>0.36217949979853326</v>
      </c>
      <c r="BD100" s="150"/>
      <c r="BE100" s="456">
        <f t="shared" si="207"/>
        <v>6.0976061388851076E-3</v>
      </c>
      <c r="BF100" s="456">
        <f t="shared" si="208"/>
        <v>0.41759001884818969</v>
      </c>
      <c r="BG100" s="456">
        <f t="shared" si="209"/>
        <v>0.16769105724312211</v>
      </c>
      <c r="BH100" s="456">
        <f t="shared" si="210"/>
        <v>4.0287865891042676E-2</v>
      </c>
      <c r="BI100">
        <f t="shared" si="211"/>
        <v>2.1551330833549067E-2</v>
      </c>
      <c r="BJ100" s="144">
        <f t="shared" si="279"/>
        <v>189.24238807667118</v>
      </c>
      <c r="BK100">
        <f t="shared" si="212"/>
        <v>0.46629741213156817</v>
      </c>
      <c r="BL100" s="144">
        <f t="shared" si="280"/>
        <v>466.29741213156819</v>
      </c>
      <c r="BM100" s="150">
        <f t="shared" si="213"/>
        <v>0.70822499999999988</v>
      </c>
      <c r="BN100" s="150">
        <f t="shared" si="214"/>
        <v>0.10539062499999999</v>
      </c>
      <c r="BO100" s="456"/>
      <c r="BQ100" s="144">
        <f t="shared" si="281"/>
        <v>813.6156249999998</v>
      </c>
      <c r="BR100" s="456">
        <f t="shared" si="215"/>
        <v>9.1464092083276619E-3</v>
      </c>
      <c r="BS100" s="456">
        <f t="shared" si="216"/>
        <v>7.8758898472598149E-2</v>
      </c>
      <c r="BT100" s="456">
        <f t="shared" si="217"/>
        <v>6.5586995037157875E-4</v>
      </c>
      <c r="BU100" s="456">
        <f t="shared" si="218"/>
        <v>0.17569510530987212</v>
      </c>
      <c r="BV100" s="456">
        <f t="shared" si="219"/>
        <v>0.28754821425106897</v>
      </c>
      <c r="BW100" s="538">
        <f t="shared" si="220"/>
        <v>1.2311852744995402E-3</v>
      </c>
      <c r="BX100" s="144">
        <f t="shared" si="282"/>
        <v>288.77939952556852</v>
      </c>
      <c r="BY100" s="150">
        <f t="shared" si="283"/>
        <v>1.5686924366571366</v>
      </c>
      <c r="BZ100" s="5">
        <f t="shared" si="284"/>
        <v>7.6</v>
      </c>
      <c r="CA100" s="150">
        <f t="shared" si="285"/>
        <v>0.82890772621127706</v>
      </c>
      <c r="CB100" s="5">
        <f t="shared" si="286"/>
        <v>82.890772621127709</v>
      </c>
      <c r="CC100">
        <f t="shared" si="287"/>
        <v>95</v>
      </c>
      <c r="CE100" s="59">
        <f t="shared" si="221"/>
        <v>-50</v>
      </c>
      <c r="CF100">
        <f t="shared" si="222"/>
        <v>-50</v>
      </c>
      <c r="CG100" s="150">
        <f t="shared" si="223"/>
        <v>0.82883202513712817</v>
      </c>
      <c r="CH100" s="150">
        <f t="shared" si="224"/>
        <v>0.44965289283354887</v>
      </c>
      <c r="CI100" s="147">
        <v>95</v>
      </c>
      <c r="CJ100" s="188">
        <f t="shared" si="309"/>
        <v>1.1399999999999999</v>
      </c>
      <c r="CK100" s="188">
        <f t="shared" si="288"/>
        <v>0.23749999999999999</v>
      </c>
      <c r="CL100" s="188">
        <f t="shared" si="225"/>
        <v>5.6999999999999993</v>
      </c>
      <c r="CM100" s="188">
        <f t="shared" si="310"/>
        <v>1.9</v>
      </c>
      <c r="CN100" s="465">
        <f t="shared" si="289"/>
        <v>48</v>
      </c>
      <c r="CO100" s="379">
        <f t="shared" si="226"/>
        <v>5.7</v>
      </c>
      <c r="CP100" s="379">
        <f t="shared" si="227"/>
        <v>53.7</v>
      </c>
      <c r="CQ100" s="379"/>
      <c r="CR100" s="188">
        <f t="shared" si="228"/>
        <v>0.10112359550561799</v>
      </c>
      <c r="CS100" s="149">
        <f t="shared" si="290"/>
        <v>9.1011235955056193</v>
      </c>
      <c r="CT100" s="149">
        <f t="shared" si="229"/>
        <v>4.0449438202247192</v>
      </c>
      <c r="CU100" s="188">
        <f t="shared" si="230"/>
        <v>1.8202247191011238</v>
      </c>
      <c r="CV100" s="188">
        <f t="shared" si="231"/>
        <v>1.1376404494382024</v>
      </c>
      <c r="CW100" s="379">
        <f t="shared" si="232"/>
        <v>5</v>
      </c>
      <c r="CX100" s="188">
        <f t="shared" si="233"/>
        <v>3.1314814814814813</v>
      </c>
      <c r="CY100" s="188">
        <f t="shared" si="234"/>
        <v>0.78287037037037033</v>
      </c>
      <c r="CZ100" s="188">
        <f t="shared" si="235"/>
        <v>6.5925925925925917</v>
      </c>
      <c r="DA100" s="172">
        <f t="shared" si="236"/>
        <v>350</v>
      </c>
      <c r="DB100" s="379">
        <f t="shared" si="291"/>
        <v>135.58470905781184</v>
      </c>
      <c r="DD100" s="188">
        <f t="shared" si="237"/>
        <v>1.2130885873902635</v>
      </c>
      <c r="DE100" s="150">
        <f t="shared" si="238"/>
        <v>2.5538707102952913</v>
      </c>
      <c r="DF100" s="150">
        <f t="shared" si="239"/>
        <v>0.54216249715765974</v>
      </c>
      <c r="DG100" s="150"/>
      <c r="DH100" s="150">
        <f t="shared" si="240"/>
        <v>2.1052631578947367</v>
      </c>
      <c r="DI100" s="314">
        <f t="shared" si="241"/>
        <v>1083</v>
      </c>
      <c r="DJ100" s="456">
        <f t="shared" si="242"/>
        <v>0.36842105263157893</v>
      </c>
      <c r="DL100" s="150">
        <f t="shared" si="243"/>
        <v>1.9023794624226835</v>
      </c>
      <c r="DM100" s="150">
        <f t="shared" si="244"/>
        <v>3.1314814814814813</v>
      </c>
      <c r="DN100" s="150">
        <f t="shared" si="245"/>
        <v>2.7788751714677637</v>
      </c>
      <c r="DP100" s="314">
        <f t="shared" si="246"/>
        <v>1140</v>
      </c>
      <c r="DQ100" s="144">
        <f t="shared" si="247"/>
        <v>135.58470905781184</v>
      </c>
      <c r="DS100">
        <f t="shared" si="311"/>
        <v>1140</v>
      </c>
      <c r="DT100">
        <f t="shared" si="312"/>
        <v>135.58470905781184</v>
      </c>
      <c r="DV100" s="5">
        <f t="shared" si="293"/>
        <v>7.3754629629629624</v>
      </c>
      <c r="DW100" s="5">
        <f t="shared" si="249"/>
        <v>0.78287037037037033</v>
      </c>
      <c r="DX100" s="5">
        <f t="shared" si="294"/>
        <v>6.5925925925925917</v>
      </c>
      <c r="DY100" s="150">
        <f t="shared" si="295"/>
        <v>0.10614525139664804</v>
      </c>
      <c r="EA100" s="5">
        <f t="shared" si="250"/>
        <v>17.84944444444444</v>
      </c>
      <c r="EB100" s="5">
        <f t="shared" si="251"/>
        <v>2.3241464120370363</v>
      </c>
      <c r="EC100" s="5">
        <f t="shared" si="252"/>
        <v>0.32619598765432084</v>
      </c>
      <c r="ED100" s="5"/>
      <c r="EE100" s="150">
        <f t="shared" si="296"/>
        <v>0.58903283589800626</v>
      </c>
      <c r="EF100" s="150">
        <f t="shared" si="253"/>
        <v>1.7093173319158061</v>
      </c>
      <c r="EG100" s="150">
        <f t="shared" si="254"/>
        <v>0.38208269772235665</v>
      </c>
      <c r="EH100" s="150"/>
      <c r="EI100" s="456">
        <f t="shared" si="255"/>
        <v>6.9391936353209518E-3</v>
      </c>
      <c r="EJ100" s="456">
        <f t="shared" si="256"/>
        <v>0.45600000000000007</v>
      </c>
      <c r="EK100" s="456">
        <f t="shared" si="257"/>
        <v>1.694808863222648E-2</v>
      </c>
      <c r="EL100" s="456">
        <f t="shared" si="258"/>
        <v>3.9098426966292149E-2</v>
      </c>
      <c r="EM100">
        <f t="shared" si="259"/>
        <v>2.1600000000000001E-2</v>
      </c>
      <c r="EN100" s="144">
        <f t="shared" si="297"/>
        <v>38.548088632226481</v>
      </c>
      <c r="EO100">
        <f t="shared" si="260"/>
        <v>0.5433551496265876</v>
      </c>
      <c r="EP100" s="144">
        <f t="shared" si="298"/>
        <v>543.3551496265876</v>
      </c>
      <c r="EQ100" s="150">
        <f t="shared" si="261"/>
        <v>0.70822499999999988</v>
      </c>
      <c r="ER100" s="150">
        <f t="shared" si="262"/>
        <v>0.10539062499999999</v>
      </c>
      <c r="ES100" s="456"/>
      <c r="EU100" s="144">
        <f t="shared" si="299"/>
        <v>813.6156249999998</v>
      </c>
      <c r="EV100" s="456">
        <f t="shared" si="263"/>
        <v>1.0408790452981428E-2</v>
      </c>
      <c r="EW100" s="456">
        <f t="shared" si="300"/>
        <v>8.7652972235633092E-2</v>
      </c>
      <c r="EX100" s="456">
        <f t="shared" si="264"/>
        <v>7.2993593949396876E-4</v>
      </c>
      <c r="EY100" s="456">
        <f t="shared" si="265"/>
        <v>0.18572544499675769</v>
      </c>
      <c r="EZ100" s="456">
        <f t="shared" si="266"/>
        <v>0.31068258008124339</v>
      </c>
      <c r="FA100" s="538">
        <f t="shared" si="267"/>
        <v>1.3295675563831989E-3</v>
      </c>
      <c r="FB100" s="144">
        <f t="shared" si="301"/>
        <v>312.01214763762658</v>
      </c>
      <c r="FC100" s="150">
        <f t="shared" si="302"/>
        <v>1.6689829222642141</v>
      </c>
      <c r="FD100" s="5">
        <f t="shared" si="303"/>
        <v>7.6</v>
      </c>
      <c r="FE100" s="150">
        <f t="shared" si="304"/>
        <v>0.81993893653042593</v>
      </c>
      <c r="FF100" s="5">
        <f t="shared" si="305"/>
        <v>81.993893653042591</v>
      </c>
      <c r="FG100">
        <f t="shared" si="306"/>
        <v>95</v>
      </c>
      <c r="FI100" s="59">
        <f t="shared" si="268"/>
        <v>-50</v>
      </c>
      <c r="FJ100">
        <f t="shared" si="269"/>
        <v>-50</v>
      </c>
      <c r="FL100">
        <f t="shared" si="270"/>
        <v>0.82883202513712817</v>
      </c>
    </row>
    <row r="101" spans="5:169">
      <c r="E101" s="147">
        <v>96</v>
      </c>
      <c r="F101" s="188">
        <f t="shared" si="307"/>
        <v>1.1519999999999999</v>
      </c>
      <c r="G101" s="188">
        <f t="shared" si="271"/>
        <v>0.24</v>
      </c>
      <c r="H101" s="188">
        <f t="shared" si="176"/>
        <v>5.76</v>
      </c>
      <c r="I101" s="188">
        <f t="shared" si="308"/>
        <v>1.92</v>
      </c>
      <c r="J101" s="465">
        <f t="shared" si="177"/>
        <v>47.890707836741761</v>
      </c>
      <c r="K101" s="379">
        <f t="shared" si="178"/>
        <v>5.7416972305025045</v>
      </c>
      <c r="L101" s="149">
        <f t="shared" si="179"/>
        <v>53.632405067244264</v>
      </c>
      <c r="M101" s="379"/>
      <c r="N101" s="188">
        <f t="shared" si="180"/>
        <v>0.10705649361246376</v>
      </c>
      <c r="O101" s="149">
        <f t="shared" si="272"/>
        <v>9.6131461080384621</v>
      </c>
      <c r="P101" s="149">
        <f t="shared" si="181"/>
        <v>4.2725093813504271</v>
      </c>
      <c r="Q101" s="188">
        <f t="shared" si="182"/>
        <v>1.9226292216076923</v>
      </c>
      <c r="R101" s="188">
        <f t="shared" si="183"/>
        <v>1.2016432635048078</v>
      </c>
      <c r="S101" s="379">
        <f t="shared" si="184"/>
        <v>5</v>
      </c>
      <c r="T101" s="188">
        <f t="shared" si="185"/>
        <v>2.9958974592009575</v>
      </c>
      <c r="U101" s="188">
        <f t="shared" si="186"/>
        <v>0.75068361137961825</v>
      </c>
      <c r="V101" s="188">
        <f t="shared" si="187"/>
        <v>6.2613488777194091</v>
      </c>
      <c r="W101" s="172">
        <f t="shared" si="188"/>
        <v>350</v>
      </c>
      <c r="X101" s="379">
        <f t="shared" si="273"/>
        <v>138.65716793587632</v>
      </c>
      <c r="Z101" s="188">
        <f t="shared" si="189"/>
        <v>1.220716966100122</v>
      </c>
      <c r="AA101" s="150">
        <f t="shared" si="190"/>
        <v>2.5512671611072464</v>
      </c>
      <c r="AB101" s="150">
        <f>0.5*AA101*Z101*Nps*W101/1000*(Pout/Pout_total)</f>
        <v>0.5450156440080991</v>
      </c>
      <c r="AC101" s="150"/>
      <c r="AD101" s="150">
        <f t="shared" si="192"/>
        <v>2.0899743609346983</v>
      </c>
      <c r="AE101" s="314">
        <f>MAX(10, F101/(0.5*AD101/1000000*Isw_min*Nps)/1000*Pout_total/Pout)</f>
        <v>1102.405868256481</v>
      </c>
      <c r="AF101" s="456">
        <f t="shared" si="194"/>
        <v>0.36574551316357223</v>
      </c>
      <c r="AH101" s="150">
        <f t="shared" si="195"/>
        <v>1.9123657749350298</v>
      </c>
      <c r="AI101" s="150">
        <f>MAX(IF(F101&gt;AB101,T101,AH101),Isw_min)</f>
        <v>2.9958974592009575</v>
      </c>
      <c r="AJ101" s="150">
        <f>IF(F101&gt;AF101, (AI101-Isw_min)/1.08*0.8+1.2, AE101*0.2/350+1)</f>
        <v>2.6784425623710799</v>
      </c>
      <c r="AL101" s="314">
        <f t="shared" si="198"/>
        <v>1152</v>
      </c>
      <c r="AM101" s="144">
        <f t="shared" si="199"/>
        <v>138.65716793587632</v>
      </c>
      <c r="AO101">
        <f t="shared" si="274"/>
        <v>1152</v>
      </c>
      <c r="AP101">
        <f t="shared" si="200"/>
        <v>138.65716793587632</v>
      </c>
      <c r="AR101" s="5">
        <f t="shared" si="275"/>
        <v>7.2120324890990277</v>
      </c>
      <c r="AS101" s="5">
        <f t="shared" si="201"/>
        <v>0.75068361137961825</v>
      </c>
      <c r="AT101" s="5">
        <f t="shared" si="276"/>
        <v>6.4613488777194092</v>
      </c>
      <c r="AU101" s="150">
        <f t="shared" si="277"/>
        <v>0.10408766356977385</v>
      </c>
      <c r="AW101" s="5">
        <f t="shared" si="202"/>
        <v>17.295750406186404</v>
      </c>
      <c r="AX101" s="5">
        <f t="shared" si="203"/>
        <v>2.2520508341388545</v>
      </c>
      <c r="AY101" s="5">
        <f t="shared" si="204"/>
        <v>0.32380472135409583</v>
      </c>
      <c r="AZ101" s="5"/>
      <c r="BA101" s="150">
        <f t="shared" si="278"/>
        <v>0.55804079321976963</v>
      </c>
      <c r="BB101" s="150">
        <f t="shared" si="205"/>
        <v>1.6371899711960434</v>
      </c>
      <c r="BC101" s="150">
        <f t="shared" si="206"/>
        <v>0.36596011120852734</v>
      </c>
      <c r="BD101" s="150"/>
      <c r="BE101" s="456">
        <f t="shared" si="207"/>
        <v>6.228190537946994E-3</v>
      </c>
      <c r="BF101" s="456">
        <f t="shared" si="208"/>
        <v>0.41773206698663884</v>
      </c>
      <c r="BG101" s="456">
        <f t="shared" si="209"/>
        <v>0.16600974797717724</v>
      </c>
      <c r="BH101" s="456">
        <f t="shared" si="210"/>
        <v>3.9883831328334882E-2</v>
      </c>
      <c r="BI101">
        <f t="shared" si="211"/>
        <v>2.1550818526533792E-2</v>
      </c>
      <c r="BJ101" s="144">
        <f t="shared" si="279"/>
        <v>187.56056650371102</v>
      </c>
      <c r="BK101">
        <f t="shared" si="212"/>
        <v>0.46621561458999961</v>
      </c>
      <c r="BL101" s="144">
        <f t="shared" si="280"/>
        <v>466.21561458999963</v>
      </c>
      <c r="BM101" s="150">
        <f t="shared" si="213"/>
        <v>0.71567999999999987</v>
      </c>
      <c r="BN101" s="150">
        <f t="shared" si="214"/>
        <v>0.1065</v>
      </c>
      <c r="BO101" s="456"/>
      <c r="BQ101" s="144">
        <f t="shared" si="281"/>
        <v>822.18</v>
      </c>
      <c r="BR101" s="456">
        <f t="shared" si="215"/>
        <v>9.342285806920491E-3</v>
      </c>
      <c r="BS101" s="456">
        <f t="shared" si="216"/>
        <v>8.0411730053547043E-2</v>
      </c>
      <c r="BT101" s="456">
        <f t="shared" si="217"/>
        <v>6.6963401497878861E-4</v>
      </c>
      <c r="BU101" s="456">
        <f t="shared" si="218"/>
        <v>0.17585032680450821</v>
      </c>
      <c r="BV101" s="456">
        <f>(BU101+(BR101+BS101+BT101)*(1+Ltc*(Ta-25)))/(1-(BR101+BS101+BT101)*Ltc*ThetaCa)</f>
        <v>0.29007401675639316</v>
      </c>
      <c r="BW101" s="538">
        <f t="shared" si="220"/>
        <v>1.2445037650084154E-3</v>
      </c>
      <c r="BX101" s="144">
        <f t="shared" si="282"/>
        <v>291.31852052140158</v>
      </c>
      <c r="BY101" s="150">
        <f t="shared" si="283"/>
        <v>1.579714135111401</v>
      </c>
      <c r="BZ101" s="5">
        <f t="shared" si="284"/>
        <v>7.68</v>
      </c>
      <c r="CA101" s="150">
        <f t="shared" si="285"/>
        <v>0.829399254441196</v>
      </c>
      <c r="CB101" s="5">
        <f t="shared" si="286"/>
        <v>82.939925444119595</v>
      </c>
      <c r="CC101">
        <f t="shared" si="287"/>
        <v>96</v>
      </c>
      <c r="CE101" s="59">
        <f t="shared" si="221"/>
        <v>-50</v>
      </c>
      <c r="CF101">
        <f t="shared" si="222"/>
        <v>-50</v>
      </c>
      <c r="CG101" s="150">
        <f t="shared" si="223"/>
        <v>0.82883202513712817</v>
      </c>
      <c r="CH101" s="150">
        <f t="shared" si="224"/>
        <v>0.44965289283354892</v>
      </c>
      <c r="CI101" s="147">
        <v>96</v>
      </c>
      <c r="CJ101" s="188">
        <f t="shared" si="309"/>
        <v>1.1519999999999999</v>
      </c>
      <c r="CK101" s="188">
        <f t="shared" si="288"/>
        <v>0.24</v>
      </c>
      <c r="CL101" s="188">
        <f t="shared" si="225"/>
        <v>5.76</v>
      </c>
      <c r="CM101" s="188">
        <f t="shared" si="310"/>
        <v>1.92</v>
      </c>
      <c r="CN101" s="465">
        <f t="shared" si="289"/>
        <v>48</v>
      </c>
      <c r="CO101" s="379">
        <f t="shared" si="226"/>
        <v>5.7</v>
      </c>
      <c r="CP101" s="379">
        <f t="shared" si="227"/>
        <v>53.7</v>
      </c>
      <c r="CQ101" s="379"/>
      <c r="CR101" s="188">
        <f t="shared" si="228"/>
        <v>0.10112359550561799</v>
      </c>
      <c r="CS101" s="149">
        <f t="shared" si="290"/>
        <v>9.1011235955056193</v>
      </c>
      <c r="CT101" s="149">
        <f t="shared" si="229"/>
        <v>4.0449438202247192</v>
      </c>
      <c r="CU101" s="188">
        <f t="shared" si="230"/>
        <v>1.8202247191011238</v>
      </c>
      <c r="CV101" s="188">
        <f t="shared" si="231"/>
        <v>1.1376404494382024</v>
      </c>
      <c r="CW101" s="379">
        <f t="shared" si="232"/>
        <v>5</v>
      </c>
      <c r="CX101" s="188">
        <f t="shared" si="233"/>
        <v>3.1644444444444439</v>
      </c>
      <c r="CY101" s="188">
        <f t="shared" si="234"/>
        <v>0.79111111111111099</v>
      </c>
      <c r="CZ101" s="188">
        <f t="shared" si="235"/>
        <v>6.6619883040935663</v>
      </c>
      <c r="DA101" s="172">
        <f t="shared" si="236"/>
        <v>350</v>
      </c>
      <c r="DB101" s="379">
        <f t="shared" si="291"/>
        <v>134.17236833845962</v>
      </c>
      <c r="DD101" s="188">
        <f t="shared" si="237"/>
        <v>1.2130885873902635</v>
      </c>
      <c r="DE101" s="150">
        <f t="shared" si="238"/>
        <v>2.5538707102952913</v>
      </c>
      <c r="DF101" s="150">
        <f t="shared" si="239"/>
        <v>0.54216249715765974</v>
      </c>
      <c r="DG101" s="150"/>
      <c r="DH101" s="150">
        <f t="shared" si="240"/>
        <v>2.1052631578947367</v>
      </c>
      <c r="DI101" s="314">
        <f t="shared" si="241"/>
        <v>1094.4000000000001</v>
      </c>
      <c r="DJ101" s="456">
        <f t="shared" si="242"/>
        <v>0.36842105263157893</v>
      </c>
      <c r="DL101" s="150">
        <f t="shared" si="243"/>
        <v>1.9123657749350298</v>
      </c>
      <c r="DM101" s="150">
        <f t="shared" si="244"/>
        <v>3.1644444444444439</v>
      </c>
      <c r="DN101" s="150">
        <f t="shared" si="245"/>
        <v>2.8032921810699585</v>
      </c>
      <c r="DP101" s="314">
        <f t="shared" si="246"/>
        <v>1152</v>
      </c>
      <c r="DQ101" s="144">
        <f t="shared" si="247"/>
        <v>134.17236833845962</v>
      </c>
      <c r="DS101">
        <f t="shared" si="311"/>
        <v>1152</v>
      </c>
      <c r="DT101">
        <f t="shared" si="312"/>
        <v>134.17236833845962</v>
      </c>
      <c r="DV101" s="5">
        <f t="shared" si="293"/>
        <v>7.4530994152046777</v>
      </c>
      <c r="DW101" s="5">
        <f t="shared" si="249"/>
        <v>0.79111111111111099</v>
      </c>
      <c r="DX101" s="5">
        <f t="shared" si="294"/>
        <v>6.6619883040935663</v>
      </c>
      <c r="DY101" s="150">
        <f t="shared" si="295"/>
        <v>0.10614525139664804</v>
      </c>
      <c r="EA101" s="5">
        <f t="shared" si="250"/>
        <v>18.227199999999996</v>
      </c>
      <c r="EB101" s="5">
        <f t="shared" si="251"/>
        <v>2.3733333333333326</v>
      </c>
      <c r="EC101" s="5">
        <f t="shared" si="252"/>
        <v>0.33309941520467828</v>
      </c>
      <c r="ED101" s="5"/>
      <c r="EE101" s="150">
        <f t="shared" si="296"/>
        <v>0.59523318153903793</v>
      </c>
      <c r="EF101" s="150">
        <f t="shared" si="253"/>
        <v>1.7273101459359723</v>
      </c>
      <c r="EG101" s="150">
        <f t="shared" si="254"/>
        <v>0.38610462085627617</v>
      </c>
      <c r="EH101" s="150"/>
      <c r="EI101" s="456">
        <f t="shared" si="255"/>
        <v>7.0860508081017062E-3</v>
      </c>
      <c r="EJ101" s="456">
        <f t="shared" si="256"/>
        <v>0.45600000000000002</v>
      </c>
      <c r="EK101" s="456">
        <f t="shared" si="257"/>
        <v>1.6771546042307451E-2</v>
      </c>
      <c r="EL101" s="456">
        <f t="shared" si="258"/>
        <v>3.869115168539327E-2</v>
      </c>
      <c r="EM101">
        <f t="shared" si="259"/>
        <v>2.1600000000000001E-2</v>
      </c>
      <c r="EN101" s="144">
        <f t="shared" si="297"/>
        <v>38.371546042307457</v>
      </c>
      <c r="EO101">
        <f t="shared" si="260"/>
        <v>0.54297616171866936</v>
      </c>
      <c r="EP101" s="144">
        <f t="shared" si="298"/>
        <v>542.97616171866935</v>
      </c>
      <c r="EQ101" s="150">
        <f t="shared" si="261"/>
        <v>0.71567999999999987</v>
      </c>
      <c r="ER101" s="150">
        <f t="shared" si="262"/>
        <v>0.1065</v>
      </c>
      <c r="ES101" s="456"/>
      <c r="EU101" s="144">
        <f t="shared" si="299"/>
        <v>822.18</v>
      </c>
      <c r="EV101" s="456">
        <f t="shared" si="263"/>
        <v>1.0629076212152559E-2</v>
      </c>
      <c r="EW101" s="456">
        <f t="shared" si="300"/>
        <v>8.9508010207600491E-2</v>
      </c>
      <c r="EX101" s="456">
        <f t="shared" si="264"/>
        <v>7.4538389123284378E-4</v>
      </c>
      <c r="EY101" s="456">
        <f t="shared" si="265"/>
        <v>0.18572544499675711</v>
      </c>
      <c r="EZ101" s="456">
        <f t="shared" si="266"/>
        <v>0.31334861880103426</v>
      </c>
      <c r="FA101" s="538">
        <f t="shared" si="267"/>
        <v>1.343563004345127E-3</v>
      </c>
      <c r="FB101" s="144">
        <f t="shared" si="301"/>
        <v>314.69218180537939</v>
      </c>
      <c r="FC101" s="150">
        <f t="shared" si="302"/>
        <v>1.6798483435240488</v>
      </c>
      <c r="FD101" s="5">
        <f t="shared" si="303"/>
        <v>7.68</v>
      </c>
      <c r="FE101" s="150">
        <f t="shared" si="304"/>
        <v>0.82052611518152296</v>
      </c>
      <c r="FF101" s="5">
        <f t="shared" si="305"/>
        <v>82.05261151815229</v>
      </c>
      <c r="FG101">
        <f t="shared" si="306"/>
        <v>96</v>
      </c>
      <c r="FI101" s="59">
        <f t="shared" si="268"/>
        <v>-50</v>
      </c>
      <c r="FJ101">
        <f t="shared" si="269"/>
        <v>-50</v>
      </c>
      <c r="FL101">
        <f t="shared" si="270"/>
        <v>0.82883202513712817</v>
      </c>
    </row>
    <row r="102" spans="5:169">
      <c r="E102" s="147">
        <v>97</v>
      </c>
      <c r="F102" s="188">
        <f t="shared" si="307"/>
        <v>1.1639999999999999</v>
      </c>
      <c r="G102" s="188">
        <f t="shared" si="271"/>
        <v>0.24249999999999999</v>
      </c>
      <c r="H102" s="188">
        <f t="shared" si="176"/>
        <v>5.8199999999999994</v>
      </c>
      <c r="I102" s="188">
        <f t="shared" si="308"/>
        <v>1.94</v>
      </c>
      <c r="J102" s="465">
        <f t="shared" si="177"/>
        <v>47.889569376707826</v>
      </c>
      <c r="K102" s="379">
        <f t="shared" si="178"/>
        <v>5.7421315766535717</v>
      </c>
      <c r="L102" s="149">
        <f t="shared" si="179"/>
        <v>53.631700953361396</v>
      </c>
      <c r="M102" s="379"/>
      <c r="N102" s="188">
        <f t="shared" si="180"/>
        <v>0.10706599780691238</v>
      </c>
      <c r="O102" s="149">
        <f>N102*J102*Isw_max*0.5*Efficiency*Pout/(Pout+Pout2)</f>
        <v>9.6137709934885844</v>
      </c>
      <c r="P102" s="149">
        <f t="shared" si="181"/>
        <v>4.2727871082171482</v>
      </c>
      <c r="Q102" s="188">
        <f t="shared" si="182"/>
        <v>1.9227541986977168</v>
      </c>
      <c r="R102" s="188">
        <f t="shared" si="183"/>
        <v>1.2017213741860731</v>
      </c>
      <c r="S102" s="379">
        <f t="shared" si="184"/>
        <v>5</v>
      </c>
      <c r="T102" s="188">
        <f t="shared" si="185"/>
        <v>3.0269079656369446</v>
      </c>
      <c r="U102" s="188">
        <f t="shared" si="186"/>
        <v>0.75847196081303236</v>
      </c>
      <c r="V102" s="188">
        <f t="shared" si="187"/>
        <v>6.3256815178748962</v>
      </c>
      <c r="W102" s="172">
        <f t="shared" si="188"/>
        <v>350</v>
      </c>
      <c r="X102" s="379">
        <f t="shared" si="273"/>
        <v>137.28431216143551</v>
      </c>
      <c r="Z102" s="188">
        <f t="shared" si="189"/>
        <v>1.2207963166334708</v>
      </c>
      <c r="AA102" s="150">
        <f t="shared" si="190"/>
        <v>2.5512400062659646</v>
      </c>
      <c r="AB102" s="150">
        <f>0.5*AA102*Z102*Nps*W102/1000*(Pout/Pout_total)</f>
        <v>0.54504527043705242</v>
      </c>
      <c r="AC102" s="150"/>
      <c r="AD102" s="150">
        <f t="shared" si="192"/>
        <v>2.089816271154382</v>
      </c>
      <c r="AE102" s="314">
        <f>MAX(10, F102/(0.5*AD102/1000000*Isw_min*Nps)/1000*Pout_total/Pout)</f>
        <v>1113.9735258707929</v>
      </c>
      <c r="AF102" s="456">
        <f t="shared" si="194"/>
        <v>0.36571784745201685</v>
      </c>
      <c r="AH102" s="150">
        <f t="shared" si="195"/>
        <v>1.9223002094465096</v>
      </c>
      <c r="AI102" s="150">
        <f>MAX(IF(F102&gt;AB102,T102,AH102),Isw_min)</f>
        <v>3.0269079656369446</v>
      </c>
      <c r="AJ102" s="150">
        <f>IF(F102&gt;AF102, (AI102-Isw_min)/1.08*0.8+1.2, AE102*0.2/350+1)</f>
        <v>2.7014133078792182</v>
      </c>
      <c r="AL102" s="314">
        <f t="shared" si="198"/>
        <v>1164</v>
      </c>
      <c r="AM102" s="144">
        <f t="shared" si="199"/>
        <v>137.28431216143551</v>
      </c>
      <c r="AO102">
        <f t="shared" si="274"/>
        <v>1164</v>
      </c>
      <c r="AP102">
        <f t="shared" si="200"/>
        <v>137.28431216143551</v>
      </c>
      <c r="AR102" s="5">
        <f t="shared" si="275"/>
        <v>7.2841534786879283</v>
      </c>
      <c r="AS102" s="5">
        <f t="shared" si="201"/>
        <v>0.75847196081303236</v>
      </c>
      <c r="AT102" s="5">
        <f t="shared" si="276"/>
        <v>6.5256815178748955</v>
      </c>
      <c r="AU102" s="150">
        <f t="shared" si="277"/>
        <v>0.10412630143395242</v>
      </c>
      <c r="AW102" s="5">
        <f t="shared" si="202"/>
        <v>17.657227247727391</v>
      </c>
      <c r="AX102" s="5">
        <f t="shared" si="203"/>
        <v>2.2991181312145041</v>
      </c>
      <c r="AY102" s="5">
        <f t="shared" si="204"/>
        <v>0.33044309829487328</v>
      </c>
      <c r="AZ102" s="5"/>
      <c r="BA102" s="150">
        <f t="shared" si="278"/>
        <v>0.56392170438041589</v>
      </c>
      <c r="BB102" s="150">
        <f t="shared" si="205"/>
        <v>1.6541008399754482</v>
      </c>
      <c r="BC102" s="150">
        <f t="shared" si="206"/>
        <v>0.3697401877592178</v>
      </c>
      <c r="BD102" s="150"/>
      <c r="BE102" s="456">
        <f t="shared" si="207"/>
        <v>6.3601537734262635E-3</v>
      </c>
      <c r="BF102" s="456">
        <f t="shared" si="208"/>
        <v>0.41787171109182264</v>
      </c>
      <c r="BG102" s="456">
        <f t="shared" si="209"/>
        <v>0.16436216478971699</v>
      </c>
      <c r="BH102" s="456">
        <f t="shared" si="210"/>
        <v>3.9487901450271132E-2</v>
      </c>
      <c r="BI102">
        <f t="shared" si="211"/>
        <v>2.155030621951852E-2</v>
      </c>
      <c r="BJ102" s="144">
        <f t="shared" si="279"/>
        <v>185.91247100923553</v>
      </c>
      <c r="BK102">
        <f t="shared" si="212"/>
        <v>0.46614142795843166</v>
      </c>
      <c r="BL102" s="144">
        <f t="shared" si="280"/>
        <v>466.14142795843168</v>
      </c>
      <c r="BM102" s="150">
        <f t="shared" si="213"/>
        <v>0.72313499999999986</v>
      </c>
      <c r="BN102" s="150">
        <f t="shared" si="214"/>
        <v>0.10760937499999999</v>
      </c>
      <c r="BO102" s="456"/>
      <c r="BQ102" s="144">
        <f t="shared" si="281"/>
        <v>830.74437499999988</v>
      </c>
      <c r="BR102" s="456">
        <f t="shared" si="215"/>
        <v>9.5402306601393948E-3</v>
      </c>
      <c r="BS102" s="456">
        <f t="shared" si="216"/>
        <v>8.2081487664224489E-2</v>
      </c>
      <c r="BT102" s="456">
        <f t="shared" si="217"/>
        <v>6.8353903222110809E-4</v>
      </c>
      <c r="BU102" s="456">
        <f t="shared" si="218"/>
        <v>0.17600310323544091</v>
      </c>
      <c r="BV102" s="456">
        <f>(BU102+(BR102+BS102+BT102)*(1+Ltc*(Ta-25)))/(1-(BR102+BS102+BT102)*Ltc*ThetaCa)</f>
        <v>0.29262246974787809</v>
      </c>
      <c r="BW102" s="538">
        <f t="shared" si="220"/>
        <v>1.2578224579209085E-3</v>
      </c>
      <c r="BX102" s="144">
        <f t="shared" si="282"/>
        <v>293.88029220579898</v>
      </c>
      <c r="BY102" s="150">
        <f t="shared" si="283"/>
        <v>1.5907660951642306</v>
      </c>
      <c r="BZ102" s="5">
        <f t="shared" si="284"/>
        <v>7.76</v>
      </c>
      <c r="CA102" s="150">
        <f t="shared" si="285"/>
        <v>0.8298785277083448</v>
      </c>
      <c r="CB102" s="5">
        <f t="shared" si="286"/>
        <v>82.987852770834479</v>
      </c>
      <c r="CC102">
        <f t="shared" si="287"/>
        <v>97</v>
      </c>
      <c r="CE102" s="59">
        <f t="shared" si="221"/>
        <v>-50</v>
      </c>
      <c r="CF102">
        <f t="shared" si="222"/>
        <v>-50</v>
      </c>
      <c r="CG102" s="150">
        <f t="shared" si="223"/>
        <v>0.82883202513712839</v>
      </c>
      <c r="CH102" s="150">
        <f t="shared" si="224"/>
        <v>0.44965289283354898</v>
      </c>
      <c r="CI102" s="147">
        <v>97</v>
      </c>
      <c r="CJ102" s="188">
        <f t="shared" si="309"/>
        <v>1.1639999999999999</v>
      </c>
      <c r="CK102" s="188">
        <f t="shared" si="288"/>
        <v>0.24249999999999999</v>
      </c>
      <c r="CL102" s="188">
        <f t="shared" si="225"/>
        <v>5.8199999999999994</v>
      </c>
      <c r="CM102" s="188">
        <f t="shared" si="310"/>
        <v>1.94</v>
      </c>
      <c r="CN102" s="465">
        <f t="shared" si="289"/>
        <v>48</v>
      </c>
      <c r="CO102" s="379">
        <f t="shared" si="226"/>
        <v>5.7</v>
      </c>
      <c r="CP102" s="379">
        <f t="shared" si="227"/>
        <v>53.7</v>
      </c>
      <c r="CQ102" s="379"/>
      <c r="CR102" s="188">
        <f t="shared" si="228"/>
        <v>0.10112359550561799</v>
      </c>
      <c r="CS102" s="149">
        <f t="shared" si="290"/>
        <v>9.1011235955056193</v>
      </c>
      <c r="CT102" s="149">
        <f t="shared" si="229"/>
        <v>4.0449438202247192</v>
      </c>
      <c r="CU102" s="188">
        <f t="shared" si="230"/>
        <v>1.8202247191011238</v>
      </c>
      <c r="CV102" s="188">
        <f t="shared" si="231"/>
        <v>1.1376404494382024</v>
      </c>
      <c r="CW102" s="379">
        <f t="shared" si="232"/>
        <v>5</v>
      </c>
      <c r="CX102" s="188">
        <f t="shared" si="233"/>
        <v>3.197407407407407</v>
      </c>
      <c r="CY102" s="188">
        <f t="shared" si="234"/>
        <v>0.79935185185185165</v>
      </c>
      <c r="CZ102" s="188">
        <f t="shared" si="235"/>
        <v>6.731384015594541</v>
      </c>
      <c r="DA102" s="172">
        <f t="shared" si="236"/>
        <v>350</v>
      </c>
      <c r="DB102" s="379">
        <f t="shared" si="291"/>
        <v>132.78914804631057</v>
      </c>
      <c r="DD102" s="188">
        <f t="shared" si="237"/>
        <v>1.2130885873902635</v>
      </c>
      <c r="DE102" s="150">
        <f t="shared" si="238"/>
        <v>2.5538707102952913</v>
      </c>
      <c r="DF102" s="150">
        <f t="shared" si="239"/>
        <v>0.54216249715765974</v>
      </c>
      <c r="DG102" s="150"/>
      <c r="DH102" s="150">
        <f t="shared" si="240"/>
        <v>2.1052631578947367</v>
      </c>
      <c r="DI102" s="314">
        <f t="shared" si="241"/>
        <v>1105.8</v>
      </c>
      <c r="DJ102" s="456">
        <f t="shared" si="242"/>
        <v>0.36842105263157893</v>
      </c>
      <c r="DL102" s="150">
        <f t="shared" si="243"/>
        <v>1.9223002094465096</v>
      </c>
      <c r="DM102" s="150">
        <f t="shared" si="244"/>
        <v>3.197407407407407</v>
      </c>
      <c r="DN102" s="150">
        <f t="shared" si="245"/>
        <v>2.8277091906721532</v>
      </c>
      <c r="DP102" s="314">
        <f t="shared" si="246"/>
        <v>1164</v>
      </c>
      <c r="DQ102" s="144">
        <f t="shared" si="247"/>
        <v>132.78914804631057</v>
      </c>
      <c r="DS102">
        <f t="shared" si="311"/>
        <v>1164</v>
      </c>
      <c r="DT102">
        <f t="shared" si="312"/>
        <v>132.78914804631057</v>
      </c>
      <c r="DV102" s="5">
        <f t="shared" si="293"/>
        <v>7.530735867446392</v>
      </c>
      <c r="DW102" s="5">
        <f t="shared" si="249"/>
        <v>0.79935185185185165</v>
      </c>
      <c r="DX102" s="5">
        <f t="shared" si="294"/>
        <v>6.7313840155945401</v>
      </c>
      <c r="DY102" s="150">
        <f t="shared" si="295"/>
        <v>0.10614525139664804</v>
      </c>
      <c r="EA102" s="5">
        <f t="shared" si="250"/>
        <v>18.608911111111105</v>
      </c>
      <c r="EB102" s="5">
        <f t="shared" si="251"/>
        <v>2.4230353009259251</v>
      </c>
      <c r="EC102" s="5">
        <f t="shared" si="252"/>
        <v>0.34007512995451572</v>
      </c>
      <c r="ED102" s="5"/>
      <c r="EE102" s="150">
        <f t="shared" si="296"/>
        <v>0.60143352718006959</v>
      </c>
      <c r="EF102" s="150">
        <f t="shared" si="253"/>
        <v>1.7453029599561387</v>
      </c>
      <c r="EG102" s="150">
        <f t="shared" si="254"/>
        <v>0.39012654399019575</v>
      </c>
      <c r="EH102" s="150"/>
      <c r="EI102" s="456">
        <f t="shared" si="255"/>
        <v>7.2344457523251908E-3</v>
      </c>
      <c r="EJ102" s="456">
        <f t="shared" si="256"/>
        <v>0.45600000000000007</v>
      </c>
      <c r="EK102" s="456">
        <f t="shared" si="257"/>
        <v>1.659864350578882E-2</v>
      </c>
      <c r="EL102" s="456">
        <f t="shared" si="258"/>
        <v>3.8292273832966538E-2</v>
      </c>
      <c r="EM102">
        <f t="shared" si="259"/>
        <v>2.1600000000000001E-2</v>
      </c>
      <c r="EN102" s="144">
        <f t="shared" si="297"/>
        <v>38.198643505788816</v>
      </c>
      <c r="EO102">
        <f t="shared" si="260"/>
        <v>0.54261136045075054</v>
      </c>
      <c r="EP102" s="144">
        <f t="shared" si="298"/>
        <v>542.61136045075057</v>
      </c>
      <c r="EQ102" s="150">
        <f t="shared" si="261"/>
        <v>0.72313499999999986</v>
      </c>
      <c r="ER102" s="150">
        <f t="shared" si="262"/>
        <v>0.10760937499999999</v>
      </c>
      <c r="ES102" s="456"/>
      <c r="EU102" s="144">
        <f t="shared" si="299"/>
        <v>830.74437499999988</v>
      </c>
      <c r="EV102" s="456">
        <f t="shared" si="263"/>
        <v>1.0851668628487784E-2</v>
      </c>
      <c r="EW102" s="456">
        <f t="shared" si="300"/>
        <v>9.1382472660949773E-2</v>
      </c>
      <c r="EX102" s="456">
        <f t="shared" si="264"/>
        <v>7.6099360162867077E-4</v>
      </c>
      <c r="EY102" s="456">
        <f t="shared" si="265"/>
        <v>0.18572544499675744</v>
      </c>
      <c r="EZ102" s="456">
        <f t="shared" si="266"/>
        <v>0.31604348759256273</v>
      </c>
      <c r="FA102" s="538">
        <f t="shared" si="267"/>
        <v>1.3575584523070558E-3</v>
      </c>
      <c r="FB102" s="144">
        <f t="shared" si="301"/>
        <v>317.40104604486982</v>
      </c>
      <c r="FC102" s="150">
        <f t="shared" si="302"/>
        <v>1.6907567814956201</v>
      </c>
      <c r="FD102" s="5">
        <f t="shared" si="303"/>
        <v>7.76</v>
      </c>
      <c r="FE102" s="150">
        <f t="shared" si="304"/>
        <v>0.82109826539964648</v>
      </c>
      <c r="FF102" s="5">
        <f t="shared" si="305"/>
        <v>82.109826539964644</v>
      </c>
      <c r="FG102">
        <f t="shared" si="306"/>
        <v>97</v>
      </c>
      <c r="FI102" s="59">
        <f t="shared" si="268"/>
        <v>-50</v>
      </c>
      <c r="FJ102">
        <f t="shared" si="269"/>
        <v>-50</v>
      </c>
      <c r="FL102">
        <f t="shared" si="270"/>
        <v>0.82883202513712839</v>
      </c>
    </row>
    <row r="103" spans="5:169">
      <c r="E103" s="147">
        <v>98</v>
      </c>
      <c r="F103" s="188">
        <f t="shared" si="307"/>
        <v>1.1759999999999999</v>
      </c>
      <c r="G103" s="188">
        <f t="shared" si="271"/>
        <v>0.245</v>
      </c>
      <c r="H103" s="188">
        <f t="shared" si="176"/>
        <v>5.88</v>
      </c>
      <c r="I103" s="188">
        <f t="shared" si="308"/>
        <v>1.96</v>
      </c>
      <c r="J103" s="465">
        <f t="shared" si="177"/>
        <v>47.888430916673883</v>
      </c>
      <c r="K103" s="379">
        <f t="shared" si="178"/>
        <v>5.7425659228046397</v>
      </c>
      <c r="L103" s="149">
        <f t="shared" si="179"/>
        <v>53.63099683947852</v>
      </c>
      <c r="M103" s="379"/>
      <c r="N103" s="188">
        <f t="shared" si="180"/>
        <v>0.10707550225091951</v>
      </c>
      <c r="O103" s="149">
        <f>N103*J103*Isw_max*0.5*Efficiency*Pout/(Pout+Pout2)</f>
        <v>9.6143958607712214</v>
      </c>
      <c r="P103" s="149">
        <f t="shared" si="181"/>
        <v>4.2730648270094314</v>
      </c>
      <c r="Q103" s="188">
        <f t="shared" si="182"/>
        <v>1.9228791721542442</v>
      </c>
      <c r="R103" s="188">
        <f t="shared" si="183"/>
        <v>1.2017994825964027</v>
      </c>
      <c r="S103" s="379">
        <f t="shared" si="184"/>
        <v>5</v>
      </c>
      <c r="T103" s="188">
        <f t="shared" si="185"/>
        <v>3.0579144468097312</v>
      </c>
      <c r="U103" s="188">
        <f t="shared" si="186"/>
        <v>0.76625967189374433</v>
      </c>
      <c r="V103" s="188">
        <f t="shared" si="187"/>
        <v>6.3899960148468153</v>
      </c>
      <c r="W103" s="172">
        <f t="shared" si="188"/>
        <v>350</v>
      </c>
      <c r="X103" s="379">
        <f t="shared" si="273"/>
        <v>135.93872244034034</v>
      </c>
      <c r="Z103" s="188">
        <f t="shared" si="189"/>
        <v>1.2208756648598376</v>
      </c>
      <c r="AA103" s="150">
        <f t="shared" si="190"/>
        <v>2.5512128507116585</v>
      </c>
      <c r="AB103" s="150">
        <f>0.5*AA103*Z103*Nps*W103/1000*(Pout/Pout_total)</f>
        <v>0.54507489492952255</v>
      </c>
      <c r="AC103" s="150"/>
      <c r="AD103" s="150">
        <f t="shared" si="192"/>
        <v>2.0896582052887021</v>
      </c>
      <c r="AE103" s="314">
        <f>MAX(10, F103/(0.5*AD103/1000000*Isw_min*Nps)/1000*Pout_total/Pout)</f>
        <v>1125.5429208697092</v>
      </c>
      <c r="AF103" s="456">
        <f t="shared" si="194"/>
        <v>0.36569018592552283</v>
      </c>
      <c r="AH103" s="150">
        <f t="shared" si="195"/>
        <v>1.9321835661585918</v>
      </c>
      <c r="AI103" s="150">
        <f>MAX(IF(F103&gt;AB103,T103,AH103),Isw_min)</f>
        <v>3.0579144468097312</v>
      </c>
      <c r="AJ103" s="150">
        <f>IF(F103&gt;AF103, (AI103-Isw_min)/1.08*0.8+1.2, AE103*0.2/350+1)</f>
        <v>2.724381071710912</v>
      </c>
      <c r="AL103" s="314">
        <f t="shared" si="198"/>
        <v>1176</v>
      </c>
      <c r="AM103" s="144">
        <f t="shared" si="199"/>
        <v>135.93872244034034</v>
      </c>
      <c r="AO103">
        <f t="shared" si="274"/>
        <v>1176</v>
      </c>
      <c r="AP103">
        <f t="shared" si="200"/>
        <v>135.93872244034034</v>
      </c>
      <c r="AR103" s="5">
        <f t="shared" si="275"/>
        <v>7.3562556867405586</v>
      </c>
      <c r="AS103" s="5">
        <f t="shared" si="201"/>
        <v>0.76625967189374433</v>
      </c>
      <c r="AT103" s="5">
        <f t="shared" si="276"/>
        <v>6.5899960148468146</v>
      </c>
      <c r="AU103" s="150">
        <f t="shared" si="277"/>
        <v>0.10416436085478997</v>
      </c>
      <c r="AW103" s="5">
        <f t="shared" si="202"/>
        <v>18.022427482940866</v>
      </c>
      <c r="AX103" s="5">
        <f t="shared" si="203"/>
        <v>2.3466702451745918</v>
      </c>
      <c r="AY103" s="5">
        <f t="shared" si="204"/>
        <v>0.33714803194257775</v>
      </c>
      <c r="AZ103" s="5"/>
      <c r="BA103" s="150">
        <f t="shared" si="278"/>
        <v>0.56980240775136959</v>
      </c>
      <c r="BB103" s="150">
        <f t="shared" si="205"/>
        <v>1.6710093169867815</v>
      </c>
      <c r="BC103" s="150">
        <f t="shared" si="206"/>
        <v>0.37351972967939823</v>
      </c>
      <c r="BD103" s="150"/>
      <c r="BE103" s="456">
        <f t="shared" si="207"/>
        <v>6.4934956775851609E-3</v>
      </c>
      <c r="BF103" s="456">
        <f t="shared" si="208"/>
        <v>0.41800902273519719</v>
      </c>
      <c r="BG103" s="456">
        <f t="shared" si="209"/>
        <v>0.16274730296212858</v>
      </c>
      <c r="BH103" s="456">
        <f t="shared" si="210"/>
        <v>3.9099834813797661E-2</v>
      </c>
      <c r="BI103">
        <f t="shared" si="211"/>
        <v>2.1549793912503248E-2</v>
      </c>
      <c r="BJ103" s="144">
        <f t="shared" si="279"/>
        <v>184.29709687463182</v>
      </c>
      <c r="BK103">
        <f t="shared" si="212"/>
        <v>0.46607468251480277</v>
      </c>
      <c r="BL103" s="144">
        <f t="shared" si="280"/>
        <v>466.07468251480276</v>
      </c>
      <c r="BM103" s="150">
        <f t="shared" si="213"/>
        <v>0.73058999999999985</v>
      </c>
      <c r="BN103" s="150">
        <f t="shared" si="214"/>
        <v>0.10871874999999999</v>
      </c>
      <c r="BO103" s="456"/>
      <c r="BQ103" s="144">
        <f t="shared" si="281"/>
        <v>839.3087499999998</v>
      </c>
      <c r="BR103" s="456">
        <f t="shared" si="215"/>
        <v>9.74024351637774E-3</v>
      </c>
      <c r="BS103" s="456">
        <f t="shared" si="216"/>
        <v>8.3768164123698891E-2</v>
      </c>
      <c r="BT103" s="456">
        <f t="shared" si="217"/>
        <v>6.9758494229885365E-4</v>
      </c>
      <c r="BU103" s="456">
        <f t="shared" si="218"/>
        <v>0.17615350596986198</v>
      </c>
      <c r="BV103" s="456">
        <f>(BU103+(BR103+BS103+BT103)*(1+Ltc*(Ta-25)))/(1-(BR103+BS103+BT103)*Ltc*ThetaCa)</f>
        <v>0.29519365769417572</v>
      </c>
      <c r="BW103" s="538">
        <f t="shared" si="220"/>
        <v>1.271141347202258E-3</v>
      </c>
      <c r="BX103" s="144">
        <f t="shared" si="282"/>
        <v>296.46479904137794</v>
      </c>
      <c r="BY103" s="150">
        <f t="shared" si="283"/>
        <v>1.6018482315561806</v>
      </c>
      <c r="BZ103" s="5">
        <f t="shared" si="284"/>
        <v>7.84</v>
      </c>
      <c r="CA103" s="150">
        <f t="shared" si="285"/>
        <v>0.83034590344266013</v>
      </c>
      <c r="CB103" s="5">
        <f t="shared" si="286"/>
        <v>83.034590344266007</v>
      </c>
      <c r="CC103">
        <f t="shared" si="287"/>
        <v>98</v>
      </c>
      <c r="CE103" s="59">
        <f t="shared" si="221"/>
        <v>-50</v>
      </c>
      <c r="CF103">
        <f t="shared" si="222"/>
        <v>-50</v>
      </c>
      <c r="CG103" s="150">
        <f t="shared" si="223"/>
        <v>0.82883202513712817</v>
      </c>
      <c r="CH103" s="150">
        <f t="shared" si="224"/>
        <v>0.44965289283354898</v>
      </c>
      <c r="CI103" s="147">
        <v>98</v>
      </c>
      <c r="CJ103" s="188">
        <f t="shared" si="309"/>
        <v>1.1759999999999999</v>
      </c>
      <c r="CK103" s="188">
        <f t="shared" si="288"/>
        <v>0.245</v>
      </c>
      <c r="CL103" s="188">
        <f t="shared" si="225"/>
        <v>5.88</v>
      </c>
      <c r="CM103" s="188">
        <f t="shared" si="310"/>
        <v>1.96</v>
      </c>
      <c r="CN103" s="465">
        <f t="shared" si="289"/>
        <v>48</v>
      </c>
      <c r="CO103" s="379">
        <f t="shared" si="226"/>
        <v>5.7</v>
      </c>
      <c r="CP103" s="379">
        <f t="shared" si="227"/>
        <v>53.7</v>
      </c>
      <c r="CQ103" s="379"/>
      <c r="CR103" s="188">
        <f t="shared" si="228"/>
        <v>0.10112359550561799</v>
      </c>
      <c r="CS103" s="149">
        <f t="shared" si="290"/>
        <v>9.1011235955056193</v>
      </c>
      <c r="CT103" s="149">
        <f t="shared" si="229"/>
        <v>4.0449438202247192</v>
      </c>
      <c r="CU103" s="188">
        <f t="shared" si="230"/>
        <v>1.8202247191011238</v>
      </c>
      <c r="CV103" s="188">
        <f t="shared" si="231"/>
        <v>1.1376404494382024</v>
      </c>
      <c r="CW103" s="379">
        <f t="shared" si="232"/>
        <v>5</v>
      </c>
      <c r="CX103" s="188">
        <f t="shared" si="233"/>
        <v>3.2303703703703701</v>
      </c>
      <c r="CY103" s="188">
        <f t="shared" si="234"/>
        <v>0.80759259259259253</v>
      </c>
      <c r="CZ103" s="188">
        <f t="shared" si="235"/>
        <v>6.8007797270955157</v>
      </c>
      <c r="DA103" s="172">
        <f t="shared" si="236"/>
        <v>350</v>
      </c>
      <c r="DB103" s="379">
        <f t="shared" si="291"/>
        <v>131.43415673971558</v>
      </c>
      <c r="DD103" s="188">
        <f t="shared" si="237"/>
        <v>1.2130885873902635</v>
      </c>
      <c r="DE103" s="150">
        <f t="shared" si="238"/>
        <v>2.5538707102952913</v>
      </c>
      <c r="DF103" s="150">
        <f t="shared" si="239"/>
        <v>0.54216249715765974</v>
      </c>
      <c r="DG103" s="150"/>
      <c r="DH103" s="150">
        <f t="shared" si="240"/>
        <v>2.1052631578947367</v>
      </c>
      <c r="DI103" s="314">
        <f t="shared" si="241"/>
        <v>1117.2</v>
      </c>
      <c r="DJ103" s="456">
        <f t="shared" si="242"/>
        <v>0.36842105263157893</v>
      </c>
      <c r="DL103" s="150">
        <f t="shared" si="243"/>
        <v>1.9321835661585918</v>
      </c>
      <c r="DM103" s="150">
        <f t="shared" si="244"/>
        <v>3.2303703703703701</v>
      </c>
      <c r="DN103" s="150">
        <f t="shared" si="245"/>
        <v>2.8521262002743484</v>
      </c>
      <c r="DP103" s="314">
        <f t="shared" si="246"/>
        <v>1176</v>
      </c>
      <c r="DQ103" s="144">
        <f t="shared" si="247"/>
        <v>131.43415673971558</v>
      </c>
      <c r="DS103">
        <f t="shared" si="311"/>
        <v>1176</v>
      </c>
      <c r="DT103">
        <f t="shared" si="312"/>
        <v>131.43415673971558</v>
      </c>
      <c r="DV103" s="5">
        <f t="shared" si="293"/>
        <v>7.6083723196881072</v>
      </c>
      <c r="DW103" s="5">
        <f t="shared" si="249"/>
        <v>0.80759259259259253</v>
      </c>
      <c r="DX103" s="5">
        <f t="shared" si="294"/>
        <v>6.8007797270955148</v>
      </c>
      <c r="DY103" s="150">
        <f t="shared" si="295"/>
        <v>0.10614525139664806</v>
      </c>
      <c r="EA103" s="5">
        <f t="shared" si="250"/>
        <v>18.994577777777774</v>
      </c>
      <c r="EB103" s="5">
        <f t="shared" si="251"/>
        <v>2.4732523148148142</v>
      </c>
      <c r="EC103" s="5">
        <f t="shared" si="252"/>
        <v>0.34712313190383354</v>
      </c>
      <c r="ED103" s="5"/>
      <c r="EE103" s="150">
        <f t="shared" si="296"/>
        <v>0.60763387282110126</v>
      </c>
      <c r="EF103" s="150">
        <f t="shared" si="253"/>
        <v>1.7632957739763051</v>
      </c>
      <c r="EG103" s="150">
        <f t="shared" si="254"/>
        <v>0.39414846712411522</v>
      </c>
      <c r="EH103" s="150"/>
      <c r="EI103" s="456">
        <f t="shared" si="255"/>
        <v>7.3843784679914048E-3</v>
      </c>
      <c r="EJ103" s="456">
        <f t="shared" si="256"/>
        <v>0.45600000000000018</v>
      </c>
      <c r="EK103" s="456">
        <f t="shared" si="257"/>
        <v>1.6429269592464445E-2</v>
      </c>
      <c r="EL103" s="456">
        <f t="shared" si="258"/>
        <v>3.7901536344875052E-2</v>
      </c>
      <c r="EM103">
        <f t="shared" si="259"/>
        <v>2.1600000000000001E-2</v>
      </c>
      <c r="EN103" s="144">
        <f t="shared" si="297"/>
        <v>38.029269592464445</v>
      </c>
      <c r="EO103">
        <f t="shared" si="260"/>
        <v>0.54226037778349001</v>
      </c>
      <c r="EP103" s="144">
        <f t="shared" si="298"/>
        <v>542.26037778348996</v>
      </c>
      <c r="EQ103" s="150">
        <f t="shared" si="261"/>
        <v>0.73058999999999985</v>
      </c>
      <c r="ER103" s="150">
        <f t="shared" si="262"/>
        <v>0.10871874999999999</v>
      </c>
      <c r="ES103" s="456"/>
      <c r="EU103" s="144">
        <f t="shared" si="299"/>
        <v>839.3087499999998</v>
      </c>
      <c r="EV103" s="456">
        <f t="shared" si="263"/>
        <v>1.1076567701987106E-2</v>
      </c>
      <c r="EW103" s="456">
        <f t="shared" si="300"/>
        <v>9.3276359595680911E-2</v>
      </c>
      <c r="EX103" s="456">
        <f t="shared" si="264"/>
        <v>7.7676507068144877E-4</v>
      </c>
      <c r="EY103" s="456">
        <f t="shared" si="265"/>
        <v>0.18572544499675736</v>
      </c>
      <c r="EZ103" s="456">
        <f t="shared" si="266"/>
        <v>0.31876721547753212</v>
      </c>
      <c r="FA103" s="538">
        <f t="shared" si="267"/>
        <v>1.3715539002689843E-3</v>
      </c>
      <c r="FB103" s="144">
        <f t="shared" si="301"/>
        <v>320.13876937780111</v>
      </c>
      <c r="FC103" s="150">
        <f t="shared" si="302"/>
        <v>1.7017078971612909</v>
      </c>
      <c r="FD103" s="5">
        <f t="shared" si="303"/>
        <v>7.84</v>
      </c>
      <c r="FE103" s="150">
        <f t="shared" si="304"/>
        <v>0.82165583818934984</v>
      </c>
      <c r="FF103" s="5">
        <f t="shared" si="305"/>
        <v>82.165583818934991</v>
      </c>
      <c r="FG103">
        <f t="shared" si="306"/>
        <v>98</v>
      </c>
      <c r="FI103" s="59">
        <f t="shared" si="268"/>
        <v>-50</v>
      </c>
      <c r="FJ103">
        <f t="shared" si="269"/>
        <v>-50</v>
      </c>
      <c r="FL103">
        <f t="shared" si="270"/>
        <v>0.82883202513712817</v>
      </c>
    </row>
    <row r="104" spans="5:169">
      <c r="E104" s="147">
        <v>99</v>
      </c>
      <c r="F104" s="188">
        <f>IF(PLOT_TYPE=1, E104/100*Iout_max, min_I*EXP(O104*rr/100))</f>
        <v>1.1879999999999999</v>
      </c>
      <c r="G104" s="188">
        <f t="shared" si="271"/>
        <v>0.2475</v>
      </c>
      <c r="H104" s="188">
        <f t="shared" si="176"/>
        <v>5.9399999999999995</v>
      </c>
      <c r="I104" s="188">
        <f t="shared" si="308"/>
        <v>1.98</v>
      </c>
      <c r="J104" s="465">
        <f t="shared" si="177"/>
        <v>47.887292456639948</v>
      </c>
      <c r="K104" s="379">
        <f t="shared" si="178"/>
        <v>5.7430002689557078</v>
      </c>
      <c r="L104" s="149">
        <f t="shared" si="179"/>
        <v>53.630292725595652</v>
      </c>
      <c r="M104" s="379"/>
      <c r="N104" s="188">
        <f t="shared" si="180"/>
        <v>0.10708500694449496</v>
      </c>
      <c r="O104" s="149">
        <f>N104*J104*Isw_max*0.5*Efficiency*Pout/(Pout+Pout2)</f>
        <v>9.6150207098856573</v>
      </c>
      <c r="P104" s="149">
        <f t="shared" si="181"/>
        <v>4.2733425377269585</v>
      </c>
      <c r="Q104" s="188">
        <f t="shared" si="182"/>
        <v>1.9230041419771315</v>
      </c>
      <c r="R104" s="188">
        <f t="shared" si="183"/>
        <v>1.2018775887357072</v>
      </c>
      <c r="S104" s="379">
        <f t="shared" si="184"/>
        <v>5</v>
      </c>
      <c r="T104" s="188">
        <f t="shared" si="185"/>
        <v>3.0889169036800959</v>
      </c>
      <c r="U104" s="188">
        <f t="shared" si="186"/>
        <v>0.77404674481698577</v>
      </c>
      <c r="V104" s="188">
        <f t="shared" si="187"/>
        <v>6.4542923747592509</v>
      </c>
      <c r="W104" s="172">
        <f t="shared" si="188"/>
        <v>350</v>
      </c>
      <c r="X104" s="379">
        <f t="shared" si="273"/>
        <v>134.61959448844425</v>
      </c>
      <c r="Z104" s="188">
        <f t="shared" si="189"/>
        <v>1.2209550107791307</v>
      </c>
      <c r="AA104" s="150">
        <f t="shared" si="190"/>
        <v>2.5511856944443001</v>
      </c>
      <c r="AB104" s="150">
        <f>0.5*AA104*Z104*Nps*W104/1000*(Pout/Pout_total)</f>
        <v>0.54510451748546573</v>
      </c>
      <c r="AC104" s="150"/>
      <c r="AD104" s="150">
        <f t="shared" si="192"/>
        <v>2.0895001633322314</v>
      </c>
      <c r="AE104" s="314">
        <f>MAX(10, F104/(0.5*AD104/1000000*Isw_min*Nps)/1000*Pout_total/Pout)</f>
        <v>1137.1140532532302</v>
      </c>
      <c r="AF104" s="456">
        <f t="shared" si="194"/>
        <v>0.36566252858314047</v>
      </c>
      <c r="AH104" s="150">
        <f t="shared" si="195"/>
        <v>1.9420166249104489</v>
      </c>
      <c r="AI104" s="150">
        <f>MAX(IF(F104&gt;AB104,T104,AH104),Isw_min)</f>
        <v>3.0889169036800959</v>
      </c>
      <c r="AJ104" s="150">
        <f>IF(F104&gt;AF104, (AI104-Isw_min)/1.08*0.8+1.2, AE104*0.2/350+1)</f>
        <v>2.7473458545778486</v>
      </c>
      <c r="AL104" s="314">
        <f t="shared" si="198"/>
        <v>1188</v>
      </c>
      <c r="AM104" s="144">
        <f t="shared" si="199"/>
        <v>134.61959448844425</v>
      </c>
      <c r="AO104">
        <f t="shared" si="274"/>
        <v>1188</v>
      </c>
      <c r="AP104">
        <f t="shared" si="200"/>
        <v>134.61959448844425</v>
      </c>
      <c r="AR104" s="5">
        <f t="shared" si="275"/>
        <v>7.4283391195762372</v>
      </c>
      <c r="AS104" s="5">
        <f t="shared" si="201"/>
        <v>0.77404674481698577</v>
      </c>
      <c r="AT104" s="5">
        <f t="shared" si="276"/>
        <v>6.6542923747592511</v>
      </c>
      <c r="AU104" s="150">
        <f t="shared" si="277"/>
        <v>0.1042018589023629</v>
      </c>
      <c r="AW104" s="5">
        <f t="shared" si="202"/>
        <v>18.391350656851582</v>
      </c>
      <c r="AX104" s="5">
        <f t="shared" si="203"/>
        <v>2.3947071167775498</v>
      </c>
      <c r="AY104" s="5">
        <f t="shared" si="204"/>
        <v>0.34391949894518486</v>
      </c>
      <c r="AZ104" s="5"/>
      <c r="BA104" s="150">
        <f t="shared" si="278"/>
        <v>0.57568290241769882</v>
      </c>
      <c r="BB104" s="150">
        <f t="shared" si="205"/>
        <v>1.6879154032348533</v>
      </c>
      <c r="BC104" s="150">
        <f t="shared" si="206"/>
        <v>0.37729873719367313</v>
      </c>
      <c r="BD104" s="150"/>
      <c r="BE104" s="456">
        <f t="shared" si="207"/>
        <v>6.6282160827213143E-3</v>
      </c>
      <c r="BF104" s="456">
        <f t="shared" si="208"/>
        <v>0.41814407067330023</v>
      </c>
      <c r="BG104" s="456">
        <f t="shared" si="209"/>
        <v>0.16116419729156012</v>
      </c>
      <c r="BH104" s="456">
        <f t="shared" si="210"/>
        <v>3.8719399471858741E-2</v>
      </c>
      <c r="BI104">
        <f t="shared" si="211"/>
        <v>2.1549281605487976E-2</v>
      </c>
      <c r="BJ104" s="144">
        <f t="shared" si="279"/>
        <v>182.71347889704808</v>
      </c>
      <c r="BK104">
        <f t="shared" si="212"/>
        <v>0.46601521522194717</v>
      </c>
      <c r="BL104" s="144">
        <f t="shared" si="280"/>
        <v>466.01521522194719</v>
      </c>
      <c r="BM104" s="150">
        <f t="shared" si="213"/>
        <v>0.73804499999999984</v>
      </c>
      <c r="BN104" s="150">
        <f t="shared" si="214"/>
        <v>0.109828125</v>
      </c>
      <c r="BO104" s="456"/>
      <c r="BQ104" s="144">
        <f t="shared" si="281"/>
        <v>847.87312499999973</v>
      </c>
      <c r="BR104" s="456">
        <f t="shared" si="215"/>
        <v>9.942324124081971E-3</v>
      </c>
      <c r="BS104" s="456">
        <f t="shared" si="216"/>
        <v>8.5471752254324324E-2</v>
      </c>
      <c r="BT104" s="456">
        <f t="shared" si="217"/>
        <v>7.1177168543970222E-4</v>
      </c>
      <c r="BU104" s="456">
        <f t="shared" si="218"/>
        <v>0.17630160362756922</v>
      </c>
      <c r="BV104" s="456">
        <f>(BU104+(BR104+BS104+BT104)*(1+Ltc*(Ta-25)))/(1-(BR104+BS104+BT104)*Ltc*ThetaCa)</f>
        <v>0.29778766255522399</v>
      </c>
      <c r="BW104" s="538">
        <f t="shared" si="220"/>
        <v>1.2844604270550505E-3</v>
      </c>
      <c r="BX104" s="144">
        <f t="shared" si="282"/>
        <v>299.07212298227904</v>
      </c>
      <c r="BY104" s="150">
        <f t="shared" si="283"/>
        <v>1.612960463204226</v>
      </c>
      <c r="BZ104" s="5">
        <f t="shared" si="284"/>
        <v>7.92</v>
      </c>
      <c r="CA104" s="150">
        <f t="shared" si="285"/>
        <v>0.83080172529509511</v>
      </c>
      <c r="CB104" s="5">
        <f t="shared" si="286"/>
        <v>83.080172529509511</v>
      </c>
      <c r="CC104">
        <f t="shared" si="287"/>
        <v>99</v>
      </c>
      <c r="CE104" s="59">
        <f t="shared" si="221"/>
        <v>-50</v>
      </c>
      <c r="CF104">
        <f t="shared" si="222"/>
        <v>-50</v>
      </c>
      <c r="CG104" s="150">
        <f t="shared" si="223"/>
        <v>0.82883202513712817</v>
      </c>
      <c r="CH104" s="150">
        <f t="shared" si="224"/>
        <v>0.44965289283354892</v>
      </c>
      <c r="CI104" s="147">
        <v>99</v>
      </c>
      <c r="CJ104" s="188">
        <f t="shared" si="309"/>
        <v>1.1879999999999999</v>
      </c>
      <c r="CK104" s="188">
        <f t="shared" si="288"/>
        <v>0.2475</v>
      </c>
      <c r="CL104" s="188">
        <f t="shared" si="225"/>
        <v>5.9399999999999995</v>
      </c>
      <c r="CM104" s="188">
        <f t="shared" si="310"/>
        <v>1.98</v>
      </c>
      <c r="CN104" s="465">
        <f t="shared" si="289"/>
        <v>48</v>
      </c>
      <c r="CO104" s="379">
        <f t="shared" si="226"/>
        <v>5.7</v>
      </c>
      <c r="CP104" s="379">
        <f t="shared" si="227"/>
        <v>53.7</v>
      </c>
      <c r="CQ104" s="379"/>
      <c r="CR104" s="188">
        <f t="shared" si="228"/>
        <v>0.10112359550561799</v>
      </c>
      <c r="CS104" s="149">
        <f t="shared" si="290"/>
        <v>9.1011235955056193</v>
      </c>
      <c r="CT104" s="149">
        <f t="shared" si="229"/>
        <v>4.0449438202247192</v>
      </c>
      <c r="CU104" s="188">
        <f t="shared" si="230"/>
        <v>1.8202247191011238</v>
      </c>
      <c r="CV104" s="188">
        <f t="shared" si="231"/>
        <v>1.1376404494382024</v>
      </c>
      <c r="CW104" s="379">
        <f t="shared" si="232"/>
        <v>5</v>
      </c>
      <c r="CX104" s="188">
        <f t="shared" si="233"/>
        <v>3.2633333333333332</v>
      </c>
      <c r="CY104" s="188">
        <f t="shared" si="234"/>
        <v>0.8158333333333333</v>
      </c>
      <c r="CZ104" s="188">
        <f t="shared" si="235"/>
        <v>6.8701754385964904</v>
      </c>
      <c r="DA104" s="172">
        <f t="shared" si="236"/>
        <v>350</v>
      </c>
      <c r="DB104" s="379">
        <f t="shared" si="291"/>
        <v>130.10653899486994</v>
      </c>
      <c r="DD104" s="188">
        <f t="shared" si="237"/>
        <v>1.2130885873902635</v>
      </c>
      <c r="DE104" s="150">
        <f t="shared" si="238"/>
        <v>2.5538707102952913</v>
      </c>
      <c r="DF104" s="150">
        <f t="shared" si="239"/>
        <v>0.54216249715765974</v>
      </c>
      <c r="DG104" s="150"/>
      <c r="DH104" s="150">
        <f t="shared" si="240"/>
        <v>2.1052631578947367</v>
      </c>
      <c r="DI104" s="314">
        <f t="shared" si="241"/>
        <v>1128.5999999999999</v>
      </c>
      <c r="DJ104" s="456">
        <f t="shared" si="242"/>
        <v>0.36842105263157893</v>
      </c>
      <c r="DL104" s="150">
        <f t="shared" si="243"/>
        <v>1.9420166249104489</v>
      </c>
      <c r="DM104" s="150">
        <f t="shared" si="244"/>
        <v>3.2633333333333332</v>
      </c>
      <c r="DN104" s="150">
        <f t="shared" si="245"/>
        <v>2.8765432098765431</v>
      </c>
      <c r="DP104" s="314">
        <f t="shared" si="246"/>
        <v>1188</v>
      </c>
      <c r="DQ104" s="144">
        <f t="shared" si="247"/>
        <v>130.10653899486994</v>
      </c>
      <c r="DS104">
        <f t="shared" si="311"/>
        <v>1188</v>
      </c>
      <c r="DT104">
        <f t="shared" si="312"/>
        <v>130.10653899486994</v>
      </c>
      <c r="DV104" s="5">
        <f t="shared" si="293"/>
        <v>7.6860087719298242</v>
      </c>
      <c r="DW104" s="5">
        <f t="shared" si="249"/>
        <v>0.8158333333333333</v>
      </c>
      <c r="DX104" s="5">
        <f t="shared" si="294"/>
        <v>6.8701754385964913</v>
      </c>
      <c r="DY104" s="150">
        <f t="shared" si="295"/>
        <v>0.10614525139664804</v>
      </c>
      <c r="EA104" s="5">
        <f t="shared" si="250"/>
        <v>19.384199999999996</v>
      </c>
      <c r="EB104" s="5">
        <f t="shared" si="251"/>
        <v>2.5239843749999999</v>
      </c>
      <c r="EC104" s="5">
        <f t="shared" si="252"/>
        <v>0.35424342105263146</v>
      </c>
      <c r="ED104" s="5"/>
      <c r="EE104" s="150">
        <f t="shared" si="296"/>
        <v>0.61383421846213293</v>
      </c>
      <c r="EF104" s="150">
        <f t="shared" si="253"/>
        <v>1.7812885879964717</v>
      </c>
      <c r="EG104" s="150">
        <f t="shared" si="254"/>
        <v>0.3981703902580348</v>
      </c>
      <c r="EH104" s="150"/>
      <c r="EI104" s="456">
        <f t="shared" si="255"/>
        <v>7.5358489551003507E-3</v>
      </c>
      <c r="EJ104" s="456">
        <f t="shared" si="256"/>
        <v>0.45600000000000007</v>
      </c>
      <c r="EK104" s="456">
        <f t="shared" si="257"/>
        <v>1.6263317374358741E-2</v>
      </c>
      <c r="EL104" s="456">
        <f t="shared" si="258"/>
        <v>3.7518692543411655E-2</v>
      </c>
      <c r="EM104">
        <f t="shared" si="259"/>
        <v>2.1600000000000001E-2</v>
      </c>
      <c r="EN104" s="144">
        <f t="shared" si="297"/>
        <v>37.863317374358743</v>
      </c>
      <c r="EO104">
        <f t="shared" si="260"/>
        <v>0.54192286057099259</v>
      </c>
      <c r="EP104" s="144">
        <f t="shared" si="298"/>
        <v>541.92286057099261</v>
      </c>
      <c r="EQ104" s="150">
        <f t="shared" si="261"/>
        <v>0.73804499999999984</v>
      </c>
      <c r="ER104" s="150">
        <f t="shared" si="262"/>
        <v>0.109828125</v>
      </c>
      <c r="ES104" s="456"/>
      <c r="EU104" s="144">
        <f t="shared" si="299"/>
        <v>847.87312499999973</v>
      </c>
      <c r="EV104" s="456">
        <f t="shared" si="263"/>
        <v>1.1303773432650526E-2</v>
      </c>
      <c r="EW104" s="456">
        <f t="shared" si="300"/>
        <v>9.5189671011793917E-2</v>
      </c>
      <c r="EX104" s="456">
        <f t="shared" si="264"/>
        <v>7.9269829839117873E-4</v>
      </c>
      <c r="EY104" s="456">
        <f t="shared" si="265"/>
        <v>0.18572544499675739</v>
      </c>
      <c r="EZ104" s="456">
        <f t="shared" si="266"/>
        <v>0.3215198318034348</v>
      </c>
      <c r="FA104" s="538">
        <f t="shared" si="267"/>
        <v>1.3855493482309127E-3</v>
      </c>
      <c r="FB104" s="144">
        <f t="shared" si="301"/>
        <v>322.90538115166572</v>
      </c>
      <c r="FC104" s="150">
        <f t="shared" si="302"/>
        <v>1.712701366722658</v>
      </c>
      <c r="FD104" s="5">
        <f t="shared" si="303"/>
        <v>7.92</v>
      </c>
      <c r="FE104" s="150">
        <f t="shared" si="304"/>
        <v>0.82219926669382748</v>
      </c>
      <c r="FF104" s="5">
        <f t="shared" si="305"/>
        <v>82.219926669382744</v>
      </c>
      <c r="FG104">
        <f t="shared" si="306"/>
        <v>99</v>
      </c>
      <c r="FI104" s="59">
        <f t="shared" si="268"/>
        <v>-50</v>
      </c>
      <c r="FJ104">
        <f t="shared" si="269"/>
        <v>-50</v>
      </c>
      <c r="FL104">
        <f t="shared" si="270"/>
        <v>0.82883202513712817</v>
      </c>
    </row>
    <row r="105" spans="5:169">
      <c r="E105" s="147">
        <v>100</v>
      </c>
      <c r="F105" s="188">
        <f>IF(PLOT_TYPE=1, E105/100*Iout_max, min_I*EXP(O105*rr/100))</f>
        <v>1.2</v>
      </c>
      <c r="G105" s="188">
        <f t="shared" si="271"/>
        <v>0.25</v>
      </c>
      <c r="H105" s="188">
        <f t="shared" si="176"/>
        <v>6</v>
      </c>
      <c r="I105" s="188">
        <f t="shared" si="308"/>
        <v>2</v>
      </c>
      <c r="J105" s="465">
        <f t="shared" si="177"/>
        <v>47.886153996606005</v>
      </c>
      <c r="K105" s="379">
        <f t="shared" si="178"/>
        <v>5.743434615106775</v>
      </c>
      <c r="L105" s="149">
        <f t="shared" si="179"/>
        <v>53.629588611712776</v>
      </c>
      <c r="M105" s="379"/>
      <c r="N105" s="188">
        <f t="shared" si="180"/>
        <v>0.10709451188764854</v>
      </c>
      <c r="O105" s="149">
        <f>N105*J105*Isw_max*0.5*Efficiency*Pout/(Pout+Pout2)</f>
        <v>9.6156455408311707</v>
      </c>
      <c r="P105" s="149">
        <f t="shared" si="181"/>
        <v>4.273620240369409</v>
      </c>
      <c r="Q105" s="188">
        <f t="shared" si="182"/>
        <v>1.9231291081662341</v>
      </c>
      <c r="R105" s="188">
        <f t="shared" si="183"/>
        <v>1.2019556926038963</v>
      </c>
      <c r="S105" s="379">
        <f t="shared" si="184"/>
        <v>5</v>
      </c>
      <c r="T105" s="188">
        <f t="shared" si="185"/>
        <v>3.1199153372085324</v>
      </c>
      <c r="U105" s="188">
        <f t="shared" si="186"/>
        <v>0.78183317977793598</v>
      </c>
      <c r="V105" s="188">
        <f t="shared" si="187"/>
        <v>6.5185706037338367</v>
      </c>
      <c r="W105" s="172">
        <f t="shared" si="188"/>
        <v>350</v>
      </c>
      <c r="X105" s="379">
        <f t="shared" si="273"/>
        <v>133.32615534623773</v>
      </c>
      <c r="Z105" s="188">
        <f t="shared" si="189"/>
        <v>1.2210343543912596</v>
      </c>
      <c r="AA105" s="150">
        <f t="shared" si="190"/>
        <v>2.551158537463861</v>
      </c>
      <c r="AB105" s="150">
        <f>0.5*AA105*Z105*Nps*W105/1000*(Pout/Pout_total)</f>
        <v>0.54513413810483868</v>
      </c>
      <c r="AC105" s="150"/>
      <c r="AD105" s="150">
        <f t="shared" si="192"/>
        <v>2.0893421452795473</v>
      </c>
      <c r="AE105" s="314">
        <f>MAX(10, F105/(0.5*AD105/1000000*Isw_min*Nps)/1000*Pout_total/Pout)</f>
        <v>1148.6869230213547</v>
      </c>
      <c r="AF105" s="456">
        <f t="shared" si="194"/>
        <v>0.36563487542392081</v>
      </c>
      <c r="AH105" s="150">
        <f t="shared" si="195"/>
        <v>1.9518001458970664</v>
      </c>
      <c r="AI105" s="150">
        <f>MAX(IF(F105&gt;AB105,T105,AH105),Isw_min)</f>
        <v>3.1199153372085324</v>
      </c>
      <c r="AJ105" s="150">
        <f>IF(F105&gt;AF105, (AI105-Isw_min)/1.08*0.8+1.2, AE105*0.2/350+1)</f>
        <v>2.7703076571915055</v>
      </c>
      <c r="AL105" s="314">
        <f t="shared" si="198"/>
        <v>1200</v>
      </c>
      <c r="AM105" s="144">
        <f t="shared" si="199"/>
        <v>133.32615534623773</v>
      </c>
      <c r="AO105">
        <f t="shared" si="274"/>
        <v>1200</v>
      </c>
      <c r="AP105" s="3">
        <f t="shared" si="200"/>
        <v>133.32615534623773</v>
      </c>
      <c r="AR105" s="5">
        <f t="shared" si="275"/>
        <v>7.5004037835117741</v>
      </c>
      <c r="AS105" s="5">
        <f t="shared" si="201"/>
        <v>0.78183317977793598</v>
      </c>
      <c r="AT105" s="5">
        <f t="shared" si="276"/>
        <v>6.7185706037338377</v>
      </c>
      <c r="AU105" s="150">
        <f t="shared" si="277"/>
        <v>0.1042388119819161</v>
      </c>
      <c r="AW105" s="5">
        <f t="shared" si="202"/>
        <v>18.763996314670464</v>
      </c>
      <c r="AX105" s="5">
        <f t="shared" si="203"/>
        <v>2.4432286868060498</v>
      </c>
      <c r="AY105" s="5">
        <f t="shared" si="204"/>
        <v>0.35075747596111101</v>
      </c>
      <c r="AZ105" s="5"/>
      <c r="BA105" s="150">
        <f t="shared" si="278"/>
        <v>0.58156318750284375</v>
      </c>
      <c r="BB105" s="150">
        <f t="shared" si="205"/>
        <v>1.7048190997066353</v>
      </c>
      <c r="BC105" s="150">
        <f t="shared" si="206"/>
        <v>0.38107721052265969</v>
      </c>
      <c r="BD105" s="150"/>
      <c r="BE105" s="456">
        <f t="shared" si="207"/>
        <v>6.764314821169356E-3</v>
      </c>
      <c r="BF105" s="456">
        <f t="shared" si="208"/>
        <v>0.41827692098479358</v>
      </c>
      <c r="BG105" s="456">
        <f t="shared" si="209"/>
        <v>0.15961192016713385</v>
      </c>
      <c r="BH105" s="456">
        <f t="shared" si="210"/>
        <v>3.8346372511093185E-2</v>
      </c>
      <c r="BI105">
        <f t="shared" si="211"/>
        <v>2.15487692984727E-2</v>
      </c>
      <c r="BJ105" s="144">
        <f t="shared" si="279"/>
        <v>181.16068946560654</v>
      </c>
      <c r="BK105">
        <f t="shared" si="212"/>
        <v>0.46596286940233422</v>
      </c>
      <c r="BL105" s="144">
        <f t="shared" si="280"/>
        <v>465.96286940233421</v>
      </c>
      <c r="BM105" s="150">
        <f t="shared" si="213"/>
        <v>0.74549999999999994</v>
      </c>
      <c r="BN105" s="150">
        <f t="shared" si="214"/>
        <v>0.11093749999999999</v>
      </c>
      <c r="BO105" s="456"/>
      <c r="BQ105" s="144">
        <f t="shared" si="281"/>
        <v>856.4375</v>
      </c>
      <c r="BR105" s="456">
        <f t="shared" si="215"/>
        <v>1.0146472231754034E-2</v>
      </c>
      <c r="BS105" s="456">
        <f t="shared" si="216"/>
        <v>8.7192244881736256E-2</v>
      </c>
      <c r="BT105" s="456">
        <f t="shared" si="217"/>
        <v>7.2609920189865742E-4</v>
      </c>
      <c r="BU105" s="456">
        <f t="shared" si="218"/>
        <v>0.17644746221186458</v>
      </c>
      <c r="BV105" s="456">
        <f>(BU105+(BR105+BS105+BT105)*(1+Ltc*(Ta-25)))/(1-(BR105+BS105+BT105)*Ltc*ThetaCa)</f>
        <v>0.30040456391338449</v>
      </c>
      <c r="BW105" s="538">
        <f t="shared" si="220"/>
        <v>1.2977796919076698E-3</v>
      </c>
      <c r="BX105" s="144">
        <f t="shared" si="282"/>
        <v>301.70234360529219</v>
      </c>
      <c r="BY105" s="150">
        <f>SUM(BK105,BM105:BP105,BV105:BW105)+BI105+BG105</f>
        <v>1.8052634024732326</v>
      </c>
      <c r="BZ105" s="5">
        <f t="shared" si="284"/>
        <v>8</v>
      </c>
      <c r="CA105" s="150">
        <f t="shared" si="285"/>
        <v>0.8158883317690494</v>
      </c>
      <c r="CB105" s="5">
        <f t="shared" si="286"/>
        <v>81.588833176904942</v>
      </c>
      <c r="CC105">
        <f t="shared" si="287"/>
        <v>100</v>
      </c>
      <c r="CE105" s="59">
        <f t="shared" si="221"/>
        <v>-50</v>
      </c>
      <c r="CF105">
        <f t="shared" si="222"/>
        <v>-50</v>
      </c>
      <c r="CG105" s="150">
        <f t="shared" si="223"/>
        <v>0.82883202513712817</v>
      </c>
      <c r="CH105" s="150">
        <f t="shared" si="224"/>
        <v>0.44965289283354892</v>
      </c>
      <c r="CI105" s="147">
        <v>100</v>
      </c>
      <c r="CJ105" s="188">
        <f t="shared" si="309"/>
        <v>1.2</v>
      </c>
      <c r="CK105" s="188">
        <f t="shared" si="288"/>
        <v>0.25</v>
      </c>
      <c r="CL105" s="188">
        <f t="shared" si="225"/>
        <v>6</v>
      </c>
      <c r="CM105" s="188">
        <f t="shared" si="310"/>
        <v>2</v>
      </c>
      <c r="CN105" s="465">
        <f t="shared" si="289"/>
        <v>48</v>
      </c>
      <c r="CO105" s="379">
        <f t="shared" si="226"/>
        <v>5.7</v>
      </c>
      <c r="CP105" s="379">
        <f t="shared" si="227"/>
        <v>53.7</v>
      </c>
      <c r="CQ105" s="379"/>
      <c r="CR105" s="188">
        <f t="shared" si="228"/>
        <v>0.10112359550561799</v>
      </c>
      <c r="CS105" s="149">
        <f t="shared" si="290"/>
        <v>9.1011235955056193</v>
      </c>
      <c r="CT105" s="149">
        <f t="shared" si="229"/>
        <v>4.0449438202247192</v>
      </c>
      <c r="CU105" s="188">
        <f t="shared" si="230"/>
        <v>1.8202247191011238</v>
      </c>
      <c r="CV105" s="188">
        <f t="shared" si="231"/>
        <v>1.1376404494382024</v>
      </c>
      <c r="CW105" s="379">
        <f t="shared" si="232"/>
        <v>5</v>
      </c>
      <c r="CX105" s="188">
        <f t="shared" si="233"/>
        <v>3.2962962962962963</v>
      </c>
      <c r="CY105" s="188">
        <f t="shared" si="234"/>
        <v>0.82407407407407407</v>
      </c>
      <c r="CZ105" s="188">
        <f t="shared" si="235"/>
        <v>6.9395711500974659</v>
      </c>
      <c r="DA105" s="172">
        <f t="shared" si="236"/>
        <v>350</v>
      </c>
      <c r="DB105" s="379">
        <f t="shared" si="291"/>
        <v>128.80547360492122</v>
      </c>
      <c r="DD105" s="188">
        <f t="shared" si="237"/>
        <v>1.2130885873902635</v>
      </c>
      <c r="DE105" s="150">
        <f t="shared" si="238"/>
        <v>2.5538707102952913</v>
      </c>
      <c r="DF105" s="150">
        <f t="shared" si="239"/>
        <v>0.54216249715765974</v>
      </c>
      <c r="DG105" s="150"/>
      <c r="DH105" s="150">
        <f t="shared" si="240"/>
        <v>2.1052631578947367</v>
      </c>
      <c r="DI105" s="314">
        <f t="shared" si="241"/>
        <v>1140</v>
      </c>
      <c r="DJ105" s="456">
        <f t="shared" si="242"/>
        <v>0.36842105263157893</v>
      </c>
      <c r="DL105" s="150">
        <f t="shared" si="243"/>
        <v>1.9518001458970664</v>
      </c>
      <c r="DM105" s="150">
        <f t="shared" si="244"/>
        <v>3.2962962962962963</v>
      </c>
      <c r="DN105" s="150">
        <f t="shared" si="245"/>
        <v>2.9009602194787378</v>
      </c>
      <c r="DP105" s="314">
        <f t="shared" si="246"/>
        <v>1200</v>
      </c>
      <c r="DQ105" s="144">
        <f t="shared" si="247"/>
        <v>128.80547360492122</v>
      </c>
      <c r="DS105">
        <f t="shared" si="311"/>
        <v>1200</v>
      </c>
      <c r="DT105">
        <f t="shared" si="312"/>
        <v>128.80547360492122</v>
      </c>
      <c r="DV105" s="5">
        <f t="shared" si="293"/>
        <v>7.7636452241715403</v>
      </c>
      <c r="DW105" s="5">
        <f t="shared" si="249"/>
        <v>0.82407407407407407</v>
      </c>
      <c r="DX105" s="5">
        <f t="shared" si="294"/>
        <v>6.9395711500974659</v>
      </c>
      <c r="DY105" s="150">
        <f t="shared" si="295"/>
        <v>0.10614525139664804</v>
      </c>
      <c r="EA105" s="5">
        <f t="shared" si="250"/>
        <v>19.777777777777775</v>
      </c>
      <c r="EB105" s="5">
        <f t="shared" si="251"/>
        <v>2.5752314814814814</v>
      </c>
      <c r="EC105" s="5">
        <f t="shared" si="252"/>
        <v>0.36143599740090965</v>
      </c>
      <c r="ED105" s="5"/>
      <c r="EE105" s="150">
        <f t="shared" si="296"/>
        <v>0.6200345641031646</v>
      </c>
      <c r="EF105" s="150">
        <f t="shared" si="253"/>
        <v>1.7992814020166381</v>
      </c>
      <c r="EG105" s="150">
        <f t="shared" si="254"/>
        <v>0.40219231339195438</v>
      </c>
      <c r="EH105" s="150"/>
      <c r="EI105" s="456">
        <f t="shared" si="255"/>
        <v>7.6888572136520261E-3</v>
      </c>
      <c r="EJ105" s="456">
        <f t="shared" si="256"/>
        <v>0.45600000000000002</v>
      </c>
      <c r="EK105" s="456">
        <f t="shared" si="257"/>
        <v>1.6100684200615153E-2</v>
      </c>
      <c r="EL105" s="456">
        <f t="shared" si="258"/>
        <v>3.7143505617977531E-2</v>
      </c>
      <c r="EM105">
        <f t="shared" si="259"/>
        <v>2.1600000000000001E-2</v>
      </c>
      <c r="EN105" s="144">
        <f t="shared" si="297"/>
        <v>37.700684200615157</v>
      </c>
      <c r="EO105">
        <f t="shared" si="260"/>
        <v>0.54159846981637927</v>
      </c>
      <c r="EP105" s="144">
        <f t="shared" si="298"/>
        <v>541.59846981637929</v>
      </c>
      <c r="EQ105" s="150">
        <f t="shared" si="261"/>
        <v>0.74549999999999994</v>
      </c>
      <c r="ER105" s="150">
        <f t="shared" si="262"/>
        <v>0.11093749999999999</v>
      </c>
      <c r="ES105" s="456"/>
      <c r="EU105" s="144">
        <f t="shared" si="299"/>
        <v>856.4375</v>
      </c>
      <c r="EV105" s="456">
        <f t="shared" si="263"/>
        <v>1.1533285820478039E-2</v>
      </c>
      <c r="EW105" s="456">
        <f t="shared" si="300"/>
        <v>9.7122406909288764E-2</v>
      </c>
      <c r="EX105" s="456">
        <f t="shared" si="264"/>
        <v>8.0879328475786023E-4</v>
      </c>
      <c r="EY105" s="456">
        <f t="shared" si="265"/>
        <v>0.18572544499675739</v>
      </c>
      <c r="EZ105" s="456">
        <f t="shared" si="266"/>
        <v>0.32430136624434758</v>
      </c>
      <c r="FA105" s="538">
        <f t="shared" si="267"/>
        <v>1.3995447961928408E-3</v>
      </c>
      <c r="FB105" s="144">
        <f t="shared" si="301"/>
        <v>325.70091104054046</v>
      </c>
      <c r="FC105" s="150">
        <f t="shared" si="302"/>
        <v>1.7237368808569196</v>
      </c>
      <c r="FD105" s="5">
        <f t="shared" si="303"/>
        <v>8</v>
      </c>
      <c r="FE105" s="150">
        <f t="shared" si="304"/>
        <v>0.82272896706507637</v>
      </c>
      <c r="FF105" s="5">
        <f t="shared" si="305"/>
        <v>82.272896706507638</v>
      </c>
      <c r="FG105">
        <f t="shared" si="306"/>
        <v>100</v>
      </c>
      <c r="FI105" s="59">
        <f t="shared" si="268"/>
        <v>-50</v>
      </c>
      <c r="FJ105">
        <f t="shared" si="269"/>
        <v>-50</v>
      </c>
      <c r="FL105">
        <f t="shared" si="270"/>
        <v>0.82883202513712817</v>
      </c>
    </row>
    <row r="106" spans="5:169">
      <c r="E106" s="147"/>
      <c r="F106" s="188"/>
      <c r="G106" s="188"/>
      <c r="H106" s="188"/>
      <c r="I106" s="188"/>
      <c r="J106" s="465"/>
      <c r="K106" s="379"/>
      <c r="L106" s="379"/>
      <c r="M106" s="379"/>
      <c r="N106" s="188"/>
      <c r="O106" s="149"/>
      <c r="P106" s="149"/>
      <c r="Q106" s="188"/>
      <c r="R106" s="188"/>
      <c r="S106" s="188"/>
      <c r="T106" s="188"/>
      <c r="U106" s="188"/>
      <c r="V106" s="188"/>
      <c r="W106" s="172"/>
      <c r="X106" s="379"/>
      <c r="Z106" s="188"/>
      <c r="AA106" s="150"/>
      <c r="AB106" s="150"/>
      <c r="AC106" s="150"/>
      <c r="AD106" s="150"/>
      <c r="AE106" s="314"/>
      <c r="AF106" s="456"/>
      <c r="AH106" s="150"/>
      <c r="AI106" s="150"/>
      <c r="AJ106" s="150"/>
      <c r="AL106" s="314"/>
      <c r="AM106" s="144"/>
      <c r="AP106" s="3"/>
      <c r="AR106" s="5"/>
      <c r="AS106" s="5"/>
      <c r="AT106" s="5"/>
      <c r="AU106" s="150"/>
      <c r="AW106" s="5"/>
      <c r="AX106" s="5"/>
      <c r="AY106" s="5"/>
      <c r="AZ106" s="5"/>
      <c r="BA106" s="150"/>
      <c r="BB106" s="150"/>
      <c r="BC106" s="150"/>
      <c r="BD106" s="150"/>
      <c r="BE106" s="456"/>
      <c r="BF106" s="456"/>
      <c r="BG106" s="456"/>
      <c r="BH106" s="456"/>
      <c r="BL106" s="144"/>
      <c r="BM106" s="150"/>
      <c r="BN106" s="150"/>
      <c r="BO106" s="456"/>
      <c r="BQ106" s="144"/>
      <c r="BR106" s="456"/>
      <c r="BS106" s="456"/>
      <c r="BT106" s="456"/>
      <c r="BU106" s="456"/>
      <c r="BV106" s="456"/>
      <c r="BW106" s="538"/>
      <c r="BX106" s="144"/>
      <c r="BY106" s="150"/>
      <c r="BZ106" s="5"/>
      <c r="CA106" s="150"/>
      <c r="CB106" s="5"/>
      <c r="CI106" s="147"/>
      <c r="CJ106" s="188"/>
      <c r="CK106" s="188"/>
      <c r="CL106" s="188"/>
      <c r="CM106" s="188"/>
      <c r="CN106" s="465"/>
      <c r="CO106" s="379"/>
      <c r="CP106" s="379"/>
      <c r="CQ106" s="379"/>
      <c r="CR106" s="188"/>
      <c r="CS106" s="149"/>
      <c r="CT106" s="149"/>
      <c r="CU106" s="188"/>
      <c r="CV106" s="188"/>
      <c r="CW106" s="188"/>
      <c r="CX106" s="188"/>
      <c r="CY106" s="188"/>
      <c r="CZ106" s="188"/>
      <c r="DA106" s="172"/>
      <c r="DB106" s="379"/>
      <c r="DD106" s="188"/>
      <c r="DE106" s="150"/>
      <c r="DF106" s="150"/>
      <c r="DG106" s="150"/>
      <c r="DH106" s="150"/>
      <c r="DI106" s="314"/>
      <c r="DJ106" s="456"/>
      <c r="DL106" s="150"/>
      <c r="DM106" s="150"/>
      <c r="DN106" s="150"/>
      <c r="DP106" s="314"/>
      <c r="DQ106" s="144"/>
      <c r="DT106" s="3"/>
      <c r="DV106" s="5"/>
      <c r="DW106" s="5"/>
      <c r="DX106" s="5"/>
      <c r="DY106" s="150"/>
      <c r="EA106" s="5"/>
      <c r="EB106" s="5"/>
      <c r="EC106" s="5"/>
      <c r="ED106" s="5"/>
      <c r="EE106" s="150"/>
      <c r="EF106" s="150"/>
      <c r="EG106" s="150"/>
      <c r="EH106" s="150"/>
      <c r="EI106" s="456"/>
      <c r="EJ106" s="456"/>
      <c r="EK106" s="456"/>
      <c r="EL106" s="456"/>
      <c r="EP106" s="144"/>
      <c r="EQ106" s="150"/>
      <c r="ER106" s="150"/>
      <c r="ES106" s="456"/>
      <c r="EU106" s="144"/>
      <c r="EV106" s="456"/>
      <c r="EW106" s="456"/>
      <c r="EX106" s="456"/>
      <c r="EY106" s="456"/>
      <c r="EZ106" s="456"/>
      <c r="FA106" s="538"/>
      <c r="FB106" s="144"/>
      <c r="FC106" s="150"/>
      <c r="FD106" s="5"/>
      <c r="FE106" s="150"/>
      <c r="FF106" s="5"/>
    </row>
    <row r="107" spans="5:169">
      <c r="G107" s="188"/>
      <c r="H107" s="188"/>
      <c r="I107" s="188"/>
      <c r="J107" s="465"/>
      <c r="K107" s="379"/>
      <c r="L107" s="379"/>
      <c r="M107" s="379"/>
      <c r="N107" s="188"/>
      <c r="O107" s="149"/>
      <c r="P107" s="149"/>
      <c r="Q107" s="188"/>
      <c r="R107" s="188"/>
      <c r="S107" s="188"/>
      <c r="T107" s="188"/>
      <c r="U107" s="188"/>
      <c r="V107" s="188"/>
      <c r="W107" s="172"/>
      <c r="X107" s="379"/>
      <c r="Z107" s="188"/>
      <c r="AA107" s="150"/>
      <c r="AB107" s="150"/>
      <c r="AC107" s="150"/>
      <c r="AD107" s="150"/>
      <c r="AE107" s="314"/>
      <c r="AF107" s="456"/>
      <c r="AH107" s="150"/>
      <c r="AI107" s="150"/>
      <c r="AJ107" s="150"/>
      <c r="AL107" s="314"/>
      <c r="AM107" s="144"/>
      <c r="AR107" s="5"/>
      <c r="AS107" s="5"/>
      <c r="AT107" s="5"/>
      <c r="AU107" s="150"/>
      <c r="AW107" s="5"/>
      <c r="AX107" s="5"/>
      <c r="AY107" s="5"/>
      <c r="AZ107" s="5"/>
      <c r="BA107" s="150"/>
      <c r="BB107" s="150"/>
      <c r="BC107" s="150"/>
      <c r="BD107" s="150"/>
      <c r="BE107" s="456"/>
      <c r="BF107" s="456"/>
      <c r="BG107" s="456"/>
      <c r="BH107" s="456"/>
      <c r="BL107" s="144"/>
      <c r="BM107" s="150"/>
      <c r="BN107" s="150"/>
      <c r="BO107" s="456"/>
      <c r="BQ107" s="144"/>
      <c r="BR107" s="456"/>
      <c r="BS107" s="456"/>
      <c r="BT107" s="456"/>
      <c r="BU107" s="456"/>
      <c r="BV107" s="456"/>
      <c r="BW107" s="538"/>
      <c r="BX107" s="144"/>
      <c r="BY107" s="150"/>
      <c r="BZ107" s="5"/>
      <c r="CA107" s="150"/>
      <c r="CB107" s="5"/>
      <c r="CK107" s="188"/>
      <c r="CL107" s="188"/>
      <c r="CM107" s="188"/>
      <c r="CN107" s="465"/>
      <c r="CO107" s="379"/>
      <c r="CP107" s="379"/>
      <c r="CQ107" s="379"/>
      <c r="CR107" s="188"/>
      <c r="CS107" s="149"/>
      <c r="CT107" s="149"/>
      <c r="CU107" s="188"/>
      <c r="CV107" s="188"/>
      <c r="CW107" s="188"/>
      <c r="CX107" s="188"/>
      <c r="CY107" s="188"/>
      <c r="CZ107" s="188"/>
      <c r="DA107" s="172"/>
      <c r="DB107" s="379"/>
      <c r="DD107" s="188"/>
      <c r="DE107" s="150"/>
      <c r="DF107" s="150"/>
      <c r="DG107" s="150"/>
      <c r="DH107" s="150"/>
      <c r="DI107" s="314"/>
      <c r="DJ107" s="456"/>
      <c r="DL107" s="150"/>
      <c r="DM107" s="150"/>
      <c r="DN107" s="150"/>
      <c r="DP107" s="314"/>
      <c r="DQ107" s="144"/>
      <c r="DV107" s="5"/>
      <c r="DW107" s="5"/>
      <c r="DX107" s="5"/>
      <c r="DY107" s="150"/>
      <c r="EA107" s="5"/>
      <c r="EB107" s="5"/>
      <c r="EC107" s="5"/>
      <c r="ED107" s="5"/>
      <c r="EE107" s="150"/>
      <c r="EF107" s="150"/>
      <c r="EG107" s="150"/>
      <c r="EH107" s="150"/>
      <c r="EI107" s="456"/>
      <c r="EJ107" s="456"/>
      <c r="EK107" s="456"/>
      <c r="EL107" s="456"/>
      <c r="EP107" s="144"/>
      <c r="EQ107" s="150"/>
      <c r="ER107" s="150"/>
      <c r="ES107" s="456"/>
      <c r="EU107" s="144"/>
      <c r="EV107" s="456"/>
      <c r="EW107" s="456"/>
      <c r="EX107" s="456"/>
      <c r="EY107" s="456"/>
      <c r="EZ107" s="456"/>
      <c r="FA107" s="538"/>
      <c r="FB107" s="144"/>
      <c r="FC107" s="150"/>
      <c r="FD107" s="5"/>
      <c r="FE107" s="150"/>
      <c r="FF107" s="5"/>
    </row>
    <row r="108" spans="5:169">
      <c r="E108" s="159" t="s">
        <v>434</v>
      </c>
      <c r="G108" s="188"/>
      <c r="H108" s="188"/>
      <c r="I108" s="188"/>
      <c r="J108" s="465"/>
      <c r="K108" s="379"/>
      <c r="L108" s="379"/>
      <c r="M108" s="379"/>
      <c r="N108" s="188"/>
      <c r="O108" s="149"/>
      <c r="P108" s="149"/>
      <c r="Q108" s="188"/>
      <c r="R108" s="188"/>
      <c r="S108" s="188"/>
      <c r="T108" s="188"/>
      <c r="U108" s="188"/>
      <c r="V108" s="188"/>
      <c r="W108" s="172"/>
      <c r="X108" s="379"/>
      <c r="Z108" s="188"/>
      <c r="AA108" s="150"/>
      <c r="AB108" s="150"/>
      <c r="AC108" s="150"/>
      <c r="AD108" s="150"/>
      <c r="AE108" s="314"/>
      <c r="AF108" s="456"/>
      <c r="AH108" s="150"/>
      <c r="AI108" s="150"/>
      <c r="AJ108" s="150"/>
      <c r="AL108" s="314"/>
      <c r="AM108" s="144"/>
      <c r="AR108" s="5"/>
      <c r="AS108" s="5"/>
      <c r="AT108" s="5"/>
      <c r="AU108" s="150"/>
      <c r="AW108" s="461" t="s">
        <v>470</v>
      </c>
      <c r="AX108" s="461" t="s">
        <v>470</v>
      </c>
      <c r="AY108" s="461"/>
      <c r="AZ108" s="461"/>
      <c r="BA108" s="480" t="s">
        <v>471</v>
      </c>
      <c r="BB108" s="461"/>
      <c r="BC108" s="461"/>
      <c r="BD108" s="461"/>
      <c r="BE108" s="480" t="s">
        <v>493</v>
      </c>
      <c r="BF108" s="461"/>
      <c r="BG108" s="461"/>
      <c r="BH108" s="461"/>
      <c r="BI108" s="461"/>
      <c r="BJ108" s="461"/>
      <c r="BK108" s="461"/>
      <c r="BL108" s="461"/>
      <c r="BM108" s="480" t="s">
        <v>489</v>
      </c>
      <c r="BN108" s="461"/>
      <c r="BO108" s="461"/>
      <c r="BP108" s="461"/>
      <c r="BQ108" s="461"/>
      <c r="BR108" s="481" t="s">
        <v>490</v>
      </c>
      <c r="BS108" s="461"/>
      <c r="BT108" s="461"/>
      <c r="BU108" s="461"/>
      <c r="BV108" s="461"/>
      <c r="BW108" s="461"/>
      <c r="BX108" s="461"/>
      <c r="BY108" s="480"/>
      <c r="BZ108" s="461"/>
      <c r="CA108" s="461"/>
      <c r="CB108" s="461"/>
      <c r="CC108" s="461"/>
      <c r="CI108" s="159" t="s">
        <v>434</v>
      </c>
      <c r="CK108" s="188"/>
      <c r="CL108" s="188"/>
      <c r="CM108" s="188"/>
      <c r="CN108" s="465"/>
      <c r="CO108" s="379"/>
      <c r="CP108" s="379"/>
      <c r="CQ108" s="379"/>
      <c r="CR108" s="188"/>
      <c r="CS108" s="149"/>
      <c r="CT108" s="149"/>
      <c r="CU108" s="188"/>
      <c r="CV108" s="188"/>
      <c r="CW108" s="188"/>
      <c r="CX108" s="188"/>
      <c r="CY108" s="188"/>
      <c r="CZ108" s="188"/>
      <c r="DA108" s="172"/>
      <c r="DB108" s="379"/>
      <c r="DD108" s="188"/>
      <c r="DE108" s="150"/>
      <c r="DF108" s="150"/>
      <c r="DG108" s="150"/>
      <c r="DH108" s="150"/>
      <c r="DI108" s="314"/>
      <c r="DJ108" s="456"/>
      <c r="DL108" s="150"/>
      <c r="DM108" s="150"/>
      <c r="DN108" s="150"/>
      <c r="DP108" s="314"/>
      <c r="DQ108" s="144"/>
      <c r="DV108" s="5"/>
      <c r="DW108" s="5"/>
      <c r="DX108" s="5"/>
      <c r="DY108" s="150"/>
      <c r="EA108" s="461" t="s">
        <v>470</v>
      </c>
      <c r="EB108" s="461" t="s">
        <v>470</v>
      </c>
      <c r="EC108" s="461"/>
      <c r="ED108" s="461"/>
      <c r="EE108" s="480" t="s">
        <v>471</v>
      </c>
      <c r="EF108" s="461"/>
      <c r="EG108" s="461"/>
      <c r="EH108" s="461"/>
      <c r="EI108" s="480" t="s">
        <v>493</v>
      </c>
      <c r="EJ108" s="461"/>
      <c r="EK108" s="461"/>
      <c r="EL108" s="461"/>
      <c r="EM108" s="461"/>
      <c r="EN108" s="461"/>
      <c r="EO108" s="461"/>
      <c r="EP108" s="461"/>
      <c r="EQ108" s="480" t="s">
        <v>489</v>
      </c>
      <c r="ER108" s="461"/>
      <c r="ES108" s="461"/>
      <c r="ET108" s="461"/>
      <c r="EU108" s="461"/>
      <c r="EV108" s="481" t="s">
        <v>490</v>
      </c>
      <c r="EW108" s="461"/>
      <c r="EX108" s="461"/>
      <c r="EY108" s="461"/>
      <c r="EZ108" s="461"/>
      <c r="FA108" s="461"/>
      <c r="FB108" s="461"/>
      <c r="FC108" s="480"/>
      <c r="FD108" s="461"/>
      <c r="FE108" s="461"/>
      <c r="FF108" s="461"/>
      <c r="FG108" s="461"/>
    </row>
    <row r="109" spans="5:169" ht="45" customHeight="1" thickBot="1">
      <c r="E109" s="211" t="s">
        <v>25</v>
      </c>
      <c r="F109" s="516" t="s">
        <v>580</v>
      </c>
      <c r="G109" s="380" t="s">
        <v>579</v>
      </c>
      <c r="H109" s="517" t="s">
        <v>581</v>
      </c>
      <c r="I109" s="518" t="s">
        <v>582</v>
      </c>
      <c r="J109" s="212" t="s">
        <v>412</v>
      </c>
      <c r="K109" s="213" t="s">
        <v>586</v>
      </c>
      <c r="L109" s="519" t="s">
        <v>413</v>
      </c>
      <c r="M109" s="520"/>
      <c r="N109" s="214" t="s">
        <v>48</v>
      </c>
      <c r="O109" s="520" t="s">
        <v>590</v>
      </c>
      <c r="P109" s="520" t="s">
        <v>606</v>
      </c>
      <c r="Q109" s="520" t="s">
        <v>583</v>
      </c>
      <c r="R109" s="520" t="s">
        <v>584</v>
      </c>
      <c r="S109" s="520" t="s">
        <v>585</v>
      </c>
      <c r="T109" s="520" t="s">
        <v>414</v>
      </c>
      <c r="U109" s="520" t="s">
        <v>466</v>
      </c>
      <c r="V109" s="520" t="s">
        <v>465</v>
      </c>
      <c r="W109" s="521" t="s">
        <v>420</v>
      </c>
      <c r="X109" s="522" t="s">
        <v>425</v>
      </c>
      <c r="Z109" s="215" t="s">
        <v>417</v>
      </c>
      <c r="AA109" s="215" t="s">
        <v>464</v>
      </c>
      <c r="AB109" s="215" t="s">
        <v>587</v>
      </c>
      <c r="AC109" s="468"/>
      <c r="AD109" s="215" t="s">
        <v>463</v>
      </c>
      <c r="AE109" s="521" t="s">
        <v>426</v>
      </c>
      <c r="AF109" s="215" t="s">
        <v>588</v>
      </c>
      <c r="AG109" s="468"/>
      <c r="AH109" s="215" t="s">
        <v>429</v>
      </c>
      <c r="AI109" s="470" t="s">
        <v>430</v>
      </c>
      <c r="AJ109" s="470" t="s">
        <v>431</v>
      </c>
      <c r="AL109" s="467" t="s">
        <v>275</v>
      </c>
      <c r="AM109" s="467" t="s">
        <v>432</v>
      </c>
      <c r="AO109" s="215" t="s">
        <v>275</v>
      </c>
      <c r="AP109" s="215" t="s">
        <v>432</v>
      </c>
      <c r="AQ109" s="471"/>
      <c r="AR109" s="215" t="s">
        <v>467</v>
      </c>
      <c r="AS109" s="215" t="s">
        <v>461</v>
      </c>
      <c r="AT109" s="215" t="s">
        <v>462</v>
      </c>
      <c r="AU109" s="215" t="s">
        <v>48</v>
      </c>
      <c r="AV109" s="468"/>
      <c r="AW109" s="215" t="s">
        <v>591</v>
      </c>
      <c r="AX109" s="215" t="s">
        <v>592</v>
      </c>
      <c r="AY109" s="215" t="s">
        <v>514</v>
      </c>
      <c r="AZ109" s="468"/>
      <c r="BA109" s="479" t="s">
        <v>456</v>
      </c>
      <c r="BB109" s="215" t="s">
        <v>599</v>
      </c>
      <c r="BC109" s="215" t="s">
        <v>598</v>
      </c>
      <c r="BD109" s="468"/>
      <c r="BE109" s="479" t="s">
        <v>474</v>
      </c>
      <c r="BF109" s="215" t="s">
        <v>475</v>
      </c>
      <c r="BG109" s="215" t="s">
        <v>473</v>
      </c>
      <c r="BH109" s="215" t="s">
        <v>469</v>
      </c>
      <c r="BI109" s="215" t="s">
        <v>478</v>
      </c>
      <c r="BJ109" s="215" t="s">
        <v>491</v>
      </c>
      <c r="BK109" s="215" t="s">
        <v>776</v>
      </c>
      <c r="BL109" s="215" t="s">
        <v>778</v>
      </c>
      <c r="BM109" s="479" t="s">
        <v>601</v>
      </c>
      <c r="BN109" s="215" t="s">
        <v>600</v>
      </c>
      <c r="BO109" s="215" t="s">
        <v>477</v>
      </c>
      <c r="BP109" s="215" t="s">
        <v>483</v>
      </c>
      <c r="BQ109" s="215" t="s">
        <v>487</v>
      </c>
      <c r="BR109" s="479" t="s">
        <v>458</v>
      </c>
      <c r="BS109" s="215" t="s">
        <v>603</v>
      </c>
      <c r="BT109" s="215" t="s">
        <v>602</v>
      </c>
      <c r="BU109" s="215" t="s">
        <v>468</v>
      </c>
      <c r="BV109" s="215" t="s">
        <v>673</v>
      </c>
      <c r="BW109" s="215" t="s">
        <v>484</v>
      </c>
      <c r="BX109" s="215" t="s">
        <v>667</v>
      </c>
      <c r="BY109" s="479" t="s">
        <v>482</v>
      </c>
      <c r="BZ109" s="215" t="s">
        <v>223</v>
      </c>
      <c r="CA109" s="215" t="s">
        <v>47</v>
      </c>
      <c r="CB109" s="215" t="s">
        <v>485</v>
      </c>
      <c r="CC109" s="215" t="s">
        <v>604</v>
      </c>
      <c r="CE109" s="490" t="s">
        <v>497</v>
      </c>
      <c r="CG109" s="668" t="s">
        <v>829</v>
      </c>
      <c r="CH109" s="669" t="s">
        <v>830</v>
      </c>
      <c r="CI109" s="211" t="s">
        <v>25</v>
      </c>
      <c r="CJ109" s="516" t="s">
        <v>580</v>
      </c>
      <c r="CK109" s="380" t="s">
        <v>579</v>
      </c>
      <c r="CL109" s="517" t="s">
        <v>581</v>
      </c>
      <c r="CM109" s="518" t="s">
        <v>582</v>
      </c>
      <c r="CN109" s="212" t="s">
        <v>412</v>
      </c>
      <c r="CO109" s="213" t="s">
        <v>586</v>
      </c>
      <c r="CP109" s="519" t="s">
        <v>413</v>
      </c>
      <c r="CQ109" s="520"/>
      <c r="CR109" s="214" t="s">
        <v>48</v>
      </c>
      <c r="CS109" s="520" t="s">
        <v>590</v>
      </c>
      <c r="CT109" s="520" t="s">
        <v>606</v>
      </c>
      <c r="CU109" s="520" t="s">
        <v>583</v>
      </c>
      <c r="CV109" s="520" t="s">
        <v>584</v>
      </c>
      <c r="CW109" s="520" t="s">
        <v>585</v>
      </c>
      <c r="CX109" s="520" t="s">
        <v>414</v>
      </c>
      <c r="CY109" s="520" t="s">
        <v>466</v>
      </c>
      <c r="CZ109" s="520" t="s">
        <v>465</v>
      </c>
      <c r="DA109" s="521" t="s">
        <v>420</v>
      </c>
      <c r="DB109" s="522" t="s">
        <v>425</v>
      </c>
      <c r="DD109" s="215" t="s">
        <v>417</v>
      </c>
      <c r="DE109" s="215" t="s">
        <v>464</v>
      </c>
      <c r="DF109" s="215" t="s">
        <v>587</v>
      </c>
      <c r="DG109" s="468"/>
      <c r="DH109" s="215" t="s">
        <v>463</v>
      </c>
      <c r="DI109" s="521" t="s">
        <v>426</v>
      </c>
      <c r="DJ109" s="215" t="s">
        <v>588</v>
      </c>
      <c r="DK109" s="468"/>
      <c r="DL109" s="215" t="s">
        <v>429</v>
      </c>
      <c r="DM109" s="470" t="s">
        <v>430</v>
      </c>
      <c r="DN109" s="470" t="s">
        <v>431</v>
      </c>
      <c r="DP109" s="467" t="s">
        <v>275</v>
      </c>
      <c r="DQ109" s="467" t="s">
        <v>432</v>
      </c>
      <c r="DS109" s="215" t="s">
        <v>275</v>
      </c>
      <c r="DT109" s="215" t="s">
        <v>432</v>
      </c>
      <c r="DU109" s="471"/>
      <c r="DV109" s="215" t="s">
        <v>467</v>
      </c>
      <c r="DW109" s="215" t="s">
        <v>461</v>
      </c>
      <c r="DX109" s="215" t="s">
        <v>462</v>
      </c>
      <c r="DY109" s="215" t="s">
        <v>48</v>
      </c>
      <c r="DZ109" s="468"/>
      <c r="EA109" s="215" t="s">
        <v>591</v>
      </c>
      <c r="EB109" s="215" t="s">
        <v>592</v>
      </c>
      <c r="EC109" s="215" t="s">
        <v>514</v>
      </c>
      <c r="ED109" s="468"/>
      <c r="EE109" s="479" t="s">
        <v>456</v>
      </c>
      <c r="EF109" s="215" t="s">
        <v>599</v>
      </c>
      <c r="EG109" s="215" t="s">
        <v>598</v>
      </c>
      <c r="EH109" s="468"/>
      <c r="EI109" s="479" t="s">
        <v>474</v>
      </c>
      <c r="EJ109" s="215" t="s">
        <v>475</v>
      </c>
      <c r="EK109" s="215" t="s">
        <v>473</v>
      </c>
      <c r="EL109" s="215" t="s">
        <v>469</v>
      </c>
      <c r="EM109" s="215" t="s">
        <v>478</v>
      </c>
      <c r="EN109" s="215" t="s">
        <v>491</v>
      </c>
      <c r="EO109" s="215" t="s">
        <v>776</v>
      </c>
      <c r="EP109" s="215" t="s">
        <v>778</v>
      </c>
      <c r="EQ109" s="479" t="s">
        <v>601</v>
      </c>
      <c r="ER109" s="215" t="s">
        <v>600</v>
      </c>
      <c r="ES109" s="215" t="s">
        <v>477</v>
      </c>
      <c r="ET109" s="215" t="s">
        <v>483</v>
      </c>
      <c r="EU109" s="215" t="s">
        <v>487</v>
      </c>
      <c r="EV109" s="479" t="s">
        <v>458</v>
      </c>
      <c r="EW109" s="215" t="s">
        <v>603</v>
      </c>
      <c r="EX109" s="215" t="s">
        <v>602</v>
      </c>
      <c r="EY109" s="215" t="s">
        <v>468</v>
      </c>
      <c r="EZ109" s="215" t="s">
        <v>673</v>
      </c>
      <c r="FA109" s="215" t="s">
        <v>484</v>
      </c>
      <c r="FB109" s="215" t="s">
        <v>486</v>
      </c>
      <c r="FC109" s="479" t="s">
        <v>482</v>
      </c>
      <c r="FD109" s="215" t="s">
        <v>223</v>
      </c>
      <c r="FE109" s="215" t="s">
        <v>47</v>
      </c>
      <c r="FF109" s="215" t="s">
        <v>485</v>
      </c>
      <c r="FG109" s="215" t="s">
        <v>604</v>
      </c>
      <c r="FI109" s="490" t="s">
        <v>497</v>
      </c>
      <c r="FL109" s="668" t="s">
        <v>876</v>
      </c>
      <c r="FM109" s="668" t="s">
        <v>875</v>
      </c>
    </row>
    <row r="110" spans="5:169">
      <c r="E110" s="147">
        <v>0.1</v>
      </c>
      <c r="F110" s="188">
        <v>1.0000000000000001E-9</v>
      </c>
      <c r="G110" s="188">
        <f t="shared" ref="G110:G141" si="313">IF(PLOT_TYPE=1, E110/100*Iout2, min_I*EXP(Q110*rr/100))</f>
        <v>2.5000000000000001E-4</v>
      </c>
      <c r="H110" s="188">
        <f t="shared" ref="H110:H141" si="314">F110*Vout</f>
        <v>5.0000000000000001E-9</v>
      </c>
      <c r="I110" s="188">
        <f t="shared" ref="I110:I141" si="315">Vout2*G110</f>
        <v>2E-3</v>
      </c>
      <c r="J110" s="465">
        <f t="shared" ref="J110:J141" si="316">VIN_min-(F110/CG110/Nps+G110/CH110/(Nps/Nsec1sec2))*(Rdcr_pri+RON/1000)</f>
        <v>8.9952876709205682</v>
      </c>
      <c r="K110" s="379">
        <f t="shared" ref="K110:K141" si="317">MAX((S110+Vfwd2+Rdcr_sec*F110/CG110)*Nps,(Vout2+Vfwd22+Rdcr_sec2*G110/CH110)*Nps/Nsec1sec2)</f>
        <v>5.7002115707914056</v>
      </c>
      <c r="L110" s="149">
        <f t="shared" ref="L110:L141" si="318">MAX((Vout+Vfwd2+F110/CG110*Rdcr_sec)*Nps+J110, (Vout2+Vfwd22+G110/CH110*Rdcr_sec2)*Nps/Nsec1sec2+J110)</f>
        <v>14.695499241711975</v>
      </c>
      <c r="M110" s="379"/>
      <c r="N110" s="188">
        <f t="shared" ref="N110:N141" si="319">MAX((Vout+Vfwd2+F110/CG110*Rdcr_sec)*Nps/((Vout+Vfwd2+F110/CG110*Rdcr_sec)*Nps+J110), (Vout2+Vfwd22+G110/CH110*Rdcr_sec2)*Nps/Nsec1sec2/((Vout2+Vfwd22+G110/CH110*Rdcr_sec2)*Nps/Nsec1sec2+J110))</f>
        <v>0.38788825592340687</v>
      </c>
      <c r="O110" s="149">
        <f t="shared" ref="O110:O141" si="320">N110*J110*Isw_max*0.5*Efficiency*Pout/(Pout+Pout2)</f>
        <v>6.5421870866300695</v>
      </c>
      <c r="P110" s="149">
        <f t="shared" ref="P110:P141" si="321">N110*J110*Isw_max*0.5*Efficiency*(Pout2/Pout_total)</f>
        <v>2.9076387051689196</v>
      </c>
      <c r="Q110" s="188">
        <f t="shared" ref="Q110:Q173" si="322">O110/Vout</f>
        <v>1.3084374173260138</v>
      </c>
      <c r="R110" s="188">
        <f t="shared" ref="R110:R141" si="323">O110/Vout2</f>
        <v>0.81777338582875869</v>
      </c>
      <c r="S110" s="188">
        <f t="shared" ref="S110:S141" si="324">MIN(Vout,O110/F110)</f>
        <v>5</v>
      </c>
      <c r="T110" s="188">
        <f t="shared" ref="T110:T141" si="325">MIN(2*(Vout*F110+Vout2*G110)/(Efficiency*J110*N110), Isw_max)</f>
        <v>1.1464084794101045E-3</v>
      </c>
      <c r="U110" s="188">
        <f t="shared" ref="U110:U173" si="326">L*T110/J110*1000000</f>
        <v>1.5293453924096001E-3</v>
      </c>
      <c r="V110" s="188">
        <f t="shared" ref="V110:V173" si="327">L*T110/K110*1000000</f>
        <v>2.4134019557121938E-3</v>
      </c>
      <c r="W110" s="172">
        <f t="shared" ref="W110:W173" si="328">IF(1/((350000*L)*(1/J110+1/K110))&gt;Isw_min, 350, 0.001/((Isw_min*L)*(1/J110+1/K110)))</f>
        <v>290.76387051689198</v>
      </c>
      <c r="X110" s="379">
        <f>MIN(1/(U110+V110+0.2)*1000, 350)</f>
        <v>350</v>
      </c>
      <c r="Z110" s="188">
        <f t="shared" ref="Z110:Z173" si="329">1/((W110*1000*L)*(1/J110+1/K110))</f>
        <v>1</v>
      </c>
      <c r="AA110" s="150">
        <f t="shared" ref="AA110:AA173" si="330">L*Z110/K110*1000000</f>
        <v>2.105185018305197</v>
      </c>
      <c r="AB110" s="150">
        <f t="shared" ref="AB110:AB141" si="331">0.5*AA110*Z110*Nps*W110/1000*(Pout/(Pout+Pout2))</f>
        <v>0.22954190402872243</v>
      </c>
      <c r="AC110" s="150"/>
      <c r="AD110" s="150">
        <f t="shared" ref="AD110:AD173" si="332">L*Isw_min/K110*1000000</f>
        <v>2.105185018305197</v>
      </c>
      <c r="AE110" s="314">
        <f t="shared" ref="AE110:AE141" si="333">MAX(10, F110/(0.5*AD110/1000000*Isw_min*Nps)/1000*Pout_total/Pout)</f>
        <v>10</v>
      </c>
      <c r="AF110" s="456">
        <f t="shared" ref="AF110:AF141" si="334">0.5*AD110/1000000*Isw_min*Nps*W110*1000*(Pout/Pout_total)</f>
        <v>0.30605587203829654</v>
      </c>
      <c r="AH110" s="150">
        <f t="shared" ref="AH110:AH141" si="335">SQRT((H110+I110)/(0.5*L*Fsw_DCM))</f>
        <v>3.0860708568231761E-2</v>
      </c>
      <c r="AI110" s="150">
        <f t="shared" ref="AI110:AI141" si="336">MAX(IF(F110&gt;AB110,T110,AH110),Isw_min)</f>
        <v>1</v>
      </c>
      <c r="AJ110" s="150">
        <f t="shared" ref="AJ110:AJ141" si="337">IF(F110&gt;AF110, (AI110-Isw_min)/1.08*0.8+1.2, AE110*0.2/350+1)</f>
        <v>1.0057142857142858</v>
      </c>
      <c r="AL110" s="314">
        <f t="shared" ref="AL110:AL141" si="338">F110*1000</f>
        <v>1.0000000000000002E-6</v>
      </c>
      <c r="AM110" s="144">
        <f t="shared" ref="AM110:AM141" si="339">IF(F110&gt;AF110, X110, AE110)</f>
        <v>10</v>
      </c>
      <c r="AO110" s="144">
        <f t="shared" ref="AO110:AO173" si="340">IF(H110&gt;O110, "",AL110)</f>
        <v>1.0000000000000002E-6</v>
      </c>
      <c r="AP110" s="144">
        <f t="shared" ref="AP110:AP173" si="341">IF(H110&gt;O110, "",AM110)</f>
        <v>10</v>
      </c>
      <c r="AR110" s="5">
        <f t="shared" si="275"/>
        <v>100</v>
      </c>
      <c r="AS110" s="5">
        <f>L*AI110/J110*1000000</f>
        <v>1.3340318218830163</v>
      </c>
      <c r="AT110" s="5">
        <f>AR110-AS110</f>
        <v>98.665968178116984</v>
      </c>
      <c r="AU110" s="150">
        <f>AS110/AR110</f>
        <v>1.3340318218830163E-2</v>
      </c>
      <c r="AW110" s="5">
        <f t="shared" ref="AW110:AW169" si="342">F110*AS110/Vout_ripple*1000</f>
        <v>2.6680636437660325E-8</v>
      </c>
      <c r="AX110" s="5">
        <f t="shared" ref="AX110:AX169" si="343">G110*AS110/Vout_ripple2*1000</f>
        <v>4.168849443384426E-3</v>
      </c>
      <c r="AY110" s="5">
        <f t="shared" ref="AY110:AY169" si="344">H110/Efficiency/J110*AT110/Vinripple1</f>
        <v>2.2851309251129357E-8</v>
      </c>
      <c r="AZ110" s="5"/>
      <c r="BA110" s="150">
        <f t="shared" ref="BA110:BA169" si="345">AI110*SQRT(AU110/3)</f>
        <v>6.6684126594040757E-2</v>
      </c>
      <c r="BB110" s="150">
        <f t="shared" ref="BB110:BB169" si="346">AI110*Npri_sec1*SQRT((1-AU110)/3)*(Pout/Pout_total)</f>
        <v>0.5734863211914677</v>
      </c>
      <c r="BC110" s="150">
        <f t="shared" ref="BC110:BC169" si="347">AI110*Npri_sec2*SQRT((1-AU110)/3)*(Pout2/Pout_total)</f>
        <v>0.12819106003103395</v>
      </c>
      <c r="BD110" s="150"/>
      <c r="BE110" s="456">
        <f t="shared" ref="BE110:BE169" si="348">Rdson*BA110^2</f>
        <v>8.8935454792201079E-5</v>
      </c>
      <c r="BF110" s="456">
        <f t="shared" ref="BF110:BF141" si="349">0.5*L110*AI110*AM110*1000*Tfall</f>
        <v>2.7554061078209949E-3</v>
      </c>
      <c r="BG110" s="456">
        <f t="shared" ref="BG110:BG141" si="350">Qg*Vdd*AM110*1000*0+Qg*J110*AM110*1000</f>
        <v>2.2488219177301421E-3</v>
      </c>
      <c r="BH110" s="456">
        <f t="shared" ref="BH110:BH169" si="351">0.5*(Coss+Csw)*L110^2*AM110*1000</f>
        <v>2.1595769796315723E-4</v>
      </c>
      <c r="BI110">
        <f t="shared" ref="BI110:BI169" si="352">J110*IQ</f>
        <v>4.0478794519142559E-3</v>
      </c>
      <c r="BJ110" s="144">
        <f>(BG110+BI110)*1000</f>
        <v>6.2967013696443983</v>
      </c>
      <c r="BK110">
        <f t="shared" ref="BK110:BK141" si="353">(BF110+BG110*0+BH110+BI110*0+BE110*(1+RdsonTC*(Ta-25)))/(1-BE110*RdsonTC*ThetaJA)</f>
        <v>3.0843770095384171E-3</v>
      </c>
      <c r="BL110" s="144">
        <f>SUM(BE110:BI110)*1000</f>
        <v>9.3570006302207513</v>
      </c>
      <c r="BM110" s="150">
        <f t="shared" ref="BM110:BM141" si="354">Vfwd2*F110*(1+Diode_TC/1000*(Ta-25))</f>
        <v>6.212499999999999E-10</v>
      </c>
      <c r="BN110" s="150">
        <f t="shared" ref="BN110:BN141" si="355">Vfwd2*G110*(1+Diode_TC/1000*(Ta-25))</f>
        <v>1.5531249999999999E-4</v>
      </c>
      <c r="BO110" s="456"/>
      <c r="BQ110" s="144">
        <f t="shared" ref="BQ110:BQ169" si="356">SUM(BM110:BP110)*1000</f>
        <v>0.15531312124999999</v>
      </c>
      <c r="BR110" s="456">
        <f t="shared" ref="BR110:BR169" si="357">Rdcr_pri*BA110^2</f>
        <v>1.3340318218830159E-4</v>
      </c>
      <c r="BS110" s="456">
        <f t="shared" ref="BS110:BS169" si="358">Rdcr_sec*BB110^2</f>
        <v>9.8665968178116969E-3</v>
      </c>
      <c r="BT110" s="456">
        <f t="shared" ref="BT110:BT169" si="359">Rdcr_sec2*BC110^2</f>
        <v>8.2164739359400751E-5</v>
      </c>
      <c r="BU110" s="456">
        <f t="shared" ref="BU110:BU169" si="360">AI110^2.5*AM110^2.5*k_core</f>
        <v>1.5811388300841911E-5</v>
      </c>
      <c r="BV110" s="456"/>
      <c r="BW110" s="538">
        <f t="shared" ref="BW110:BW141" si="361">0.5*Lleak*0.000000001*AI110^2*AM110*1000</f>
        <v>1.0000000000000001E-5</v>
      </c>
      <c r="BX110" s="144">
        <f t="shared" ref="BX110:BX169" si="362">SUM(BR110:BW110)*1000</f>
        <v>10.10797612766024</v>
      </c>
      <c r="BY110" s="150">
        <f t="shared" ref="BY110:BY169" si="363">SUM(BE110:BI110,BM110:BP110,BR110:BW110)</f>
        <v>1.9620289879130989E-2</v>
      </c>
      <c r="BZ110" s="5">
        <f t="shared" ref="BZ110:BZ169" si="364">MIN(H110+I110,O110+P110)</f>
        <v>2.000005E-3</v>
      </c>
      <c r="CA110" s="150">
        <f t="shared" ref="CA110:CA169" si="365">BZ110/(BZ110+BY110)</f>
        <v>9.2505907582717886E-2</v>
      </c>
      <c r="CB110" s="5">
        <f t="shared" ref="CB110:CB169" si="366">CA110*100</f>
        <v>9.2505907582717892</v>
      </c>
      <c r="CC110">
        <f t="shared" ref="CC110:CC169" si="367">F110/Iout*100</f>
        <v>8.3333333333333352E-8</v>
      </c>
      <c r="CE110" s="59">
        <f t="shared" ref="CE110:CE141" si="368">IF(ABS(F110-Ioutmax_Vinmin)&lt;Iout/200, AM110, -50)</f>
        <v>-50</v>
      </c>
      <c r="CF110">
        <f t="shared" ref="CF110:CF141" si="369">IF(ABS(F110-Ioutmax_Vinmin)&lt;Iout/200, (O110+P110)*CA110, -50)</f>
        <v>-50</v>
      </c>
      <c r="CG110" s="150">
        <f t="shared" ref="CG110:CG173" si="370">MIN(SQRT(2*DT110*1000*Ls1_*(CL110+CJ110*Vfwd1))/(CW110+Vfwd1), 1-DY110)</f>
        <v>6.6666666666666666E-6</v>
      </c>
      <c r="CH110" s="150">
        <f t="shared" ref="CH110:CH141" si="371">MIN(SQRT(2*DT110*1000*Ls2_*(CM110+CK110*Vfwd22))/(Vout2+Vfwd22), 1-DY110)</f>
        <v>3.9619613300477946E-3</v>
      </c>
      <c r="CI110" s="147">
        <v>0.1</v>
      </c>
      <c r="CJ110" s="188">
        <v>1.0000000000000001E-9</v>
      </c>
      <c r="CK110" s="188">
        <f t="shared" ref="CK110:CK173" si="372">IF(PLOT_TYPE=1, CI110/100*Iout2, min_I*EXP(CU110*rr/100))</f>
        <v>2.5000000000000001E-4</v>
      </c>
      <c r="CL110" s="188">
        <f t="shared" ref="CL110:CL173" si="373">CJ110*Vout</f>
        <v>5.0000000000000001E-9</v>
      </c>
      <c r="CM110" s="188">
        <f t="shared" ref="CM110:CM173" si="374">Vout2*CK110</f>
        <v>2E-3</v>
      </c>
      <c r="CN110" s="465">
        <f t="shared" ref="CN110:CN173" si="375">VIN_min</f>
        <v>9</v>
      </c>
      <c r="CO110" s="379">
        <f t="shared" ref="CO110:CO141" si="376">(CW110+Vfwd2)*Nps</f>
        <v>5.7</v>
      </c>
      <c r="CP110" s="379">
        <f t="shared" ref="CP110:CP141" si="377">(Vout+Vfwd2)*Nps+CN110</f>
        <v>14.7</v>
      </c>
      <c r="CQ110" s="379"/>
      <c r="CR110" s="188">
        <f t="shared" ref="CR110:CR173" si="378">(Vout+Vfwd1)*Nps/((Vout+Vfwd1)*Nps+CN110)</f>
        <v>0.375</v>
      </c>
      <c r="CS110" s="149">
        <f t="shared" ref="CS110:CS173" si="379">CR110*CN110*Isw_max*0.5*Efficiency*Pout/(Pout+Pout2)</f>
        <v>6.328125</v>
      </c>
      <c r="CT110" s="149">
        <f t="shared" ref="CT110:CT173" si="380">CR110*CN110*Isw_max*0.5*Efficiency*(Pout2/Pout_total)</f>
        <v>2.8125</v>
      </c>
      <c r="CU110" s="188">
        <f t="shared" ref="CU110:CU173" si="381">CS110/Vout</f>
        <v>1.265625</v>
      </c>
      <c r="CV110" s="188">
        <f t="shared" ref="CV110:CV173" si="382">CS110/Vout2</f>
        <v>0.791015625</v>
      </c>
      <c r="CW110" s="188">
        <f t="shared" ref="CW110:CW173" si="383">MIN(Vout,CS110/CJ110)</f>
        <v>5</v>
      </c>
      <c r="CX110" s="188">
        <f t="shared" ref="CX110:CX173" si="384">MIN(2*(Vout*CJ110+Vout2*CK110)/(Efficiency*CN110*CR110), Isw_max)</f>
        <v>1.1851881481481483E-3</v>
      </c>
      <c r="CY110" s="188">
        <f t="shared" ref="CY110:CY173" si="385">L*CX110/CN110*1000000</f>
        <v>1.5802508641975311E-3</v>
      </c>
      <c r="CZ110" s="188">
        <f t="shared" ref="CZ110:CZ173" si="386">L*CX110/CO110*1000000</f>
        <v>2.495132943469786E-3</v>
      </c>
      <c r="DA110" s="172">
        <f t="shared" ref="DA110:DA173" si="387">IF(1/((350000*L)*(1/CN110+1/CO110))&gt;Isw_min, 350, 0.001/((Isw_min*L)*(1/CN110+1/CO110)))</f>
        <v>290.81632653061229</v>
      </c>
      <c r="DB110" s="379">
        <f t="shared" ref="DB110:DB173" si="388">MIN(1/(CY110+CZ110)*1000, 350)</f>
        <v>350</v>
      </c>
      <c r="DD110" s="188">
        <f t="shared" ref="DD110:DD173" si="389">1/((DA110*1000*L)*(1/CN110+1/CO110))</f>
        <v>0.99999999999999978</v>
      </c>
      <c r="DE110" s="150">
        <f t="shared" ref="DE110:DE173" si="390">L*DD110/CO110*1000000</f>
        <v>2.1052631578947363</v>
      </c>
      <c r="DF110" s="150">
        <f t="shared" ref="DF110:DF173" si="391">0.5*DE110*DD110*Nps*DA110/1000*(Pout/(Pout+Pout2))</f>
        <v>0.2295918367346938</v>
      </c>
      <c r="DG110" s="150"/>
      <c r="DH110" s="150">
        <f t="shared" ref="DH110:DH173" si="392">L*Isw_min/CO110*1000000</f>
        <v>2.1052631578947367</v>
      </c>
      <c r="DI110" s="314">
        <f t="shared" ref="DI110:DI173" si="393">MAX(10, CJ110/(0.5*DH110/1000000*Isw_min*Nps)/1000*Pout_total/Pout)</f>
        <v>10</v>
      </c>
      <c r="DJ110" s="456">
        <f t="shared" ref="DJ110:DJ173" si="394">0.5*DH110/1000000*Isw_min*Nps*DA110*1000*(Pout/Pout_total)</f>
        <v>0.3061224489795919</v>
      </c>
      <c r="DL110" s="150">
        <f t="shared" ref="DL110:DL173" si="395">SQRT((CL110+CM110)/(0.5*L*Fsw_DCM))</f>
        <v>3.0860708568231761E-2</v>
      </c>
      <c r="DM110" s="150">
        <f t="shared" ref="DM110:DM173" si="396">MAX(IF(CJ110&gt;DF110,CX110,DL110),Isw_min)</f>
        <v>1</v>
      </c>
      <c r="DN110" s="150">
        <f t="shared" ref="DN110:DN173" si="397">IF(CJ110&gt;DJ110, (DM110-Isw_min)/1.08*0.8+1.2, DI110*0.2/350+1)</f>
        <v>1.0057142857142858</v>
      </c>
      <c r="DP110" s="314">
        <f t="shared" ref="DP110:DP173" si="398">CJ110*1000</f>
        <v>1.0000000000000002E-6</v>
      </c>
      <c r="DQ110" s="144">
        <f t="shared" ref="DQ110:DQ173" si="399">IF(CJ110&gt;DJ110, DB110, DI110)</f>
        <v>10</v>
      </c>
      <c r="DS110" s="144">
        <f t="shared" ref="DS110:DS173" si="400">IF(CL110&gt;CS110, "",DP110)</f>
        <v>1.0000000000000002E-6</v>
      </c>
      <c r="DT110" s="144">
        <f t="shared" ref="DT110:DT173" si="401">IF(CL110&gt;CS110, "",DQ110)</f>
        <v>10</v>
      </c>
      <c r="DV110" s="5">
        <f t="shared" ref="DV110:DV173" si="402">1/DQ110*1000</f>
        <v>100</v>
      </c>
      <c r="DW110" s="5">
        <f t="shared" ref="DW110:DW173" si="403">L*DM110/CN110*1000000</f>
        <v>1.3333333333333335</v>
      </c>
      <c r="DX110" s="5">
        <f t="shared" ref="DX110:DX173" si="404">DV110-DW110</f>
        <v>98.666666666666671</v>
      </c>
      <c r="DY110" s="150">
        <f t="shared" ref="DY110:DY173" si="405">DW110/DV110</f>
        <v>1.3333333333333334E-2</v>
      </c>
      <c r="EA110" s="5">
        <f t="shared" ref="EA110:EA173" si="406">CJ110*DW110/Vout_ripple*1000</f>
        <v>2.6666666666666667E-8</v>
      </c>
      <c r="EB110" s="5">
        <f t="shared" ref="EB110:EB173" si="407">CK110*DW110/Vout_ripple2*1000</f>
        <v>4.1666666666666666E-3</v>
      </c>
      <c r="EC110" s="5">
        <f t="shared" ref="EC110:EC173" si="408">CL110/Efficiency/CN110*DX110/Vinripple1</f>
        <v>2.2839506172839504E-8</v>
      </c>
      <c r="ED110" s="5"/>
      <c r="EE110" s="150">
        <f t="shared" ref="EE110:EE173" si="409">DM110*SQRT(DY110/3)</f>
        <v>6.6666666666666666E-2</v>
      </c>
      <c r="EF110" s="150">
        <f t="shared" ref="EF110:EF173" si="410">DM110*Npri_sec1*SQRT((1-DY110)/3)*(Pout/Pout_total)</f>
        <v>0.57348835113617513</v>
      </c>
      <c r="EG110" s="150">
        <f t="shared" ref="EG110:EG173" si="411">DM110*Npri_sec2*SQRT((1-DY110)/3)*(Pout2/Pout_total)</f>
        <v>0.12819151378338034</v>
      </c>
      <c r="EH110" s="150"/>
      <c r="EI110" s="456">
        <f t="shared" ref="EI110:EI173" si="412">Rdson*EE110^2</f>
        <v>8.8888888888888893E-5</v>
      </c>
      <c r="EJ110" s="456">
        <f t="shared" ref="EJ110:EJ173" si="413">0.5*CP110*DM110*DQ110*1000*Trise</f>
        <v>2.9399999999999999E-3</v>
      </c>
      <c r="EK110" s="456">
        <f t="shared" ref="EK110:EK173" si="414">Qg*Vdd*DQ110*1000</f>
        <v>1.2499999999999998E-3</v>
      </c>
      <c r="EL110" s="456">
        <f t="shared" ref="EL110:EL173" si="415">0.5*(Coss+Csw)*CP110^2*DQ110*1000</f>
        <v>2.1608999999999997E-4</v>
      </c>
      <c r="EM110">
        <f t="shared" ref="EM110:EM173" si="416">CN110*IQ</f>
        <v>4.0499999999999998E-3</v>
      </c>
      <c r="EN110" s="144">
        <f t="shared" ref="EN110:EN173" si="417">(EK110+EM110)*1000</f>
        <v>5.2999999999999989</v>
      </c>
      <c r="EP110" s="144">
        <f>SUM(EI110:EM110)*1000</f>
        <v>8.5449788888888882</v>
      </c>
      <c r="EQ110" s="150">
        <f t="shared" ref="EQ110:EQ173" si="418">Vfwd2*CJ110</f>
        <v>6.9999999999999996E-10</v>
      </c>
      <c r="ER110" s="150">
        <f t="shared" ref="ER110:ER141" si="419">Vfwd22*CK110*(1+Diode_TC/1000*(Ta-25))</f>
        <v>1.1093749999999999E-4</v>
      </c>
      <c r="ES110" s="456"/>
      <c r="EU110" s="144">
        <f t="shared" ref="EU110:EU169" si="420">SUM(EQ110:ET110)*1000</f>
        <v>0.11093819999999999</v>
      </c>
      <c r="EV110" s="456">
        <f t="shared" ref="EV110:EV173" si="421">Rdcr_pri*EE110^2</f>
        <v>1.3333333333333334E-4</v>
      </c>
      <c r="EW110" s="456">
        <f t="shared" ref="EW110:EW173" si="422">Rdcr_sec*EF110^2</f>
        <v>9.8666666666666659E-3</v>
      </c>
      <c r="EX110" s="456">
        <f t="shared" ref="EX110:EX173" si="423">Rdcr_sec2*EG110^2</f>
        <v>8.2165321030372963E-5</v>
      </c>
      <c r="EY110" s="456">
        <f t="shared" ref="EY110:EY173" si="424">DM110^2.5*DQ110^2.5*k_core</f>
        <v>1.5811388300841911E-5</v>
      </c>
      <c r="EZ110" s="456"/>
      <c r="FA110" s="538">
        <f t="shared" ref="FA110:FA173" si="425">0.5*Lleak*0.000000001*DM110^2*DQ110*1000</f>
        <v>1.0000000000000001E-5</v>
      </c>
      <c r="FB110" s="144">
        <f t="shared" ref="FB110:FB169" si="426">SUM(EV110:FA110)*1000</f>
        <v>10.107976709331213</v>
      </c>
      <c r="FC110" s="150">
        <f t="shared" ref="FC110:FC173" si="427">SUM(EI110:EM110,EQ110:ET110,EV110:FA110)</f>
        <v>1.8763893798220101E-2</v>
      </c>
      <c r="FD110" s="5">
        <f t="shared" ref="FD110:FD173" si="428">MIN(CL110+CM110,CS110+CT110)</f>
        <v>2.000005E-3</v>
      </c>
      <c r="FE110" s="150">
        <f t="shared" ref="FE110:FE173" si="429">FD110/(FD110+FC110)</f>
        <v>9.6321265068554568E-2</v>
      </c>
      <c r="FF110" s="5">
        <f t="shared" ref="FF110:FF173" si="430">FE110*100</f>
        <v>9.6321265068554567</v>
      </c>
      <c r="FG110">
        <f t="shared" ref="FG110:FG173" si="431">CJ110/Iout*100</f>
        <v>8.3333333333333352E-8</v>
      </c>
      <c r="FI110" s="59">
        <f t="shared" ref="FI110:FI173" si="432">IF(ABS(CJ110-Ioutmax_Vinmin)&lt;Iout/200, DQ110, -50)</f>
        <v>-50</v>
      </c>
      <c r="FJ110">
        <f t="shared" ref="FJ110:FJ173" si="433">IF(ABS(CJ110-Ioutmax_Vinmin)&lt;Iout/200, (CS110+CT110)*FE110, -50)</f>
        <v>-50</v>
      </c>
    </row>
    <row r="111" spans="5:169">
      <c r="E111" s="147">
        <v>1</v>
      </c>
      <c r="F111" s="188">
        <f t="shared" ref="F111:F142" si="434">IF(PLOT_TYPE=1, E111/100*Iout_max, min_I*EXP(O111*rr/100))</f>
        <v>1.2E-2</v>
      </c>
      <c r="G111" s="188">
        <f t="shared" si="313"/>
        <v>2.5000000000000001E-3</v>
      </c>
      <c r="H111" s="188">
        <f t="shared" si="314"/>
        <v>0.06</v>
      </c>
      <c r="I111" s="188">
        <f t="shared" si="315"/>
        <v>0.02</v>
      </c>
      <c r="J111" s="465">
        <f t="shared" si="316"/>
        <v>8.9617322857041373</v>
      </c>
      <c r="K111" s="379">
        <f t="shared" si="317"/>
        <v>5.7145999279017685</v>
      </c>
      <c r="L111" s="149">
        <f t="shared" si="318"/>
        <v>14.676332213605907</v>
      </c>
      <c r="M111" s="379"/>
      <c r="N111" s="188">
        <f t="shared" si="319"/>
        <v>0.38937520933220399</v>
      </c>
      <c r="O111" s="149">
        <f t="shared" si="320"/>
        <v>6.5427682213597862</v>
      </c>
      <c r="P111" s="149">
        <f t="shared" si="321"/>
        <v>2.9078969872710161</v>
      </c>
      <c r="Q111" s="188">
        <f t="shared" si="322"/>
        <v>1.3085536442719572</v>
      </c>
      <c r="R111" s="188">
        <f t="shared" si="323"/>
        <v>0.81784602766997327</v>
      </c>
      <c r="S111" s="188">
        <f t="shared" si="324"/>
        <v>5</v>
      </c>
      <c r="T111" s="188">
        <f t="shared" si="325"/>
        <v>4.5852151543532879E-2</v>
      </c>
      <c r="U111" s="188">
        <f t="shared" si="326"/>
        <v>6.1397261263887712E-2</v>
      </c>
      <c r="V111" s="188">
        <f t="shared" si="327"/>
        <v>9.6284223823945123E-2</v>
      </c>
      <c r="W111" s="172">
        <f t="shared" si="328"/>
        <v>290.78969872710161</v>
      </c>
      <c r="X111" s="379">
        <f t="shared" ref="X111:X174" si="435">MIN(1/(U111+V111+0.2)*1000, 350)</f>
        <v>350</v>
      </c>
      <c r="Z111" s="188">
        <f t="shared" si="329"/>
        <v>1</v>
      </c>
      <c r="AA111" s="150">
        <f t="shared" si="330"/>
        <v>2.0998845328453366</v>
      </c>
      <c r="AB111" s="150">
        <f t="shared" si="331"/>
        <v>0.22898429650042346</v>
      </c>
      <c r="AC111" s="150"/>
      <c r="AD111" s="150">
        <f t="shared" si="332"/>
        <v>2.0998845328453366</v>
      </c>
      <c r="AE111" s="314">
        <f t="shared" si="333"/>
        <v>11.429199855803537</v>
      </c>
      <c r="AF111" s="456">
        <f t="shared" si="334"/>
        <v>0.30531239533389798</v>
      </c>
      <c r="AH111" s="150">
        <f t="shared" si="335"/>
        <v>0.19518001458970663</v>
      </c>
      <c r="AI111" s="150">
        <f t="shared" si="336"/>
        <v>1</v>
      </c>
      <c r="AJ111" s="150">
        <f t="shared" si="337"/>
        <v>1.0065309713461734</v>
      </c>
      <c r="AL111" s="314">
        <f t="shared" si="338"/>
        <v>12</v>
      </c>
      <c r="AM111" s="144">
        <f t="shared" si="339"/>
        <v>11.429199855803537</v>
      </c>
      <c r="AO111" s="144">
        <f t="shared" si="340"/>
        <v>12</v>
      </c>
      <c r="AP111" s="144">
        <f t="shared" si="341"/>
        <v>11.429199855803537</v>
      </c>
      <c r="AR111" s="5">
        <f t="shared" si="275"/>
        <v>87.495188868555701</v>
      </c>
      <c r="AS111" s="5">
        <f>L*AI111/J111*1000000</f>
        <v>1.3390268329196291</v>
      </c>
      <c r="AT111" s="5">
        <f>AR111-AS111</f>
        <v>86.156162035636072</v>
      </c>
      <c r="AU111" s="150">
        <f>AS111/AR111</f>
        <v>1.5304005285722091E-2</v>
      </c>
      <c r="AW111" s="5">
        <f t="shared" si="342"/>
        <v>0.32136643990071101</v>
      </c>
      <c r="AX111" s="5">
        <f t="shared" si="343"/>
        <v>4.1844588528738416E-2</v>
      </c>
      <c r="AY111" s="5">
        <f t="shared" si="344"/>
        <v>0.24034460997310025</v>
      </c>
      <c r="AZ111" s="5"/>
      <c r="BA111" s="150">
        <f t="shared" si="345"/>
        <v>7.1423631210130289E-2</v>
      </c>
      <c r="BB111" s="150">
        <f t="shared" si="346"/>
        <v>0.57291534997597382</v>
      </c>
      <c r="BC111" s="150">
        <f t="shared" si="347"/>
        <v>0.12806343117110003</v>
      </c>
      <c r="BD111" s="150"/>
      <c r="BE111" s="456">
        <f t="shared" si="348"/>
        <v>1.0202670190481395E-4</v>
      </c>
      <c r="BF111" s="456">
        <f t="shared" si="349"/>
        <v>3.1451012628650517E-3</v>
      </c>
      <c r="BG111" s="456">
        <f t="shared" si="350"/>
        <v>2.5606357336879905E-3</v>
      </c>
      <c r="BH111" s="456">
        <f t="shared" si="351"/>
        <v>2.4617893855594124E-4</v>
      </c>
      <c r="BI111">
        <f t="shared" si="352"/>
        <v>4.0327795285668615E-3</v>
      </c>
      <c r="BJ111" s="144">
        <f t="shared" ref="BJ111:BJ174" si="436">(BG111+BI111)*1000</f>
        <v>6.5934152622548519</v>
      </c>
      <c r="BK111">
        <f t="shared" si="353"/>
        <v>3.5209394658504019E-3</v>
      </c>
      <c r="BL111" s="144">
        <f t="shared" ref="BL111:BL174" si="437">SUM(BE111:BI111)*1000</f>
        <v>10.08672216558066</v>
      </c>
      <c r="BM111" s="150">
        <f t="shared" si="354"/>
        <v>7.454999999999999E-3</v>
      </c>
      <c r="BN111" s="150">
        <f t="shared" si="355"/>
        <v>1.5531249999999998E-3</v>
      </c>
      <c r="BO111" s="456"/>
      <c r="BQ111" s="144">
        <f t="shared" si="356"/>
        <v>9.0081249999999979</v>
      </c>
      <c r="BR111" s="456">
        <f t="shared" si="357"/>
        <v>1.5304005285722092E-4</v>
      </c>
      <c r="BS111" s="456">
        <f t="shared" si="358"/>
        <v>9.8469599471427763E-3</v>
      </c>
      <c r="BT111" s="456">
        <f t="shared" si="359"/>
        <v>8.2001212016575374E-5</v>
      </c>
      <c r="BU111" s="456">
        <f t="shared" si="360"/>
        <v>2.2080533983903758E-5</v>
      </c>
      <c r="BV111" s="456"/>
      <c r="BW111" s="538">
        <f t="shared" si="361"/>
        <v>1.1429199855803538E-5</v>
      </c>
      <c r="BX111" s="144">
        <f t="shared" si="362"/>
        <v>10.115510945856279</v>
      </c>
      <c r="BY111" s="150">
        <f t="shared" si="363"/>
        <v>2.9210358111436938E-2</v>
      </c>
      <c r="BZ111" s="5">
        <f t="shared" si="364"/>
        <v>0.08</v>
      </c>
      <c r="CA111" s="150">
        <f t="shared" si="365"/>
        <v>0.73253124871515363</v>
      </c>
      <c r="CB111" s="5">
        <f t="shared" si="366"/>
        <v>73.253124871515368</v>
      </c>
      <c r="CC111">
        <f t="shared" si="367"/>
        <v>1</v>
      </c>
      <c r="CE111" s="59">
        <f t="shared" si="368"/>
        <v>-50</v>
      </c>
      <c r="CF111">
        <f t="shared" si="369"/>
        <v>-50</v>
      </c>
      <c r="CG111" s="150">
        <f t="shared" si="370"/>
        <v>2.4657656011875903E-2</v>
      </c>
      <c r="CH111" s="150">
        <f t="shared" si="371"/>
        <v>1.3377121081198774E-2</v>
      </c>
      <c r="CI111" s="147">
        <v>1</v>
      </c>
      <c r="CJ111" s="188">
        <f t="shared" ref="CJ111:CJ174" si="438">IF(PLOT_TYPE=1, CI111/100*Iout_max, min_I*EXP(CS111*rr/100))</f>
        <v>1.2E-2</v>
      </c>
      <c r="CK111" s="188">
        <f t="shared" si="372"/>
        <v>2.5000000000000001E-3</v>
      </c>
      <c r="CL111" s="188">
        <f t="shared" si="373"/>
        <v>0.06</v>
      </c>
      <c r="CM111" s="188">
        <f t="shared" si="374"/>
        <v>0.02</v>
      </c>
      <c r="CN111" s="465">
        <f t="shared" si="375"/>
        <v>9</v>
      </c>
      <c r="CO111" s="379">
        <f t="shared" si="376"/>
        <v>5.7</v>
      </c>
      <c r="CP111" s="379">
        <f t="shared" si="377"/>
        <v>14.7</v>
      </c>
      <c r="CQ111" s="379"/>
      <c r="CR111" s="188">
        <f t="shared" si="378"/>
        <v>0.375</v>
      </c>
      <c r="CS111" s="149">
        <f t="shared" si="379"/>
        <v>6.328125</v>
      </c>
      <c r="CT111" s="149">
        <f t="shared" si="380"/>
        <v>2.8125</v>
      </c>
      <c r="CU111" s="188">
        <f t="shared" si="381"/>
        <v>1.265625</v>
      </c>
      <c r="CV111" s="188">
        <f t="shared" si="382"/>
        <v>0.791015625</v>
      </c>
      <c r="CW111" s="188">
        <f t="shared" si="383"/>
        <v>5</v>
      </c>
      <c r="CX111" s="188">
        <f t="shared" si="384"/>
        <v>4.7407407407407405E-2</v>
      </c>
      <c r="CY111" s="188">
        <f t="shared" si="385"/>
        <v>6.3209876543209878E-2</v>
      </c>
      <c r="CZ111" s="188">
        <f t="shared" si="386"/>
        <v>9.9805068226120855E-2</v>
      </c>
      <c r="DA111" s="172">
        <f t="shared" si="387"/>
        <v>290.81632653061229</v>
      </c>
      <c r="DB111" s="379">
        <f t="shared" si="388"/>
        <v>350</v>
      </c>
      <c r="DD111" s="188">
        <f t="shared" si="389"/>
        <v>0.99999999999999978</v>
      </c>
      <c r="DE111" s="150">
        <f t="shared" si="390"/>
        <v>2.1052631578947363</v>
      </c>
      <c r="DF111" s="150">
        <f t="shared" si="391"/>
        <v>0.2295918367346938</v>
      </c>
      <c r="DG111" s="150"/>
      <c r="DH111" s="150">
        <f t="shared" si="392"/>
        <v>2.1052631578947367</v>
      </c>
      <c r="DI111" s="314">
        <f t="shared" si="393"/>
        <v>11.4</v>
      </c>
      <c r="DJ111" s="456">
        <f t="shared" si="394"/>
        <v>0.3061224489795919</v>
      </c>
      <c r="DL111" s="150">
        <f t="shared" si="395"/>
        <v>0.19518001458970663</v>
      </c>
      <c r="DM111" s="150">
        <f t="shared" si="396"/>
        <v>1</v>
      </c>
      <c r="DN111" s="150">
        <f t="shared" si="397"/>
        <v>1.0065142857142857</v>
      </c>
      <c r="DP111" s="314">
        <f t="shared" si="398"/>
        <v>12</v>
      </c>
      <c r="DQ111" s="144">
        <f t="shared" si="399"/>
        <v>11.4</v>
      </c>
      <c r="DS111" s="144">
        <f t="shared" si="400"/>
        <v>12</v>
      </c>
      <c r="DT111" s="144">
        <f t="shared" si="401"/>
        <v>11.4</v>
      </c>
      <c r="DV111" s="5">
        <f t="shared" si="402"/>
        <v>87.719298245614027</v>
      </c>
      <c r="DW111" s="5">
        <f t="shared" si="403"/>
        <v>1.3333333333333335</v>
      </c>
      <c r="DX111" s="5">
        <f t="shared" si="404"/>
        <v>86.385964912280699</v>
      </c>
      <c r="DY111" s="150">
        <f t="shared" si="405"/>
        <v>1.5200000000000003E-2</v>
      </c>
      <c r="EA111" s="5">
        <f t="shared" si="406"/>
        <v>0.32000000000000006</v>
      </c>
      <c r="EB111" s="5">
        <f t="shared" si="407"/>
        <v>4.1666666666666671E-2</v>
      </c>
      <c r="EC111" s="5">
        <f t="shared" si="408"/>
        <v>0.2399610136452241</v>
      </c>
      <c r="ED111" s="5"/>
      <c r="EE111" s="150">
        <f t="shared" si="409"/>
        <v>7.1180521680208747E-2</v>
      </c>
      <c r="EF111" s="150">
        <f t="shared" si="410"/>
        <v>0.57294560532974392</v>
      </c>
      <c r="EG111" s="150">
        <f t="shared" si="411"/>
        <v>0.12807019413253101</v>
      </c>
      <c r="EH111" s="150"/>
      <c r="EI111" s="456">
        <f t="shared" si="412"/>
        <v>1.0133333333333335E-4</v>
      </c>
      <c r="EJ111" s="456">
        <f t="shared" si="413"/>
        <v>3.3515999999999993E-3</v>
      </c>
      <c r="EK111" s="456">
        <f t="shared" si="414"/>
        <v>1.4249999999999998E-3</v>
      </c>
      <c r="EL111" s="456">
        <f t="shared" si="415"/>
        <v>2.4634259999999997E-4</v>
      </c>
      <c r="EM111">
        <f t="shared" si="416"/>
        <v>4.0499999999999998E-3</v>
      </c>
      <c r="EN111" s="144">
        <f t="shared" si="417"/>
        <v>5.4749999999999996</v>
      </c>
      <c r="EP111" s="144">
        <f t="shared" ref="EP111:EP174" si="439">SUM(EI111:EM111)*1000</f>
        <v>9.1742759333333339</v>
      </c>
      <c r="EQ111" s="150">
        <f t="shared" si="418"/>
        <v>8.3999999999999995E-3</v>
      </c>
      <c r="ER111" s="150">
        <f t="shared" si="419"/>
        <v>1.1093749999999999E-3</v>
      </c>
      <c r="ES111" s="456"/>
      <c r="EU111" s="144">
        <f t="shared" si="420"/>
        <v>9.5093749999999986</v>
      </c>
      <c r="EV111" s="456">
        <f t="shared" si="421"/>
        <v>1.5200000000000001E-4</v>
      </c>
      <c r="EW111" s="456">
        <f t="shared" si="422"/>
        <v>9.8480000000000009E-3</v>
      </c>
      <c r="EX111" s="456">
        <f t="shared" si="423"/>
        <v>8.2009873125720901E-5</v>
      </c>
      <c r="EY111" s="456">
        <f t="shared" si="424"/>
        <v>2.1939773143767918E-5</v>
      </c>
      <c r="EZ111" s="456"/>
      <c r="FA111" s="538">
        <f t="shared" si="425"/>
        <v>1.1400000000000001E-5</v>
      </c>
      <c r="FB111" s="144">
        <f t="shared" si="426"/>
        <v>10.115349646269488</v>
      </c>
      <c r="FC111" s="150">
        <f t="shared" si="427"/>
        <v>2.8799000579602822E-2</v>
      </c>
      <c r="FD111" s="5">
        <f t="shared" si="428"/>
        <v>0.08</v>
      </c>
      <c r="FE111" s="150">
        <f t="shared" si="429"/>
        <v>0.73530087201001426</v>
      </c>
      <c r="FF111" s="5">
        <f t="shared" si="430"/>
        <v>73.530087201001422</v>
      </c>
      <c r="FG111">
        <f t="shared" si="431"/>
        <v>1</v>
      </c>
      <c r="FI111" s="59">
        <f t="shared" si="432"/>
        <v>-50</v>
      </c>
      <c r="FJ111">
        <f t="shared" si="433"/>
        <v>-50</v>
      </c>
    </row>
    <row r="112" spans="5:169">
      <c r="E112" s="147">
        <v>3</v>
      </c>
      <c r="F112" s="188">
        <f>IF(PLOT_TYPE=1, E112/100*Iout_max, min_I*EXP(O112*rr/100))</f>
        <v>3.5999999999999997E-2</v>
      </c>
      <c r="G112" s="188">
        <f>IF(PLOT_TYPE=1, E112/100*Iout2, min_I*EXP(Q112*rr/100))</f>
        <v>7.4999999999999997E-3</v>
      </c>
      <c r="H112" s="188">
        <f>F112*Vout</f>
        <v>0.18</v>
      </c>
      <c r="I112" s="188">
        <f>Vout2*G112</f>
        <v>0.06</v>
      </c>
      <c r="J112" s="465">
        <f>VIN_min-(F112/CG112/Nps+G112/CH112/(Nps/Nsec1sec2))*(Rdcr_pri+RON/1000)</f>
        <v>8.9617322857041373</v>
      </c>
      <c r="K112" s="379">
        <f t="shared" si="317"/>
        <v>5.7145999279017685</v>
      </c>
      <c r="L112" s="149">
        <f t="shared" si="318"/>
        <v>14.676332213605907</v>
      </c>
      <c r="M112" s="379"/>
      <c r="N112" s="188">
        <f t="shared" si="319"/>
        <v>0.38937520933220399</v>
      </c>
      <c r="O112" s="149">
        <f>N112*J112*Isw_max*0.5*Efficiency*Pout/(Pout+Pout2)</f>
        <v>6.5427682213597862</v>
      </c>
      <c r="P112" s="149">
        <f>N112*J112*Isw_max*0.5*Efficiency*(Pout2/Pout_total)</f>
        <v>2.9078969872710161</v>
      </c>
      <c r="Q112" s="188">
        <f>O112/Vout</f>
        <v>1.3085536442719572</v>
      </c>
      <c r="R112" s="188">
        <f>O112/Vout2</f>
        <v>0.81784602766997327</v>
      </c>
      <c r="S112" s="188">
        <f>MIN(Vout,O112/F112)</f>
        <v>5</v>
      </c>
      <c r="T112" s="188">
        <f>MIN(2*(Vout*F112+Vout2*G112)/(Efficiency*J112*N112), Isw_max)</f>
        <v>0.13755645463059862</v>
      </c>
      <c r="U112" s="188">
        <f>L*T112/J112*1000000</f>
        <v>0.18419178379166315</v>
      </c>
      <c r="V112" s="188">
        <f>L*T112/K112*1000000</f>
        <v>0.28885267147183535</v>
      </c>
      <c r="W112" s="172">
        <f>IF(1/((350000*L)*(1/J112+1/K112))&gt;Isw_min, 350, 0.001/((Isw_min*L)*(1/J112+1/K112)))</f>
        <v>290.78969872710161</v>
      </c>
      <c r="X112" s="379">
        <f t="shared" si="435"/>
        <v>350</v>
      </c>
      <c r="Z112" s="188">
        <f>1/((W112*1000*L)*(1/J112+1/K112))</f>
        <v>1</v>
      </c>
      <c r="AA112" s="150">
        <f>L*Z112/K112*1000000</f>
        <v>2.0998845328453366</v>
      </c>
      <c r="AB112" s="150">
        <f>0.5*AA112*Z112*Nps*W112/1000*(Pout/(Pout+Pout2))</f>
        <v>0.22898429650042346</v>
      </c>
      <c r="AC112" s="150"/>
      <c r="AD112" s="150">
        <f>L*Isw_min/K112*1000000</f>
        <v>2.0998845328453366</v>
      </c>
      <c r="AE112" s="314">
        <f>MAX(10, F112/(0.5*AD112/1000000*Isw_min*Nps)/1000*Pout_total/Pout)</f>
        <v>34.287599567410609</v>
      </c>
      <c r="AF112" s="456">
        <f>0.5*AD112/1000000*Isw_min*Nps*W112*1000*(Pout/Pout_total)</f>
        <v>0.30531239533389798</v>
      </c>
      <c r="AH112" s="150">
        <f>SQRT((H112+I112)/(0.5*L*Fsw_DCM))</f>
        <v>0.33806170189140661</v>
      </c>
      <c r="AI112" s="150">
        <f>MAX(IF(F112&gt;AB112,T112,AH112),Isw_min)</f>
        <v>1</v>
      </c>
      <c r="AJ112" s="150">
        <f>IF(F112&gt;AF112, (AI112-Isw_min)/1.08*0.8+1.2, AE112*0.2/350+1)</f>
        <v>1.0195929140385203</v>
      </c>
      <c r="AL112" s="314">
        <f>F112*1000</f>
        <v>36</v>
      </c>
      <c r="AM112" s="144">
        <f>IF(F112&gt;AF112, X112, AE112)</f>
        <v>34.287599567410609</v>
      </c>
      <c r="AO112" s="144">
        <f>IF(H112&gt;O112, "",AL112)</f>
        <v>36</v>
      </c>
      <c r="AP112" s="144">
        <f>IF(H112&gt;O112, "",AM112)</f>
        <v>34.287599567410609</v>
      </c>
      <c r="AR112" s="5">
        <f>1/AM112*1000</f>
        <v>29.165062956185235</v>
      </c>
      <c r="AS112" s="5">
        <f>L*AI112/J112*1000000</f>
        <v>1.3390268329196291</v>
      </c>
      <c r="AT112" s="5">
        <f>AR112-AS112</f>
        <v>27.826036123265606</v>
      </c>
      <c r="AU112" s="150">
        <f>AS112/AR112</f>
        <v>4.5912015857166269E-2</v>
      </c>
      <c r="AW112" s="5">
        <f>F112*AS112/Vout_ripple*1000</f>
        <v>0.96409931970213292</v>
      </c>
      <c r="AX112" s="5">
        <f>G112*AS112/Vout_ripple2*1000</f>
        <v>0.12553376558621521</v>
      </c>
      <c r="AY112" s="5">
        <f>H112/Efficiency/J112*AT112/Vinripple1</f>
        <v>0.23287380639277211</v>
      </c>
      <c r="AZ112" s="5"/>
      <c r="BA112" s="150">
        <f>AI112*SQRT(AU112/3)</f>
        <v>0.12370935811700783</v>
      </c>
      <c r="BB112" s="150">
        <f>AI112*Npri_sec1*SQRT((1-AU112)/3)*(Pout/Pout_total)</f>
        <v>0.56394089056177799</v>
      </c>
      <c r="BC112" s="150">
        <f>AI112*Npri_sec2*SQRT((1-AU112)/3)*(Pout2/Pout_total)</f>
        <v>0.12605737553733862</v>
      </c>
      <c r="BD112" s="150"/>
      <c r="BE112" s="456">
        <f>Rdson*BA112^2</f>
        <v>3.0608010571444184E-4</v>
      </c>
      <c r="BF112" s="456">
        <f t="shared" si="349"/>
        <v>9.4353037885951552E-3</v>
      </c>
      <c r="BG112" s="456">
        <f t="shared" si="350"/>
        <v>7.681907201063971E-3</v>
      </c>
      <c r="BH112" s="456">
        <f>0.5*(Coss+Csw)*L112^2*AM112*1000</f>
        <v>7.3853681566782368E-4</v>
      </c>
      <c r="BI112">
        <f>J112*IQ</f>
        <v>4.0327795285668615E-3</v>
      </c>
      <c r="BJ112" s="144">
        <f>(BG112+BI112)*1000</f>
        <v>11.714686729630833</v>
      </c>
      <c r="BK112">
        <f t="shared" si="353"/>
        <v>1.0563330552859277E-2</v>
      </c>
      <c r="BL112" s="144">
        <f>SUM(BE112:BI112)*1000</f>
        <v>22.194607439608255</v>
      </c>
      <c r="BM112" s="150">
        <f t="shared" si="354"/>
        <v>2.2364999999999996E-2</v>
      </c>
      <c r="BN112" s="150">
        <f t="shared" si="355"/>
        <v>4.6593749999999995E-3</v>
      </c>
      <c r="BO112" s="456"/>
      <c r="BQ112" s="144">
        <f>SUM(BM112:BP112)*1000</f>
        <v>27.024374999999996</v>
      </c>
      <c r="BR112" s="456">
        <f>Rdcr_pri*BA112^2</f>
        <v>4.5912015857166273E-4</v>
      </c>
      <c r="BS112" s="456">
        <f>Rdcr_sec*BB112^2</f>
        <v>9.5408798414283371E-3</v>
      </c>
      <c r="BT112" s="456">
        <f>Rdcr_sec2*BC112^2</f>
        <v>7.945230963680808E-5</v>
      </c>
      <c r="BU112" s="456">
        <f>AI112^2.5*AM112^2.5*k_core</f>
        <v>3.4420146046535268E-4</v>
      </c>
      <c r="BV112" s="456"/>
      <c r="BW112" s="538">
        <f>0.5*Lleak*0.000000001*AI112^2*AM112*1000</f>
        <v>3.4287599567410611E-5</v>
      </c>
      <c r="BX112" s="144">
        <f>SUM(BR112:BW112)*1000</f>
        <v>10.457941369669571</v>
      </c>
      <c r="BY112" s="150">
        <f>SUM(BE112:BI112,BM112:BP112,BR112:BW112)</f>
        <v>5.9676923809277832E-2</v>
      </c>
      <c r="BZ112" s="5">
        <f>MIN(H112+I112,O112+P112)</f>
        <v>0.24</v>
      </c>
      <c r="CA112" s="150">
        <f>BZ112/(BZ112+BY112)</f>
        <v>0.80086246531528815</v>
      </c>
      <c r="CB112" s="5">
        <f>CA112*100</f>
        <v>80.086246531528815</v>
      </c>
      <c r="CC112">
        <f>F112/Iout*100</f>
        <v>3</v>
      </c>
      <c r="CE112" s="59">
        <f>IF(ABS(F112-Ioutmax_Vinmin)&lt;Iout/200, AM112, -50)</f>
        <v>-50</v>
      </c>
      <c r="CF112">
        <f>IF(ABS(F112-Ioutmax_Vinmin)&lt;Iout/200, (O112+P112)*CA112, -50)</f>
        <v>-50</v>
      </c>
      <c r="CG112" s="150">
        <f>MIN(SQRT(2*DT112*1000*Ls1_*(CL112+CJ112*Vfwd1))/(CW112+Vfwd1), 1-DY112)</f>
        <v>7.3972968035627709E-2</v>
      </c>
      <c r="CH112" s="150">
        <f t="shared" si="371"/>
        <v>4.013136324359632E-2</v>
      </c>
      <c r="CI112" s="147">
        <v>3</v>
      </c>
      <c r="CJ112" s="188">
        <f>IF(PLOT_TYPE=1, CI112/100*Iout_max, min_I*EXP(CS112*rr/100))</f>
        <v>3.5999999999999997E-2</v>
      </c>
      <c r="CK112" s="188">
        <f>IF(PLOT_TYPE=1, CI112/100*Iout2, min_I*EXP(CU112*rr/100))</f>
        <v>7.4999999999999997E-3</v>
      </c>
      <c r="CL112" s="188">
        <f>CJ112*Vout</f>
        <v>0.18</v>
      </c>
      <c r="CM112" s="188">
        <f>Vout2*CK112</f>
        <v>0.06</v>
      </c>
      <c r="CN112" s="465">
        <f t="shared" si="375"/>
        <v>9</v>
      </c>
      <c r="CO112" s="379">
        <f t="shared" si="376"/>
        <v>5.7</v>
      </c>
      <c r="CP112" s="379">
        <f t="shared" si="377"/>
        <v>14.7</v>
      </c>
      <c r="CQ112" s="379"/>
      <c r="CR112" s="188">
        <f>(Vout+Vfwd1)*Nps/((Vout+Vfwd1)*Nps+CN112)</f>
        <v>0.375</v>
      </c>
      <c r="CS112" s="149">
        <f>CR112*CN112*Isw_max*0.5*Efficiency*Pout/(Pout+Pout2)</f>
        <v>6.328125</v>
      </c>
      <c r="CT112" s="149">
        <f>CR112*CN112*Isw_max*0.5*Efficiency*(Pout2/Pout_total)</f>
        <v>2.8125</v>
      </c>
      <c r="CU112" s="188">
        <f>CS112/Vout</f>
        <v>1.265625</v>
      </c>
      <c r="CV112" s="188">
        <f>CS112/Vout2</f>
        <v>0.791015625</v>
      </c>
      <c r="CW112" s="188">
        <f>MIN(Vout,CS112/CJ112)</f>
        <v>5</v>
      </c>
      <c r="CX112" s="188">
        <f>MIN(2*(Vout*CJ112+Vout2*CK112)/(Efficiency*CN112*CR112), Isw_max)</f>
        <v>0.14222222222222222</v>
      </c>
      <c r="CY112" s="188">
        <f>L*CX112/CN112*1000000</f>
        <v>0.18962962962962962</v>
      </c>
      <c r="CZ112" s="188">
        <f>L*CX112/CO112*1000000</f>
        <v>0.29941520467836258</v>
      </c>
      <c r="DA112" s="172">
        <f>IF(1/((350000*L)*(1/CN112+1/CO112))&gt;Isw_min, 350, 0.001/((Isw_min*L)*(1/CN112+1/CO112)))</f>
        <v>290.81632653061229</v>
      </c>
      <c r="DB112" s="379">
        <f>MIN(1/(CY112+CZ112)*1000, 350)</f>
        <v>350</v>
      </c>
      <c r="DD112" s="188">
        <f>1/((DA112*1000*L)*(1/CN112+1/CO112))</f>
        <v>0.99999999999999978</v>
      </c>
      <c r="DE112" s="150">
        <f>L*DD112/CO112*1000000</f>
        <v>2.1052631578947363</v>
      </c>
      <c r="DF112" s="150">
        <f>0.5*DE112*DD112*Nps*DA112/1000*(Pout/(Pout+Pout2))</f>
        <v>0.2295918367346938</v>
      </c>
      <c r="DG112" s="150"/>
      <c r="DH112" s="150">
        <f>L*Isw_min/CO112*1000000</f>
        <v>2.1052631578947367</v>
      </c>
      <c r="DI112" s="314">
        <f>MAX(10, CJ112/(0.5*DH112/1000000*Isw_min*Nps)/1000*Pout_total/Pout)</f>
        <v>34.200000000000003</v>
      </c>
      <c r="DJ112" s="456">
        <f>0.5*DH112/1000000*Isw_min*Nps*DA112*1000*(Pout/Pout_total)</f>
        <v>0.3061224489795919</v>
      </c>
      <c r="DL112" s="150">
        <f>SQRT((CL112+CM112)/(0.5*L*Fsw_DCM))</f>
        <v>0.33806170189140661</v>
      </c>
      <c r="DM112" s="150">
        <f>MAX(IF(CJ112&gt;DF112,CX112,DL112),Isw_min)</f>
        <v>1</v>
      </c>
      <c r="DN112" s="150">
        <f>IF(CJ112&gt;DJ112, (DM112-Isw_min)/1.08*0.8+1.2, DI112*0.2/350+1)</f>
        <v>1.0195428571428571</v>
      </c>
      <c r="DP112" s="314">
        <f>CJ112*1000</f>
        <v>36</v>
      </c>
      <c r="DQ112" s="144">
        <f>IF(CJ112&gt;DJ112, DB112, DI112)</f>
        <v>34.200000000000003</v>
      </c>
      <c r="DS112" s="144">
        <f>IF(CL112&gt;CS112, "",DP112)</f>
        <v>36</v>
      </c>
      <c r="DT112" s="144">
        <f>IF(CL112&gt;CS112, "",DQ112)</f>
        <v>34.200000000000003</v>
      </c>
      <c r="DV112" s="5">
        <f>1/DQ112*1000</f>
        <v>29.239766081871345</v>
      </c>
      <c r="DW112" s="5">
        <f>L*DM112/CN112*1000000</f>
        <v>1.3333333333333335</v>
      </c>
      <c r="DX112" s="5">
        <f>DV112-DW112</f>
        <v>27.906432748538013</v>
      </c>
      <c r="DY112" s="150">
        <f>DW112/DV112</f>
        <v>4.5600000000000009E-2</v>
      </c>
      <c r="EA112" s="5">
        <f>CJ112*DW112/Vout_ripple*1000</f>
        <v>0.96000000000000008</v>
      </c>
      <c r="EB112" s="5">
        <f>CK112*DW112/Vout_ripple2*1000</f>
        <v>0.125</v>
      </c>
      <c r="EC112" s="5">
        <f>CL112/Efficiency/CN112*DX112/Vinripple1</f>
        <v>0.23255360623781673</v>
      </c>
      <c r="ED112" s="5"/>
      <c r="EE112" s="150">
        <f>DM112*SQRT(DY112/3)</f>
        <v>0.12328828005937954</v>
      </c>
      <c r="EF112" s="150">
        <f>DM112*Npri_sec1*SQRT((1-DY112)/3)*(Pout/Pout_total)</f>
        <v>0.56403309595566586</v>
      </c>
      <c r="EG112" s="150">
        <f>DM112*Npri_sec2*SQRT((1-DY112)/3)*(Pout2/Pout_total)</f>
        <v>0.1260779861547959</v>
      </c>
      <c r="EH112" s="150"/>
      <c r="EI112" s="456">
        <f>Rdson*EE112^2</f>
        <v>3.0400000000000007E-4</v>
      </c>
      <c r="EJ112" s="456">
        <f>0.5*CP112*DM112*DQ112*1000*Trise</f>
        <v>1.0054800000000001E-2</v>
      </c>
      <c r="EK112" s="456">
        <f>Qg*Vdd*DQ112*1000</f>
        <v>4.2750000000000002E-3</v>
      </c>
      <c r="EL112" s="456">
        <f>0.5*(Coss+Csw)*CP112^2*DQ112*1000</f>
        <v>7.3902780000000001E-4</v>
      </c>
      <c r="EM112">
        <f>CN112*IQ</f>
        <v>4.0499999999999998E-3</v>
      </c>
      <c r="EN112" s="144">
        <f>(EK112+EM112)*1000</f>
        <v>8.3249999999999993</v>
      </c>
      <c r="EP112" s="144">
        <f>SUM(EI112:EM112)*1000</f>
        <v>19.4228278</v>
      </c>
      <c r="EQ112" s="150">
        <f>Vfwd2*CJ112</f>
        <v>2.5199999999999997E-2</v>
      </c>
      <c r="ER112" s="150">
        <f t="shared" si="419"/>
        <v>3.3281249999999999E-3</v>
      </c>
      <c r="ES112" s="456"/>
      <c r="EU112" s="144">
        <f>SUM(EQ112:ET112)*1000</f>
        <v>28.528124999999999</v>
      </c>
      <c r="EV112" s="456">
        <f>Rdcr_pri*EE112^2</f>
        <v>4.5600000000000008E-4</v>
      </c>
      <c r="EW112" s="456">
        <f>Rdcr_sec*EF112^2</f>
        <v>9.5440000000000004E-3</v>
      </c>
      <c r="EX112" s="456">
        <f>Rdcr_sec2*EG112^2</f>
        <v>7.9478292964244525E-5</v>
      </c>
      <c r="EY112" s="456">
        <f>DM112^2.5*DQ112^2.5*k_core</f>
        <v>3.420072161238711E-4</v>
      </c>
      <c r="EZ112" s="456"/>
      <c r="FA112" s="538">
        <f>0.5*Lleak*0.000000001*DM112^2*DQ112*1000</f>
        <v>3.4200000000000005E-5</v>
      </c>
      <c r="FB112" s="144">
        <f>SUM(EV112:FA112)*1000</f>
        <v>10.455685509088115</v>
      </c>
      <c r="FC112" s="150">
        <f>SUM(EI112:EM112,EQ112:ET112,EV112:FA112)</f>
        <v>5.8406638309088113E-2</v>
      </c>
      <c r="FD112" s="5">
        <f>MIN(CL112+CM112,CS112+CT112)</f>
        <v>0.24</v>
      </c>
      <c r="FE112" s="150">
        <f>FD112/(FD112+FC112)</f>
        <v>0.80427165213197838</v>
      </c>
      <c r="FF112" s="5">
        <f>FE112*100</f>
        <v>80.427165213197839</v>
      </c>
      <c r="FG112">
        <f>CJ112/Iout*100</f>
        <v>3</v>
      </c>
      <c r="FI112" s="59">
        <f>IF(ABS(CJ112-Ioutmax_Vinmin)&lt;Iout/200, DQ112, -50)</f>
        <v>-50</v>
      </c>
      <c r="FJ112">
        <f>IF(ABS(CJ112-Ioutmax_Vinmin)&lt;Iout/200, (CS112+CT112)*FE112, -50)</f>
        <v>-50</v>
      </c>
    </row>
    <row r="113" spans="5:166">
      <c r="E113" s="147">
        <v>3</v>
      </c>
      <c r="F113" s="188">
        <f t="shared" si="434"/>
        <v>3.5999999999999997E-2</v>
      </c>
      <c r="G113" s="188">
        <f t="shared" si="313"/>
        <v>7.4999999999999997E-3</v>
      </c>
      <c r="H113" s="188">
        <f t="shared" si="314"/>
        <v>0.18</v>
      </c>
      <c r="I113" s="188">
        <f t="shared" si="315"/>
        <v>0.06</v>
      </c>
      <c r="J113" s="465">
        <f t="shared" si="316"/>
        <v>8.9617322857041373</v>
      </c>
      <c r="K113" s="379">
        <f t="shared" si="317"/>
        <v>5.7145999279017685</v>
      </c>
      <c r="L113" s="149">
        <f t="shared" si="318"/>
        <v>14.676332213605907</v>
      </c>
      <c r="M113" s="379"/>
      <c r="N113" s="188">
        <f t="shared" si="319"/>
        <v>0.38937520933220399</v>
      </c>
      <c r="O113" s="149">
        <f t="shared" si="320"/>
        <v>6.5427682213597862</v>
      </c>
      <c r="P113" s="149">
        <f t="shared" si="321"/>
        <v>2.9078969872710161</v>
      </c>
      <c r="Q113" s="188">
        <f t="shared" si="322"/>
        <v>1.3085536442719572</v>
      </c>
      <c r="R113" s="188">
        <f t="shared" si="323"/>
        <v>0.81784602766997327</v>
      </c>
      <c r="S113" s="188">
        <f t="shared" si="324"/>
        <v>5</v>
      </c>
      <c r="T113" s="188">
        <f t="shared" si="325"/>
        <v>0.13755645463059862</v>
      </c>
      <c r="U113" s="188">
        <f t="shared" si="326"/>
        <v>0.18419178379166315</v>
      </c>
      <c r="V113" s="188">
        <f t="shared" si="327"/>
        <v>0.28885267147183535</v>
      </c>
      <c r="W113" s="172">
        <f t="shared" si="328"/>
        <v>290.78969872710161</v>
      </c>
      <c r="X113" s="379">
        <f t="shared" si="435"/>
        <v>350</v>
      </c>
      <c r="Z113" s="188">
        <f t="shared" si="329"/>
        <v>1</v>
      </c>
      <c r="AA113" s="150">
        <f t="shared" si="330"/>
        <v>2.0998845328453366</v>
      </c>
      <c r="AB113" s="150">
        <f t="shared" si="331"/>
        <v>0.22898429650042346</v>
      </c>
      <c r="AC113" s="150"/>
      <c r="AD113" s="150">
        <f t="shared" si="332"/>
        <v>2.0998845328453366</v>
      </c>
      <c r="AE113" s="314">
        <f t="shared" si="333"/>
        <v>34.287599567410609</v>
      </c>
      <c r="AF113" s="456">
        <f t="shared" si="334"/>
        <v>0.30531239533389798</v>
      </c>
      <c r="AH113" s="150">
        <f t="shared" si="335"/>
        <v>0.33806170189140661</v>
      </c>
      <c r="AI113" s="150">
        <f t="shared" si="336"/>
        <v>1</v>
      </c>
      <c r="AJ113" s="150">
        <f t="shared" si="337"/>
        <v>1.0195929140385203</v>
      </c>
      <c r="AL113" s="314">
        <f t="shared" si="338"/>
        <v>36</v>
      </c>
      <c r="AM113" s="144">
        <f t="shared" si="339"/>
        <v>34.287599567410609</v>
      </c>
      <c r="AO113" s="144">
        <f t="shared" si="340"/>
        <v>36</v>
      </c>
      <c r="AP113" s="144">
        <f t="shared" si="341"/>
        <v>34.287599567410609</v>
      </c>
      <c r="AR113" s="5">
        <f t="shared" si="275"/>
        <v>29.165062956185235</v>
      </c>
      <c r="AS113" s="5">
        <f>L*AI113/J113*1000000</f>
        <v>1.3390268329196291</v>
      </c>
      <c r="AT113" s="5">
        <f>AR113-AS113</f>
        <v>27.826036123265606</v>
      </c>
      <c r="AU113" s="150">
        <f>AS113/AR113</f>
        <v>4.5912015857166269E-2</v>
      </c>
      <c r="AW113" s="5">
        <f t="shared" si="342"/>
        <v>0.96409931970213292</v>
      </c>
      <c r="AX113" s="5">
        <f t="shared" si="343"/>
        <v>0.12553376558621521</v>
      </c>
      <c r="AY113" s="5">
        <f t="shared" si="344"/>
        <v>0.23287380639277211</v>
      </c>
      <c r="AZ113" s="5"/>
      <c r="BA113" s="150">
        <f t="shared" si="345"/>
        <v>0.12370935811700783</v>
      </c>
      <c r="BB113" s="150">
        <f t="shared" si="346"/>
        <v>0.56394089056177799</v>
      </c>
      <c r="BC113" s="150">
        <f t="shared" si="347"/>
        <v>0.12605737553733862</v>
      </c>
      <c r="BD113" s="150"/>
      <c r="BE113" s="456">
        <f t="shared" si="348"/>
        <v>3.0608010571444184E-4</v>
      </c>
      <c r="BF113" s="456">
        <f t="shared" si="349"/>
        <v>9.4353037885951552E-3</v>
      </c>
      <c r="BG113" s="456">
        <f t="shared" si="350"/>
        <v>7.681907201063971E-3</v>
      </c>
      <c r="BH113" s="456">
        <f t="shared" si="351"/>
        <v>7.3853681566782368E-4</v>
      </c>
      <c r="BI113">
        <f t="shared" si="352"/>
        <v>4.0327795285668615E-3</v>
      </c>
      <c r="BJ113" s="144">
        <f t="shared" si="436"/>
        <v>11.714686729630833</v>
      </c>
      <c r="BK113">
        <f t="shared" si="353"/>
        <v>1.0563330552859277E-2</v>
      </c>
      <c r="BL113" s="144">
        <f t="shared" si="437"/>
        <v>22.194607439608255</v>
      </c>
      <c r="BM113" s="150">
        <f t="shared" si="354"/>
        <v>2.2364999999999996E-2</v>
      </c>
      <c r="BN113" s="150">
        <f t="shared" si="355"/>
        <v>4.6593749999999995E-3</v>
      </c>
      <c r="BO113" s="456"/>
      <c r="BQ113" s="144">
        <f t="shared" si="356"/>
        <v>27.024374999999996</v>
      </c>
      <c r="BR113" s="456">
        <f t="shared" si="357"/>
        <v>4.5912015857166273E-4</v>
      </c>
      <c r="BS113" s="456">
        <f t="shared" si="358"/>
        <v>9.5408798414283371E-3</v>
      </c>
      <c r="BT113" s="456">
        <f t="shared" si="359"/>
        <v>7.945230963680808E-5</v>
      </c>
      <c r="BU113" s="456">
        <f t="shared" si="360"/>
        <v>3.4420146046535268E-4</v>
      </c>
      <c r="BV113" s="456"/>
      <c r="BW113" s="538">
        <f t="shared" si="361"/>
        <v>3.4287599567410611E-5</v>
      </c>
      <c r="BX113" s="144">
        <f t="shared" si="362"/>
        <v>10.457941369669571</v>
      </c>
      <c r="BY113" s="150">
        <f t="shared" si="363"/>
        <v>5.9676923809277832E-2</v>
      </c>
      <c r="BZ113" s="5">
        <f t="shared" si="364"/>
        <v>0.24</v>
      </c>
      <c r="CA113" s="150">
        <f t="shared" si="365"/>
        <v>0.80086246531528815</v>
      </c>
      <c r="CB113" s="5">
        <f t="shared" si="366"/>
        <v>80.086246531528815</v>
      </c>
      <c r="CC113">
        <f t="shared" si="367"/>
        <v>3</v>
      </c>
      <c r="CE113" s="59">
        <f t="shared" si="368"/>
        <v>-50</v>
      </c>
      <c r="CF113">
        <f t="shared" si="369"/>
        <v>-50</v>
      </c>
      <c r="CG113" s="150">
        <f t="shared" si="370"/>
        <v>7.3972968035627709E-2</v>
      </c>
      <c r="CH113" s="150">
        <f t="shared" si="371"/>
        <v>4.013136324359632E-2</v>
      </c>
      <c r="CI113" s="147">
        <v>3</v>
      </c>
      <c r="CJ113" s="188">
        <f t="shared" si="438"/>
        <v>3.5999999999999997E-2</v>
      </c>
      <c r="CK113" s="188">
        <f t="shared" si="372"/>
        <v>7.4999999999999997E-3</v>
      </c>
      <c r="CL113" s="188">
        <f t="shared" si="373"/>
        <v>0.18</v>
      </c>
      <c r="CM113" s="188">
        <f t="shared" si="374"/>
        <v>0.06</v>
      </c>
      <c r="CN113" s="465">
        <f t="shared" si="375"/>
        <v>9</v>
      </c>
      <c r="CO113" s="379">
        <f t="shared" si="376"/>
        <v>5.7</v>
      </c>
      <c r="CP113" s="379">
        <f t="shared" si="377"/>
        <v>14.7</v>
      </c>
      <c r="CQ113" s="379"/>
      <c r="CR113" s="188">
        <f t="shared" si="378"/>
        <v>0.375</v>
      </c>
      <c r="CS113" s="149">
        <f t="shared" si="379"/>
        <v>6.328125</v>
      </c>
      <c r="CT113" s="149">
        <f t="shared" si="380"/>
        <v>2.8125</v>
      </c>
      <c r="CU113" s="188">
        <f t="shared" si="381"/>
        <v>1.265625</v>
      </c>
      <c r="CV113" s="188">
        <f t="shared" si="382"/>
        <v>0.791015625</v>
      </c>
      <c r="CW113" s="188">
        <f t="shared" si="383"/>
        <v>5</v>
      </c>
      <c r="CX113" s="188">
        <f t="shared" si="384"/>
        <v>0.14222222222222222</v>
      </c>
      <c r="CY113" s="188">
        <f t="shared" si="385"/>
        <v>0.18962962962962962</v>
      </c>
      <c r="CZ113" s="188">
        <f t="shared" si="386"/>
        <v>0.29941520467836258</v>
      </c>
      <c r="DA113" s="172">
        <f t="shared" si="387"/>
        <v>290.81632653061229</v>
      </c>
      <c r="DB113" s="379">
        <f t="shared" si="388"/>
        <v>350</v>
      </c>
      <c r="DD113" s="188">
        <f t="shared" si="389"/>
        <v>0.99999999999999978</v>
      </c>
      <c r="DE113" s="150">
        <f t="shared" si="390"/>
        <v>2.1052631578947363</v>
      </c>
      <c r="DF113" s="150">
        <f t="shared" si="391"/>
        <v>0.2295918367346938</v>
      </c>
      <c r="DG113" s="150"/>
      <c r="DH113" s="150">
        <f t="shared" si="392"/>
        <v>2.1052631578947367</v>
      </c>
      <c r="DI113" s="314">
        <f t="shared" si="393"/>
        <v>34.200000000000003</v>
      </c>
      <c r="DJ113" s="456">
        <f t="shared" si="394"/>
        <v>0.3061224489795919</v>
      </c>
      <c r="DL113" s="150">
        <f t="shared" si="395"/>
        <v>0.33806170189140661</v>
      </c>
      <c r="DM113" s="150">
        <f t="shared" si="396"/>
        <v>1</v>
      </c>
      <c r="DN113" s="150">
        <f t="shared" si="397"/>
        <v>1.0195428571428571</v>
      </c>
      <c r="DP113" s="314">
        <f t="shared" si="398"/>
        <v>36</v>
      </c>
      <c r="DQ113" s="144">
        <f t="shared" si="399"/>
        <v>34.200000000000003</v>
      </c>
      <c r="DS113" s="144">
        <f t="shared" si="400"/>
        <v>36</v>
      </c>
      <c r="DT113" s="144">
        <f t="shared" si="401"/>
        <v>34.200000000000003</v>
      </c>
      <c r="DV113" s="5">
        <f t="shared" si="402"/>
        <v>29.239766081871345</v>
      </c>
      <c r="DW113" s="5">
        <f t="shared" si="403"/>
        <v>1.3333333333333335</v>
      </c>
      <c r="DX113" s="5">
        <f t="shared" si="404"/>
        <v>27.906432748538013</v>
      </c>
      <c r="DY113" s="150">
        <f t="shared" si="405"/>
        <v>4.5600000000000009E-2</v>
      </c>
      <c r="EA113" s="5">
        <f t="shared" si="406"/>
        <v>0.96000000000000008</v>
      </c>
      <c r="EB113" s="5">
        <f t="shared" si="407"/>
        <v>0.125</v>
      </c>
      <c r="EC113" s="5">
        <f t="shared" si="408"/>
        <v>0.23255360623781673</v>
      </c>
      <c r="ED113" s="5"/>
      <c r="EE113" s="150">
        <f t="shared" si="409"/>
        <v>0.12328828005937954</v>
      </c>
      <c r="EF113" s="150">
        <f t="shared" si="410"/>
        <v>0.56403309595566586</v>
      </c>
      <c r="EG113" s="150">
        <f t="shared" si="411"/>
        <v>0.1260779861547959</v>
      </c>
      <c r="EH113" s="150"/>
      <c r="EI113" s="456">
        <f t="shared" si="412"/>
        <v>3.0400000000000007E-4</v>
      </c>
      <c r="EJ113" s="456">
        <f t="shared" si="413"/>
        <v>1.0054800000000001E-2</v>
      </c>
      <c r="EK113" s="456">
        <f t="shared" si="414"/>
        <v>4.2750000000000002E-3</v>
      </c>
      <c r="EL113" s="456">
        <f t="shared" si="415"/>
        <v>7.3902780000000001E-4</v>
      </c>
      <c r="EM113">
        <f t="shared" si="416"/>
        <v>4.0499999999999998E-3</v>
      </c>
      <c r="EN113" s="144">
        <f t="shared" si="417"/>
        <v>8.3249999999999993</v>
      </c>
      <c r="EP113" s="144">
        <f t="shared" si="439"/>
        <v>19.4228278</v>
      </c>
      <c r="EQ113" s="150">
        <f t="shared" si="418"/>
        <v>2.5199999999999997E-2</v>
      </c>
      <c r="ER113" s="150">
        <f t="shared" si="419"/>
        <v>3.3281249999999999E-3</v>
      </c>
      <c r="ES113" s="456"/>
      <c r="EU113" s="144">
        <f t="shared" si="420"/>
        <v>28.528124999999999</v>
      </c>
      <c r="EV113" s="456">
        <f t="shared" si="421"/>
        <v>4.5600000000000008E-4</v>
      </c>
      <c r="EW113" s="456">
        <f t="shared" si="422"/>
        <v>9.5440000000000004E-3</v>
      </c>
      <c r="EX113" s="456">
        <f t="shared" si="423"/>
        <v>7.9478292964244525E-5</v>
      </c>
      <c r="EY113" s="456">
        <f t="shared" si="424"/>
        <v>3.420072161238711E-4</v>
      </c>
      <c r="EZ113" s="456"/>
      <c r="FA113" s="538">
        <f t="shared" si="425"/>
        <v>3.4200000000000005E-5</v>
      </c>
      <c r="FB113" s="144">
        <f t="shared" si="426"/>
        <v>10.455685509088115</v>
      </c>
      <c r="FC113" s="150">
        <f t="shared" si="427"/>
        <v>5.8406638309088113E-2</v>
      </c>
      <c r="FD113" s="5">
        <f t="shared" si="428"/>
        <v>0.24</v>
      </c>
      <c r="FE113" s="150">
        <f t="shared" si="429"/>
        <v>0.80427165213197838</v>
      </c>
      <c r="FF113" s="5">
        <f t="shared" si="430"/>
        <v>80.427165213197839</v>
      </c>
      <c r="FG113">
        <f t="shared" si="431"/>
        <v>3</v>
      </c>
      <c r="FI113" s="59">
        <f t="shared" si="432"/>
        <v>-50</v>
      </c>
      <c r="FJ113">
        <f t="shared" si="433"/>
        <v>-50</v>
      </c>
    </row>
    <row r="114" spans="5:166">
      <c r="E114" s="147">
        <v>4</v>
      </c>
      <c r="F114" s="188">
        <f t="shared" si="434"/>
        <v>4.8000000000000001E-2</v>
      </c>
      <c r="G114" s="188">
        <f t="shared" si="313"/>
        <v>0.01</v>
      </c>
      <c r="H114" s="188">
        <f t="shared" si="314"/>
        <v>0.24</v>
      </c>
      <c r="I114" s="188">
        <f t="shared" si="315"/>
        <v>0.08</v>
      </c>
      <c r="J114" s="465">
        <f t="shared" si="316"/>
        <v>8.9617322857041373</v>
      </c>
      <c r="K114" s="379">
        <f t="shared" si="317"/>
        <v>5.7145999279017685</v>
      </c>
      <c r="L114" s="149">
        <f t="shared" si="318"/>
        <v>14.676332213605907</v>
      </c>
      <c r="M114" s="379"/>
      <c r="N114" s="188">
        <f t="shared" si="319"/>
        <v>0.38937520933220399</v>
      </c>
      <c r="O114" s="149">
        <f t="shared" si="320"/>
        <v>6.5427682213597862</v>
      </c>
      <c r="P114" s="149">
        <f t="shared" si="321"/>
        <v>2.9078969872710161</v>
      </c>
      <c r="Q114" s="188">
        <f t="shared" si="322"/>
        <v>1.3085536442719572</v>
      </c>
      <c r="R114" s="188">
        <f t="shared" si="323"/>
        <v>0.81784602766997327</v>
      </c>
      <c r="S114" s="188">
        <f t="shared" si="324"/>
        <v>5</v>
      </c>
      <c r="T114" s="188">
        <f t="shared" si="325"/>
        <v>0.18340860617413152</v>
      </c>
      <c r="U114" s="188">
        <f t="shared" si="326"/>
        <v>0.24558904505555085</v>
      </c>
      <c r="V114" s="188">
        <f t="shared" si="327"/>
        <v>0.38513689529578049</v>
      </c>
      <c r="W114" s="172">
        <f t="shared" si="328"/>
        <v>290.78969872710161</v>
      </c>
      <c r="X114" s="379">
        <f t="shared" si="435"/>
        <v>350</v>
      </c>
      <c r="Z114" s="188">
        <f t="shared" si="329"/>
        <v>1</v>
      </c>
      <c r="AA114" s="150">
        <f t="shared" si="330"/>
        <v>2.0998845328453366</v>
      </c>
      <c r="AB114" s="150">
        <f t="shared" si="331"/>
        <v>0.22898429650042346</v>
      </c>
      <c r="AC114" s="150"/>
      <c r="AD114" s="150">
        <f t="shared" si="332"/>
        <v>2.0998845328453366</v>
      </c>
      <c r="AE114" s="314">
        <f t="shared" si="333"/>
        <v>45.716799423214148</v>
      </c>
      <c r="AF114" s="456">
        <f t="shared" si="334"/>
        <v>0.30531239533389798</v>
      </c>
      <c r="AH114" s="150">
        <f t="shared" si="335"/>
        <v>0.39036002917941326</v>
      </c>
      <c r="AI114" s="150">
        <f t="shared" si="336"/>
        <v>1</v>
      </c>
      <c r="AJ114" s="150">
        <f t="shared" si="337"/>
        <v>1.0261238853846939</v>
      </c>
      <c r="AL114" s="314">
        <f t="shared" si="338"/>
        <v>48</v>
      </c>
      <c r="AM114" s="144">
        <f t="shared" si="339"/>
        <v>45.716799423214148</v>
      </c>
      <c r="AO114" s="144">
        <f t="shared" si="340"/>
        <v>48</v>
      </c>
      <c r="AP114" s="144">
        <f t="shared" si="341"/>
        <v>45.716799423214148</v>
      </c>
      <c r="AR114" s="5">
        <f t="shared" si="275"/>
        <v>21.873797217138925</v>
      </c>
      <c r="AS114" s="5">
        <f>L*AI114/J114*1000000</f>
        <v>1.3390268329196291</v>
      </c>
      <c r="AT114" s="5">
        <f>AR114-AS114</f>
        <v>20.534770384219296</v>
      </c>
      <c r="AU114" s="150">
        <f>AS114/AR114</f>
        <v>6.1216021142888363E-2</v>
      </c>
      <c r="AW114" s="5">
        <f t="shared" si="342"/>
        <v>1.285465759602844</v>
      </c>
      <c r="AX114" s="5">
        <f t="shared" si="343"/>
        <v>0.16737835411495366</v>
      </c>
      <c r="AY114" s="5">
        <f t="shared" si="344"/>
        <v>0.22913840460260793</v>
      </c>
      <c r="AZ114" s="5"/>
      <c r="BA114" s="150">
        <f t="shared" si="345"/>
        <v>0.14284726242026058</v>
      </c>
      <c r="BB114" s="150">
        <f t="shared" si="346"/>
        <v>0.55939967192729967</v>
      </c>
      <c r="BC114" s="150">
        <f t="shared" si="347"/>
        <v>0.12504227960727876</v>
      </c>
      <c r="BD114" s="150"/>
      <c r="BE114" s="456">
        <f t="shared" si="348"/>
        <v>4.081068076192558E-4</v>
      </c>
      <c r="BF114" s="456">
        <f t="shared" si="349"/>
        <v>1.2580405051460207E-2</v>
      </c>
      <c r="BG114" s="456">
        <f t="shared" si="350"/>
        <v>1.0242542934751962E-2</v>
      </c>
      <c r="BH114" s="456">
        <f t="shared" si="351"/>
        <v>9.8471575422376498E-4</v>
      </c>
      <c r="BI114">
        <f t="shared" si="352"/>
        <v>4.0327795285668615E-3</v>
      </c>
      <c r="BJ114" s="144">
        <f t="shared" si="436"/>
        <v>14.275322463318824</v>
      </c>
      <c r="BK114">
        <f t="shared" si="353"/>
        <v>1.4084782198851035E-2</v>
      </c>
      <c r="BL114" s="144">
        <f t="shared" si="437"/>
        <v>28.248550076622049</v>
      </c>
      <c r="BM114" s="150">
        <f t="shared" si="354"/>
        <v>2.9819999999999996E-2</v>
      </c>
      <c r="BN114" s="150">
        <f t="shared" si="355"/>
        <v>6.2124999999999993E-3</v>
      </c>
      <c r="BO114" s="456"/>
      <c r="BQ114" s="144">
        <f t="shared" si="356"/>
        <v>36.032499999999992</v>
      </c>
      <c r="BR114" s="456">
        <f t="shared" si="357"/>
        <v>6.1216021142888367E-4</v>
      </c>
      <c r="BS114" s="456">
        <f t="shared" si="358"/>
        <v>9.3878397885711149E-3</v>
      </c>
      <c r="BT114" s="456">
        <f t="shared" si="359"/>
        <v>7.817785844692442E-5</v>
      </c>
      <c r="BU114" s="456">
        <f t="shared" si="360"/>
        <v>7.0657708748491927E-4</v>
      </c>
      <c r="BV114" s="456"/>
      <c r="BW114" s="538">
        <f t="shared" si="361"/>
        <v>4.571679942321415E-5</v>
      </c>
      <c r="BX114" s="144">
        <f t="shared" si="362"/>
        <v>10.830471745355057</v>
      </c>
      <c r="BY114" s="150">
        <f t="shared" si="363"/>
        <v>7.5111521821977112E-2</v>
      </c>
      <c r="BZ114" s="5">
        <f t="shared" si="364"/>
        <v>0.32</v>
      </c>
      <c r="CA114" s="150">
        <f t="shared" si="365"/>
        <v>0.80989792078040279</v>
      </c>
      <c r="CB114" s="5">
        <f t="shared" si="366"/>
        <v>80.989792078040281</v>
      </c>
      <c r="CC114">
        <f t="shared" si="367"/>
        <v>4</v>
      </c>
      <c r="CE114" s="59">
        <f t="shared" si="368"/>
        <v>-50</v>
      </c>
      <c r="CF114">
        <f t="shared" si="369"/>
        <v>-50</v>
      </c>
      <c r="CG114" s="150">
        <f t="shared" si="370"/>
        <v>9.8630624047503612E-2</v>
      </c>
      <c r="CH114" s="150">
        <f t="shared" si="371"/>
        <v>5.3508484324795096E-2</v>
      </c>
      <c r="CI114" s="147">
        <v>4</v>
      </c>
      <c r="CJ114" s="188">
        <f t="shared" si="438"/>
        <v>4.8000000000000001E-2</v>
      </c>
      <c r="CK114" s="188">
        <f t="shared" si="372"/>
        <v>0.01</v>
      </c>
      <c r="CL114" s="188">
        <f t="shared" si="373"/>
        <v>0.24</v>
      </c>
      <c r="CM114" s="188">
        <f t="shared" si="374"/>
        <v>0.08</v>
      </c>
      <c r="CN114" s="465">
        <f t="shared" si="375"/>
        <v>9</v>
      </c>
      <c r="CO114" s="379">
        <f t="shared" si="376"/>
        <v>5.7</v>
      </c>
      <c r="CP114" s="379">
        <f t="shared" si="377"/>
        <v>14.7</v>
      </c>
      <c r="CQ114" s="379"/>
      <c r="CR114" s="188">
        <f t="shared" si="378"/>
        <v>0.375</v>
      </c>
      <c r="CS114" s="149">
        <f t="shared" si="379"/>
        <v>6.328125</v>
      </c>
      <c r="CT114" s="149">
        <f t="shared" si="380"/>
        <v>2.8125</v>
      </c>
      <c r="CU114" s="188">
        <f t="shared" si="381"/>
        <v>1.265625</v>
      </c>
      <c r="CV114" s="188">
        <f t="shared" si="382"/>
        <v>0.791015625</v>
      </c>
      <c r="CW114" s="188">
        <f t="shared" si="383"/>
        <v>5</v>
      </c>
      <c r="CX114" s="188">
        <f t="shared" si="384"/>
        <v>0.18962962962962962</v>
      </c>
      <c r="CY114" s="188">
        <f t="shared" si="385"/>
        <v>0.25283950617283951</v>
      </c>
      <c r="CZ114" s="188">
        <f t="shared" si="386"/>
        <v>0.39922027290448342</v>
      </c>
      <c r="DA114" s="172">
        <f t="shared" si="387"/>
        <v>290.81632653061229</v>
      </c>
      <c r="DB114" s="379">
        <f t="shared" si="388"/>
        <v>350</v>
      </c>
      <c r="DD114" s="188">
        <f t="shared" si="389"/>
        <v>0.99999999999999978</v>
      </c>
      <c r="DE114" s="150">
        <f t="shared" si="390"/>
        <v>2.1052631578947363</v>
      </c>
      <c r="DF114" s="150">
        <f t="shared" si="391"/>
        <v>0.2295918367346938</v>
      </c>
      <c r="DG114" s="150"/>
      <c r="DH114" s="150">
        <f t="shared" si="392"/>
        <v>2.1052631578947367</v>
      </c>
      <c r="DI114" s="314">
        <f t="shared" si="393"/>
        <v>45.6</v>
      </c>
      <c r="DJ114" s="456">
        <f t="shared" si="394"/>
        <v>0.3061224489795919</v>
      </c>
      <c r="DL114" s="150">
        <f t="shared" si="395"/>
        <v>0.39036002917941326</v>
      </c>
      <c r="DM114" s="150">
        <f t="shared" si="396"/>
        <v>1</v>
      </c>
      <c r="DN114" s="150">
        <f t="shared" si="397"/>
        <v>1.0260571428571428</v>
      </c>
      <c r="DP114" s="314">
        <f t="shared" si="398"/>
        <v>48</v>
      </c>
      <c r="DQ114" s="144">
        <f t="shared" si="399"/>
        <v>45.6</v>
      </c>
      <c r="DS114" s="144">
        <f t="shared" si="400"/>
        <v>48</v>
      </c>
      <c r="DT114" s="144">
        <f t="shared" si="401"/>
        <v>45.6</v>
      </c>
      <c r="DV114" s="5">
        <f t="shared" si="402"/>
        <v>21.929824561403507</v>
      </c>
      <c r="DW114" s="5">
        <f t="shared" si="403"/>
        <v>1.3333333333333335</v>
      </c>
      <c r="DX114" s="5">
        <f t="shared" si="404"/>
        <v>20.596491228070175</v>
      </c>
      <c r="DY114" s="150">
        <f t="shared" si="405"/>
        <v>6.0800000000000014E-2</v>
      </c>
      <c r="EA114" s="5">
        <f t="shared" si="406"/>
        <v>1.2800000000000002</v>
      </c>
      <c r="EB114" s="5">
        <f t="shared" si="407"/>
        <v>0.16666666666666669</v>
      </c>
      <c r="EC114" s="5">
        <f t="shared" si="408"/>
        <v>0.228849902534113</v>
      </c>
      <c r="ED114" s="5"/>
      <c r="EE114" s="150">
        <f t="shared" si="409"/>
        <v>0.14236104336041749</v>
      </c>
      <c r="EF114" s="150">
        <f t="shared" si="410"/>
        <v>0.55952360688952762</v>
      </c>
      <c r="EG114" s="150">
        <f t="shared" si="411"/>
        <v>0.12506998271648265</v>
      </c>
      <c r="EH114" s="150"/>
      <c r="EI114" s="456">
        <f t="shared" si="412"/>
        <v>4.0533333333333339E-4</v>
      </c>
      <c r="EJ114" s="456">
        <f t="shared" si="413"/>
        <v>1.3406399999999997E-2</v>
      </c>
      <c r="EK114" s="456">
        <f t="shared" si="414"/>
        <v>5.6999999999999993E-3</v>
      </c>
      <c r="EL114" s="456">
        <f t="shared" si="415"/>
        <v>9.8537039999999987E-4</v>
      </c>
      <c r="EM114">
        <f t="shared" si="416"/>
        <v>4.0499999999999998E-3</v>
      </c>
      <c r="EN114" s="144">
        <f t="shared" si="417"/>
        <v>9.7499999999999982</v>
      </c>
      <c r="EP114" s="144">
        <f t="shared" si="439"/>
        <v>24.547103733333334</v>
      </c>
      <c r="EQ114" s="150">
        <f t="shared" si="418"/>
        <v>3.3599999999999998E-2</v>
      </c>
      <c r="ER114" s="150">
        <f t="shared" si="419"/>
        <v>4.4374999999999996E-3</v>
      </c>
      <c r="ES114" s="456"/>
      <c r="EU114" s="144">
        <f t="shared" si="420"/>
        <v>38.037499999999994</v>
      </c>
      <c r="EV114" s="456">
        <f t="shared" si="421"/>
        <v>6.0800000000000003E-4</v>
      </c>
      <c r="EW114" s="456">
        <f t="shared" si="422"/>
        <v>9.3919999999999993E-3</v>
      </c>
      <c r="EX114" s="456">
        <f t="shared" si="423"/>
        <v>7.8212502883506338E-5</v>
      </c>
      <c r="EY114" s="456">
        <f t="shared" si="424"/>
        <v>7.0207274060057369E-4</v>
      </c>
      <c r="EZ114" s="456"/>
      <c r="FA114" s="538">
        <f t="shared" si="425"/>
        <v>4.5600000000000004E-5</v>
      </c>
      <c r="FB114" s="144">
        <f t="shared" si="426"/>
        <v>10.825885243484079</v>
      </c>
      <c r="FC114" s="150">
        <f t="shared" si="427"/>
        <v>7.3410488976817415E-2</v>
      </c>
      <c r="FD114" s="5">
        <f t="shared" si="428"/>
        <v>0.32</v>
      </c>
      <c r="FE114" s="150">
        <f t="shared" si="429"/>
        <v>0.81339976682435822</v>
      </c>
      <c r="FF114" s="5">
        <f t="shared" si="430"/>
        <v>81.339976682435818</v>
      </c>
      <c r="FG114">
        <f t="shared" si="431"/>
        <v>4</v>
      </c>
      <c r="FI114" s="59">
        <f t="shared" si="432"/>
        <v>-50</v>
      </c>
      <c r="FJ114">
        <f t="shared" si="433"/>
        <v>-50</v>
      </c>
    </row>
    <row r="115" spans="5:166">
      <c r="E115" s="147">
        <v>5</v>
      </c>
      <c r="F115" s="188">
        <f t="shared" si="434"/>
        <v>0.06</v>
      </c>
      <c r="G115" s="188">
        <f t="shared" si="313"/>
        <v>1.2500000000000001E-2</v>
      </c>
      <c r="H115" s="188">
        <f t="shared" si="314"/>
        <v>0.3</v>
      </c>
      <c r="I115" s="188">
        <f t="shared" si="315"/>
        <v>0.1</v>
      </c>
      <c r="J115" s="465">
        <f t="shared" si="316"/>
        <v>8.9617322857041373</v>
      </c>
      <c r="K115" s="379">
        <f t="shared" si="317"/>
        <v>5.7145999279017685</v>
      </c>
      <c r="L115" s="149">
        <f t="shared" si="318"/>
        <v>14.676332213605907</v>
      </c>
      <c r="M115" s="379"/>
      <c r="N115" s="188">
        <f t="shared" si="319"/>
        <v>0.38937520933220399</v>
      </c>
      <c r="O115" s="149">
        <f t="shared" si="320"/>
        <v>6.5427682213597862</v>
      </c>
      <c r="P115" s="149">
        <f t="shared" si="321"/>
        <v>2.9078969872710161</v>
      </c>
      <c r="Q115" s="188">
        <f t="shared" si="322"/>
        <v>1.3085536442719572</v>
      </c>
      <c r="R115" s="188">
        <f t="shared" si="323"/>
        <v>0.81784602766997327</v>
      </c>
      <c r="S115" s="188">
        <f t="shared" si="324"/>
        <v>5</v>
      </c>
      <c r="T115" s="188">
        <f t="shared" si="325"/>
        <v>0.22926075771766441</v>
      </c>
      <c r="U115" s="188">
        <f t="shared" si="326"/>
        <v>0.30698630631943863</v>
      </c>
      <c r="V115" s="188">
        <f t="shared" si="327"/>
        <v>0.48142111911972568</v>
      </c>
      <c r="W115" s="172">
        <f t="shared" si="328"/>
        <v>290.78969872710161</v>
      </c>
      <c r="X115" s="379">
        <f t="shared" si="435"/>
        <v>350</v>
      </c>
      <c r="Z115" s="188">
        <f t="shared" si="329"/>
        <v>1</v>
      </c>
      <c r="AA115" s="150">
        <f t="shared" si="330"/>
        <v>2.0998845328453366</v>
      </c>
      <c r="AB115" s="150">
        <f t="shared" si="331"/>
        <v>0.22898429650042346</v>
      </c>
      <c r="AC115" s="150"/>
      <c r="AD115" s="150">
        <f t="shared" si="332"/>
        <v>2.0998845328453366</v>
      </c>
      <c r="AE115" s="314">
        <f t="shared" si="333"/>
        <v>57.14599927901768</v>
      </c>
      <c r="AF115" s="456">
        <f t="shared" si="334"/>
        <v>0.30531239533389798</v>
      </c>
      <c r="AH115" s="150">
        <f t="shared" si="335"/>
        <v>0.43643578047198472</v>
      </c>
      <c r="AI115" s="150">
        <f t="shared" si="336"/>
        <v>1</v>
      </c>
      <c r="AJ115" s="150">
        <f t="shared" si="337"/>
        <v>1.0326548567308673</v>
      </c>
      <c r="AL115" s="314">
        <f t="shared" si="338"/>
        <v>60</v>
      </c>
      <c r="AM115" s="144">
        <f t="shared" si="339"/>
        <v>57.14599927901768</v>
      </c>
      <c r="AO115" s="144">
        <f t="shared" si="340"/>
        <v>60</v>
      </c>
      <c r="AP115" s="144">
        <f t="shared" si="341"/>
        <v>57.14599927901768</v>
      </c>
      <c r="AR115" s="5">
        <f t="shared" si="275"/>
        <v>17.499037773711141</v>
      </c>
      <c r="AS115" s="5">
        <f t="shared" ref="AS115:AS178" si="440">L*AI115/J115*1000000</f>
        <v>1.3390268329196291</v>
      </c>
      <c r="AT115" s="5">
        <f t="shared" ref="AT115:AT178" si="441">AR115-AS115</f>
        <v>16.160010940791512</v>
      </c>
      <c r="AU115" s="150">
        <f t="shared" ref="AU115:AU178" si="442">AS115/AR115</f>
        <v>7.6520026428610458E-2</v>
      </c>
      <c r="AW115" s="5">
        <f t="shared" si="342"/>
        <v>1.6068321995035548</v>
      </c>
      <c r="AX115" s="5">
        <f t="shared" si="343"/>
        <v>0.20922294264369207</v>
      </c>
      <c r="AY115" s="5">
        <f t="shared" si="344"/>
        <v>0.22540300281244388</v>
      </c>
      <c r="AZ115" s="5"/>
      <c r="BA115" s="150">
        <f t="shared" si="345"/>
        <v>0.15970809458572688</v>
      </c>
      <c r="BB115" s="150">
        <f t="shared" si="346"/>
        <v>0.5548212846107563</v>
      </c>
      <c r="BC115" s="150">
        <f t="shared" si="347"/>
        <v>0.12401887538358082</v>
      </c>
      <c r="BD115" s="150"/>
      <c r="BE115" s="456">
        <f t="shared" si="348"/>
        <v>5.1013350952406971E-4</v>
      </c>
      <c r="BF115" s="456">
        <f t="shared" si="349"/>
        <v>1.5725506314325257E-2</v>
      </c>
      <c r="BG115" s="456">
        <f t="shared" si="350"/>
        <v>1.2803178668439951E-2</v>
      </c>
      <c r="BH115" s="456">
        <f t="shared" si="351"/>
        <v>1.2308946927797062E-3</v>
      </c>
      <c r="BI115">
        <f t="shared" si="352"/>
        <v>4.0327795285668615E-3</v>
      </c>
      <c r="BJ115" s="144">
        <f t="shared" si="436"/>
        <v>16.835958197006811</v>
      </c>
      <c r="BK115">
        <f t="shared" si="353"/>
        <v>1.7606404596391859E-2</v>
      </c>
      <c r="BL115" s="144">
        <f t="shared" si="437"/>
        <v>34.302492713635843</v>
      </c>
      <c r="BM115" s="150">
        <f t="shared" si="354"/>
        <v>3.7274999999999996E-2</v>
      </c>
      <c r="BN115" s="150">
        <f t="shared" si="355"/>
        <v>7.7656249999999991E-3</v>
      </c>
      <c r="BO115" s="456"/>
      <c r="BQ115" s="144">
        <f t="shared" si="356"/>
        <v>45.040624999999991</v>
      </c>
      <c r="BR115" s="456">
        <f t="shared" si="357"/>
        <v>7.6520026428610445E-4</v>
      </c>
      <c r="BS115" s="456">
        <f t="shared" si="358"/>
        <v>9.2347997357138962E-3</v>
      </c>
      <c r="BT115" s="456">
        <f t="shared" si="359"/>
        <v>7.6903407257040746E-5</v>
      </c>
      <c r="BU115" s="456">
        <f t="shared" si="360"/>
        <v>1.2343393741875738E-3</v>
      </c>
      <c r="BV115" s="456"/>
      <c r="BW115" s="538">
        <f t="shared" si="361"/>
        <v>5.7145999279017683E-5</v>
      </c>
      <c r="BX115" s="144">
        <f t="shared" si="362"/>
        <v>11.368388780723631</v>
      </c>
      <c r="BY115" s="150">
        <f t="shared" si="363"/>
        <v>9.0711506494359453E-2</v>
      </c>
      <c r="BZ115" s="5">
        <f t="shared" si="364"/>
        <v>0.4</v>
      </c>
      <c r="CA115" s="150">
        <f t="shared" si="365"/>
        <v>0.8151428990479519</v>
      </c>
      <c r="CB115" s="5">
        <f t="shared" si="366"/>
        <v>81.514289904795191</v>
      </c>
      <c r="CC115">
        <f t="shared" si="367"/>
        <v>5</v>
      </c>
      <c r="CE115" s="59">
        <f t="shared" si="368"/>
        <v>-50</v>
      </c>
      <c r="CF115">
        <f t="shared" si="369"/>
        <v>-50</v>
      </c>
      <c r="CG115" s="150">
        <f t="shared" si="370"/>
        <v>0.12328828005937953</v>
      </c>
      <c r="CH115" s="150">
        <f t="shared" si="371"/>
        <v>6.6885605405993864E-2</v>
      </c>
      <c r="CI115" s="147">
        <v>5</v>
      </c>
      <c r="CJ115" s="188">
        <f t="shared" si="438"/>
        <v>0.06</v>
      </c>
      <c r="CK115" s="188">
        <f t="shared" si="372"/>
        <v>1.2500000000000001E-2</v>
      </c>
      <c r="CL115" s="188">
        <f t="shared" si="373"/>
        <v>0.3</v>
      </c>
      <c r="CM115" s="188">
        <f t="shared" si="374"/>
        <v>0.1</v>
      </c>
      <c r="CN115" s="465">
        <f t="shared" si="375"/>
        <v>9</v>
      </c>
      <c r="CO115" s="379">
        <f t="shared" si="376"/>
        <v>5.7</v>
      </c>
      <c r="CP115" s="379">
        <f t="shared" si="377"/>
        <v>14.7</v>
      </c>
      <c r="CQ115" s="379"/>
      <c r="CR115" s="188">
        <f t="shared" si="378"/>
        <v>0.375</v>
      </c>
      <c r="CS115" s="149">
        <f t="shared" si="379"/>
        <v>6.328125</v>
      </c>
      <c r="CT115" s="149">
        <f t="shared" si="380"/>
        <v>2.8125</v>
      </c>
      <c r="CU115" s="188">
        <f t="shared" si="381"/>
        <v>1.265625</v>
      </c>
      <c r="CV115" s="188">
        <f t="shared" si="382"/>
        <v>0.791015625</v>
      </c>
      <c r="CW115" s="188">
        <f t="shared" si="383"/>
        <v>5</v>
      </c>
      <c r="CX115" s="188">
        <f t="shared" si="384"/>
        <v>0.23703703703703705</v>
      </c>
      <c r="CY115" s="188">
        <f t="shared" si="385"/>
        <v>0.31604938271604943</v>
      </c>
      <c r="CZ115" s="188">
        <f t="shared" si="386"/>
        <v>0.49902534113060437</v>
      </c>
      <c r="DA115" s="172">
        <f t="shared" si="387"/>
        <v>290.81632653061229</v>
      </c>
      <c r="DB115" s="379">
        <f t="shared" si="388"/>
        <v>350</v>
      </c>
      <c r="DD115" s="188">
        <f t="shared" si="389"/>
        <v>0.99999999999999978</v>
      </c>
      <c r="DE115" s="150">
        <f t="shared" si="390"/>
        <v>2.1052631578947363</v>
      </c>
      <c r="DF115" s="150">
        <f t="shared" si="391"/>
        <v>0.2295918367346938</v>
      </c>
      <c r="DG115" s="150"/>
      <c r="DH115" s="150">
        <f t="shared" si="392"/>
        <v>2.1052631578947367</v>
      </c>
      <c r="DI115" s="314">
        <f t="shared" si="393"/>
        <v>57</v>
      </c>
      <c r="DJ115" s="456">
        <f t="shared" si="394"/>
        <v>0.3061224489795919</v>
      </c>
      <c r="DL115" s="150">
        <f t="shared" si="395"/>
        <v>0.43643578047198472</v>
      </c>
      <c r="DM115" s="150">
        <f t="shared" si="396"/>
        <v>1</v>
      </c>
      <c r="DN115" s="150">
        <f t="shared" si="397"/>
        <v>1.0325714285714285</v>
      </c>
      <c r="DP115" s="314">
        <f t="shared" si="398"/>
        <v>60</v>
      </c>
      <c r="DQ115" s="144">
        <f t="shared" si="399"/>
        <v>57</v>
      </c>
      <c r="DS115" s="144">
        <f t="shared" si="400"/>
        <v>60</v>
      </c>
      <c r="DT115" s="144">
        <f t="shared" si="401"/>
        <v>57</v>
      </c>
      <c r="DV115" s="5">
        <f t="shared" si="402"/>
        <v>17.543859649122805</v>
      </c>
      <c r="DW115" s="5">
        <f t="shared" si="403"/>
        <v>1.3333333333333335</v>
      </c>
      <c r="DX115" s="5">
        <f t="shared" si="404"/>
        <v>16.210526315789473</v>
      </c>
      <c r="DY115" s="150">
        <f t="shared" si="405"/>
        <v>7.6000000000000012E-2</v>
      </c>
      <c r="EA115" s="5">
        <f t="shared" si="406"/>
        <v>1.6</v>
      </c>
      <c r="EB115" s="5">
        <f t="shared" si="407"/>
        <v>0.20833333333333337</v>
      </c>
      <c r="EC115" s="5">
        <f t="shared" si="408"/>
        <v>0.22514619883040929</v>
      </c>
      <c r="ED115" s="5"/>
      <c r="EE115" s="150">
        <f t="shared" si="409"/>
        <v>0.1591644851508443</v>
      </c>
      <c r="EF115" s="150">
        <f t="shared" si="410"/>
        <v>0.55497747702046429</v>
      </c>
      <c r="EG115" s="150">
        <f t="shared" si="411"/>
        <v>0.12405378898104497</v>
      </c>
      <c r="EH115" s="150"/>
      <c r="EI115" s="456">
        <f t="shared" si="412"/>
        <v>5.0666666666666677E-4</v>
      </c>
      <c r="EJ115" s="456">
        <f t="shared" si="413"/>
        <v>1.6758000000000002E-2</v>
      </c>
      <c r="EK115" s="456">
        <f t="shared" si="414"/>
        <v>7.1249999999999994E-3</v>
      </c>
      <c r="EL115" s="456">
        <f t="shared" si="415"/>
        <v>1.2317129999999999E-3</v>
      </c>
      <c r="EM115">
        <f t="shared" si="416"/>
        <v>4.0499999999999998E-3</v>
      </c>
      <c r="EN115" s="144">
        <f t="shared" si="417"/>
        <v>11.174999999999999</v>
      </c>
      <c r="EP115" s="144">
        <f t="shared" si="439"/>
        <v>29.671379666666663</v>
      </c>
      <c r="EQ115" s="150">
        <f t="shared" si="418"/>
        <v>4.1999999999999996E-2</v>
      </c>
      <c r="ER115" s="150">
        <f t="shared" si="419"/>
        <v>5.5468749999999997E-3</v>
      </c>
      <c r="ES115" s="456"/>
      <c r="EU115" s="144">
        <f t="shared" si="420"/>
        <v>47.546874999999993</v>
      </c>
      <c r="EV115" s="456">
        <f t="shared" si="421"/>
        <v>7.6000000000000004E-4</v>
      </c>
      <c r="EW115" s="456">
        <f t="shared" si="422"/>
        <v>9.2399999999999999E-3</v>
      </c>
      <c r="EX115" s="456">
        <f t="shared" si="423"/>
        <v>7.6946712802768163E-5</v>
      </c>
      <c r="EY115" s="456">
        <f t="shared" si="424"/>
        <v>1.2264706040097332E-3</v>
      </c>
      <c r="EZ115" s="456"/>
      <c r="FA115" s="538">
        <f t="shared" si="425"/>
        <v>5.7000000000000003E-5</v>
      </c>
      <c r="FB115" s="144">
        <f t="shared" si="426"/>
        <v>11.360417316812502</v>
      </c>
      <c r="FC115" s="150">
        <f t="shared" si="427"/>
        <v>8.8578671983479157E-2</v>
      </c>
      <c r="FD115" s="5">
        <f t="shared" si="428"/>
        <v>0.4</v>
      </c>
      <c r="FE115" s="150">
        <f t="shared" si="429"/>
        <v>0.81870131247465849</v>
      </c>
      <c r="FF115" s="5">
        <f t="shared" si="430"/>
        <v>81.870131247465849</v>
      </c>
      <c r="FG115">
        <f t="shared" si="431"/>
        <v>5</v>
      </c>
      <c r="FI115" s="59">
        <f t="shared" si="432"/>
        <v>-50</v>
      </c>
      <c r="FJ115">
        <f t="shared" si="433"/>
        <v>-50</v>
      </c>
    </row>
    <row r="116" spans="5:166">
      <c r="E116" s="147">
        <v>6</v>
      </c>
      <c r="F116" s="188">
        <f t="shared" si="434"/>
        <v>7.1999999999999995E-2</v>
      </c>
      <c r="G116" s="188">
        <f t="shared" si="313"/>
        <v>1.4999999999999999E-2</v>
      </c>
      <c r="H116" s="188">
        <f t="shared" si="314"/>
        <v>0.36</v>
      </c>
      <c r="I116" s="188">
        <f t="shared" si="315"/>
        <v>0.12</v>
      </c>
      <c r="J116" s="465">
        <f t="shared" si="316"/>
        <v>8.9617322857041373</v>
      </c>
      <c r="K116" s="379">
        <f t="shared" si="317"/>
        <v>5.7145999279017685</v>
      </c>
      <c r="L116" s="149">
        <f t="shared" si="318"/>
        <v>14.676332213605907</v>
      </c>
      <c r="M116" s="379"/>
      <c r="N116" s="188">
        <f t="shared" si="319"/>
        <v>0.38937520933220399</v>
      </c>
      <c r="O116" s="149">
        <f t="shared" si="320"/>
        <v>6.5427682213597862</v>
      </c>
      <c r="P116" s="149">
        <f t="shared" si="321"/>
        <v>2.9078969872710161</v>
      </c>
      <c r="Q116" s="188">
        <f t="shared" si="322"/>
        <v>1.3085536442719572</v>
      </c>
      <c r="R116" s="188">
        <f t="shared" si="323"/>
        <v>0.81784602766997327</v>
      </c>
      <c r="S116" s="188">
        <f t="shared" si="324"/>
        <v>5</v>
      </c>
      <c r="T116" s="188">
        <f t="shared" si="325"/>
        <v>0.27511290926119725</v>
      </c>
      <c r="U116" s="188">
        <f t="shared" si="326"/>
        <v>0.3683835675833263</v>
      </c>
      <c r="V116" s="188">
        <f t="shared" si="327"/>
        <v>0.57770534294367071</v>
      </c>
      <c r="W116" s="172">
        <f t="shared" si="328"/>
        <v>290.78969872710161</v>
      </c>
      <c r="X116" s="379">
        <f t="shared" si="435"/>
        <v>350</v>
      </c>
      <c r="Z116" s="188">
        <f t="shared" si="329"/>
        <v>1</v>
      </c>
      <c r="AA116" s="150">
        <f t="shared" si="330"/>
        <v>2.0998845328453366</v>
      </c>
      <c r="AB116" s="150">
        <f t="shared" si="331"/>
        <v>0.22898429650042346</v>
      </c>
      <c r="AC116" s="150"/>
      <c r="AD116" s="150">
        <f t="shared" si="332"/>
        <v>2.0998845328453366</v>
      </c>
      <c r="AE116" s="314">
        <f t="shared" si="333"/>
        <v>68.575199134821219</v>
      </c>
      <c r="AF116" s="456">
        <f t="shared" si="334"/>
        <v>0.30531239533389798</v>
      </c>
      <c r="AH116" s="150">
        <f t="shared" si="335"/>
        <v>0.47809144373375745</v>
      </c>
      <c r="AI116" s="150">
        <f t="shared" si="336"/>
        <v>1</v>
      </c>
      <c r="AJ116" s="150">
        <f t="shared" si="337"/>
        <v>1.0391858280770407</v>
      </c>
      <c r="AL116" s="314">
        <f t="shared" si="338"/>
        <v>72</v>
      </c>
      <c r="AM116" s="144">
        <f t="shared" si="339"/>
        <v>68.575199134821219</v>
      </c>
      <c r="AO116" s="144">
        <f t="shared" si="340"/>
        <v>72</v>
      </c>
      <c r="AP116" s="144">
        <f t="shared" si="341"/>
        <v>68.575199134821219</v>
      </c>
      <c r="AR116" s="5">
        <f t="shared" si="275"/>
        <v>14.582531478092617</v>
      </c>
      <c r="AS116" s="5">
        <f t="shared" si="440"/>
        <v>1.3390268329196291</v>
      </c>
      <c r="AT116" s="5">
        <f t="shared" si="441"/>
        <v>13.243504645172989</v>
      </c>
      <c r="AU116" s="150">
        <f t="shared" si="442"/>
        <v>9.1824031714332538E-2</v>
      </c>
      <c r="AW116" s="5">
        <f t="shared" si="342"/>
        <v>1.9281986394042658</v>
      </c>
      <c r="AX116" s="5">
        <f t="shared" si="343"/>
        <v>0.25106753117243041</v>
      </c>
      <c r="AY116" s="5">
        <f t="shared" si="344"/>
        <v>0.22166760102227975</v>
      </c>
      <c r="AZ116" s="5"/>
      <c r="BA116" s="150">
        <f t="shared" si="345"/>
        <v>0.17495145204154258</v>
      </c>
      <c r="BB116" s="150">
        <f t="shared" si="346"/>
        <v>0.55020480074413125</v>
      </c>
      <c r="BC116" s="150">
        <f t="shared" si="347"/>
        <v>0.12298695546045287</v>
      </c>
      <c r="BD116" s="150"/>
      <c r="BE116" s="456">
        <f t="shared" si="348"/>
        <v>6.1216021142888345E-4</v>
      </c>
      <c r="BF116" s="456">
        <f t="shared" si="349"/>
        <v>1.887060757719031E-2</v>
      </c>
      <c r="BG116" s="456">
        <f t="shared" si="350"/>
        <v>1.5363814402127942E-2</v>
      </c>
      <c r="BH116" s="456">
        <f t="shared" si="351"/>
        <v>1.4770736313356474E-3</v>
      </c>
      <c r="BI116">
        <f t="shared" si="352"/>
        <v>4.0327795285668615E-3</v>
      </c>
      <c r="BJ116" s="144">
        <f t="shared" si="436"/>
        <v>19.396593930694802</v>
      </c>
      <c r="BK116">
        <f t="shared" si="353"/>
        <v>2.1128197757901403E-2</v>
      </c>
      <c r="BL116" s="144">
        <f t="shared" si="437"/>
        <v>40.356435350649647</v>
      </c>
      <c r="BM116" s="150">
        <f t="shared" si="354"/>
        <v>4.4729999999999992E-2</v>
      </c>
      <c r="BN116" s="150">
        <f t="shared" si="355"/>
        <v>9.3187499999999989E-3</v>
      </c>
      <c r="BO116" s="456"/>
      <c r="BQ116" s="144">
        <f t="shared" si="356"/>
        <v>54.048749999999991</v>
      </c>
      <c r="BR116" s="456">
        <f t="shared" si="357"/>
        <v>9.1824031714332524E-4</v>
      </c>
      <c r="BS116" s="456">
        <f t="shared" si="358"/>
        <v>9.0817596828566757E-3</v>
      </c>
      <c r="BT116" s="456">
        <f t="shared" si="359"/>
        <v>7.5628956067157085E-5</v>
      </c>
      <c r="BU116" s="456">
        <f t="shared" si="360"/>
        <v>1.9470974943149161E-3</v>
      </c>
      <c r="BV116" s="456"/>
      <c r="BW116" s="538">
        <f t="shared" si="361"/>
        <v>6.8575199134821222E-5</v>
      </c>
      <c r="BX116" s="144">
        <f t="shared" si="362"/>
        <v>12.091301649516893</v>
      </c>
      <c r="BY116" s="150">
        <f t="shared" si="363"/>
        <v>0.10649648700016652</v>
      </c>
      <c r="BZ116" s="5">
        <f t="shared" si="364"/>
        <v>0.48</v>
      </c>
      <c r="CA116" s="150">
        <f t="shared" si="365"/>
        <v>0.81841922439317816</v>
      </c>
      <c r="CB116" s="5">
        <f t="shared" si="366"/>
        <v>81.841922439317813</v>
      </c>
      <c r="CC116">
        <f t="shared" si="367"/>
        <v>6</v>
      </c>
      <c r="CE116" s="59">
        <f t="shared" si="368"/>
        <v>-50</v>
      </c>
      <c r="CF116">
        <f t="shared" si="369"/>
        <v>-50</v>
      </c>
      <c r="CG116" s="150">
        <f t="shared" si="370"/>
        <v>0.14794593607125542</v>
      </c>
      <c r="CH116" s="150">
        <f t="shared" si="371"/>
        <v>8.026272648719264E-2</v>
      </c>
      <c r="CI116" s="147">
        <v>6</v>
      </c>
      <c r="CJ116" s="188">
        <f t="shared" si="438"/>
        <v>7.1999999999999995E-2</v>
      </c>
      <c r="CK116" s="188">
        <f t="shared" si="372"/>
        <v>1.4999999999999999E-2</v>
      </c>
      <c r="CL116" s="188">
        <f t="shared" si="373"/>
        <v>0.36</v>
      </c>
      <c r="CM116" s="188">
        <f t="shared" si="374"/>
        <v>0.12</v>
      </c>
      <c r="CN116" s="465">
        <f t="shared" si="375"/>
        <v>9</v>
      </c>
      <c r="CO116" s="379">
        <f t="shared" si="376"/>
        <v>5.7</v>
      </c>
      <c r="CP116" s="379">
        <f t="shared" si="377"/>
        <v>14.7</v>
      </c>
      <c r="CQ116" s="379"/>
      <c r="CR116" s="188">
        <f t="shared" si="378"/>
        <v>0.375</v>
      </c>
      <c r="CS116" s="149">
        <f t="shared" si="379"/>
        <v>6.328125</v>
      </c>
      <c r="CT116" s="149">
        <f t="shared" si="380"/>
        <v>2.8125</v>
      </c>
      <c r="CU116" s="188">
        <f t="shared" si="381"/>
        <v>1.265625</v>
      </c>
      <c r="CV116" s="188">
        <f t="shared" si="382"/>
        <v>0.791015625</v>
      </c>
      <c r="CW116" s="188">
        <f t="shared" si="383"/>
        <v>5</v>
      </c>
      <c r="CX116" s="188">
        <f t="shared" si="384"/>
        <v>0.28444444444444444</v>
      </c>
      <c r="CY116" s="188">
        <f t="shared" si="385"/>
        <v>0.37925925925925924</v>
      </c>
      <c r="CZ116" s="188">
        <f t="shared" si="386"/>
        <v>0.59883040935672516</v>
      </c>
      <c r="DA116" s="172">
        <f t="shared" si="387"/>
        <v>290.81632653061229</v>
      </c>
      <c r="DB116" s="379">
        <f t="shared" si="388"/>
        <v>350</v>
      </c>
      <c r="DD116" s="188">
        <f t="shared" si="389"/>
        <v>0.99999999999999978</v>
      </c>
      <c r="DE116" s="150">
        <f t="shared" si="390"/>
        <v>2.1052631578947363</v>
      </c>
      <c r="DF116" s="150">
        <f t="shared" si="391"/>
        <v>0.2295918367346938</v>
      </c>
      <c r="DG116" s="150"/>
      <c r="DH116" s="150">
        <f t="shared" si="392"/>
        <v>2.1052631578947367</v>
      </c>
      <c r="DI116" s="314">
        <f t="shared" si="393"/>
        <v>68.400000000000006</v>
      </c>
      <c r="DJ116" s="456">
        <f t="shared" si="394"/>
        <v>0.3061224489795919</v>
      </c>
      <c r="DL116" s="150">
        <f t="shared" si="395"/>
        <v>0.47809144373375745</v>
      </c>
      <c r="DM116" s="150">
        <f t="shared" si="396"/>
        <v>1</v>
      </c>
      <c r="DN116" s="150">
        <f t="shared" si="397"/>
        <v>1.0390857142857144</v>
      </c>
      <c r="DP116" s="314">
        <f t="shared" si="398"/>
        <v>72</v>
      </c>
      <c r="DQ116" s="144">
        <f t="shared" si="399"/>
        <v>68.400000000000006</v>
      </c>
      <c r="DS116" s="144">
        <f t="shared" si="400"/>
        <v>72</v>
      </c>
      <c r="DT116" s="144">
        <f t="shared" si="401"/>
        <v>68.400000000000006</v>
      </c>
      <c r="DV116" s="5">
        <f t="shared" si="402"/>
        <v>14.619883040935672</v>
      </c>
      <c r="DW116" s="5">
        <f t="shared" si="403"/>
        <v>1.3333333333333335</v>
      </c>
      <c r="DX116" s="5">
        <f t="shared" si="404"/>
        <v>13.286549707602338</v>
      </c>
      <c r="DY116" s="150">
        <f t="shared" si="405"/>
        <v>9.1200000000000017E-2</v>
      </c>
      <c r="EA116" s="5">
        <f t="shared" si="406"/>
        <v>1.9200000000000002</v>
      </c>
      <c r="EB116" s="5">
        <f t="shared" si="407"/>
        <v>0.25</v>
      </c>
      <c r="EC116" s="5">
        <f t="shared" si="408"/>
        <v>0.22144249512670561</v>
      </c>
      <c r="ED116" s="5"/>
      <c r="EE116" s="150">
        <f t="shared" si="409"/>
        <v>0.17435595774162696</v>
      </c>
      <c r="EF116" s="150">
        <f t="shared" si="410"/>
        <v>0.55039379841467451</v>
      </c>
      <c r="EG116" s="150">
        <f t="shared" si="411"/>
        <v>0.12302920199857431</v>
      </c>
      <c r="EH116" s="150"/>
      <c r="EI116" s="456">
        <f t="shared" si="412"/>
        <v>6.0800000000000014E-4</v>
      </c>
      <c r="EJ116" s="456">
        <f t="shared" si="413"/>
        <v>2.0109600000000002E-2</v>
      </c>
      <c r="EK116" s="456">
        <f t="shared" si="414"/>
        <v>8.5500000000000003E-3</v>
      </c>
      <c r="EL116" s="456">
        <f t="shared" si="415"/>
        <v>1.4780556E-3</v>
      </c>
      <c r="EM116">
        <f t="shared" si="416"/>
        <v>4.0499999999999998E-3</v>
      </c>
      <c r="EN116" s="144">
        <f t="shared" si="417"/>
        <v>12.6</v>
      </c>
      <c r="EP116" s="144">
        <f t="shared" si="439"/>
        <v>34.795655600000003</v>
      </c>
      <c r="EQ116" s="150">
        <f t="shared" si="418"/>
        <v>5.0399999999999993E-2</v>
      </c>
      <c r="ER116" s="150">
        <f t="shared" si="419"/>
        <v>6.6562499999999998E-3</v>
      </c>
      <c r="ES116" s="456"/>
      <c r="EU116" s="144">
        <f t="shared" si="420"/>
        <v>57.056249999999999</v>
      </c>
      <c r="EV116" s="456">
        <f t="shared" si="421"/>
        <v>9.1200000000000016E-4</v>
      </c>
      <c r="EW116" s="456">
        <f t="shared" si="422"/>
        <v>9.0879999999999989E-3</v>
      </c>
      <c r="EX116" s="456">
        <f t="shared" si="423"/>
        <v>7.5680922722030016E-5</v>
      </c>
      <c r="EY116" s="456">
        <f t="shared" si="424"/>
        <v>1.9346849738873777E-3</v>
      </c>
      <c r="EZ116" s="456"/>
      <c r="FA116" s="538">
        <f t="shared" si="425"/>
        <v>6.8400000000000009E-5</v>
      </c>
      <c r="FB116" s="144">
        <f t="shared" si="426"/>
        <v>12.078765896609406</v>
      </c>
      <c r="FC116" s="150">
        <f t="shared" si="427"/>
        <v>0.10393067149660941</v>
      </c>
      <c r="FD116" s="5">
        <f t="shared" si="428"/>
        <v>0.48</v>
      </c>
      <c r="FE116" s="150">
        <f t="shared" si="429"/>
        <v>0.82201539228923193</v>
      </c>
      <c r="FF116" s="5">
        <f t="shared" si="430"/>
        <v>82.201539228923195</v>
      </c>
      <c r="FG116">
        <f t="shared" si="431"/>
        <v>6</v>
      </c>
      <c r="FI116" s="59">
        <f t="shared" si="432"/>
        <v>-50</v>
      </c>
      <c r="FJ116">
        <f t="shared" si="433"/>
        <v>-50</v>
      </c>
    </row>
    <row r="117" spans="5:166">
      <c r="E117" s="147">
        <v>7</v>
      </c>
      <c r="F117" s="188">
        <f t="shared" si="434"/>
        <v>8.4000000000000005E-2</v>
      </c>
      <c r="G117" s="188">
        <f t="shared" si="313"/>
        <v>1.7500000000000002E-2</v>
      </c>
      <c r="H117" s="188">
        <f t="shared" si="314"/>
        <v>0.42000000000000004</v>
      </c>
      <c r="I117" s="188">
        <f t="shared" si="315"/>
        <v>0.14000000000000001</v>
      </c>
      <c r="J117" s="465">
        <f t="shared" si="316"/>
        <v>8.9617322857041373</v>
      </c>
      <c r="K117" s="379">
        <f t="shared" si="317"/>
        <v>5.7145999279017685</v>
      </c>
      <c r="L117" s="149">
        <f t="shared" si="318"/>
        <v>14.676332213605907</v>
      </c>
      <c r="M117" s="379"/>
      <c r="N117" s="188">
        <f t="shared" si="319"/>
        <v>0.38937520933220399</v>
      </c>
      <c r="O117" s="149">
        <f t="shared" si="320"/>
        <v>6.5427682213597862</v>
      </c>
      <c r="P117" s="149">
        <f t="shared" si="321"/>
        <v>2.9078969872710161</v>
      </c>
      <c r="Q117" s="188">
        <f t="shared" si="322"/>
        <v>1.3085536442719572</v>
      </c>
      <c r="R117" s="188">
        <f t="shared" si="323"/>
        <v>0.81784602766997327</v>
      </c>
      <c r="S117" s="188">
        <f t="shared" si="324"/>
        <v>5</v>
      </c>
      <c r="T117" s="188">
        <f t="shared" si="325"/>
        <v>0.3209650608047302</v>
      </c>
      <c r="U117" s="188">
        <f t="shared" si="326"/>
        <v>0.42978082884721414</v>
      </c>
      <c r="V117" s="188">
        <f t="shared" si="327"/>
        <v>0.67398956676761601</v>
      </c>
      <c r="W117" s="172">
        <f t="shared" si="328"/>
        <v>290.78969872710161</v>
      </c>
      <c r="X117" s="379">
        <f t="shared" si="435"/>
        <v>350</v>
      </c>
      <c r="Z117" s="188">
        <f t="shared" si="329"/>
        <v>1</v>
      </c>
      <c r="AA117" s="150">
        <f t="shared" si="330"/>
        <v>2.0998845328453366</v>
      </c>
      <c r="AB117" s="150">
        <f t="shared" si="331"/>
        <v>0.22898429650042346</v>
      </c>
      <c r="AC117" s="150"/>
      <c r="AD117" s="150">
        <f t="shared" si="332"/>
        <v>2.0998845328453366</v>
      </c>
      <c r="AE117" s="314">
        <f t="shared" si="333"/>
        <v>80.004398990624779</v>
      </c>
      <c r="AF117" s="456">
        <f t="shared" si="334"/>
        <v>0.30531239533389798</v>
      </c>
      <c r="AH117" s="150">
        <f t="shared" si="335"/>
        <v>0.5163977794943222</v>
      </c>
      <c r="AI117" s="150">
        <f t="shared" si="336"/>
        <v>1</v>
      </c>
      <c r="AJ117" s="150">
        <f t="shared" si="337"/>
        <v>1.0457167994232142</v>
      </c>
      <c r="AL117" s="314">
        <f t="shared" si="338"/>
        <v>84</v>
      </c>
      <c r="AM117" s="144">
        <f t="shared" si="339"/>
        <v>80.004398990624779</v>
      </c>
      <c r="AO117" s="144">
        <f t="shared" si="340"/>
        <v>84</v>
      </c>
      <c r="AP117" s="144">
        <f t="shared" si="341"/>
        <v>80.004398990624779</v>
      </c>
      <c r="AR117" s="5">
        <f t="shared" si="275"/>
        <v>12.499312695507953</v>
      </c>
      <c r="AS117" s="5">
        <f t="shared" si="440"/>
        <v>1.3390268329196291</v>
      </c>
      <c r="AT117" s="5">
        <f t="shared" si="441"/>
        <v>11.160285862588324</v>
      </c>
      <c r="AU117" s="150">
        <f t="shared" si="442"/>
        <v>0.10712803700005467</v>
      </c>
      <c r="AW117" s="5">
        <f t="shared" si="342"/>
        <v>2.2495650793049768</v>
      </c>
      <c r="AX117" s="5">
        <f t="shared" si="343"/>
        <v>0.29291211970116887</v>
      </c>
      <c r="AY117" s="5">
        <f t="shared" si="344"/>
        <v>0.21793219923211557</v>
      </c>
      <c r="AZ117" s="5"/>
      <c r="BA117" s="150">
        <f t="shared" si="345"/>
        <v>0.18896916591519605</v>
      </c>
      <c r="BB117" s="150">
        <f t="shared" si="346"/>
        <v>0.54554925319960657</v>
      </c>
      <c r="BC117" s="150">
        <f t="shared" si="347"/>
        <v>0.12194630365638265</v>
      </c>
      <c r="BD117" s="150"/>
      <c r="BE117" s="456">
        <f t="shared" si="348"/>
        <v>7.1418691333369785E-4</v>
      </c>
      <c r="BF117" s="456">
        <f t="shared" si="349"/>
        <v>2.2015708840055367E-2</v>
      </c>
      <c r="BG117" s="456">
        <f t="shared" si="350"/>
        <v>1.7924450135815936E-2</v>
      </c>
      <c r="BH117" s="456">
        <f t="shared" si="351"/>
        <v>1.723252569891589E-3</v>
      </c>
      <c r="BI117">
        <f t="shared" si="352"/>
        <v>4.0327795285668615E-3</v>
      </c>
      <c r="BJ117" s="144">
        <f t="shared" si="436"/>
        <v>21.957229664382798</v>
      </c>
      <c r="BK117">
        <f t="shared" si="353"/>
        <v>2.4650161695800536E-2</v>
      </c>
      <c r="BL117" s="144">
        <f t="shared" si="437"/>
        <v>46.410377987663452</v>
      </c>
      <c r="BM117" s="150">
        <f t="shared" si="354"/>
        <v>5.2184999999999995E-2</v>
      </c>
      <c r="BN117" s="150">
        <f t="shared" si="355"/>
        <v>1.0871875E-2</v>
      </c>
      <c r="BO117" s="456"/>
      <c r="BQ117" s="144">
        <f t="shared" si="356"/>
        <v>63.056874999999998</v>
      </c>
      <c r="BR117" s="456">
        <f t="shared" si="357"/>
        <v>1.0712803700005467E-3</v>
      </c>
      <c r="BS117" s="456">
        <f t="shared" si="358"/>
        <v>8.9287196299994535E-3</v>
      </c>
      <c r="BT117" s="456">
        <f t="shared" si="359"/>
        <v>7.4354504877273425E-5</v>
      </c>
      <c r="BU117" s="456">
        <f t="shared" si="360"/>
        <v>2.8625604851090594E-3</v>
      </c>
      <c r="BV117" s="456"/>
      <c r="BW117" s="538">
        <f t="shared" si="361"/>
        <v>8.0004398990624788E-5</v>
      </c>
      <c r="BX117" s="144">
        <f t="shared" si="362"/>
        <v>13.016919388976959</v>
      </c>
      <c r="BY117" s="150">
        <f t="shared" si="363"/>
        <v>0.12248417237664043</v>
      </c>
      <c r="BZ117" s="5">
        <f t="shared" si="364"/>
        <v>0.56000000000000005</v>
      </c>
      <c r="CA117" s="150">
        <f t="shared" si="365"/>
        <v>0.82053184918544098</v>
      </c>
      <c r="CB117" s="5">
        <f t="shared" si="366"/>
        <v>82.053184918544105</v>
      </c>
      <c r="CC117">
        <f t="shared" si="367"/>
        <v>7.0000000000000009</v>
      </c>
      <c r="CE117" s="59">
        <f t="shared" si="368"/>
        <v>-50</v>
      </c>
      <c r="CF117">
        <f t="shared" si="369"/>
        <v>-50</v>
      </c>
      <c r="CG117" s="150">
        <f t="shared" si="370"/>
        <v>0.17260359208313136</v>
      </c>
      <c r="CH117" s="150">
        <f t="shared" si="371"/>
        <v>9.3639847568391416E-2</v>
      </c>
      <c r="CI117" s="147">
        <v>7</v>
      </c>
      <c r="CJ117" s="188">
        <f t="shared" si="438"/>
        <v>8.4000000000000005E-2</v>
      </c>
      <c r="CK117" s="188">
        <f t="shared" si="372"/>
        <v>1.7500000000000002E-2</v>
      </c>
      <c r="CL117" s="188">
        <f t="shared" si="373"/>
        <v>0.42000000000000004</v>
      </c>
      <c r="CM117" s="188">
        <f t="shared" si="374"/>
        <v>0.14000000000000001</v>
      </c>
      <c r="CN117" s="465">
        <f t="shared" si="375"/>
        <v>9</v>
      </c>
      <c r="CO117" s="379">
        <f t="shared" si="376"/>
        <v>5.7</v>
      </c>
      <c r="CP117" s="379">
        <f t="shared" si="377"/>
        <v>14.7</v>
      </c>
      <c r="CQ117" s="379"/>
      <c r="CR117" s="188">
        <f t="shared" si="378"/>
        <v>0.375</v>
      </c>
      <c r="CS117" s="149">
        <f t="shared" si="379"/>
        <v>6.328125</v>
      </c>
      <c r="CT117" s="149">
        <f t="shared" si="380"/>
        <v>2.8125</v>
      </c>
      <c r="CU117" s="188">
        <f t="shared" si="381"/>
        <v>1.265625</v>
      </c>
      <c r="CV117" s="188">
        <f t="shared" si="382"/>
        <v>0.791015625</v>
      </c>
      <c r="CW117" s="188">
        <f t="shared" si="383"/>
        <v>5</v>
      </c>
      <c r="CX117" s="188">
        <f t="shared" si="384"/>
        <v>0.3318518518518519</v>
      </c>
      <c r="CY117" s="188">
        <f t="shared" si="385"/>
        <v>0.44246913580246916</v>
      </c>
      <c r="CZ117" s="188">
        <f t="shared" si="386"/>
        <v>0.69863547758284605</v>
      </c>
      <c r="DA117" s="172">
        <f t="shared" si="387"/>
        <v>290.81632653061229</v>
      </c>
      <c r="DB117" s="379">
        <f t="shared" si="388"/>
        <v>350</v>
      </c>
      <c r="DD117" s="188">
        <f t="shared" si="389"/>
        <v>0.99999999999999978</v>
      </c>
      <c r="DE117" s="150">
        <f t="shared" si="390"/>
        <v>2.1052631578947363</v>
      </c>
      <c r="DF117" s="150">
        <f t="shared" si="391"/>
        <v>0.2295918367346938</v>
      </c>
      <c r="DG117" s="150"/>
      <c r="DH117" s="150">
        <f t="shared" si="392"/>
        <v>2.1052631578947367</v>
      </c>
      <c r="DI117" s="314">
        <f t="shared" si="393"/>
        <v>79.800000000000011</v>
      </c>
      <c r="DJ117" s="456">
        <f t="shared" si="394"/>
        <v>0.3061224489795919</v>
      </c>
      <c r="DL117" s="150">
        <f t="shared" si="395"/>
        <v>0.5163977794943222</v>
      </c>
      <c r="DM117" s="150">
        <f t="shared" si="396"/>
        <v>1</v>
      </c>
      <c r="DN117" s="150">
        <f t="shared" si="397"/>
        <v>1.0456000000000001</v>
      </c>
      <c r="DP117" s="314">
        <f t="shared" si="398"/>
        <v>84</v>
      </c>
      <c r="DQ117" s="144">
        <f t="shared" si="399"/>
        <v>79.800000000000011</v>
      </c>
      <c r="DS117" s="144">
        <f t="shared" si="400"/>
        <v>84</v>
      </c>
      <c r="DT117" s="144">
        <f t="shared" si="401"/>
        <v>79.800000000000011</v>
      </c>
      <c r="DV117" s="5">
        <f t="shared" si="402"/>
        <v>12.531328320802002</v>
      </c>
      <c r="DW117" s="5">
        <f t="shared" si="403"/>
        <v>1.3333333333333335</v>
      </c>
      <c r="DX117" s="5">
        <f t="shared" si="404"/>
        <v>11.197994987468668</v>
      </c>
      <c r="DY117" s="150">
        <f t="shared" si="405"/>
        <v>0.10640000000000004</v>
      </c>
      <c r="EA117" s="5">
        <f t="shared" si="406"/>
        <v>2.2400000000000002</v>
      </c>
      <c r="EB117" s="5">
        <f t="shared" si="407"/>
        <v>0.29166666666666674</v>
      </c>
      <c r="EC117" s="5">
        <f t="shared" si="408"/>
        <v>0.21773879142300187</v>
      </c>
      <c r="ED117" s="5"/>
      <c r="EE117" s="150">
        <f t="shared" si="409"/>
        <v>0.18832595855767384</v>
      </c>
      <c r="EF117" s="150">
        <f t="shared" si="410"/>
        <v>0.54577162501055942</v>
      </c>
      <c r="EG117" s="150">
        <f t="shared" si="411"/>
        <v>0.121996010296478</v>
      </c>
      <c r="EH117" s="150"/>
      <c r="EI117" s="456">
        <f t="shared" si="412"/>
        <v>7.0933333333333363E-4</v>
      </c>
      <c r="EJ117" s="456">
        <f t="shared" si="413"/>
        <v>2.3461200000000005E-2</v>
      </c>
      <c r="EK117" s="456">
        <f t="shared" si="414"/>
        <v>9.9749999999999995E-3</v>
      </c>
      <c r="EL117" s="456">
        <f t="shared" si="415"/>
        <v>1.7243982000000001E-3</v>
      </c>
      <c r="EM117">
        <f t="shared" si="416"/>
        <v>4.0499999999999998E-3</v>
      </c>
      <c r="EN117" s="144">
        <f t="shared" si="417"/>
        <v>14.024999999999999</v>
      </c>
      <c r="EP117" s="144">
        <f t="shared" si="439"/>
        <v>39.919931533333333</v>
      </c>
      <c r="EQ117" s="150">
        <f t="shared" si="418"/>
        <v>5.8799999999999998E-2</v>
      </c>
      <c r="ER117" s="150">
        <f t="shared" si="419"/>
        <v>7.765625E-3</v>
      </c>
      <c r="ES117" s="456"/>
      <c r="EU117" s="144">
        <f t="shared" si="420"/>
        <v>66.565624999999997</v>
      </c>
      <c r="EV117" s="456">
        <f t="shared" si="421"/>
        <v>1.0640000000000005E-3</v>
      </c>
      <c r="EW117" s="456">
        <f t="shared" si="422"/>
        <v>8.9359999999999995E-3</v>
      </c>
      <c r="EX117" s="456">
        <f t="shared" si="423"/>
        <v>7.4415132641291828E-5</v>
      </c>
      <c r="EY117" s="456">
        <f t="shared" si="424"/>
        <v>2.8443119944195979E-3</v>
      </c>
      <c r="EZ117" s="456"/>
      <c r="FA117" s="538">
        <f t="shared" si="425"/>
        <v>7.9800000000000015E-5</v>
      </c>
      <c r="FB117" s="144">
        <f t="shared" si="426"/>
        <v>12.998527127060889</v>
      </c>
      <c r="FC117" s="150">
        <f t="shared" si="427"/>
        <v>0.11948408366039423</v>
      </c>
      <c r="FD117" s="5">
        <f t="shared" si="428"/>
        <v>0.56000000000000005</v>
      </c>
      <c r="FE117" s="150">
        <f t="shared" si="429"/>
        <v>0.82415469834594057</v>
      </c>
      <c r="FF117" s="5">
        <f t="shared" si="430"/>
        <v>82.415469834594063</v>
      </c>
      <c r="FG117">
        <f t="shared" si="431"/>
        <v>7.0000000000000009</v>
      </c>
      <c r="FI117" s="59">
        <f t="shared" si="432"/>
        <v>-50</v>
      </c>
      <c r="FJ117">
        <f t="shared" si="433"/>
        <v>-50</v>
      </c>
    </row>
    <row r="118" spans="5:166">
      <c r="E118" s="147">
        <v>8</v>
      </c>
      <c r="F118" s="188">
        <f t="shared" si="434"/>
        <v>9.6000000000000002E-2</v>
      </c>
      <c r="G118" s="188">
        <f t="shared" si="313"/>
        <v>0.02</v>
      </c>
      <c r="H118" s="188">
        <f t="shared" si="314"/>
        <v>0.48</v>
      </c>
      <c r="I118" s="188">
        <f t="shared" si="315"/>
        <v>0.16</v>
      </c>
      <c r="J118" s="465">
        <f t="shared" si="316"/>
        <v>8.9617322857041373</v>
      </c>
      <c r="K118" s="379">
        <f t="shared" si="317"/>
        <v>5.7145999279017685</v>
      </c>
      <c r="L118" s="149">
        <f t="shared" si="318"/>
        <v>14.676332213605907</v>
      </c>
      <c r="M118" s="379"/>
      <c r="N118" s="188">
        <f t="shared" si="319"/>
        <v>0.38937520933220399</v>
      </c>
      <c r="O118" s="149">
        <f t="shared" si="320"/>
        <v>6.5427682213597862</v>
      </c>
      <c r="P118" s="149">
        <f t="shared" si="321"/>
        <v>2.9078969872710161</v>
      </c>
      <c r="Q118" s="188">
        <f t="shared" si="322"/>
        <v>1.3085536442719572</v>
      </c>
      <c r="R118" s="188">
        <f t="shared" si="323"/>
        <v>0.81784602766997327</v>
      </c>
      <c r="S118" s="188">
        <f t="shared" si="324"/>
        <v>5</v>
      </c>
      <c r="T118" s="188">
        <f t="shared" si="325"/>
        <v>0.36681721234826303</v>
      </c>
      <c r="U118" s="188">
        <f t="shared" si="326"/>
        <v>0.4911780901111017</v>
      </c>
      <c r="V118" s="188">
        <f t="shared" si="327"/>
        <v>0.77027379059156098</v>
      </c>
      <c r="W118" s="172">
        <f t="shared" si="328"/>
        <v>290.78969872710161</v>
      </c>
      <c r="X118" s="379">
        <f t="shared" si="435"/>
        <v>350</v>
      </c>
      <c r="Z118" s="188">
        <f t="shared" si="329"/>
        <v>1</v>
      </c>
      <c r="AA118" s="150">
        <f t="shared" si="330"/>
        <v>2.0998845328453366</v>
      </c>
      <c r="AB118" s="150">
        <f t="shared" si="331"/>
        <v>0.22898429650042346</v>
      </c>
      <c r="AC118" s="150"/>
      <c r="AD118" s="150">
        <f t="shared" si="332"/>
        <v>2.0998845328453366</v>
      </c>
      <c r="AE118" s="314">
        <f t="shared" si="333"/>
        <v>91.433598846428296</v>
      </c>
      <c r="AF118" s="456">
        <f t="shared" si="334"/>
        <v>0.30531239533389798</v>
      </c>
      <c r="AH118" s="150">
        <f t="shared" si="335"/>
        <v>0.55205244747388338</v>
      </c>
      <c r="AI118" s="150">
        <f t="shared" si="336"/>
        <v>1</v>
      </c>
      <c r="AJ118" s="150">
        <f t="shared" si="337"/>
        <v>1.0522477707693876</v>
      </c>
      <c r="AL118" s="314">
        <f t="shared" si="338"/>
        <v>96</v>
      </c>
      <c r="AM118" s="144">
        <f t="shared" si="339"/>
        <v>91.433598846428296</v>
      </c>
      <c r="AO118" s="144">
        <f t="shared" si="340"/>
        <v>96</v>
      </c>
      <c r="AP118" s="144">
        <f t="shared" si="341"/>
        <v>91.433598846428296</v>
      </c>
      <c r="AR118" s="5">
        <f t="shared" si="275"/>
        <v>10.936898608569463</v>
      </c>
      <c r="AS118" s="5">
        <f t="shared" si="440"/>
        <v>1.3390268329196291</v>
      </c>
      <c r="AT118" s="5">
        <f t="shared" si="441"/>
        <v>9.5978717756498337</v>
      </c>
      <c r="AU118" s="150">
        <f t="shared" si="442"/>
        <v>0.12243204228577673</v>
      </c>
      <c r="AW118" s="5">
        <f t="shared" si="342"/>
        <v>2.5709315192056881</v>
      </c>
      <c r="AX118" s="5">
        <f t="shared" si="343"/>
        <v>0.33475670822990733</v>
      </c>
      <c r="AY118" s="5">
        <f t="shared" si="344"/>
        <v>0.21419679744195153</v>
      </c>
      <c r="AZ118" s="5"/>
      <c r="BA118" s="150">
        <f t="shared" si="345"/>
        <v>0.20201653586260104</v>
      </c>
      <c r="BB118" s="150">
        <f t="shared" si="346"/>
        <v>0.54085363322382118</v>
      </c>
      <c r="BC118" s="150">
        <f t="shared" si="347"/>
        <v>0.12089669448532475</v>
      </c>
      <c r="BD118" s="150"/>
      <c r="BE118" s="456">
        <f t="shared" si="348"/>
        <v>8.1621361523851149E-4</v>
      </c>
      <c r="BF118" s="456">
        <f t="shared" si="349"/>
        <v>2.5160810102920414E-2</v>
      </c>
      <c r="BG118" s="456">
        <f t="shared" si="350"/>
        <v>2.0485085869503924E-2</v>
      </c>
      <c r="BH118" s="456">
        <f t="shared" si="351"/>
        <v>1.96943150844753E-3</v>
      </c>
      <c r="BI118">
        <f t="shared" si="352"/>
        <v>4.0327795285668615E-3</v>
      </c>
      <c r="BJ118" s="144">
        <f t="shared" si="436"/>
        <v>24.517865398070786</v>
      </c>
      <c r="BK118">
        <f t="shared" si="353"/>
        <v>2.8172296422511286E-2</v>
      </c>
      <c r="BL118" s="144">
        <f t="shared" si="437"/>
        <v>52.464320624677242</v>
      </c>
      <c r="BM118" s="150">
        <f t="shared" si="354"/>
        <v>5.9639999999999992E-2</v>
      </c>
      <c r="BN118" s="150">
        <f t="shared" si="355"/>
        <v>1.2424999999999999E-2</v>
      </c>
      <c r="BO118" s="456"/>
      <c r="BQ118" s="144">
        <f t="shared" si="356"/>
        <v>72.064999999999984</v>
      </c>
      <c r="BR118" s="456">
        <f t="shared" si="357"/>
        <v>1.2243204228577671E-3</v>
      </c>
      <c r="BS118" s="456">
        <f t="shared" si="358"/>
        <v>8.7756795771422296E-3</v>
      </c>
      <c r="BT118" s="456">
        <f t="shared" si="359"/>
        <v>7.3080053687389764E-5</v>
      </c>
      <c r="BU118" s="456">
        <f t="shared" si="360"/>
        <v>3.9970035999330198E-3</v>
      </c>
      <c r="BV118" s="456"/>
      <c r="BW118" s="538">
        <f t="shared" si="361"/>
        <v>9.1433598846428301E-5</v>
      </c>
      <c r="BX118" s="144">
        <f t="shared" si="362"/>
        <v>14.161517252466833</v>
      </c>
      <c r="BY118" s="150">
        <f t="shared" si="363"/>
        <v>0.13869083787714406</v>
      </c>
      <c r="BZ118" s="5">
        <f t="shared" si="364"/>
        <v>0.64</v>
      </c>
      <c r="CA118" s="150">
        <f t="shared" si="365"/>
        <v>0.82189229520763196</v>
      </c>
      <c r="CB118" s="5">
        <f t="shared" si="366"/>
        <v>82.189229520763192</v>
      </c>
      <c r="CC118">
        <f t="shared" si="367"/>
        <v>8</v>
      </c>
      <c r="CE118" s="59">
        <f t="shared" si="368"/>
        <v>-50</v>
      </c>
      <c r="CF118">
        <f t="shared" si="369"/>
        <v>-50</v>
      </c>
      <c r="CG118" s="150">
        <f t="shared" si="370"/>
        <v>0.19726124809500722</v>
      </c>
      <c r="CH118" s="150">
        <f t="shared" si="371"/>
        <v>0.10701696864959019</v>
      </c>
      <c r="CI118" s="147">
        <v>8</v>
      </c>
      <c r="CJ118" s="188">
        <f t="shared" si="438"/>
        <v>9.6000000000000002E-2</v>
      </c>
      <c r="CK118" s="188">
        <f t="shared" si="372"/>
        <v>0.02</v>
      </c>
      <c r="CL118" s="188">
        <f t="shared" si="373"/>
        <v>0.48</v>
      </c>
      <c r="CM118" s="188">
        <f t="shared" si="374"/>
        <v>0.16</v>
      </c>
      <c r="CN118" s="465">
        <f t="shared" si="375"/>
        <v>9</v>
      </c>
      <c r="CO118" s="379">
        <f t="shared" si="376"/>
        <v>5.7</v>
      </c>
      <c r="CP118" s="379">
        <f t="shared" si="377"/>
        <v>14.7</v>
      </c>
      <c r="CQ118" s="379"/>
      <c r="CR118" s="188">
        <f t="shared" si="378"/>
        <v>0.375</v>
      </c>
      <c r="CS118" s="149">
        <f t="shared" si="379"/>
        <v>6.328125</v>
      </c>
      <c r="CT118" s="149">
        <f t="shared" si="380"/>
        <v>2.8125</v>
      </c>
      <c r="CU118" s="188">
        <f t="shared" si="381"/>
        <v>1.265625</v>
      </c>
      <c r="CV118" s="188">
        <f t="shared" si="382"/>
        <v>0.791015625</v>
      </c>
      <c r="CW118" s="188">
        <f t="shared" si="383"/>
        <v>5</v>
      </c>
      <c r="CX118" s="188">
        <f t="shared" si="384"/>
        <v>0.37925925925925924</v>
      </c>
      <c r="CY118" s="188">
        <f t="shared" si="385"/>
        <v>0.50567901234567902</v>
      </c>
      <c r="CZ118" s="188">
        <f t="shared" si="386"/>
        <v>0.79844054580896684</v>
      </c>
      <c r="DA118" s="172">
        <f t="shared" si="387"/>
        <v>290.81632653061229</v>
      </c>
      <c r="DB118" s="379">
        <f t="shared" si="388"/>
        <v>350</v>
      </c>
      <c r="DD118" s="188">
        <f t="shared" si="389"/>
        <v>0.99999999999999978</v>
      </c>
      <c r="DE118" s="150">
        <f t="shared" si="390"/>
        <v>2.1052631578947363</v>
      </c>
      <c r="DF118" s="150">
        <f t="shared" si="391"/>
        <v>0.2295918367346938</v>
      </c>
      <c r="DG118" s="150"/>
      <c r="DH118" s="150">
        <f t="shared" si="392"/>
        <v>2.1052631578947367</v>
      </c>
      <c r="DI118" s="314">
        <f t="shared" si="393"/>
        <v>91.2</v>
      </c>
      <c r="DJ118" s="456">
        <f t="shared" si="394"/>
        <v>0.3061224489795919</v>
      </c>
      <c r="DL118" s="150">
        <f t="shared" si="395"/>
        <v>0.55205244747388338</v>
      </c>
      <c r="DM118" s="150">
        <f t="shared" si="396"/>
        <v>1</v>
      </c>
      <c r="DN118" s="150">
        <f t="shared" si="397"/>
        <v>1.0521142857142858</v>
      </c>
      <c r="DP118" s="314">
        <f t="shared" si="398"/>
        <v>96</v>
      </c>
      <c r="DQ118" s="144">
        <f t="shared" si="399"/>
        <v>91.2</v>
      </c>
      <c r="DS118" s="144">
        <f t="shared" si="400"/>
        <v>96</v>
      </c>
      <c r="DT118" s="144">
        <f t="shared" si="401"/>
        <v>91.2</v>
      </c>
      <c r="DV118" s="5">
        <f t="shared" si="402"/>
        <v>10.964912280701753</v>
      </c>
      <c r="DW118" s="5">
        <f t="shared" si="403"/>
        <v>1.3333333333333335</v>
      </c>
      <c r="DX118" s="5">
        <f t="shared" si="404"/>
        <v>9.6315789473684195</v>
      </c>
      <c r="DY118" s="150">
        <f t="shared" si="405"/>
        <v>0.12160000000000003</v>
      </c>
      <c r="EA118" s="5">
        <f t="shared" si="406"/>
        <v>2.5600000000000005</v>
      </c>
      <c r="EB118" s="5">
        <f t="shared" si="407"/>
        <v>0.33333333333333337</v>
      </c>
      <c r="EC118" s="5">
        <f t="shared" si="408"/>
        <v>0.21403508771929816</v>
      </c>
      <c r="ED118" s="5"/>
      <c r="EE118" s="150">
        <f t="shared" si="409"/>
        <v>0.20132891827388669</v>
      </c>
      <c r="EF118" s="150">
        <f t="shared" si="410"/>
        <v>0.5411099703387473</v>
      </c>
      <c r="EG118" s="150">
        <f t="shared" si="411"/>
        <v>0.12095399336983764</v>
      </c>
      <c r="EH118" s="150"/>
      <c r="EI118" s="456">
        <f t="shared" si="412"/>
        <v>8.1066666666666689E-4</v>
      </c>
      <c r="EJ118" s="456">
        <f t="shared" si="413"/>
        <v>2.6812799999999994E-2</v>
      </c>
      <c r="EK118" s="456">
        <f t="shared" si="414"/>
        <v>1.1399999999999999E-2</v>
      </c>
      <c r="EL118" s="456">
        <f t="shared" si="415"/>
        <v>1.9707407999999997E-3</v>
      </c>
      <c r="EM118">
        <f t="shared" si="416"/>
        <v>4.0499999999999998E-3</v>
      </c>
      <c r="EN118" s="144">
        <f t="shared" si="417"/>
        <v>15.45</v>
      </c>
      <c r="EP118" s="144">
        <f t="shared" si="439"/>
        <v>45.044207466666663</v>
      </c>
      <c r="EQ118" s="150">
        <f t="shared" si="418"/>
        <v>6.7199999999999996E-2</v>
      </c>
      <c r="ER118" s="150">
        <f t="shared" si="419"/>
        <v>8.8749999999999992E-3</v>
      </c>
      <c r="ES118" s="456"/>
      <c r="EU118" s="144">
        <f t="shared" si="420"/>
        <v>76.074999999999989</v>
      </c>
      <c r="EV118" s="456">
        <f t="shared" si="421"/>
        <v>1.2160000000000003E-3</v>
      </c>
      <c r="EW118" s="456">
        <f t="shared" si="422"/>
        <v>8.7840000000000001E-3</v>
      </c>
      <c r="EX118" s="456">
        <f t="shared" si="423"/>
        <v>7.3149342560553641E-5</v>
      </c>
      <c r="EY118" s="456">
        <f t="shared" si="424"/>
        <v>3.9715231661191204E-3</v>
      </c>
      <c r="EZ118" s="456"/>
      <c r="FA118" s="538">
        <f t="shared" si="425"/>
        <v>9.1200000000000008E-5</v>
      </c>
      <c r="FB118" s="144">
        <f t="shared" si="426"/>
        <v>14.135872508679675</v>
      </c>
      <c r="FC118" s="150">
        <f t="shared" si="427"/>
        <v>0.13525507997534636</v>
      </c>
      <c r="FD118" s="5">
        <f t="shared" si="428"/>
        <v>0.64</v>
      </c>
      <c r="FE118" s="150">
        <f t="shared" si="429"/>
        <v>0.82553473886343631</v>
      </c>
      <c r="FF118" s="5">
        <f t="shared" si="430"/>
        <v>82.553473886343625</v>
      </c>
      <c r="FG118">
        <f t="shared" si="431"/>
        <v>8</v>
      </c>
      <c r="FI118" s="59">
        <f t="shared" si="432"/>
        <v>-50</v>
      </c>
      <c r="FJ118">
        <f t="shared" si="433"/>
        <v>-50</v>
      </c>
    </row>
    <row r="119" spans="5:166">
      <c r="E119" s="147">
        <v>9</v>
      </c>
      <c r="F119" s="188">
        <f t="shared" si="434"/>
        <v>0.108</v>
      </c>
      <c r="G119" s="188">
        <f t="shared" si="313"/>
        <v>2.2499999999999999E-2</v>
      </c>
      <c r="H119" s="188">
        <f t="shared" si="314"/>
        <v>0.54</v>
      </c>
      <c r="I119" s="188">
        <f t="shared" si="315"/>
        <v>0.18</v>
      </c>
      <c r="J119" s="465">
        <f t="shared" si="316"/>
        <v>8.9617322857041373</v>
      </c>
      <c r="K119" s="379">
        <f t="shared" si="317"/>
        <v>5.7145999279017685</v>
      </c>
      <c r="L119" s="149">
        <f t="shared" si="318"/>
        <v>14.676332213605907</v>
      </c>
      <c r="M119" s="379"/>
      <c r="N119" s="188">
        <f t="shared" si="319"/>
        <v>0.38937520933220399</v>
      </c>
      <c r="O119" s="149">
        <f t="shared" si="320"/>
        <v>6.5427682213597862</v>
      </c>
      <c r="P119" s="149">
        <f t="shared" si="321"/>
        <v>2.9078969872710161</v>
      </c>
      <c r="Q119" s="188">
        <f t="shared" si="322"/>
        <v>1.3085536442719572</v>
      </c>
      <c r="R119" s="188">
        <f t="shared" si="323"/>
        <v>0.81784602766997327</v>
      </c>
      <c r="S119" s="188">
        <f t="shared" si="324"/>
        <v>5</v>
      </c>
      <c r="T119" s="188">
        <f t="shared" si="325"/>
        <v>0.41266936389179587</v>
      </c>
      <c r="U119" s="188">
        <f t="shared" si="326"/>
        <v>0.55257535137498937</v>
      </c>
      <c r="V119" s="188">
        <f t="shared" si="327"/>
        <v>0.86655801441550617</v>
      </c>
      <c r="W119" s="172">
        <f t="shared" si="328"/>
        <v>290.78969872710161</v>
      </c>
      <c r="X119" s="379">
        <f t="shared" si="435"/>
        <v>350</v>
      </c>
      <c r="Z119" s="188">
        <f t="shared" si="329"/>
        <v>1</v>
      </c>
      <c r="AA119" s="150">
        <f t="shared" si="330"/>
        <v>2.0998845328453366</v>
      </c>
      <c r="AB119" s="150">
        <f t="shared" si="331"/>
        <v>0.22898429650042346</v>
      </c>
      <c r="AC119" s="150"/>
      <c r="AD119" s="150">
        <f t="shared" si="332"/>
        <v>2.0998845328453366</v>
      </c>
      <c r="AE119" s="314">
        <f t="shared" si="333"/>
        <v>102.86279870223184</v>
      </c>
      <c r="AF119" s="456">
        <f t="shared" si="334"/>
        <v>0.30531239533389798</v>
      </c>
      <c r="AH119" s="150">
        <f t="shared" si="335"/>
        <v>0.58554004376911983</v>
      </c>
      <c r="AI119" s="150">
        <f t="shared" si="336"/>
        <v>1</v>
      </c>
      <c r="AJ119" s="150">
        <f t="shared" si="337"/>
        <v>1.058778742115561</v>
      </c>
      <c r="AL119" s="314">
        <f t="shared" si="338"/>
        <v>108</v>
      </c>
      <c r="AM119" s="144">
        <f t="shared" si="339"/>
        <v>102.86279870223184</v>
      </c>
      <c r="AO119" s="144">
        <f t="shared" si="340"/>
        <v>108</v>
      </c>
      <c r="AP119" s="144">
        <f t="shared" si="341"/>
        <v>102.86279870223184</v>
      </c>
      <c r="AR119" s="5">
        <f t="shared" si="275"/>
        <v>9.7216876520617426</v>
      </c>
      <c r="AS119" s="5">
        <f t="shared" si="440"/>
        <v>1.3390268329196291</v>
      </c>
      <c r="AT119" s="5">
        <f t="shared" si="441"/>
        <v>8.3826608191421137</v>
      </c>
      <c r="AU119" s="150">
        <f t="shared" si="442"/>
        <v>0.13773604757149885</v>
      </c>
      <c r="AW119" s="5">
        <f t="shared" si="342"/>
        <v>2.8922979591063993</v>
      </c>
      <c r="AX119" s="5">
        <f t="shared" si="343"/>
        <v>0.37660129675864568</v>
      </c>
      <c r="AY119" s="5">
        <f t="shared" si="344"/>
        <v>0.2104613956517874</v>
      </c>
      <c r="AZ119" s="5"/>
      <c r="BA119" s="150">
        <f t="shared" si="345"/>
        <v>0.21427089363039087</v>
      </c>
      <c r="BB119" s="150">
        <f t="shared" si="346"/>
        <v>0.53611688788562428</v>
      </c>
      <c r="BC119" s="150">
        <f t="shared" si="347"/>
        <v>0.11983789258619838</v>
      </c>
      <c r="BD119" s="150"/>
      <c r="BE119" s="456">
        <f t="shared" si="348"/>
        <v>9.1824031714332556E-4</v>
      </c>
      <c r="BF119" s="456">
        <f t="shared" si="349"/>
        <v>2.8305911365785467E-2</v>
      </c>
      <c r="BG119" s="456">
        <f t="shared" si="350"/>
        <v>2.3045721603191918E-2</v>
      </c>
      <c r="BH119" s="456">
        <f t="shared" si="351"/>
        <v>2.2156104470034714E-3</v>
      </c>
      <c r="BI119">
        <f t="shared" si="352"/>
        <v>4.0327795285668615E-3</v>
      </c>
      <c r="BJ119" s="144">
        <f t="shared" si="436"/>
        <v>27.078501131758777</v>
      </c>
      <c r="BK119">
        <f t="shared" si="353"/>
        <v>3.1694601950456945E-2</v>
      </c>
      <c r="BL119" s="144">
        <f t="shared" si="437"/>
        <v>58.518263261691047</v>
      </c>
      <c r="BM119" s="150">
        <f t="shared" si="354"/>
        <v>6.7095000000000002E-2</v>
      </c>
      <c r="BN119" s="150">
        <f t="shared" si="355"/>
        <v>1.3978124999999999E-2</v>
      </c>
      <c r="BO119" s="456"/>
      <c r="BQ119" s="144">
        <f t="shared" si="356"/>
        <v>81.07312499999999</v>
      </c>
      <c r="BR119" s="456">
        <f t="shared" si="357"/>
        <v>1.3773604757149882E-3</v>
      </c>
      <c r="BS119" s="456">
        <f t="shared" si="358"/>
        <v>8.6226395242850109E-3</v>
      </c>
      <c r="BT119" s="456">
        <f t="shared" si="359"/>
        <v>7.1805602497506104E-5</v>
      </c>
      <c r="BU119" s="456">
        <f t="shared" si="360"/>
        <v>5.3655697580886168E-3</v>
      </c>
      <c r="BV119" s="456"/>
      <c r="BW119" s="538">
        <f t="shared" si="361"/>
        <v>1.0286279870223185E-4</v>
      </c>
      <c r="BX119" s="144">
        <f t="shared" si="362"/>
        <v>15.540238159288354</v>
      </c>
      <c r="BY119" s="150">
        <f t="shared" si="363"/>
        <v>0.15513162642097938</v>
      </c>
      <c r="BZ119" s="5">
        <f t="shared" si="364"/>
        <v>0.72</v>
      </c>
      <c r="CA119" s="150">
        <f t="shared" si="365"/>
        <v>0.82273337891418652</v>
      </c>
      <c r="CB119" s="5">
        <f t="shared" si="366"/>
        <v>82.273337891418649</v>
      </c>
      <c r="CC119">
        <f t="shared" si="367"/>
        <v>9</v>
      </c>
      <c r="CE119" s="59">
        <f t="shared" si="368"/>
        <v>-50</v>
      </c>
      <c r="CF119">
        <f t="shared" si="369"/>
        <v>-50</v>
      </c>
      <c r="CG119" s="150">
        <f t="shared" si="370"/>
        <v>0.22191890410688317</v>
      </c>
      <c r="CH119" s="150">
        <f t="shared" si="371"/>
        <v>0.12039408973078898</v>
      </c>
      <c r="CI119" s="147">
        <v>9</v>
      </c>
      <c r="CJ119" s="188">
        <f t="shared" si="438"/>
        <v>0.108</v>
      </c>
      <c r="CK119" s="188">
        <f t="shared" si="372"/>
        <v>2.2499999999999999E-2</v>
      </c>
      <c r="CL119" s="188">
        <f t="shared" si="373"/>
        <v>0.54</v>
      </c>
      <c r="CM119" s="188">
        <f t="shared" si="374"/>
        <v>0.18</v>
      </c>
      <c r="CN119" s="465">
        <f t="shared" si="375"/>
        <v>9</v>
      </c>
      <c r="CO119" s="379">
        <f t="shared" si="376"/>
        <v>5.7</v>
      </c>
      <c r="CP119" s="379">
        <f t="shared" si="377"/>
        <v>14.7</v>
      </c>
      <c r="CQ119" s="379"/>
      <c r="CR119" s="188">
        <f t="shared" si="378"/>
        <v>0.375</v>
      </c>
      <c r="CS119" s="149">
        <f t="shared" si="379"/>
        <v>6.328125</v>
      </c>
      <c r="CT119" s="149">
        <f t="shared" si="380"/>
        <v>2.8125</v>
      </c>
      <c r="CU119" s="188">
        <f t="shared" si="381"/>
        <v>1.265625</v>
      </c>
      <c r="CV119" s="188">
        <f t="shared" si="382"/>
        <v>0.791015625</v>
      </c>
      <c r="CW119" s="188">
        <f t="shared" si="383"/>
        <v>5</v>
      </c>
      <c r="CX119" s="188">
        <f t="shared" si="384"/>
        <v>0.42666666666666664</v>
      </c>
      <c r="CY119" s="188">
        <f t="shared" si="385"/>
        <v>0.56888888888888889</v>
      </c>
      <c r="CZ119" s="188">
        <f t="shared" si="386"/>
        <v>0.89824561403508774</v>
      </c>
      <c r="DA119" s="172">
        <f t="shared" si="387"/>
        <v>290.81632653061229</v>
      </c>
      <c r="DB119" s="379">
        <f t="shared" si="388"/>
        <v>350</v>
      </c>
      <c r="DD119" s="188">
        <f t="shared" si="389"/>
        <v>0.99999999999999978</v>
      </c>
      <c r="DE119" s="150">
        <f t="shared" si="390"/>
        <v>2.1052631578947363</v>
      </c>
      <c r="DF119" s="150">
        <f t="shared" si="391"/>
        <v>0.2295918367346938</v>
      </c>
      <c r="DG119" s="150"/>
      <c r="DH119" s="150">
        <f t="shared" si="392"/>
        <v>2.1052631578947367</v>
      </c>
      <c r="DI119" s="314">
        <f t="shared" si="393"/>
        <v>102.60000000000001</v>
      </c>
      <c r="DJ119" s="456">
        <f t="shared" si="394"/>
        <v>0.3061224489795919</v>
      </c>
      <c r="DL119" s="150">
        <f t="shared" si="395"/>
        <v>0.58554004376911983</v>
      </c>
      <c r="DM119" s="150">
        <f t="shared" si="396"/>
        <v>1</v>
      </c>
      <c r="DN119" s="150">
        <f t="shared" si="397"/>
        <v>1.0586285714285715</v>
      </c>
      <c r="DP119" s="314">
        <f t="shared" si="398"/>
        <v>108</v>
      </c>
      <c r="DQ119" s="144">
        <f t="shared" si="399"/>
        <v>102.60000000000001</v>
      </c>
      <c r="DS119" s="144">
        <f t="shared" si="400"/>
        <v>108</v>
      </c>
      <c r="DT119" s="144">
        <f t="shared" si="401"/>
        <v>102.60000000000001</v>
      </c>
      <c r="DV119" s="5">
        <f t="shared" si="402"/>
        <v>9.7465886939571149</v>
      </c>
      <c r="DW119" s="5">
        <f t="shared" si="403"/>
        <v>1.3333333333333335</v>
      </c>
      <c r="DX119" s="5">
        <f t="shared" si="404"/>
        <v>8.413255360623781</v>
      </c>
      <c r="DY119" s="150">
        <f t="shared" si="405"/>
        <v>0.1368</v>
      </c>
      <c r="EA119" s="5">
        <f t="shared" si="406"/>
        <v>2.8800000000000003</v>
      </c>
      <c r="EB119" s="5">
        <f t="shared" si="407"/>
        <v>0.375</v>
      </c>
      <c r="EC119" s="5">
        <f t="shared" si="408"/>
        <v>0.21033138401559451</v>
      </c>
      <c r="ED119" s="5"/>
      <c r="EE119" s="150">
        <f t="shared" si="409"/>
        <v>0.21354156504062624</v>
      </c>
      <c r="EF119" s="150">
        <f t="shared" si="410"/>
        <v>0.53640780506377173</v>
      </c>
      <c r="EG119" s="150">
        <f t="shared" si="411"/>
        <v>0.11990292113190193</v>
      </c>
      <c r="EH119" s="150"/>
      <c r="EI119" s="456">
        <f t="shared" si="412"/>
        <v>9.1200000000000016E-4</v>
      </c>
      <c r="EJ119" s="456">
        <f t="shared" si="413"/>
        <v>3.0164400000000001E-2</v>
      </c>
      <c r="EK119" s="456">
        <f t="shared" si="414"/>
        <v>1.2825E-2</v>
      </c>
      <c r="EL119" s="456">
        <f t="shared" si="415"/>
        <v>2.2170834E-3</v>
      </c>
      <c r="EM119">
        <f t="shared" si="416"/>
        <v>4.0499999999999998E-3</v>
      </c>
      <c r="EN119" s="144">
        <f t="shared" si="417"/>
        <v>16.875</v>
      </c>
      <c r="EP119" s="144">
        <f t="shared" si="439"/>
        <v>50.1684834</v>
      </c>
      <c r="EQ119" s="150">
        <f t="shared" si="418"/>
        <v>7.5600000000000001E-2</v>
      </c>
      <c r="ER119" s="150">
        <f t="shared" si="419"/>
        <v>9.9843749999999985E-3</v>
      </c>
      <c r="ES119" s="456"/>
      <c r="EU119" s="144">
        <f t="shared" si="420"/>
        <v>85.584375000000009</v>
      </c>
      <c r="EV119" s="456">
        <f t="shared" si="421"/>
        <v>1.3680000000000003E-3</v>
      </c>
      <c r="EW119" s="456">
        <f t="shared" si="422"/>
        <v>8.631999999999999E-3</v>
      </c>
      <c r="EX119" s="456">
        <f t="shared" si="423"/>
        <v>7.188355247981548E-5</v>
      </c>
      <c r="EY119" s="456">
        <f t="shared" si="424"/>
        <v>5.3313648739355974E-3</v>
      </c>
      <c r="EZ119" s="456"/>
      <c r="FA119" s="538">
        <f t="shared" si="425"/>
        <v>1.0260000000000001E-4</v>
      </c>
      <c r="FB119" s="144">
        <f t="shared" si="426"/>
        <v>15.50584842641541</v>
      </c>
      <c r="FC119" s="150">
        <f t="shared" si="427"/>
        <v>0.1512587068264154</v>
      </c>
      <c r="FD119" s="5">
        <f t="shared" si="428"/>
        <v>0.72</v>
      </c>
      <c r="FE119" s="150">
        <f t="shared" si="429"/>
        <v>0.82639059369933932</v>
      </c>
      <c r="FF119" s="5">
        <f t="shared" si="430"/>
        <v>82.639059369933932</v>
      </c>
      <c r="FG119">
        <f t="shared" si="431"/>
        <v>9</v>
      </c>
      <c r="FI119" s="59">
        <f t="shared" si="432"/>
        <v>-50</v>
      </c>
      <c r="FJ119">
        <f t="shared" si="433"/>
        <v>-50</v>
      </c>
    </row>
    <row r="120" spans="5:166">
      <c r="E120" s="147">
        <v>10</v>
      </c>
      <c r="F120" s="188">
        <f t="shared" si="434"/>
        <v>0.12</v>
      </c>
      <c r="G120" s="188">
        <f t="shared" si="313"/>
        <v>2.5000000000000001E-2</v>
      </c>
      <c r="H120" s="188">
        <f t="shared" si="314"/>
        <v>0.6</v>
      </c>
      <c r="I120" s="188">
        <f t="shared" si="315"/>
        <v>0.2</v>
      </c>
      <c r="J120" s="465">
        <f t="shared" si="316"/>
        <v>8.9617322857041373</v>
      </c>
      <c r="K120" s="379">
        <f t="shared" si="317"/>
        <v>5.7145999279017685</v>
      </c>
      <c r="L120" s="149">
        <f t="shared" si="318"/>
        <v>14.676332213605907</v>
      </c>
      <c r="M120" s="379"/>
      <c r="N120" s="188">
        <f t="shared" si="319"/>
        <v>0.38937520933220399</v>
      </c>
      <c r="O120" s="149">
        <f t="shared" si="320"/>
        <v>6.5427682213597862</v>
      </c>
      <c r="P120" s="149">
        <f t="shared" si="321"/>
        <v>2.9078969872710161</v>
      </c>
      <c r="Q120" s="188">
        <f t="shared" si="322"/>
        <v>1.3085536442719572</v>
      </c>
      <c r="R120" s="188">
        <f t="shared" si="323"/>
        <v>0.81784602766997327</v>
      </c>
      <c r="S120" s="188">
        <f t="shared" si="324"/>
        <v>5</v>
      </c>
      <c r="T120" s="188">
        <f t="shared" si="325"/>
        <v>0.45852151543532882</v>
      </c>
      <c r="U120" s="188">
        <f t="shared" si="326"/>
        <v>0.61397261263887726</v>
      </c>
      <c r="V120" s="188">
        <f t="shared" si="327"/>
        <v>0.96284223823945136</v>
      </c>
      <c r="W120" s="172">
        <f t="shared" si="328"/>
        <v>290.78969872710161</v>
      </c>
      <c r="X120" s="379">
        <f t="shared" si="435"/>
        <v>350</v>
      </c>
      <c r="Z120" s="188">
        <f t="shared" si="329"/>
        <v>1</v>
      </c>
      <c r="AA120" s="150">
        <f t="shared" si="330"/>
        <v>2.0998845328453366</v>
      </c>
      <c r="AB120" s="150">
        <f t="shared" si="331"/>
        <v>0.22898429650042346</v>
      </c>
      <c r="AC120" s="150"/>
      <c r="AD120" s="150">
        <f t="shared" si="332"/>
        <v>2.0998845328453366</v>
      </c>
      <c r="AE120" s="314">
        <f t="shared" si="333"/>
        <v>114.29199855803536</v>
      </c>
      <c r="AF120" s="456">
        <f t="shared" si="334"/>
        <v>0.30531239533389798</v>
      </c>
      <c r="AH120" s="150">
        <f t="shared" si="335"/>
        <v>0.61721339984836765</v>
      </c>
      <c r="AI120" s="150">
        <f t="shared" si="336"/>
        <v>1</v>
      </c>
      <c r="AJ120" s="150">
        <f t="shared" si="337"/>
        <v>1.0653097134617344</v>
      </c>
      <c r="AL120" s="314">
        <f t="shared" si="338"/>
        <v>120</v>
      </c>
      <c r="AM120" s="144">
        <f t="shared" si="339"/>
        <v>114.29199855803536</v>
      </c>
      <c r="AO120" s="144">
        <f t="shared" si="340"/>
        <v>120</v>
      </c>
      <c r="AP120" s="144">
        <f t="shared" si="341"/>
        <v>114.29199855803536</v>
      </c>
      <c r="AR120" s="5">
        <f t="shared" si="275"/>
        <v>8.7495188868555704</v>
      </c>
      <c r="AS120" s="5">
        <f t="shared" si="440"/>
        <v>1.3390268329196291</v>
      </c>
      <c r="AT120" s="5">
        <f t="shared" si="441"/>
        <v>7.4104920539359416</v>
      </c>
      <c r="AU120" s="150">
        <f t="shared" si="442"/>
        <v>0.15304005285722092</v>
      </c>
      <c r="AW120" s="5">
        <f t="shared" si="342"/>
        <v>3.2136643990071097</v>
      </c>
      <c r="AX120" s="5">
        <f t="shared" si="343"/>
        <v>0.41844588528738413</v>
      </c>
      <c r="AY120" s="5">
        <f t="shared" si="344"/>
        <v>0.20672599386162335</v>
      </c>
      <c r="AZ120" s="5"/>
      <c r="BA120" s="150">
        <f t="shared" si="345"/>
        <v>0.22586135338390004</v>
      </c>
      <c r="BB120" s="150">
        <f t="shared" si="346"/>
        <v>0.5313379173190319</v>
      </c>
      <c r="BC120" s="150">
        <f t="shared" si="347"/>
        <v>0.11876965210660713</v>
      </c>
      <c r="BD120" s="150"/>
      <c r="BE120" s="456">
        <f t="shared" si="348"/>
        <v>1.0202670190481394E-3</v>
      </c>
      <c r="BF120" s="456">
        <f t="shared" si="349"/>
        <v>3.1451012628650514E-2</v>
      </c>
      <c r="BG120" s="456">
        <f t="shared" si="350"/>
        <v>2.5606357336879902E-2</v>
      </c>
      <c r="BH120" s="456">
        <f t="shared" si="351"/>
        <v>2.4617893855594123E-3</v>
      </c>
      <c r="BI120">
        <f t="shared" si="352"/>
        <v>4.0327795285668615E-3</v>
      </c>
      <c r="BJ120" s="144">
        <f t="shared" si="436"/>
        <v>29.639136865446762</v>
      </c>
      <c r="BK120">
        <f t="shared" si="353"/>
        <v>3.5217078292061964E-2</v>
      </c>
      <c r="BL120" s="144">
        <f t="shared" si="437"/>
        <v>64.572205898704823</v>
      </c>
      <c r="BM120" s="150">
        <f t="shared" si="354"/>
        <v>7.4549999999999991E-2</v>
      </c>
      <c r="BN120" s="150">
        <f t="shared" si="355"/>
        <v>1.5531249999999998E-2</v>
      </c>
      <c r="BO120" s="456"/>
      <c r="BQ120" s="144">
        <f t="shared" si="356"/>
        <v>90.081249999999983</v>
      </c>
      <c r="BR120" s="456">
        <f t="shared" si="357"/>
        <v>1.5304005285722091E-3</v>
      </c>
      <c r="BS120" s="456">
        <f t="shared" si="358"/>
        <v>8.4695994714277904E-3</v>
      </c>
      <c r="BT120" s="456">
        <f t="shared" si="359"/>
        <v>7.053115130762243E-5</v>
      </c>
      <c r="BU120" s="456">
        <f t="shared" si="360"/>
        <v>6.9824779341887506E-3</v>
      </c>
      <c r="BV120" s="456"/>
      <c r="BW120" s="538">
        <f t="shared" si="361"/>
        <v>1.1429199855803537E-4</v>
      </c>
      <c r="BX120" s="144">
        <f t="shared" si="362"/>
        <v>17.167301084054408</v>
      </c>
      <c r="BY120" s="150">
        <f t="shared" si="363"/>
        <v>0.1718207569827592</v>
      </c>
      <c r="BZ120" s="5">
        <f t="shared" si="364"/>
        <v>0.8</v>
      </c>
      <c r="CA120" s="150">
        <f t="shared" si="365"/>
        <v>0.82319707029492117</v>
      </c>
      <c r="CB120" s="5">
        <f t="shared" si="366"/>
        <v>82.319707029492122</v>
      </c>
      <c r="CC120">
        <f t="shared" si="367"/>
        <v>10</v>
      </c>
      <c r="CE120" s="59">
        <f t="shared" si="368"/>
        <v>-50</v>
      </c>
      <c r="CF120">
        <f t="shared" si="369"/>
        <v>-50</v>
      </c>
      <c r="CG120" s="150">
        <f t="shared" si="370"/>
        <v>0.24657656011875906</v>
      </c>
      <c r="CH120" s="150">
        <f t="shared" si="371"/>
        <v>0.13377121081198773</v>
      </c>
      <c r="CI120" s="147">
        <v>10</v>
      </c>
      <c r="CJ120" s="188">
        <f t="shared" si="438"/>
        <v>0.12</v>
      </c>
      <c r="CK120" s="188">
        <f t="shared" si="372"/>
        <v>2.5000000000000001E-2</v>
      </c>
      <c r="CL120" s="188">
        <f t="shared" si="373"/>
        <v>0.6</v>
      </c>
      <c r="CM120" s="188">
        <f t="shared" si="374"/>
        <v>0.2</v>
      </c>
      <c r="CN120" s="465">
        <f t="shared" si="375"/>
        <v>9</v>
      </c>
      <c r="CO120" s="379">
        <f t="shared" si="376"/>
        <v>5.7</v>
      </c>
      <c r="CP120" s="379">
        <f t="shared" si="377"/>
        <v>14.7</v>
      </c>
      <c r="CQ120" s="379"/>
      <c r="CR120" s="188">
        <f t="shared" si="378"/>
        <v>0.375</v>
      </c>
      <c r="CS120" s="149">
        <f t="shared" si="379"/>
        <v>6.328125</v>
      </c>
      <c r="CT120" s="149">
        <f t="shared" si="380"/>
        <v>2.8125</v>
      </c>
      <c r="CU120" s="188">
        <f t="shared" si="381"/>
        <v>1.265625</v>
      </c>
      <c r="CV120" s="188">
        <f t="shared" si="382"/>
        <v>0.791015625</v>
      </c>
      <c r="CW120" s="188">
        <f t="shared" si="383"/>
        <v>5</v>
      </c>
      <c r="CX120" s="188">
        <f t="shared" si="384"/>
        <v>0.47407407407407409</v>
      </c>
      <c r="CY120" s="188">
        <f t="shared" si="385"/>
        <v>0.63209876543209886</v>
      </c>
      <c r="CZ120" s="188">
        <f t="shared" si="386"/>
        <v>0.99805068226120874</v>
      </c>
      <c r="DA120" s="172">
        <f t="shared" si="387"/>
        <v>290.81632653061229</v>
      </c>
      <c r="DB120" s="379">
        <f t="shared" si="388"/>
        <v>350</v>
      </c>
      <c r="DD120" s="188">
        <f t="shared" si="389"/>
        <v>0.99999999999999978</v>
      </c>
      <c r="DE120" s="150">
        <f t="shared" si="390"/>
        <v>2.1052631578947363</v>
      </c>
      <c r="DF120" s="150">
        <f t="shared" si="391"/>
        <v>0.2295918367346938</v>
      </c>
      <c r="DG120" s="150"/>
      <c r="DH120" s="150">
        <f t="shared" si="392"/>
        <v>2.1052631578947367</v>
      </c>
      <c r="DI120" s="314">
        <f t="shared" si="393"/>
        <v>114</v>
      </c>
      <c r="DJ120" s="456">
        <f t="shared" si="394"/>
        <v>0.3061224489795919</v>
      </c>
      <c r="DL120" s="150">
        <f t="shared" si="395"/>
        <v>0.61721339984836765</v>
      </c>
      <c r="DM120" s="150">
        <f t="shared" si="396"/>
        <v>1</v>
      </c>
      <c r="DN120" s="150">
        <f t="shared" si="397"/>
        <v>1.0651428571428572</v>
      </c>
      <c r="DP120" s="314">
        <f t="shared" si="398"/>
        <v>120</v>
      </c>
      <c r="DQ120" s="144">
        <f t="shared" si="399"/>
        <v>114</v>
      </c>
      <c r="DS120" s="144">
        <f t="shared" si="400"/>
        <v>120</v>
      </c>
      <c r="DT120" s="144">
        <f t="shared" si="401"/>
        <v>114</v>
      </c>
      <c r="DV120" s="5">
        <f t="shared" si="402"/>
        <v>8.7719298245614024</v>
      </c>
      <c r="DW120" s="5">
        <f t="shared" si="403"/>
        <v>1.3333333333333335</v>
      </c>
      <c r="DX120" s="5">
        <f t="shared" si="404"/>
        <v>7.4385964912280684</v>
      </c>
      <c r="DY120" s="150">
        <f t="shared" si="405"/>
        <v>0.15200000000000002</v>
      </c>
      <c r="EA120" s="5">
        <f t="shared" si="406"/>
        <v>3.2</v>
      </c>
      <c r="EB120" s="5">
        <f t="shared" si="407"/>
        <v>0.41666666666666674</v>
      </c>
      <c r="EC120" s="5">
        <f t="shared" si="408"/>
        <v>0.20662768031189077</v>
      </c>
      <c r="ED120" s="5"/>
      <c r="EE120" s="150">
        <f t="shared" si="409"/>
        <v>0.2250925735484551</v>
      </c>
      <c r="EF120" s="150">
        <f t="shared" si="410"/>
        <v>0.53166405433005026</v>
      </c>
      <c r="EG120" s="150">
        <f t="shared" si="411"/>
        <v>0.11884255332083478</v>
      </c>
      <c r="EH120" s="150"/>
      <c r="EI120" s="456">
        <f t="shared" si="412"/>
        <v>1.0133333333333335E-3</v>
      </c>
      <c r="EJ120" s="456">
        <f t="shared" si="413"/>
        <v>3.3516000000000004E-2</v>
      </c>
      <c r="EK120" s="456">
        <f t="shared" si="414"/>
        <v>1.4249999999999999E-2</v>
      </c>
      <c r="EL120" s="456">
        <f t="shared" si="415"/>
        <v>2.4634259999999999E-3</v>
      </c>
      <c r="EM120">
        <f t="shared" si="416"/>
        <v>4.0499999999999998E-3</v>
      </c>
      <c r="EN120" s="144">
        <f t="shared" si="417"/>
        <v>18.299999999999997</v>
      </c>
      <c r="EP120" s="144">
        <f t="shared" si="439"/>
        <v>55.292759333333329</v>
      </c>
      <c r="EQ120" s="150">
        <f t="shared" si="418"/>
        <v>8.3999999999999991E-2</v>
      </c>
      <c r="ER120" s="150">
        <f t="shared" si="419"/>
        <v>1.1093749999999999E-2</v>
      </c>
      <c r="ES120" s="456"/>
      <c r="EU120" s="144">
        <f t="shared" si="420"/>
        <v>95.093749999999986</v>
      </c>
      <c r="EV120" s="456">
        <f t="shared" si="421"/>
        <v>1.5200000000000001E-3</v>
      </c>
      <c r="EW120" s="456">
        <f t="shared" si="422"/>
        <v>8.479999999999998E-3</v>
      </c>
      <c r="EX120" s="456">
        <f t="shared" si="423"/>
        <v>7.0617762399077292E-5</v>
      </c>
      <c r="EY120" s="456">
        <f t="shared" si="424"/>
        <v>6.9379654481699525E-3</v>
      </c>
      <c r="EZ120" s="456"/>
      <c r="FA120" s="538">
        <f t="shared" si="425"/>
        <v>1.1400000000000001E-4</v>
      </c>
      <c r="FB120" s="144">
        <f t="shared" si="426"/>
        <v>17.122583210569029</v>
      </c>
      <c r="FC120" s="150">
        <f t="shared" si="427"/>
        <v>0.16750909254390234</v>
      </c>
      <c r="FD120" s="5">
        <f t="shared" si="428"/>
        <v>0.8</v>
      </c>
      <c r="FE120" s="150">
        <f t="shared" si="429"/>
        <v>0.82686561414790904</v>
      </c>
      <c r="FF120" s="5">
        <f t="shared" si="430"/>
        <v>82.686561414790901</v>
      </c>
      <c r="FG120">
        <f t="shared" si="431"/>
        <v>10</v>
      </c>
      <c r="FI120" s="59">
        <f t="shared" si="432"/>
        <v>-50</v>
      </c>
      <c r="FJ120">
        <f t="shared" si="433"/>
        <v>-50</v>
      </c>
    </row>
    <row r="121" spans="5:166">
      <c r="E121" s="147">
        <v>11</v>
      </c>
      <c r="F121" s="188">
        <f t="shared" si="434"/>
        <v>0.13200000000000001</v>
      </c>
      <c r="G121" s="188">
        <f t="shared" si="313"/>
        <v>2.75E-2</v>
      </c>
      <c r="H121" s="188">
        <f t="shared" si="314"/>
        <v>0.66</v>
      </c>
      <c r="I121" s="188">
        <f t="shared" si="315"/>
        <v>0.22</v>
      </c>
      <c r="J121" s="465">
        <f t="shared" si="316"/>
        <v>8.9617322857041373</v>
      </c>
      <c r="K121" s="379">
        <f t="shared" si="317"/>
        <v>5.7145999279017685</v>
      </c>
      <c r="L121" s="149">
        <f t="shared" si="318"/>
        <v>14.676332213605907</v>
      </c>
      <c r="M121" s="379"/>
      <c r="N121" s="188">
        <f t="shared" si="319"/>
        <v>0.38937520933220399</v>
      </c>
      <c r="O121" s="149">
        <f t="shared" si="320"/>
        <v>6.5427682213597862</v>
      </c>
      <c r="P121" s="149">
        <f t="shared" si="321"/>
        <v>2.9078969872710161</v>
      </c>
      <c r="Q121" s="188">
        <f t="shared" si="322"/>
        <v>1.3085536442719572</v>
      </c>
      <c r="R121" s="188">
        <f t="shared" si="323"/>
        <v>0.81784602766997327</v>
      </c>
      <c r="S121" s="188">
        <f t="shared" si="324"/>
        <v>5</v>
      </c>
      <c r="T121" s="188">
        <f t="shared" si="325"/>
        <v>0.50437366697886166</v>
      </c>
      <c r="U121" s="188">
        <f t="shared" si="326"/>
        <v>0.67536987390276482</v>
      </c>
      <c r="V121" s="188">
        <f t="shared" si="327"/>
        <v>1.0591264620633964</v>
      </c>
      <c r="W121" s="172">
        <f t="shared" si="328"/>
        <v>290.78969872710161</v>
      </c>
      <c r="X121" s="379">
        <f t="shared" si="435"/>
        <v>350</v>
      </c>
      <c r="Z121" s="188">
        <f t="shared" si="329"/>
        <v>1</v>
      </c>
      <c r="AA121" s="150">
        <f t="shared" si="330"/>
        <v>2.0998845328453366</v>
      </c>
      <c r="AB121" s="150">
        <f t="shared" si="331"/>
        <v>0.22898429650042346</v>
      </c>
      <c r="AC121" s="150"/>
      <c r="AD121" s="150">
        <f t="shared" si="332"/>
        <v>2.0998845328453366</v>
      </c>
      <c r="AE121" s="314">
        <f t="shared" si="333"/>
        <v>125.72119841383892</v>
      </c>
      <c r="AF121" s="456">
        <f t="shared" si="334"/>
        <v>0.30531239533389798</v>
      </c>
      <c r="AH121" s="150">
        <f t="shared" si="335"/>
        <v>0.64733887497014964</v>
      </c>
      <c r="AI121" s="150">
        <f t="shared" si="336"/>
        <v>1</v>
      </c>
      <c r="AJ121" s="150">
        <f t="shared" si="337"/>
        <v>1.0718406848079081</v>
      </c>
      <c r="AL121" s="314">
        <f t="shared" si="338"/>
        <v>132</v>
      </c>
      <c r="AM121" s="144">
        <f t="shared" si="339"/>
        <v>125.72119841383892</v>
      </c>
      <c r="AO121" s="144">
        <f t="shared" si="340"/>
        <v>132</v>
      </c>
      <c r="AP121" s="144">
        <f t="shared" si="341"/>
        <v>125.72119841383892</v>
      </c>
      <c r="AR121" s="5">
        <f t="shared" si="275"/>
        <v>7.9541080789596075</v>
      </c>
      <c r="AS121" s="5">
        <f t="shared" si="440"/>
        <v>1.3390268329196291</v>
      </c>
      <c r="AT121" s="5">
        <f t="shared" si="441"/>
        <v>6.6150812460399786</v>
      </c>
      <c r="AU121" s="150">
        <f t="shared" si="442"/>
        <v>0.16834405814294304</v>
      </c>
      <c r="AW121" s="5">
        <f t="shared" si="342"/>
        <v>3.5350308389078209</v>
      </c>
      <c r="AX121" s="5">
        <f t="shared" si="343"/>
        <v>0.46029047381612254</v>
      </c>
      <c r="AY121" s="5">
        <f t="shared" si="344"/>
        <v>0.20299059207145917</v>
      </c>
      <c r="AZ121" s="5"/>
      <c r="BA121" s="150">
        <f t="shared" si="345"/>
        <v>0.2368853858887198</v>
      </c>
      <c r="BB121" s="150">
        <f t="shared" si="346"/>
        <v>0.52651557174093688</v>
      </c>
      <c r="BC121" s="150">
        <f t="shared" si="347"/>
        <v>0.11769171603620943</v>
      </c>
      <c r="BD121" s="150"/>
      <c r="BE121" s="456">
        <f t="shared" si="348"/>
        <v>1.1222937209529537E-3</v>
      </c>
      <c r="BF121" s="456">
        <f t="shared" si="349"/>
        <v>3.4596113891515574E-2</v>
      </c>
      <c r="BG121" s="456">
        <f t="shared" si="350"/>
        <v>2.8166993070567897E-2</v>
      </c>
      <c r="BH121" s="456">
        <f t="shared" si="351"/>
        <v>2.7079683241153542E-3</v>
      </c>
      <c r="BI121">
        <f t="shared" si="352"/>
        <v>4.0327795285668615E-3</v>
      </c>
      <c r="BJ121" s="144">
        <f t="shared" si="436"/>
        <v>32.199772599134761</v>
      </c>
      <c r="BK121">
        <f t="shared" si="353"/>
        <v>3.8739725459752045E-2</v>
      </c>
      <c r="BL121" s="144">
        <f t="shared" si="437"/>
        <v>70.626148535718642</v>
      </c>
      <c r="BM121" s="150">
        <f t="shared" si="354"/>
        <v>8.2004999999999995E-2</v>
      </c>
      <c r="BN121" s="150">
        <f t="shared" si="355"/>
        <v>1.7084374999999999E-2</v>
      </c>
      <c r="BO121" s="456"/>
      <c r="BQ121" s="144">
        <f t="shared" si="356"/>
        <v>99.08937499999999</v>
      </c>
      <c r="BR121" s="456">
        <f t="shared" si="357"/>
        <v>1.6834405814294307E-3</v>
      </c>
      <c r="BS121" s="456">
        <f t="shared" si="358"/>
        <v>8.3165594185705682E-3</v>
      </c>
      <c r="BT121" s="456">
        <f t="shared" si="359"/>
        <v>6.9256700117738769E-5</v>
      </c>
      <c r="BU121" s="456">
        <f t="shared" si="360"/>
        <v>8.8611744138313037E-3</v>
      </c>
      <c r="BV121" s="456"/>
      <c r="BW121" s="538">
        <f t="shared" si="361"/>
        <v>1.2572119841383893E-4</v>
      </c>
      <c r="BX121" s="144">
        <f t="shared" si="362"/>
        <v>19.056152312362883</v>
      </c>
      <c r="BY121" s="150">
        <f t="shared" si="363"/>
        <v>0.18877167584808149</v>
      </c>
      <c r="BZ121" s="5">
        <f t="shared" si="364"/>
        <v>0.88</v>
      </c>
      <c r="CA121" s="150">
        <f t="shared" si="365"/>
        <v>0.82337511358701654</v>
      </c>
      <c r="CB121" s="5">
        <f t="shared" si="366"/>
        <v>82.337511358701647</v>
      </c>
      <c r="CC121">
        <f t="shared" si="367"/>
        <v>11.000000000000002</v>
      </c>
      <c r="CE121" s="59">
        <f t="shared" si="368"/>
        <v>-50</v>
      </c>
      <c r="CF121">
        <f t="shared" si="369"/>
        <v>-50</v>
      </c>
      <c r="CG121" s="150">
        <f t="shared" si="370"/>
        <v>0.27123421613063498</v>
      </c>
      <c r="CH121" s="150">
        <f t="shared" si="371"/>
        <v>0.14714833189318652</v>
      </c>
      <c r="CI121" s="147">
        <v>11</v>
      </c>
      <c r="CJ121" s="188">
        <f t="shared" si="438"/>
        <v>0.13200000000000001</v>
      </c>
      <c r="CK121" s="188">
        <f t="shared" si="372"/>
        <v>2.75E-2</v>
      </c>
      <c r="CL121" s="188">
        <f t="shared" si="373"/>
        <v>0.66</v>
      </c>
      <c r="CM121" s="188">
        <f t="shared" si="374"/>
        <v>0.22</v>
      </c>
      <c r="CN121" s="465">
        <f t="shared" si="375"/>
        <v>9</v>
      </c>
      <c r="CO121" s="379">
        <f t="shared" si="376"/>
        <v>5.7</v>
      </c>
      <c r="CP121" s="379">
        <f t="shared" si="377"/>
        <v>14.7</v>
      </c>
      <c r="CQ121" s="379"/>
      <c r="CR121" s="188">
        <f t="shared" si="378"/>
        <v>0.375</v>
      </c>
      <c r="CS121" s="149">
        <f t="shared" si="379"/>
        <v>6.328125</v>
      </c>
      <c r="CT121" s="149">
        <f t="shared" si="380"/>
        <v>2.8125</v>
      </c>
      <c r="CU121" s="188">
        <f t="shared" si="381"/>
        <v>1.265625</v>
      </c>
      <c r="CV121" s="188">
        <f t="shared" si="382"/>
        <v>0.791015625</v>
      </c>
      <c r="CW121" s="188">
        <f t="shared" si="383"/>
        <v>5</v>
      </c>
      <c r="CX121" s="188">
        <f t="shared" si="384"/>
        <v>0.52148148148148143</v>
      </c>
      <c r="CY121" s="188">
        <f t="shared" si="385"/>
        <v>0.69530864197530862</v>
      </c>
      <c r="CZ121" s="188">
        <f t="shared" si="386"/>
        <v>1.0978557504873292</v>
      </c>
      <c r="DA121" s="172">
        <f t="shared" si="387"/>
        <v>290.81632653061229</v>
      </c>
      <c r="DB121" s="379">
        <f t="shared" si="388"/>
        <v>350</v>
      </c>
      <c r="DD121" s="188">
        <f t="shared" si="389"/>
        <v>0.99999999999999978</v>
      </c>
      <c r="DE121" s="150">
        <f t="shared" si="390"/>
        <v>2.1052631578947363</v>
      </c>
      <c r="DF121" s="150">
        <f t="shared" si="391"/>
        <v>0.2295918367346938</v>
      </c>
      <c r="DG121" s="150"/>
      <c r="DH121" s="150">
        <f t="shared" si="392"/>
        <v>2.1052631578947367</v>
      </c>
      <c r="DI121" s="314">
        <f t="shared" si="393"/>
        <v>125.40000000000002</v>
      </c>
      <c r="DJ121" s="456">
        <f t="shared" si="394"/>
        <v>0.3061224489795919</v>
      </c>
      <c r="DL121" s="150">
        <f t="shared" si="395"/>
        <v>0.64733887497014964</v>
      </c>
      <c r="DM121" s="150">
        <f t="shared" si="396"/>
        <v>1</v>
      </c>
      <c r="DN121" s="150">
        <f t="shared" si="397"/>
        <v>1.0716571428571429</v>
      </c>
      <c r="DP121" s="314">
        <f t="shared" si="398"/>
        <v>132</v>
      </c>
      <c r="DQ121" s="144">
        <f t="shared" si="399"/>
        <v>125.40000000000002</v>
      </c>
      <c r="DS121" s="144">
        <f t="shared" si="400"/>
        <v>132</v>
      </c>
      <c r="DT121" s="144">
        <f t="shared" si="401"/>
        <v>125.40000000000002</v>
      </c>
      <c r="DV121" s="5">
        <f t="shared" si="402"/>
        <v>7.9744816586921843</v>
      </c>
      <c r="DW121" s="5">
        <f t="shared" si="403"/>
        <v>1.3333333333333335</v>
      </c>
      <c r="DX121" s="5">
        <f t="shared" si="404"/>
        <v>6.6411483253588504</v>
      </c>
      <c r="DY121" s="150">
        <f t="shared" si="405"/>
        <v>0.16720000000000004</v>
      </c>
      <c r="EA121" s="5">
        <f t="shared" si="406"/>
        <v>3.5200000000000005</v>
      </c>
      <c r="EB121" s="5">
        <f t="shared" si="407"/>
        <v>0.45833333333333343</v>
      </c>
      <c r="EC121" s="5">
        <f t="shared" si="408"/>
        <v>0.20292397660818706</v>
      </c>
      <c r="ED121" s="5"/>
      <c r="EE121" s="150">
        <f t="shared" si="409"/>
        <v>0.23607908279501036</v>
      </c>
      <c r="EF121" s="150">
        <f t="shared" si="410"/>
        <v>0.52687759489277963</v>
      </c>
      <c r="EG121" s="150">
        <f t="shared" si="411"/>
        <v>0.11777263885838604</v>
      </c>
      <c r="EH121" s="150"/>
      <c r="EI121" s="456">
        <f t="shared" si="412"/>
        <v>1.1146666666666672E-3</v>
      </c>
      <c r="EJ121" s="456">
        <f t="shared" si="413"/>
        <v>3.68676E-2</v>
      </c>
      <c r="EK121" s="456">
        <f t="shared" si="414"/>
        <v>1.5675000000000001E-2</v>
      </c>
      <c r="EL121" s="456">
        <f t="shared" si="415"/>
        <v>2.7097686000000002E-3</v>
      </c>
      <c r="EM121">
        <f t="shared" si="416"/>
        <v>4.0499999999999998E-3</v>
      </c>
      <c r="EN121" s="144">
        <f t="shared" si="417"/>
        <v>19.724999999999998</v>
      </c>
      <c r="EP121" s="144">
        <f t="shared" si="439"/>
        <v>60.417035266666666</v>
      </c>
      <c r="EQ121" s="150">
        <f t="shared" si="418"/>
        <v>9.2399999999999996E-2</v>
      </c>
      <c r="ER121" s="150">
        <f t="shared" si="419"/>
        <v>1.2203124999999999E-2</v>
      </c>
      <c r="ES121" s="456"/>
      <c r="EU121" s="144">
        <f t="shared" si="420"/>
        <v>104.60312499999999</v>
      </c>
      <c r="EV121" s="456">
        <f t="shared" si="421"/>
        <v>1.6720000000000007E-3</v>
      </c>
      <c r="EW121" s="456">
        <f t="shared" si="422"/>
        <v>8.3280000000000003E-3</v>
      </c>
      <c r="EX121" s="456">
        <f t="shared" si="423"/>
        <v>6.9351972318339118E-5</v>
      </c>
      <c r="EY121" s="456">
        <f t="shared" si="424"/>
        <v>8.8046854559107046E-3</v>
      </c>
      <c r="EZ121" s="456"/>
      <c r="FA121" s="538">
        <f t="shared" si="425"/>
        <v>1.2540000000000001E-4</v>
      </c>
      <c r="FB121" s="144">
        <f t="shared" si="426"/>
        <v>18.999437428229047</v>
      </c>
      <c r="FC121" s="150">
        <f t="shared" si="427"/>
        <v>0.18401959769489573</v>
      </c>
      <c r="FD121" s="5">
        <f t="shared" si="428"/>
        <v>0.88</v>
      </c>
      <c r="FE121" s="150">
        <f t="shared" si="429"/>
        <v>0.82705243578825238</v>
      </c>
      <c r="FF121" s="5">
        <f t="shared" si="430"/>
        <v>82.705243578825232</v>
      </c>
      <c r="FG121">
        <f t="shared" si="431"/>
        <v>11.000000000000002</v>
      </c>
      <c r="FI121" s="59">
        <f t="shared" si="432"/>
        <v>-50</v>
      </c>
      <c r="FJ121">
        <f t="shared" si="433"/>
        <v>-50</v>
      </c>
    </row>
    <row r="122" spans="5:166">
      <c r="E122" s="147">
        <v>12</v>
      </c>
      <c r="F122" s="188">
        <f t="shared" si="434"/>
        <v>0.14399999999999999</v>
      </c>
      <c r="G122" s="188">
        <f t="shared" si="313"/>
        <v>0.03</v>
      </c>
      <c r="H122" s="188">
        <f t="shared" si="314"/>
        <v>0.72</v>
      </c>
      <c r="I122" s="188">
        <f t="shared" si="315"/>
        <v>0.24</v>
      </c>
      <c r="J122" s="465">
        <f t="shared" si="316"/>
        <v>8.9617322857041373</v>
      </c>
      <c r="K122" s="379">
        <f t="shared" si="317"/>
        <v>5.7145999279017685</v>
      </c>
      <c r="L122" s="149">
        <f t="shared" si="318"/>
        <v>14.676332213605907</v>
      </c>
      <c r="M122" s="379"/>
      <c r="N122" s="188">
        <f t="shared" si="319"/>
        <v>0.38937520933220399</v>
      </c>
      <c r="O122" s="149">
        <f t="shared" si="320"/>
        <v>6.5427682213597862</v>
      </c>
      <c r="P122" s="149">
        <f t="shared" si="321"/>
        <v>2.9078969872710161</v>
      </c>
      <c r="Q122" s="188">
        <f t="shared" si="322"/>
        <v>1.3085536442719572</v>
      </c>
      <c r="R122" s="188">
        <f t="shared" si="323"/>
        <v>0.81784602766997327</v>
      </c>
      <c r="S122" s="188">
        <f t="shared" si="324"/>
        <v>5</v>
      </c>
      <c r="T122" s="188">
        <f t="shared" si="325"/>
        <v>0.55022581852239449</v>
      </c>
      <c r="U122" s="188">
        <f t="shared" si="326"/>
        <v>0.7367671351666526</v>
      </c>
      <c r="V122" s="188">
        <f t="shared" si="327"/>
        <v>1.1554106858873414</v>
      </c>
      <c r="W122" s="172">
        <f t="shared" si="328"/>
        <v>290.78969872710161</v>
      </c>
      <c r="X122" s="379">
        <f t="shared" si="435"/>
        <v>350</v>
      </c>
      <c r="Z122" s="188">
        <f t="shared" si="329"/>
        <v>1</v>
      </c>
      <c r="AA122" s="150">
        <f t="shared" si="330"/>
        <v>2.0998845328453366</v>
      </c>
      <c r="AB122" s="150">
        <f t="shared" si="331"/>
        <v>0.22898429650042346</v>
      </c>
      <c r="AC122" s="150"/>
      <c r="AD122" s="150">
        <f t="shared" si="332"/>
        <v>2.0998845328453366</v>
      </c>
      <c r="AE122" s="314">
        <f t="shared" si="333"/>
        <v>137.15039826964244</v>
      </c>
      <c r="AF122" s="456">
        <f t="shared" si="334"/>
        <v>0.30531239533389798</v>
      </c>
      <c r="AH122" s="150">
        <f t="shared" si="335"/>
        <v>0.67612340378281321</v>
      </c>
      <c r="AI122" s="150">
        <f t="shared" si="336"/>
        <v>1</v>
      </c>
      <c r="AJ122" s="150">
        <f t="shared" si="337"/>
        <v>1.0783716561540815</v>
      </c>
      <c r="AL122" s="314">
        <f t="shared" si="338"/>
        <v>144</v>
      </c>
      <c r="AM122" s="144">
        <f t="shared" si="339"/>
        <v>137.15039826964244</v>
      </c>
      <c r="AO122" s="144">
        <f t="shared" si="340"/>
        <v>144</v>
      </c>
      <c r="AP122" s="144">
        <f t="shared" si="341"/>
        <v>137.15039826964244</v>
      </c>
      <c r="AR122" s="5">
        <f t="shared" si="275"/>
        <v>7.2912657390463087</v>
      </c>
      <c r="AS122" s="5">
        <f t="shared" si="440"/>
        <v>1.3390268329196291</v>
      </c>
      <c r="AT122" s="5">
        <f t="shared" si="441"/>
        <v>5.9522389061266798</v>
      </c>
      <c r="AU122" s="150">
        <f t="shared" si="442"/>
        <v>0.18364806342866508</v>
      </c>
      <c r="AW122" s="5">
        <f t="shared" si="342"/>
        <v>3.8563972788085317</v>
      </c>
      <c r="AX122" s="5">
        <f t="shared" si="343"/>
        <v>0.50213506234486083</v>
      </c>
      <c r="AY122" s="5">
        <f t="shared" si="344"/>
        <v>0.19925519028129512</v>
      </c>
      <c r="AZ122" s="5"/>
      <c r="BA122" s="150">
        <f t="shared" si="345"/>
        <v>0.24741871623401565</v>
      </c>
      <c r="BB122" s="150">
        <f t="shared" si="346"/>
        <v>0.52164864822066292</v>
      </c>
      <c r="BC122" s="150">
        <f t="shared" si="347"/>
        <v>0.11660381548461879</v>
      </c>
      <c r="BD122" s="150"/>
      <c r="BE122" s="456">
        <f t="shared" si="348"/>
        <v>1.2243204228577673E-3</v>
      </c>
      <c r="BF122" s="456">
        <f t="shared" si="349"/>
        <v>3.7741215154380621E-2</v>
      </c>
      <c r="BG122" s="456">
        <f t="shared" si="350"/>
        <v>3.0727628804255884E-2</v>
      </c>
      <c r="BH122" s="456">
        <f t="shared" si="351"/>
        <v>2.9541472626712947E-3</v>
      </c>
      <c r="BI122">
        <f t="shared" si="352"/>
        <v>4.0327795285668615E-3</v>
      </c>
      <c r="BJ122" s="144">
        <f t="shared" si="436"/>
        <v>34.760408332822749</v>
      </c>
      <c r="BK122">
        <f t="shared" si="353"/>
        <v>4.2262543465954011E-2</v>
      </c>
      <c r="BL122" s="144">
        <f t="shared" si="437"/>
        <v>76.680091172732432</v>
      </c>
      <c r="BM122" s="150">
        <f t="shared" si="354"/>
        <v>8.9459999999999984E-2</v>
      </c>
      <c r="BN122" s="150">
        <f t="shared" si="355"/>
        <v>1.8637499999999998E-2</v>
      </c>
      <c r="BO122" s="456"/>
      <c r="BQ122" s="144">
        <f t="shared" si="356"/>
        <v>108.09749999999998</v>
      </c>
      <c r="BR122" s="456">
        <f t="shared" si="357"/>
        <v>1.8364806342866509E-3</v>
      </c>
      <c r="BS122" s="456">
        <f t="shared" si="358"/>
        <v>8.1635193657133478E-3</v>
      </c>
      <c r="BT122" s="456">
        <f t="shared" si="359"/>
        <v>6.7982248927855122E-5</v>
      </c>
      <c r="BU122" s="456">
        <f t="shared" si="360"/>
        <v>1.1014446734891291E-2</v>
      </c>
      <c r="BV122" s="456"/>
      <c r="BW122" s="538">
        <f t="shared" si="361"/>
        <v>1.3715039826964244E-4</v>
      </c>
      <c r="BX122" s="144">
        <f t="shared" si="362"/>
        <v>21.219579382088785</v>
      </c>
      <c r="BY122" s="150">
        <f t="shared" si="363"/>
        <v>0.20599717055482122</v>
      </c>
      <c r="BZ122" s="5">
        <f t="shared" si="364"/>
        <v>0.96</v>
      </c>
      <c r="CA122" s="150">
        <f t="shared" si="365"/>
        <v>0.82332961369297264</v>
      </c>
      <c r="CB122" s="5">
        <f t="shared" si="366"/>
        <v>82.332961369297266</v>
      </c>
      <c r="CC122">
        <f t="shared" si="367"/>
        <v>12</v>
      </c>
      <c r="CE122" s="59">
        <f t="shared" si="368"/>
        <v>-50</v>
      </c>
      <c r="CF122">
        <f t="shared" si="369"/>
        <v>-50</v>
      </c>
      <c r="CG122" s="150">
        <f t="shared" si="370"/>
        <v>0.29589187214251084</v>
      </c>
      <c r="CH122" s="150">
        <f t="shared" si="371"/>
        <v>0.16052545297438528</v>
      </c>
      <c r="CI122" s="147">
        <v>12</v>
      </c>
      <c r="CJ122" s="188">
        <f t="shared" si="438"/>
        <v>0.14399999999999999</v>
      </c>
      <c r="CK122" s="188">
        <f t="shared" si="372"/>
        <v>0.03</v>
      </c>
      <c r="CL122" s="188">
        <f t="shared" si="373"/>
        <v>0.72</v>
      </c>
      <c r="CM122" s="188">
        <f t="shared" si="374"/>
        <v>0.24</v>
      </c>
      <c r="CN122" s="465">
        <f t="shared" si="375"/>
        <v>9</v>
      </c>
      <c r="CO122" s="379">
        <f t="shared" si="376"/>
        <v>5.7</v>
      </c>
      <c r="CP122" s="379">
        <f t="shared" si="377"/>
        <v>14.7</v>
      </c>
      <c r="CQ122" s="379"/>
      <c r="CR122" s="188">
        <f t="shared" si="378"/>
        <v>0.375</v>
      </c>
      <c r="CS122" s="149">
        <f t="shared" si="379"/>
        <v>6.328125</v>
      </c>
      <c r="CT122" s="149">
        <f t="shared" si="380"/>
        <v>2.8125</v>
      </c>
      <c r="CU122" s="188">
        <f t="shared" si="381"/>
        <v>1.265625</v>
      </c>
      <c r="CV122" s="188">
        <f t="shared" si="382"/>
        <v>0.791015625</v>
      </c>
      <c r="CW122" s="188">
        <f t="shared" si="383"/>
        <v>5</v>
      </c>
      <c r="CX122" s="188">
        <f t="shared" si="384"/>
        <v>0.56888888888888889</v>
      </c>
      <c r="CY122" s="188">
        <f t="shared" si="385"/>
        <v>0.75851851851851848</v>
      </c>
      <c r="CZ122" s="188">
        <f t="shared" si="386"/>
        <v>1.1976608187134503</v>
      </c>
      <c r="DA122" s="172">
        <f t="shared" si="387"/>
        <v>290.81632653061229</v>
      </c>
      <c r="DB122" s="379">
        <f t="shared" si="388"/>
        <v>350</v>
      </c>
      <c r="DD122" s="188">
        <f t="shared" si="389"/>
        <v>0.99999999999999978</v>
      </c>
      <c r="DE122" s="150">
        <f t="shared" si="390"/>
        <v>2.1052631578947363</v>
      </c>
      <c r="DF122" s="150">
        <f t="shared" si="391"/>
        <v>0.2295918367346938</v>
      </c>
      <c r="DG122" s="150"/>
      <c r="DH122" s="150">
        <f t="shared" si="392"/>
        <v>2.1052631578947367</v>
      </c>
      <c r="DI122" s="314">
        <f t="shared" si="393"/>
        <v>136.80000000000001</v>
      </c>
      <c r="DJ122" s="456">
        <f t="shared" si="394"/>
        <v>0.3061224489795919</v>
      </c>
      <c r="DL122" s="150">
        <f t="shared" si="395"/>
        <v>0.67612340378281321</v>
      </c>
      <c r="DM122" s="150">
        <f t="shared" si="396"/>
        <v>1</v>
      </c>
      <c r="DN122" s="150">
        <f t="shared" si="397"/>
        <v>1.0781714285714286</v>
      </c>
      <c r="DP122" s="314">
        <f t="shared" si="398"/>
        <v>144</v>
      </c>
      <c r="DQ122" s="144">
        <f t="shared" si="399"/>
        <v>136.80000000000001</v>
      </c>
      <c r="DS122" s="144">
        <f t="shared" si="400"/>
        <v>144</v>
      </c>
      <c r="DT122" s="144">
        <f t="shared" si="401"/>
        <v>136.80000000000001</v>
      </c>
      <c r="DV122" s="5">
        <f t="shared" si="402"/>
        <v>7.3099415204678362</v>
      </c>
      <c r="DW122" s="5">
        <f t="shared" si="403"/>
        <v>1.3333333333333335</v>
      </c>
      <c r="DX122" s="5">
        <f t="shared" si="404"/>
        <v>5.9766081871345023</v>
      </c>
      <c r="DY122" s="150">
        <f t="shared" si="405"/>
        <v>0.18240000000000003</v>
      </c>
      <c r="EA122" s="5">
        <f t="shared" si="406"/>
        <v>3.8400000000000003</v>
      </c>
      <c r="EB122" s="5">
        <f t="shared" si="407"/>
        <v>0.5</v>
      </c>
      <c r="EC122" s="5">
        <f t="shared" si="408"/>
        <v>0.19922027290448338</v>
      </c>
      <c r="ED122" s="5"/>
      <c r="EE122" s="150">
        <f t="shared" si="409"/>
        <v>0.24657656011875909</v>
      </c>
      <c r="EF122" s="150">
        <f t="shared" si="410"/>
        <v>0.52204725201205049</v>
      </c>
      <c r="EG122" s="150">
        <f t="shared" si="411"/>
        <v>0.11669291515563482</v>
      </c>
      <c r="EH122" s="150"/>
      <c r="EI122" s="456">
        <f t="shared" si="412"/>
        <v>1.2160000000000003E-3</v>
      </c>
      <c r="EJ122" s="456">
        <f t="shared" si="413"/>
        <v>4.0219200000000004E-2</v>
      </c>
      <c r="EK122" s="456">
        <f t="shared" si="414"/>
        <v>1.7100000000000001E-2</v>
      </c>
      <c r="EL122" s="456">
        <f t="shared" si="415"/>
        <v>2.9561112E-3</v>
      </c>
      <c r="EM122">
        <f t="shared" si="416"/>
        <v>4.0499999999999998E-3</v>
      </c>
      <c r="EN122" s="144">
        <f t="shared" si="417"/>
        <v>21.150000000000002</v>
      </c>
      <c r="EP122" s="144">
        <f t="shared" si="439"/>
        <v>65.54131120000001</v>
      </c>
      <c r="EQ122" s="150">
        <f t="shared" si="418"/>
        <v>0.10079999999999999</v>
      </c>
      <c r="ER122" s="150">
        <f t="shared" si="419"/>
        <v>1.33125E-2</v>
      </c>
      <c r="ES122" s="456"/>
      <c r="EU122" s="144">
        <f t="shared" si="420"/>
        <v>114.1125</v>
      </c>
      <c r="EV122" s="456">
        <f t="shared" si="421"/>
        <v>1.8240000000000003E-3</v>
      </c>
      <c r="EW122" s="456">
        <f t="shared" si="422"/>
        <v>8.176000000000001E-3</v>
      </c>
      <c r="EX122" s="456">
        <f t="shared" si="423"/>
        <v>6.8086182237600944E-5</v>
      </c>
      <c r="EY122" s="456">
        <f t="shared" si="424"/>
        <v>1.0944230915963879E-2</v>
      </c>
      <c r="EZ122" s="456"/>
      <c r="FA122" s="538">
        <f t="shared" si="425"/>
        <v>1.3680000000000002E-4</v>
      </c>
      <c r="FB122" s="144">
        <f t="shared" si="426"/>
        <v>21.149117098201479</v>
      </c>
      <c r="FC122" s="150">
        <f t="shared" si="427"/>
        <v>0.20080292829820148</v>
      </c>
      <c r="FD122" s="5">
        <f t="shared" si="428"/>
        <v>0.96</v>
      </c>
      <c r="FE122" s="150">
        <f t="shared" si="429"/>
        <v>0.82701376486653999</v>
      </c>
      <c r="FF122" s="5">
        <f t="shared" si="430"/>
        <v>82.701376486653999</v>
      </c>
      <c r="FG122">
        <f t="shared" si="431"/>
        <v>12</v>
      </c>
      <c r="FI122" s="59">
        <f t="shared" si="432"/>
        <v>-50</v>
      </c>
      <c r="FJ122">
        <f t="shared" si="433"/>
        <v>-50</v>
      </c>
    </row>
    <row r="123" spans="5:166">
      <c r="E123" s="147">
        <v>13</v>
      </c>
      <c r="F123" s="188">
        <f t="shared" si="434"/>
        <v>0.156</v>
      </c>
      <c r="G123" s="188">
        <f t="shared" si="313"/>
        <v>3.2500000000000001E-2</v>
      </c>
      <c r="H123" s="188">
        <f t="shared" si="314"/>
        <v>0.78</v>
      </c>
      <c r="I123" s="188">
        <f t="shared" si="315"/>
        <v>0.26</v>
      </c>
      <c r="J123" s="465">
        <f t="shared" si="316"/>
        <v>8.9617322857041373</v>
      </c>
      <c r="K123" s="379">
        <f t="shared" si="317"/>
        <v>5.7145999279017685</v>
      </c>
      <c r="L123" s="149">
        <f t="shared" si="318"/>
        <v>14.676332213605907</v>
      </c>
      <c r="M123" s="379"/>
      <c r="N123" s="188">
        <f t="shared" si="319"/>
        <v>0.38937520933220399</v>
      </c>
      <c r="O123" s="149">
        <f t="shared" si="320"/>
        <v>6.5427682213597862</v>
      </c>
      <c r="P123" s="149">
        <f t="shared" si="321"/>
        <v>2.9078969872710161</v>
      </c>
      <c r="Q123" s="188">
        <f t="shared" si="322"/>
        <v>1.3085536442719572</v>
      </c>
      <c r="R123" s="188">
        <f t="shared" si="323"/>
        <v>0.81784602766997327</v>
      </c>
      <c r="S123" s="188">
        <f t="shared" si="324"/>
        <v>5</v>
      </c>
      <c r="T123" s="188">
        <f t="shared" si="325"/>
        <v>0.59607797006592744</v>
      </c>
      <c r="U123" s="188">
        <f t="shared" si="326"/>
        <v>0.79816439643054038</v>
      </c>
      <c r="V123" s="188">
        <f t="shared" si="327"/>
        <v>1.2516949097112866</v>
      </c>
      <c r="W123" s="172">
        <f t="shared" si="328"/>
        <v>290.78969872710161</v>
      </c>
      <c r="X123" s="379">
        <f t="shared" si="435"/>
        <v>350</v>
      </c>
      <c r="Z123" s="188">
        <f t="shared" si="329"/>
        <v>1</v>
      </c>
      <c r="AA123" s="150">
        <f t="shared" si="330"/>
        <v>2.0998845328453366</v>
      </c>
      <c r="AB123" s="150">
        <f t="shared" si="331"/>
        <v>0.22898429650042346</v>
      </c>
      <c r="AC123" s="150"/>
      <c r="AD123" s="150">
        <f t="shared" si="332"/>
        <v>2.0998845328453366</v>
      </c>
      <c r="AE123" s="314">
        <f t="shared" si="333"/>
        <v>148.57959812544601</v>
      </c>
      <c r="AF123" s="456">
        <f t="shared" si="334"/>
        <v>0.30531239533389798</v>
      </c>
      <c r="AH123" s="150">
        <f t="shared" si="335"/>
        <v>0.70373155054899683</v>
      </c>
      <c r="AI123" s="150">
        <f t="shared" si="336"/>
        <v>1</v>
      </c>
      <c r="AJ123" s="150">
        <f t="shared" si="337"/>
        <v>1.0849026275002549</v>
      </c>
      <c r="AL123" s="314">
        <f t="shared" si="338"/>
        <v>156</v>
      </c>
      <c r="AM123" s="144">
        <f t="shared" si="339"/>
        <v>148.57959812544601</v>
      </c>
      <c r="AO123" s="144">
        <f t="shared" si="340"/>
        <v>156</v>
      </c>
      <c r="AP123" s="144">
        <f t="shared" si="341"/>
        <v>148.57959812544601</v>
      </c>
      <c r="AR123" s="5">
        <f t="shared" si="275"/>
        <v>6.7303991437350525</v>
      </c>
      <c r="AS123" s="5">
        <f t="shared" si="440"/>
        <v>1.3390268329196291</v>
      </c>
      <c r="AT123" s="5">
        <f t="shared" si="441"/>
        <v>5.3913723108154237</v>
      </c>
      <c r="AU123" s="150">
        <f t="shared" si="442"/>
        <v>0.19895206871438723</v>
      </c>
      <c r="AW123" s="5">
        <f t="shared" si="342"/>
        <v>4.177763718709242</v>
      </c>
      <c r="AX123" s="5">
        <f t="shared" si="343"/>
        <v>0.54397965087359934</v>
      </c>
      <c r="AY123" s="5">
        <f t="shared" si="344"/>
        <v>0.19551978849113097</v>
      </c>
      <c r="AZ123" s="5"/>
      <c r="BA123" s="150">
        <f t="shared" si="345"/>
        <v>0.25752156460795489</v>
      </c>
      <c r="BB123" s="150">
        <f t="shared" si="346"/>
        <v>0.51673588717564822</v>
      </c>
      <c r="BC123" s="150">
        <f t="shared" si="347"/>
        <v>0.11550566889808608</v>
      </c>
      <c r="BD123" s="150"/>
      <c r="BE123" s="456">
        <f t="shared" si="348"/>
        <v>1.3263471247625816E-3</v>
      </c>
      <c r="BF123" s="456">
        <f t="shared" si="349"/>
        <v>4.0886316417245681E-2</v>
      </c>
      <c r="BG123" s="456">
        <f t="shared" si="350"/>
        <v>3.3288264537943882E-2</v>
      </c>
      <c r="BH123" s="456">
        <f t="shared" si="351"/>
        <v>3.2003262012272366E-3</v>
      </c>
      <c r="BI123">
        <f t="shared" si="352"/>
        <v>4.0327795285668615E-3</v>
      </c>
      <c r="BJ123" s="144">
        <f t="shared" si="436"/>
        <v>37.321044066510744</v>
      </c>
      <c r="BK123">
        <f t="shared" si="353"/>
        <v>4.5785532323096026E-2</v>
      </c>
      <c r="BL123" s="144">
        <f t="shared" si="437"/>
        <v>82.734033809746236</v>
      </c>
      <c r="BM123" s="150">
        <f t="shared" si="354"/>
        <v>9.6914999999999987E-2</v>
      </c>
      <c r="BN123" s="150">
        <f t="shared" si="355"/>
        <v>2.0190624999999997E-2</v>
      </c>
      <c r="BO123" s="456"/>
      <c r="BQ123" s="144">
        <f t="shared" si="356"/>
        <v>117.10562499999999</v>
      </c>
      <c r="BR123" s="456">
        <f t="shared" si="357"/>
        <v>1.9895206871438724E-3</v>
      </c>
      <c r="BS123" s="456">
        <f t="shared" si="358"/>
        <v>8.0104793128561273E-3</v>
      </c>
      <c r="BT123" s="456">
        <f t="shared" si="359"/>
        <v>6.6707797737971448E-5</v>
      </c>
      <c r="BU123" s="456">
        <f t="shared" si="360"/>
        <v>1.3454512072191744E-2</v>
      </c>
      <c r="BV123" s="456"/>
      <c r="BW123" s="538">
        <f t="shared" si="361"/>
        <v>1.4857959812544604E-4</v>
      </c>
      <c r="BX123" s="144">
        <f t="shared" si="362"/>
        <v>23.66979946805516</v>
      </c>
      <c r="BY123" s="150">
        <f t="shared" si="363"/>
        <v>0.22350945827780136</v>
      </c>
      <c r="BZ123" s="5">
        <f t="shared" si="364"/>
        <v>1.04</v>
      </c>
      <c r="CA123" s="150">
        <f t="shared" si="365"/>
        <v>0.82310424602404553</v>
      </c>
      <c r="CB123" s="5">
        <f t="shared" si="366"/>
        <v>82.310424602404552</v>
      </c>
      <c r="CC123">
        <f t="shared" si="367"/>
        <v>13</v>
      </c>
      <c r="CE123" s="59">
        <f t="shared" si="368"/>
        <v>-50</v>
      </c>
      <c r="CF123">
        <f t="shared" si="369"/>
        <v>-50</v>
      </c>
      <c r="CG123" s="150">
        <f t="shared" si="370"/>
        <v>0.32054952815438675</v>
      </c>
      <c r="CH123" s="150">
        <f t="shared" si="371"/>
        <v>0.17390257405558404</v>
      </c>
      <c r="CI123" s="147">
        <v>13</v>
      </c>
      <c r="CJ123" s="188">
        <f t="shared" si="438"/>
        <v>0.156</v>
      </c>
      <c r="CK123" s="188">
        <f t="shared" si="372"/>
        <v>3.2500000000000001E-2</v>
      </c>
      <c r="CL123" s="188">
        <f t="shared" si="373"/>
        <v>0.78</v>
      </c>
      <c r="CM123" s="188">
        <f t="shared" si="374"/>
        <v>0.26</v>
      </c>
      <c r="CN123" s="465">
        <f t="shared" si="375"/>
        <v>9</v>
      </c>
      <c r="CO123" s="379">
        <f t="shared" si="376"/>
        <v>5.7</v>
      </c>
      <c r="CP123" s="379">
        <f t="shared" si="377"/>
        <v>14.7</v>
      </c>
      <c r="CQ123" s="379"/>
      <c r="CR123" s="188">
        <f t="shared" si="378"/>
        <v>0.375</v>
      </c>
      <c r="CS123" s="149">
        <f t="shared" si="379"/>
        <v>6.328125</v>
      </c>
      <c r="CT123" s="149">
        <f t="shared" si="380"/>
        <v>2.8125</v>
      </c>
      <c r="CU123" s="188">
        <f t="shared" si="381"/>
        <v>1.265625</v>
      </c>
      <c r="CV123" s="188">
        <f t="shared" si="382"/>
        <v>0.791015625</v>
      </c>
      <c r="CW123" s="188">
        <f t="shared" si="383"/>
        <v>5</v>
      </c>
      <c r="CX123" s="188">
        <f t="shared" si="384"/>
        <v>0.61629629629629634</v>
      </c>
      <c r="CY123" s="188">
        <f t="shared" si="385"/>
        <v>0.82172839506172846</v>
      </c>
      <c r="CZ123" s="188">
        <f t="shared" si="386"/>
        <v>1.2974658869395712</v>
      </c>
      <c r="DA123" s="172">
        <f t="shared" si="387"/>
        <v>290.81632653061229</v>
      </c>
      <c r="DB123" s="379">
        <f t="shared" si="388"/>
        <v>350</v>
      </c>
      <c r="DD123" s="188">
        <f t="shared" si="389"/>
        <v>0.99999999999999978</v>
      </c>
      <c r="DE123" s="150">
        <f t="shared" si="390"/>
        <v>2.1052631578947363</v>
      </c>
      <c r="DF123" s="150">
        <f t="shared" si="391"/>
        <v>0.2295918367346938</v>
      </c>
      <c r="DG123" s="150"/>
      <c r="DH123" s="150">
        <f t="shared" si="392"/>
        <v>2.1052631578947367</v>
      </c>
      <c r="DI123" s="314">
        <f t="shared" si="393"/>
        <v>148.19999999999999</v>
      </c>
      <c r="DJ123" s="456">
        <f t="shared" si="394"/>
        <v>0.3061224489795919</v>
      </c>
      <c r="DL123" s="150">
        <f t="shared" si="395"/>
        <v>0.70373155054899683</v>
      </c>
      <c r="DM123" s="150">
        <f t="shared" si="396"/>
        <v>1</v>
      </c>
      <c r="DN123" s="150">
        <f t="shared" si="397"/>
        <v>1.0846857142857143</v>
      </c>
      <c r="DP123" s="314">
        <f t="shared" si="398"/>
        <v>156</v>
      </c>
      <c r="DQ123" s="144">
        <f t="shared" si="399"/>
        <v>148.19999999999999</v>
      </c>
      <c r="DS123" s="144">
        <f t="shared" si="400"/>
        <v>156</v>
      </c>
      <c r="DT123" s="144">
        <f t="shared" si="401"/>
        <v>148.19999999999999</v>
      </c>
      <c r="DV123" s="5">
        <f t="shared" si="402"/>
        <v>6.7476383265856956</v>
      </c>
      <c r="DW123" s="5">
        <f t="shared" si="403"/>
        <v>1.3333333333333335</v>
      </c>
      <c r="DX123" s="5">
        <f t="shared" si="404"/>
        <v>5.4143049932523617</v>
      </c>
      <c r="DY123" s="150">
        <f t="shared" si="405"/>
        <v>0.1976</v>
      </c>
      <c r="EA123" s="5">
        <f t="shared" si="406"/>
        <v>4.16</v>
      </c>
      <c r="EB123" s="5">
        <f t="shared" si="407"/>
        <v>0.54166666666666674</v>
      </c>
      <c r="EC123" s="5">
        <f t="shared" si="408"/>
        <v>0.1955165692007797</v>
      </c>
      <c r="ED123" s="5"/>
      <c r="EE123" s="150">
        <f t="shared" si="409"/>
        <v>0.2566450207322688</v>
      </c>
      <c r="EF123" s="150">
        <f t="shared" si="410"/>
        <v>0.51717179608585262</v>
      </c>
      <c r="EG123" s="150">
        <f t="shared" si="411"/>
        <v>0.11560310736036707</v>
      </c>
      <c r="EH123" s="150"/>
      <c r="EI123" s="456">
        <f t="shared" si="412"/>
        <v>1.3173333333333338E-3</v>
      </c>
      <c r="EJ123" s="456">
        <f t="shared" si="413"/>
        <v>4.3570799999999993E-2</v>
      </c>
      <c r="EK123" s="456">
        <f t="shared" si="414"/>
        <v>1.8524999999999996E-2</v>
      </c>
      <c r="EL123" s="456">
        <f t="shared" si="415"/>
        <v>3.2024537999999995E-3</v>
      </c>
      <c r="EM123">
        <f t="shared" si="416"/>
        <v>4.0499999999999998E-3</v>
      </c>
      <c r="EN123" s="144">
        <f t="shared" si="417"/>
        <v>22.574999999999999</v>
      </c>
      <c r="EP123" s="144">
        <f t="shared" si="439"/>
        <v>70.665587133333332</v>
      </c>
      <c r="EQ123" s="150">
        <f t="shared" si="418"/>
        <v>0.10919999999999999</v>
      </c>
      <c r="ER123" s="150">
        <f t="shared" si="419"/>
        <v>1.4421874999999999E-2</v>
      </c>
      <c r="ES123" s="456"/>
      <c r="EU123" s="144">
        <f t="shared" si="420"/>
        <v>123.62187499999999</v>
      </c>
      <c r="EV123" s="456">
        <f t="shared" si="421"/>
        <v>1.9760000000000003E-3</v>
      </c>
      <c r="EW123" s="456">
        <f t="shared" si="422"/>
        <v>8.0240000000000016E-3</v>
      </c>
      <c r="EX123" s="456">
        <f t="shared" si="423"/>
        <v>6.682039215686277E-5</v>
      </c>
      <c r="EY123" s="456">
        <f t="shared" si="424"/>
        <v>1.3368741120081589E-2</v>
      </c>
      <c r="EZ123" s="456"/>
      <c r="FA123" s="538">
        <f t="shared" si="425"/>
        <v>1.482E-4</v>
      </c>
      <c r="FB123" s="144">
        <f t="shared" si="426"/>
        <v>23.583761512238453</v>
      </c>
      <c r="FC123" s="150">
        <f t="shared" si="427"/>
        <v>0.21787122364557179</v>
      </c>
      <c r="FD123" s="5">
        <f t="shared" si="428"/>
        <v>1.04</v>
      </c>
      <c r="FE123" s="150">
        <f t="shared" si="429"/>
        <v>0.82679369751846632</v>
      </c>
      <c r="FF123" s="5">
        <f t="shared" si="430"/>
        <v>82.679369751846636</v>
      </c>
      <c r="FG123">
        <f t="shared" si="431"/>
        <v>13</v>
      </c>
      <c r="FI123" s="59">
        <f t="shared" si="432"/>
        <v>-50</v>
      </c>
      <c r="FJ123">
        <f t="shared" si="433"/>
        <v>-50</v>
      </c>
    </row>
    <row r="124" spans="5:166">
      <c r="E124" s="147">
        <v>14</v>
      </c>
      <c r="F124" s="188">
        <f t="shared" si="434"/>
        <v>0.16800000000000001</v>
      </c>
      <c r="G124" s="188">
        <f t="shared" si="313"/>
        <v>3.5000000000000003E-2</v>
      </c>
      <c r="H124" s="188">
        <f t="shared" si="314"/>
        <v>0.84000000000000008</v>
      </c>
      <c r="I124" s="188">
        <f t="shared" si="315"/>
        <v>0.28000000000000003</v>
      </c>
      <c r="J124" s="465">
        <f t="shared" si="316"/>
        <v>8.9617322857041373</v>
      </c>
      <c r="K124" s="379">
        <f t="shared" si="317"/>
        <v>5.7145999279017685</v>
      </c>
      <c r="L124" s="149">
        <f t="shared" si="318"/>
        <v>14.676332213605907</v>
      </c>
      <c r="M124" s="379"/>
      <c r="N124" s="188">
        <f t="shared" si="319"/>
        <v>0.38937520933220399</v>
      </c>
      <c r="O124" s="149">
        <f t="shared" si="320"/>
        <v>6.5427682213597862</v>
      </c>
      <c r="P124" s="149">
        <f t="shared" si="321"/>
        <v>2.9078969872710161</v>
      </c>
      <c r="Q124" s="188">
        <f t="shared" si="322"/>
        <v>1.3085536442719572</v>
      </c>
      <c r="R124" s="188">
        <f t="shared" si="323"/>
        <v>0.81784602766997327</v>
      </c>
      <c r="S124" s="188">
        <f t="shared" si="324"/>
        <v>5</v>
      </c>
      <c r="T124" s="188">
        <f t="shared" si="325"/>
        <v>0.64193012160946039</v>
      </c>
      <c r="U124" s="188">
        <f t="shared" si="326"/>
        <v>0.85956165769442827</v>
      </c>
      <c r="V124" s="188">
        <f t="shared" si="327"/>
        <v>1.347979133535232</v>
      </c>
      <c r="W124" s="172">
        <f t="shared" si="328"/>
        <v>290.78969872710161</v>
      </c>
      <c r="X124" s="379">
        <f t="shared" si="435"/>
        <v>350</v>
      </c>
      <c r="Z124" s="188">
        <f t="shared" si="329"/>
        <v>1</v>
      </c>
      <c r="AA124" s="150">
        <f t="shared" si="330"/>
        <v>2.0998845328453366</v>
      </c>
      <c r="AB124" s="150">
        <f t="shared" si="331"/>
        <v>0.22898429650042346</v>
      </c>
      <c r="AC124" s="150"/>
      <c r="AD124" s="150">
        <f t="shared" si="332"/>
        <v>2.0998845328453366</v>
      </c>
      <c r="AE124" s="314">
        <f t="shared" si="333"/>
        <v>160.00879798124956</v>
      </c>
      <c r="AF124" s="456">
        <f t="shared" si="334"/>
        <v>0.30531239533389798</v>
      </c>
      <c r="AH124" s="150">
        <f t="shared" si="335"/>
        <v>0.73029674334022143</v>
      </c>
      <c r="AI124" s="150">
        <f t="shared" si="336"/>
        <v>1</v>
      </c>
      <c r="AJ124" s="150">
        <f t="shared" si="337"/>
        <v>1.0914335988464283</v>
      </c>
      <c r="AL124" s="314">
        <f t="shared" si="338"/>
        <v>168</v>
      </c>
      <c r="AM124" s="144">
        <f t="shared" si="339"/>
        <v>160.00879798124956</v>
      </c>
      <c r="AO124" s="144">
        <f t="shared" si="340"/>
        <v>168</v>
      </c>
      <c r="AP124" s="144">
        <f t="shared" si="341"/>
        <v>160.00879798124956</v>
      </c>
      <c r="AR124" s="5">
        <f t="shared" si="275"/>
        <v>6.2496563477539766</v>
      </c>
      <c r="AS124" s="5">
        <f t="shared" si="440"/>
        <v>1.3390268329196291</v>
      </c>
      <c r="AT124" s="5">
        <f t="shared" si="441"/>
        <v>4.9106295148343477</v>
      </c>
      <c r="AU124" s="150">
        <f t="shared" si="442"/>
        <v>0.21425607400010935</v>
      </c>
      <c r="AW124" s="5">
        <f t="shared" si="342"/>
        <v>4.4991301586099537</v>
      </c>
      <c r="AX124" s="5">
        <f t="shared" si="343"/>
        <v>0.58582423940233774</v>
      </c>
      <c r="AY124" s="5">
        <f t="shared" si="344"/>
        <v>0.19178438670096681</v>
      </c>
      <c r="AZ124" s="5"/>
      <c r="BA124" s="150">
        <f t="shared" si="345"/>
        <v>0.26724275730760183</v>
      </c>
      <c r="BB124" s="150">
        <f t="shared" si="346"/>
        <v>0.51177596856433538</v>
      </c>
      <c r="BC124" s="150">
        <f t="shared" si="347"/>
        <v>0.1143969812084985</v>
      </c>
      <c r="BD124" s="150"/>
      <c r="BE124" s="456">
        <f t="shared" si="348"/>
        <v>1.4283738266673955E-3</v>
      </c>
      <c r="BF124" s="456">
        <f t="shared" si="349"/>
        <v>4.4031417680110735E-2</v>
      </c>
      <c r="BG124" s="456">
        <f t="shared" si="350"/>
        <v>3.5848900271631873E-2</v>
      </c>
      <c r="BH124" s="456">
        <f t="shared" si="351"/>
        <v>3.446505139783178E-3</v>
      </c>
      <c r="BI124">
        <f t="shared" si="352"/>
        <v>4.0327795285668615E-3</v>
      </c>
      <c r="BJ124" s="144">
        <f t="shared" si="436"/>
        <v>39.881679800198739</v>
      </c>
      <c r="BK124">
        <f t="shared" si="353"/>
        <v>4.9308692043607313E-2</v>
      </c>
      <c r="BL124" s="144">
        <f t="shared" si="437"/>
        <v>88.787976446760041</v>
      </c>
      <c r="BM124" s="150">
        <f t="shared" si="354"/>
        <v>0.10436999999999999</v>
      </c>
      <c r="BN124" s="150">
        <f t="shared" si="355"/>
        <v>2.1743749999999999E-2</v>
      </c>
      <c r="BO124" s="456"/>
      <c r="BQ124" s="144">
        <f t="shared" si="356"/>
        <v>126.11375</v>
      </c>
      <c r="BR124" s="456">
        <f t="shared" si="357"/>
        <v>2.1425607400010929E-3</v>
      </c>
      <c r="BS124" s="456">
        <f t="shared" si="358"/>
        <v>7.8574392599989086E-3</v>
      </c>
      <c r="BT124" s="456">
        <f t="shared" si="359"/>
        <v>6.5433346548087802E-5</v>
      </c>
      <c r="BU124" s="456">
        <f t="shared" si="360"/>
        <v>1.6193087444618143E-2</v>
      </c>
      <c r="BV124" s="456"/>
      <c r="BW124" s="538">
        <f t="shared" si="361"/>
        <v>1.6000879798124958E-4</v>
      </c>
      <c r="BX124" s="144">
        <f t="shared" si="362"/>
        <v>26.418529589147479</v>
      </c>
      <c r="BY124" s="150">
        <f t="shared" si="363"/>
        <v>0.24132025603590754</v>
      </c>
      <c r="BZ124" s="5">
        <f t="shared" si="364"/>
        <v>1.1200000000000001</v>
      </c>
      <c r="CA124" s="150">
        <f t="shared" si="365"/>
        <v>0.82273072411438342</v>
      </c>
      <c r="CB124" s="5">
        <f t="shared" si="366"/>
        <v>82.273072411438335</v>
      </c>
      <c r="CC124">
        <f t="shared" si="367"/>
        <v>14.000000000000002</v>
      </c>
      <c r="CE124" s="59">
        <f t="shared" si="368"/>
        <v>-50</v>
      </c>
      <c r="CF124">
        <f t="shared" si="369"/>
        <v>-50</v>
      </c>
      <c r="CG124" s="150">
        <f t="shared" si="370"/>
        <v>0.34520718416626273</v>
      </c>
      <c r="CH124" s="150">
        <f t="shared" si="371"/>
        <v>0.18727969513678283</v>
      </c>
      <c r="CI124" s="147">
        <v>14</v>
      </c>
      <c r="CJ124" s="188">
        <f t="shared" si="438"/>
        <v>0.16800000000000001</v>
      </c>
      <c r="CK124" s="188">
        <f t="shared" si="372"/>
        <v>3.5000000000000003E-2</v>
      </c>
      <c r="CL124" s="188">
        <f t="shared" si="373"/>
        <v>0.84000000000000008</v>
      </c>
      <c r="CM124" s="188">
        <f t="shared" si="374"/>
        <v>0.28000000000000003</v>
      </c>
      <c r="CN124" s="465">
        <f t="shared" si="375"/>
        <v>9</v>
      </c>
      <c r="CO124" s="379">
        <f t="shared" si="376"/>
        <v>5.7</v>
      </c>
      <c r="CP124" s="379">
        <f t="shared" si="377"/>
        <v>14.7</v>
      </c>
      <c r="CQ124" s="379"/>
      <c r="CR124" s="188">
        <f t="shared" si="378"/>
        <v>0.375</v>
      </c>
      <c r="CS124" s="149">
        <f t="shared" si="379"/>
        <v>6.328125</v>
      </c>
      <c r="CT124" s="149">
        <f t="shared" si="380"/>
        <v>2.8125</v>
      </c>
      <c r="CU124" s="188">
        <f t="shared" si="381"/>
        <v>1.265625</v>
      </c>
      <c r="CV124" s="188">
        <f t="shared" si="382"/>
        <v>0.791015625</v>
      </c>
      <c r="CW124" s="188">
        <f t="shared" si="383"/>
        <v>5</v>
      </c>
      <c r="CX124" s="188">
        <f t="shared" si="384"/>
        <v>0.6637037037037038</v>
      </c>
      <c r="CY124" s="188">
        <f t="shared" si="385"/>
        <v>0.88493827160493832</v>
      </c>
      <c r="CZ124" s="188">
        <f t="shared" si="386"/>
        <v>1.3972709551656921</v>
      </c>
      <c r="DA124" s="172">
        <f t="shared" si="387"/>
        <v>290.81632653061229</v>
      </c>
      <c r="DB124" s="379">
        <f t="shared" si="388"/>
        <v>350</v>
      </c>
      <c r="DD124" s="188">
        <f t="shared" si="389"/>
        <v>0.99999999999999978</v>
      </c>
      <c r="DE124" s="150">
        <f t="shared" si="390"/>
        <v>2.1052631578947363</v>
      </c>
      <c r="DF124" s="150">
        <f t="shared" si="391"/>
        <v>0.2295918367346938</v>
      </c>
      <c r="DG124" s="150"/>
      <c r="DH124" s="150">
        <f t="shared" si="392"/>
        <v>2.1052631578947367</v>
      </c>
      <c r="DI124" s="314">
        <f t="shared" si="393"/>
        <v>159.60000000000002</v>
      </c>
      <c r="DJ124" s="456">
        <f t="shared" si="394"/>
        <v>0.3061224489795919</v>
      </c>
      <c r="DL124" s="150">
        <f t="shared" si="395"/>
        <v>0.73029674334022143</v>
      </c>
      <c r="DM124" s="150">
        <f t="shared" si="396"/>
        <v>1</v>
      </c>
      <c r="DN124" s="150">
        <f t="shared" si="397"/>
        <v>1.0911999999999999</v>
      </c>
      <c r="DP124" s="314">
        <f t="shared" si="398"/>
        <v>168</v>
      </c>
      <c r="DQ124" s="144">
        <f t="shared" si="399"/>
        <v>159.60000000000002</v>
      </c>
      <c r="DS124" s="144">
        <f t="shared" si="400"/>
        <v>168</v>
      </c>
      <c r="DT124" s="144">
        <f t="shared" si="401"/>
        <v>159.60000000000002</v>
      </c>
      <c r="DV124" s="5">
        <f t="shared" si="402"/>
        <v>6.265664160401001</v>
      </c>
      <c r="DW124" s="5">
        <f t="shared" si="403"/>
        <v>1.3333333333333335</v>
      </c>
      <c r="DX124" s="5">
        <f t="shared" si="404"/>
        <v>4.932330827067668</v>
      </c>
      <c r="DY124" s="150">
        <f t="shared" si="405"/>
        <v>0.21280000000000007</v>
      </c>
      <c r="EA124" s="5">
        <f t="shared" si="406"/>
        <v>4.4800000000000004</v>
      </c>
      <c r="EB124" s="5">
        <f t="shared" si="407"/>
        <v>0.58333333333333348</v>
      </c>
      <c r="EC124" s="5">
        <f t="shared" si="408"/>
        <v>0.19181286549707594</v>
      </c>
      <c r="ED124" s="5"/>
      <c r="EE124" s="150">
        <f t="shared" si="409"/>
        <v>0.26633312473917575</v>
      </c>
      <c r="EF124" s="150">
        <f t="shared" si="410"/>
        <v>0.5122499389946279</v>
      </c>
      <c r="EG124" s="150">
        <f t="shared" si="411"/>
        <v>0.11450292753997565</v>
      </c>
      <c r="EH124" s="150"/>
      <c r="EI124" s="456">
        <f t="shared" si="412"/>
        <v>1.418666666666667E-3</v>
      </c>
      <c r="EJ124" s="456">
        <f t="shared" si="413"/>
        <v>4.692240000000001E-2</v>
      </c>
      <c r="EK124" s="456">
        <f t="shared" si="414"/>
        <v>1.9949999999999999E-2</v>
      </c>
      <c r="EL124" s="456">
        <f t="shared" si="415"/>
        <v>3.4487964000000002E-3</v>
      </c>
      <c r="EM124">
        <f t="shared" si="416"/>
        <v>4.0499999999999998E-3</v>
      </c>
      <c r="EN124" s="144">
        <f t="shared" si="417"/>
        <v>24</v>
      </c>
      <c r="EP124" s="144">
        <f t="shared" si="439"/>
        <v>75.789863066666669</v>
      </c>
      <c r="EQ124" s="150">
        <f t="shared" si="418"/>
        <v>0.1176</v>
      </c>
      <c r="ER124" s="150">
        <f t="shared" si="419"/>
        <v>1.553125E-2</v>
      </c>
      <c r="ES124" s="456"/>
      <c r="EU124" s="144">
        <f t="shared" si="420"/>
        <v>133.13124999999999</v>
      </c>
      <c r="EV124" s="456">
        <f t="shared" si="421"/>
        <v>2.1280000000000006E-3</v>
      </c>
      <c r="EW124" s="456">
        <f t="shared" si="422"/>
        <v>7.8720000000000005E-3</v>
      </c>
      <c r="EX124" s="456">
        <f t="shared" si="423"/>
        <v>6.5554602076124582E-5</v>
      </c>
      <c r="EY124" s="456">
        <f t="shared" si="424"/>
        <v>1.6089858392514665E-2</v>
      </c>
      <c r="EZ124" s="456"/>
      <c r="FA124" s="538">
        <f t="shared" si="425"/>
        <v>1.5960000000000003E-4</v>
      </c>
      <c r="FB124" s="144">
        <f t="shared" si="426"/>
        <v>26.315012994590791</v>
      </c>
      <c r="FC124" s="150">
        <f t="shared" si="427"/>
        <v>0.23523612606125746</v>
      </c>
      <c r="FD124" s="5">
        <f t="shared" si="428"/>
        <v>1.1200000000000001</v>
      </c>
      <c r="FE124" s="150">
        <f t="shared" si="429"/>
        <v>0.82642425069871206</v>
      </c>
      <c r="FF124" s="5">
        <f t="shared" si="430"/>
        <v>82.642425069871209</v>
      </c>
      <c r="FG124">
        <f t="shared" si="431"/>
        <v>14.000000000000002</v>
      </c>
      <c r="FI124" s="59">
        <f t="shared" si="432"/>
        <v>-50</v>
      </c>
      <c r="FJ124">
        <f t="shared" si="433"/>
        <v>-50</v>
      </c>
    </row>
    <row r="125" spans="5:166">
      <c r="E125" s="147">
        <v>15</v>
      </c>
      <c r="F125" s="188">
        <f t="shared" si="434"/>
        <v>0.18</v>
      </c>
      <c r="G125" s="188">
        <f t="shared" si="313"/>
        <v>3.7499999999999999E-2</v>
      </c>
      <c r="H125" s="188">
        <f t="shared" si="314"/>
        <v>0.89999999999999991</v>
      </c>
      <c r="I125" s="188">
        <f t="shared" si="315"/>
        <v>0.3</v>
      </c>
      <c r="J125" s="465">
        <f t="shared" si="316"/>
        <v>8.9617322857041373</v>
      </c>
      <c r="K125" s="379">
        <f t="shared" si="317"/>
        <v>5.7145999279017685</v>
      </c>
      <c r="L125" s="149">
        <f t="shared" si="318"/>
        <v>14.676332213605907</v>
      </c>
      <c r="M125" s="379"/>
      <c r="N125" s="188">
        <f t="shared" si="319"/>
        <v>0.38937520933220399</v>
      </c>
      <c r="O125" s="149">
        <f t="shared" si="320"/>
        <v>6.5427682213597862</v>
      </c>
      <c r="P125" s="149">
        <f t="shared" si="321"/>
        <v>2.9078969872710161</v>
      </c>
      <c r="Q125" s="188">
        <f t="shared" si="322"/>
        <v>1.3085536442719572</v>
      </c>
      <c r="R125" s="188">
        <f t="shared" si="323"/>
        <v>0.81784602766997327</v>
      </c>
      <c r="S125" s="188">
        <f t="shared" si="324"/>
        <v>5</v>
      </c>
      <c r="T125" s="188">
        <f t="shared" si="325"/>
        <v>0.68778227315299312</v>
      </c>
      <c r="U125" s="188">
        <f t="shared" si="326"/>
        <v>0.92095891895831572</v>
      </c>
      <c r="V125" s="188">
        <f t="shared" si="327"/>
        <v>1.4442633573591768</v>
      </c>
      <c r="W125" s="172">
        <f t="shared" si="328"/>
        <v>290.78969872710161</v>
      </c>
      <c r="X125" s="379">
        <f t="shared" si="435"/>
        <v>350</v>
      </c>
      <c r="Z125" s="188">
        <f t="shared" si="329"/>
        <v>1</v>
      </c>
      <c r="AA125" s="150">
        <f t="shared" si="330"/>
        <v>2.0998845328453366</v>
      </c>
      <c r="AB125" s="150">
        <f t="shared" si="331"/>
        <v>0.22898429650042346</v>
      </c>
      <c r="AC125" s="150"/>
      <c r="AD125" s="150">
        <f t="shared" si="332"/>
        <v>2.0998845328453366</v>
      </c>
      <c r="AE125" s="314">
        <f t="shared" si="333"/>
        <v>171.43799783705308</v>
      </c>
      <c r="AF125" s="456">
        <f t="shared" si="334"/>
        <v>0.30531239533389798</v>
      </c>
      <c r="AH125" s="150">
        <f t="shared" si="335"/>
        <v>0.7559289460184544</v>
      </c>
      <c r="AI125" s="150">
        <f t="shared" si="336"/>
        <v>1</v>
      </c>
      <c r="AJ125" s="150">
        <f t="shared" si="337"/>
        <v>1.0979645701926017</v>
      </c>
      <c r="AL125" s="314">
        <f t="shared" si="338"/>
        <v>180</v>
      </c>
      <c r="AM125" s="144">
        <f t="shared" si="339"/>
        <v>171.43799783705308</v>
      </c>
      <c r="AO125" s="144">
        <f t="shared" si="340"/>
        <v>180</v>
      </c>
      <c r="AP125" s="144">
        <f t="shared" si="341"/>
        <v>171.43799783705308</v>
      </c>
      <c r="AR125" s="5">
        <f t="shared" si="275"/>
        <v>5.8330125912370461</v>
      </c>
      <c r="AS125" s="5">
        <f t="shared" si="440"/>
        <v>1.3390268329196291</v>
      </c>
      <c r="AT125" s="5">
        <f t="shared" si="441"/>
        <v>4.4939857583174172</v>
      </c>
      <c r="AU125" s="150">
        <f t="shared" si="442"/>
        <v>0.22956007928583139</v>
      </c>
      <c r="AW125" s="5">
        <f t="shared" si="342"/>
        <v>4.8204965985106645</v>
      </c>
      <c r="AX125" s="5">
        <f t="shared" si="343"/>
        <v>0.62766882793107603</v>
      </c>
      <c r="AY125" s="5">
        <f t="shared" si="344"/>
        <v>0.18804898491080274</v>
      </c>
      <c r="AZ125" s="5"/>
      <c r="BA125" s="150">
        <f t="shared" si="345"/>
        <v>0.27662253420249489</v>
      </c>
      <c r="BB125" s="150">
        <f t="shared" si="346"/>
        <v>0.5067675077436623</v>
      </c>
      <c r="BC125" s="150">
        <f t="shared" si="347"/>
        <v>0.11327744290740688</v>
      </c>
      <c r="BD125" s="150"/>
      <c r="BE125" s="456">
        <f t="shared" si="348"/>
        <v>1.5304005285722091E-3</v>
      </c>
      <c r="BF125" s="456">
        <f t="shared" si="349"/>
        <v>4.7176518942975774E-2</v>
      </c>
      <c r="BG125" s="456">
        <f t="shared" si="350"/>
        <v>3.8409536005319857E-2</v>
      </c>
      <c r="BH125" s="456">
        <f t="shared" si="351"/>
        <v>3.6926840783391189E-3</v>
      </c>
      <c r="BI125">
        <f t="shared" si="352"/>
        <v>4.0327795285668615E-3</v>
      </c>
      <c r="BJ125" s="144">
        <f t="shared" si="436"/>
        <v>42.44231553388672</v>
      </c>
      <c r="BK125">
        <f t="shared" si="353"/>
        <v>5.2832022639918388E-2</v>
      </c>
      <c r="BL125" s="144">
        <f t="shared" si="437"/>
        <v>94.841919083773803</v>
      </c>
      <c r="BM125" s="150">
        <f t="shared" si="354"/>
        <v>0.11182499999999999</v>
      </c>
      <c r="BN125" s="150">
        <f t="shared" si="355"/>
        <v>2.3296874999999998E-2</v>
      </c>
      <c r="BO125" s="456"/>
      <c r="BQ125" s="144">
        <f t="shared" si="356"/>
        <v>135.12187499999999</v>
      </c>
      <c r="BR125" s="456">
        <f t="shared" si="357"/>
        <v>2.2956007928583138E-3</v>
      </c>
      <c r="BS125" s="456">
        <f t="shared" si="358"/>
        <v>7.7043992071416838E-3</v>
      </c>
      <c r="BT125" s="456">
        <f t="shared" si="359"/>
        <v>6.4158895358204128E-5</v>
      </c>
      <c r="BU125" s="456">
        <f t="shared" si="360"/>
        <v>1.924144658888087E-2</v>
      </c>
      <c r="BV125" s="456"/>
      <c r="BW125" s="538">
        <f t="shared" si="361"/>
        <v>1.7143799783705309E-4</v>
      </c>
      <c r="BX125" s="144">
        <f t="shared" si="362"/>
        <v>29.477043482076123</v>
      </c>
      <c r="BY125" s="150">
        <f t="shared" si="363"/>
        <v>0.2594408375658499</v>
      </c>
      <c r="BZ125" s="5">
        <f t="shared" si="364"/>
        <v>1.2</v>
      </c>
      <c r="CA125" s="150">
        <f t="shared" si="365"/>
        <v>0.82223271345581761</v>
      </c>
      <c r="CB125" s="5">
        <f t="shared" si="366"/>
        <v>82.223271345581765</v>
      </c>
      <c r="CC125">
        <f t="shared" si="367"/>
        <v>15</v>
      </c>
      <c r="CE125" s="59">
        <f t="shared" si="368"/>
        <v>-50</v>
      </c>
      <c r="CF125">
        <f t="shared" si="369"/>
        <v>-50</v>
      </c>
      <c r="CG125" s="150">
        <f t="shared" si="370"/>
        <v>0.36986484017813853</v>
      </c>
      <c r="CH125" s="150">
        <f t="shared" si="371"/>
        <v>0.20065681621798157</v>
      </c>
      <c r="CI125" s="147">
        <v>15</v>
      </c>
      <c r="CJ125" s="188">
        <f t="shared" si="438"/>
        <v>0.18</v>
      </c>
      <c r="CK125" s="188">
        <f t="shared" si="372"/>
        <v>3.7499999999999999E-2</v>
      </c>
      <c r="CL125" s="188">
        <f t="shared" si="373"/>
        <v>0.89999999999999991</v>
      </c>
      <c r="CM125" s="188">
        <f t="shared" si="374"/>
        <v>0.3</v>
      </c>
      <c r="CN125" s="465">
        <f t="shared" si="375"/>
        <v>9</v>
      </c>
      <c r="CO125" s="379">
        <f t="shared" si="376"/>
        <v>5.7</v>
      </c>
      <c r="CP125" s="379">
        <f t="shared" si="377"/>
        <v>14.7</v>
      </c>
      <c r="CQ125" s="379"/>
      <c r="CR125" s="188">
        <f t="shared" si="378"/>
        <v>0.375</v>
      </c>
      <c r="CS125" s="149">
        <f t="shared" si="379"/>
        <v>6.328125</v>
      </c>
      <c r="CT125" s="149">
        <f t="shared" si="380"/>
        <v>2.8125</v>
      </c>
      <c r="CU125" s="188">
        <f t="shared" si="381"/>
        <v>1.265625</v>
      </c>
      <c r="CV125" s="188">
        <f t="shared" si="382"/>
        <v>0.791015625</v>
      </c>
      <c r="CW125" s="188">
        <f t="shared" si="383"/>
        <v>5</v>
      </c>
      <c r="CX125" s="188">
        <f t="shared" si="384"/>
        <v>0.71111111111111114</v>
      </c>
      <c r="CY125" s="188">
        <f t="shared" si="385"/>
        <v>0.94814814814814818</v>
      </c>
      <c r="CZ125" s="188">
        <f t="shared" si="386"/>
        <v>1.4970760233918128</v>
      </c>
      <c r="DA125" s="172">
        <f t="shared" si="387"/>
        <v>290.81632653061229</v>
      </c>
      <c r="DB125" s="379">
        <f t="shared" si="388"/>
        <v>350</v>
      </c>
      <c r="DD125" s="188">
        <f t="shared" si="389"/>
        <v>0.99999999999999978</v>
      </c>
      <c r="DE125" s="150">
        <f t="shared" si="390"/>
        <v>2.1052631578947363</v>
      </c>
      <c r="DF125" s="150">
        <f t="shared" si="391"/>
        <v>0.2295918367346938</v>
      </c>
      <c r="DG125" s="150"/>
      <c r="DH125" s="150">
        <f t="shared" si="392"/>
        <v>2.1052631578947367</v>
      </c>
      <c r="DI125" s="314">
        <f t="shared" si="393"/>
        <v>171</v>
      </c>
      <c r="DJ125" s="456">
        <f t="shared" si="394"/>
        <v>0.3061224489795919</v>
      </c>
      <c r="DL125" s="150">
        <f t="shared" si="395"/>
        <v>0.7559289460184544</v>
      </c>
      <c r="DM125" s="150">
        <f t="shared" si="396"/>
        <v>1</v>
      </c>
      <c r="DN125" s="150">
        <f t="shared" si="397"/>
        <v>1.0977142857142856</v>
      </c>
      <c r="DP125" s="314">
        <f t="shared" si="398"/>
        <v>180</v>
      </c>
      <c r="DQ125" s="144">
        <f t="shared" si="399"/>
        <v>171</v>
      </c>
      <c r="DS125" s="144">
        <f t="shared" si="400"/>
        <v>180</v>
      </c>
      <c r="DT125" s="144">
        <f t="shared" si="401"/>
        <v>171</v>
      </c>
      <c r="DV125" s="5">
        <f t="shared" si="402"/>
        <v>5.8479532163742682</v>
      </c>
      <c r="DW125" s="5">
        <f t="shared" si="403"/>
        <v>1.3333333333333335</v>
      </c>
      <c r="DX125" s="5">
        <f t="shared" si="404"/>
        <v>4.5146198830409343</v>
      </c>
      <c r="DY125" s="150">
        <f t="shared" si="405"/>
        <v>0.22800000000000006</v>
      </c>
      <c r="EA125" s="5">
        <f t="shared" si="406"/>
        <v>4.8000000000000007</v>
      </c>
      <c r="EB125" s="5">
        <f t="shared" si="407"/>
        <v>0.625</v>
      </c>
      <c r="EC125" s="5">
        <f t="shared" si="408"/>
        <v>0.18810916179337223</v>
      </c>
      <c r="ED125" s="5"/>
      <c r="EE125" s="150">
        <f t="shared" si="409"/>
        <v>0.2756809750418045</v>
      </c>
      <c r="EF125" s="150">
        <f t="shared" si="410"/>
        <v>0.50728033012658125</v>
      </c>
      <c r="EG125" s="150">
        <f t="shared" si="411"/>
        <v>0.11339207379300051</v>
      </c>
      <c r="EH125" s="150"/>
      <c r="EI125" s="456">
        <f t="shared" si="412"/>
        <v>1.5200000000000007E-3</v>
      </c>
      <c r="EJ125" s="456">
        <f t="shared" si="413"/>
        <v>5.0273999999999999E-2</v>
      </c>
      <c r="EK125" s="456">
        <f t="shared" si="414"/>
        <v>2.1374999999999998E-2</v>
      </c>
      <c r="EL125" s="456">
        <f t="shared" si="415"/>
        <v>3.6951389999999996E-3</v>
      </c>
      <c r="EM125">
        <f t="shared" si="416"/>
        <v>4.0499999999999998E-3</v>
      </c>
      <c r="EN125" s="144">
        <f t="shared" si="417"/>
        <v>25.424999999999997</v>
      </c>
      <c r="EP125" s="144">
        <f t="shared" si="439"/>
        <v>80.914138999999992</v>
      </c>
      <c r="EQ125" s="150">
        <f t="shared" si="418"/>
        <v>0.126</v>
      </c>
      <c r="ER125" s="150">
        <f t="shared" si="419"/>
        <v>1.6640624999999999E-2</v>
      </c>
      <c r="ES125" s="456"/>
      <c r="EU125" s="144">
        <f t="shared" si="420"/>
        <v>142.640625</v>
      </c>
      <c r="EV125" s="456">
        <f t="shared" si="421"/>
        <v>2.2800000000000012E-3</v>
      </c>
      <c r="EW125" s="456">
        <f t="shared" si="422"/>
        <v>7.7199999999999968E-3</v>
      </c>
      <c r="EX125" s="456">
        <f t="shared" si="423"/>
        <v>6.4288811995386367E-5</v>
      </c>
      <c r="EY125" s="456">
        <f t="shared" si="424"/>
        <v>1.9118784601210945E-2</v>
      </c>
      <c r="EZ125" s="456"/>
      <c r="FA125" s="538">
        <f t="shared" si="425"/>
        <v>1.7100000000000001E-4</v>
      </c>
      <c r="FB125" s="144">
        <f t="shared" si="426"/>
        <v>29.354073413206333</v>
      </c>
      <c r="FC125" s="150">
        <f t="shared" si="427"/>
        <v>0.2529088374132063</v>
      </c>
      <c r="FD125" s="5">
        <f t="shared" si="428"/>
        <v>1.2</v>
      </c>
      <c r="FE125" s="150">
        <f t="shared" si="429"/>
        <v>0.82592931442037942</v>
      </c>
      <c r="FF125" s="5">
        <f t="shared" si="430"/>
        <v>82.592931442037937</v>
      </c>
      <c r="FG125">
        <f t="shared" si="431"/>
        <v>15</v>
      </c>
      <c r="FI125" s="59">
        <f t="shared" si="432"/>
        <v>-50</v>
      </c>
      <c r="FJ125">
        <f t="shared" si="433"/>
        <v>-50</v>
      </c>
    </row>
    <row r="126" spans="5:166">
      <c r="E126" s="147">
        <v>16</v>
      </c>
      <c r="F126" s="188">
        <f t="shared" si="434"/>
        <v>0.192</v>
      </c>
      <c r="G126" s="188">
        <f t="shared" si="313"/>
        <v>0.04</v>
      </c>
      <c r="H126" s="188">
        <f t="shared" si="314"/>
        <v>0.96</v>
      </c>
      <c r="I126" s="188">
        <f t="shared" si="315"/>
        <v>0.32</v>
      </c>
      <c r="J126" s="465">
        <f t="shared" si="316"/>
        <v>8.9617322857041373</v>
      </c>
      <c r="K126" s="379">
        <f t="shared" si="317"/>
        <v>5.7145999279017685</v>
      </c>
      <c r="L126" s="149">
        <f t="shared" si="318"/>
        <v>14.676332213605907</v>
      </c>
      <c r="M126" s="379"/>
      <c r="N126" s="188">
        <f t="shared" si="319"/>
        <v>0.38937520933220399</v>
      </c>
      <c r="O126" s="149">
        <f t="shared" si="320"/>
        <v>6.5427682213597862</v>
      </c>
      <c r="P126" s="149">
        <f t="shared" si="321"/>
        <v>2.9078969872710161</v>
      </c>
      <c r="Q126" s="188">
        <f t="shared" si="322"/>
        <v>1.3085536442719572</v>
      </c>
      <c r="R126" s="188">
        <f t="shared" si="323"/>
        <v>0.81784602766997327</v>
      </c>
      <c r="S126" s="188">
        <f t="shared" si="324"/>
        <v>5</v>
      </c>
      <c r="T126" s="188">
        <f t="shared" si="325"/>
        <v>0.73363442469652607</v>
      </c>
      <c r="U126" s="188">
        <f t="shared" si="326"/>
        <v>0.98235618022220339</v>
      </c>
      <c r="V126" s="188">
        <f t="shared" si="327"/>
        <v>1.540547581183122</v>
      </c>
      <c r="W126" s="172">
        <f t="shared" si="328"/>
        <v>290.78969872710161</v>
      </c>
      <c r="X126" s="379">
        <f t="shared" si="435"/>
        <v>350</v>
      </c>
      <c r="Z126" s="188">
        <f t="shared" si="329"/>
        <v>1</v>
      </c>
      <c r="AA126" s="150">
        <f t="shared" si="330"/>
        <v>2.0998845328453366</v>
      </c>
      <c r="AB126" s="150">
        <f t="shared" si="331"/>
        <v>0.22898429650042346</v>
      </c>
      <c r="AC126" s="150"/>
      <c r="AD126" s="150">
        <f t="shared" si="332"/>
        <v>2.0998845328453366</v>
      </c>
      <c r="AE126" s="314">
        <f t="shared" si="333"/>
        <v>182.86719769285659</v>
      </c>
      <c r="AF126" s="456">
        <f t="shared" si="334"/>
        <v>0.30531239533389798</v>
      </c>
      <c r="AH126" s="150">
        <f t="shared" si="335"/>
        <v>0.78072005835882652</v>
      </c>
      <c r="AI126" s="150">
        <f t="shared" si="336"/>
        <v>1</v>
      </c>
      <c r="AJ126" s="150">
        <f t="shared" si="337"/>
        <v>1.1044955415387752</v>
      </c>
      <c r="AL126" s="314">
        <f t="shared" si="338"/>
        <v>192</v>
      </c>
      <c r="AM126" s="144">
        <f t="shared" si="339"/>
        <v>182.86719769285659</v>
      </c>
      <c r="AO126" s="144">
        <f t="shared" si="340"/>
        <v>192</v>
      </c>
      <c r="AP126" s="144">
        <f t="shared" si="341"/>
        <v>182.86719769285659</v>
      </c>
      <c r="AR126" s="5">
        <f t="shared" si="275"/>
        <v>5.4684493042847313</v>
      </c>
      <c r="AS126" s="5">
        <f t="shared" si="440"/>
        <v>1.3390268329196291</v>
      </c>
      <c r="AT126" s="5">
        <f t="shared" si="441"/>
        <v>4.1294224713651024</v>
      </c>
      <c r="AU126" s="150">
        <f t="shared" si="442"/>
        <v>0.24486408457155345</v>
      </c>
      <c r="AW126" s="5">
        <f t="shared" si="342"/>
        <v>5.1418630384113762</v>
      </c>
      <c r="AX126" s="5">
        <f t="shared" si="343"/>
        <v>0.66951341645981466</v>
      </c>
      <c r="AY126" s="5">
        <f t="shared" si="344"/>
        <v>0.18431358312063867</v>
      </c>
      <c r="AZ126" s="5"/>
      <c r="BA126" s="150">
        <f t="shared" si="345"/>
        <v>0.28569452484052116</v>
      </c>
      <c r="BB126" s="150">
        <f t="shared" si="346"/>
        <v>0.50170905095431773</v>
      </c>
      <c r="BC126" s="150">
        <f t="shared" si="347"/>
        <v>0.1121467290368475</v>
      </c>
      <c r="BD126" s="150"/>
      <c r="BE126" s="456">
        <f t="shared" si="348"/>
        <v>1.6324272304770232E-3</v>
      </c>
      <c r="BF126" s="456">
        <f t="shared" si="349"/>
        <v>5.0321620205840828E-2</v>
      </c>
      <c r="BG126" s="456">
        <f t="shared" si="350"/>
        <v>4.0970171739007848E-2</v>
      </c>
      <c r="BH126" s="456">
        <f t="shared" si="351"/>
        <v>3.9388630168950599E-3</v>
      </c>
      <c r="BI126">
        <f t="shared" si="352"/>
        <v>4.0327795285668615E-3</v>
      </c>
      <c r="BJ126" s="144">
        <f t="shared" si="436"/>
        <v>45.002951267574709</v>
      </c>
      <c r="BK126">
        <f t="shared" si="353"/>
        <v>5.6355524124460966E-2</v>
      </c>
      <c r="BL126" s="144">
        <f t="shared" si="437"/>
        <v>100.89586172078761</v>
      </c>
      <c r="BM126" s="150">
        <f t="shared" si="354"/>
        <v>0.11927999999999998</v>
      </c>
      <c r="BN126" s="150">
        <f t="shared" si="355"/>
        <v>2.4849999999999997E-2</v>
      </c>
      <c r="BO126" s="456"/>
      <c r="BQ126" s="144">
        <f t="shared" si="356"/>
        <v>144.12999999999997</v>
      </c>
      <c r="BR126" s="456">
        <f t="shared" si="357"/>
        <v>2.4486408457155347E-3</v>
      </c>
      <c r="BS126" s="456">
        <f t="shared" si="358"/>
        <v>7.5513591542844651E-3</v>
      </c>
      <c r="BT126" s="456">
        <f t="shared" si="359"/>
        <v>6.2884444168320467E-5</v>
      </c>
      <c r="BU126" s="456">
        <f t="shared" si="360"/>
        <v>2.2610466799517427E-2</v>
      </c>
      <c r="BV126" s="456"/>
      <c r="BW126" s="538">
        <f t="shared" si="361"/>
        <v>1.828671976928566E-4</v>
      </c>
      <c r="BX126" s="144">
        <f t="shared" si="362"/>
        <v>32.856218441378608</v>
      </c>
      <c r="BY126" s="150">
        <f t="shared" si="363"/>
        <v>0.2778820801621662</v>
      </c>
      <c r="BZ126" s="5">
        <f t="shared" si="364"/>
        <v>1.28</v>
      </c>
      <c r="CA126" s="150">
        <f t="shared" si="365"/>
        <v>0.82162829671085225</v>
      </c>
      <c r="CB126" s="5">
        <f t="shared" si="366"/>
        <v>82.16282967108522</v>
      </c>
      <c r="CC126">
        <f t="shared" si="367"/>
        <v>16</v>
      </c>
      <c r="CE126" s="59">
        <f t="shared" si="368"/>
        <v>-50</v>
      </c>
      <c r="CF126">
        <f t="shared" si="369"/>
        <v>-50</v>
      </c>
      <c r="CG126" s="150">
        <f t="shared" si="370"/>
        <v>0.39452249619001445</v>
      </c>
      <c r="CH126" s="150">
        <f t="shared" si="371"/>
        <v>0.21403393729918038</v>
      </c>
      <c r="CI126" s="147">
        <v>16</v>
      </c>
      <c r="CJ126" s="188">
        <f t="shared" si="438"/>
        <v>0.192</v>
      </c>
      <c r="CK126" s="188">
        <f t="shared" si="372"/>
        <v>0.04</v>
      </c>
      <c r="CL126" s="188">
        <f t="shared" si="373"/>
        <v>0.96</v>
      </c>
      <c r="CM126" s="188">
        <f t="shared" si="374"/>
        <v>0.32</v>
      </c>
      <c r="CN126" s="465">
        <f t="shared" si="375"/>
        <v>9</v>
      </c>
      <c r="CO126" s="379">
        <f t="shared" si="376"/>
        <v>5.7</v>
      </c>
      <c r="CP126" s="379">
        <f t="shared" si="377"/>
        <v>14.7</v>
      </c>
      <c r="CQ126" s="379"/>
      <c r="CR126" s="188">
        <f t="shared" si="378"/>
        <v>0.375</v>
      </c>
      <c r="CS126" s="149">
        <f t="shared" si="379"/>
        <v>6.328125</v>
      </c>
      <c r="CT126" s="149">
        <f t="shared" si="380"/>
        <v>2.8125</v>
      </c>
      <c r="CU126" s="188">
        <f t="shared" si="381"/>
        <v>1.265625</v>
      </c>
      <c r="CV126" s="188">
        <f t="shared" si="382"/>
        <v>0.791015625</v>
      </c>
      <c r="CW126" s="188">
        <f t="shared" si="383"/>
        <v>5</v>
      </c>
      <c r="CX126" s="188">
        <f t="shared" si="384"/>
        <v>0.75851851851851848</v>
      </c>
      <c r="CY126" s="188">
        <f t="shared" si="385"/>
        <v>1.011358024691358</v>
      </c>
      <c r="CZ126" s="188">
        <f t="shared" si="386"/>
        <v>1.5968810916179337</v>
      </c>
      <c r="DA126" s="172">
        <f t="shared" si="387"/>
        <v>290.81632653061229</v>
      </c>
      <c r="DB126" s="379">
        <f t="shared" si="388"/>
        <v>350</v>
      </c>
      <c r="DD126" s="188">
        <f t="shared" si="389"/>
        <v>0.99999999999999978</v>
      </c>
      <c r="DE126" s="150">
        <f t="shared" si="390"/>
        <v>2.1052631578947363</v>
      </c>
      <c r="DF126" s="150">
        <f t="shared" si="391"/>
        <v>0.2295918367346938</v>
      </c>
      <c r="DG126" s="150"/>
      <c r="DH126" s="150">
        <f t="shared" si="392"/>
        <v>2.1052631578947367</v>
      </c>
      <c r="DI126" s="314">
        <f t="shared" si="393"/>
        <v>182.4</v>
      </c>
      <c r="DJ126" s="456">
        <f t="shared" si="394"/>
        <v>0.3061224489795919</v>
      </c>
      <c r="DL126" s="150">
        <f t="shared" si="395"/>
        <v>0.78072005835882652</v>
      </c>
      <c r="DM126" s="150">
        <f t="shared" si="396"/>
        <v>1</v>
      </c>
      <c r="DN126" s="150">
        <f t="shared" si="397"/>
        <v>1.1042285714285713</v>
      </c>
      <c r="DP126" s="314">
        <f t="shared" si="398"/>
        <v>192</v>
      </c>
      <c r="DQ126" s="144">
        <f t="shared" si="399"/>
        <v>182.4</v>
      </c>
      <c r="DS126" s="144">
        <f t="shared" si="400"/>
        <v>192</v>
      </c>
      <c r="DT126" s="144">
        <f t="shared" si="401"/>
        <v>182.4</v>
      </c>
      <c r="DV126" s="5">
        <f t="shared" si="402"/>
        <v>5.4824561403508767</v>
      </c>
      <c r="DW126" s="5">
        <f t="shared" si="403"/>
        <v>1.3333333333333335</v>
      </c>
      <c r="DX126" s="5">
        <f t="shared" si="404"/>
        <v>4.1491228070175428</v>
      </c>
      <c r="DY126" s="150">
        <f t="shared" si="405"/>
        <v>0.24320000000000006</v>
      </c>
      <c r="EA126" s="5">
        <f t="shared" si="406"/>
        <v>5.120000000000001</v>
      </c>
      <c r="EB126" s="5">
        <f t="shared" si="407"/>
        <v>0.66666666666666674</v>
      </c>
      <c r="EC126" s="5">
        <f t="shared" si="408"/>
        <v>0.18440545808966852</v>
      </c>
      <c r="ED126" s="5"/>
      <c r="EE126" s="150">
        <f t="shared" si="409"/>
        <v>0.28472208672083499</v>
      </c>
      <c r="EF126" s="150">
        <f t="shared" si="410"/>
        <v>0.50226155204899636</v>
      </c>
      <c r="EG126" s="150">
        <f t="shared" si="411"/>
        <v>0.11227022928154036</v>
      </c>
      <c r="EH126" s="150"/>
      <c r="EI126" s="456">
        <f t="shared" si="412"/>
        <v>1.6213333333333336E-3</v>
      </c>
      <c r="EJ126" s="456">
        <f t="shared" si="413"/>
        <v>5.3625599999999989E-2</v>
      </c>
      <c r="EK126" s="456">
        <f t="shared" si="414"/>
        <v>2.2799999999999997E-2</v>
      </c>
      <c r="EL126" s="456">
        <f t="shared" si="415"/>
        <v>3.9414815999999995E-3</v>
      </c>
      <c r="EM126">
        <f t="shared" si="416"/>
        <v>4.0499999999999998E-3</v>
      </c>
      <c r="EN126" s="144">
        <f t="shared" si="417"/>
        <v>26.849999999999998</v>
      </c>
      <c r="EP126" s="144">
        <f t="shared" si="439"/>
        <v>86.038414933333314</v>
      </c>
      <c r="EQ126" s="150">
        <f t="shared" si="418"/>
        <v>0.13439999999999999</v>
      </c>
      <c r="ER126" s="150">
        <f t="shared" si="419"/>
        <v>1.7749999999999998E-2</v>
      </c>
      <c r="ES126" s="456"/>
      <c r="EU126" s="144">
        <f t="shared" si="420"/>
        <v>152.14999999999998</v>
      </c>
      <c r="EV126" s="456">
        <f t="shared" si="421"/>
        <v>2.4320000000000001E-3</v>
      </c>
      <c r="EW126" s="456">
        <f t="shared" si="422"/>
        <v>7.5680000000000009E-3</v>
      </c>
      <c r="EX126" s="456">
        <f t="shared" si="423"/>
        <v>6.302302191464822E-5</v>
      </c>
      <c r="EY126" s="456">
        <f t="shared" si="424"/>
        <v>2.2466327699218365E-2</v>
      </c>
      <c r="EZ126" s="456"/>
      <c r="FA126" s="538">
        <f t="shared" si="425"/>
        <v>1.8240000000000002E-4</v>
      </c>
      <c r="FB126" s="144">
        <f t="shared" si="426"/>
        <v>32.711750721133015</v>
      </c>
      <c r="FC126" s="150">
        <f t="shared" si="427"/>
        <v>0.27090016565446634</v>
      </c>
      <c r="FD126" s="5">
        <f t="shared" si="428"/>
        <v>1.28</v>
      </c>
      <c r="FE126" s="150">
        <f t="shared" si="429"/>
        <v>0.8253271411959977</v>
      </c>
      <c r="FF126" s="5">
        <f t="shared" si="430"/>
        <v>82.532714119599774</v>
      </c>
      <c r="FG126">
        <f t="shared" si="431"/>
        <v>16</v>
      </c>
      <c r="FI126" s="59">
        <f t="shared" si="432"/>
        <v>-50</v>
      </c>
      <c r="FJ126">
        <f t="shared" si="433"/>
        <v>-50</v>
      </c>
    </row>
    <row r="127" spans="5:166">
      <c r="E127" s="147">
        <v>17</v>
      </c>
      <c r="F127" s="188">
        <f t="shared" si="434"/>
        <v>0.20400000000000001</v>
      </c>
      <c r="G127" s="188">
        <f t="shared" si="313"/>
        <v>4.2500000000000003E-2</v>
      </c>
      <c r="H127" s="188">
        <f t="shared" si="314"/>
        <v>1.02</v>
      </c>
      <c r="I127" s="188">
        <f t="shared" si="315"/>
        <v>0.34</v>
      </c>
      <c r="J127" s="465">
        <f t="shared" si="316"/>
        <v>8.9617322857041373</v>
      </c>
      <c r="K127" s="379">
        <f t="shared" si="317"/>
        <v>5.7145999279017685</v>
      </c>
      <c r="L127" s="149">
        <f t="shared" si="318"/>
        <v>14.676332213605907</v>
      </c>
      <c r="M127" s="379"/>
      <c r="N127" s="188">
        <f t="shared" si="319"/>
        <v>0.38937520933220399</v>
      </c>
      <c r="O127" s="149">
        <f t="shared" si="320"/>
        <v>6.5427682213597862</v>
      </c>
      <c r="P127" s="149">
        <f t="shared" si="321"/>
        <v>2.9078969872710161</v>
      </c>
      <c r="Q127" s="188">
        <f t="shared" si="322"/>
        <v>1.3085536442719572</v>
      </c>
      <c r="R127" s="188">
        <f t="shared" si="323"/>
        <v>0.81784602766997327</v>
      </c>
      <c r="S127" s="188">
        <f t="shared" si="324"/>
        <v>5</v>
      </c>
      <c r="T127" s="188">
        <f t="shared" si="325"/>
        <v>0.77948657624005901</v>
      </c>
      <c r="U127" s="188">
        <f t="shared" si="326"/>
        <v>1.0437534414860914</v>
      </c>
      <c r="V127" s="188">
        <f t="shared" si="327"/>
        <v>1.6368318050070674</v>
      </c>
      <c r="W127" s="172">
        <f t="shared" si="328"/>
        <v>290.78969872710161</v>
      </c>
      <c r="X127" s="379">
        <f t="shared" si="435"/>
        <v>347.15167732578152</v>
      </c>
      <c r="Z127" s="188">
        <f t="shared" si="329"/>
        <v>1</v>
      </c>
      <c r="AA127" s="150">
        <f t="shared" si="330"/>
        <v>2.0998845328453366</v>
      </c>
      <c r="AB127" s="150">
        <f t="shared" si="331"/>
        <v>0.22898429650042346</v>
      </c>
      <c r="AC127" s="150"/>
      <c r="AD127" s="150">
        <f t="shared" si="332"/>
        <v>2.0998845328453366</v>
      </c>
      <c r="AE127" s="314">
        <f t="shared" si="333"/>
        <v>194.29639754866017</v>
      </c>
      <c r="AF127" s="456">
        <f t="shared" si="334"/>
        <v>0.30531239533389798</v>
      </c>
      <c r="AH127" s="150">
        <f t="shared" si="335"/>
        <v>0.80474781616295654</v>
      </c>
      <c r="AI127" s="150">
        <f t="shared" si="336"/>
        <v>1</v>
      </c>
      <c r="AJ127" s="150">
        <f t="shared" si="337"/>
        <v>1.1110265128849486</v>
      </c>
      <c r="AL127" s="314">
        <f t="shared" si="338"/>
        <v>204.00000000000003</v>
      </c>
      <c r="AM127" s="144">
        <f t="shared" si="339"/>
        <v>194.29639754866017</v>
      </c>
      <c r="AO127" s="144">
        <f t="shared" si="340"/>
        <v>204.00000000000003</v>
      </c>
      <c r="AP127" s="144">
        <f t="shared" si="341"/>
        <v>194.29639754866017</v>
      </c>
      <c r="AR127" s="5">
        <f t="shared" si="275"/>
        <v>5.1467758157973931</v>
      </c>
      <c r="AS127" s="5">
        <f t="shared" si="440"/>
        <v>1.3390268329196291</v>
      </c>
      <c r="AT127" s="5">
        <f t="shared" si="441"/>
        <v>3.8077489828777642</v>
      </c>
      <c r="AU127" s="150">
        <f t="shared" si="442"/>
        <v>0.26016808985727558</v>
      </c>
      <c r="AW127" s="5">
        <f t="shared" si="342"/>
        <v>5.4632294783120869</v>
      </c>
      <c r="AX127" s="5">
        <f t="shared" si="343"/>
        <v>0.71135800498855306</v>
      </c>
      <c r="AY127" s="5">
        <f t="shared" si="344"/>
        <v>0.18057818133047454</v>
      </c>
      <c r="AZ127" s="5"/>
      <c r="BA127" s="150">
        <f t="shared" si="345"/>
        <v>0.29448717564452931</v>
      </c>
      <c r="BB127" s="150">
        <f t="shared" si="346"/>
        <v>0.49659907039204321</v>
      </c>
      <c r="BC127" s="150">
        <f t="shared" si="347"/>
        <v>0.1110044980876332</v>
      </c>
      <c r="BD127" s="150"/>
      <c r="BE127" s="456">
        <f t="shared" si="348"/>
        <v>1.7344539323818373E-3</v>
      </c>
      <c r="BF127" s="456">
        <f t="shared" si="349"/>
        <v>5.3466721468705888E-2</v>
      </c>
      <c r="BG127" s="456">
        <f t="shared" si="350"/>
        <v>4.3530807472695852E-2</v>
      </c>
      <c r="BH127" s="456">
        <f t="shared" si="351"/>
        <v>4.1850419554510018E-3</v>
      </c>
      <c r="BI127">
        <f t="shared" si="352"/>
        <v>4.0327795285668615E-3</v>
      </c>
      <c r="BJ127" s="144">
        <f t="shared" si="436"/>
        <v>47.563587001262718</v>
      </c>
      <c r="BK127">
        <f t="shared" si="353"/>
        <v>5.9879196509667956E-2</v>
      </c>
      <c r="BL127" s="144">
        <f t="shared" si="437"/>
        <v>106.94980435780143</v>
      </c>
      <c r="BM127" s="150">
        <f t="shared" si="354"/>
        <v>0.12673500000000001</v>
      </c>
      <c r="BN127" s="150">
        <f t="shared" si="355"/>
        <v>2.6403124999999996E-2</v>
      </c>
      <c r="BO127" s="456"/>
      <c r="BQ127" s="144">
        <f t="shared" si="356"/>
        <v>153.138125</v>
      </c>
      <c r="BR127" s="456">
        <f t="shared" si="357"/>
        <v>2.6016808985727556E-3</v>
      </c>
      <c r="BS127" s="456">
        <f t="shared" si="358"/>
        <v>7.3983191014272446E-3</v>
      </c>
      <c r="BT127" s="456">
        <f t="shared" si="359"/>
        <v>6.160999297843682E-5</v>
      </c>
      <c r="BU127" s="456">
        <f t="shared" si="360"/>
        <v>2.631066805296017E-2</v>
      </c>
      <c r="BV127" s="456"/>
      <c r="BW127" s="538">
        <f t="shared" si="361"/>
        <v>1.9429639754866019E-4</v>
      </c>
      <c r="BX127" s="144">
        <f t="shared" si="362"/>
        <v>36.566574443487262</v>
      </c>
      <c r="BY127" s="150">
        <f t="shared" si="363"/>
        <v>0.29665450380128866</v>
      </c>
      <c r="BZ127" s="5">
        <f t="shared" si="364"/>
        <v>1.36</v>
      </c>
      <c r="CA127" s="150">
        <f t="shared" si="365"/>
        <v>0.82093158041064207</v>
      </c>
      <c r="CB127" s="5">
        <f t="shared" si="366"/>
        <v>82.093158041064214</v>
      </c>
      <c r="CC127">
        <f t="shared" si="367"/>
        <v>17</v>
      </c>
      <c r="CE127" s="59">
        <f t="shared" si="368"/>
        <v>-50</v>
      </c>
      <c r="CF127">
        <f t="shared" si="369"/>
        <v>-50</v>
      </c>
      <c r="CG127" s="150">
        <f t="shared" si="370"/>
        <v>0.41918015220189037</v>
      </c>
      <c r="CH127" s="150">
        <f t="shared" si="371"/>
        <v>0.22741105838037914</v>
      </c>
      <c r="CI127" s="147">
        <v>17</v>
      </c>
      <c r="CJ127" s="188">
        <f t="shared" si="438"/>
        <v>0.20400000000000001</v>
      </c>
      <c r="CK127" s="188">
        <f t="shared" si="372"/>
        <v>4.2500000000000003E-2</v>
      </c>
      <c r="CL127" s="188">
        <f t="shared" si="373"/>
        <v>1.02</v>
      </c>
      <c r="CM127" s="188">
        <f t="shared" si="374"/>
        <v>0.34</v>
      </c>
      <c r="CN127" s="465">
        <f t="shared" si="375"/>
        <v>9</v>
      </c>
      <c r="CO127" s="379">
        <f t="shared" si="376"/>
        <v>5.7</v>
      </c>
      <c r="CP127" s="379">
        <f t="shared" si="377"/>
        <v>14.7</v>
      </c>
      <c r="CQ127" s="379"/>
      <c r="CR127" s="188">
        <f t="shared" si="378"/>
        <v>0.375</v>
      </c>
      <c r="CS127" s="149">
        <f t="shared" si="379"/>
        <v>6.328125</v>
      </c>
      <c r="CT127" s="149">
        <f t="shared" si="380"/>
        <v>2.8125</v>
      </c>
      <c r="CU127" s="188">
        <f t="shared" si="381"/>
        <v>1.265625</v>
      </c>
      <c r="CV127" s="188">
        <f t="shared" si="382"/>
        <v>0.791015625</v>
      </c>
      <c r="CW127" s="188">
        <f t="shared" si="383"/>
        <v>5</v>
      </c>
      <c r="CX127" s="188">
        <f t="shared" si="384"/>
        <v>0.80592592592592593</v>
      </c>
      <c r="CY127" s="188">
        <f t="shared" si="385"/>
        <v>1.0745679012345679</v>
      </c>
      <c r="CZ127" s="188">
        <f t="shared" si="386"/>
        <v>1.6966861598440546</v>
      </c>
      <c r="DA127" s="172">
        <f t="shared" si="387"/>
        <v>290.81632653061229</v>
      </c>
      <c r="DB127" s="379">
        <f t="shared" si="388"/>
        <v>350</v>
      </c>
      <c r="DD127" s="188">
        <f t="shared" si="389"/>
        <v>0.99999999999999978</v>
      </c>
      <c r="DE127" s="150">
        <f t="shared" si="390"/>
        <v>2.1052631578947363</v>
      </c>
      <c r="DF127" s="150">
        <f t="shared" si="391"/>
        <v>0.2295918367346938</v>
      </c>
      <c r="DG127" s="150"/>
      <c r="DH127" s="150">
        <f t="shared" si="392"/>
        <v>2.1052631578947367</v>
      </c>
      <c r="DI127" s="314">
        <f t="shared" si="393"/>
        <v>193.80000000000004</v>
      </c>
      <c r="DJ127" s="456">
        <f t="shared" si="394"/>
        <v>0.3061224489795919</v>
      </c>
      <c r="DL127" s="150">
        <f t="shared" si="395"/>
        <v>0.80474781616295654</v>
      </c>
      <c r="DM127" s="150">
        <f t="shared" si="396"/>
        <v>1</v>
      </c>
      <c r="DN127" s="150">
        <f t="shared" si="397"/>
        <v>1.1107428571428573</v>
      </c>
      <c r="DP127" s="314">
        <f t="shared" si="398"/>
        <v>204.00000000000003</v>
      </c>
      <c r="DQ127" s="144">
        <f t="shared" si="399"/>
        <v>193.80000000000004</v>
      </c>
      <c r="DS127" s="144">
        <f t="shared" si="400"/>
        <v>204.00000000000003</v>
      </c>
      <c r="DT127" s="144">
        <f t="shared" si="401"/>
        <v>193.80000000000004</v>
      </c>
      <c r="DV127" s="5">
        <f t="shared" si="402"/>
        <v>5.1599587203302368</v>
      </c>
      <c r="DW127" s="5">
        <f t="shared" si="403"/>
        <v>1.3333333333333335</v>
      </c>
      <c r="DX127" s="5">
        <f t="shared" si="404"/>
        <v>3.8266253869969034</v>
      </c>
      <c r="DY127" s="150">
        <f t="shared" si="405"/>
        <v>0.25840000000000007</v>
      </c>
      <c r="EA127" s="5">
        <f t="shared" si="406"/>
        <v>5.4400000000000013</v>
      </c>
      <c r="EB127" s="5">
        <f t="shared" si="407"/>
        <v>0.70833333333333348</v>
      </c>
      <c r="EC127" s="5">
        <f t="shared" si="408"/>
        <v>0.18070175438596486</v>
      </c>
      <c r="ED127" s="5"/>
      <c r="EE127" s="150">
        <f t="shared" si="409"/>
        <v>0.29348480937406857</v>
      </c>
      <c r="EF127" s="150">
        <f t="shared" si="410"/>
        <v>0.49719211578624212</v>
      </c>
      <c r="EG127" s="150">
        <f t="shared" si="411"/>
        <v>0.11113706117574824</v>
      </c>
      <c r="EH127" s="150"/>
      <c r="EI127" s="456">
        <f t="shared" si="412"/>
        <v>1.7226666666666675E-3</v>
      </c>
      <c r="EJ127" s="456">
        <f t="shared" si="413"/>
        <v>5.6977200000000013E-2</v>
      </c>
      <c r="EK127" s="456">
        <f t="shared" si="414"/>
        <v>2.4225000000000003E-2</v>
      </c>
      <c r="EL127" s="456">
        <f t="shared" si="415"/>
        <v>4.1878242000000006E-3</v>
      </c>
      <c r="EM127">
        <f t="shared" si="416"/>
        <v>4.0499999999999998E-3</v>
      </c>
      <c r="EN127" s="144">
        <f t="shared" si="417"/>
        <v>28.275000000000002</v>
      </c>
      <c r="EP127" s="144">
        <f t="shared" si="439"/>
        <v>91.162690866666679</v>
      </c>
      <c r="EQ127" s="150">
        <f t="shared" si="418"/>
        <v>0.14280000000000001</v>
      </c>
      <c r="ER127" s="150">
        <f t="shared" si="419"/>
        <v>1.8859375000000001E-2</v>
      </c>
      <c r="ES127" s="456"/>
      <c r="EU127" s="144">
        <f t="shared" si="420"/>
        <v>161.65937500000001</v>
      </c>
      <c r="EV127" s="456">
        <f t="shared" si="421"/>
        <v>2.5840000000000008E-3</v>
      </c>
      <c r="EW127" s="456">
        <f t="shared" si="422"/>
        <v>7.415999999999999E-3</v>
      </c>
      <c r="EX127" s="456">
        <f t="shared" si="423"/>
        <v>6.1757231833910046E-5</v>
      </c>
      <c r="EY127" s="456">
        <f t="shared" si="424"/>
        <v>2.6142940599341132E-2</v>
      </c>
      <c r="EZ127" s="456"/>
      <c r="FA127" s="538">
        <f t="shared" si="425"/>
        <v>1.9380000000000005E-4</v>
      </c>
      <c r="FB127" s="144">
        <f t="shared" si="426"/>
        <v>36.398497831175042</v>
      </c>
      <c r="FC127" s="150">
        <f t="shared" si="427"/>
        <v>0.28922056369784171</v>
      </c>
      <c r="FD127" s="5">
        <f t="shared" si="428"/>
        <v>1.36</v>
      </c>
      <c r="FE127" s="150">
        <f t="shared" si="429"/>
        <v>0.82463196854072784</v>
      </c>
      <c r="FF127" s="5">
        <f t="shared" si="430"/>
        <v>82.463196854072791</v>
      </c>
      <c r="FG127">
        <f t="shared" si="431"/>
        <v>17</v>
      </c>
      <c r="FI127" s="59">
        <f t="shared" si="432"/>
        <v>-50</v>
      </c>
      <c r="FJ127">
        <f t="shared" si="433"/>
        <v>-50</v>
      </c>
    </row>
    <row r="128" spans="5:166">
      <c r="E128" s="147">
        <v>18</v>
      </c>
      <c r="F128" s="188">
        <f t="shared" si="434"/>
        <v>0.216</v>
      </c>
      <c r="G128" s="188">
        <f t="shared" si="313"/>
        <v>4.4999999999999998E-2</v>
      </c>
      <c r="H128" s="188">
        <f t="shared" si="314"/>
        <v>1.08</v>
      </c>
      <c r="I128" s="188">
        <f t="shared" si="315"/>
        <v>0.36</v>
      </c>
      <c r="J128" s="465">
        <f t="shared" si="316"/>
        <v>8.9617322857041373</v>
      </c>
      <c r="K128" s="379">
        <f t="shared" si="317"/>
        <v>5.7145999279017685</v>
      </c>
      <c r="L128" s="149">
        <f t="shared" si="318"/>
        <v>14.676332213605907</v>
      </c>
      <c r="M128" s="379"/>
      <c r="N128" s="188">
        <f t="shared" si="319"/>
        <v>0.38937520933220399</v>
      </c>
      <c r="O128" s="149">
        <f t="shared" si="320"/>
        <v>6.5427682213597862</v>
      </c>
      <c r="P128" s="149">
        <f t="shared" si="321"/>
        <v>2.9078969872710161</v>
      </c>
      <c r="Q128" s="188">
        <f t="shared" si="322"/>
        <v>1.3085536442719572</v>
      </c>
      <c r="R128" s="188">
        <f t="shared" si="323"/>
        <v>0.81784602766997327</v>
      </c>
      <c r="S128" s="188">
        <f t="shared" si="324"/>
        <v>5</v>
      </c>
      <c r="T128" s="188">
        <f t="shared" si="325"/>
        <v>0.82533872778359174</v>
      </c>
      <c r="U128" s="188">
        <f t="shared" si="326"/>
        <v>1.1051507027499787</v>
      </c>
      <c r="V128" s="188">
        <f t="shared" si="327"/>
        <v>1.7331160288310123</v>
      </c>
      <c r="W128" s="172">
        <f t="shared" si="328"/>
        <v>290.78969872710161</v>
      </c>
      <c r="X128" s="379">
        <f t="shared" si="435"/>
        <v>329.13502610076642</v>
      </c>
      <c r="Z128" s="188">
        <f t="shared" si="329"/>
        <v>1</v>
      </c>
      <c r="AA128" s="150">
        <f t="shared" si="330"/>
        <v>2.0998845328453366</v>
      </c>
      <c r="AB128" s="150">
        <f t="shared" si="331"/>
        <v>0.22898429650042346</v>
      </c>
      <c r="AC128" s="150"/>
      <c r="AD128" s="150">
        <f t="shared" si="332"/>
        <v>2.0998845328453366</v>
      </c>
      <c r="AE128" s="314">
        <f t="shared" si="333"/>
        <v>205.72559740446368</v>
      </c>
      <c r="AF128" s="456">
        <f t="shared" si="334"/>
        <v>0.30531239533389798</v>
      </c>
      <c r="AH128" s="150">
        <f t="shared" si="335"/>
        <v>0.82807867121082501</v>
      </c>
      <c r="AI128" s="150">
        <f t="shared" si="336"/>
        <v>1</v>
      </c>
      <c r="AJ128" s="150">
        <f t="shared" si="337"/>
        <v>1.117557484231122</v>
      </c>
      <c r="AL128" s="314">
        <f t="shared" si="338"/>
        <v>216</v>
      </c>
      <c r="AM128" s="144">
        <f t="shared" si="339"/>
        <v>205.72559740446368</v>
      </c>
      <c r="AO128" s="144">
        <f t="shared" si="340"/>
        <v>216</v>
      </c>
      <c r="AP128" s="144">
        <f t="shared" si="341"/>
        <v>205.72559740446368</v>
      </c>
      <c r="AR128" s="5">
        <f t="shared" si="275"/>
        <v>4.8608438260308713</v>
      </c>
      <c r="AS128" s="5">
        <f t="shared" si="440"/>
        <v>1.3390268329196291</v>
      </c>
      <c r="AT128" s="5">
        <f t="shared" si="441"/>
        <v>3.5218169931112424</v>
      </c>
      <c r="AU128" s="150">
        <f t="shared" si="442"/>
        <v>0.2754720951429977</v>
      </c>
      <c r="AW128" s="5">
        <f t="shared" si="342"/>
        <v>5.7845959182127986</v>
      </c>
      <c r="AX128" s="5">
        <f t="shared" si="343"/>
        <v>0.75320259351729135</v>
      </c>
      <c r="AY128" s="5">
        <f t="shared" si="344"/>
        <v>0.17684277954031041</v>
      </c>
      <c r="AZ128" s="5"/>
      <c r="BA128" s="150">
        <f t="shared" si="345"/>
        <v>0.30302480379390162</v>
      </c>
      <c r="BB128" s="150">
        <f t="shared" si="346"/>
        <v>0.49143595881762742</v>
      </c>
      <c r="BC128" s="150">
        <f t="shared" si="347"/>
        <v>0.10985039079452849</v>
      </c>
      <c r="BD128" s="150"/>
      <c r="BE128" s="456">
        <f t="shared" si="348"/>
        <v>1.8364806342866516E-3</v>
      </c>
      <c r="BF128" s="456">
        <f t="shared" si="349"/>
        <v>5.6611822731570935E-2</v>
      </c>
      <c r="BG128" s="456">
        <f t="shared" si="350"/>
        <v>4.6091443206383836E-2</v>
      </c>
      <c r="BH128" s="456">
        <f t="shared" si="351"/>
        <v>4.4312208940069427E-3</v>
      </c>
      <c r="BI128">
        <f t="shared" si="352"/>
        <v>4.0327795285668615E-3</v>
      </c>
      <c r="BJ128" s="144">
        <f t="shared" si="436"/>
        <v>50.124222734950699</v>
      </c>
      <c r="BK128">
        <f t="shared" si="353"/>
        <v>6.3403039807973433E-2</v>
      </c>
      <c r="BL128" s="144">
        <f t="shared" si="437"/>
        <v>113.00374699481522</v>
      </c>
      <c r="BM128" s="150">
        <f t="shared" si="354"/>
        <v>0.13419</v>
      </c>
      <c r="BN128" s="150">
        <f t="shared" si="355"/>
        <v>2.7956249999999998E-2</v>
      </c>
      <c r="BO128" s="456"/>
      <c r="BQ128" s="144">
        <f t="shared" si="356"/>
        <v>162.14624999999998</v>
      </c>
      <c r="BR128" s="456">
        <f t="shared" si="357"/>
        <v>2.7547209514299773E-3</v>
      </c>
      <c r="BS128" s="456">
        <f t="shared" si="358"/>
        <v>7.2452790485700233E-3</v>
      </c>
      <c r="BT128" s="456">
        <f t="shared" si="359"/>
        <v>6.0335541788553153E-5</v>
      </c>
      <c r="BU128" s="456">
        <f t="shared" si="360"/>
        <v>3.0352246086991372E-2</v>
      </c>
      <c r="BV128" s="456"/>
      <c r="BW128" s="538">
        <f t="shared" si="361"/>
        <v>2.0572559740446371E-4</v>
      </c>
      <c r="BX128" s="144">
        <f t="shared" si="362"/>
        <v>40.618307226184392</v>
      </c>
      <c r="BY128" s="150">
        <f t="shared" si="363"/>
        <v>0.31576830422099961</v>
      </c>
      <c r="BZ128" s="5">
        <f t="shared" si="364"/>
        <v>1.44</v>
      </c>
      <c r="CA128" s="150">
        <f t="shared" si="365"/>
        <v>0.82015377344387141</v>
      </c>
      <c r="CB128" s="5">
        <f t="shared" si="366"/>
        <v>82.015377344387147</v>
      </c>
      <c r="CC128">
        <f t="shared" si="367"/>
        <v>18</v>
      </c>
      <c r="CE128" s="59">
        <f t="shared" si="368"/>
        <v>-50</v>
      </c>
      <c r="CF128">
        <f t="shared" si="369"/>
        <v>-50</v>
      </c>
      <c r="CG128" s="150">
        <f t="shared" si="370"/>
        <v>0.44383780821376634</v>
      </c>
      <c r="CH128" s="150">
        <f t="shared" si="371"/>
        <v>0.24078817946157796</v>
      </c>
      <c r="CI128" s="147">
        <v>18</v>
      </c>
      <c r="CJ128" s="188">
        <f t="shared" si="438"/>
        <v>0.216</v>
      </c>
      <c r="CK128" s="188">
        <f t="shared" si="372"/>
        <v>4.4999999999999998E-2</v>
      </c>
      <c r="CL128" s="188">
        <f t="shared" si="373"/>
        <v>1.08</v>
      </c>
      <c r="CM128" s="188">
        <f t="shared" si="374"/>
        <v>0.36</v>
      </c>
      <c r="CN128" s="465">
        <f t="shared" si="375"/>
        <v>9</v>
      </c>
      <c r="CO128" s="379">
        <f t="shared" si="376"/>
        <v>5.7</v>
      </c>
      <c r="CP128" s="379">
        <f t="shared" si="377"/>
        <v>14.7</v>
      </c>
      <c r="CQ128" s="379"/>
      <c r="CR128" s="188">
        <f t="shared" si="378"/>
        <v>0.375</v>
      </c>
      <c r="CS128" s="149">
        <f t="shared" si="379"/>
        <v>6.328125</v>
      </c>
      <c r="CT128" s="149">
        <f t="shared" si="380"/>
        <v>2.8125</v>
      </c>
      <c r="CU128" s="188">
        <f t="shared" si="381"/>
        <v>1.265625</v>
      </c>
      <c r="CV128" s="188">
        <f t="shared" si="382"/>
        <v>0.791015625</v>
      </c>
      <c r="CW128" s="188">
        <f t="shared" si="383"/>
        <v>5</v>
      </c>
      <c r="CX128" s="188">
        <f t="shared" si="384"/>
        <v>0.85333333333333328</v>
      </c>
      <c r="CY128" s="188">
        <f t="shared" si="385"/>
        <v>1.1377777777777778</v>
      </c>
      <c r="CZ128" s="188">
        <f t="shared" si="386"/>
        <v>1.7964912280701755</v>
      </c>
      <c r="DA128" s="172">
        <f t="shared" si="387"/>
        <v>290.81632653061229</v>
      </c>
      <c r="DB128" s="379">
        <f t="shared" si="388"/>
        <v>340.80038265306121</v>
      </c>
      <c r="DD128" s="188">
        <f t="shared" si="389"/>
        <v>0.99999999999999978</v>
      </c>
      <c r="DE128" s="150">
        <f t="shared" si="390"/>
        <v>2.1052631578947363</v>
      </c>
      <c r="DF128" s="150">
        <f t="shared" si="391"/>
        <v>0.2295918367346938</v>
      </c>
      <c r="DG128" s="150"/>
      <c r="DH128" s="150">
        <f t="shared" si="392"/>
        <v>2.1052631578947367</v>
      </c>
      <c r="DI128" s="314">
        <f t="shared" si="393"/>
        <v>205.20000000000002</v>
      </c>
      <c r="DJ128" s="456">
        <f t="shared" si="394"/>
        <v>0.3061224489795919</v>
      </c>
      <c r="DL128" s="150">
        <f t="shared" si="395"/>
        <v>0.82807867121082501</v>
      </c>
      <c r="DM128" s="150">
        <f t="shared" si="396"/>
        <v>1</v>
      </c>
      <c r="DN128" s="150">
        <f t="shared" si="397"/>
        <v>1.1172571428571429</v>
      </c>
      <c r="DP128" s="314">
        <f t="shared" si="398"/>
        <v>216</v>
      </c>
      <c r="DQ128" s="144">
        <f t="shared" si="399"/>
        <v>205.20000000000002</v>
      </c>
      <c r="DS128" s="144">
        <f t="shared" si="400"/>
        <v>216</v>
      </c>
      <c r="DT128" s="144">
        <f t="shared" si="401"/>
        <v>205.20000000000002</v>
      </c>
      <c r="DV128" s="5">
        <f t="shared" si="402"/>
        <v>4.8732943469785575</v>
      </c>
      <c r="DW128" s="5">
        <f t="shared" si="403"/>
        <v>1.3333333333333335</v>
      </c>
      <c r="DX128" s="5">
        <f t="shared" si="404"/>
        <v>3.539961013645224</v>
      </c>
      <c r="DY128" s="150">
        <f t="shared" si="405"/>
        <v>0.27360000000000001</v>
      </c>
      <c r="EA128" s="5">
        <f t="shared" si="406"/>
        <v>5.7600000000000007</v>
      </c>
      <c r="EB128" s="5">
        <f t="shared" si="407"/>
        <v>0.75</v>
      </c>
      <c r="EC128" s="5">
        <f t="shared" si="408"/>
        <v>0.17699805068226118</v>
      </c>
      <c r="ED128" s="5"/>
      <c r="EE128" s="150">
        <f t="shared" si="409"/>
        <v>0.30199337741082999</v>
      </c>
      <c r="EF128" s="150">
        <f t="shared" si="410"/>
        <v>0.49207045565989155</v>
      </c>
      <c r="EG128" s="150">
        <f t="shared" si="411"/>
        <v>0.10999221950044635</v>
      </c>
      <c r="EH128" s="150"/>
      <c r="EI128" s="456">
        <f t="shared" si="412"/>
        <v>1.8240000000000001E-3</v>
      </c>
      <c r="EJ128" s="456">
        <f t="shared" si="413"/>
        <v>6.0328800000000002E-2</v>
      </c>
      <c r="EK128" s="456">
        <f t="shared" si="414"/>
        <v>2.5649999999999999E-2</v>
      </c>
      <c r="EL128" s="456">
        <f t="shared" si="415"/>
        <v>4.4341668000000001E-3</v>
      </c>
      <c r="EM128">
        <f t="shared" si="416"/>
        <v>4.0499999999999998E-3</v>
      </c>
      <c r="EN128" s="144">
        <f t="shared" si="417"/>
        <v>29.699999999999996</v>
      </c>
      <c r="EP128" s="144">
        <f t="shared" si="439"/>
        <v>96.286966800000002</v>
      </c>
      <c r="EQ128" s="150">
        <f t="shared" si="418"/>
        <v>0.1512</v>
      </c>
      <c r="ER128" s="150">
        <f t="shared" si="419"/>
        <v>1.9968749999999997E-2</v>
      </c>
      <c r="ES128" s="456"/>
      <c r="EU128" s="144">
        <f t="shared" si="420"/>
        <v>171.16875000000002</v>
      </c>
      <c r="EV128" s="456">
        <f t="shared" si="421"/>
        <v>2.7360000000000002E-3</v>
      </c>
      <c r="EW128" s="456">
        <f t="shared" si="422"/>
        <v>7.2639999999999979E-3</v>
      </c>
      <c r="EX128" s="456">
        <f t="shared" si="423"/>
        <v>6.0491441753171858E-5</v>
      </c>
      <c r="EY128" s="456">
        <f t="shared" si="424"/>
        <v>3.0158754042717027E-2</v>
      </c>
      <c r="EZ128" s="456"/>
      <c r="FA128" s="538">
        <f t="shared" si="425"/>
        <v>2.0520000000000003E-4</v>
      </c>
      <c r="FB128" s="144">
        <f t="shared" si="426"/>
        <v>40.424445484470205</v>
      </c>
      <c r="FC128" s="150">
        <f t="shared" si="427"/>
        <v>0.30788016228447018</v>
      </c>
      <c r="FD128" s="5">
        <f t="shared" si="428"/>
        <v>1.44</v>
      </c>
      <c r="FE128" s="150">
        <f t="shared" si="429"/>
        <v>0.82385510807441598</v>
      </c>
      <c r="FF128" s="5">
        <f t="shared" si="430"/>
        <v>82.385510807441591</v>
      </c>
      <c r="FG128">
        <f t="shared" si="431"/>
        <v>18</v>
      </c>
      <c r="FI128" s="59">
        <f t="shared" si="432"/>
        <v>-50</v>
      </c>
      <c r="FJ128">
        <f t="shared" si="433"/>
        <v>-50</v>
      </c>
    </row>
    <row r="129" spans="5:166">
      <c r="E129" s="147">
        <v>19</v>
      </c>
      <c r="F129" s="188">
        <f t="shared" si="434"/>
        <v>0.22799999999999998</v>
      </c>
      <c r="G129" s="188">
        <f t="shared" si="313"/>
        <v>4.7500000000000001E-2</v>
      </c>
      <c r="H129" s="188">
        <f t="shared" si="314"/>
        <v>1.1399999999999999</v>
      </c>
      <c r="I129" s="188">
        <f t="shared" si="315"/>
        <v>0.38</v>
      </c>
      <c r="J129" s="465">
        <f t="shared" si="316"/>
        <v>8.9617322857041373</v>
      </c>
      <c r="K129" s="379">
        <f t="shared" si="317"/>
        <v>5.7145999279017685</v>
      </c>
      <c r="L129" s="149">
        <f t="shared" si="318"/>
        <v>14.676332213605907</v>
      </c>
      <c r="M129" s="379"/>
      <c r="N129" s="188">
        <f t="shared" si="319"/>
        <v>0.38937520933220399</v>
      </c>
      <c r="O129" s="149">
        <f t="shared" si="320"/>
        <v>6.5427682213597862</v>
      </c>
      <c r="P129" s="149">
        <f t="shared" si="321"/>
        <v>2.9078969872710161</v>
      </c>
      <c r="Q129" s="188">
        <f t="shared" si="322"/>
        <v>1.3085536442719572</v>
      </c>
      <c r="R129" s="188">
        <f t="shared" si="323"/>
        <v>0.81784602766997327</v>
      </c>
      <c r="S129" s="188">
        <f t="shared" si="324"/>
        <v>5</v>
      </c>
      <c r="T129" s="188">
        <f t="shared" si="325"/>
        <v>0.87119087932712469</v>
      </c>
      <c r="U129" s="188">
        <f t="shared" si="326"/>
        <v>1.1665479640138667</v>
      </c>
      <c r="V129" s="188">
        <f t="shared" si="327"/>
        <v>1.8294002526549573</v>
      </c>
      <c r="W129" s="172">
        <f t="shared" si="328"/>
        <v>290.78969872710161</v>
      </c>
      <c r="X129" s="379">
        <f t="shared" si="435"/>
        <v>312.89618360660182</v>
      </c>
      <c r="Z129" s="188">
        <f t="shared" si="329"/>
        <v>1</v>
      </c>
      <c r="AA129" s="150">
        <f t="shared" si="330"/>
        <v>2.0998845328453366</v>
      </c>
      <c r="AB129" s="150">
        <f t="shared" si="331"/>
        <v>0.22898429650042346</v>
      </c>
      <c r="AC129" s="150"/>
      <c r="AD129" s="150">
        <f t="shared" si="332"/>
        <v>2.0998845328453366</v>
      </c>
      <c r="AE129" s="314">
        <f t="shared" si="333"/>
        <v>217.1547972602672</v>
      </c>
      <c r="AF129" s="456">
        <f t="shared" si="334"/>
        <v>0.30531239533389798</v>
      </c>
      <c r="AH129" s="150">
        <f t="shared" si="335"/>
        <v>0.85076995939532551</v>
      </c>
      <c r="AI129" s="150">
        <f t="shared" si="336"/>
        <v>1</v>
      </c>
      <c r="AJ129" s="150">
        <f t="shared" si="337"/>
        <v>1.1240884555772956</v>
      </c>
      <c r="AL129" s="314">
        <f t="shared" si="338"/>
        <v>227.99999999999997</v>
      </c>
      <c r="AM129" s="144">
        <f t="shared" si="339"/>
        <v>217.1547972602672</v>
      </c>
      <c r="AO129" s="144">
        <f t="shared" si="340"/>
        <v>227.99999999999997</v>
      </c>
      <c r="AP129" s="144">
        <f t="shared" si="341"/>
        <v>217.1547972602672</v>
      </c>
      <c r="AR129" s="5">
        <f t="shared" si="275"/>
        <v>4.6050099404502998</v>
      </c>
      <c r="AS129" s="5">
        <f t="shared" si="440"/>
        <v>1.3390268329196291</v>
      </c>
      <c r="AT129" s="5">
        <f t="shared" si="441"/>
        <v>3.2659831075306709</v>
      </c>
      <c r="AU129" s="150">
        <f t="shared" si="442"/>
        <v>0.29077610042871976</v>
      </c>
      <c r="AW129" s="5">
        <f t="shared" si="342"/>
        <v>6.1059623581135076</v>
      </c>
      <c r="AX129" s="5">
        <f t="shared" si="343"/>
        <v>0.79504718204602975</v>
      </c>
      <c r="AY129" s="5">
        <f t="shared" si="344"/>
        <v>0.17310737775014634</v>
      </c>
      <c r="AZ129" s="5"/>
      <c r="BA129" s="150">
        <f t="shared" si="345"/>
        <v>0.31132839062567558</v>
      </c>
      <c r="BB129" s="150">
        <f t="shared" si="346"/>
        <v>0.48621802365169486</v>
      </c>
      <c r="BC129" s="150">
        <f t="shared" si="347"/>
        <v>0.10868402881626121</v>
      </c>
      <c r="BD129" s="150"/>
      <c r="BE129" s="456">
        <f t="shared" si="348"/>
        <v>1.9385073361914648E-3</v>
      </c>
      <c r="BF129" s="456">
        <f t="shared" si="349"/>
        <v>5.9756923994435981E-2</v>
      </c>
      <c r="BG129" s="456">
        <f t="shared" si="350"/>
        <v>4.865207894007182E-2</v>
      </c>
      <c r="BH129" s="456">
        <f t="shared" si="351"/>
        <v>4.6773998325628837E-3</v>
      </c>
      <c r="BI129">
        <f t="shared" si="352"/>
        <v>4.0327795285668615E-3</v>
      </c>
      <c r="BJ129" s="144">
        <f t="shared" si="436"/>
        <v>52.684858468638687</v>
      </c>
      <c r="BK129">
        <f t="shared" si="353"/>
        <v>6.692705403181276E-2</v>
      </c>
      <c r="BL129" s="144">
        <f t="shared" si="437"/>
        <v>119.05768963182901</v>
      </c>
      <c r="BM129" s="150">
        <f t="shared" si="354"/>
        <v>0.14164499999999997</v>
      </c>
      <c r="BN129" s="150">
        <f t="shared" si="355"/>
        <v>2.9509374999999994E-2</v>
      </c>
      <c r="BO129" s="456"/>
      <c r="BQ129" s="144">
        <f t="shared" si="356"/>
        <v>171.15437499999996</v>
      </c>
      <c r="BR129" s="456">
        <f t="shared" si="357"/>
        <v>2.9077610042871969E-3</v>
      </c>
      <c r="BS129" s="456">
        <f t="shared" si="358"/>
        <v>7.0922389957128028E-3</v>
      </c>
      <c r="BT129" s="456">
        <f t="shared" si="359"/>
        <v>5.9061090598669486E-5</v>
      </c>
      <c r="BU129" s="456">
        <f t="shared" si="360"/>
        <v>3.4745100668145991E-2</v>
      </c>
      <c r="BV129" s="456"/>
      <c r="BW129" s="538">
        <f t="shared" si="361"/>
        <v>2.1715479726026722E-4</v>
      </c>
      <c r="BX129" s="144">
        <f t="shared" si="362"/>
        <v>45.021316556004926</v>
      </c>
      <c r="BY129" s="150">
        <f t="shared" si="363"/>
        <v>0.33523338118783391</v>
      </c>
      <c r="BZ129" s="5">
        <f t="shared" si="364"/>
        <v>1.52</v>
      </c>
      <c r="CA129" s="150">
        <f t="shared" si="365"/>
        <v>0.81930392985210465</v>
      </c>
      <c r="CB129" s="5">
        <f t="shared" si="366"/>
        <v>81.93039298521046</v>
      </c>
      <c r="CC129">
        <f t="shared" si="367"/>
        <v>19</v>
      </c>
      <c r="CE129" s="59">
        <f t="shared" si="368"/>
        <v>-50</v>
      </c>
      <c r="CF129">
        <f t="shared" si="369"/>
        <v>-50</v>
      </c>
      <c r="CG129" s="150">
        <f t="shared" si="370"/>
        <v>0.46849546422564214</v>
      </c>
      <c r="CH129" s="150">
        <f t="shared" si="371"/>
        <v>0.2541653005427767</v>
      </c>
      <c r="CI129" s="147">
        <v>19</v>
      </c>
      <c r="CJ129" s="188">
        <f t="shared" si="438"/>
        <v>0.22799999999999998</v>
      </c>
      <c r="CK129" s="188">
        <f t="shared" si="372"/>
        <v>4.7500000000000001E-2</v>
      </c>
      <c r="CL129" s="188">
        <f t="shared" si="373"/>
        <v>1.1399999999999999</v>
      </c>
      <c r="CM129" s="188">
        <f t="shared" si="374"/>
        <v>0.38</v>
      </c>
      <c r="CN129" s="465">
        <f t="shared" si="375"/>
        <v>9</v>
      </c>
      <c r="CO129" s="379">
        <f t="shared" si="376"/>
        <v>5.7</v>
      </c>
      <c r="CP129" s="379">
        <f t="shared" si="377"/>
        <v>14.7</v>
      </c>
      <c r="CQ129" s="379"/>
      <c r="CR129" s="188">
        <f t="shared" si="378"/>
        <v>0.375</v>
      </c>
      <c r="CS129" s="149">
        <f t="shared" si="379"/>
        <v>6.328125</v>
      </c>
      <c r="CT129" s="149">
        <f t="shared" si="380"/>
        <v>2.8125</v>
      </c>
      <c r="CU129" s="188">
        <f t="shared" si="381"/>
        <v>1.265625</v>
      </c>
      <c r="CV129" s="188">
        <f t="shared" si="382"/>
        <v>0.791015625</v>
      </c>
      <c r="CW129" s="188">
        <f t="shared" si="383"/>
        <v>5</v>
      </c>
      <c r="CX129" s="188">
        <f t="shared" si="384"/>
        <v>0.90074074074074073</v>
      </c>
      <c r="CY129" s="188">
        <f t="shared" si="385"/>
        <v>1.2009876543209876</v>
      </c>
      <c r="CZ129" s="188">
        <f t="shared" si="386"/>
        <v>1.8962962962962961</v>
      </c>
      <c r="DA129" s="172">
        <f t="shared" si="387"/>
        <v>290.81632653061229</v>
      </c>
      <c r="DB129" s="379">
        <f t="shared" si="388"/>
        <v>322.86352040816331</v>
      </c>
      <c r="DD129" s="188">
        <f t="shared" si="389"/>
        <v>0.99999999999999978</v>
      </c>
      <c r="DE129" s="150">
        <f t="shared" si="390"/>
        <v>2.1052631578947363</v>
      </c>
      <c r="DF129" s="150">
        <f t="shared" si="391"/>
        <v>0.2295918367346938</v>
      </c>
      <c r="DG129" s="150"/>
      <c r="DH129" s="150">
        <f t="shared" si="392"/>
        <v>2.1052631578947367</v>
      </c>
      <c r="DI129" s="314">
        <f t="shared" si="393"/>
        <v>216.6</v>
      </c>
      <c r="DJ129" s="456">
        <f t="shared" si="394"/>
        <v>0.3061224489795919</v>
      </c>
      <c r="DL129" s="150">
        <f t="shared" si="395"/>
        <v>0.85076995939532551</v>
      </c>
      <c r="DM129" s="150">
        <f t="shared" si="396"/>
        <v>1</v>
      </c>
      <c r="DN129" s="150">
        <f t="shared" si="397"/>
        <v>1.1237714285714286</v>
      </c>
      <c r="DP129" s="314">
        <f t="shared" si="398"/>
        <v>227.99999999999997</v>
      </c>
      <c r="DQ129" s="144">
        <f t="shared" si="399"/>
        <v>216.6</v>
      </c>
      <c r="DS129" s="144">
        <f t="shared" si="400"/>
        <v>227.99999999999997</v>
      </c>
      <c r="DT129" s="144">
        <f t="shared" si="401"/>
        <v>216.6</v>
      </c>
      <c r="DV129" s="5">
        <f t="shared" si="402"/>
        <v>4.6168051708217916</v>
      </c>
      <c r="DW129" s="5">
        <f t="shared" si="403"/>
        <v>1.3333333333333335</v>
      </c>
      <c r="DX129" s="5">
        <f t="shared" si="404"/>
        <v>3.2834718374884582</v>
      </c>
      <c r="DY129" s="150">
        <f t="shared" si="405"/>
        <v>0.2888</v>
      </c>
      <c r="EA129" s="5">
        <f t="shared" si="406"/>
        <v>6.0799999999999992</v>
      </c>
      <c r="EB129" s="5">
        <f t="shared" si="407"/>
        <v>0.79166666666666674</v>
      </c>
      <c r="EC129" s="5">
        <f t="shared" si="408"/>
        <v>0.17329434697855747</v>
      </c>
      <c r="ED129" s="5"/>
      <c r="EE129" s="150">
        <f t="shared" si="409"/>
        <v>0.31026870075253588</v>
      </c>
      <c r="EF129" s="150">
        <f t="shared" si="410"/>
        <v>0.48689492364027237</v>
      </c>
      <c r="EG129" s="150">
        <f t="shared" si="411"/>
        <v>0.10883533587253148</v>
      </c>
      <c r="EH129" s="150"/>
      <c r="EI129" s="456">
        <f t="shared" si="412"/>
        <v>1.9253333333333332E-3</v>
      </c>
      <c r="EJ129" s="456">
        <f t="shared" si="413"/>
        <v>6.3680399999999998E-2</v>
      </c>
      <c r="EK129" s="456">
        <f t="shared" si="414"/>
        <v>2.7074999999999998E-2</v>
      </c>
      <c r="EL129" s="456">
        <f t="shared" si="415"/>
        <v>4.6805093999999995E-3</v>
      </c>
      <c r="EM129">
        <f t="shared" si="416"/>
        <v>4.0499999999999998E-3</v>
      </c>
      <c r="EN129" s="144">
        <f t="shared" si="417"/>
        <v>31.125</v>
      </c>
      <c r="EP129" s="144">
        <f t="shared" si="439"/>
        <v>101.41124273333334</v>
      </c>
      <c r="EQ129" s="150">
        <f t="shared" si="418"/>
        <v>0.15959999999999996</v>
      </c>
      <c r="ER129" s="150">
        <f t="shared" si="419"/>
        <v>2.1078125E-2</v>
      </c>
      <c r="ES129" s="456"/>
      <c r="EU129" s="144">
        <f t="shared" si="420"/>
        <v>180.67812499999997</v>
      </c>
      <c r="EV129" s="456">
        <f t="shared" si="421"/>
        <v>2.8879999999999995E-3</v>
      </c>
      <c r="EW129" s="456">
        <f t="shared" si="422"/>
        <v>7.1120000000000003E-3</v>
      </c>
      <c r="EX129" s="456">
        <f t="shared" si="423"/>
        <v>5.9225651672433691E-5</v>
      </c>
      <c r="EY129" s="456">
        <f t="shared" si="424"/>
        <v>3.452360468601897E-2</v>
      </c>
      <c r="EZ129" s="456"/>
      <c r="FA129" s="538">
        <f t="shared" si="425"/>
        <v>2.1660000000000003E-4</v>
      </c>
      <c r="FB129" s="144">
        <f t="shared" si="426"/>
        <v>44.799430337691405</v>
      </c>
      <c r="FC129" s="150">
        <f t="shared" si="427"/>
        <v>0.32688879807102472</v>
      </c>
      <c r="FD129" s="5">
        <f t="shared" si="428"/>
        <v>1.52</v>
      </c>
      <c r="FE129" s="150">
        <f t="shared" si="429"/>
        <v>0.82300569562583181</v>
      </c>
      <c r="FF129" s="5">
        <f t="shared" si="430"/>
        <v>82.300569562583178</v>
      </c>
      <c r="FG129">
        <f t="shared" si="431"/>
        <v>19</v>
      </c>
      <c r="FI129" s="59">
        <f t="shared" si="432"/>
        <v>-50</v>
      </c>
      <c r="FJ129">
        <f t="shared" si="433"/>
        <v>-50</v>
      </c>
    </row>
    <row r="130" spans="5:166">
      <c r="E130" s="147">
        <v>20</v>
      </c>
      <c r="F130" s="188">
        <f t="shared" si="434"/>
        <v>0.24</v>
      </c>
      <c r="G130" s="188">
        <f t="shared" si="313"/>
        <v>0.05</v>
      </c>
      <c r="H130" s="188">
        <f t="shared" si="314"/>
        <v>1.2</v>
      </c>
      <c r="I130" s="188">
        <f t="shared" si="315"/>
        <v>0.4</v>
      </c>
      <c r="J130" s="465">
        <f t="shared" si="316"/>
        <v>8.9617322857041373</v>
      </c>
      <c r="K130" s="379">
        <f t="shared" si="317"/>
        <v>5.7145999279017685</v>
      </c>
      <c r="L130" s="149">
        <f t="shared" si="318"/>
        <v>14.676332213605907</v>
      </c>
      <c r="M130" s="379"/>
      <c r="N130" s="188">
        <f t="shared" si="319"/>
        <v>0.38937520933220399</v>
      </c>
      <c r="O130" s="149">
        <f t="shared" si="320"/>
        <v>6.5427682213597862</v>
      </c>
      <c r="P130" s="149">
        <f t="shared" si="321"/>
        <v>2.9078969872710161</v>
      </c>
      <c r="Q130" s="188">
        <f t="shared" si="322"/>
        <v>1.3085536442719572</v>
      </c>
      <c r="R130" s="188">
        <f t="shared" si="323"/>
        <v>0.81784602766997327</v>
      </c>
      <c r="S130" s="188">
        <f t="shared" si="324"/>
        <v>5</v>
      </c>
      <c r="T130" s="188">
        <f t="shared" si="325"/>
        <v>0.91704303087065764</v>
      </c>
      <c r="U130" s="188">
        <f t="shared" si="326"/>
        <v>1.2279452252777545</v>
      </c>
      <c r="V130" s="188">
        <f t="shared" si="327"/>
        <v>1.9256844764789027</v>
      </c>
      <c r="W130" s="172">
        <f t="shared" si="328"/>
        <v>290.78969872710161</v>
      </c>
      <c r="X130" s="379">
        <f t="shared" si="435"/>
        <v>298.18438197759053</v>
      </c>
      <c r="Z130" s="188">
        <f t="shared" si="329"/>
        <v>1</v>
      </c>
      <c r="AA130" s="150">
        <f t="shared" si="330"/>
        <v>2.0998845328453366</v>
      </c>
      <c r="AB130" s="150">
        <f t="shared" si="331"/>
        <v>0.22898429650042346</v>
      </c>
      <c r="AC130" s="150"/>
      <c r="AD130" s="150">
        <f t="shared" si="332"/>
        <v>2.0998845328453366</v>
      </c>
      <c r="AE130" s="314">
        <f t="shared" si="333"/>
        <v>228.58399711607072</v>
      </c>
      <c r="AF130" s="456">
        <f t="shared" si="334"/>
        <v>0.30531239533389798</v>
      </c>
      <c r="AH130" s="150">
        <f t="shared" si="335"/>
        <v>0.87287156094396945</v>
      </c>
      <c r="AI130" s="150">
        <f t="shared" si="336"/>
        <v>1</v>
      </c>
      <c r="AJ130" s="150">
        <f t="shared" si="337"/>
        <v>1.1306194269234691</v>
      </c>
      <c r="AL130" s="314">
        <f t="shared" si="338"/>
        <v>240</v>
      </c>
      <c r="AM130" s="144">
        <f t="shared" si="339"/>
        <v>228.58399711607072</v>
      </c>
      <c r="AO130" s="144">
        <f t="shared" si="340"/>
        <v>240</v>
      </c>
      <c r="AP130" s="144">
        <f t="shared" si="341"/>
        <v>228.58399711607072</v>
      </c>
      <c r="AR130" s="5">
        <f t="shared" si="275"/>
        <v>4.3747594434277852</v>
      </c>
      <c r="AS130" s="5">
        <f t="shared" si="440"/>
        <v>1.3390268329196291</v>
      </c>
      <c r="AT130" s="5">
        <f t="shared" si="441"/>
        <v>3.0357326105081563</v>
      </c>
      <c r="AU130" s="150">
        <f t="shared" si="442"/>
        <v>0.30608010571444183</v>
      </c>
      <c r="AW130" s="5">
        <f t="shared" si="342"/>
        <v>6.4273287980142193</v>
      </c>
      <c r="AX130" s="5">
        <f t="shared" si="343"/>
        <v>0.83689177057476827</v>
      </c>
      <c r="AY130" s="5">
        <f t="shared" si="344"/>
        <v>0.16937197595998227</v>
      </c>
      <c r="AZ130" s="5"/>
      <c r="BA130" s="150">
        <f t="shared" si="345"/>
        <v>0.31941618917145376</v>
      </c>
      <c r="BB130" s="150">
        <f t="shared" si="346"/>
        <v>0.48094348049279073</v>
      </c>
      <c r="BC130" s="150">
        <f t="shared" si="347"/>
        <v>0.10750501328662382</v>
      </c>
      <c r="BD130" s="150"/>
      <c r="BE130" s="456">
        <f t="shared" si="348"/>
        <v>2.0405340380962788E-3</v>
      </c>
      <c r="BF130" s="456">
        <f t="shared" si="349"/>
        <v>6.2902025257301028E-2</v>
      </c>
      <c r="BG130" s="456">
        <f t="shared" si="350"/>
        <v>5.1212714673759804E-2</v>
      </c>
      <c r="BH130" s="456">
        <f t="shared" si="351"/>
        <v>4.9235787711188247E-3</v>
      </c>
      <c r="BI130">
        <f t="shared" si="352"/>
        <v>4.0327795285668615E-3</v>
      </c>
      <c r="BJ130" s="144">
        <f t="shared" si="436"/>
        <v>55.245494202326668</v>
      </c>
      <c r="BK130">
        <f t="shared" si="353"/>
        <v>7.0451239193622436E-2</v>
      </c>
      <c r="BL130" s="144">
        <f t="shared" si="437"/>
        <v>125.11163226884278</v>
      </c>
      <c r="BM130" s="150">
        <f t="shared" si="354"/>
        <v>0.14909999999999998</v>
      </c>
      <c r="BN130" s="150">
        <f t="shared" si="355"/>
        <v>3.1062499999999996E-2</v>
      </c>
      <c r="BO130" s="456"/>
      <c r="BQ130" s="144">
        <f t="shared" si="356"/>
        <v>180.16249999999997</v>
      </c>
      <c r="BR130" s="456">
        <f t="shared" si="357"/>
        <v>3.0608010571444178E-3</v>
      </c>
      <c r="BS130" s="456">
        <f t="shared" si="358"/>
        <v>6.9391989428555807E-3</v>
      </c>
      <c r="BT130" s="456">
        <f t="shared" si="359"/>
        <v>5.7786639408785819E-5</v>
      </c>
      <c r="BU130" s="456">
        <f t="shared" si="360"/>
        <v>3.9498859974002452E-2</v>
      </c>
      <c r="BV130" s="456"/>
      <c r="BW130" s="538">
        <f t="shared" si="361"/>
        <v>2.2858399711607073E-4</v>
      </c>
      <c r="BX130" s="144">
        <f t="shared" si="362"/>
        <v>49.7852306105273</v>
      </c>
      <c r="BY130" s="150">
        <f t="shared" si="363"/>
        <v>0.35505936287937007</v>
      </c>
      <c r="BZ130" s="5">
        <f t="shared" si="364"/>
        <v>1.6</v>
      </c>
      <c r="CA130" s="150">
        <f t="shared" si="365"/>
        <v>0.81838947214551783</v>
      </c>
      <c r="CB130" s="5">
        <f t="shared" si="366"/>
        <v>81.83894721455178</v>
      </c>
      <c r="CC130">
        <f t="shared" si="367"/>
        <v>20</v>
      </c>
      <c r="CE130" s="59">
        <f t="shared" si="368"/>
        <v>-50</v>
      </c>
      <c r="CF130">
        <f t="shared" si="369"/>
        <v>-50</v>
      </c>
      <c r="CG130" s="150">
        <f t="shared" si="370"/>
        <v>0.49315312023751812</v>
      </c>
      <c r="CH130" s="150">
        <f t="shared" si="371"/>
        <v>0.26754242162397546</v>
      </c>
      <c r="CI130" s="147">
        <v>20</v>
      </c>
      <c r="CJ130" s="188">
        <f t="shared" si="438"/>
        <v>0.24</v>
      </c>
      <c r="CK130" s="188">
        <f t="shared" si="372"/>
        <v>0.05</v>
      </c>
      <c r="CL130" s="188">
        <f t="shared" si="373"/>
        <v>1.2</v>
      </c>
      <c r="CM130" s="188">
        <f t="shared" si="374"/>
        <v>0.4</v>
      </c>
      <c r="CN130" s="465">
        <f t="shared" si="375"/>
        <v>9</v>
      </c>
      <c r="CO130" s="379">
        <f t="shared" si="376"/>
        <v>5.7</v>
      </c>
      <c r="CP130" s="379">
        <f t="shared" si="377"/>
        <v>14.7</v>
      </c>
      <c r="CQ130" s="379"/>
      <c r="CR130" s="188">
        <f t="shared" si="378"/>
        <v>0.375</v>
      </c>
      <c r="CS130" s="149">
        <f t="shared" si="379"/>
        <v>6.328125</v>
      </c>
      <c r="CT130" s="149">
        <f t="shared" si="380"/>
        <v>2.8125</v>
      </c>
      <c r="CU130" s="188">
        <f t="shared" si="381"/>
        <v>1.265625</v>
      </c>
      <c r="CV130" s="188">
        <f t="shared" si="382"/>
        <v>0.791015625</v>
      </c>
      <c r="CW130" s="188">
        <f t="shared" si="383"/>
        <v>5</v>
      </c>
      <c r="CX130" s="188">
        <f t="shared" si="384"/>
        <v>0.94814814814814818</v>
      </c>
      <c r="CY130" s="188">
        <f t="shared" si="385"/>
        <v>1.2641975308641977</v>
      </c>
      <c r="CZ130" s="188">
        <f t="shared" si="386"/>
        <v>1.9961013645224175</v>
      </c>
      <c r="DA130" s="172">
        <f t="shared" si="387"/>
        <v>290.81632653061229</v>
      </c>
      <c r="DB130" s="379">
        <f t="shared" si="388"/>
        <v>306.72034438775501</v>
      </c>
      <c r="DD130" s="188">
        <f t="shared" si="389"/>
        <v>0.99999999999999978</v>
      </c>
      <c r="DE130" s="150">
        <f t="shared" si="390"/>
        <v>2.1052631578947363</v>
      </c>
      <c r="DF130" s="150">
        <f t="shared" si="391"/>
        <v>0.2295918367346938</v>
      </c>
      <c r="DG130" s="150"/>
      <c r="DH130" s="150">
        <f t="shared" si="392"/>
        <v>2.1052631578947367</v>
      </c>
      <c r="DI130" s="314">
        <f t="shared" si="393"/>
        <v>228</v>
      </c>
      <c r="DJ130" s="456">
        <f t="shared" si="394"/>
        <v>0.3061224489795919</v>
      </c>
      <c r="DL130" s="150">
        <f t="shared" si="395"/>
        <v>0.87287156094396945</v>
      </c>
      <c r="DM130" s="150">
        <f t="shared" si="396"/>
        <v>1</v>
      </c>
      <c r="DN130" s="150">
        <f t="shared" si="397"/>
        <v>1.1302857142857143</v>
      </c>
      <c r="DP130" s="314">
        <f t="shared" si="398"/>
        <v>240</v>
      </c>
      <c r="DQ130" s="144">
        <f t="shared" si="399"/>
        <v>228</v>
      </c>
      <c r="DS130" s="144">
        <f t="shared" si="400"/>
        <v>240</v>
      </c>
      <c r="DT130" s="144">
        <f t="shared" si="401"/>
        <v>228</v>
      </c>
      <c r="DV130" s="5">
        <f t="shared" si="402"/>
        <v>4.3859649122807012</v>
      </c>
      <c r="DW130" s="5">
        <f t="shared" si="403"/>
        <v>1.3333333333333335</v>
      </c>
      <c r="DX130" s="5">
        <f t="shared" si="404"/>
        <v>3.0526315789473677</v>
      </c>
      <c r="DY130" s="150">
        <f t="shared" si="405"/>
        <v>0.30400000000000005</v>
      </c>
      <c r="EA130" s="5">
        <f t="shared" si="406"/>
        <v>6.4</v>
      </c>
      <c r="EB130" s="5">
        <f t="shared" si="407"/>
        <v>0.83333333333333348</v>
      </c>
      <c r="EC130" s="5">
        <f t="shared" si="408"/>
        <v>0.16959064327485374</v>
      </c>
      <c r="ED130" s="5"/>
      <c r="EE130" s="150">
        <f t="shared" si="409"/>
        <v>0.31832897030168861</v>
      </c>
      <c r="EF130" s="150">
        <f t="shared" si="410"/>
        <v>0.48166378315169178</v>
      </c>
      <c r="EG130" s="150">
        <f t="shared" si="411"/>
        <v>0.10766602211626053</v>
      </c>
      <c r="EH130" s="150"/>
      <c r="EI130" s="456">
        <f t="shared" si="412"/>
        <v>2.0266666666666671E-3</v>
      </c>
      <c r="EJ130" s="456">
        <f t="shared" si="413"/>
        <v>6.7032000000000008E-2</v>
      </c>
      <c r="EK130" s="456">
        <f t="shared" si="414"/>
        <v>2.8499999999999998E-2</v>
      </c>
      <c r="EL130" s="456">
        <f t="shared" si="415"/>
        <v>4.9268519999999998E-3</v>
      </c>
      <c r="EM130">
        <f t="shared" si="416"/>
        <v>4.0499999999999998E-3</v>
      </c>
      <c r="EN130" s="144">
        <f t="shared" si="417"/>
        <v>32.549999999999997</v>
      </c>
      <c r="EP130" s="144">
        <f t="shared" si="439"/>
        <v>106.53551866666666</v>
      </c>
      <c r="EQ130" s="150">
        <f t="shared" si="418"/>
        <v>0.16799999999999998</v>
      </c>
      <c r="ER130" s="150">
        <f t="shared" si="419"/>
        <v>2.2187499999999999E-2</v>
      </c>
      <c r="ES130" s="456"/>
      <c r="EU130" s="144">
        <f t="shared" si="420"/>
        <v>190.18749999999997</v>
      </c>
      <c r="EV130" s="456">
        <f t="shared" si="421"/>
        <v>3.0400000000000002E-3</v>
      </c>
      <c r="EW130" s="456">
        <f t="shared" si="422"/>
        <v>6.9599999999999983E-3</v>
      </c>
      <c r="EX130" s="456">
        <f t="shared" si="423"/>
        <v>5.7959861591695503E-5</v>
      </c>
      <c r="EY130" s="456">
        <f t="shared" si="424"/>
        <v>3.9247059328311476E-2</v>
      </c>
      <c r="EZ130" s="456"/>
      <c r="FA130" s="538">
        <f t="shared" si="425"/>
        <v>2.2800000000000001E-4</v>
      </c>
      <c r="FB130" s="144">
        <f t="shared" si="426"/>
        <v>49.533019189903165</v>
      </c>
      <c r="FC130" s="150">
        <f t="shared" si="427"/>
        <v>0.34625603785656978</v>
      </c>
      <c r="FD130" s="5">
        <f t="shared" si="428"/>
        <v>1.6</v>
      </c>
      <c r="FE130" s="150">
        <f t="shared" si="429"/>
        <v>0.82209121969486354</v>
      </c>
      <c r="FF130" s="5">
        <f t="shared" si="430"/>
        <v>82.209121969486347</v>
      </c>
      <c r="FG130">
        <f t="shared" si="431"/>
        <v>20</v>
      </c>
      <c r="FI130" s="59">
        <f t="shared" si="432"/>
        <v>-50</v>
      </c>
      <c r="FJ130">
        <f t="shared" si="433"/>
        <v>-50</v>
      </c>
    </row>
    <row r="131" spans="5:166">
      <c r="E131" s="147">
        <v>21</v>
      </c>
      <c r="F131" s="188">
        <f t="shared" si="434"/>
        <v>0.252</v>
      </c>
      <c r="G131" s="188">
        <f t="shared" si="313"/>
        <v>5.2499999999999998E-2</v>
      </c>
      <c r="H131" s="188">
        <f t="shared" si="314"/>
        <v>1.26</v>
      </c>
      <c r="I131" s="188">
        <f t="shared" si="315"/>
        <v>0.42</v>
      </c>
      <c r="J131" s="465">
        <f t="shared" si="316"/>
        <v>8.9617322857041373</v>
      </c>
      <c r="K131" s="379">
        <f t="shared" si="317"/>
        <v>5.7145999279017685</v>
      </c>
      <c r="L131" s="149">
        <f t="shared" si="318"/>
        <v>14.676332213605907</v>
      </c>
      <c r="M131" s="379"/>
      <c r="N131" s="188">
        <f t="shared" si="319"/>
        <v>0.38937520933220399</v>
      </c>
      <c r="O131" s="149">
        <f t="shared" si="320"/>
        <v>6.5427682213597862</v>
      </c>
      <c r="P131" s="149">
        <f t="shared" si="321"/>
        <v>2.9078969872710161</v>
      </c>
      <c r="Q131" s="188">
        <f t="shared" si="322"/>
        <v>1.3085536442719572</v>
      </c>
      <c r="R131" s="188">
        <f t="shared" si="323"/>
        <v>0.81784602766997327</v>
      </c>
      <c r="S131" s="188">
        <f t="shared" si="324"/>
        <v>5</v>
      </c>
      <c r="T131" s="188">
        <f t="shared" si="325"/>
        <v>0.96289518241419036</v>
      </c>
      <c r="U131" s="188">
        <f t="shared" si="326"/>
        <v>1.2893424865416421</v>
      </c>
      <c r="V131" s="188">
        <f t="shared" si="327"/>
        <v>2.0219687003028475</v>
      </c>
      <c r="W131" s="172">
        <f t="shared" si="328"/>
        <v>290.78969872710161</v>
      </c>
      <c r="X131" s="379">
        <f t="shared" si="435"/>
        <v>284.79389800215063</v>
      </c>
      <c r="Z131" s="188">
        <f t="shared" si="329"/>
        <v>1</v>
      </c>
      <c r="AA131" s="150">
        <f t="shared" si="330"/>
        <v>2.0998845328453366</v>
      </c>
      <c r="AB131" s="150">
        <f t="shared" si="331"/>
        <v>0.22898429650042346</v>
      </c>
      <c r="AC131" s="150"/>
      <c r="AD131" s="150">
        <f t="shared" si="332"/>
        <v>2.0998845328453366</v>
      </c>
      <c r="AE131" s="314">
        <f t="shared" si="333"/>
        <v>240.01319697187429</v>
      </c>
      <c r="AF131" s="456">
        <f t="shared" si="334"/>
        <v>0.30531239533389798</v>
      </c>
      <c r="AH131" s="150">
        <f t="shared" si="335"/>
        <v>0.89442719099991586</v>
      </c>
      <c r="AI131" s="150">
        <f t="shared" si="336"/>
        <v>1</v>
      </c>
      <c r="AJ131" s="150">
        <f t="shared" si="337"/>
        <v>1.1371503982696425</v>
      </c>
      <c r="AL131" s="314">
        <f t="shared" si="338"/>
        <v>252</v>
      </c>
      <c r="AM131" s="144">
        <f t="shared" si="339"/>
        <v>240.01319697187429</v>
      </c>
      <c r="AO131" s="144">
        <f t="shared" si="340"/>
        <v>252</v>
      </c>
      <c r="AP131" s="144">
        <f t="shared" si="341"/>
        <v>240.01319697187429</v>
      </c>
      <c r="AR131" s="5">
        <f t="shared" si="275"/>
        <v>4.1664375651693186</v>
      </c>
      <c r="AS131" s="5">
        <f t="shared" si="440"/>
        <v>1.3390268329196291</v>
      </c>
      <c r="AT131" s="5">
        <f t="shared" si="441"/>
        <v>2.8274107322496898</v>
      </c>
      <c r="AU131" s="150">
        <f t="shared" si="442"/>
        <v>0.32138411100016395</v>
      </c>
      <c r="AW131" s="5">
        <f t="shared" si="342"/>
        <v>6.7486952379149319</v>
      </c>
      <c r="AX131" s="5">
        <f t="shared" si="343"/>
        <v>0.87873635910350656</v>
      </c>
      <c r="AY131" s="5">
        <f t="shared" si="344"/>
        <v>0.16563657416981811</v>
      </c>
      <c r="AZ131" s="5"/>
      <c r="BA131" s="150">
        <f t="shared" si="345"/>
        <v>0.32730419642903241</v>
      </c>
      <c r="BB131" s="150">
        <f t="shared" si="346"/>
        <v>0.47561044598839364</v>
      </c>
      <c r="BC131" s="150">
        <f t="shared" si="347"/>
        <v>0.10631292322093505</v>
      </c>
      <c r="BD131" s="150"/>
      <c r="BE131" s="456">
        <f t="shared" si="348"/>
        <v>2.1425607400010929E-3</v>
      </c>
      <c r="BF131" s="456">
        <f t="shared" si="349"/>
        <v>6.6047126520166088E-2</v>
      </c>
      <c r="BG131" s="456">
        <f t="shared" si="350"/>
        <v>5.3773350407447802E-2</v>
      </c>
      <c r="BH131" s="456">
        <f t="shared" si="351"/>
        <v>5.1697577096747665E-3</v>
      </c>
      <c r="BI131">
        <f t="shared" si="352"/>
        <v>4.0327795285668615E-3</v>
      </c>
      <c r="BJ131" s="144">
        <f t="shared" si="436"/>
        <v>57.806129936014663</v>
      </c>
      <c r="BK131">
        <f t="shared" si="353"/>
        <v>7.3975595305840233E-2</v>
      </c>
      <c r="BL131" s="144">
        <f t="shared" si="437"/>
        <v>131.16557490585663</v>
      </c>
      <c r="BM131" s="150">
        <f t="shared" si="354"/>
        <v>0.156555</v>
      </c>
      <c r="BN131" s="150">
        <f t="shared" si="355"/>
        <v>3.2615624999999995E-2</v>
      </c>
      <c r="BO131" s="456"/>
      <c r="BQ131" s="144">
        <f t="shared" si="356"/>
        <v>189.17062499999997</v>
      </c>
      <c r="BR131" s="456">
        <f t="shared" si="357"/>
        <v>3.2138411100016387E-3</v>
      </c>
      <c r="BS131" s="456">
        <f t="shared" si="358"/>
        <v>6.7861588899983611E-3</v>
      </c>
      <c r="BT131" s="456">
        <f t="shared" si="359"/>
        <v>5.6512188218902158E-5</v>
      </c>
      <c r="BU131" s="456">
        <f t="shared" si="360"/>
        <v>4.4622901799531184E-2</v>
      </c>
      <c r="BV131" s="456"/>
      <c r="BW131" s="538">
        <f t="shared" si="361"/>
        <v>2.4001319697187432E-4</v>
      </c>
      <c r="BX131" s="144">
        <f t="shared" si="362"/>
        <v>54.919427184721961</v>
      </c>
      <c r="BY131" s="150">
        <f t="shared" si="363"/>
        <v>0.37525562709057847</v>
      </c>
      <c r="BZ131" s="5">
        <f t="shared" si="364"/>
        <v>1.68</v>
      </c>
      <c r="CA131" s="150">
        <f t="shared" si="365"/>
        <v>0.81741656748470226</v>
      </c>
      <c r="CB131" s="5">
        <f t="shared" si="366"/>
        <v>81.74165674847022</v>
      </c>
      <c r="CC131">
        <f t="shared" si="367"/>
        <v>21.000000000000004</v>
      </c>
      <c r="CE131" s="59">
        <f t="shared" si="368"/>
        <v>-50</v>
      </c>
      <c r="CF131">
        <f t="shared" si="369"/>
        <v>-50</v>
      </c>
      <c r="CG131" s="150">
        <f t="shared" si="370"/>
        <v>0.51781077624939398</v>
      </c>
      <c r="CH131" s="150">
        <f t="shared" si="371"/>
        <v>0.28091954270517422</v>
      </c>
      <c r="CI131" s="147">
        <v>21</v>
      </c>
      <c r="CJ131" s="188">
        <f t="shared" si="438"/>
        <v>0.252</v>
      </c>
      <c r="CK131" s="188">
        <f t="shared" si="372"/>
        <v>5.2499999999999998E-2</v>
      </c>
      <c r="CL131" s="188">
        <f t="shared" si="373"/>
        <v>1.26</v>
      </c>
      <c r="CM131" s="188">
        <f t="shared" si="374"/>
        <v>0.42</v>
      </c>
      <c r="CN131" s="465">
        <f t="shared" si="375"/>
        <v>9</v>
      </c>
      <c r="CO131" s="379">
        <f t="shared" si="376"/>
        <v>5.7</v>
      </c>
      <c r="CP131" s="379">
        <f t="shared" si="377"/>
        <v>14.7</v>
      </c>
      <c r="CQ131" s="379"/>
      <c r="CR131" s="188">
        <f t="shared" si="378"/>
        <v>0.375</v>
      </c>
      <c r="CS131" s="149">
        <f t="shared" si="379"/>
        <v>6.328125</v>
      </c>
      <c r="CT131" s="149">
        <f t="shared" si="380"/>
        <v>2.8125</v>
      </c>
      <c r="CU131" s="188">
        <f t="shared" si="381"/>
        <v>1.265625</v>
      </c>
      <c r="CV131" s="188">
        <f t="shared" si="382"/>
        <v>0.791015625</v>
      </c>
      <c r="CW131" s="188">
        <f t="shared" si="383"/>
        <v>5</v>
      </c>
      <c r="CX131" s="188">
        <f t="shared" si="384"/>
        <v>0.99555555555555553</v>
      </c>
      <c r="CY131" s="188">
        <f t="shared" si="385"/>
        <v>1.3274074074074074</v>
      </c>
      <c r="CZ131" s="188">
        <f t="shared" si="386"/>
        <v>2.0959064327485382</v>
      </c>
      <c r="DA131" s="172">
        <f t="shared" si="387"/>
        <v>290.81632653061229</v>
      </c>
      <c r="DB131" s="379">
        <f t="shared" si="388"/>
        <v>292.1146137026239</v>
      </c>
      <c r="DD131" s="188">
        <f t="shared" si="389"/>
        <v>0.99999999999999978</v>
      </c>
      <c r="DE131" s="150">
        <f t="shared" si="390"/>
        <v>2.1052631578947363</v>
      </c>
      <c r="DF131" s="150">
        <f t="shared" si="391"/>
        <v>0.2295918367346938</v>
      </c>
      <c r="DG131" s="150"/>
      <c r="DH131" s="150">
        <f t="shared" si="392"/>
        <v>2.1052631578947367</v>
      </c>
      <c r="DI131" s="314">
        <f t="shared" si="393"/>
        <v>239.4</v>
      </c>
      <c r="DJ131" s="456">
        <f t="shared" si="394"/>
        <v>0.3061224489795919</v>
      </c>
      <c r="DL131" s="150">
        <f t="shared" si="395"/>
        <v>0.89442719099991586</v>
      </c>
      <c r="DM131" s="150">
        <f t="shared" si="396"/>
        <v>1</v>
      </c>
      <c r="DN131" s="150">
        <f t="shared" si="397"/>
        <v>1.1368</v>
      </c>
      <c r="DP131" s="314">
        <f t="shared" si="398"/>
        <v>252</v>
      </c>
      <c r="DQ131" s="144">
        <f t="shared" si="399"/>
        <v>239.4</v>
      </c>
      <c r="DS131" s="144">
        <f t="shared" si="400"/>
        <v>252</v>
      </c>
      <c r="DT131" s="144">
        <f t="shared" si="401"/>
        <v>239.4</v>
      </c>
      <c r="DV131" s="5">
        <f t="shared" si="402"/>
        <v>4.1771094402673352</v>
      </c>
      <c r="DW131" s="5">
        <f t="shared" si="403"/>
        <v>1.3333333333333335</v>
      </c>
      <c r="DX131" s="5">
        <f t="shared" si="404"/>
        <v>2.8437761069340017</v>
      </c>
      <c r="DY131" s="150">
        <f t="shared" si="405"/>
        <v>0.31920000000000004</v>
      </c>
      <c r="EA131" s="5">
        <f t="shared" si="406"/>
        <v>6.7200000000000006</v>
      </c>
      <c r="EB131" s="5">
        <f t="shared" si="407"/>
        <v>0.87500000000000011</v>
      </c>
      <c r="EC131" s="5">
        <f t="shared" si="408"/>
        <v>0.16588693957115008</v>
      </c>
      <c r="ED131" s="5"/>
      <c r="EE131" s="150">
        <f t="shared" si="409"/>
        <v>0.32619012860600183</v>
      </c>
      <c r="EF131" s="150">
        <f t="shared" si="410"/>
        <v>0.4763752022653292</v>
      </c>
      <c r="EG131" s="150">
        <f t="shared" si="411"/>
        <v>0.10648386874166182</v>
      </c>
      <c r="EH131" s="150"/>
      <c r="EI131" s="456">
        <f t="shared" si="412"/>
        <v>2.1280000000000001E-3</v>
      </c>
      <c r="EJ131" s="456">
        <f t="shared" si="413"/>
        <v>7.0383600000000004E-2</v>
      </c>
      <c r="EK131" s="456">
        <f t="shared" si="414"/>
        <v>2.9925E-2</v>
      </c>
      <c r="EL131" s="456">
        <f t="shared" si="415"/>
        <v>5.1731946000000001E-3</v>
      </c>
      <c r="EM131">
        <f t="shared" si="416"/>
        <v>4.0499999999999998E-3</v>
      </c>
      <c r="EN131" s="144">
        <f t="shared" si="417"/>
        <v>33.975000000000001</v>
      </c>
      <c r="EP131" s="144">
        <f t="shared" si="439"/>
        <v>111.65979460000001</v>
      </c>
      <c r="EQ131" s="150">
        <f t="shared" si="418"/>
        <v>0.1764</v>
      </c>
      <c r="ER131" s="150">
        <f t="shared" si="419"/>
        <v>2.3296874999999998E-2</v>
      </c>
      <c r="ES131" s="456"/>
      <c r="EU131" s="144">
        <f t="shared" si="420"/>
        <v>199.69687500000001</v>
      </c>
      <c r="EV131" s="456">
        <f t="shared" si="421"/>
        <v>3.192E-3</v>
      </c>
      <c r="EW131" s="456">
        <f t="shared" si="422"/>
        <v>6.8079999999999989E-3</v>
      </c>
      <c r="EX131" s="456">
        <f t="shared" si="423"/>
        <v>5.6694071510957322E-5</v>
      </c>
      <c r="EY131" s="456">
        <f t="shared" si="424"/>
        <v>4.4338435982210829E-2</v>
      </c>
      <c r="EZ131" s="456"/>
      <c r="FA131" s="538">
        <f t="shared" si="425"/>
        <v>2.3940000000000005E-4</v>
      </c>
      <c r="FB131" s="144">
        <f t="shared" si="426"/>
        <v>54.634530053721782</v>
      </c>
      <c r="FC131" s="150">
        <f t="shared" si="427"/>
        <v>0.36599119965372173</v>
      </c>
      <c r="FD131" s="5">
        <f t="shared" si="428"/>
        <v>1.68</v>
      </c>
      <c r="FE131" s="150">
        <f t="shared" si="429"/>
        <v>0.82111790133033569</v>
      </c>
      <c r="FF131" s="5">
        <f t="shared" si="430"/>
        <v>82.111790133033566</v>
      </c>
      <c r="FG131">
        <f t="shared" si="431"/>
        <v>21.000000000000004</v>
      </c>
      <c r="FI131" s="59">
        <f t="shared" si="432"/>
        <v>-50</v>
      </c>
      <c r="FJ131">
        <f t="shared" si="433"/>
        <v>-50</v>
      </c>
    </row>
    <row r="132" spans="5:166">
      <c r="E132" s="147">
        <v>22</v>
      </c>
      <c r="F132" s="188">
        <f t="shared" si="434"/>
        <v>0.26400000000000001</v>
      </c>
      <c r="G132" s="188">
        <f t="shared" si="313"/>
        <v>5.5E-2</v>
      </c>
      <c r="H132" s="188">
        <f t="shared" si="314"/>
        <v>1.32</v>
      </c>
      <c r="I132" s="188">
        <f t="shared" si="315"/>
        <v>0.44</v>
      </c>
      <c r="J132" s="465">
        <f t="shared" si="316"/>
        <v>8.9617322857041373</v>
      </c>
      <c r="K132" s="379">
        <f t="shared" si="317"/>
        <v>5.7145999279017685</v>
      </c>
      <c r="L132" s="149">
        <f t="shared" si="318"/>
        <v>14.676332213605907</v>
      </c>
      <c r="M132" s="379"/>
      <c r="N132" s="188">
        <f t="shared" si="319"/>
        <v>0.38937520933220399</v>
      </c>
      <c r="O132" s="149">
        <f t="shared" si="320"/>
        <v>6.5427682213597862</v>
      </c>
      <c r="P132" s="149">
        <f t="shared" si="321"/>
        <v>2.9078969872710161</v>
      </c>
      <c r="Q132" s="188">
        <f t="shared" si="322"/>
        <v>1.3085536442719572</v>
      </c>
      <c r="R132" s="188">
        <f t="shared" si="323"/>
        <v>0.81784602766997327</v>
      </c>
      <c r="S132" s="188">
        <f t="shared" si="324"/>
        <v>5</v>
      </c>
      <c r="T132" s="188">
        <f t="shared" si="325"/>
        <v>1.0087473339577233</v>
      </c>
      <c r="U132" s="188">
        <f t="shared" si="326"/>
        <v>1.3507397478055296</v>
      </c>
      <c r="V132" s="188">
        <f t="shared" si="327"/>
        <v>2.1182529241267929</v>
      </c>
      <c r="W132" s="172">
        <f t="shared" si="328"/>
        <v>290.78969872710161</v>
      </c>
      <c r="X132" s="379">
        <f t="shared" si="435"/>
        <v>272.55437375222039</v>
      </c>
      <c r="Z132" s="188">
        <f t="shared" si="329"/>
        <v>1</v>
      </c>
      <c r="AA132" s="150">
        <f t="shared" si="330"/>
        <v>2.0998845328453366</v>
      </c>
      <c r="AB132" s="150">
        <f t="shared" si="331"/>
        <v>0.22898429650042346</v>
      </c>
      <c r="AC132" s="150"/>
      <c r="AD132" s="150">
        <f t="shared" si="332"/>
        <v>2.0998845328453366</v>
      </c>
      <c r="AE132" s="314">
        <f t="shared" si="333"/>
        <v>251.44239682767784</v>
      </c>
      <c r="AF132" s="456">
        <f t="shared" si="334"/>
        <v>0.30531239533389798</v>
      </c>
      <c r="AH132" s="150">
        <f t="shared" si="335"/>
        <v>0.91547541643412689</v>
      </c>
      <c r="AI132" s="150">
        <f t="shared" si="336"/>
        <v>1.0087473339577233</v>
      </c>
      <c r="AJ132" s="150">
        <f t="shared" si="337"/>
        <v>1.1436813696158159</v>
      </c>
      <c r="AL132" s="314">
        <f t="shared" si="338"/>
        <v>264</v>
      </c>
      <c r="AM132" s="144">
        <f t="shared" si="339"/>
        <v>251.44239682767784</v>
      </c>
      <c r="AO132" s="144">
        <f t="shared" si="340"/>
        <v>264</v>
      </c>
      <c r="AP132" s="144">
        <f t="shared" si="341"/>
        <v>251.44239682767784</v>
      </c>
      <c r="AR132" s="5">
        <f t="shared" si="275"/>
        <v>3.9770540394798037</v>
      </c>
      <c r="AS132" s="5">
        <f t="shared" si="440"/>
        <v>1.3507397478055296</v>
      </c>
      <c r="AT132" s="5">
        <f t="shared" si="441"/>
        <v>2.6263142916742739</v>
      </c>
      <c r="AU132" s="150">
        <f t="shared" si="442"/>
        <v>0.33963323967863551</v>
      </c>
      <c r="AW132" s="5">
        <f t="shared" si="342"/>
        <v>7.1319058684131962</v>
      </c>
      <c r="AX132" s="5">
        <f t="shared" si="343"/>
        <v>0.92863357661630164</v>
      </c>
      <c r="AY132" s="5">
        <f t="shared" si="344"/>
        <v>0.16118232662730742</v>
      </c>
      <c r="AZ132" s="5"/>
      <c r="BA132" s="150">
        <f t="shared" si="345"/>
        <v>0.33941174490891712</v>
      </c>
      <c r="BB132" s="150">
        <f t="shared" si="346"/>
        <v>0.47327588360999595</v>
      </c>
      <c r="BC132" s="150">
        <f t="shared" si="347"/>
        <v>0.1057910798657638</v>
      </c>
      <c r="BD132" s="150"/>
      <c r="BE132" s="456">
        <f t="shared" si="348"/>
        <v>2.3040066516423169E-3</v>
      </c>
      <c r="BF132" s="456">
        <f t="shared" si="349"/>
        <v>6.9797475306728168E-2</v>
      </c>
      <c r="BG132" s="456">
        <f t="shared" si="350"/>
        <v>5.6333986141135793E-2</v>
      </c>
      <c r="BH132" s="456">
        <f t="shared" si="351"/>
        <v>5.4159366482307084E-3</v>
      </c>
      <c r="BI132">
        <f t="shared" si="352"/>
        <v>4.0327795285668615E-3</v>
      </c>
      <c r="BJ132" s="144">
        <f t="shared" si="436"/>
        <v>60.366765669702659</v>
      </c>
      <c r="BK132">
        <f t="shared" si="353"/>
        <v>7.8182299893810064E-2</v>
      </c>
      <c r="BL132" s="144">
        <f t="shared" si="437"/>
        <v>137.88418427630387</v>
      </c>
      <c r="BM132" s="150">
        <f t="shared" si="354"/>
        <v>0.16400999999999999</v>
      </c>
      <c r="BN132" s="150">
        <f t="shared" si="355"/>
        <v>3.4168749999999998E-2</v>
      </c>
      <c r="BO132" s="456"/>
      <c r="BQ132" s="144">
        <f t="shared" si="356"/>
        <v>198.17874999999998</v>
      </c>
      <c r="BR132" s="456">
        <f t="shared" si="357"/>
        <v>3.4560099774634746E-3</v>
      </c>
      <c r="BS132" s="456">
        <f t="shared" si="358"/>
        <v>6.719701860204672E-3</v>
      </c>
      <c r="BT132" s="456">
        <f t="shared" si="359"/>
        <v>5.5958762895822079E-5</v>
      </c>
      <c r="BU132" s="456">
        <f t="shared" si="360"/>
        <v>5.1229754395620927E-2</v>
      </c>
      <c r="BV132" s="456"/>
      <c r="BW132" s="538">
        <f t="shared" si="361"/>
        <v>2.5586053738910534E-4</v>
      </c>
      <c r="BX132" s="144">
        <f t="shared" si="362"/>
        <v>61.717285533574</v>
      </c>
      <c r="BY132" s="150">
        <f t="shared" si="363"/>
        <v>0.39778021980987788</v>
      </c>
      <c r="BZ132" s="5">
        <f t="shared" si="364"/>
        <v>1.76</v>
      </c>
      <c r="CA132" s="150">
        <f t="shared" si="365"/>
        <v>0.81565304188165832</v>
      </c>
      <c r="CB132" s="5">
        <f t="shared" si="366"/>
        <v>81.56530418816584</v>
      </c>
      <c r="CC132">
        <f t="shared" si="367"/>
        <v>22.000000000000004</v>
      </c>
      <c r="CE132" s="59">
        <f t="shared" si="368"/>
        <v>-50</v>
      </c>
      <c r="CF132">
        <f t="shared" si="369"/>
        <v>-50</v>
      </c>
      <c r="CG132" s="150">
        <f t="shared" si="370"/>
        <v>0.54246843226126995</v>
      </c>
      <c r="CH132" s="150">
        <f t="shared" si="371"/>
        <v>0.29429666378637304</v>
      </c>
      <c r="CI132" s="147">
        <v>22</v>
      </c>
      <c r="CJ132" s="188">
        <f t="shared" si="438"/>
        <v>0.26400000000000001</v>
      </c>
      <c r="CK132" s="188">
        <f t="shared" si="372"/>
        <v>5.5E-2</v>
      </c>
      <c r="CL132" s="188">
        <f t="shared" si="373"/>
        <v>1.32</v>
      </c>
      <c r="CM132" s="188">
        <f t="shared" si="374"/>
        <v>0.44</v>
      </c>
      <c r="CN132" s="465">
        <f t="shared" si="375"/>
        <v>9</v>
      </c>
      <c r="CO132" s="379">
        <f t="shared" si="376"/>
        <v>5.7</v>
      </c>
      <c r="CP132" s="379">
        <f t="shared" si="377"/>
        <v>14.7</v>
      </c>
      <c r="CQ132" s="379"/>
      <c r="CR132" s="188">
        <f t="shared" si="378"/>
        <v>0.375</v>
      </c>
      <c r="CS132" s="149">
        <f t="shared" si="379"/>
        <v>6.328125</v>
      </c>
      <c r="CT132" s="149">
        <f t="shared" si="380"/>
        <v>2.8125</v>
      </c>
      <c r="CU132" s="188">
        <f t="shared" si="381"/>
        <v>1.265625</v>
      </c>
      <c r="CV132" s="188">
        <f t="shared" si="382"/>
        <v>0.791015625</v>
      </c>
      <c r="CW132" s="188">
        <f t="shared" si="383"/>
        <v>5</v>
      </c>
      <c r="CX132" s="188">
        <f t="shared" si="384"/>
        <v>1.0429629629629629</v>
      </c>
      <c r="CY132" s="188">
        <f t="shared" si="385"/>
        <v>1.3906172839506172</v>
      </c>
      <c r="CZ132" s="188">
        <f t="shared" si="386"/>
        <v>2.1957115009746584</v>
      </c>
      <c r="DA132" s="172">
        <f t="shared" si="387"/>
        <v>290.81632653061229</v>
      </c>
      <c r="DB132" s="379">
        <f t="shared" si="388"/>
        <v>278.83667671614103</v>
      </c>
      <c r="DD132" s="188">
        <f t="shared" si="389"/>
        <v>0.99999999999999978</v>
      </c>
      <c r="DE132" s="150">
        <f t="shared" si="390"/>
        <v>2.1052631578947363</v>
      </c>
      <c r="DF132" s="150">
        <f t="shared" si="391"/>
        <v>0.2295918367346938</v>
      </c>
      <c r="DG132" s="150"/>
      <c r="DH132" s="150">
        <f t="shared" si="392"/>
        <v>2.1052631578947367</v>
      </c>
      <c r="DI132" s="314">
        <f t="shared" si="393"/>
        <v>250.80000000000004</v>
      </c>
      <c r="DJ132" s="456">
        <f t="shared" si="394"/>
        <v>0.3061224489795919</v>
      </c>
      <c r="DL132" s="150">
        <f t="shared" si="395"/>
        <v>0.91547541643412689</v>
      </c>
      <c r="DM132" s="150">
        <f t="shared" si="396"/>
        <v>1.0429629629629629</v>
      </c>
      <c r="DN132" s="150">
        <f t="shared" si="397"/>
        <v>1.1433142857142857</v>
      </c>
      <c r="DP132" s="314">
        <f t="shared" si="398"/>
        <v>264</v>
      </c>
      <c r="DQ132" s="144">
        <f t="shared" si="399"/>
        <v>250.80000000000004</v>
      </c>
      <c r="DS132" s="144">
        <f t="shared" si="400"/>
        <v>264</v>
      </c>
      <c r="DT132" s="144">
        <f t="shared" si="401"/>
        <v>250.80000000000004</v>
      </c>
      <c r="DV132" s="5">
        <f t="shared" si="402"/>
        <v>3.9872408293460921</v>
      </c>
      <c r="DW132" s="5">
        <f t="shared" si="403"/>
        <v>1.3906172839506172</v>
      </c>
      <c r="DX132" s="5">
        <f t="shared" si="404"/>
        <v>2.5966235453954747</v>
      </c>
      <c r="DY132" s="150">
        <f t="shared" si="405"/>
        <v>0.34876681481481481</v>
      </c>
      <c r="EA132" s="5">
        <f t="shared" si="406"/>
        <v>7.3424592592592601</v>
      </c>
      <c r="EB132" s="5">
        <f t="shared" si="407"/>
        <v>0.95604938271604945</v>
      </c>
      <c r="EC132" s="5">
        <f t="shared" si="408"/>
        <v>0.15868254999639009</v>
      </c>
      <c r="ED132" s="5"/>
      <c r="EE132" s="150">
        <f t="shared" si="409"/>
        <v>0.35561153231306242</v>
      </c>
      <c r="EF132" s="150">
        <f t="shared" si="410"/>
        <v>0.4859331423046967</v>
      </c>
      <c r="EG132" s="150">
        <f t="shared" si="411"/>
        <v>0.10862034945634398</v>
      </c>
      <c r="EH132" s="150"/>
      <c r="EI132" s="456">
        <f t="shared" si="412"/>
        <v>2.5291912382808847E-3</v>
      </c>
      <c r="EJ132" s="456">
        <f t="shared" si="413"/>
        <v>7.6903082666666664E-2</v>
      </c>
      <c r="EK132" s="456">
        <f t="shared" si="414"/>
        <v>3.1350000000000003E-2</v>
      </c>
      <c r="EL132" s="456">
        <f t="shared" si="415"/>
        <v>5.4195372000000004E-3</v>
      </c>
      <c r="EM132">
        <f t="shared" si="416"/>
        <v>4.0499999999999998E-3</v>
      </c>
      <c r="EN132" s="144">
        <f t="shared" si="417"/>
        <v>35.4</v>
      </c>
      <c r="EP132" s="144">
        <f t="shared" si="439"/>
        <v>120.25181110494755</v>
      </c>
      <c r="EQ132" s="150">
        <f t="shared" si="418"/>
        <v>0.18479999999999999</v>
      </c>
      <c r="ER132" s="150">
        <f t="shared" si="419"/>
        <v>2.4406249999999997E-2</v>
      </c>
      <c r="ES132" s="456"/>
      <c r="EU132" s="144">
        <f t="shared" si="420"/>
        <v>209.20624999999998</v>
      </c>
      <c r="EV132" s="456">
        <f t="shared" si="421"/>
        <v>3.7937868574213266E-3</v>
      </c>
      <c r="EW132" s="456">
        <f t="shared" si="422"/>
        <v>7.0839305637034984E-3</v>
      </c>
      <c r="EX132" s="456">
        <f t="shared" si="423"/>
        <v>5.8991901580091438E-5</v>
      </c>
      <c r="EY132" s="456">
        <f t="shared" si="424"/>
        <v>5.5330048450540723E-2</v>
      </c>
      <c r="EZ132" s="456"/>
      <c r="FA132" s="538">
        <f t="shared" si="425"/>
        <v>2.7281315292181074E-4</v>
      </c>
      <c r="FB132" s="144">
        <f t="shared" si="426"/>
        <v>66.539570926167457</v>
      </c>
      <c r="FC132" s="150">
        <f t="shared" si="427"/>
        <v>0.39599763203111504</v>
      </c>
      <c r="FD132" s="5">
        <f t="shared" si="428"/>
        <v>1.76</v>
      </c>
      <c r="FE132" s="150">
        <f t="shared" si="429"/>
        <v>0.81632742719756379</v>
      </c>
      <c r="FF132" s="5">
        <f t="shared" si="430"/>
        <v>81.632742719756379</v>
      </c>
      <c r="FG132">
        <f t="shared" si="431"/>
        <v>22.000000000000004</v>
      </c>
      <c r="FI132" s="59">
        <f t="shared" si="432"/>
        <v>-50</v>
      </c>
      <c r="FJ132">
        <f t="shared" si="433"/>
        <v>-50</v>
      </c>
    </row>
    <row r="133" spans="5:166">
      <c r="E133" s="147">
        <v>23</v>
      </c>
      <c r="F133" s="188">
        <f t="shared" si="434"/>
        <v>0.27600000000000002</v>
      </c>
      <c r="G133" s="188">
        <f t="shared" si="313"/>
        <v>5.7500000000000002E-2</v>
      </c>
      <c r="H133" s="188">
        <f t="shared" si="314"/>
        <v>1.3800000000000001</v>
      </c>
      <c r="I133" s="188">
        <f t="shared" si="315"/>
        <v>0.46</v>
      </c>
      <c r="J133" s="465">
        <f t="shared" si="316"/>
        <v>8.9617322857041373</v>
      </c>
      <c r="K133" s="379">
        <f t="shared" si="317"/>
        <v>5.7145999279017685</v>
      </c>
      <c r="L133" s="149">
        <f t="shared" si="318"/>
        <v>14.676332213605907</v>
      </c>
      <c r="M133" s="379"/>
      <c r="N133" s="188">
        <f t="shared" si="319"/>
        <v>0.38937520933220399</v>
      </c>
      <c r="O133" s="149">
        <f t="shared" si="320"/>
        <v>6.5427682213597862</v>
      </c>
      <c r="P133" s="149">
        <f t="shared" si="321"/>
        <v>2.9078969872710161</v>
      </c>
      <c r="Q133" s="188">
        <f t="shared" si="322"/>
        <v>1.3085536442719572</v>
      </c>
      <c r="R133" s="188">
        <f t="shared" si="323"/>
        <v>0.81784602766997327</v>
      </c>
      <c r="S133" s="188">
        <f t="shared" si="324"/>
        <v>5</v>
      </c>
      <c r="T133" s="188">
        <f t="shared" si="325"/>
        <v>1.0545994855012562</v>
      </c>
      <c r="U133" s="188">
        <f t="shared" si="326"/>
        <v>1.4121370090694174</v>
      </c>
      <c r="V133" s="188">
        <f t="shared" si="327"/>
        <v>2.2145371479507374</v>
      </c>
      <c r="W133" s="172">
        <f t="shared" si="328"/>
        <v>290.78969872710161</v>
      </c>
      <c r="X133" s="379">
        <f t="shared" si="435"/>
        <v>261.32353029469948</v>
      </c>
      <c r="Z133" s="188">
        <f t="shared" si="329"/>
        <v>1</v>
      </c>
      <c r="AA133" s="150">
        <f t="shared" si="330"/>
        <v>2.0998845328453366</v>
      </c>
      <c r="AB133" s="150">
        <f t="shared" si="331"/>
        <v>0.22898429650042346</v>
      </c>
      <c r="AC133" s="150"/>
      <c r="AD133" s="150">
        <f t="shared" si="332"/>
        <v>2.0998845328453366</v>
      </c>
      <c r="AE133" s="314">
        <f t="shared" si="333"/>
        <v>262.87159668348141</v>
      </c>
      <c r="AF133" s="456">
        <f t="shared" si="334"/>
        <v>0.30531239533389798</v>
      </c>
      <c r="AH133" s="150">
        <f t="shared" si="335"/>
        <v>0.93605046668995162</v>
      </c>
      <c r="AI133" s="150">
        <f t="shared" si="336"/>
        <v>1.0545994855012562</v>
      </c>
      <c r="AJ133" s="150">
        <f t="shared" si="337"/>
        <v>1.1502123409619893</v>
      </c>
      <c r="AL133" s="314">
        <f t="shared" si="338"/>
        <v>276</v>
      </c>
      <c r="AM133" s="144">
        <f t="shared" si="339"/>
        <v>262.87159668348141</v>
      </c>
      <c r="AO133" s="144">
        <f t="shared" si="340"/>
        <v>276</v>
      </c>
      <c r="AP133" s="144">
        <f t="shared" si="341"/>
        <v>262.87159668348141</v>
      </c>
      <c r="AR133" s="5">
        <f t="shared" si="275"/>
        <v>3.8041386464589424</v>
      </c>
      <c r="AS133" s="5">
        <f t="shared" si="440"/>
        <v>1.4121370090694174</v>
      </c>
      <c r="AT133" s="5">
        <f t="shared" si="441"/>
        <v>2.3920016373895248</v>
      </c>
      <c r="AU133" s="150">
        <f t="shared" si="442"/>
        <v>0.37121071030991365</v>
      </c>
      <c r="AW133" s="5">
        <f t="shared" si="342"/>
        <v>7.7949962900631853</v>
      </c>
      <c r="AX133" s="5">
        <f t="shared" si="343"/>
        <v>1.0149734752686439</v>
      </c>
      <c r="AY133" s="5">
        <f t="shared" si="344"/>
        <v>0.1534748972241709</v>
      </c>
      <c r="AZ133" s="5"/>
      <c r="BA133" s="150">
        <f t="shared" si="345"/>
        <v>0.37096862201821723</v>
      </c>
      <c r="BB133" s="150">
        <f t="shared" si="346"/>
        <v>0.48281360076577151</v>
      </c>
      <c r="BC133" s="150">
        <f t="shared" si="347"/>
        <v>0.10792304017117245</v>
      </c>
      <c r="BD133" s="150"/>
      <c r="BE133" s="456">
        <f t="shared" si="348"/>
        <v>2.7523543704418983E-3</v>
      </c>
      <c r="BF133" s="456">
        <f t="shared" si="349"/>
        <v>7.6286909994337224E-2</v>
      </c>
      <c r="BG133" s="456">
        <f t="shared" si="350"/>
        <v>5.8894621874823791E-2</v>
      </c>
      <c r="BH133" s="456">
        <f t="shared" si="351"/>
        <v>5.6621155867866493E-3</v>
      </c>
      <c r="BI133">
        <f t="shared" si="352"/>
        <v>4.0327795285668615E-3</v>
      </c>
      <c r="BJ133" s="144">
        <f t="shared" si="436"/>
        <v>62.927401403390647</v>
      </c>
      <c r="BK133">
        <f t="shared" si="353"/>
        <v>8.5500429440986708E-2</v>
      </c>
      <c r="BL133" s="144">
        <f t="shared" si="437"/>
        <v>147.6287813549564</v>
      </c>
      <c r="BM133" s="150">
        <f t="shared" si="354"/>
        <v>0.17146500000000001</v>
      </c>
      <c r="BN133" s="150">
        <f t="shared" si="355"/>
        <v>3.5721875E-2</v>
      </c>
      <c r="BO133" s="456"/>
      <c r="BQ133" s="144">
        <f t="shared" si="356"/>
        <v>207.18687499999999</v>
      </c>
      <c r="BR133" s="456">
        <f t="shared" si="357"/>
        <v>4.1285315556628477E-3</v>
      </c>
      <c r="BS133" s="456">
        <f t="shared" si="358"/>
        <v>6.9932691925322938E-3</v>
      </c>
      <c r="BT133" s="456">
        <f t="shared" si="359"/>
        <v>5.823691299894251E-5</v>
      </c>
      <c r="BU133" s="456">
        <f t="shared" si="360"/>
        <v>6.3980561882566497E-2</v>
      </c>
      <c r="BV133" s="456"/>
      <c r="BW133" s="538">
        <f t="shared" si="361"/>
        <v>2.9236055206735952E-4</v>
      </c>
      <c r="BX133" s="144">
        <f t="shared" si="362"/>
        <v>75.452960095827947</v>
      </c>
      <c r="BY133" s="150">
        <f t="shared" si="363"/>
        <v>0.4302686164507844</v>
      </c>
      <c r="BZ133" s="5">
        <f t="shared" si="364"/>
        <v>1.84</v>
      </c>
      <c r="CA133" s="150">
        <f t="shared" si="365"/>
        <v>0.81047678088267672</v>
      </c>
      <c r="CB133" s="5">
        <f t="shared" si="366"/>
        <v>81.047678088267674</v>
      </c>
      <c r="CC133">
        <f t="shared" si="367"/>
        <v>23.000000000000004</v>
      </c>
      <c r="CE133" s="59">
        <f t="shared" si="368"/>
        <v>-50</v>
      </c>
      <c r="CF133">
        <f t="shared" si="369"/>
        <v>-50</v>
      </c>
      <c r="CG133" s="150">
        <f t="shared" si="370"/>
        <v>0.56712608827314592</v>
      </c>
      <c r="CH133" s="150">
        <f t="shared" si="371"/>
        <v>0.3076737848675718</v>
      </c>
      <c r="CI133" s="147">
        <v>23</v>
      </c>
      <c r="CJ133" s="188">
        <f t="shared" si="438"/>
        <v>0.27600000000000002</v>
      </c>
      <c r="CK133" s="188">
        <f t="shared" si="372"/>
        <v>5.7500000000000002E-2</v>
      </c>
      <c r="CL133" s="188">
        <f t="shared" si="373"/>
        <v>1.3800000000000001</v>
      </c>
      <c r="CM133" s="188">
        <f t="shared" si="374"/>
        <v>0.46</v>
      </c>
      <c r="CN133" s="465">
        <f t="shared" si="375"/>
        <v>9</v>
      </c>
      <c r="CO133" s="379">
        <f t="shared" si="376"/>
        <v>5.7</v>
      </c>
      <c r="CP133" s="379">
        <f t="shared" si="377"/>
        <v>14.7</v>
      </c>
      <c r="CQ133" s="379"/>
      <c r="CR133" s="188">
        <f t="shared" si="378"/>
        <v>0.375</v>
      </c>
      <c r="CS133" s="149">
        <f t="shared" si="379"/>
        <v>6.328125</v>
      </c>
      <c r="CT133" s="149">
        <f t="shared" si="380"/>
        <v>2.8125</v>
      </c>
      <c r="CU133" s="188">
        <f t="shared" si="381"/>
        <v>1.265625</v>
      </c>
      <c r="CV133" s="188">
        <f t="shared" si="382"/>
        <v>0.791015625</v>
      </c>
      <c r="CW133" s="188">
        <f t="shared" si="383"/>
        <v>5</v>
      </c>
      <c r="CX133" s="188">
        <f t="shared" si="384"/>
        <v>1.0903703703703704</v>
      </c>
      <c r="CY133" s="188">
        <f t="shared" si="385"/>
        <v>1.4538271604938271</v>
      </c>
      <c r="CZ133" s="188">
        <f t="shared" si="386"/>
        <v>2.29551656920078</v>
      </c>
      <c r="DA133" s="172">
        <f t="shared" si="387"/>
        <v>290.81632653061229</v>
      </c>
      <c r="DB133" s="379">
        <f t="shared" si="388"/>
        <v>266.71334294587399</v>
      </c>
      <c r="DD133" s="188">
        <f t="shared" si="389"/>
        <v>0.99999999999999978</v>
      </c>
      <c r="DE133" s="150">
        <f t="shared" si="390"/>
        <v>2.1052631578947363</v>
      </c>
      <c r="DF133" s="150">
        <f t="shared" si="391"/>
        <v>0.2295918367346938</v>
      </c>
      <c r="DG133" s="150"/>
      <c r="DH133" s="150">
        <f t="shared" si="392"/>
        <v>2.1052631578947367</v>
      </c>
      <c r="DI133" s="314">
        <f t="shared" si="393"/>
        <v>262.20000000000005</v>
      </c>
      <c r="DJ133" s="456">
        <f t="shared" si="394"/>
        <v>0.3061224489795919</v>
      </c>
      <c r="DL133" s="150">
        <f t="shared" si="395"/>
        <v>0.93605046668995162</v>
      </c>
      <c r="DM133" s="150">
        <f t="shared" si="396"/>
        <v>1.0903703703703704</v>
      </c>
      <c r="DN133" s="150">
        <f t="shared" si="397"/>
        <v>1.1498285714285714</v>
      </c>
      <c r="DP133" s="314">
        <f t="shared" si="398"/>
        <v>276</v>
      </c>
      <c r="DQ133" s="144">
        <f t="shared" si="399"/>
        <v>262.20000000000005</v>
      </c>
      <c r="DS133" s="144">
        <f t="shared" si="400"/>
        <v>276</v>
      </c>
      <c r="DT133" s="144">
        <f t="shared" si="401"/>
        <v>262.20000000000005</v>
      </c>
      <c r="DV133" s="5">
        <f t="shared" si="402"/>
        <v>3.8138825324180008</v>
      </c>
      <c r="DW133" s="5">
        <f t="shared" si="403"/>
        <v>1.4538271604938271</v>
      </c>
      <c r="DX133" s="5">
        <f t="shared" si="404"/>
        <v>2.3600553719241737</v>
      </c>
      <c r="DY133" s="150">
        <f t="shared" si="405"/>
        <v>0.38119348148148152</v>
      </c>
      <c r="EA133" s="5">
        <f t="shared" si="406"/>
        <v>8.0251259259259271</v>
      </c>
      <c r="EB133" s="5">
        <f t="shared" si="407"/>
        <v>1.0449382716049382</v>
      </c>
      <c r="EC133" s="5">
        <f t="shared" si="408"/>
        <v>0.15078131542848888</v>
      </c>
      <c r="ED133" s="5"/>
      <c r="EE133" s="150">
        <f t="shared" si="409"/>
        <v>0.3886745880033266</v>
      </c>
      <c r="EF133" s="150">
        <f t="shared" si="410"/>
        <v>0.49521165121691552</v>
      </c>
      <c r="EG133" s="150">
        <f t="shared" si="411"/>
        <v>0.11069436909554582</v>
      </c>
      <c r="EH133" s="150"/>
      <c r="EI133" s="456">
        <f t="shared" si="412"/>
        <v>3.0213587071911134E-3</v>
      </c>
      <c r="EJ133" s="456">
        <f t="shared" si="413"/>
        <v>8.4053162666666695E-2</v>
      </c>
      <c r="EK133" s="456">
        <f t="shared" si="414"/>
        <v>3.2775000000000006E-2</v>
      </c>
      <c r="EL133" s="456">
        <f t="shared" si="415"/>
        <v>5.6658798000000007E-3</v>
      </c>
      <c r="EM133">
        <f t="shared" si="416"/>
        <v>4.0499999999999998E-3</v>
      </c>
      <c r="EN133" s="144">
        <f t="shared" si="417"/>
        <v>36.825000000000003</v>
      </c>
      <c r="EP133" s="144">
        <f t="shared" si="439"/>
        <v>129.56540117385782</v>
      </c>
      <c r="EQ133" s="150">
        <f t="shared" si="418"/>
        <v>0.19320000000000001</v>
      </c>
      <c r="ER133" s="150">
        <f t="shared" si="419"/>
        <v>2.5515625E-2</v>
      </c>
      <c r="ES133" s="456"/>
      <c r="EU133" s="144">
        <f t="shared" si="420"/>
        <v>218.71562500000002</v>
      </c>
      <c r="EV133" s="456">
        <f t="shared" si="421"/>
        <v>4.5320380607866704E-3</v>
      </c>
      <c r="EW133" s="456">
        <f t="shared" si="422"/>
        <v>7.357037385029519E-3</v>
      </c>
      <c r="EX133" s="456">
        <f t="shared" si="423"/>
        <v>6.1266216747304654E-5</v>
      </c>
      <c r="EY133" s="456">
        <f t="shared" si="424"/>
        <v>6.9101396846786609E-2</v>
      </c>
      <c r="EZ133" s="456"/>
      <c r="FA133" s="538">
        <f t="shared" si="425"/>
        <v>3.117315581893006E-4</v>
      </c>
      <c r="FB133" s="144">
        <f t="shared" si="426"/>
        <v>81.363470067539396</v>
      </c>
      <c r="FC133" s="150">
        <f t="shared" si="427"/>
        <v>0.42964449624139722</v>
      </c>
      <c r="FD133" s="5">
        <f t="shared" si="428"/>
        <v>1.84</v>
      </c>
      <c r="FE133" s="150">
        <f t="shared" si="429"/>
        <v>0.81069965056073667</v>
      </c>
      <c r="FF133" s="5">
        <f t="shared" si="430"/>
        <v>81.06996505607367</v>
      </c>
      <c r="FG133">
        <f t="shared" si="431"/>
        <v>23.000000000000004</v>
      </c>
      <c r="FI133" s="59">
        <f t="shared" si="432"/>
        <v>-50</v>
      </c>
      <c r="FJ133">
        <f t="shared" si="433"/>
        <v>-50</v>
      </c>
    </row>
    <row r="134" spans="5:166">
      <c r="E134" s="147">
        <v>24</v>
      </c>
      <c r="F134" s="188">
        <f t="shared" si="434"/>
        <v>0.28799999999999998</v>
      </c>
      <c r="G134" s="188">
        <f t="shared" si="313"/>
        <v>0.06</v>
      </c>
      <c r="H134" s="188">
        <f t="shared" si="314"/>
        <v>1.44</v>
      </c>
      <c r="I134" s="188">
        <f t="shared" si="315"/>
        <v>0.48</v>
      </c>
      <c r="J134" s="465">
        <f t="shared" si="316"/>
        <v>8.9614475332294905</v>
      </c>
      <c r="K134" s="379">
        <f t="shared" si="317"/>
        <v>5.7147707793865568</v>
      </c>
      <c r="L134" s="149">
        <f t="shared" si="318"/>
        <v>14.676218312616047</v>
      </c>
      <c r="M134" s="379"/>
      <c r="N134" s="188">
        <f t="shared" si="319"/>
        <v>0.3893898726263833</v>
      </c>
      <c r="O134" s="149">
        <f t="shared" si="320"/>
        <v>6.542806712835465</v>
      </c>
      <c r="P134" s="149">
        <f t="shared" si="321"/>
        <v>2.90791409459354</v>
      </c>
      <c r="Q134" s="188">
        <f t="shared" si="322"/>
        <v>1.308561342567093</v>
      </c>
      <c r="R134" s="188">
        <f t="shared" si="323"/>
        <v>0.81785083910443312</v>
      </c>
      <c r="S134" s="188">
        <f t="shared" si="324"/>
        <v>5</v>
      </c>
      <c r="T134" s="188">
        <f t="shared" si="325"/>
        <v>1.1004451630636245</v>
      </c>
      <c r="U134" s="188">
        <f t="shared" si="326"/>
        <v>1.4735724231824641</v>
      </c>
      <c r="V134" s="188">
        <f t="shared" si="327"/>
        <v>2.3107386921616833</v>
      </c>
      <c r="W134" s="172">
        <f t="shared" si="328"/>
        <v>290.79140945935404</v>
      </c>
      <c r="X134" s="379">
        <f t="shared" si="435"/>
        <v>250.98441638978898</v>
      </c>
      <c r="Z134" s="188">
        <f t="shared" si="329"/>
        <v>0.99999999999999978</v>
      </c>
      <c r="AA134" s="150">
        <f t="shared" si="330"/>
        <v>2.0998217537061246</v>
      </c>
      <c r="AB134" s="150">
        <f t="shared" si="331"/>
        <v>0.22897879776510616</v>
      </c>
      <c r="AC134" s="150"/>
      <c r="AD134" s="150">
        <f t="shared" si="332"/>
        <v>2.0998217537061254</v>
      </c>
      <c r="AE134" s="314">
        <f t="shared" si="333"/>
        <v>274.3089974105547</v>
      </c>
      <c r="AF134" s="456">
        <f t="shared" si="334"/>
        <v>0.30530506368680838</v>
      </c>
      <c r="AH134" s="150">
        <f t="shared" si="335"/>
        <v>0.9561828874675149</v>
      </c>
      <c r="AI134" s="150">
        <f t="shared" si="336"/>
        <v>1.1004451630636245</v>
      </c>
      <c r="AJ134" s="150">
        <f t="shared" si="337"/>
        <v>1.1567479985203168</v>
      </c>
      <c r="AL134" s="314">
        <f t="shared" si="338"/>
        <v>288</v>
      </c>
      <c r="AM134" s="144">
        <f t="shared" si="339"/>
        <v>274.3089974105547</v>
      </c>
      <c r="AO134" s="144">
        <f t="shared" si="340"/>
        <v>288</v>
      </c>
      <c r="AP134" s="144">
        <f t="shared" si="341"/>
        <v>274.3089974105547</v>
      </c>
      <c r="AR134" s="5">
        <f t="shared" ref="AR134:AR197" si="443">1/AM134*1000</f>
        <v>3.6455238779620234</v>
      </c>
      <c r="AS134" s="5">
        <f t="shared" si="440"/>
        <v>1.4735724231824641</v>
      </c>
      <c r="AT134" s="5">
        <f t="shared" si="441"/>
        <v>2.1719514547795593</v>
      </c>
      <c r="AU134" s="150">
        <f t="shared" si="442"/>
        <v>0.40421417401502335</v>
      </c>
      <c r="AW134" s="5">
        <f t="shared" si="342"/>
        <v>8.4877771575309922</v>
      </c>
      <c r="AX134" s="5">
        <f t="shared" si="343"/>
        <v>1.1051793173868478</v>
      </c>
      <c r="AY134" s="5">
        <f t="shared" si="344"/>
        <v>0.14541968449131831</v>
      </c>
      <c r="AZ134" s="5"/>
      <c r="BA134" s="150">
        <f t="shared" si="345"/>
        <v>0.40393691807240811</v>
      </c>
      <c r="BB134" s="150">
        <f t="shared" si="346"/>
        <v>0.4904027105568855</v>
      </c>
      <c r="BC134" s="150">
        <f t="shared" si="347"/>
        <v>0.10961942941859794</v>
      </c>
      <c r="BD134" s="150"/>
      <c r="BE134" s="456">
        <f t="shared" si="348"/>
        <v>3.2633006756367065E-3</v>
      </c>
      <c r="BF134" s="456">
        <f t="shared" si="349"/>
        <v>8.3066114062936555E-2</v>
      </c>
      <c r="BG134" s="456">
        <f t="shared" si="350"/>
        <v>6.1455142204686744E-2</v>
      </c>
      <c r="BH134" s="456">
        <f t="shared" si="351"/>
        <v>5.9083794584820545E-3</v>
      </c>
      <c r="BI134">
        <f t="shared" si="352"/>
        <v>4.032651389953271E-3</v>
      </c>
      <c r="BJ134" s="144">
        <f t="shared" si="436"/>
        <v>65.487793594640024</v>
      </c>
      <c r="BK134">
        <f t="shared" si="353"/>
        <v>9.3191142085820272E-2</v>
      </c>
      <c r="BL134" s="144">
        <f t="shared" si="437"/>
        <v>157.72558779169532</v>
      </c>
      <c r="BM134" s="150">
        <f t="shared" si="354"/>
        <v>0.17891999999999997</v>
      </c>
      <c r="BN134" s="150">
        <f t="shared" si="355"/>
        <v>3.7274999999999996E-2</v>
      </c>
      <c r="BO134" s="456"/>
      <c r="BQ134" s="144">
        <f t="shared" si="356"/>
        <v>216.19499999999996</v>
      </c>
      <c r="BR134" s="456">
        <f t="shared" si="357"/>
        <v>4.8949510134550598E-3</v>
      </c>
      <c r="BS134" s="456">
        <f t="shared" si="358"/>
        <v>7.214844555646212E-3</v>
      </c>
      <c r="BT134" s="456">
        <f t="shared" si="359"/>
        <v>6.0082096530294878E-5</v>
      </c>
      <c r="BU134" s="456">
        <f t="shared" si="360"/>
        <v>7.9157332566762134E-2</v>
      </c>
      <c r="BV134" s="456"/>
      <c r="BW134" s="538">
        <f t="shared" si="361"/>
        <v>3.3218258814069471E-4</v>
      </c>
      <c r="BX134" s="144">
        <f t="shared" si="362"/>
        <v>91.659392820534393</v>
      </c>
      <c r="BY134" s="150">
        <f t="shared" si="363"/>
        <v>0.46557998061222972</v>
      </c>
      <c r="BZ134" s="5">
        <f t="shared" si="364"/>
        <v>1.92</v>
      </c>
      <c r="CA134" s="150">
        <f t="shared" si="365"/>
        <v>0.80483572783305124</v>
      </c>
      <c r="CB134" s="5">
        <f t="shared" si="366"/>
        <v>80.483572783305121</v>
      </c>
      <c r="CC134">
        <f t="shared" si="367"/>
        <v>24</v>
      </c>
      <c r="CE134" s="59">
        <f t="shared" si="368"/>
        <v>-50</v>
      </c>
      <c r="CF134">
        <f t="shared" si="369"/>
        <v>-50</v>
      </c>
      <c r="CG134" s="150">
        <f t="shared" si="370"/>
        <v>0.58493866666666672</v>
      </c>
      <c r="CH134" s="150">
        <f t="shared" si="371"/>
        <v>0.32105090594877056</v>
      </c>
      <c r="CI134" s="147">
        <v>24</v>
      </c>
      <c r="CJ134" s="188">
        <f t="shared" si="438"/>
        <v>0.28799999999999998</v>
      </c>
      <c r="CK134" s="188">
        <f t="shared" si="372"/>
        <v>0.06</v>
      </c>
      <c r="CL134" s="188">
        <f t="shared" si="373"/>
        <v>1.44</v>
      </c>
      <c r="CM134" s="188">
        <f t="shared" si="374"/>
        <v>0.48</v>
      </c>
      <c r="CN134" s="465">
        <f t="shared" si="375"/>
        <v>9</v>
      </c>
      <c r="CO134" s="379">
        <f t="shared" si="376"/>
        <v>5.7</v>
      </c>
      <c r="CP134" s="379">
        <f t="shared" si="377"/>
        <v>14.7</v>
      </c>
      <c r="CQ134" s="379"/>
      <c r="CR134" s="188">
        <f t="shared" si="378"/>
        <v>0.375</v>
      </c>
      <c r="CS134" s="149">
        <f t="shared" si="379"/>
        <v>6.328125</v>
      </c>
      <c r="CT134" s="149">
        <f t="shared" si="380"/>
        <v>2.8125</v>
      </c>
      <c r="CU134" s="188">
        <f t="shared" si="381"/>
        <v>1.265625</v>
      </c>
      <c r="CV134" s="188">
        <f t="shared" si="382"/>
        <v>0.791015625</v>
      </c>
      <c r="CW134" s="188">
        <f t="shared" si="383"/>
        <v>5</v>
      </c>
      <c r="CX134" s="188">
        <f t="shared" si="384"/>
        <v>1.1377777777777778</v>
      </c>
      <c r="CY134" s="188">
        <f t="shared" si="385"/>
        <v>1.517037037037037</v>
      </c>
      <c r="CZ134" s="188">
        <f t="shared" si="386"/>
        <v>2.3953216374269006</v>
      </c>
      <c r="DA134" s="172">
        <f t="shared" si="387"/>
        <v>290.81632653061229</v>
      </c>
      <c r="DB134" s="379">
        <f t="shared" si="388"/>
        <v>255.60028698979593</v>
      </c>
      <c r="DD134" s="188">
        <f t="shared" si="389"/>
        <v>0.99999999999999978</v>
      </c>
      <c r="DE134" s="150">
        <f t="shared" si="390"/>
        <v>2.1052631578947363</v>
      </c>
      <c r="DF134" s="150">
        <f t="shared" si="391"/>
        <v>0.2295918367346938</v>
      </c>
      <c r="DG134" s="150"/>
      <c r="DH134" s="150">
        <f t="shared" si="392"/>
        <v>2.1052631578947367</v>
      </c>
      <c r="DI134" s="314">
        <f t="shared" si="393"/>
        <v>273.60000000000002</v>
      </c>
      <c r="DJ134" s="456">
        <f t="shared" si="394"/>
        <v>0.3061224489795919</v>
      </c>
      <c r="DL134" s="150">
        <f t="shared" si="395"/>
        <v>0.9561828874675149</v>
      </c>
      <c r="DM134" s="150">
        <f t="shared" si="396"/>
        <v>1.1377777777777778</v>
      </c>
      <c r="DN134" s="150">
        <f t="shared" si="397"/>
        <v>1.1563428571428571</v>
      </c>
      <c r="DP134" s="314">
        <f t="shared" si="398"/>
        <v>288</v>
      </c>
      <c r="DQ134" s="144">
        <f t="shared" si="399"/>
        <v>273.60000000000002</v>
      </c>
      <c r="DS134" s="144">
        <f t="shared" si="400"/>
        <v>288</v>
      </c>
      <c r="DT134" s="144">
        <f t="shared" si="401"/>
        <v>273.60000000000002</v>
      </c>
      <c r="DV134" s="5">
        <f t="shared" si="402"/>
        <v>3.6549707602339181</v>
      </c>
      <c r="DW134" s="5">
        <f t="shared" si="403"/>
        <v>1.517037037037037</v>
      </c>
      <c r="DX134" s="5">
        <f t="shared" si="404"/>
        <v>2.1379337231968814</v>
      </c>
      <c r="DY134" s="150">
        <f t="shared" si="405"/>
        <v>0.41506133333333334</v>
      </c>
      <c r="EA134" s="5">
        <f t="shared" si="406"/>
        <v>8.738133333333332</v>
      </c>
      <c r="EB134" s="5">
        <f t="shared" si="407"/>
        <v>1.1377777777777778</v>
      </c>
      <c r="EC134" s="5">
        <f t="shared" si="408"/>
        <v>0.14252891487979208</v>
      </c>
      <c r="ED134" s="5"/>
      <c r="EE134" s="150">
        <f t="shared" si="409"/>
        <v>0.42320711283538009</v>
      </c>
      <c r="EF134" s="150">
        <f t="shared" si="410"/>
        <v>0.50240272376569373</v>
      </c>
      <c r="EG134" s="150">
        <f t="shared" si="411"/>
        <v>0.11230178531233155</v>
      </c>
      <c r="EH134" s="150"/>
      <c r="EI134" s="456">
        <f t="shared" si="412"/>
        <v>3.5820852070891631E-3</v>
      </c>
      <c r="EJ134" s="456">
        <f t="shared" si="413"/>
        <v>9.1521024000000006E-2</v>
      </c>
      <c r="EK134" s="456">
        <f t="shared" si="414"/>
        <v>3.4200000000000001E-2</v>
      </c>
      <c r="EL134" s="456">
        <f t="shared" si="415"/>
        <v>5.9122224000000001E-3</v>
      </c>
      <c r="EM134">
        <f t="shared" si="416"/>
        <v>4.0499999999999998E-3</v>
      </c>
      <c r="EN134" s="144">
        <f t="shared" si="417"/>
        <v>38.25</v>
      </c>
      <c r="EP134" s="144">
        <f t="shared" si="439"/>
        <v>139.26533160708917</v>
      </c>
      <c r="EQ134" s="150">
        <f t="shared" si="418"/>
        <v>0.20159999999999997</v>
      </c>
      <c r="ER134" s="150">
        <f t="shared" si="419"/>
        <v>2.6624999999999999E-2</v>
      </c>
      <c r="ES134" s="456"/>
      <c r="EU134" s="144">
        <f t="shared" si="420"/>
        <v>228.22499999999999</v>
      </c>
      <c r="EV134" s="456">
        <f t="shared" si="421"/>
        <v>5.3731278106337443E-3</v>
      </c>
      <c r="EW134" s="456">
        <f t="shared" si="422"/>
        <v>7.5722549054156388E-3</v>
      </c>
      <c r="EX134" s="456">
        <f t="shared" si="423"/>
        <v>6.3058454921685031E-5</v>
      </c>
      <c r="EY134" s="456">
        <f t="shared" si="424"/>
        <v>8.5487743733630564E-2</v>
      </c>
      <c r="EZ134" s="456"/>
      <c r="FA134" s="538">
        <f t="shared" si="425"/>
        <v>3.5418567111111115E-4</v>
      </c>
      <c r="FB134" s="144">
        <f t="shared" si="426"/>
        <v>98.850370575712745</v>
      </c>
      <c r="FC134" s="150">
        <f t="shared" si="427"/>
        <v>0.46634070218280188</v>
      </c>
      <c r="FD134" s="5">
        <f t="shared" si="428"/>
        <v>1.92</v>
      </c>
      <c r="FE134" s="150">
        <f t="shared" si="429"/>
        <v>0.80457916099061755</v>
      </c>
      <c r="FF134" s="5">
        <f t="shared" si="430"/>
        <v>80.457916099061748</v>
      </c>
      <c r="FG134">
        <f t="shared" si="431"/>
        <v>24</v>
      </c>
      <c r="FI134" s="59">
        <f t="shared" si="432"/>
        <v>-50</v>
      </c>
      <c r="FJ134">
        <f t="shared" si="433"/>
        <v>-50</v>
      </c>
    </row>
    <row r="135" spans="5:166">
      <c r="E135" s="147">
        <v>25</v>
      </c>
      <c r="F135" s="188">
        <f t="shared" si="434"/>
        <v>0.3</v>
      </c>
      <c r="G135" s="188">
        <f t="shared" si="313"/>
        <v>6.25E-2</v>
      </c>
      <c r="H135" s="188">
        <f t="shared" si="314"/>
        <v>1.5</v>
      </c>
      <c r="I135" s="188">
        <f t="shared" si="315"/>
        <v>0.5</v>
      </c>
      <c r="J135" s="465">
        <f t="shared" si="316"/>
        <v>8.9587743937524582</v>
      </c>
      <c r="K135" s="379">
        <f t="shared" si="317"/>
        <v>5.7163746630727763</v>
      </c>
      <c r="L135" s="149">
        <f t="shared" si="318"/>
        <v>14.675149056825234</v>
      </c>
      <c r="M135" s="379"/>
      <c r="N135" s="188">
        <f t="shared" si="319"/>
        <v>0.38952753671787477</v>
      </c>
      <c r="O135" s="149">
        <f t="shared" si="320"/>
        <v>6.5431674780179385</v>
      </c>
      <c r="P135" s="149">
        <f t="shared" si="321"/>
        <v>2.908074434674639</v>
      </c>
      <c r="Q135" s="188">
        <f t="shared" si="322"/>
        <v>1.3086334956035877</v>
      </c>
      <c r="R135" s="188">
        <f t="shared" si="323"/>
        <v>0.81789593475224232</v>
      </c>
      <c r="S135" s="188">
        <f t="shared" si="324"/>
        <v>5</v>
      </c>
      <c r="T135" s="188">
        <f t="shared" si="325"/>
        <v>1.146233842431297</v>
      </c>
      <c r="U135" s="188">
        <f t="shared" si="326"/>
        <v>1.5353446246807703</v>
      </c>
      <c r="V135" s="188">
        <f t="shared" si="327"/>
        <v>2.4062114399236765</v>
      </c>
      <c r="W135" s="172">
        <f t="shared" si="328"/>
        <v>290.80744346746388</v>
      </c>
      <c r="X135" s="379">
        <f t="shared" si="435"/>
        <v>241.4551401456178</v>
      </c>
      <c r="Z135" s="188">
        <f t="shared" si="329"/>
        <v>0.99999999999999978</v>
      </c>
      <c r="AA135" s="150">
        <f t="shared" si="330"/>
        <v>2.0992325918591077</v>
      </c>
      <c r="AB135" s="150">
        <f t="shared" si="331"/>
        <v>0.22892717373079688</v>
      </c>
      <c r="AC135" s="150"/>
      <c r="AD135" s="150">
        <f t="shared" si="332"/>
        <v>2.0992325918591082</v>
      </c>
      <c r="AE135" s="314">
        <f t="shared" si="333"/>
        <v>285.81873315363879</v>
      </c>
      <c r="AF135" s="456">
        <f t="shared" si="334"/>
        <v>0.30523623164106262</v>
      </c>
      <c r="AH135" s="150">
        <f t="shared" si="335"/>
        <v>0.9759000729485332</v>
      </c>
      <c r="AI135" s="150">
        <f t="shared" si="336"/>
        <v>1.146233842431297</v>
      </c>
      <c r="AJ135" s="150">
        <f t="shared" si="337"/>
        <v>1.1633249903735079</v>
      </c>
      <c r="AL135" s="314">
        <f t="shared" si="338"/>
        <v>300</v>
      </c>
      <c r="AM135" s="144">
        <f t="shared" si="339"/>
        <v>285.81873315363879</v>
      </c>
      <c r="AO135" s="144">
        <f t="shared" si="340"/>
        <v>300</v>
      </c>
      <c r="AP135" s="144">
        <f t="shared" si="341"/>
        <v>285.81873315363879</v>
      </c>
      <c r="AR135" s="5">
        <f t="shared" si="443"/>
        <v>3.4987209864318469</v>
      </c>
      <c r="AS135" s="5">
        <f t="shared" si="440"/>
        <v>1.5353446246807703</v>
      </c>
      <c r="AT135" s="5">
        <f t="shared" si="441"/>
        <v>1.9633763617510767</v>
      </c>
      <c r="AU135" s="150">
        <f t="shared" si="442"/>
        <v>0.43883025558050681</v>
      </c>
      <c r="AW135" s="5">
        <f t="shared" si="342"/>
        <v>9.2120677480846211</v>
      </c>
      <c r="AX135" s="5">
        <f t="shared" si="343"/>
        <v>1.1994879880318519</v>
      </c>
      <c r="AY135" s="5">
        <f t="shared" si="344"/>
        <v>0.13697300235065268</v>
      </c>
      <c r="AZ135" s="5"/>
      <c r="BA135" s="150">
        <f t="shared" si="345"/>
        <v>0.43839024411479494</v>
      </c>
      <c r="BB135" s="150">
        <f t="shared" si="346"/>
        <v>0.49574657609499329</v>
      </c>
      <c r="BC135" s="150">
        <f t="shared" si="347"/>
        <v>0.11081394053888086</v>
      </c>
      <c r="BD135" s="150"/>
      <c r="BE135" s="456">
        <f t="shared" si="348"/>
        <v>3.8437201227005903E-3</v>
      </c>
      <c r="BF135" s="456">
        <f t="shared" si="349"/>
        <v>9.0146259287803579E-2</v>
      </c>
      <c r="BG135" s="456">
        <f t="shared" si="350"/>
        <v>6.4014638695789647E-2</v>
      </c>
      <c r="BH135" s="456">
        <f t="shared" si="351"/>
        <v>6.1553922326247667E-3</v>
      </c>
      <c r="BI135">
        <f t="shared" si="352"/>
        <v>4.0314484771886063E-3</v>
      </c>
      <c r="BJ135" s="144">
        <f t="shared" si="436"/>
        <v>68.046087172978247</v>
      </c>
      <c r="BK135">
        <f t="shared" si="353"/>
        <v>0.10127566789291259</v>
      </c>
      <c r="BL135" s="144">
        <f t="shared" si="437"/>
        <v>168.1914588161072</v>
      </c>
      <c r="BM135" s="150">
        <f t="shared" si="354"/>
        <v>0.18637499999999999</v>
      </c>
      <c r="BN135" s="150">
        <f t="shared" si="355"/>
        <v>3.8828124999999998E-2</v>
      </c>
      <c r="BO135" s="456"/>
      <c r="BQ135" s="144">
        <f t="shared" si="356"/>
        <v>225.20312499999997</v>
      </c>
      <c r="BR135" s="456">
        <f t="shared" si="357"/>
        <v>5.765580184050885E-3</v>
      </c>
      <c r="BS135" s="456">
        <f t="shared" si="358"/>
        <v>7.3729400312972683E-3</v>
      </c>
      <c r="BT135" s="456">
        <f t="shared" si="359"/>
        <v>6.1398647088773106E-5</v>
      </c>
      <c r="BU135" s="456">
        <f t="shared" si="360"/>
        <v>9.7135906219119286E-2</v>
      </c>
      <c r="BV135" s="456"/>
      <c r="BW135" s="538">
        <f t="shared" si="361"/>
        <v>3.7552352034642827E-4</v>
      </c>
      <c r="BX135" s="144">
        <f t="shared" si="362"/>
        <v>110.71134860190266</v>
      </c>
      <c r="BY135" s="150">
        <f t="shared" si="363"/>
        <v>0.50410593241800983</v>
      </c>
      <c r="BZ135" s="5">
        <f t="shared" si="364"/>
        <v>2</v>
      </c>
      <c r="CA135" s="150">
        <f t="shared" si="365"/>
        <v>0.79868825599912374</v>
      </c>
      <c r="CB135" s="5">
        <f t="shared" si="366"/>
        <v>79.86882559991237</v>
      </c>
      <c r="CC135">
        <f t="shared" si="367"/>
        <v>25</v>
      </c>
      <c r="CE135" s="59">
        <f t="shared" si="368"/>
        <v>-50</v>
      </c>
      <c r="CF135">
        <f t="shared" si="369"/>
        <v>-50</v>
      </c>
      <c r="CG135" s="150">
        <f t="shared" si="370"/>
        <v>0.54962962962962969</v>
      </c>
      <c r="CH135" s="150">
        <f t="shared" si="371"/>
        <v>0.33442802702996927</v>
      </c>
      <c r="CI135" s="147">
        <v>25</v>
      </c>
      <c r="CJ135" s="188">
        <f t="shared" si="438"/>
        <v>0.3</v>
      </c>
      <c r="CK135" s="188">
        <f t="shared" si="372"/>
        <v>6.25E-2</v>
      </c>
      <c r="CL135" s="188">
        <f t="shared" si="373"/>
        <v>1.5</v>
      </c>
      <c r="CM135" s="188">
        <f t="shared" si="374"/>
        <v>0.5</v>
      </c>
      <c r="CN135" s="465">
        <f t="shared" si="375"/>
        <v>9</v>
      </c>
      <c r="CO135" s="379">
        <f t="shared" si="376"/>
        <v>5.7</v>
      </c>
      <c r="CP135" s="379">
        <f t="shared" si="377"/>
        <v>14.7</v>
      </c>
      <c r="CQ135" s="379"/>
      <c r="CR135" s="188">
        <f t="shared" si="378"/>
        <v>0.375</v>
      </c>
      <c r="CS135" s="149">
        <f t="shared" si="379"/>
        <v>6.328125</v>
      </c>
      <c r="CT135" s="149">
        <f t="shared" si="380"/>
        <v>2.8125</v>
      </c>
      <c r="CU135" s="188">
        <f t="shared" si="381"/>
        <v>1.265625</v>
      </c>
      <c r="CV135" s="188">
        <f t="shared" si="382"/>
        <v>0.791015625</v>
      </c>
      <c r="CW135" s="188">
        <f t="shared" si="383"/>
        <v>5</v>
      </c>
      <c r="CX135" s="188">
        <f t="shared" si="384"/>
        <v>1.1851851851851851</v>
      </c>
      <c r="CY135" s="188">
        <f t="shared" si="385"/>
        <v>1.580246913580247</v>
      </c>
      <c r="CZ135" s="188">
        <f t="shared" si="386"/>
        <v>2.4951267056530213</v>
      </c>
      <c r="DA135" s="172">
        <f t="shared" si="387"/>
        <v>290.81632653061229</v>
      </c>
      <c r="DB135" s="379">
        <f t="shared" si="388"/>
        <v>245.3762755102041</v>
      </c>
      <c r="DD135" s="188">
        <f t="shared" si="389"/>
        <v>0.99999999999999978</v>
      </c>
      <c r="DE135" s="150">
        <f t="shared" si="390"/>
        <v>2.1052631578947363</v>
      </c>
      <c r="DF135" s="150">
        <f t="shared" si="391"/>
        <v>0.2295918367346938</v>
      </c>
      <c r="DG135" s="150"/>
      <c r="DH135" s="150">
        <f t="shared" si="392"/>
        <v>2.1052631578947367</v>
      </c>
      <c r="DI135" s="314">
        <f t="shared" si="393"/>
        <v>285</v>
      </c>
      <c r="DJ135" s="456">
        <f t="shared" si="394"/>
        <v>0.3061224489795919</v>
      </c>
      <c r="DL135" s="150">
        <f t="shared" si="395"/>
        <v>0.9759000729485332</v>
      </c>
      <c r="DM135" s="150">
        <f t="shared" si="396"/>
        <v>1.1851851851851851</v>
      </c>
      <c r="DN135" s="150">
        <f t="shared" si="397"/>
        <v>1.1628571428571428</v>
      </c>
      <c r="DP135" s="314">
        <f t="shared" si="398"/>
        <v>300</v>
      </c>
      <c r="DQ135" s="144">
        <f t="shared" si="399"/>
        <v>285</v>
      </c>
      <c r="DS135" s="144">
        <f t="shared" si="400"/>
        <v>300</v>
      </c>
      <c r="DT135" s="144">
        <f t="shared" si="401"/>
        <v>285</v>
      </c>
      <c r="DV135" s="5">
        <f t="shared" si="402"/>
        <v>3.5087719298245617</v>
      </c>
      <c r="DW135" s="5">
        <f t="shared" si="403"/>
        <v>1.580246913580247</v>
      </c>
      <c r="DX135" s="5">
        <f t="shared" si="404"/>
        <v>1.9285250162443146</v>
      </c>
      <c r="DY135" s="150">
        <f t="shared" si="405"/>
        <v>0.45037037037037037</v>
      </c>
      <c r="EA135" s="5">
        <f t="shared" si="406"/>
        <v>9.481481481481481</v>
      </c>
      <c r="EB135" s="5">
        <f t="shared" si="407"/>
        <v>1.2345679012345681</v>
      </c>
      <c r="EC135" s="5">
        <f t="shared" si="408"/>
        <v>0.13392534835029959</v>
      </c>
      <c r="ED135" s="5"/>
      <c r="EE135" s="150">
        <f t="shared" si="409"/>
        <v>0.45920910680922317</v>
      </c>
      <c r="EF135" s="150">
        <f t="shared" si="410"/>
        <v>0.50729508567593673</v>
      </c>
      <c r="EG135" s="150">
        <f t="shared" si="411"/>
        <v>0.11339537209226822</v>
      </c>
      <c r="EH135" s="150"/>
      <c r="EI135" s="456">
        <f t="shared" si="412"/>
        <v>4.2174600755304908E-3</v>
      </c>
      <c r="EJ135" s="456">
        <f t="shared" si="413"/>
        <v>9.9306666666666668E-2</v>
      </c>
      <c r="EK135" s="456">
        <f t="shared" si="414"/>
        <v>3.5624999999999997E-2</v>
      </c>
      <c r="EL135" s="456">
        <f t="shared" si="415"/>
        <v>6.1585649999999995E-3</v>
      </c>
      <c r="EM135">
        <f t="shared" si="416"/>
        <v>4.0499999999999998E-3</v>
      </c>
      <c r="EN135" s="144">
        <f t="shared" si="417"/>
        <v>39.674999999999997</v>
      </c>
      <c r="EP135" s="144">
        <f t="shared" si="439"/>
        <v>149.35769174219715</v>
      </c>
      <c r="EQ135" s="150">
        <f t="shared" si="418"/>
        <v>0.21</v>
      </c>
      <c r="ER135" s="150">
        <f t="shared" si="419"/>
        <v>2.7734374999999999E-2</v>
      </c>
      <c r="ES135" s="456"/>
      <c r="EU135" s="144">
        <f t="shared" si="420"/>
        <v>237.734375</v>
      </c>
      <c r="EV135" s="456">
        <f t="shared" si="421"/>
        <v>6.3261901132957363E-3</v>
      </c>
      <c r="EW135" s="456">
        <f t="shared" si="422"/>
        <v>7.7204491185286789E-3</v>
      </c>
      <c r="EX135" s="456">
        <f t="shared" si="423"/>
        <v>6.4292552059719811E-5</v>
      </c>
      <c r="EY135" s="456">
        <f t="shared" si="424"/>
        <v>0.10484499172618697</v>
      </c>
      <c r="EZ135" s="456"/>
      <c r="FA135" s="538">
        <f t="shared" si="425"/>
        <v>4.0032921810699589E-4</v>
      </c>
      <c r="FB135" s="144">
        <f t="shared" si="426"/>
        <v>119.35625272817809</v>
      </c>
      <c r="FC135" s="150">
        <f t="shared" si="427"/>
        <v>0.50644831947037516</v>
      </c>
      <c r="FD135" s="5">
        <f t="shared" si="428"/>
        <v>2</v>
      </c>
      <c r="FE135" s="150">
        <f t="shared" si="429"/>
        <v>0.79794184642219546</v>
      </c>
      <c r="FF135" s="5">
        <f t="shared" si="430"/>
        <v>79.794184642219548</v>
      </c>
      <c r="FG135">
        <f t="shared" si="431"/>
        <v>25</v>
      </c>
      <c r="FI135" s="59">
        <f t="shared" si="432"/>
        <v>-50</v>
      </c>
      <c r="FJ135">
        <f t="shared" si="433"/>
        <v>-50</v>
      </c>
    </row>
    <row r="136" spans="5:166">
      <c r="E136" s="147">
        <v>26</v>
      </c>
      <c r="F136" s="188">
        <f t="shared" si="434"/>
        <v>0.312</v>
      </c>
      <c r="G136" s="188">
        <f t="shared" si="313"/>
        <v>6.5000000000000002E-2</v>
      </c>
      <c r="H136" s="188">
        <f t="shared" si="314"/>
        <v>1.56</v>
      </c>
      <c r="I136" s="188">
        <f t="shared" si="315"/>
        <v>0.52</v>
      </c>
      <c r="J136" s="465">
        <f t="shared" si="316"/>
        <v>8.9571084237088225</v>
      </c>
      <c r="K136" s="379">
        <f t="shared" si="317"/>
        <v>5.7163640272999556</v>
      </c>
      <c r="L136" s="149">
        <f t="shared" si="318"/>
        <v>14.673472451008777</v>
      </c>
      <c r="M136" s="379"/>
      <c r="N136" s="188">
        <f t="shared" si="319"/>
        <v>0.38957131969856018</v>
      </c>
      <c r="O136" s="149">
        <f t="shared" si="320"/>
        <v>6.5426860299512564</v>
      </c>
      <c r="P136" s="149">
        <f t="shared" si="321"/>
        <v>2.9078604577561138</v>
      </c>
      <c r="Q136" s="188">
        <f t="shared" si="322"/>
        <v>1.3085372059902514</v>
      </c>
      <c r="R136" s="188">
        <f t="shared" si="323"/>
        <v>0.81783575374390705</v>
      </c>
      <c r="S136" s="188">
        <f t="shared" si="324"/>
        <v>5</v>
      </c>
      <c r="T136" s="188">
        <f t="shared" si="325"/>
        <v>1.1921709163932037</v>
      </c>
      <c r="U136" s="188">
        <f t="shared" si="326"/>
        <v>1.5971729178639118</v>
      </c>
      <c r="V136" s="188">
        <f t="shared" si="327"/>
        <v>2.5026486991374668</v>
      </c>
      <c r="W136" s="172">
        <f t="shared" si="328"/>
        <v>290.78604577561134</v>
      </c>
      <c r="X136" s="379">
        <f t="shared" si="435"/>
        <v>232.56778747425872</v>
      </c>
      <c r="Z136" s="188">
        <f t="shared" si="329"/>
        <v>1</v>
      </c>
      <c r="AA136" s="150">
        <f t="shared" si="330"/>
        <v>2.0992364976567166</v>
      </c>
      <c r="AB136" s="150">
        <f t="shared" si="331"/>
        <v>0.22891075511304002</v>
      </c>
      <c r="AC136" s="150"/>
      <c r="AD136" s="150">
        <f t="shared" si="332"/>
        <v>2.0992364976567166</v>
      </c>
      <c r="AE136" s="314">
        <f t="shared" si="333"/>
        <v>297.25092941959758</v>
      </c>
      <c r="AF136" s="456">
        <f t="shared" si="334"/>
        <v>0.30521434015072002</v>
      </c>
      <c r="AH136" s="150">
        <f t="shared" si="335"/>
        <v>0.99522670305623862</v>
      </c>
      <c r="AI136" s="150">
        <f t="shared" si="336"/>
        <v>1.1921709163932037</v>
      </c>
      <c r="AJ136" s="150">
        <f t="shared" si="337"/>
        <v>1.3423488269579287</v>
      </c>
      <c r="AL136" s="314">
        <f t="shared" si="338"/>
        <v>312</v>
      </c>
      <c r="AM136" s="144">
        <f t="shared" si="339"/>
        <v>232.56778747425872</v>
      </c>
      <c r="AO136" s="144">
        <f t="shared" si="340"/>
        <v>312</v>
      </c>
      <c r="AP136" s="144">
        <f t="shared" si="341"/>
        <v>232.56778747425872</v>
      </c>
      <c r="AR136" s="5">
        <f t="shared" si="443"/>
        <v>4.2998216170013785</v>
      </c>
      <c r="AS136" s="5">
        <f t="shared" si="440"/>
        <v>1.5971729178639118</v>
      </c>
      <c r="AT136" s="5">
        <f t="shared" si="441"/>
        <v>2.702648699137467</v>
      </c>
      <c r="AU136" s="150">
        <f t="shared" si="442"/>
        <v>0.37145097172141589</v>
      </c>
      <c r="AW136" s="5">
        <f t="shared" si="342"/>
        <v>9.9663590074708104</v>
      </c>
      <c r="AX136" s="5">
        <f t="shared" si="343"/>
        <v>1.2977029957644284</v>
      </c>
      <c r="AY136" s="5">
        <f t="shared" si="344"/>
        <v>0.19612597853448299</v>
      </c>
      <c r="AZ136" s="5"/>
      <c r="BA136" s="150">
        <f t="shared" si="345"/>
        <v>0.4194967927913969</v>
      </c>
      <c r="BB136" s="150">
        <f t="shared" si="346"/>
        <v>0.54569185944908705</v>
      </c>
      <c r="BC136" s="150">
        <f t="shared" si="347"/>
        <v>0.12197818034744301</v>
      </c>
      <c r="BD136" s="150"/>
      <c r="BE136" s="456">
        <f t="shared" si="348"/>
        <v>3.5195511832453634E-3</v>
      </c>
      <c r="BF136" s="456">
        <f t="shared" si="349"/>
        <v>7.6282032678205672E-2</v>
      </c>
      <c r="BG136" s="456">
        <f t="shared" si="350"/>
        <v>5.2078372206725142E-2</v>
      </c>
      <c r="BH136" s="456">
        <f t="shared" si="351"/>
        <v>5.0074354926534738E-3</v>
      </c>
      <c r="BI136">
        <f t="shared" si="352"/>
        <v>4.0306987906689696E-3</v>
      </c>
      <c r="BJ136" s="144">
        <f t="shared" si="436"/>
        <v>56.109070997394106</v>
      </c>
      <c r="BK136">
        <f t="shared" si="353"/>
        <v>8.5831074011064101E-2</v>
      </c>
      <c r="BL136" s="144">
        <f t="shared" si="437"/>
        <v>140.91809035149862</v>
      </c>
      <c r="BM136" s="150">
        <f t="shared" si="354"/>
        <v>0.19382999999999997</v>
      </c>
      <c r="BN136" s="150">
        <f t="shared" si="355"/>
        <v>4.0381249999999994E-2</v>
      </c>
      <c r="BO136" s="456"/>
      <c r="BQ136" s="144">
        <f t="shared" si="356"/>
        <v>234.21124999999998</v>
      </c>
      <c r="BR136" s="456">
        <f t="shared" si="357"/>
        <v>5.2793267748680447E-3</v>
      </c>
      <c r="BS136" s="456">
        <f t="shared" si="358"/>
        <v>8.9333881640700653E-3</v>
      </c>
      <c r="BT136" s="456">
        <f t="shared" si="359"/>
        <v>7.4393382404366667E-5</v>
      </c>
      <c r="BU136" s="456">
        <f t="shared" si="360"/>
        <v>6.4001509106324711E-2</v>
      </c>
      <c r="BV136" s="456"/>
      <c r="BW136" s="538">
        <f t="shared" si="361"/>
        <v>3.3054196673511812E-4</v>
      </c>
      <c r="BX136" s="144">
        <f t="shared" si="362"/>
        <v>78.619159394402303</v>
      </c>
      <c r="BY136" s="150">
        <f t="shared" si="363"/>
        <v>0.45374849974590092</v>
      </c>
      <c r="BZ136" s="5">
        <f t="shared" si="364"/>
        <v>2.08</v>
      </c>
      <c r="CA136" s="150">
        <f t="shared" si="365"/>
        <v>0.82091809830715035</v>
      </c>
      <c r="CB136" s="5">
        <f t="shared" si="366"/>
        <v>82.091809830715036</v>
      </c>
      <c r="CC136">
        <f t="shared" si="367"/>
        <v>26</v>
      </c>
      <c r="CE136" s="59">
        <f t="shared" si="368"/>
        <v>-50</v>
      </c>
      <c r="CF136">
        <f t="shared" si="369"/>
        <v>-50</v>
      </c>
      <c r="CG136" s="150">
        <f t="shared" si="370"/>
        <v>0.57198633493024875</v>
      </c>
      <c r="CH136" s="150">
        <f t="shared" si="371"/>
        <v>0.31031053622728105</v>
      </c>
      <c r="CI136" s="147">
        <v>26</v>
      </c>
      <c r="CJ136" s="188">
        <f t="shared" si="438"/>
        <v>0.312</v>
      </c>
      <c r="CK136" s="188">
        <f t="shared" si="372"/>
        <v>6.5000000000000002E-2</v>
      </c>
      <c r="CL136" s="188">
        <f t="shared" si="373"/>
        <v>1.56</v>
      </c>
      <c r="CM136" s="188">
        <f t="shared" si="374"/>
        <v>0.52</v>
      </c>
      <c r="CN136" s="465">
        <f t="shared" si="375"/>
        <v>9</v>
      </c>
      <c r="CO136" s="379">
        <f t="shared" si="376"/>
        <v>5.7</v>
      </c>
      <c r="CP136" s="379">
        <f t="shared" si="377"/>
        <v>14.7</v>
      </c>
      <c r="CQ136" s="379"/>
      <c r="CR136" s="188">
        <f t="shared" si="378"/>
        <v>0.375</v>
      </c>
      <c r="CS136" s="149">
        <f t="shared" si="379"/>
        <v>6.328125</v>
      </c>
      <c r="CT136" s="149">
        <f t="shared" si="380"/>
        <v>2.8125</v>
      </c>
      <c r="CU136" s="188">
        <f t="shared" si="381"/>
        <v>1.265625</v>
      </c>
      <c r="CV136" s="188">
        <f t="shared" si="382"/>
        <v>0.791015625</v>
      </c>
      <c r="CW136" s="188">
        <f t="shared" si="383"/>
        <v>5</v>
      </c>
      <c r="CX136" s="188">
        <f t="shared" si="384"/>
        <v>1.2325925925925927</v>
      </c>
      <c r="CY136" s="188">
        <f t="shared" si="385"/>
        <v>1.6434567901234569</v>
      </c>
      <c r="CZ136" s="188">
        <f t="shared" si="386"/>
        <v>2.5949317738791424</v>
      </c>
      <c r="DA136" s="172">
        <f t="shared" si="387"/>
        <v>290.81632653061229</v>
      </c>
      <c r="DB136" s="379">
        <f t="shared" si="388"/>
        <v>235.93872645211928</v>
      </c>
      <c r="DD136" s="188">
        <f t="shared" si="389"/>
        <v>0.99999999999999978</v>
      </c>
      <c r="DE136" s="150">
        <f t="shared" si="390"/>
        <v>2.1052631578947363</v>
      </c>
      <c r="DF136" s="150">
        <f t="shared" si="391"/>
        <v>0.2295918367346938</v>
      </c>
      <c r="DG136" s="150"/>
      <c r="DH136" s="150">
        <f t="shared" si="392"/>
        <v>2.1052631578947367</v>
      </c>
      <c r="DI136" s="314">
        <f t="shared" si="393"/>
        <v>296.39999999999998</v>
      </c>
      <c r="DJ136" s="456">
        <f t="shared" si="394"/>
        <v>0.3061224489795919</v>
      </c>
      <c r="DL136" s="150">
        <f t="shared" si="395"/>
        <v>0.99522670305623862</v>
      </c>
      <c r="DM136" s="150">
        <f t="shared" si="396"/>
        <v>1.2325925925925927</v>
      </c>
      <c r="DN136" s="150">
        <f t="shared" si="397"/>
        <v>1.3722908093278463</v>
      </c>
      <c r="DP136" s="314">
        <f t="shared" si="398"/>
        <v>312</v>
      </c>
      <c r="DQ136" s="144">
        <f t="shared" si="399"/>
        <v>235.93872645211928</v>
      </c>
      <c r="DS136" s="144">
        <f t="shared" si="400"/>
        <v>312</v>
      </c>
      <c r="DT136" s="144">
        <f t="shared" si="401"/>
        <v>235.93872645211928</v>
      </c>
      <c r="DV136" s="5">
        <f t="shared" si="402"/>
        <v>4.2383885640025998</v>
      </c>
      <c r="DW136" s="5">
        <f t="shared" si="403"/>
        <v>1.6434567901234569</v>
      </c>
      <c r="DX136" s="5">
        <f t="shared" si="404"/>
        <v>2.5949317738791429</v>
      </c>
      <c r="DY136" s="150">
        <f t="shared" si="405"/>
        <v>0.38775510204081631</v>
      </c>
      <c r="EA136" s="5">
        <f t="shared" si="406"/>
        <v>10.25517037037037</v>
      </c>
      <c r="EB136" s="5">
        <f t="shared" si="407"/>
        <v>1.3353086419753089</v>
      </c>
      <c r="EC136" s="5">
        <f t="shared" si="408"/>
        <v>0.18741173922460475</v>
      </c>
      <c r="ED136" s="5"/>
      <c r="EE136" s="150">
        <f t="shared" si="409"/>
        <v>0.44313666667691459</v>
      </c>
      <c r="EF136" s="150">
        <f t="shared" si="410"/>
        <v>0.55682857423494014</v>
      </c>
      <c r="EG136" s="150">
        <f t="shared" si="411"/>
        <v>0.12446756365251602</v>
      </c>
      <c r="EH136" s="150"/>
      <c r="EI136" s="456">
        <f t="shared" si="412"/>
        <v>3.9274021070705382E-3</v>
      </c>
      <c r="EJ136" s="456">
        <f t="shared" si="413"/>
        <v>8.5499999999999979E-2</v>
      </c>
      <c r="EK136" s="456">
        <f t="shared" si="414"/>
        <v>2.9492340806514909E-2</v>
      </c>
      <c r="EL136" s="456">
        <f t="shared" si="415"/>
        <v>5.0983999399038448E-3</v>
      </c>
      <c r="EM136">
        <f t="shared" si="416"/>
        <v>4.0499999999999998E-3</v>
      </c>
      <c r="EN136" s="144">
        <f t="shared" si="417"/>
        <v>33.542340806514908</v>
      </c>
      <c r="EP136" s="144">
        <f t="shared" si="439"/>
        <v>128.06814285348926</v>
      </c>
      <c r="EQ136" s="150">
        <f t="shared" si="418"/>
        <v>0.21839999999999998</v>
      </c>
      <c r="ER136" s="150">
        <f t="shared" si="419"/>
        <v>2.8843749999999998E-2</v>
      </c>
      <c r="ES136" s="456"/>
      <c r="EU136" s="144">
        <f t="shared" si="420"/>
        <v>247.24374999999998</v>
      </c>
      <c r="EV136" s="456">
        <f t="shared" si="421"/>
        <v>5.8911031606058073E-3</v>
      </c>
      <c r="EW136" s="456">
        <f t="shared" si="422"/>
        <v>9.3017418325354855E-3</v>
      </c>
      <c r="EX136" s="456">
        <f t="shared" si="423"/>
        <v>7.7460872007965626E-5</v>
      </c>
      <c r="EY136" s="456">
        <f t="shared" si="424"/>
        <v>7.211356488206544E-2</v>
      </c>
      <c r="EZ136" s="456"/>
      <c r="FA136" s="538">
        <f t="shared" si="425"/>
        <v>3.5845804988662139E-4</v>
      </c>
      <c r="FB136" s="144">
        <f t="shared" si="426"/>
        <v>87.742328797101308</v>
      </c>
      <c r="FC136" s="150">
        <f t="shared" si="427"/>
        <v>0.46305422165059051</v>
      </c>
      <c r="FD136" s="5">
        <f t="shared" si="428"/>
        <v>2.08</v>
      </c>
      <c r="FE136" s="150">
        <f t="shared" si="429"/>
        <v>0.81791413737531671</v>
      </c>
      <c r="FF136" s="5">
        <f t="shared" si="430"/>
        <v>81.79141373753167</v>
      </c>
      <c r="FG136">
        <f t="shared" si="431"/>
        <v>26</v>
      </c>
      <c r="FI136" s="59">
        <f t="shared" si="432"/>
        <v>-50</v>
      </c>
      <c r="FJ136">
        <f t="shared" si="433"/>
        <v>-50</v>
      </c>
    </row>
    <row r="137" spans="5:166">
      <c r="E137" s="147">
        <v>27</v>
      </c>
      <c r="F137" s="188">
        <f t="shared" si="434"/>
        <v>0.32400000000000001</v>
      </c>
      <c r="G137" s="188">
        <f t="shared" si="313"/>
        <v>6.7500000000000004E-2</v>
      </c>
      <c r="H137" s="188">
        <f t="shared" si="314"/>
        <v>1.62</v>
      </c>
      <c r="I137" s="188">
        <f t="shared" si="315"/>
        <v>0.54</v>
      </c>
      <c r="J137" s="465">
        <f t="shared" si="316"/>
        <v>8.9554587476976231</v>
      </c>
      <c r="K137" s="379">
        <f t="shared" si="317"/>
        <v>5.7169934129653388</v>
      </c>
      <c r="L137" s="149">
        <f t="shared" si="318"/>
        <v>14.672452160662962</v>
      </c>
      <c r="M137" s="379"/>
      <c r="N137" s="188">
        <f t="shared" si="319"/>
        <v>0.38964130537720709</v>
      </c>
      <c r="O137" s="149">
        <f t="shared" si="320"/>
        <v>6.5426561938211822</v>
      </c>
      <c r="P137" s="149">
        <f t="shared" si="321"/>
        <v>2.9078471972538584</v>
      </c>
      <c r="Q137" s="188">
        <f t="shared" si="322"/>
        <v>1.3085312387642365</v>
      </c>
      <c r="R137" s="188">
        <f t="shared" si="323"/>
        <v>0.81783202422764778</v>
      </c>
      <c r="S137" s="188">
        <f t="shared" si="324"/>
        <v>5</v>
      </c>
      <c r="T137" s="188">
        <f t="shared" si="325"/>
        <v>1.2380292896407363</v>
      </c>
      <c r="U137" s="188">
        <f t="shared" si="326"/>
        <v>1.6589157400237353</v>
      </c>
      <c r="V137" s="188">
        <f t="shared" si="327"/>
        <v>2.5986301544438928</v>
      </c>
      <c r="W137" s="172">
        <f t="shared" si="328"/>
        <v>290.78471972538586</v>
      </c>
      <c r="X137" s="379">
        <f t="shared" si="435"/>
        <v>224.33868852390839</v>
      </c>
      <c r="Z137" s="188">
        <f t="shared" si="329"/>
        <v>1</v>
      </c>
      <c r="AA137" s="150">
        <f t="shared" si="330"/>
        <v>2.0990053920275091</v>
      </c>
      <c r="AB137" s="150">
        <f t="shared" si="331"/>
        <v>0.22888451048354735</v>
      </c>
      <c r="AC137" s="150"/>
      <c r="AD137" s="150">
        <f t="shared" si="332"/>
        <v>2.0990053920275091</v>
      </c>
      <c r="AE137" s="314">
        <f t="shared" si="333"/>
        <v>308.71764430012831</v>
      </c>
      <c r="AF137" s="456">
        <f t="shared" si="334"/>
        <v>0.30517934731139645</v>
      </c>
      <c r="AH137" s="150">
        <f t="shared" si="335"/>
        <v>1.0141851056742199</v>
      </c>
      <c r="AI137" s="150">
        <f t="shared" si="336"/>
        <v>1.2380292896407363</v>
      </c>
      <c r="AJ137" s="150">
        <f t="shared" si="337"/>
        <v>1.3763179923264712</v>
      </c>
      <c r="AL137" s="314">
        <f t="shared" si="338"/>
        <v>324</v>
      </c>
      <c r="AM137" s="144">
        <f t="shared" si="339"/>
        <v>224.33868852390839</v>
      </c>
      <c r="AO137" s="144">
        <f t="shared" si="340"/>
        <v>324</v>
      </c>
      <c r="AP137" s="144">
        <f t="shared" si="341"/>
        <v>224.33868852390839</v>
      </c>
      <c r="AR137" s="5">
        <f t="shared" si="443"/>
        <v>4.4575458944676285</v>
      </c>
      <c r="AS137" s="5">
        <f t="shared" si="440"/>
        <v>1.6589157400237353</v>
      </c>
      <c r="AT137" s="5">
        <f t="shared" si="441"/>
        <v>2.7986301544438934</v>
      </c>
      <c r="AU137" s="150">
        <f t="shared" si="442"/>
        <v>0.37215898148859378</v>
      </c>
      <c r="AW137" s="5">
        <f t="shared" si="342"/>
        <v>10.749773995353808</v>
      </c>
      <c r="AX137" s="5">
        <f t="shared" si="343"/>
        <v>1.3997101556450269</v>
      </c>
      <c r="AY137" s="5">
        <f t="shared" si="344"/>
        <v>0.21094121557260193</v>
      </c>
      <c r="AZ137" s="5"/>
      <c r="BA137" s="150">
        <f t="shared" si="345"/>
        <v>0.43604824646720225</v>
      </c>
      <c r="BB137" s="150">
        <f t="shared" si="346"/>
        <v>0.56636334105324426</v>
      </c>
      <c r="BC137" s="150">
        <f t="shared" si="347"/>
        <v>0.12659886447072519</v>
      </c>
      <c r="BD137" s="150"/>
      <c r="BE137" s="456">
        <f t="shared" si="348"/>
        <v>3.8027614649424391E-3</v>
      </c>
      <c r="BF137" s="456">
        <f t="shared" si="349"/>
        <v>7.6408041929661594E-2</v>
      </c>
      <c r="BG137" s="456">
        <f t="shared" si="350"/>
        <v>5.022639676471119E-2</v>
      </c>
      <c r="BH137" s="456">
        <f t="shared" si="351"/>
        <v>4.8295824093282733E-3</v>
      </c>
      <c r="BI137">
        <f t="shared" si="352"/>
        <v>4.0299564364639304E-3</v>
      </c>
      <c r="BJ137" s="144">
        <f t="shared" si="436"/>
        <v>54.256353201175116</v>
      </c>
      <c r="BK137">
        <f t="shared" si="353"/>
        <v>8.6144966488596042E-2</v>
      </c>
      <c r="BL137" s="144">
        <f t="shared" si="437"/>
        <v>139.29673900510738</v>
      </c>
      <c r="BM137" s="150">
        <f t="shared" si="354"/>
        <v>0.20128499999999999</v>
      </c>
      <c r="BN137" s="150">
        <f t="shared" si="355"/>
        <v>4.1934374999999996E-2</v>
      </c>
      <c r="BO137" s="456"/>
      <c r="BQ137" s="144">
        <f t="shared" si="356"/>
        <v>243.21937499999999</v>
      </c>
      <c r="BR137" s="456">
        <f t="shared" si="357"/>
        <v>5.7041421974136581E-3</v>
      </c>
      <c r="BS137" s="456">
        <f t="shared" si="358"/>
        <v>9.6230230226698049E-3</v>
      </c>
      <c r="BT137" s="456">
        <f t="shared" si="359"/>
        <v>8.0136362426385215E-5</v>
      </c>
      <c r="BU137" s="456">
        <f t="shared" si="360"/>
        <v>6.4277317607712492E-2</v>
      </c>
      <c r="BV137" s="456"/>
      <c r="BW137" s="538">
        <f t="shared" si="361"/>
        <v>3.4384761442627862E-4</v>
      </c>
      <c r="BX137" s="144">
        <f t="shared" si="362"/>
        <v>80.028466804648616</v>
      </c>
      <c r="BY137" s="150">
        <f t="shared" si="363"/>
        <v>0.46254458080975597</v>
      </c>
      <c r="BZ137" s="5">
        <f t="shared" si="364"/>
        <v>2.16</v>
      </c>
      <c r="CA137" s="150">
        <f t="shared" si="365"/>
        <v>0.82362756225599132</v>
      </c>
      <c r="CB137" s="5">
        <f t="shared" si="366"/>
        <v>82.362756225599128</v>
      </c>
      <c r="CC137">
        <f t="shared" si="367"/>
        <v>27</v>
      </c>
      <c r="CE137" s="59">
        <f t="shared" si="368"/>
        <v>-50</v>
      </c>
      <c r="CF137">
        <f t="shared" si="369"/>
        <v>-50</v>
      </c>
      <c r="CG137" s="150">
        <f t="shared" si="370"/>
        <v>0.57198633493024875</v>
      </c>
      <c r="CH137" s="150">
        <f t="shared" si="371"/>
        <v>0.31031053622728105</v>
      </c>
      <c r="CI137" s="147">
        <v>27</v>
      </c>
      <c r="CJ137" s="188">
        <f t="shared" si="438"/>
        <v>0.32400000000000001</v>
      </c>
      <c r="CK137" s="188">
        <f t="shared" si="372"/>
        <v>6.7500000000000004E-2</v>
      </c>
      <c r="CL137" s="188">
        <f t="shared" si="373"/>
        <v>1.62</v>
      </c>
      <c r="CM137" s="188">
        <f t="shared" si="374"/>
        <v>0.54</v>
      </c>
      <c r="CN137" s="465">
        <f t="shared" si="375"/>
        <v>9</v>
      </c>
      <c r="CO137" s="379">
        <f t="shared" si="376"/>
        <v>5.7</v>
      </c>
      <c r="CP137" s="379">
        <f t="shared" si="377"/>
        <v>14.7</v>
      </c>
      <c r="CQ137" s="379"/>
      <c r="CR137" s="188">
        <f t="shared" si="378"/>
        <v>0.375</v>
      </c>
      <c r="CS137" s="149">
        <f t="shared" si="379"/>
        <v>6.328125</v>
      </c>
      <c r="CT137" s="149">
        <f t="shared" si="380"/>
        <v>2.8125</v>
      </c>
      <c r="CU137" s="188">
        <f t="shared" si="381"/>
        <v>1.265625</v>
      </c>
      <c r="CV137" s="188">
        <f t="shared" si="382"/>
        <v>0.791015625</v>
      </c>
      <c r="CW137" s="188">
        <f t="shared" si="383"/>
        <v>5</v>
      </c>
      <c r="CX137" s="188">
        <f t="shared" si="384"/>
        <v>1.28</v>
      </c>
      <c r="CY137" s="188">
        <f t="shared" si="385"/>
        <v>1.706666666666667</v>
      </c>
      <c r="CZ137" s="188">
        <f t="shared" si="386"/>
        <v>2.6947368421052635</v>
      </c>
      <c r="DA137" s="172">
        <f t="shared" si="387"/>
        <v>290.81632653061229</v>
      </c>
      <c r="DB137" s="379">
        <f t="shared" si="388"/>
        <v>227.20025510204079</v>
      </c>
      <c r="DD137" s="188">
        <f t="shared" si="389"/>
        <v>0.99999999999999978</v>
      </c>
      <c r="DE137" s="150">
        <f t="shared" si="390"/>
        <v>2.1052631578947363</v>
      </c>
      <c r="DF137" s="150">
        <f t="shared" si="391"/>
        <v>0.2295918367346938</v>
      </c>
      <c r="DG137" s="150"/>
      <c r="DH137" s="150">
        <f t="shared" si="392"/>
        <v>2.1052631578947367</v>
      </c>
      <c r="DI137" s="314">
        <f t="shared" si="393"/>
        <v>307.80000000000007</v>
      </c>
      <c r="DJ137" s="456">
        <f t="shared" si="394"/>
        <v>0.3061224489795919</v>
      </c>
      <c r="DL137" s="150">
        <f t="shared" si="395"/>
        <v>1.0141851056742199</v>
      </c>
      <c r="DM137" s="150">
        <f t="shared" si="396"/>
        <v>1.28</v>
      </c>
      <c r="DN137" s="150">
        <f t="shared" si="397"/>
        <v>1.4074074074074074</v>
      </c>
      <c r="DP137" s="314">
        <f t="shared" si="398"/>
        <v>324</v>
      </c>
      <c r="DQ137" s="144">
        <f t="shared" si="399"/>
        <v>227.20025510204079</v>
      </c>
      <c r="DS137" s="144">
        <f t="shared" si="400"/>
        <v>324</v>
      </c>
      <c r="DT137" s="144">
        <f t="shared" si="401"/>
        <v>227.20025510204079</v>
      </c>
      <c r="DV137" s="5">
        <f t="shared" si="402"/>
        <v>4.4014035087719305</v>
      </c>
      <c r="DW137" s="5">
        <f t="shared" si="403"/>
        <v>1.706666666666667</v>
      </c>
      <c r="DX137" s="5">
        <f t="shared" si="404"/>
        <v>2.6947368421052635</v>
      </c>
      <c r="DY137" s="150">
        <f t="shared" si="405"/>
        <v>0.38775510204081631</v>
      </c>
      <c r="EA137" s="5">
        <f t="shared" si="406"/>
        <v>11.059200000000002</v>
      </c>
      <c r="EB137" s="5">
        <f t="shared" si="407"/>
        <v>1.4400000000000004</v>
      </c>
      <c r="EC137" s="5">
        <f t="shared" si="408"/>
        <v>0.20210526315789476</v>
      </c>
      <c r="ED137" s="5"/>
      <c r="EE137" s="150">
        <f t="shared" si="409"/>
        <v>0.46018038462602667</v>
      </c>
      <c r="EF137" s="150">
        <f t="shared" si="410"/>
        <v>0.57824505785936087</v>
      </c>
      <c r="EG137" s="150">
        <f t="shared" si="411"/>
        <v>0.12925477763915125</v>
      </c>
      <c r="EH137" s="150"/>
      <c r="EI137" s="456">
        <f t="shared" si="412"/>
        <v>4.2353197278911575E-3</v>
      </c>
      <c r="EJ137" s="456">
        <f t="shared" si="413"/>
        <v>8.5499999999999979E-2</v>
      </c>
      <c r="EK137" s="456">
        <f t="shared" si="414"/>
        <v>2.8400031887755098E-2</v>
      </c>
      <c r="EL137" s="456">
        <f t="shared" si="415"/>
        <v>4.9095703124999984E-3</v>
      </c>
      <c r="EM137">
        <f t="shared" si="416"/>
        <v>4.0499999999999998E-3</v>
      </c>
      <c r="EN137" s="144">
        <f t="shared" si="417"/>
        <v>32.450031887755095</v>
      </c>
      <c r="EP137" s="144">
        <f t="shared" si="439"/>
        <v>127.09492192814622</v>
      </c>
      <c r="EQ137" s="150">
        <f t="shared" si="418"/>
        <v>0.2268</v>
      </c>
      <c r="ER137" s="150">
        <f t="shared" si="419"/>
        <v>2.9953125000000001E-2</v>
      </c>
      <c r="ES137" s="456"/>
      <c r="EU137" s="144">
        <f t="shared" si="420"/>
        <v>256.75312500000001</v>
      </c>
      <c r="EV137" s="456">
        <f t="shared" si="421"/>
        <v>6.3529795918367349E-3</v>
      </c>
      <c r="EW137" s="456">
        <f t="shared" si="422"/>
        <v>1.0031020408163269E-2</v>
      </c>
      <c r="EX137" s="456">
        <f t="shared" si="423"/>
        <v>8.3533987712732175E-5</v>
      </c>
      <c r="EY137" s="456">
        <f t="shared" si="424"/>
        <v>7.2113564882065564E-2</v>
      </c>
      <c r="EZ137" s="456"/>
      <c r="FA137" s="538">
        <f t="shared" si="425"/>
        <v>3.7224489795918366E-4</v>
      </c>
      <c r="FB137" s="144">
        <f t="shared" si="426"/>
        <v>88.953343767737493</v>
      </c>
      <c r="FC137" s="150">
        <f t="shared" si="427"/>
        <v>0.47280139069588367</v>
      </c>
      <c r="FD137" s="5">
        <f t="shared" si="428"/>
        <v>2.16</v>
      </c>
      <c r="FE137" s="150">
        <f t="shared" si="429"/>
        <v>0.8204188920718718</v>
      </c>
      <c r="FF137" s="5">
        <f t="shared" si="430"/>
        <v>82.041889207187182</v>
      </c>
      <c r="FG137">
        <f t="shared" si="431"/>
        <v>27</v>
      </c>
      <c r="FI137" s="59">
        <f t="shared" si="432"/>
        <v>-50</v>
      </c>
      <c r="FJ137">
        <f t="shared" si="433"/>
        <v>-50</v>
      </c>
    </row>
    <row r="138" spans="5:166">
      <c r="E138" s="147">
        <v>28</v>
      </c>
      <c r="F138" s="188">
        <f t="shared" si="434"/>
        <v>0.33600000000000002</v>
      </c>
      <c r="G138" s="188">
        <f t="shared" si="313"/>
        <v>7.0000000000000007E-2</v>
      </c>
      <c r="H138" s="188">
        <f t="shared" si="314"/>
        <v>1.6800000000000002</v>
      </c>
      <c r="I138" s="188">
        <f t="shared" si="315"/>
        <v>0.56000000000000005</v>
      </c>
      <c r="J138" s="465">
        <f t="shared" si="316"/>
        <v>8.9538090716864254</v>
      </c>
      <c r="K138" s="379">
        <f t="shared" si="317"/>
        <v>5.7176227986307211</v>
      </c>
      <c r="L138" s="149">
        <f t="shared" si="318"/>
        <v>14.671431870317146</v>
      </c>
      <c r="M138" s="379"/>
      <c r="N138" s="188">
        <f t="shared" si="319"/>
        <v>0.3897113007898339</v>
      </c>
      <c r="O138" s="149">
        <f t="shared" si="320"/>
        <v>6.5426260881576219</v>
      </c>
      <c r="P138" s="149">
        <f t="shared" si="321"/>
        <v>2.9078338169589433</v>
      </c>
      <c r="Q138" s="188">
        <f t="shared" si="322"/>
        <v>1.3085252176315243</v>
      </c>
      <c r="R138" s="188">
        <f t="shared" si="323"/>
        <v>0.81782826101970274</v>
      </c>
      <c r="S138" s="188">
        <f t="shared" si="324"/>
        <v>5</v>
      </c>
      <c r="T138" s="188">
        <f t="shared" si="325"/>
        <v>1.2838881340329518</v>
      </c>
      <c r="U138" s="188">
        <f t="shared" si="326"/>
        <v>1.7206819449740201</v>
      </c>
      <c r="V138" s="188">
        <f t="shared" si="327"/>
        <v>2.6945914676436979</v>
      </c>
      <c r="W138" s="172">
        <f t="shared" si="328"/>
        <v>290.78338169589438</v>
      </c>
      <c r="X138" s="379">
        <f t="shared" si="435"/>
        <v>216.6718871445612</v>
      </c>
      <c r="Z138" s="188">
        <f t="shared" si="329"/>
        <v>1</v>
      </c>
      <c r="AA138" s="150">
        <f t="shared" si="330"/>
        <v>2.0987743372776899</v>
      </c>
      <c r="AB138" s="150">
        <f t="shared" si="331"/>
        <v>0.22885826220381233</v>
      </c>
      <c r="AC138" s="150"/>
      <c r="AD138" s="150">
        <f t="shared" si="332"/>
        <v>2.0987743372776899</v>
      </c>
      <c r="AE138" s="314">
        <f t="shared" si="333"/>
        <v>320.18687672332027</v>
      </c>
      <c r="AF138" s="456">
        <f t="shared" si="334"/>
        <v>0.30514434960508313</v>
      </c>
      <c r="AH138" s="150">
        <f t="shared" si="335"/>
        <v>1.0327955589886444</v>
      </c>
      <c r="AI138" s="150">
        <f t="shared" si="336"/>
        <v>1.2838881340329518</v>
      </c>
      <c r="AJ138" s="150">
        <f t="shared" si="337"/>
        <v>1.4102875066910754</v>
      </c>
      <c r="AL138" s="314">
        <f t="shared" si="338"/>
        <v>336</v>
      </c>
      <c r="AM138" s="144">
        <f t="shared" si="339"/>
        <v>216.6718871445612</v>
      </c>
      <c r="AO138" s="144">
        <f t="shared" si="340"/>
        <v>336</v>
      </c>
      <c r="AP138" s="144">
        <f t="shared" si="341"/>
        <v>216.6718871445612</v>
      </c>
      <c r="AR138" s="5">
        <f t="shared" si="443"/>
        <v>4.615273412617718</v>
      </c>
      <c r="AS138" s="5">
        <f t="shared" si="440"/>
        <v>1.7206819449740201</v>
      </c>
      <c r="AT138" s="5">
        <f t="shared" si="441"/>
        <v>2.8945914676436981</v>
      </c>
      <c r="AU138" s="150">
        <f t="shared" si="442"/>
        <v>0.37282340419309495</v>
      </c>
      <c r="AW138" s="5">
        <f t="shared" si="342"/>
        <v>11.562982670225415</v>
      </c>
      <c r="AX138" s="5">
        <f t="shared" si="343"/>
        <v>1.5055967018522676</v>
      </c>
      <c r="AY138" s="5">
        <f t="shared" si="344"/>
        <v>0.22629631826278784</v>
      </c>
      <c r="AZ138" s="5"/>
      <c r="BA138" s="150">
        <f t="shared" si="345"/>
        <v>0.45260374327411257</v>
      </c>
      <c r="BB138" s="150">
        <f t="shared" si="346"/>
        <v>0.58703159921574877</v>
      </c>
      <c r="BC138" s="150">
        <f t="shared" si="347"/>
        <v>0.13121882805999088</v>
      </c>
      <c r="BD138" s="150"/>
      <c r="BE138" s="456">
        <f t="shared" si="348"/>
        <v>4.097002968514776E-3</v>
      </c>
      <c r="BF138" s="456">
        <f t="shared" si="349"/>
        <v>7.6525032769764759E-2</v>
      </c>
      <c r="BG138" s="456">
        <f t="shared" si="350"/>
        <v>4.8500967717359733E-2</v>
      </c>
      <c r="BH138" s="456">
        <f t="shared" si="351"/>
        <v>4.6638821556461247E-3</v>
      </c>
      <c r="BI138">
        <f t="shared" si="352"/>
        <v>4.0292140822588913E-3</v>
      </c>
      <c r="BJ138" s="144">
        <f t="shared" si="436"/>
        <v>52.530181799618624</v>
      </c>
      <c r="BK138">
        <f t="shared" si="353"/>
        <v>8.6476288857672931E-2</v>
      </c>
      <c r="BL138" s="144">
        <f t="shared" si="437"/>
        <v>137.81609969354429</v>
      </c>
      <c r="BM138" s="150">
        <f t="shared" si="354"/>
        <v>0.20873999999999998</v>
      </c>
      <c r="BN138" s="150">
        <f t="shared" si="355"/>
        <v>4.3487499999999998E-2</v>
      </c>
      <c r="BO138" s="456"/>
      <c r="BQ138" s="144">
        <f t="shared" si="356"/>
        <v>252.22749999999999</v>
      </c>
      <c r="BR138" s="456">
        <f t="shared" si="357"/>
        <v>6.1455044527721631E-3</v>
      </c>
      <c r="BS138" s="456">
        <f t="shared" si="358"/>
        <v>1.0338182954333985E-2</v>
      </c>
      <c r="BT138" s="456">
        <f t="shared" si="359"/>
        <v>8.6091904187187253E-5</v>
      </c>
      <c r="BU138" s="456">
        <f t="shared" si="360"/>
        <v>6.4534861404846461E-2</v>
      </c>
      <c r="BV138" s="456"/>
      <c r="BW138" s="538">
        <f t="shared" si="361"/>
        <v>3.5715516575987285E-4</v>
      </c>
      <c r="BX138" s="144">
        <f t="shared" si="362"/>
        <v>81.461795881899661</v>
      </c>
      <c r="BY138" s="150">
        <f t="shared" si="363"/>
        <v>0.47150539557544391</v>
      </c>
      <c r="BZ138" s="5">
        <f t="shared" si="364"/>
        <v>2.2400000000000002</v>
      </c>
      <c r="CA138" s="150">
        <f t="shared" si="365"/>
        <v>0.82610936480346564</v>
      </c>
      <c r="CB138" s="5">
        <f t="shared" si="366"/>
        <v>82.610936480346567</v>
      </c>
      <c r="CC138">
        <f t="shared" si="367"/>
        <v>28.000000000000004</v>
      </c>
      <c r="CE138" s="59">
        <f t="shared" si="368"/>
        <v>-50</v>
      </c>
      <c r="CF138">
        <f t="shared" si="369"/>
        <v>-50</v>
      </c>
      <c r="CG138" s="150">
        <f t="shared" si="370"/>
        <v>0.57198633493024875</v>
      </c>
      <c r="CH138" s="150">
        <f t="shared" si="371"/>
        <v>0.31031053622728105</v>
      </c>
      <c r="CI138" s="147">
        <v>28</v>
      </c>
      <c r="CJ138" s="188">
        <f t="shared" si="438"/>
        <v>0.33600000000000002</v>
      </c>
      <c r="CK138" s="188">
        <f t="shared" si="372"/>
        <v>7.0000000000000007E-2</v>
      </c>
      <c r="CL138" s="188">
        <f t="shared" si="373"/>
        <v>1.6800000000000002</v>
      </c>
      <c r="CM138" s="188">
        <f t="shared" si="374"/>
        <v>0.56000000000000005</v>
      </c>
      <c r="CN138" s="465">
        <f t="shared" si="375"/>
        <v>9</v>
      </c>
      <c r="CO138" s="379">
        <f t="shared" si="376"/>
        <v>5.7</v>
      </c>
      <c r="CP138" s="379">
        <f t="shared" si="377"/>
        <v>14.7</v>
      </c>
      <c r="CQ138" s="379"/>
      <c r="CR138" s="188">
        <f t="shared" si="378"/>
        <v>0.375</v>
      </c>
      <c r="CS138" s="149">
        <f t="shared" si="379"/>
        <v>6.328125</v>
      </c>
      <c r="CT138" s="149">
        <f t="shared" si="380"/>
        <v>2.8125</v>
      </c>
      <c r="CU138" s="188">
        <f t="shared" si="381"/>
        <v>1.265625</v>
      </c>
      <c r="CV138" s="188">
        <f t="shared" si="382"/>
        <v>0.791015625</v>
      </c>
      <c r="CW138" s="188">
        <f t="shared" si="383"/>
        <v>5</v>
      </c>
      <c r="CX138" s="188">
        <f t="shared" si="384"/>
        <v>1.3274074074074076</v>
      </c>
      <c r="CY138" s="188">
        <f t="shared" si="385"/>
        <v>1.7698765432098766</v>
      </c>
      <c r="CZ138" s="188">
        <f t="shared" si="386"/>
        <v>2.7945419103313842</v>
      </c>
      <c r="DA138" s="172">
        <f t="shared" si="387"/>
        <v>290.81632653061229</v>
      </c>
      <c r="DB138" s="379">
        <f t="shared" si="388"/>
        <v>219.08596027696788</v>
      </c>
      <c r="DD138" s="188">
        <f t="shared" si="389"/>
        <v>0.99999999999999978</v>
      </c>
      <c r="DE138" s="150">
        <f t="shared" si="390"/>
        <v>2.1052631578947363</v>
      </c>
      <c r="DF138" s="150">
        <f t="shared" si="391"/>
        <v>0.2295918367346938</v>
      </c>
      <c r="DG138" s="150"/>
      <c r="DH138" s="150">
        <f t="shared" si="392"/>
        <v>2.1052631578947367</v>
      </c>
      <c r="DI138" s="314">
        <f t="shared" si="393"/>
        <v>319.20000000000005</v>
      </c>
      <c r="DJ138" s="456">
        <f t="shared" si="394"/>
        <v>0.3061224489795919</v>
      </c>
      <c r="DL138" s="150">
        <f t="shared" si="395"/>
        <v>1.0327955589886444</v>
      </c>
      <c r="DM138" s="150">
        <f t="shared" si="396"/>
        <v>1.3274074074074076</v>
      </c>
      <c r="DN138" s="150">
        <f t="shared" si="397"/>
        <v>1.4425240054869686</v>
      </c>
      <c r="DP138" s="314">
        <f t="shared" si="398"/>
        <v>336</v>
      </c>
      <c r="DQ138" s="144">
        <f t="shared" si="399"/>
        <v>219.08596027696788</v>
      </c>
      <c r="DS138" s="144">
        <f t="shared" si="400"/>
        <v>336</v>
      </c>
      <c r="DT138" s="144">
        <f t="shared" si="401"/>
        <v>219.08596027696788</v>
      </c>
      <c r="DV138" s="5">
        <f t="shared" si="402"/>
        <v>4.5644184535412613</v>
      </c>
      <c r="DW138" s="5">
        <f t="shared" si="403"/>
        <v>1.7698765432098766</v>
      </c>
      <c r="DX138" s="5">
        <f t="shared" si="404"/>
        <v>2.7945419103313847</v>
      </c>
      <c r="DY138" s="150">
        <f t="shared" si="405"/>
        <v>0.38775510204081626</v>
      </c>
      <c r="EA138" s="5">
        <f t="shared" si="406"/>
        <v>11.893570370370373</v>
      </c>
      <c r="EB138" s="5">
        <f t="shared" si="407"/>
        <v>1.5486419753086424</v>
      </c>
      <c r="EC138" s="5">
        <f t="shared" si="408"/>
        <v>0.21735325969244104</v>
      </c>
      <c r="ED138" s="5"/>
      <c r="EE138" s="150">
        <f t="shared" si="409"/>
        <v>0.47722410257513875</v>
      </c>
      <c r="EF138" s="150">
        <f t="shared" si="410"/>
        <v>0.5996615414837817</v>
      </c>
      <c r="EG138" s="150">
        <f t="shared" si="411"/>
        <v>0.13404199162578651</v>
      </c>
      <c r="EH138" s="150"/>
      <c r="EI138" s="456">
        <f t="shared" si="412"/>
        <v>4.5548568815729313E-3</v>
      </c>
      <c r="EJ138" s="456">
        <f t="shared" si="413"/>
        <v>8.5500000000000007E-2</v>
      </c>
      <c r="EK138" s="456">
        <f t="shared" si="414"/>
        <v>2.7385745034620986E-2</v>
      </c>
      <c r="EL138" s="456">
        <f t="shared" si="415"/>
        <v>4.7342285156249985E-3</v>
      </c>
      <c r="EM138">
        <f t="shared" si="416"/>
        <v>4.0499999999999998E-3</v>
      </c>
      <c r="EN138" s="144">
        <f t="shared" si="417"/>
        <v>31.435745034620986</v>
      </c>
      <c r="EP138" s="144">
        <f t="shared" si="439"/>
        <v>126.22483043181893</v>
      </c>
      <c r="EQ138" s="150">
        <f t="shared" si="418"/>
        <v>0.23519999999999999</v>
      </c>
      <c r="ER138" s="150">
        <f t="shared" si="419"/>
        <v>3.10625E-2</v>
      </c>
      <c r="ES138" s="456"/>
      <c r="EU138" s="144">
        <f t="shared" si="420"/>
        <v>266.26249999999999</v>
      </c>
      <c r="EV138" s="456">
        <f t="shared" si="421"/>
        <v>6.8322853223593966E-3</v>
      </c>
      <c r="EW138" s="456">
        <f t="shared" si="422"/>
        <v>1.0787818930041156E-2</v>
      </c>
      <c r="EX138" s="456">
        <f t="shared" si="423"/>
        <v>8.9836277595037098E-5</v>
      </c>
      <c r="EY138" s="456">
        <f t="shared" si="424"/>
        <v>7.2113564882065453E-2</v>
      </c>
      <c r="EZ138" s="456"/>
      <c r="FA138" s="538">
        <f t="shared" si="425"/>
        <v>3.860317460317461E-4</v>
      </c>
      <c r="FB138" s="144">
        <f t="shared" si="426"/>
        <v>90.2095371580928</v>
      </c>
      <c r="FC138" s="150">
        <f t="shared" si="427"/>
        <v>0.4826968675899117</v>
      </c>
      <c r="FD138" s="5">
        <f t="shared" si="428"/>
        <v>2.2400000000000002</v>
      </c>
      <c r="FE138" s="150">
        <f t="shared" si="429"/>
        <v>0.82271369488988055</v>
      </c>
      <c r="FF138" s="5">
        <f t="shared" si="430"/>
        <v>82.271369488988057</v>
      </c>
      <c r="FG138">
        <f t="shared" si="431"/>
        <v>28.000000000000004</v>
      </c>
      <c r="FI138" s="59">
        <f t="shared" si="432"/>
        <v>-50</v>
      </c>
      <c r="FJ138">
        <f t="shared" si="433"/>
        <v>-50</v>
      </c>
    </row>
    <row r="139" spans="5:166">
      <c r="E139" s="147">
        <v>29</v>
      </c>
      <c r="F139" s="188">
        <f t="shared" si="434"/>
        <v>0.34799999999999998</v>
      </c>
      <c r="G139" s="188">
        <f t="shared" si="313"/>
        <v>7.2499999999999995E-2</v>
      </c>
      <c r="H139" s="188">
        <f t="shared" si="314"/>
        <v>1.7399999999999998</v>
      </c>
      <c r="I139" s="188">
        <f t="shared" si="315"/>
        <v>0.57999999999999996</v>
      </c>
      <c r="J139" s="465">
        <f t="shared" si="316"/>
        <v>8.9521593956752259</v>
      </c>
      <c r="K139" s="379">
        <f t="shared" si="317"/>
        <v>5.7182521842961043</v>
      </c>
      <c r="L139" s="149">
        <f t="shared" si="318"/>
        <v>14.670411579971329</v>
      </c>
      <c r="M139" s="379"/>
      <c r="N139" s="188">
        <f t="shared" si="319"/>
        <v>0.38978130593847182</v>
      </c>
      <c r="O139" s="149">
        <f t="shared" si="320"/>
        <v>6.5425957129043439</v>
      </c>
      <c r="P139" s="149">
        <f t="shared" si="321"/>
        <v>2.907820316846375</v>
      </c>
      <c r="Q139" s="188">
        <f t="shared" si="322"/>
        <v>1.3085191425808689</v>
      </c>
      <c r="R139" s="188">
        <f t="shared" si="323"/>
        <v>0.81782446411304299</v>
      </c>
      <c r="S139" s="188">
        <f t="shared" si="324"/>
        <v>5</v>
      </c>
      <c r="T139" s="188">
        <f t="shared" si="325"/>
        <v>1.3297474552554853</v>
      </c>
      <c r="U139" s="188">
        <f t="shared" si="326"/>
        <v>1.7824715532628483</v>
      </c>
      <c r="V139" s="188">
        <f t="shared" si="327"/>
        <v>2.7905326573193219</v>
      </c>
      <c r="W139" s="172">
        <f t="shared" si="328"/>
        <v>290.78203168463745</v>
      </c>
      <c r="X139" s="379">
        <f t="shared" si="435"/>
        <v>209.51165259458853</v>
      </c>
      <c r="Z139" s="188">
        <f t="shared" si="329"/>
        <v>1.0000000000000002</v>
      </c>
      <c r="AA139" s="150">
        <f t="shared" si="330"/>
        <v>2.0985433333904564</v>
      </c>
      <c r="AB139" s="150">
        <f t="shared" si="331"/>
        <v>0.22883201027307321</v>
      </c>
      <c r="AC139" s="150"/>
      <c r="AD139" s="150">
        <f t="shared" si="332"/>
        <v>2.0985433333904555</v>
      </c>
      <c r="AE139" s="314">
        <f t="shared" si="333"/>
        <v>331.65862668917401</v>
      </c>
      <c r="AF139" s="456">
        <f t="shared" si="334"/>
        <v>0.30510934703076403</v>
      </c>
      <c r="AH139" s="150">
        <f t="shared" si="335"/>
        <v>1.051076545624487</v>
      </c>
      <c r="AI139" s="150">
        <f t="shared" si="336"/>
        <v>1.3297474552554853</v>
      </c>
      <c r="AJ139" s="150">
        <f t="shared" si="337"/>
        <v>1.4442573742633225</v>
      </c>
      <c r="AL139" s="314">
        <f t="shared" si="338"/>
        <v>348</v>
      </c>
      <c r="AM139" s="144">
        <f t="shared" si="339"/>
        <v>209.51165259458853</v>
      </c>
      <c r="AO139" s="144">
        <f t="shared" si="340"/>
        <v>348</v>
      </c>
      <c r="AP139" s="144">
        <f t="shared" si="341"/>
        <v>209.51165259458853</v>
      </c>
      <c r="AR139" s="5">
        <f t="shared" si="443"/>
        <v>4.7730042105821706</v>
      </c>
      <c r="AS139" s="5">
        <f t="shared" si="440"/>
        <v>1.7824715532628483</v>
      </c>
      <c r="AT139" s="5">
        <f t="shared" si="441"/>
        <v>2.9905326573193225</v>
      </c>
      <c r="AU139" s="150">
        <f t="shared" si="442"/>
        <v>0.3734485608269425</v>
      </c>
      <c r="AW139" s="5">
        <f t="shared" si="342"/>
        <v>12.406002010709422</v>
      </c>
      <c r="AX139" s="5">
        <f t="shared" si="343"/>
        <v>1.6153648451444562</v>
      </c>
      <c r="AY139" s="5">
        <f t="shared" si="344"/>
        <v>0.24219141781634623</v>
      </c>
      <c r="AZ139" s="5"/>
      <c r="BA139" s="150">
        <f t="shared" si="345"/>
        <v>0.46916319544873991</v>
      </c>
      <c r="BB139" s="150">
        <f t="shared" si="346"/>
        <v>0.60769673984848216</v>
      </c>
      <c r="BC139" s="150">
        <f t="shared" si="347"/>
        <v>0.13583809478966072</v>
      </c>
      <c r="BD139" s="150"/>
      <c r="BE139" s="456">
        <f t="shared" si="348"/>
        <v>4.4022820792734511E-3</v>
      </c>
      <c r="BF139" s="456">
        <f t="shared" si="349"/>
        <v>7.6633898714540141E-2</v>
      </c>
      <c r="BG139" s="456">
        <f t="shared" si="350"/>
        <v>4.6889542731952241E-2</v>
      </c>
      <c r="BH139" s="456">
        <f t="shared" si="351"/>
        <v>4.5091302339225472E-3</v>
      </c>
      <c r="BI139">
        <f t="shared" si="352"/>
        <v>4.0284717280538512E-3</v>
      </c>
      <c r="BJ139" s="144">
        <f t="shared" si="436"/>
        <v>50.918014460006091</v>
      </c>
      <c r="BK139">
        <f t="shared" si="353"/>
        <v>8.6824744328139969E-2</v>
      </c>
      <c r="BL139" s="144">
        <f t="shared" si="437"/>
        <v>136.46332548774222</v>
      </c>
      <c r="BM139" s="150">
        <f t="shared" si="354"/>
        <v>0.21619499999999994</v>
      </c>
      <c r="BN139" s="150">
        <f t="shared" si="355"/>
        <v>4.5040624999999994E-2</v>
      </c>
      <c r="BO139" s="456"/>
      <c r="BQ139" s="144">
        <f t="shared" si="356"/>
        <v>261.23562499999991</v>
      </c>
      <c r="BR139" s="456">
        <f t="shared" si="357"/>
        <v>6.6034231189101757E-3</v>
      </c>
      <c r="BS139" s="456">
        <f t="shared" si="358"/>
        <v>1.1078859828674214E-2</v>
      </c>
      <c r="BT139" s="456">
        <f t="shared" si="359"/>
        <v>9.2259939980424252E-5</v>
      </c>
      <c r="BU139" s="456">
        <f t="shared" si="360"/>
        <v>6.4775888740997198E-2</v>
      </c>
      <c r="BV139" s="456"/>
      <c r="BW139" s="538">
        <f t="shared" si="361"/>
        <v>3.7046443219935176E-4</v>
      </c>
      <c r="BX139" s="144">
        <f t="shared" si="362"/>
        <v>82.920896060761365</v>
      </c>
      <c r="BY139" s="150">
        <f t="shared" si="363"/>
        <v>0.48061984654850354</v>
      </c>
      <c r="BZ139" s="5">
        <f t="shared" si="364"/>
        <v>2.3199999999999998</v>
      </c>
      <c r="CA139" s="150">
        <f t="shared" si="365"/>
        <v>0.82838804518905995</v>
      </c>
      <c r="CB139" s="5">
        <f t="shared" si="366"/>
        <v>82.838804518905988</v>
      </c>
      <c r="CC139">
        <f t="shared" si="367"/>
        <v>28.999999999999996</v>
      </c>
      <c r="CE139" s="59">
        <f t="shared" si="368"/>
        <v>-50</v>
      </c>
      <c r="CF139">
        <f t="shared" si="369"/>
        <v>-50</v>
      </c>
      <c r="CG139" s="150">
        <f t="shared" si="370"/>
        <v>0.57198633493024875</v>
      </c>
      <c r="CH139" s="150">
        <f t="shared" si="371"/>
        <v>0.31031053622728111</v>
      </c>
      <c r="CI139" s="147">
        <v>29</v>
      </c>
      <c r="CJ139" s="188">
        <f t="shared" si="438"/>
        <v>0.34799999999999998</v>
      </c>
      <c r="CK139" s="188">
        <f t="shared" si="372"/>
        <v>7.2499999999999995E-2</v>
      </c>
      <c r="CL139" s="188">
        <f t="shared" si="373"/>
        <v>1.7399999999999998</v>
      </c>
      <c r="CM139" s="188">
        <f t="shared" si="374"/>
        <v>0.57999999999999996</v>
      </c>
      <c r="CN139" s="465">
        <f t="shared" si="375"/>
        <v>9</v>
      </c>
      <c r="CO139" s="379">
        <f t="shared" si="376"/>
        <v>5.7</v>
      </c>
      <c r="CP139" s="379">
        <f t="shared" si="377"/>
        <v>14.7</v>
      </c>
      <c r="CQ139" s="379"/>
      <c r="CR139" s="188">
        <f t="shared" si="378"/>
        <v>0.375</v>
      </c>
      <c r="CS139" s="149">
        <f t="shared" si="379"/>
        <v>6.328125</v>
      </c>
      <c r="CT139" s="149">
        <f t="shared" si="380"/>
        <v>2.8125</v>
      </c>
      <c r="CU139" s="188">
        <f t="shared" si="381"/>
        <v>1.265625</v>
      </c>
      <c r="CV139" s="188">
        <f t="shared" si="382"/>
        <v>0.791015625</v>
      </c>
      <c r="CW139" s="188">
        <f t="shared" si="383"/>
        <v>5</v>
      </c>
      <c r="CX139" s="188">
        <f t="shared" si="384"/>
        <v>1.3748148148148147</v>
      </c>
      <c r="CY139" s="188">
        <f t="shared" si="385"/>
        <v>1.8330864197530863</v>
      </c>
      <c r="CZ139" s="188">
        <f t="shared" si="386"/>
        <v>2.8943469785575044</v>
      </c>
      <c r="DA139" s="172">
        <f t="shared" si="387"/>
        <v>290.81632653061229</v>
      </c>
      <c r="DB139" s="379">
        <f t="shared" si="388"/>
        <v>211.53127199155526</v>
      </c>
      <c r="DD139" s="188">
        <f t="shared" si="389"/>
        <v>0.99999999999999978</v>
      </c>
      <c r="DE139" s="150">
        <f t="shared" si="390"/>
        <v>2.1052631578947363</v>
      </c>
      <c r="DF139" s="150">
        <f t="shared" si="391"/>
        <v>0.2295918367346938</v>
      </c>
      <c r="DG139" s="150"/>
      <c r="DH139" s="150">
        <f t="shared" si="392"/>
        <v>2.1052631578947367</v>
      </c>
      <c r="DI139" s="314">
        <f t="shared" si="393"/>
        <v>330.6</v>
      </c>
      <c r="DJ139" s="456">
        <f t="shared" si="394"/>
        <v>0.3061224489795919</v>
      </c>
      <c r="DL139" s="150">
        <f t="shared" si="395"/>
        <v>1.051076545624487</v>
      </c>
      <c r="DM139" s="150">
        <f t="shared" si="396"/>
        <v>1.3748148148148147</v>
      </c>
      <c r="DN139" s="150">
        <f t="shared" si="397"/>
        <v>1.4776406035665293</v>
      </c>
      <c r="DP139" s="314">
        <f t="shared" si="398"/>
        <v>348</v>
      </c>
      <c r="DQ139" s="144">
        <f t="shared" si="399"/>
        <v>211.53127199155526</v>
      </c>
      <c r="DS139" s="144">
        <f t="shared" si="400"/>
        <v>348</v>
      </c>
      <c r="DT139" s="144">
        <f t="shared" si="401"/>
        <v>211.53127199155526</v>
      </c>
      <c r="DV139" s="5">
        <f t="shared" si="402"/>
        <v>4.7274333983105912</v>
      </c>
      <c r="DW139" s="5">
        <f t="shared" si="403"/>
        <v>1.8330864197530863</v>
      </c>
      <c r="DX139" s="5">
        <f t="shared" si="404"/>
        <v>2.8943469785575049</v>
      </c>
      <c r="DY139" s="150">
        <f t="shared" si="405"/>
        <v>0.38775510204081631</v>
      </c>
      <c r="EA139" s="5">
        <f t="shared" si="406"/>
        <v>12.758281481481479</v>
      </c>
      <c r="EB139" s="5">
        <f t="shared" si="407"/>
        <v>1.6612345679012344</v>
      </c>
      <c r="EC139" s="5">
        <f t="shared" si="408"/>
        <v>0.2331557288282434</v>
      </c>
      <c r="ED139" s="5"/>
      <c r="EE139" s="150">
        <f t="shared" si="409"/>
        <v>0.49426782052425083</v>
      </c>
      <c r="EF139" s="150">
        <f t="shared" si="410"/>
        <v>0.62107802510820231</v>
      </c>
      <c r="EG139" s="150">
        <f t="shared" si="411"/>
        <v>0.13882920561242171</v>
      </c>
      <c r="EH139" s="150"/>
      <c r="EI139" s="456">
        <f t="shared" si="412"/>
        <v>4.8860135681158606E-3</v>
      </c>
      <c r="EJ139" s="456">
        <f t="shared" si="413"/>
        <v>8.5499999999999979E-2</v>
      </c>
      <c r="EK139" s="456">
        <f t="shared" si="414"/>
        <v>2.6441408998944406E-2</v>
      </c>
      <c r="EL139" s="456">
        <f t="shared" si="415"/>
        <v>4.5709792564655174E-3</v>
      </c>
      <c r="EM139">
        <f t="shared" si="416"/>
        <v>4.0499999999999998E-3</v>
      </c>
      <c r="EN139" s="144">
        <f t="shared" si="417"/>
        <v>30.491408998944404</v>
      </c>
      <c r="EP139" s="144">
        <f t="shared" si="439"/>
        <v>125.44840182352576</v>
      </c>
      <c r="EQ139" s="150">
        <f t="shared" si="418"/>
        <v>0.24359999999999996</v>
      </c>
      <c r="ER139" s="150">
        <f t="shared" si="419"/>
        <v>3.2171874999999996E-2</v>
      </c>
      <c r="ES139" s="456"/>
      <c r="EU139" s="144">
        <f t="shared" si="420"/>
        <v>275.77187499999997</v>
      </c>
      <c r="EV139" s="456">
        <f t="shared" si="421"/>
        <v>7.3290203521737905E-3</v>
      </c>
      <c r="EW139" s="456">
        <f t="shared" si="422"/>
        <v>1.1572137398169143E-2</v>
      </c>
      <c r="EX139" s="456">
        <f t="shared" si="423"/>
        <v>9.6367741654880326E-5</v>
      </c>
      <c r="EY139" s="456">
        <f t="shared" si="424"/>
        <v>7.2113564882065578E-2</v>
      </c>
      <c r="EZ139" s="456"/>
      <c r="FA139" s="538">
        <f t="shared" si="425"/>
        <v>3.9981859410430836E-4</v>
      </c>
      <c r="FB139" s="144">
        <f t="shared" si="426"/>
        <v>91.510908968167698</v>
      </c>
      <c r="FC139" s="150">
        <f t="shared" si="427"/>
        <v>0.4927311857916935</v>
      </c>
      <c r="FD139" s="5">
        <f t="shared" si="428"/>
        <v>2.3199999999999998</v>
      </c>
      <c r="FE139" s="150">
        <f t="shared" si="429"/>
        <v>0.82482108909635965</v>
      </c>
      <c r="FF139" s="5">
        <f t="shared" si="430"/>
        <v>82.482108909635969</v>
      </c>
      <c r="FG139">
        <f t="shared" si="431"/>
        <v>28.999999999999996</v>
      </c>
      <c r="FI139" s="59">
        <f t="shared" si="432"/>
        <v>-50</v>
      </c>
      <c r="FJ139">
        <f t="shared" si="433"/>
        <v>-50</v>
      </c>
    </row>
    <row r="140" spans="5:166">
      <c r="E140" s="147">
        <v>30</v>
      </c>
      <c r="F140" s="188">
        <f t="shared" si="434"/>
        <v>0.36</v>
      </c>
      <c r="G140" s="188">
        <f t="shared" si="313"/>
        <v>7.4999999999999997E-2</v>
      </c>
      <c r="H140" s="188">
        <f t="shared" si="314"/>
        <v>1.7999999999999998</v>
      </c>
      <c r="I140" s="188">
        <f t="shared" si="315"/>
        <v>0.6</v>
      </c>
      <c r="J140" s="465">
        <f t="shared" si="316"/>
        <v>8.9505097196640264</v>
      </c>
      <c r="K140" s="379">
        <f t="shared" si="317"/>
        <v>5.7188815699614874</v>
      </c>
      <c r="L140" s="149">
        <f t="shared" si="318"/>
        <v>14.669391289625514</v>
      </c>
      <c r="M140" s="379"/>
      <c r="N140" s="188">
        <f t="shared" si="319"/>
        <v>0.38985132082515206</v>
      </c>
      <c r="O140" s="149">
        <f t="shared" si="320"/>
        <v>6.5425650680050911</v>
      </c>
      <c r="P140" s="149">
        <f t="shared" si="321"/>
        <v>2.9078066968911518</v>
      </c>
      <c r="Q140" s="188">
        <f t="shared" si="322"/>
        <v>1.3085130136010181</v>
      </c>
      <c r="R140" s="188">
        <f t="shared" si="323"/>
        <v>0.81782063350063638</v>
      </c>
      <c r="S140" s="188">
        <f t="shared" si="324"/>
        <v>5</v>
      </c>
      <c r="T140" s="188">
        <f t="shared" si="325"/>
        <v>1.3756072589957764</v>
      </c>
      <c r="U140" s="188">
        <f t="shared" si="326"/>
        <v>1.8442845854558714</v>
      </c>
      <c r="V140" s="188">
        <f t="shared" si="327"/>
        <v>2.8864537420488112</v>
      </c>
      <c r="W140" s="172">
        <f t="shared" si="328"/>
        <v>290.7806696891152</v>
      </c>
      <c r="X140" s="379">
        <f t="shared" si="435"/>
        <v>202.80938341866414</v>
      </c>
      <c r="Z140" s="188">
        <f t="shared" si="329"/>
        <v>0.99999999999999978</v>
      </c>
      <c r="AA140" s="150">
        <f t="shared" si="330"/>
        <v>2.0983123803490145</v>
      </c>
      <c r="AB140" s="150">
        <f t="shared" si="331"/>
        <v>0.22880575469056791</v>
      </c>
      <c r="AC140" s="150"/>
      <c r="AD140" s="150">
        <f t="shared" si="332"/>
        <v>2.0983123803490149</v>
      </c>
      <c r="AE140" s="314">
        <f t="shared" si="333"/>
        <v>343.13289419768927</v>
      </c>
      <c r="AF140" s="456">
        <f t="shared" si="334"/>
        <v>0.30507433958742397</v>
      </c>
      <c r="AH140" s="150">
        <f t="shared" si="335"/>
        <v>1.0690449676496976</v>
      </c>
      <c r="AI140" s="150">
        <f t="shared" si="336"/>
        <v>1.3756072589957764</v>
      </c>
      <c r="AJ140" s="150">
        <f t="shared" si="337"/>
        <v>1.4782275992561307</v>
      </c>
      <c r="AL140" s="314">
        <f t="shared" si="338"/>
        <v>360</v>
      </c>
      <c r="AM140" s="144">
        <f t="shared" si="339"/>
        <v>202.80938341866414</v>
      </c>
      <c r="AO140" s="144">
        <f t="shared" si="340"/>
        <v>360</v>
      </c>
      <c r="AP140" s="144">
        <f t="shared" si="341"/>
        <v>202.80938341866414</v>
      </c>
      <c r="AR140" s="5">
        <f t="shared" si="443"/>
        <v>4.9307383275046828</v>
      </c>
      <c r="AS140" s="5">
        <f t="shared" si="440"/>
        <v>1.8442845854558714</v>
      </c>
      <c r="AT140" s="5">
        <f t="shared" si="441"/>
        <v>3.0864537420488114</v>
      </c>
      <c r="AU140" s="150">
        <f t="shared" si="442"/>
        <v>0.3740382196248519</v>
      </c>
      <c r="AW140" s="5">
        <f t="shared" si="342"/>
        <v>13.278849015282272</v>
      </c>
      <c r="AX140" s="5">
        <f t="shared" si="343"/>
        <v>1.7290167988648792</v>
      </c>
      <c r="AY140" s="5">
        <f t="shared" si="344"/>
        <v>0.25862664574856187</v>
      </c>
      <c r="AZ140" s="5"/>
      <c r="BA140" s="150">
        <f t="shared" si="345"/>
        <v>0.48572652683458289</v>
      </c>
      <c r="BB140" s="150">
        <f t="shared" si="346"/>
        <v>0.62835885564156002</v>
      </c>
      <c r="BC140" s="150">
        <f t="shared" si="347"/>
        <v>0.14045668537870165</v>
      </c>
      <c r="BD140" s="150"/>
      <c r="BE140" s="456">
        <f t="shared" si="348"/>
        <v>4.7186051774157356E-3</v>
      </c>
      <c r="BF140" s="456">
        <f t="shared" si="349"/>
        <v>7.6735418978078632E-2</v>
      </c>
      <c r="BG140" s="456">
        <f t="shared" si="350"/>
        <v>4.5381183938195541E-2</v>
      </c>
      <c r="BH140" s="456">
        <f t="shared" si="351"/>
        <v>4.3642762303519643E-3</v>
      </c>
      <c r="BI140">
        <f t="shared" si="352"/>
        <v>4.027729373848812E-3</v>
      </c>
      <c r="BJ140" s="144">
        <f t="shared" si="436"/>
        <v>49.408913312044355</v>
      </c>
      <c r="BK140">
        <f t="shared" si="353"/>
        <v>8.7190076117142121E-2</v>
      </c>
      <c r="BL140" s="144">
        <f t="shared" si="437"/>
        <v>135.2272136978907</v>
      </c>
      <c r="BM140" s="150">
        <f t="shared" si="354"/>
        <v>0.22364999999999999</v>
      </c>
      <c r="BN140" s="150">
        <f t="shared" si="355"/>
        <v>4.6593749999999996E-2</v>
      </c>
      <c r="BO140" s="456"/>
      <c r="BQ140" s="144">
        <f t="shared" si="356"/>
        <v>270.24374999999998</v>
      </c>
      <c r="BR140" s="456">
        <f t="shared" si="357"/>
        <v>7.0779077661236034E-3</v>
      </c>
      <c r="BS140" s="456">
        <f t="shared" si="358"/>
        <v>1.1845045543895125E-2</v>
      </c>
      <c r="BT140" s="456">
        <f t="shared" si="359"/>
        <v>9.8640402337857899E-5</v>
      </c>
      <c r="BU140" s="456">
        <f t="shared" si="360"/>
        <v>6.5001931751640679E-2</v>
      </c>
      <c r="BV140" s="456"/>
      <c r="BW140" s="538">
        <f t="shared" si="361"/>
        <v>3.8377524932650686E-4</v>
      </c>
      <c r="BX140" s="144">
        <f t="shared" si="362"/>
        <v>84.407300713323778</v>
      </c>
      <c r="BY140" s="150">
        <f t="shared" si="363"/>
        <v>0.48987826441121451</v>
      </c>
      <c r="BZ140" s="5">
        <f t="shared" si="364"/>
        <v>2.4</v>
      </c>
      <c r="CA140" s="150">
        <f t="shared" si="365"/>
        <v>0.83048480953538628</v>
      </c>
      <c r="CB140" s="5">
        <f t="shared" si="366"/>
        <v>83.048480953538629</v>
      </c>
      <c r="CC140">
        <f t="shared" si="367"/>
        <v>30</v>
      </c>
      <c r="CE140" s="59">
        <f t="shared" si="368"/>
        <v>-50</v>
      </c>
      <c r="CF140">
        <f t="shared" si="369"/>
        <v>-50</v>
      </c>
      <c r="CG140" s="150">
        <f t="shared" si="370"/>
        <v>0.57198633493024875</v>
      </c>
      <c r="CH140" s="150">
        <f t="shared" si="371"/>
        <v>0.31031053622728105</v>
      </c>
      <c r="CI140" s="147">
        <v>30</v>
      </c>
      <c r="CJ140" s="188">
        <f t="shared" si="438"/>
        <v>0.36</v>
      </c>
      <c r="CK140" s="188">
        <f t="shared" si="372"/>
        <v>7.4999999999999997E-2</v>
      </c>
      <c r="CL140" s="188">
        <f t="shared" si="373"/>
        <v>1.7999999999999998</v>
      </c>
      <c r="CM140" s="188">
        <f t="shared" si="374"/>
        <v>0.6</v>
      </c>
      <c r="CN140" s="465">
        <f t="shared" si="375"/>
        <v>9</v>
      </c>
      <c r="CO140" s="379">
        <f t="shared" si="376"/>
        <v>5.7</v>
      </c>
      <c r="CP140" s="379">
        <f t="shared" si="377"/>
        <v>14.7</v>
      </c>
      <c r="CQ140" s="379"/>
      <c r="CR140" s="188">
        <f t="shared" si="378"/>
        <v>0.375</v>
      </c>
      <c r="CS140" s="149">
        <f t="shared" si="379"/>
        <v>6.328125</v>
      </c>
      <c r="CT140" s="149">
        <f t="shared" si="380"/>
        <v>2.8125</v>
      </c>
      <c r="CU140" s="188">
        <f t="shared" si="381"/>
        <v>1.265625</v>
      </c>
      <c r="CV140" s="188">
        <f t="shared" si="382"/>
        <v>0.791015625</v>
      </c>
      <c r="CW140" s="188">
        <f t="shared" si="383"/>
        <v>5</v>
      </c>
      <c r="CX140" s="188">
        <f t="shared" si="384"/>
        <v>1.4222222222222223</v>
      </c>
      <c r="CY140" s="188">
        <f t="shared" si="385"/>
        <v>1.8962962962962964</v>
      </c>
      <c r="CZ140" s="188">
        <f t="shared" si="386"/>
        <v>2.9941520467836256</v>
      </c>
      <c r="DA140" s="172">
        <f t="shared" si="387"/>
        <v>290.81632653061229</v>
      </c>
      <c r="DB140" s="379">
        <f t="shared" si="388"/>
        <v>204.48022959183672</v>
      </c>
      <c r="DD140" s="188">
        <f t="shared" si="389"/>
        <v>0.99999999999999978</v>
      </c>
      <c r="DE140" s="150">
        <f t="shared" si="390"/>
        <v>2.1052631578947363</v>
      </c>
      <c r="DF140" s="150">
        <f t="shared" si="391"/>
        <v>0.2295918367346938</v>
      </c>
      <c r="DG140" s="150"/>
      <c r="DH140" s="150">
        <f t="shared" si="392"/>
        <v>2.1052631578947367</v>
      </c>
      <c r="DI140" s="314">
        <f t="shared" si="393"/>
        <v>342</v>
      </c>
      <c r="DJ140" s="456">
        <f t="shared" si="394"/>
        <v>0.3061224489795919</v>
      </c>
      <c r="DL140" s="150">
        <f t="shared" si="395"/>
        <v>1.0690449676496976</v>
      </c>
      <c r="DM140" s="150">
        <f t="shared" si="396"/>
        <v>1.4222222222222223</v>
      </c>
      <c r="DN140" s="150">
        <f t="shared" si="397"/>
        <v>1.5127572016460906</v>
      </c>
      <c r="DP140" s="314">
        <f t="shared" si="398"/>
        <v>360</v>
      </c>
      <c r="DQ140" s="144">
        <f t="shared" si="399"/>
        <v>204.48022959183672</v>
      </c>
      <c r="DS140" s="144">
        <f t="shared" si="400"/>
        <v>360</v>
      </c>
      <c r="DT140" s="144">
        <f t="shared" si="401"/>
        <v>204.48022959183672</v>
      </c>
      <c r="DV140" s="5">
        <f t="shared" si="402"/>
        <v>4.8904483430799228</v>
      </c>
      <c r="DW140" s="5">
        <f t="shared" si="403"/>
        <v>1.8962962962962964</v>
      </c>
      <c r="DX140" s="5">
        <f t="shared" si="404"/>
        <v>2.9941520467836265</v>
      </c>
      <c r="DY140" s="150">
        <f t="shared" si="405"/>
        <v>0.38775510204081626</v>
      </c>
      <c r="EA140" s="5">
        <f t="shared" si="406"/>
        <v>13.653333333333332</v>
      </c>
      <c r="EB140" s="5">
        <f t="shared" si="407"/>
        <v>1.7777777777777779</v>
      </c>
      <c r="EC140" s="5">
        <f t="shared" si="408"/>
        <v>0.24951267056530216</v>
      </c>
      <c r="ED140" s="5"/>
      <c r="EE140" s="150">
        <f t="shared" si="409"/>
        <v>0.51131153847336297</v>
      </c>
      <c r="EF140" s="150">
        <f t="shared" si="410"/>
        <v>0.64249450873262315</v>
      </c>
      <c r="EG140" s="150">
        <f t="shared" si="411"/>
        <v>0.14361641959905694</v>
      </c>
      <c r="EH140" s="150"/>
      <c r="EI140" s="456">
        <f t="shared" si="412"/>
        <v>5.2287897875199461E-3</v>
      </c>
      <c r="EJ140" s="456">
        <f t="shared" si="413"/>
        <v>8.5500000000000007E-2</v>
      </c>
      <c r="EK140" s="456">
        <f t="shared" si="414"/>
        <v>2.5560028698979591E-2</v>
      </c>
      <c r="EL140" s="456">
        <f t="shared" si="415"/>
        <v>4.418613281249999E-3</v>
      </c>
      <c r="EM140">
        <f t="shared" si="416"/>
        <v>4.0499999999999998E-3</v>
      </c>
      <c r="EN140" s="144">
        <f t="shared" si="417"/>
        <v>29.610028698979594</v>
      </c>
      <c r="EP140" s="144">
        <f t="shared" si="439"/>
        <v>124.75743176774955</v>
      </c>
      <c r="EQ140" s="150">
        <f t="shared" si="418"/>
        <v>0.252</v>
      </c>
      <c r="ER140" s="150">
        <f t="shared" si="419"/>
        <v>3.3281249999999998E-2</v>
      </c>
      <c r="ES140" s="456"/>
      <c r="EU140" s="144">
        <f t="shared" si="420"/>
        <v>285.28125</v>
      </c>
      <c r="EV140" s="456">
        <f t="shared" si="421"/>
        <v>7.8431846812799192E-3</v>
      </c>
      <c r="EW140" s="456">
        <f t="shared" si="422"/>
        <v>1.2383975812547241E-2</v>
      </c>
      <c r="EX140" s="456">
        <f t="shared" si="423"/>
        <v>1.0312837989226193E-4</v>
      </c>
      <c r="EY140" s="456">
        <f t="shared" si="424"/>
        <v>7.2113564882065412E-2</v>
      </c>
      <c r="EZ140" s="456"/>
      <c r="FA140" s="538">
        <f t="shared" si="425"/>
        <v>4.1360544217687074E-4</v>
      </c>
      <c r="FB140" s="144">
        <f t="shared" si="426"/>
        <v>92.857459197961703</v>
      </c>
      <c r="FC140" s="150">
        <f t="shared" si="427"/>
        <v>0.50289614096571122</v>
      </c>
      <c r="FD140" s="5">
        <f t="shared" si="428"/>
        <v>2.4</v>
      </c>
      <c r="FE140" s="150">
        <f t="shared" si="429"/>
        <v>0.8267605465215121</v>
      </c>
      <c r="FF140" s="5">
        <f t="shared" si="430"/>
        <v>82.676054652151208</v>
      </c>
      <c r="FG140">
        <f t="shared" si="431"/>
        <v>30</v>
      </c>
      <c r="FI140" s="59">
        <f t="shared" si="432"/>
        <v>-50</v>
      </c>
      <c r="FJ140">
        <f t="shared" si="433"/>
        <v>-50</v>
      </c>
    </row>
    <row r="141" spans="5:166">
      <c r="E141" s="147">
        <v>31</v>
      </c>
      <c r="F141" s="188">
        <f t="shared" si="434"/>
        <v>0.372</v>
      </c>
      <c r="G141" s="188">
        <f t="shared" si="313"/>
        <v>7.7499999999999999E-2</v>
      </c>
      <c r="H141" s="188">
        <f t="shared" si="314"/>
        <v>1.8599999999999999</v>
      </c>
      <c r="I141" s="188">
        <f t="shared" si="315"/>
        <v>0.62</v>
      </c>
      <c r="J141" s="465">
        <f t="shared" si="316"/>
        <v>8.9488600436528269</v>
      </c>
      <c r="K141" s="379">
        <f t="shared" si="317"/>
        <v>5.7195109556268697</v>
      </c>
      <c r="L141" s="149">
        <f t="shared" si="318"/>
        <v>14.668370999279697</v>
      </c>
      <c r="M141" s="379"/>
      <c r="N141" s="188">
        <f t="shared" si="319"/>
        <v>0.38992134545190676</v>
      </c>
      <c r="O141" s="149">
        <f t="shared" si="320"/>
        <v>6.542534153403599</v>
      </c>
      <c r="P141" s="149">
        <f t="shared" si="321"/>
        <v>2.9077929570682661</v>
      </c>
      <c r="Q141" s="188">
        <f t="shared" si="322"/>
        <v>1.3085068306807197</v>
      </c>
      <c r="R141" s="188">
        <f t="shared" si="323"/>
        <v>0.81781676917544988</v>
      </c>
      <c r="S141" s="188">
        <f t="shared" si="324"/>
        <v>5</v>
      </c>
      <c r="T141" s="188">
        <f t="shared" si="325"/>
        <v>1.421467550943069</v>
      </c>
      <c r="U141" s="188">
        <f t="shared" si="326"/>
        <v>1.9061210621363229</v>
      </c>
      <c r="V141" s="188">
        <f t="shared" si="327"/>
        <v>2.9823547404058219</v>
      </c>
      <c r="W141" s="172">
        <f t="shared" si="328"/>
        <v>290.77929570682664</v>
      </c>
      <c r="X141" s="379">
        <f t="shared" si="435"/>
        <v>196.52250276996728</v>
      </c>
      <c r="Z141" s="188">
        <f t="shared" si="329"/>
        <v>1</v>
      </c>
      <c r="AA141" s="150">
        <f t="shared" si="330"/>
        <v>2.0980814781365824</v>
      </c>
      <c r="AB141" s="150">
        <f t="shared" si="331"/>
        <v>0.228779495455535</v>
      </c>
      <c r="AC141" s="150"/>
      <c r="AD141" s="150">
        <f t="shared" si="332"/>
        <v>2.0980814781365824</v>
      </c>
      <c r="AE141" s="314">
        <f t="shared" si="333"/>
        <v>354.60967924886586</v>
      </c>
      <c r="AF141" s="456">
        <f t="shared" si="334"/>
        <v>0.30503932727404665</v>
      </c>
      <c r="AH141" s="150">
        <f t="shared" si="335"/>
        <v>1.0867163295692124</v>
      </c>
      <c r="AI141" s="150">
        <f t="shared" si="336"/>
        <v>1.421467550943069</v>
      </c>
      <c r="AJ141" s="150">
        <f t="shared" si="337"/>
        <v>1.5121981858837548</v>
      </c>
      <c r="AL141" s="314">
        <f t="shared" si="338"/>
        <v>372</v>
      </c>
      <c r="AM141" s="144">
        <f t="shared" si="339"/>
        <v>196.52250276996728</v>
      </c>
      <c r="AO141" s="144">
        <f t="shared" si="340"/>
        <v>372</v>
      </c>
      <c r="AP141" s="144">
        <f t="shared" si="341"/>
        <v>196.52250276996728</v>
      </c>
      <c r="AR141" s="5">
        <f t="shared" si="443"/>
        <v>5.0884758025421437</v>
      </c>
      <c r="AS141" s="5">
        <f t="shared" si="440"/>
        <v>1.9061210621363229</v>
      </c>
      <c r="AT141" s="5">
        <f t="shared" si="441"/>
        <v>3.1823547404058208</v>
      </c>
      <c r="AU141" s="150">
        <f t="shared" si="442"/>
        <v>0.37459568171357854</v>
      </c>
      <c r="AW141" s="5">
        <f t="shared" si="342"/>
        <v>14.181540702294241</v>
      </c>
      <c r="AX141" s="5">
        <f t="shared" si="343"/>
        <v>1.8465547789445629</v>
      </c>
      <c r="AY141" s="5">
        <f t="shared" si="344"/>
        <v>0.27560213387891846</v>
      </c>
      <c r="AZ141" s="5"/>
      <c r="BA141" s="150">
        <f t="shared" si="345"/>
        <v>0.50229367107124734</v>
      </c>
      <c r="BB141" s="150">
        <f t="shared" si="346"/>
        <v>0.64901802809819165</v>
      </c>
      <c r="BC141" s="150">
        <f t="shared" si="347"/>
        <v>0.14507461804547814</v>
      </c>
      <c r="BD141" s="150"/>
      <c r="BE141" s="456">
        <f t="shared" si="348"/>
        <v>5.0459786399646078E-3</v>
      </c>
      <c r="BF141" s="456">
        <f t="shared" si="349"/>
        <v>7.683027618353952E-2</v>
      </c>
      <c r="BG141" s="456">
        <f t="shared" si="350"/>
        <v>4.3966309317920303E-2</v>
      </c>
      <c r="BH141" s="456">
        <f t="shared" si="351"/>
        <v>4.2283999398212251E-3</v>
      </c>
      <c r="BI141">
        <f t="shared" si="352"/>
        <v>4.026987019643772E-3</v>
      </c>
      <c r="BJ141" s="144">
        <f t="shared" si="436"/>
        <v>47.993296337564075</v>
      </c>
      <c r="BK141">
        <f t="shared" si="353"/>
        <v>8.7572061288086242E-2</v>
      </c>
      <c r="BL141" s="144">
        <f t="shared" si="437"/>
        <v>134.09795110088939</v>
      </c>
      <c r="BM141" s="150">
        <f t="shared" si="354"/>
        <v>0.23110499999999995</v>
      </c>
      <c r="BN141" s="150">
        <f t="shared" si="355"/>
        <v>4.8146874999999999E-2</v>
      </c>
      <c r="BO141" s="456"/>
      <c r="BQ141" s="144">
        <f t="shared" si="356"/>
        <v>279.25187499999993</v>
      </c>
      <c r="BR141" s="456">
        <f t="shared" si="357"/>
        <v>7.5689679599469113E-3</v>
      </c>
      <c r="BS141" s="456">
        <f t="shared" si="358"/>
        <v>1.2636732023893951E-2</v>
      </c>
      <c r="BT141" s="456">
        <f t="shared" si="359"/>
        <v>1.0523322400520687E-4</v>
      </c>
      <c r="BU141" s="456">
        <f t="shared" si="360"/>
        <v>6.5214338826913978E-2</v>
      </c>
      <c r="BV141" s="456"/>
      <c r="BW141" s="538">
        <f t="shared" si="361"/>
        <v>3.9708747310434944E-4</v>
      </c>
      <c r="BX141" s="144">
        <f t="shared" si="362"/>
        <v>85.9223595078644</v>
      </c>
      <c r="BY141" s="150">
        <f t="shared" si="363"/>
        <v>0.49927218560875369</v>
      </c>
      <c r="BZ141" s="5">
        <f t="shared" si="364"/>
        <v>2.48</v>
      </c>
      <c r="CA141" s="150">
        <f t="shared" si="365"/>
        <v>0.83241806907725102</v>
      </c>
      <c r="CB141" s="5">
        <f t="shared" si="366"/>
        <v>83.241806907725106</v>
      </c>
      <c r="CC141">
        <f t="shared" si="367"/>
        <v>31</v>
      </c>
      <c r="CE141" s="59">
        <f t="shared" si="368"/>
        <v>-50</v>
      </c>
      <c r="CF141">
        <f t="shared" si="369"/>
        <v>-50</v>
      </c>
      <c r="CG141" s="150">
        <f t="shared" si="370"/>
        <v>0.57198633493024875</v>
      </c>
      <c r="CH141" s="150">
        <f t="shared" si="371"/>
        <v>0.31031053622728111</v>
      </c>
      <c r="CI141" s="147">
        <v>31</v>
      </c>
      <c r="CJ141" s="188">
        <f t="shared" si="438"/>
        <v>0.372</v>
      </c>
      <c r="CK141" s="188">
        <f t="shared" si="372"/>
        <v>7.7499999999999999E-2</v>
      </c>
      <c r="CL141" s="188">
        <f t="shared" si="373"/>
        <v>1.8599999999999999</v>
      </c>
      <c r="CM141" s="188">
        <f t="shared" si="374"/>
        <v>0.62</v>
      </c>
      <c r="CN141" s="465">
        <f t="shared" si="375"/>
        <v>9</v>
      </c>
      <c r="CO141" s="379">
        <f t="shared" si="376"/>
        <v>5.7</v>
      </c>
      <c r="CP141" s="379">
        <f t="shared" si="377"/>
        <v>14.7</v>
      </c>
      <c r="CQ141" s="379"/>
      <c r="CR141" s="188">
        <f t="shared" si="378"/>
        <v>0.375</v>
      </c>
      <c r="CS141" s="149">
        <f t="shared" si="379"/>
        <v>6.328125</v>
      </c>
      <c r="CT141" s="149">
        <f t="shared" si="380"/>
        <v>2.8125</v>
      </c>
      <c r="CU141" s="188">
        <f t="shared" si="381"/>
        <v>1.265625</v>
      </c>
      <c r="CV141" s="188">
        <f t="shared" si="382"/>
        <v>0.791015625</v>
      </c>
      <c r="CW141" s="188">
        <f t="shared" si="383"/>
        <v>5</v>
      </c>
      <c r="CX141" s="188">
        <f t="shared" si="384"/>
        <v>1.4696296296296296</v>
      </c>
      <c r="CY141" s="188">
        <f t="shared" si="385"/>
        <v>1.9595061728395062</v>
      </c>
      <c r="CZ141" s="188">
        <f t="shared" si="386"/>
        <v>3.0939571150097462</v>
      </c>
      <c r="DA141" s="172">
        <f t="shared" si="387"/>
        <v>290.81632653061229</v>
      </c>
      <c r="DB141" s="379">
        <f t="shared" si="388"/>
        <v>197.88409315339038</v>
      </c>
      <c r="DD141" s="188">
        <f t="shared" si="389"/>
        <v>0.99999999999999978</v>
      </c>
      <c r="DE141" s="150">
        <f t="shared" si="390"/>
        <v>2.1052631578947363</v>
      </c>
      <c r="DF141" s="150">
        <f t="shared" si="391"/>
        <v>0.2295918367346938</v>
      </c>
      <c r="DG141" s="150"/>
      <c r="DH141" s="150">
        <f t="shared" si="392"/>
        <v>2.1052631578947367</v>
      </c>
      <c r="DI141" s="314">
        <f t="shared" si="393"/>
        <v>353.40000000000003</v>
      </c>
      <c r="DJ141" s="456">
        <f t="shared" si="394"/>
        <v>0.3061224489795919</v>
      </c>
      <c r="DL141" s="150">
        <f t="shared" si="395"/>
        <v>1.0867163295692124</v>
      </c>
      <c r="DM141" s="150">
        <f t="shared" si="396"/>
        <v>1.4696296296296296</v>
      </c>
      <c r="DN141" s="150">
        <f t="shared" si="397"/>
        <v>1.5478737997256515</v>
      </c>
      <c r="DP141" s="314">
        <f t="shared" si="398"/>
        <v>372</v>
      </c>
      <c r="DQ141" s="144">
        <f t="shared" si="399"/>
        <v>197.88409315339038</v>
      </c>
      <c r="DS141" s="144">
        <f t="shared" si="400"/>
        <v>372</v>
      </c>
      <c r="DT141" s="144">
        <f t="shared" si="401"/>
        <v>197.88409315339038</v>
      </c>
      <c r="DV141" s="5">
        <f t="shared" si="402"/>
        <v>5.0534632878492536</v>
      </c>
      <c r="DW141" s="5">
        <f t="shared" si="403"/>
        <v>1.9595061728395062</v>
      </c>
      <c r="DX141" s="5">
        <f t="shared" si="404"/>
        <v>3.0939571150097471</v>
      </c>
      <c r="DY141" s="150">
        <f t="shared" si="405"/>
        <v>0.38775510204081626</v>
      </c>
      <c r="EA141" s="5">
        <f t="shared" si="406"/>
        <v>14.578725925925927</v>
      </c>
      <c r="EB141" s="5">
        <f t="shared" si="407"/>
        <v>1.8982716049382717</v>
      </c>
      <c r="EC141" s="5">
        <f t="shared" si="408"/>
        <v>0.26642408490361708</v>
      </c>
      <c r="ED141" s="5"/>
      <c r="EE141" s="150">
        <f t="shared" si="409"/>
        <v>0.52835525642247494</v>
      </c>
      <c r="EF141" s="150">
        <f t="shared" si="410"/>
        <v>0.66391099235704387</v>
      </c>
      <c r="EG141" s="150">
        <f t="shared" si="411"/>
        <v>0.14840363358569217</v>
      </c>
      <c r="EH141" s="150"/>
      <c r="EI141" s="456">
        <f t="shared" si="412"/>
        <v>5.5831855397851854E-3</v>
      </c>
      <c r="EJ141" s="456">
        <f t="shared" si="413"/>
        <v>8.5500000000000007E-2</v>
      </c>
      <c r="EK141" s="456">
        <f t="shared" si="414"/>
        <v>2.4735511644173796E-2</v>
      </c>
      <c r="EL141" s="456">
        <f t="shared" si="415"/>
        <v>4.276077368951612E-3</v>
      </c>
      <c r="EM141">
        <f t="shared" si="416"/>
        <v>4.0499999999999998E-3</v>
      </c>
      <c r="EN141" s="144">
        <f t="shared" si="417"/>
        <v>28.785511644173798</v>
      </c>
      <c r="EP141" s="144">
        <f t="shared" si="439"/>
        <v>124.14477455291059</v>
      </c>
      <c r="EQ141" s="150">
        <f t="shared" si="418"/>
        <v>0.26039999999999996</v>
      </c>
      <c r="ER141" s="150">
        <f t="shared" si="419"/>
        <v>3.4390625000000001E-2</v>
      </c>
      <c r="ES141" s="456"/>
      <c r="EU141" s="144">
        <f t="shared" si="420"/>
        <v>294.79062499999998</v>
      </c>
      <c r="EV141" s="456">
        <f t="shared" si="421"/>
        <v>8.3747783096777776E-3</v>
      </c>
      <c r="EW141" s="456">
        <f t="shared" si="422"/>
        <v>1.3223334173175443E-2</v>
      </c>
      <c r="EX141" s="456">
        <f t="shared" si="423"/>
        <v>1.101181923071819E-4</v>
      </c>
      <c r="EY141" s="456">
        <f t="shared" si="424"/>
        <v>7.2113564882065453E-2</v>
      </c>
      <c r="EZ141" s="456"/>
      <c r="FA141" s="538">
        <f t="shared" si="425"/>
        <v>4.2739229024943317E-4</v>
      </c>
      <c r="FB141" s="144">
        <f t="shared" si="426"/>
        <v>94.249187847475298</v>
      </c>
      <c r="FC141" s="150">
        <f t="shared" si="427"/>
        <v>0.51318458740038586</v>
      </c>
      <c r="FD141" s="5">
        <f t="shared" si="428"/>
        <v>2.48</v>
      </c>
      <c r="FE141" s="150">
        <f t="shared" si="429"/>
        <v>0.82854896769126674</v>
      </c>
      <c r="FF141" s="5">
        <f t="shared" si="430"/>
        <v>82.854896769126668</v>
      </c>
      <c r="FG141">
        <f t="shared" si="431"/>
        <v>31</v>
      </c>
      <c r="FI141" s="59">
        <f t="shared" si="432"/>
        <v>-50</v>
      </c>
      <c r="FJ141">
        <f t="shared" si="433"/>
        <v>-50</v>
      </c>
    </row>
    <row r="142" spans="5:166">
      <c r="E142" s="147">
        <v>32</v>
      </c>
      <c r="F142" s="188">
        <f t="shared" si="434"/>
        <v>0.38400000000000001</v>
      </c>
      <c r="G142" s="188">
        <f t="shared" ref="G142:G173" si="444">IF(PLOT_TYPE=1, E142/100*Iout2, min_I*EXP(Q142*rr/100))</f>
        <v>0.08</v>
      </c>
      <c r="H142" s="188">
        <f t="shared" ref="H142:H173" si="445">F142*Vout</f>
        <v>1.92</v>
      </c>
      <c r="I142" s="188">
        <f t="shared" ref="I142:I173" si="446">Vout2*G142</f>
        <v>0.64</v>
      </c>
      <c r="J142" s="465">
        <f t="shared" ref="J142:J173" si="447">VIN_min-(F142/CG142/Nps+G142/CH142/(Nps/Nsec1sec2))*(Rdcr_pri+RON/1000)</f>
        <v>8.9472103676416275</v>
      </c>
      <c r="K142" s="379">
        <f t="shared" ref="K142:K173" si="448">MAX((S142+Vfwd2+Rdcr_sec*F142/CG142)*Nps,(Vout2+Vfwd22+Rdcr_sec2*G142/CH142)*Nps/Nsec1sec2)</f>
        <v>5.7201403412922529</v>
      </c>
      <c r="L142" s="149">
        <f t="shared" ref="L142:L173" si="449">MAX((Vout+Vfwd2+F142/CG142*Rdcr_sec)*Nps+J142, (Vout2+Vfwd22+G142/CH142*Rdcr_sec2)*Nps/Nsec1sec2+J142)</f>
        <v>14.667350708933881</v>
      </c>
      <c r="M142" s="379"/>
      <c r="N142" s="188">
        <f t="shared" ref="N142:N173" si="450">MAX((Vout+Vfwd2+F142/CG142*Rdcr_sec)*Nps/((Vout+Vfwd2+F142/CG142*Rdcr_sec)*Nps+J142), (Vout2+Vfwd22+G142/CH142*Rdcr_sec2)*Nps/Nsec1sec2/((Vout2+Vfwd22+G142/CH142*Rdcr_sec2)*Nps/Nsec1sec2+J142))</f>
        <v>0.38999137982076859</v>
      </c>
      <c r="O142" s="149">
        <f t="shared" ref="O142:O173" si="451">N142*J142*Isw_max*0.5*Efficiency*Pout/(Pout+Pout2)</f>
        <v>6.5425029690435839</v>
      </c>
      <c r="P142" s="149">
        <f t="shared" ref="P142:P173" si="452">N142*J142*Isw_max*0.5*Efficiency*(Pout2/Pout_total)</f>
        <v>2.9077790973527038</v>
      </c>
      <c r="Q142" s="188">
        <f t="shared" si="322"/>
        <v>1.3085005938087169</v>
      </c>
      <c r="R142" s="188">
        <f t="shared" ref="R142:R173" si="453">O142/Vout2</f>
        <v>0.81781287113044798</v>
      </c>
      <c r="S142" s="188">
        <f t="shared" ref="S142:S173" si="454">MIN(Vout,O142/F142)</f>
        <v>5</v>
      </c>
      <c r="T142" s="188">
        <f t="shared" ref="T142:T173" si="455">MIN(2*(Vout*F142+Vout2*G142)/(Efficiency*J142*N142), Isw_max)</f>
        <v>1.4673283367884169</v>
      </c>
      <c r="U142" s="188">
        <f t="shared" si="326"/>
        <v>1.9679810039050456</v>
      </c>
      <c r="V142" s="188">
        <f t="shared" si="327"/>
        <v>3.0782356709596295</v>
      </c>
      <c r="W142" s="172">
        <f t="shared" si="328"/>
        <v>290.77790973527038</v>
      </c>
      <c r="X142" s="379">
        <f t="shared" si="435"/>
        <v>190.61355296115264</v>
      </c>
      <c r="Z142" s="188">
        <f t="shared" si="329"/>
        <v>1</v>
      </c>
      <c r="AA142" s="150">
        <f t="shared" si="330"/>
        <v>2.0978506267363795</v>
      </c>
      <c r="AB142" s="150">
        <f t="shared" ref="AB142:AB173" si="456">0.5*AA142*Z142*Nps*W142/1000*(Pout/(Pout+Pout2))</f>
        <v>0.22875323256721175</v>
      </c>
      <c r="AC142" s="150"/>
      <c r="AD142" s="150">
        <f t="shared" si="332"/>
        <v>2.0978506267363795</v>
      </c>
      <c r="AE142" s="314">
        <f t="shared" ref="AE142:AE173" si="457">MAX(10, F142/(0.5*AD142/1000000*Isw_min*Nps)/1000*Pout_total/Pout)</f>
        <v>366.08898184270419</v>
      </c>
      <c r="AF142" s="456">
        <f t="shared" ref="AF142:AF173" si="458">0.5*AD142/1000000*Isw_min*Nps*W142*1000*(Pout/Pout_total)</f>
        <v>0.3050043100896157</v>
      </c>
      <c r="AH142" s="150">
        <f t="shared" ref="AH142:AH173" si="459">SQRT((H142+I142)/(0.5*L*Fsw_DCM))</f>
        <v>1.1041048949477668</v>
      </c>
      <c r="AI142" s="150">
        <f t="shared" ref="AI142:AI173" si="460">MAX(IF(F142&gt;AB142,T142,AH142),Isw_min)</f>
        <v>1.4673283367884169</v>
      </c>
      <c r="AJ142" s="150">
        <f t="shared" ref="AJ142:AJ173" si="461">IF(F142&gt;AF142, (AI142-Isw_min)/1.08*0.8+1.2, AE142*0.2/350+1)</f>
        <v>1.5461691383617904</v>
      </c>
      <c r="AL142" s="314">
        <f t="shared" ref="AL142:AL173" si="462">F142*1000</f>
        <v>384</v>
      </c>
      <c r="AM142" s="144">
        <f t="shared" ref="AM142:AM173" si="463">IF(F142&gt;AF142, X142, AE142)</f>
        <v>190.61355296115264</v>
      </c>
      <c r="AO142" s="144">
        <f t="shared" si="340"/>
        <v>384</v>
      </c>
      <c r="AP142" s="144">
        <f t="shared" si="341"/>
        <v>190.61355296115264</v>
      </c>
      <c r="AR142" s="5">
        <f t="shared" si="443"/>
        <v>5.2462166748646757</v>
      </c>
      <c r="AS142" s="5">
        <f t="shared" si="440"/>
        <v>1.9679810039050456</v>
      </c>
      <c r="AT142" s="5">
        <f t="shared" si="441"/>
        <v>3.2782356709596301</v>
      </c>
      <c r="AU142" s="150">
        <f t="shared" si="442"/>
        <v>0.37512385131439674</v>
      </c>
      <c r="AW142" s="5">
        <f t="shared" si="342"/>
        <v>15.11409410999075</v>
      </c>
      <c r="AX142" s="5">
        <f t="shared" si="343"/>
        <v>1.9679810039050458</v>
      </c>
      <c r="AY142" s="5">
        <f t="shared" si="344"/>
        <v>0.2931180143313189</v>
      </c>
      <c r="AZ142" s="5"/>
      <c r="BA142" s="150">
        <f t="shared" si="345"/>
        <v>0.51886457011246878</v>
      </c>
      <c r="BB142" s="150">
        <f t="shared" si="346"/>
        <v>0.66967432920494296</v>
      </c>
      <c r="BC142" s="150">
        <f t="shared" si="347"/>
        <v>0.1496919088811049</v>
      </c>
      <c r="BD142" s="150"/>
      <c r="BE142" s="456">
        <f t="shared" si="348"/>
        <v>5.3844088423599399E-3</v>
      </c>
      <c r="BF142" s="456">
        <f t="shared" ref="BF142:BF173" si="464">0.5*L142*AI142*AM142*1000*Tfall</f>
        <v>7.6919070879971935E-2</v>
      </c>
      <c r="BG142" s="456">
        <f t="shared" ref="BG142:BG173" si="465">Qg*Vdd*AM142*1000*0+Qg*J142*AM142*1000</f>
        <v>4.2636488931675785E-2</v>
      </c>
      <c r="BH142" s="456">
        <f t="shared" si="351"/>
        <v>4.1006917966157483E-3</v>
      </c>
      <c r="BI142">
        <f t="shared" si="352"/>
        <v>4.0262446654387319E-3</v>
      </c>
      <c r="BJ142" s="144">
        <f t="shared" si="436"/>
        <v>46.662733597114517</v>
      </c>
      <c r="BK142">
        <f t="shared" ref="BK142:BK173" si="466">(BF142+BG142*0+BH142+BI142*0+BE142*(1+RdsonTC*(Ta-25)))/(1-BE142*RdsonTC*ThetaJA)</f>
        <v>8.7970505700882828E-2</v>
      </c>
      <c r="BL142" s="144">
        <f t="shared" si="437"/>
        <v>133.06690511606214</v>
      </c>
      <c r="BM142" s="150">
        <f t="shared" ref="BM142:BM173" si="467">Vfwd2*F142*(1+Diode_TC/1000*(Ta-25))</f>
        <v>0.23855999999999997</v>
      </c>
      <c r="BN142" s="150">
        <f t="shared" ref="BN142:BN173" si="468">Vfwd2*G142*(1+Diode_TC/1000*(Ta-25))</f>
        <v>4.9699999999999994E-2</v>
      </c>
      <c r="BO142" s="456"/>
      <c r="BQ142" s="144">
        <f t="shared" si="356"/>
        <v>288.25999999999993</v>
      </c>
      <c r="BR142" s="456">
        <f t="shared" si="357"/>
        <v>8.0766132635399102E-3</v>
      </c>
      <c r="BS142" s="456">
        <f t="shared" si="358"/>
        <v>1.3453911215882708E-2</v>
      </c>
      <c r="BT142" s="456">
        <f t="shared" si="359"/>
        <v>1.1203833792234505E-4</v>
      </c>
      <c r="BU142" s="456">
        <f t="shared" si="360"/>
        <v>6.5414301332635802E-2</v>
      </c>
      <c r="BV142" s="456"/>
      <c r="BW142" s="538">
        <f t="shared" ref="BW142:BW173" si="469">0.5*Lleak*0.000000001*AI142^2*AM142*1000</f>
        <v>4.1040097681398164E-4</v>
      </c>
      <c r="BX142" s="144">
        <f t="shared" si="362"/>
        <v>87.467265126794743</v>
      </c>
      <c r="BY142" s="150">
        <f t="shared" si="363"/>
        <v>0.50879417024285678</v>
      </c>
      <c r="BZ142" s="5">
        <f t="shared" si="364"/>
        <v>2.56</v>
      </c>
      <c r="CA142" s="150">
        <f t="shared" si="365"/>
        <v>0.83420387878194124</v>
      </c>
      <c r="CB142" s="5">
        <f t="shared" si="366"/>
        <v>83.42038787819412</v>
      </c>
      <c r="CC142">
        <f t="shared" si="367"/>
        <v>32</v>
      </c>
      <c r="CE142" s="59">
        <f t="shared" ref="CE142:CE173" si="470">IF(ABS(F142-Ioutmax_Vinmin)&lt;Iout/200, AM142, -50)</f>
        <v>-50</v>
      </c>
      <c r="CF142">
        <f t="shared" ref="CF142:CF173" si="471">IF(ABS(F142-Ioutmax_Vinmin)&lt;Iout/200, (O142+P142)*CA142, -50)</f>
        <v>-50</v>
      </c>
      <c r="CG142" s="150">
        <f t="shared" si="370"/>
        <v>0.57198633493024875</v>
      </c>
      <c r="CH142" s="150">
        <f t="shared" ref="CH142:CH173" si="472">MIN(SQRT(2*DT142*1000*Ls2_*(CM142+CK142*Vfwd22))/(Vout2+Vfwd22), 1-DY142)</f>
        <v>0.31031053622728111</v>
      </c>
      <c r="CI142" s="147">
        <v>32</v>
      </c>
      <c r="CJ142" s="188">
        <f t="shared" si="438"/>
        <v>0.38400000000000001</v>
      </c>
      <c r="CK142" s="188">
        <f t="shared" si="372"/>
        <v>0.08</v>
      </c>
      <c r="CL142" s="188">
        <f t="shared" si="373"/>
        <v>1.92</v>
      </c>
      <c r="CM142" s="188">
        <f t="shared" si="374"/>
        <v>0.64</v>
      </c>
      <c r="CN142" s="465">
        <f t="shared" si="375"/>
        <v>9</v>
      </c>
      <c r="CO142" s="379">
        <f t="shared" ref="CO142:CO173" si="473">(CW142+Vfwd2)*Nps</f>
        <v>5.7</v>
      </c>
      <c r="CP142" s="379">
        <f t="shared" ref="CP142:CP173" si="474">(Vout+Vfwd2)*Nps+CN142</f>
        <v>14.7</v>
      </c>
      <c r="CQ142" s="379"/>
      <c r="CR142" s="188">
        <f t="shared" si="378"/>
        <v>0.375</v>
      </c>
      <c r="CS142" s="149">
        <f t="shared" si="379"/>
        <v>6.328125</v>
      </c>
      <c r="CT142" s="149">
        <f t="shared" si="380"/>
        <v>2.8125</v>
      </c>
      <c r="CU142" s="188">
        <f t="shared" si="381"/>
        <v>1.265625</v>
      </c>
      <c r="CV142" s="188">
        <f t="shared" si="382"/>
        <v>0.791015625</v>
      </c>
      <c r="CW142" s="188">
        <f t="shared" si="383"/>
        <v>5</v>
      </c>
      <c r="CX142" s="188">
        <f t="shared" si="384"/>
        <v>1.517037037037037</v>
      </c>
      <c r="CY142" s="188">
        <f t="shared" si="385"/>
        <v>2.0227160493827161</v>
      </c>
      <c r="CZ142" s="188">
        <f t="shared" si="386"/>
        <v>3.1937621832358674</v>
      </c>
      <c r="DA142" s="172">
        <f t="shared" si="387"/>
        <v>290.81632653061229</v>
      </c>
      <c r="DB142" s="379">
        <f t="shared" si="388"/>
        <v>191.70021524234693</v>
      </c>
      <c r="DD142" s="188">
        <f t="shared" si="389"/>
        <v>0.99999999999999978</v>
      </c>
      <c r="DE142" s="150">
        <f t="shared" si="390"/>
        <v>2.1052631578947363</v>
      </c>
      <c r="DF142" s="150">
        <f t="shared" si="391"/>
        <v>0.2295918367346938</v>
      </c>
      <c r="DG142" s="150"/>
      <c r="DH142" s="150">
        <f t="shared" si="392"/>
        <v>2.1052631578947367</v>
      </c>
      <c r="DI142" s="314">
        <f t="shared" si="393"/>
        <v>364.8</v>
      </c>
      <c r="DJ142" s="456">
        <f t="shared" si="394"/>
        <v>0.3061224489795919</v>
      </c>
      <c r="DL142" s="150">
        <f t="shared" si="395"/>
        <v>1.1041048949477668</v>
      </c>
      <c r="DM142" s="150">
        <f t="shared" si="396"/>
        <v>1.517037037037037</v>
      </c>
      <c r="DN142" s="150">
        <f t="shared" si="397"/>
        <v>1.5829903978052124</v>
      </c>
      <c r="DP142" s="314">
        <f t="shared" si="398"/>
        <v>384</v>
      </c>
      <c r="DQ142" s="144">
        <f t="shared" si="399"/>
        <v>191.70021524234693</v>
      </c>
      <c r="DS142" s="144">
        <f t="shared" si="400"/>
        <v>384</v>
      </c>
      <c r="DT142" s="144">
        <f t="shared" si="401"/>
        <v>191.70021524234693</v>
      </c>
      <c r="DV142" s="5">
        <f t="shared" si="402"/>
        <v>5.2164782326185843</v>
      </c>
      <c r="DW142" s="5">
        <f t="shared" si="403"/>
        <v>2.0227160493827161</v>
      </c>
      <c r="DX142" s="5">
        <f t="shared" si="404"/>
        <v>3.1937621832358682</v>
      </c>
      <c r="DY142" s="150">
        <f t="shared" si="405"/>
        <v>0.38775510204081626</v>
      </c>
      <c r="EA142" s="5">
        <f t="shared" si="406"/>
        <v>15.534459259259259</v>
      </c>
      <c r="EB142" s="5">
        <f t="shared" si="407"/>
        <v>2.0227160493827161</v>
      </c>
      <c r="EC142" s="5">
        <f t="shared" si="408"/>
        <v>0.28388997184318826</v>
      </c>
      <c r="ED142" s="5"/>
      <c r="EE142" s="150">
        <f t="shared" si="409"/>
        <v>0.54539897437158702</v>
      </c>
      <c r="EF142" s="150">
        <f t="shared" si="410"/>
        <v>0.6853274759814646</v>
      </c>
      <c r="EG142" s="150">
        <f t="shared" si="411"/>
        <v>0.1531908475723274</v>
      </c>
      <c r="EH142" s="150"/>
      <c r="EI142" s="456">
        <f t="shared" si="412"/>
        <v>5.94920082491158E-3</v>
      </c>
      <c r="EJ142" s="456">
        <f t="shared" si="413"/>
        <v>8.5499999999999979E-2</v>
      </c>
      <c r="EK142" s="456">
        <f t="shared" si="414"/>
        <v>2.3962526905293366E-2</v>
      </c>
      <c r="EL142" s="456">
        <f t="shared" si="415"/>
        <v>4.1424499511718751E-3</v>
      </c>
      <c r="EM142">
        <f t="shared" si="416"/>
        <v>4.0499999999999998E-3</v>
      </c>
      <c r="EN142" s="144">
        <f t="shared" si="417"/>
        <v>28.012526905293363</v>
      </c>
      <c r="EP142" s="144">
        <f t="shared" si="439"/>
        <v>123.6041776813768</v>
      </c>
      <c r="EQ142" s="150">
        <f t="shared" si="418"/>
        <v>0.26879999999999998</v>
      </c>
      <c r="ER142" s="150">
        <f t="shared" ref="ER142:ER173" si="475">Vfwd22*CK142*(1+Diode_TC/1000*(Ta-25))</f>
        <v>3.5499999999999997E-2</v>
      </c>
      <c r="ES142" s="456"/>
      <c r="EU142" s="144">
        <f t="shared" si="420"/>
        <v>304.29999999999995</v>
      </c>
      <c r="EV142" s="456">
        <f t="shared" si="421"/>
        <v>8.9238012373673691E-3</v>
      </c>
      <c r="EW142" s="456">
        <f t="shared" si="422"/>
        <v>1.4090212480053748E-2</v>
      </c>
      <c r="EX142" s="456">
        <f t="shared" si="423"/>
        <v>1.1733717889964024E-4</v>
      </c>
      <c r="EY142" s="456">
        <f t="shared" si="424"/>
        <v>7.2113564882065426E-2</v>
      </c>
      <c r="EZ142" s="456"/>
      <c r="FA142" s="538">
        <f t="shared" si="425"/>
        <v>4.411791383219955E-4</v>
      </c>
      <c r="FB142" s="144">
        <f t="shared" si="426"/>
        <v>95.686094916708171</v>
      </c>
      <c r="FC142" s="150">
        <f t="shared" si="427"/>
        <v>0.52359027259808499</v>
      </c>
      <c r="FD142" s="5">
        <f t="shared" si="428"/>
        <v>2.56</v>
      </c>
      <c r="FE142" s="150">
        <f t="shared" si="429"/>
        <v>0.83020108824090533</v>
      </c>
      <c r="FF142" s="5">
        <f t="shared" si="430"/>
        <v>83.020108824090528</v>
      </c>
      <c r="FG142">
        <f t="shared" si="431"/>
        <v>32</v>
      </c>
      <c r="FI142" s="59">
        <f t="shared" si="432"/>
        <v>-50</v>
      </c>
      <c r="FJ142">
        <f t="shared" si="433"/>
        <v>-50</v>
      </c>
    </row>
    <row r="143" spans="5:166">
      <c r="E143" s="147">
        <v>33</v>
      </c>
      <c r="F143" s="188">
        <f t="shared" ref="F143:F174" si="476">IF(PLOT_TYPE=1, E143/100*Iout_max, min_I*EXP(O143*rr/100))</f>
        <v>0.39600000000000002</v>
      </c>
      <c r="G143" s="188">
        <f t="shared" si="444"/>
        <v>8.2500000000000004E-2</v>
      </c>
      <c r="H143" s="188">
        <f t="shared" si="445"/>
        <v>1.98</v>
      </c>
      <c r="I143" s="188">
        <f t="shared" si="446"/>
        <v>0.66</v>
      </c>
      <c r="J143" s="465">
        <f t="shared" si="447"/>
        <v>8.9455606916304298</v>
      </c>
      <c r="K143" s="379">
        <f t="shared" si="448"/>
        <v>5.7207697269576361</v>
      </c>
      <c r="L143" s="149">
        <f t="shared" si="449"/>
        <v>14.666330418588066</v>
      </c>
      <c r="M143" s="379"/>
      <c r="N143" s="188">
        <f t="shared" si="450"/>
        <v>0.39006142393377069</v>
      </c>
      <c r="O143" s="149">
        <f t="shared" si="451"/>
        <v>6.5424715148687476</v>
      </c>
      <c r="P143" s="149">
        <f t="shared" si="452"/>
        <v>2.907765117719443</v>
      </c>
      <c r="Q143" s="188">
        <f t="shared" si="322"/>
        <v>1.3084943029737495</v>
      </c>
      <c r="R143" s="188">
        <f t="shared" si="453"/>
        <v>0.81780893935859345</v>
      </c>
      <c r="S143" s="188">
        <f t="shared" si="454"/>
        <v>5</v>
      </c>
      <c r="T143" s="188">
        <f t="shared" si="455"/>
        <v>1.5131896222246846</v>
      </c>
      <c r="U143" s="188">
        <f t="shared" si="326"/>
        <v>2.0298644313805068</v>
      </c>
      <c r="V143" s="188">
        <f t="shared" si="327"/>
        <v>3.1740965522751381</v>
      </c>
      <c r="W143" s="172">
        <f t="shared" si="328"/>
        <v>290.77651177194429</v>
      </c>
      <c r="X143" s="379">
        <f t="shared" si="435"/>
        <v>185.04944854792882</v>
      </c>
      <c r="Z143" s="188">
        <f t="shared" si="329"/>
        <v>1</v>
      </c>
      <c r="AA143" s="150">
        <f t="shared" si="330"/>
        <v>2.0976198261316354</v>
      </c>
      <c r="AB143" s="150">
        <f t="shared" si="456"/>
        <v>0.22872696602483594</v>
      </c>
      <c r="AC143" s="150"/>
      <c r="AD143" s="150">
        <f t="shared" si="332"/>
        <v>2.0976198261316354</v>
      </c>
      <c r="AE143" s="314">
        <f t="shared" si="457"/>
        <v>377.57080197920396</v>
      </c>
      <c r="AF143" s="456">
        <f t="shared" si="458"/>
        <v>0.30496928803311457</v>
      </c>
      <c r="AH143" s="150">
        <f t="shared" si="459"/>
        <v>1.1212238211627761</v>
      </c>
      <c r="AI143" s="150">
        <f t="shared" si="460"/>
        <v>1.5131896222246846</v>
      </c>
      <c r="AJ143" s="150">
        <f t="shared" si="461"/>
        <v>1.5801404609071736</v>
      </c>
      <c r="AL143" s="314">
        <f t="shared" si="462"/>
        <v>396</v>
      </c>
      <c r="AM143" s="144">
        <f t="shared" si="463"/>
        <v>185.04944854792882</v>
      </c>
      <c r="AO143" s="144">
        <f t="shared" si="340"/>
        <v>396</v>
      </c>
      <c r="AP143" s="144">
        <f t="shared" si="341"/>
        <v>185.04944854792882</v>
      </c>
      <c r="AR143" s="5">
        <f t="shared" si="443"/>
        <v>5.4039609836556437</v>
      </c>
      <c r="AS143" s="5">
        <f t="shared" si="440"/>
        <v>2.0298644313805068</v>
      </c>
      <c r="AT143" s="5">
        <f t="shared" si="441"/>
        <v>3.3740965522751369</v>
      </c>
      <c r="AU143" s="150">
        <f t="shared" si="442"/>
        <v>0.37562529365401792</v>
      </c>
      <c r="AW143" s="5">
        <f t="shared" si="342"/>
        <v>16.076526296533615</v>
      </c>
      <c r="AX143" s="5">
        <f t="shared" si="343"/>
        <v>2.0932976948611479</v>
      </c>
      <c r="AY143" s="5">
        <f t="shared" si="344"/>
        <v>0.31117441953430419</v>
      </c>
      <c r="AZ143" s="5"/>
      <c r="BA143" s="150">
        <f t="shared" si="345"/>
        <v>0.53543917300532207</v>
      </c>
      <c r="BB143" s="150">
        <f t="shared" si="346"/>
        <v>0.69032782281140748</v>
      </c>
      <c r="BC143" s="150">
        <f t="shared" si="347"/>
        <v>0.15430857215784402</v>
      </c>
      <c r="BD143" s="150"/>
      <c r="BE143" s="456">
        <f t="shared" si="348"/>
        <v>5.7339021597724643E-3</v>
      </c>
      <c r="BF143" s="456">
        <f t="shared" si="464"/>
        <v>7.7002333517425442E-2</v>
      </c>
      <c r="BG143" s="456">
        <f t="shared" si="465"/>
        <v>4.1384276823455995E-2</v>
      </c>
      <c r="BH143" s="456">
        <f t="shared" si="351"/>
        <v>3.980436731460096E-3</v>
      </c>
      <c r="BI143">
        <f t="shared" si="352"/>
        <v>4.0255023112336936E-3</v>
      </c>
      <c r="BJ143" s="144">
        <f t="shared" si="436"/>
        <v>45.409779134689686</v>
      </c>
      <c r="BK143">
        <f t="shared" si="466"/>
        <v>8.8385239846469663E-2</v>
      </c>
      <c r="BL143" s="144">
        <f t="shared" si="437"/>
        <v>132.12645154334768</v>
      </c>
      <c r="BM143" s="150">
        <f t="shared" si="467"/>
        <v>0.24601499999999998</v>
      </c>
      <c r="BN143" s="150">
        <f t="shared" si="468"/>
        <v>5.1253124999999997E-2</v>
      </c>
      <c r="BO143" s="456"/>
      <c r="BQ143" s="144">
        <f t="shared" si="356"/>
        <v>297.268125</v>
      </c>
      <c r="BR143" s="456">
        <f t="shared" si="357"/>
        <v>8.600853239658696E-3</v>
      </c>
      <c r="BS143" s="456">
        <f t="shared" si="358"/>
        <v>1.4296575088426139E-2</v>
      </c>
      <c r="BT143" s="456">
        <f t="shared" si="359"/>
        <v>1.1905567720696278E-4</v>
      </c>
      <c r="BU143" s="456">
        <f t="shared" si="360"/>
        <v>6.5602875803829799E-2</v>
      </c>
      <c r="BV143" s="456"/>
      <c r="BW143" s="538">
        <f t="shared" si="469"/>
        <v>4.2371564852778228E-4</v>
      </c>
      <c r="BX143" s="144">
        <f t="shared" si="362"/>
        <v>89.04307545764938</v>
      </c>
      <c r="BY143" s="150">
        <f t="shared" si="363"/>
        <v>0.51843765200099712</v>
      </c>
      <c r="BZ143" s="5">
        <f t="shared" si="364"/>
        <v>2.64</v>
      </c>
      <c r="CA143" s="150">
        <f t="shared" si="365"/>
        <v>0.83585629696614527</v>
      </c>
      <c r="CB143" s="5">
        <f t="shared" si="366"/>
        <v>83.585629696614532</v>
      </c>
      <c r="CC143">
        <f t="shared" si="367"/>
        <v>33</v>
      </c>
      <c r="CE143" s="59">
        <f t="shared" si="470"/>
        <v>-50</v>
      </c>
      <c r="CF143">
        <f t="shared" si="471"/>
        <v>-50</v>
      </c>
      <c r="CG143" s="150">
        <f t="shared" si="370"/>
        <v>0.57198633493024875</v>
      </c>
      <c r="CH143" s="150">
        <f t="shared" si="472"/>
        <v>0.31031053622728105</v>
      </c>
      <c r="CI143" s="147">
        <v>33</v>
      </c>
      <c r="CJ143" s="188">
        <f t="shared" si="438"/>
        <v>0.39600000000000002</v>
      </c>
      <c r="CK143" s="188">
        <f t="shared" si="372"/>
        <v>8.2500000000000004E-2</v>
      </c>
      <c r="CL143" s="188">
        <f t="shared" si="373"/>
        <v>1.98</v>
      </c>
      <c r="CM143" s="188">
        <f t="shared" si="374"/>
        <v>0.66</v>
      </c>
      <c r="CN143" s="465">
        <f t="shared" si="375"/>
        <v>9</v>
      </c>
      <c r="CO143" s="379">
        <f t="shared" si="473"/>
        <v>5.7</v>
      </c>
      <c r="CP143" s="379">
        <f t="shared" si="474"/>
        <v>14.7</v>
      </c>
      <c r="CQ143" s="379"/>
      <c r="CR143" s="188">
        <f t="shared" si="378"/>
        <v>0.375</v>
      </c>
      <c r="CS143" s="149">
        <f t="shared" si="379"/>
        <v>6.328125</v>
      </c>
      <c r="CT143" s="149">
        <f t="shared" si="380"/>
        <v>2.8125</v>
      </c>
      <c r="CU143" s="188">
        <f t="shared" si="381"/>
        <v>1.265625</v>
      </c>
      <c r="CV143" s="188">
        <f t="shared" si="382"/>
        <v>0.791015625</v>
      </c>
      <c r="CW143" s="188">
        <f t="shared" si="383"/>
        <v>5</v>
      </c>
      <c r="CX143" s="188">
        <f t="shared" si="384"/>
        <v>1.5644444444444445</v>
      </c>
      <c r="CY143" s="188">
        <f t="shared" si="385"/>
        <v>2.0859259259259262</v>
      </c>
      <c r="CZ143" s="188">
        <f t="shared" si="386"/>
        <v>3.2935672514619889</v>
      </c>
      <c r="DA143" s="172">
        <f t="shared" si="387"/>
        <v>290.81632653061229</v>
      </c>
      <c r="DB143" s="379">
        <f t="shared" si="388"/>
        <v>185.89111781076065</v>
      </c>
      <c r="DD143" s="188">
        <f t="shared" si="389"/>
        <v>0.99999999999999978</v>
      </c>
      <c r="DE143" s="150">
        <f t="shared" si="390"/>
        <v>2.1052631578947363</v>
      </c>
      <c r="DF143" s="150">
        <f t="shared" si="391"/>
        <v>0.2295918367346938</v>
      </c>
      <c r="DG143" s="150"/>
      <c r="DH143" s="150">
        <f t="shared" si="392"/>
        <v>2.1052631578947367</v>
      </c>
      <c r="DI143" s="314">
        <f t="shared" si="393"/>
        <v>376.20000000000005</v>
      </c>
      <c r="DJ143" s="456">
        <f t="shared" si="394"/>
        <v>0.3061224489795919</v>
      </c>
      <c r="DL143" s="150">
        <f t="shared" si="395"/>
        <v>1.1212238211627761</v>
      </c>
      <c r="DM143" s="150">
        <f t="shared" si="396"/>
        <v>1.5644444444444445</v>
      </c>
      <c r="DN143" s="150">
        <f t="shared" si="397"/>
        <v>1.6181069958847738</v>
      </c>
      <c r="DP143" s="314">
        <f t="shared" si="398"/>
        <v>396</v>
      </c>
      <c r="DQ143" s="144">
        <f t="shared" si="399"/>
        <v>185.89111781076065</v>
      </c>
      <c r="DS143" s="144">
        <f t="shared" si="400"/>
        <v>396</v>
      </c>
      <c r="DT143" s="144">
        <f t="shared" si="401"/>
        <v>185.89111781076065</v>
      </c>
      <c r="DV143" s="5">
        <f t="shared" si="402"/>
        <v>5.3794931773879151</v>
      </c>
      <c r="DW143" s="5">
        <f t="shared" si="403"/>
        <v>2.0859259259259262</v>
      </c>
      <c r="DX143" s="5">
        <f t="shared" si="404"/>
        <v>3.2935672514619889</v>
      </c>
      <c r="DY143" s="150">
        <f t="shared" si="405"/>
        <v>0.38775510204081631</v>
      </c>
      <c r="EA143" s="5">
        <f t="shared" si="406"/>
        <v>16.520533333333336</v>
      </c>
      <c r="EB143" s="5">
        <f t="shared" si="407"/>
        <v>2.1511111111111116</v>
      </c>
      <c r="EC143" s="5">
        <f t="shared" si="408"/>
        <v>0.30191033138401563</v>
      </c>
      <c r="ED143" s="5"/>
      <c r="EE143" s="150">
        <f t="shared" si="409"/>
        <v>0.56244269232069932</v>
      </c>
      <c r="EF143" s="150">
        <f t="shared" si="410"/>
        <v>0.70674395960588554</v>
      </c>
      <c r="EG143" s="150">
        <f t="shared" si="411"/>
        <v>0.15797806155896263</v>
      </c>
      <c r="EH143" s="150"/>
      <c r="EI143" s="456">
        <f t="shared" si="412"/>
        <v>6.326835642899137E-3</v>
      </c>
      <c r="EJ143" s="456">
        <f t="shared" si="413"/>
        <v>8.5500000000000007E-2</v>
      </c>
      <c r="EK143" s="456">
        <f t="shared" si="414"/>
        <v>2.3236389726345081E-2</v>
      </c>
      <c r="EL143" s="456">
        <f t="shared" si="415"/>
        <v>4.0169211647727264E-3</v>
      </c>
      <c r="EM143">
        <f t="shared" si="416"/>
        <v>4.0499999999999998E-3</v>
      </c>
      <c r="EN143" s="144">
        <f t="shared" si="417"/>
        <v>27.286389726345082</v>
      </c>
      <c r="EP143" s="144">
        <f t="shared" si="439"/>
        <v>123.13014653401696</v>
      </c>
      <c r="EQ143" s="150">
        <f t="shared" si="418"/>
        <v>0.2772</v>
      </c>
      <c r="ER143" s="150">
        <f t="shared" si="475"/>
        <v>3.6609375E-2</v>
      </c>
      <c r="ES143" s="456"/>
      <c r="EU143" s="144">
        <f t="shared" si="420"/>
        <v>313.80937499999999</v>
      </c>
      <c r="EV143" s="456">
        <f t="shared" si="421"/>
        <v>9.4902534643487042E-3</v>
      </c>
      <c r="EW143" s="456">
        <f t="shared" si="422"/>
        <v>1.4984610733182167E-2</v>
      </c>
      <c r="EX143" s="456">
        <f t="shared" si="423"/>
        <v>1.2478533966963693E-4</v>
      </c>
      <c r="EY143" s="456">
        <f t="shared" si="424"/>
        <v>7.2113564882065398E-2</v>
      </c>
      <c r="EZ143" s="456"/>
      <c r="FA143" s="538">
        <f t="shared" si="425"/>
        <v>4.5496598639455777E-4</v>
      </c>
      <c r="FB143" s="144">
        <f t="shared" si="426"/>
        <v>97.168180405660451</v>
      </c>
      <c r="FC143" s="150">
        <f t="shared" si="427"/>
        <v>0.53410770193967749</v>
      </c>
      <c r="FD143" s="5">
        <f t="shared" si="428"/>
        <v>2.64</v>
      </c>
      <c r="FE143" s="150">
        <f t="shared" si="429"/>
        <v>0.83172981130624912</v>
      </c>
      <c r="FF143" s="5">
        <f t="shared" si="430"/>
        <v>83.172981130624919</v>
      </c>
      <c r="FG143">
        <f t="shared" si="431"/>
        <v>33</v>
      </c>
      <c r="FI143" s="59">
        <f t="shared" si="432"/>
        <v>-50</v>
      </c>
      <c r="FJ143">
        <f t="shared" si="433"/>
        <v>-50</v>
      </c>
    </row>
    <row r="144" spans="5:166">
      <c r="E144" s="147">
        <v>34</v>
      </c>
      <c r="F144" s="188">
        <f t="shared" si="476"/>
        <v>0.40800000000000003</v>
      </c>
      <c r="G144" s="188">
        <f t="shared" si="444"/>
        <v>8.5000000000000006E-2</v>
      </c>
      <c r="H144" s="188">
        <f t="shared" si="445"/>
        <v>2.04</v>
      </c>
      <c r="I144" s="188">
        <f t="shared" si="446"/>
        <v>0.68</v>
      </c>
      <c r="J144" s="465">
        <f t="shared" si="447"/>
        <v>8.9439110156192303</v>
      </c>
      <c r="K144" s="379">
        <f t="shared" si="448"/>
        <v>5.7213991126230184</v>
      </c>
      <c r="L144" s="149">
        <f t="shared" si="449"/>
        <v>14.665310128242249</v>
      </c>
      <c r="M144" s="379"/>
      <c r="N144" s="188">
        <f t="shared" si="450"/>
        <v>0.39013147779294677</v>
      </c>
      <c r="O144" s="149">
        <f t="shared" si="451"/>
        <v>6.5424397908227725</v>
      </c>
      <c r="P144" s="149">
        <f t="shared" si="452"/>
        <v>2.9077510181434545</v>
      </c>
      <c r="Q144" s="188">
        <f t="shared" si="322"/>
        <v>1.3084879581645545</v>
      </c>
      <c r="R144" s="188">
        <f t="shared" si="453"/>
        <v>0.81780497385284656</v>
      </c>
      <c r="S144" s="188">
        <f t="shared" si="454"/>
        <v>5</v>
      </c>
      <c r="T144" s="188">
        <f t="shared" si="455"/>
        <v>1.5590514129465538</v>
      </c>
      <c r="U144" s="188">
        <f t="shared" si="326"/>
        <v>2.0917713651988246</v>
      </c>
      <c r="V144" s="188">
        <f t="shared" si="327"/>
        <v>3.2699374029128934</v>
      </c>
      <c r="W144" s="172">
        <f t="shared" si="328"/>
        <v>290.77510181434548</v>
      </c>
      <c r="X144" s="379">
        <f t="shared" si="435"/>
        <v>179.8008564802135</v>
      </c>
      <c r="Z144" s="188">
        <f t="shared" si="329"/>
        <v>1</v>
      </c>
      <c r="AA144" s="150">
        <f t="shared" si="330"/>
        <v>2.0973890763055878</v>
      </c>
      <c r="AB144" s="150">
        <f t="shared" si="456"/>
        <v>0.22870069582764496</v>
      </c>
      <c r="AC144" s="150"/>
      <c r="AD144" s="150">
        <f t="shared" si="332"/>
        <v>2.0973890763055878</v>
      </c>
      <c r="AE144" s="314">
        <f t="shared" si="457"/>
        <v>389.05513965836525</v>
      </c>
      <c r="AF144" s="456">
        <f t="shared" si="458"/>
        <v>0.30493426110352662</v>
      </c>
      <c r="AH144" s="150">
        <f t="shared" si="459"/>
        <v>1.1380852759077833</v>
      </c>
      <c r="AI144" s="150">
        <f t="shared" si="460"/>
        <v>1.5590514129465538</v>
      </c>
      <c r="AJ144" s="150">
        <f t="shared" si="461"/>
        <v>1.6141121577381881</v>
      </c>
      <c r="AL144" s="314">
        <f t="shared" si="462"/>
        <v>408.00000000000006</v>
      </c>
      <c r="AM144" s="144">
        <f t="shared" si="463"/>
        <v>179.8008564802135</v>
      </c>
      <c r="AO144" s="144">
        <f t="shared" si="340"/>
        <v>408.00000000000006</v>
      </c>
      <c r="AP144" s="144">
        <f t="shared" si="341"/>
        <v>179.8008564802135</v>
      </c>
      <c r="AR144" s="5">
        <f t="shared" si="443"/>
        <v>5.5617087681117177</v>
      </c>
      <c r="AS144" s="5">
        <f t="shared" si="440"/>
        <v>2.0917713651988246</v>
      </c>
      <c r="AT144" s="5">
        <f t="shared" si="441"/>
        <v>3.4699374029128931</v>
      </c>
      <c r="AU144" s="150">
        <f t="shared" si="442"/>
        <v>0.3761022830235341</v>
      </c>
      <c r="AW144" s="5">
        <f t="shared" si="342"/>
        <v>17.068854340022412</v>
      </c>
      <c r="AX144" s="5">
        <f t="shared" si="343"/>
        <v>2.222507075523751</v>
      </c>
      <c r="AY144" s="5">
        <f t="shared" si="344"/>
        <v>0.32977148222127678</v>
      </c>
      <c r="AZ144" s="5"/>
      <c r="BA144" s="150">
        <f t="shared" si="345"/>
        <v>0.55201743487844468</v>
      </c>
      <c r="BB144" s="150">
        <f t="shared" si="346"/>
        <v>0.71097856577661378</v>
      </c>
      <c r="BC144" s="150">
        <f t="shared" si="347"/>
        <v>0.15892462058536072</v>
      </c>
      <c r="BD144" s="150"/>
      <c r="BE144" s="456">
        <f t="shared" si="348"/>
        <v>6.0944649681955593E-3</v>
      </c>
      <c r="BF144" s="456">
        <f t="shared" si="464"/>
        <v>7.7080534384820015E-2</v>
      </c>
      <c r="BG144" s="456">
        <f t="shared" si="465"/>
        <v>4.0203071522278845E-2</v>
      </c>
      <c r="BH144" s="456">
        <f t="shared" si="351"/>
        <v>3.8670007748453999E-3</v>
      </c>
      <c r="BI144">
        <f t="shared" si="352"/>
        <v>4.0247599570286535E-3</v>
      </c>
      <c r="BJ144" s="144">
        <f t="shared" si="436"/>
        <v>44.227831479307497</v>
      </c>
      <c r="BK144">
        <f t="shared" si="466"/>
        <v>8.8816115390110015E-2</v>
      </c>
      <c r="BL144" s="144">
        <f t="shared" si="437"/>
        <v>131.2698316071685</v>
      </c>
      <c r="BM144" s="150">
        <f t="shared" si="467"/>
        <v>0.25347000000000003</v>
      </c>
      <c r="BN144" s="150">
        <f t="shared" si="468"/>
        <v>5.2806249999999992E-2</v>
      </c>
      <c r="BO144" s="456"/>
      <c r="BQ144" s="144">
        <f t="shared" si="356"/>
        <v>306.27625</v>
      </c>
      <c r="BR144" s="456">
        <f t="shared" si="357"/>
        <v>9.1416974522933372E-3</v>
      </c>
      <c r="BS144" s="456">
        <f t="shared" si="358"/>
        <v>1.5164715629813121E-2</v>
      </c>
      <c r="BT144" s="456">
        <f t="shared" si="359"/>
        <v>1.2628517514100431E-4</v>
      </c>
      <c r="BU144" s="456">
        <f t="shared" si="360"/>
        <v>6.5781002480416614E-2</v>
      </c>
      <c r="BV144" s="456"/>
      <c r="BW144" s="538">
        <f t="shared" si="469"/>
        <v>4.370313890124608E-4</v>
      </c>
      <c r="BX144" s="144">
        <f t="shared" si="362"/>
        <v>90.650732126676544</v>
      </c>
      <c r="BY144" s="150">
        <f t="shared" si="363"/>
        <v>0.52819681373384497</v>
      </c>
      <c r="BZ144" s="5">
        <f t="shared" si="364"/>
        <v>2.72</v>
      </c>
      <c r="CA144" s="150">
        <f t="shared" si="365"/>
        <v>0.83738768183610279</v>
      </c>
      <c r="CB144" s="5">
        <f t="shared" si="366"/>
        <v>83.738768183610276</v>
      </c>
      <c r="CC144">
        <f t="shared" si="367"/>
        <v>34</v>
      </c>
      <c r="CE144" s="59">
        <f t="shared" si="470"/>
        <v>-50</v>
      </c>
      <c r="CF144">
        <f t="shared" si="471"/>
        <v>-50</v>
      </c>
      <c r="CG144" s="150">
        <f t="shared" si="370"/>
        <v>0.57198633493024875</v>
      </c>
      <c r="CH144" s="150">
        <f t="shared" si="472"/>
        <v>0.31031053622728111</v>
      </c>
      <c r="CI144" s="147">
        <v>34</v>
      </c>
      <c r="CJ144" s="188">
        <f t="shared" si="438"/>
        <v>0.40800000000000003</v>
      </c>
      <c r="CK144" s="188">
        <f t="shared" si="372"/>
        <v>8.5000000000000006E-2</v>
      </c>
      <c r="CL144" s="188">
        <f t="shared" si="373"/>
        <v>2.04</v>
      </c>
      <c r="CM144" s="188">
        <f t="shared" si="374"/>
        <v>0.68</v>
      </c>
      <c r="CN144" s="465">
        <f t="shared" si="375"/>
        <v>9</v>
      </c>
      <c r="CO144" s="379">
        <f t="shared" si="473"/>
        <v>5.7</v>
      </c>
      <c r="CP144" s="379">
        <f t="shared" si="474"/>
        <v>14.7</v>
      </c>
      <c r="CQ144" s="379"/>
      <c r="CR144" s="188">
        <f t="shared" si="378"/>
        <v>0.375</v>
      </c>
      <c r="CS144" s="149">
        <f t="shared" si="379"/>
        <v>6.328125</v>
      </c>
      <c r="CT144" s="149">
        <f t="shared" si="380"/>
        <v>2.8125</v>
      </c>
      <c r="CU144" s="188">
        <f t="shared" si="381"/>
        <v>1.265625</v>
      </c>
      <c r="CV144" s="188">
        <f t="shared" si="382"/>
        <v>0.791015625</v>
      </c>
      <c r="CW144" s="188">
        <f t="shared" si="383"/>
        <v>5</v>
      </c>
      <c r="CX144" s="188">
        <f t="shared" si="384"/>
        <v>1.6118518518518519</v>
      </c>
      <c r="CY144" s="188">
        <f t="shared" si="385"/>
        <v>2.1491358024691358</v>
      </c>
      <c r="CZ144" s="188">
        <f t="shared" si="386"/>
        <v>3.3933723196881092</v>
      </c>
      <c r="DA144" s="172">
        <f t="shared" si="387"/>
        <v>290.81632653061229</v>
      </c>
      <c r="DB144" s="379">
        <f t="shared" si="388"/>
        <v>180.42373199279712</v>
      </c>
      <c r="DD144" s="188">
        <f t="shared" si="389"/>
        <v>0.99999999999999978</v>
      </c>
      <c r="DE144" s="150">
        <f t="shared" si="390"/>
        <v>2.1052631578947363</v>
      </c>
      <c r="DF144" s="150">
        <f t="shared" si="391"/>
        <v>0.2295918367346938</v>
      </c>
      <c r="DG144" s="150"/>
      <c r="DH144" s="150">
        <f t="shared" si="392"/>
        <v>2.1052631578947367</v>
      </c>
      <c r="DI144" s="314">
        <f t="shared" si="393"/>
        <v>387.60000000000008</v>
      </c>
      <c r="DJ144" s="456">
        <f t="shared" si="394"/>
        <v>0.3061224489795919</v>
      </c>
      <c r="DL144" s="150">
        <f t="shared" si="395"/>
        <v>1.1380852759077833</v>
      </c>
      <c r="DM144" s="150">
        <f t="shared" si="396"/>
        <v>1.6118518518518519</v>
      </c>
      <c r="DN144" s="150">
        <f t="shared" si="397"/>
        <v>1.6532235939643347</v>
      </c>
      <c r="DP144" s="314">
        <f t="shared" si="398"/>
        <v>408.00000000000006</v>
      </c>
      <c r="DQ144" s="144">
        <f t="shared" si="399"/>
        <v>180.42373199279712</v>
      </c>
      <c r="DS144" s="144">
        <f t="shared" si="400"/>
        <v>408.00000000000006</v>
      </c>
      <c r="DT144" s="144">
        <f t="shared" si="401"/>
        <v>180.42373199279712</v>
      </c>
      <c r="DV144" s="5">
        <f t="shared" si="402"/>
        <v>5.542508122157245</v>
      </c>
      <c r="DW144" s="5">
        <f t="shared" si="403"/>
        <v>2.1491358024691358</v>
      </c>
      <c r="DX144" s="5">
        <f t="shared" si="404"/>
        <v>3.3933723196881092</v>
      </c>
      <c r="DY144" s="150">
        <f t="shared" si="405"/>
        <v>0.38775510204081631</v>
      </c>
      <c r="EA144" s="5">
        <f t="shared" si="406"/>
        <v>17.536948148148149</v>
      </c>
      <c r="EB144" s="5">
        <f t="shared" si="407"/>
        <v>2.2834567901234566</v>
      </c>
      <c r="EC144" s="5">
        <f t="shared" si="408"/>
        <v>0.32048516352609918</v>
      </c>
      <c r="ED144" s="5"/>
      <c r="EE144" s="150">
        <f t="shared" si="409"/>
        <v>0.5794864102698114</v>
      </c>
      <c r="EF144" s="150">
        <f t="shared" si="410"/>
        <v>0.72816044323030626</v>
      </c>
      <c r="EG144" s="150">
        <f t="shared" si="411"/>
        <v>0.16276527554559789</v>
      </c>
      <c r="EH144" s="150"/>
      <c r="EI144" s="456">
        <f t="shared" si="412"/>
        <v>6.7160899937478433E-3</v>
      </c>
      <c r="EJ144" s="456">
        <f t="shared" si="413"/>
        <v>8.5500000000000007E-2</v>
      </c>
      <c r="EK144" s="456">
        <f t="shared" si="414"/>
        <v>2.2552966499099637E-2</v>
      </c>
      <c r="EL144" s="456">
        <f t="shared" si="415"/>
        <v>3.8987764246323523E-3</v>
      </c>
      <c r="EM144">
        <f t="shared" si="416"/>
        <v>4.0499999999999998E-3</v>
      </c>
      <c r="EN144" s="144">
        <f t="shared" si="417"/>
        <v>26.602966499099637</v>
      </c>
      <c r="EP144" s="144">
        <f t="shared" si="439"/>
        <v>122.71783291747984</v>
      </c>
      <c r="EQ144" s="150">
        <f t="shared" si="418"/>
        <v>0.28560000000000002</v>
      </c>
      <c r="ER144" s="150">
        <f t="shared" si="475"/>
        <v>3.7718750000000002E-2</v>
      </c>
      <c r="ES144" s="456"/>
      <c r="EU144" s="144">
        <f t="shared" si="420"/>
        <v>323.31875000000002</v>
      </c>
      <c r="EV144" s="456">
        <f t="shared" si="421"/>
        <v>1.0074134990621765E-2</v>
      </c>
      <c r="EW144" s="456">
        <f t="shared" si="422"/>
        <v>1.5906528932560681E-2</v>
      </c>
      <c r="EX144" s="456">
        <f t="shared" si="423"/>
        <v>1.3246267461717204E-4</v>
      </c>
      <c r="EY144" s="456">
        <f t="shared" si="424"/>
        <v>7.2113564882065509E-2</v>
      </c>
      <c r="EZ144" s="456"/>
      <c r="FA144" s="538">
        <f t="shared" si="425"/>
        <v>4.687528344671202E-4</v>
      </c>
      <c r="FB144" s="144">
        <f t="shared" si="426"/>
        <v>98.695444314332249</v>
      </c>
      <c r="FC144" s="150">
        <f t="shared" si="427"/>
        <v>0.54473202723181213</v>
      </c>
      <c r="FD144" s="5">
        <f t="shared" si="428"/>
        <v>2.72</v>
      </c>
      <c r="FE144" s="150">
        <f t="shared" si="429"/>
        <v>0.83314648103180033</v>
      </c>
      <c r="FF144" s="5">
        <f t="shared" si="430"/>
        <v>83.314648103180033</v>
      </c>
      <c r="FG144">
        <f t="shared" si="431"/>
        <v>34</v>
      </c>
      <c r="FI144" s="59">
        <f t="shared" si="432"/>
        <v>-50</v>
      </c>
      <c r="FJ144">
        <f t="shared" si="433"/>
        <v>-50</v>
      </c>
    </row>
    <row r="145" spans="5:166">
      <c r="E145" s="147">
        <v>35</v>
      </c>
      <c r="F145" s="188">
        <f t="shared" si="476"/>
        <v>0.42</v>
      </c>
      <c r="G145" s="188">
        <f t="shared" si="444"/>
        <v>8.7499999999999994E-2</v>
      </c>
      <c r="H145" s="188">
        <f t="shared" si="445"/>
        <v>2.1</v>
      </c>
      <c r="I145" s="188">
        <f t="shared" si="446"/>
        <v>0.7</v>
      </c>
      <c r="J145" s="465">
        <f t="shared" si="447"/>
        <v>8.9422613396080308</v>
      </c>
      <c r="K145" s="379">
        <f t="shared" si="448"/>
        <v>5.7220284982884015</v>
      </c>
      <c r="L145" s="149">
        <f t="shared" si="449"/>
        <v>14.664289837896433</v>
      </c>
      <c r="M145" s="379"/>
      <c r="N145" s="188">
        <f t="shared" si="450"/>
        <v>0.3902015414003312</v>
      </c>
      <c r="O145" s="149">
        <f t="shared" si="451"/>
        <v>6.542407796849333</v>
      </c>
      <c r="P145" s="149">
        <f t="shared" si="452"/>
        <v>2.9077367985997036</v>
      </c>
      <c r="Q145" s="188">
        <f t="shared" si="322"/>
        <v>1.3084815593698667</v>
      </c>
      <c r="R145" s="188">
        <f t="shared" si="453"/>
        <v>0.81780097460616663</v>
      </c>
      <c r="S145" s="188">
        <f t="shared" si="454"/>
        <v>5</v>
      </c>
      <c r="T145" s="188">
        <f t="shared" si="455"/>
        <v>1.6049137146505219</v>
      </c>
      <c r="U145" s="188">
        <f t="shared" si="326"/>
        <v>2.1537018260137821</v>
      </c>
      <c r="V145" s="188">
        <f t="shared" si="327"/>
        <v>3.3657582414290825</v>
      </c>
      <c r="W145" s="172">
        <f t="shared" si="328"/>
        <v>290.7736798599704</v>
      </c>
      <c r="X145" s="379">
        <f t="shared" si="435"/>
        <v>174.84167879628083</v>
      </c>
      <c r="Z145" s="188">
        <f t="shared" si="329"/>
        <v>1</v>
      </c>
      <c r="AA145" s="150">
        <f t="shared" si="330"/>
        <v>2.0971583772414792</v>
      </c>
      <c r="AB145" s="150">
        <f t="shared" si="456"/>
        <v>0.22867442197487586</v>
      </c>
      <c r="AC145" s="150"/>
      <c r="AD145" s="150">
        <f t="shared" si="332"/>
        <v>2.0971583772414792</v>
      </c>
      <c r="AE145" s="314">
        <f t="shared" si="457"/>
        <v>400.54199488018804</v>
      </c>
      <c r="AF145" s="456">
        <f t="shared" si="458"/>
        <v>0.30489922929983443</v>
      </c>
      <c r="AH145" s="150">
        <f t="shared" si="459"/>
        <v>1.1547005383792515</v>
      </c>
      <c r="AI145" s="150">
        <f t="shared" si="460"/>
        <v>1.6049137146505219</v>
      </c>
      <c r="AJ145" s="150">
        <f t="shared" si="461"/>
        <v>1.6480842330744607</v>
      </c>
      <c r="AL145" s="314">
        <f t="shared" si="462"/>
        <v>420</v>
      </c>
      <c r="AM145" s="144">
        <f t="shared" si="463"/>
        <v>174.84167879628083</v>
      </c>
      <c r="AO145" s="144">
        <f t="shared" si="340"/>
        <v>420</v>
      </c>
      <c r="AP145" s="144">
        <f t="shared" si="341"/>
        <v>174.84167879628083</v>
      </c>
      <c r="AR145" s="5">
        <f t="shared" si="443"/>
        <v>5.7194600674428644</v>
      </c>
      <c r="AS145" s="5">
        <f t="shared" si="440"/>
        <v>2.1537018260137821</v>
      </c>
      <c r="AT145" s="5">
        <f t="shared" si="441"/>
        <v>3.5657582414290823</v>
      </c>
      <c r="AU145" s="150">
        <f t="shared" si="442"/>
        <v>0.3765568428868652</v>
      </c>
      <c r="AW145" s="5">
        <f t="shared" si="342"/>
        <v>18.091095338515768</v>
      </c>
      <c r="AX145" s="5">
        <f t="shared" si="343"/>
        <v>2.3556113722025738</v>
      </c>
      <c r="AY145" s="5">
        <f t="shared" si="344"/>
        <v>0.34890933543071873</v>
      </c>
      <c r="AZ145" s="5"/>
      <c r="BA145" s="150">
        <f t="shared" si="345"/>
        <v>0.56859931609867942</v>
      </c>
      <c r="BB145" s="150">
        <f t="shared" si="346"/>
        <v>0.73162660892691223</v>
      </c>
      <c r="BC145" s="150">
        <f t="shared" si="347"/>
        <v>0.16354006552483921</v>
      </c>
      <c r="BD145" s="150"/>
      <c r="BE145" s="456">
        <f t="shared" si="348"/>
        <v>6.4661036453577195E-3</v>
      </c>
      <c r="BF145" s="456">
        <f t="shared" si="464"/>
        <v>7.7154091903772287E-2</v>
      </c>
      <c r="BG145" s="456">
        <f t="shared" si="465"/>
        <v>3.9086999621303679E-2</v>
      </c>
      <c r="BH145" s="456">
        <f t="shared" si="351"/>
        <v>3.7598198765985318E-3</v>
      </c>
      <c r="BI145">
        <f t="shared" si="352"/>
        <v>4.0240176028236135E-3</v>
      </c>
      <c r="BJ145" s="144">
        <f t="shared" si="436"/>
        <v>43.111017224127295</v>
      </c>
      <c r="BK145">
        <f t="shared" si="466"/>
        <v>8.9263002286671903E-2</v>
      </c>
      <c r="BL145" s="144">
        <f t="shared" si="437"/>
        <v>130.49103264985584</v>
      </c>
      <c r="BM145" s="150">
        <f t="shared" si="467"/>
        <v>0.26092499999999996</v>
      </c>
      <c r="BN145" s="150">
        <f t="shared" si="468"/>
        <v>5.4359374999999988E-2</v>
      </c>
      <c r="BO145" s="456"/>
      <c r="BQ145" s="144">
        <f t="shared" si="356"/>
        <v>315.28437499999995</v>
      </c>
      <c r="BR145" s="456">
        <f t="shared" si="357"/>
        <v>9.6991554680365792E-3</v>
      </c>
      <c r="BS145" s="456">
        <f t="shared" si="358"/>
        <v>1.6058324846696788E-2</v>
      </c>
      <c r="BT145" s="456">
        <f t="shared" si="359"/>
        <v>1.3372676515934352E-4</v>
      </c>
      <c r="BU145" s="456">
        <f t="shared" si="360"/>
        <v>6.5949520869088979E-2</v>
      </c>
      <c r="BV145" s="456"/>
      <c r="BW145" s="538">
        <f t="shared" si="469"/>
        <v>4.5034810997901384E-4</v>
      </c>
      <c r="BX145" s="144">
        <f t="shared" si="362"/>
        <v>92.291076058960698</v>
      </c>
      <c r="BY145" s="150">
        <f t="shared" si="363"/>
        <v>0.53806648370881649</v>
      </c>
      <c r="BZ145" s="5">
        <f t="shared" si="364"/>
        <v>2.8</v>
      </c>
      <c r="CA145" s="150">
        <f t="shared" si="365"/>
        <v>0.83880893734896833</v>
      </c>
      <c r="CB145" s="5">
        <f t="shared" si="366"/>
        <v>83.88089373489683</v>
      </c>
      <c r="CC145">
        <f t="shared" si="367"/>
        <v>35</v>
      </c>
      <c r="CE145" s="59">
        <f t="shared" si="470"/>
        <v>-50</v>
      </c>
      <c r="CF145">
        <f t="shared" si="471"/>
        <v>-50</v>
      </c>
      <c r="CG145" s="150">
        <f t="shared" si="370"/>
        <v>0.57198633493024875</v>
      </c>
      <c r="CH145" s="150">
        <f t="shared" si="472"/>
        <v>0.31031053622728111</v>
      </c>
      <c r="CI145" s="147">
        <v>35</v>
      </c>
      <c r="CJ145" s="188">
        <f t="shared" si="438"/>
        <v>0.42</v>
      </c>
      <c r="CK145" s="188">
        <f t="shared" si="372"/>
        <v>8.7499999999999994E-2</v>
      </c>
      <c r="CL145" s="188">
        <f t="shared" si="373"/>
        <v>2.1</v>
      </c>
      <c r="CM145" s="188">
        <f t="shared" si="374"/>
        <v>0.7</v>
      </c>
      <c r="CN145" s="465">
        <f t="shared" si="375"/>
        <v>9</v>
      </c>
      <c r="CO145" s="379">
        <f t="shared" si="473"/>
        <v>5.7</v>
      </c>
      <c r="CP145" s="379">
        <f t="shared" si="474"/>
        <v>14.7</v>
      </c>
      <c r="CQ145" s="379"/>
      <c r="CR145" s="188">
        <f t="shared" si="378"/>
        <v>0.375</v>
      </c>
      <c r="CS145" s="149">
        <f t="shared" si="379"/>
        <v>6.328125</v>
      </c>
      <c r="CT145" s="149">
        <f t="shared" si="380"/>
        <v>2.8125</v>
      </c>
      <c r="CU145" s="188">
        <f t="shared" si="381"/>
        <v>1.265625</v>
      </c>
      <c r="CV145" s="188">
        <f t="shared" si="382"/>
        <v>0.791015625</v>
      </c>
      <c r="CW145" s="188">
        <f t="shared" si="383"/>
        <v>5</v>
      </c>
      <c r="CX145" s="188">
        <f t="shared" si="384"/>
        <v>1.6592592592592592</v>
      </c>
      <c r="CY145" s="188">
        <f t="shared" si="385"/>
        <v>2.2123456790123459</v>
      </c>
      <c r="CZ145" s="188">
        <f t="shared" si="386"/>
        <v>3.4931773879142303</v>
      </c>
      <c r="DA145" s="172">
        <f t="shared" si="387"/>
        <v>290.81632653061229</v>
      </c>
      <c r="DB145" s="379">
        <f t="shared" si="388"/>
        <v>175.26876822157433</v>
      </c>
      <c r="DD145" s="188">
        <f t="shared" si="389"/>
        <v>0.99999999999999978</v>
      </c>
      <c r="DE145" s="150">
        <f t="shared" si="390"/>
        <v>2.1052631578947363</v>
      </c>
      <c r="DF145" s="150">
        <f t="shared" si="391"/>
        <v>0.2295918367346938</v>
      </c>
      <c r="DG145" s="150"/>
      <c r="DH145" s="150">
        <f t="shared" si="392"/>
        <v>2.1052631578947367</v>
      </c>
      <c r="DI145" s="314">
        <f t="shared" si="393"/>
        <v>399</v>
      </c>
      <c r="DJ145" s="456">
        <f t="shared" si="394"/>
        <v>0.3061224489795919</v>
      </c>
      <c r="DL145" s="150">
        <f t="shared" si="395"/>
        <v>1.1547005383792515</v>
      </c>
      <c r="DM145" s="150">
        <f t="shared" si="396"/>
        <v>1.6592592592592592</v>
      </c>
      <c r="DN145" s="150">
        <f t="shared" si="397"/>
        <v>1.6883401920438956</v>
      </c>
      <c r="DP145" s="314">
        <f t="shared" si="398"/>
        <v>420</v>
      </c>
      <c r="DQ145" s="144">
        <f t="shared" si="399"/>
        <v>175.26876822157433</v>
      </c>
      <c r="DS145" s="144">
        <f t="shared" si="400"/>
        <v>420</v>
      </c>
      <c r="DT145" s="144">
        <f t="shared" si="401"/>
        <v>175.26876822157433</v>
      </c>
      <c r="DV145" s="5">
        <f t="shared" si="402"/>
        <v>5.7055230669265757</v>
      </c>
      <c r="DW145" s="5">
        <f t="shared" si="403"/>
        <v>2.2123456790123459</v>
      </c>
      <c r="DX145" s="5">
        <f t="shared" si="404"/>
        <v>3.4931773879142298</v>
      </c>
      <c r="DY145" s="150">
        <f t="shared" si="405"/>
        <v>0.38775510204081637</v>
      </c>
      <c r="EA145" s="5">
        <f t="shared" si="406"/>
        <v>18.583703703703701</v>
      </c>
      <c r="EB145" s="5">
        <f t="shared" si="407"/>
        <v>2.4197530864197532</v>
      </c>
      <c r="EC145" s="5">
        <f t="shared" si="408"/>
        <v>0.33961446826943897</v>
      </c>
      <c r="ED145" s="5"/>
      <c r="EE145" s="150">
        <f t="shared" si="409"/>
        <v>0.59653012821892348</v>
      </c>
      <c r="EF145" s="150">
        <f t="shared" si="410"/>
        <v>0.74957692685472699</v>
      </c>
      <c r="EG145" s="150">
        <f t="shared" si="411"/>
        <v>0.16755248953223312</v>
      </c>
      <c r="EH145" s="150"/>
      <c r="EI145" s="456">
        <f t="shared" si="412"/>
        <v>7.1169638774577059E-3</v>
      </c>
      <c r="EJ145" s="456">
        <f t="shared" si="413"/>
        <v>8.5499999999999979E-2</v>
      </c>
      <c r="EK145" s="456">
        <f t="shared" si="414"/>
        <v>2.1908596027696788E-2</v>
      </c>
      <c r="EL145" s="456">
        <f t="shared" si="415"/>
        <v>3.7873828124999997E-3</v>
      </c>
      <c r="EM145">
        <f t="shared" si="416"/>
        <v>4.0499999999999998E-3</v>
      </c>
      <c r="EN145" s="144">
        <f t="shared" si="417"/>
        <v>25.958596027696789</v>
      </c>
      <c r="EP145" s="144">
        <f t="shared" si="439"/>
        <v>122.36294271765448</v>
      </c>
      <c r="EQ145" s="150">
        <f t="shared" si="418"/>
        <v>0.29399999999999998</v>
      </c>
      <c r="ER145" s="150">
        <f t="shared" si="475"/>
        <v>3.8828124999999998E-2</v>
      </c>
      <c r="ES145" s="456"/>
      <c r="EU145" s="144">
        <f t="shared" si="420"/>
        <v>332.828125</v>
      </c>
      <c r="EV145" s="456">
        <f t="shared" si="421"/>
        <v>1.0675445816186558E-2</v>
      </c>
      <c r="EW145" s="456">
        <f t="shared" si="422"/>
        <v>1.6855967078189302E-2</v>
      </c>
      <c r="EX145" s="456">
        <f t="shared" si="423"/>
        <v>1.4036918374224546E-4</v>
      </c>
      <c r="EY145" s="456">
        <f t="shared" si="424"/>
        <v>7.2113564882065481E-2</v>
      </c>
      <c r="EZ145" s="456"/>
      <c r="FA145" s="538">
        <f t="shared" si="425"/>
        <v>4.8253968253968258E-4</v>
      </c>
      <c r="FB145" s="144">
        <f t="shared" si="426"/>
        <v>100.26788664272327</v>
      </c>
      <c r="FC145" s="150">
        <f t="shared" si="427"/>
        <v>0.55545895436037773</v>
      </c>
      <c r="FD145" s="5">
        <f t="shared" si="428"/>
        <v>2.8</v>
      </c>
      <c r="FE145" s="150">
        <f t="shared" si="429"/>
        <v>0.83446110892265113</v>
      </c>
      <c r="FF145" s="5">
        <f t="shared" si="430"/>
        <v>83.446110892265111</v>
      </c>
      <c r="FG145">
        <f t="shared" si="431"/>
        <v>35</v>
      </c>
      <c r="FI145" s="59">
        <f t="shared" si="432"/>
        <v>-50</v>
      </c>
      <c r="FJ145">
        <f t="shared" si="433"/>
        <v>-50</v>
      </c>
    </row>
    <row r="146" spans="5:166">
      <c r="E146" s="147">
        <v>36</v>
      </c>
      <c r="F146" s="188">
        <f t="shared" si="476"/>
        <v>0.432</v>
      </c>
      <c r="G146" s="188">
        <f t="shared" si="444"/>
        <v>0.09</v>
      </c>
      <c r="H146" s="188">
        <f t="shared" si="445"/>
        <v>2.16</v>
      </c>
      <c r="I146" s="188">
        <f t="shared" si="446"/>
        <v>0.72</v>
      </c>
      <c r="J146" s="465">
        <f t="shared" si="447"/>
        <v>8.9406116635968313</v>
      </c>
      <c r="K146" s="379">
        <f t="shared" si="448"/>
        <v>5.7226578839537847</v>
      </c>
      <c r="L146" s="149">
        <f t="shared" si="449"/>
        <v>14.663269547550616</v>
      </c>
      <c r="M146" s="379"/>
      <c r="N146" s="188">
        <f t="shared" si="450"/>
        <v>0.39027161475795891</v>
      </c>
      <c r="O146" s="149">
        <f t="shared" si="451"/>
        <v>6.5423755328920805</v>
      </c>
      <c r="P146" s="149">
        <f t="shared" si="452"/>
        <v>2.9077224590631467</v>
      </c>
      <c r="Q146" s="188">
        <f t="shared" si="322"/>
        <v>1.3084751065784161</v>
      </c>
      <c r="R146" s="188">
        <f t="shared" si="453"/>
        <v>0.81779694161151006</v>
      </c>
      <c r="S146" s="188">
        <f t="shared" si="454"/>
        <v>5</v>
      </c>
      <c r="T146" s="188">
        <f t="shared" si="455"/>
        <v>1.6507765330349082</v>
      </c>
      <c r="U146" s="188">
        <f t="shared" si="326"/>
        <v>2.2156558344968489</v>
      </c>
      <c r="V146" s="188">
        <f t="shared" si="327"/>
        <v>3.4615590863755501</v>
      </c>
      <c r="W146" s="172">
        <f t="shared" si="328"/>
        <v>290.77224590631471</v>
      </c>
      <c r="X146" s="379">
        <f t="shared" si="435"/>
        <v>170.14861859970273</v>
      </c>
      <c r="Z146" s="188">
        <f t="shared" si="329"/>
        <v>1</v>
      </c>
      <c r="AA146" s="150">
        <f t="shared" si="330"/>
        <v>2.096927728922561</v>
      </c>
      <c r="AB146" s="150">
        <f t="shared" si="456"/>
        <v>0.22864814446576531</v>
      </c>
      <c r="AC146" s="150"/>
      <c r="AD146" s="150">
        <f t="shared" si="332"/>
        <v>2.096927728922561</v>
      </c>
      <c r="AE146" s="314">
        <f t="shared" si="457"/>
        <v>412.03136764467246</v>
      </c>
      <c r="AF146" s="456">
        <f t="shared" si="458"/>
        <v>0.30486419262102049</v>
      </c>
      <c r="AH146" s="150">
        <f t="shared" si="459"/>
        <v>1.1710800875382397</v>
      </c>
      <c r="AI146" s="150">
        <f t="shared" si="460"/>
        <v>1.6507765330349082</v>
      </c>
      <c r="AJ146" s="150">
        <f t="shared" si="461"/>
        <v>1.682056691136969</v>
      </c>
      <c r="AL146" s="314">
        <f t="shared" si="462"/>
        <v>432</v>
      </c>
      <c r="AM146" s="144">
        <f t="shared" si="463"/>
        <v>170.14861859970273</v>
      </c>
      <c r="AO146" s="144">
        <f t="shared" si="340"/>
        <v>432</v>
      </c>
      <c r="AP146" s="144">
        <f t="shared" si="341"/>
        <v>170.14861859970273</v>
      </c>
      <c r="AR146" s="5">
        <f t="shared" si="443"/>
        <v>5.8772149208723992</v>
      </c>
      <c r="AS146" s="5">
        <f t="shared" si="440"/>
        <v>2.2156558344968489</v>
      </c>
      <c r="AT146" s="5">
        <f t="shared" si="441"/>
        <v>3.6615590863755503</v>
      </c>
      <c r="AU146" s="150">
        <f t="shared" si="442"/>
        <v>0.37699077953201043</v>
      </c>
      <c r="AW146" s="5">
        <f t="shared" si="342"/>
        <v>19.143266410052775</v>
      </c>
      <c r="AX146" s="5">
        <f t="shared" si="343"/>
        <v>2.4926128138089552</v>
      </c>
      <c r="AY146" s="5">
        <f t="shared" si="344"/>
        <v>0.36858811250641504</v>
      </c>
      <c r="AZ146" s="5"/>
      <c r="BA146" s="150">
        <f t="shared" si="345"/>
        <v>0.58518478156431186</v>
      </c>
      <c r="BB146" s="150">
        <f t="shared" si="346"/>
        <v>0.75227199786055599</v>
      </c>
      <c r="BC146" s="150">
        <f t="shared" si="347"/>
        <v>0.16815491716883016</v>
      </c>
      <c r="BD146" s="150"/>
      <c r="BE146" s="456">
        <f t="shared" si="348"/>
        <v>6.8488245714894286E-3</v>
      </c>
      <c r="BF146" s="456">
        <f t="shared" si="464"/>
        <v>7.7223379587170515E-2</v>
      </c>
      <c r="BG146" s="456">
        <f t="shared" si="465"/>
        <v>3.8030818099934777E-2</v>
      </c>
      <c r="BH146" s="456">
        <f t="shared" si="351"/>
        <v>3.6583905254261059E-3</v>
      </c>
      <c r="BI146">
        <f t="shared" si="352"/>
        <v>4.0232752486185743E-3</v>
      </c>
      <c r="BJ146" s="144">
        <f t="shared" si="436"/>
        <v>42.054093348553351</v>
      </c>
      <c r="BK146">
        <f t="shared" si="466"/>
        <v>8.9725786360456625E-2</v>
      </c>
      <c r="BL146" s="144">
        <f t="shared" si="437"/>
        <v>129.78468803263939</v>
      </c>
      <c r="BM146" s="150">
        <f t="shared" si="467"/>
        <v>0.26838000000000001</v>
      </c>
      <c r="BN146" s="150">
        <f t="shared" si="468"/>
        <v>5.5912499999999997E-2</v>
      </c>
      <c r="BO146" s="456"/>
      <c r="BQ146" s="144">
        <f t="shared" si="356"/>
        <v>324.29249999999996</v>
      </c>
      <c r="BR146" s="456">
        <f t="shared" si="357"/>
        <v>1.0273236857234141E-2</v>
      </c>
      <c r="BS146" s="456">
        <f t="shared" si="358"/>
        <v>1.697739476295337E-2</v>
      </c>
      <c r="BT146" s="456">
        <f t="shared" si="359"/>
        <v>1.4138038084028068E-4</v>
      </c>
      <c r="BU146" s="456">
        <f t="shared" si="360"/>
        <v>6.610918287310695E-2</v>
      </c>
      <c r="BV146" s="456"/>
      <c r="BW146" s="538">
        <f t="shared" si="469"/>
        <v>4.6366573261442842E-4</v>
      </c>
      <c r="BX146" s="144">
        <f t="shared" si="362"/>
        <v>93.96486060674917</v>
      </c>
      <c r="BY146" s="150">
        <f t="shared" si="363"/>
        <v>0.54804204863938855</v>
      </c>
      <c r="BZ146" s="5">
        <f t="shared" si="364"/>
        <v>2.88</v>
      </c>
      <c r="CA146" s="150">
        <f t="shared" si="365"/>
        <v>0.84012971811214798</v>
      </c>
      <c r="CB146" s="5">
        <f t="shared" si="366"/>
        <v>84.012971811214797</v>
      </c>
      <c r="CC146">
        <f t="shared" si="367"/>
        <v>36</v>
      </c>
      <c r="CE146" s="59">
        <f t="shared" si="470"/>
        <v>-50</v>
      </c>
      <c r="CF146">
        <f t="shared" si="471"/>
        <v>-50</v>
      </c>
      <c r="CG146" s="150">
        <f t="shared" si="370"/>
        <v>0.57198633493024886</v>
      </c>
      <c r="CH146" s="150">
        <f t="shared" si="472"/>
        <v>0.31031053622728111</v>
      </c>
      <c r="CI146" s="147">
        <v>36</v>
      </c>
      <c r="CJ146" s="188">
        <f t="shared" si="438"/>
        <v>0.432</v>
      </c>
      <c r="CK146" s="188">
        <f t="shared" si="372"/>
        <v>0.09</v>
      </c>
      <c r="CL146" s="188">
        <f t="shared" si="373"/>
        <v>2.16</v>
      </c>
      <c r="CM146" s="188">
        <f t="shared" si="374"/>
        <v>0.72</v>
      </c>
      <c r="CN146" s="465">
        <f t="shared" si="375"/>
        <v>9</v>
      </c>
      <c r="CO146" s="379">
        <f t="shared" si="473"/>
        <v>5.7</v>
      </c>
      <c r="CP146" s="379">
        <f t="shared" si="474"/>
        <v>14.7</v>
      </c>
      <c r="CQ146" s="379"/>
      <c r="CR146" s="188">
        <f t="shared" si="378"/>
        <v>0.375</v>
      </c>
      <c r="CS146" s="149">
        <f t="shared" si="379"/>
        <v>6.328125</v>
      </c>
      <c r="CT146" s="149">
        <f t="shared" si="380"/>
        <v>2.8125</v>
      </c>
      <c r="CU146" s="188">
        <f t="shared" si="381"/>
        <v>1.265625</v>
      </c>
      <c r="CV146" s="188">
        <f t="shared" si="382"/>
        <v>0.791015625</v>
      </c>
      <c r="CW146" s="188">
        <f t="shared" si="383"/>
        <v>5</v>
      </c>
      <c r="CX146" s="188">
        <f t="shared" si="384"/>
        <v>1.7066666666666666</v>
      </c>
      <c r="CY146" s="188">
        <f t="shared" si="385"/>
        <v>2.2755555555555556</v>
      </c>
      <c r="CZ146" s="188">
        <f t="shared" si="386"/>
        <v>3.5929824561403509</v>
      </c>
      <c r="DA146" s="172">
        <f t="shared" si="387"/>
        <v>290.81632653061229</v>
      </c>
      <c r="DB146" s="379">
        <f t="shared" si="388"/>
        <v>170.4001913265306</v>
      </c>
      <c r="DD146" s="188">
        <f t="shared" si="389"/>
        <v>0.99999999999999978</v>
      </c>
      <c r="DE146" s="150">
        <f t="shared" si="390"/>
        <v>2.1052631578947363</v>
      </c>
      <c r="DF146" s="150">
        <f t="shared" si="391"/>
        <v>0.2295918367346938</v>
      </c>
      <c r="DG146" s="150"/>
      <c r="DH146" s="150">
        <f t="shared" si="392"/>
        <v>2.1052631578947367</v>
      </c>
      <c r="DI146" s="314">
        <f t="shared" si="393"/>
        <v>410.40000000000003</v>
      </c>
      <c r="DJ146" s="456">
        <f t="shared" si="394"/>
        <v>0.3061224489795919</v>
      </c>
      <c r="DL146" s="150">
        <f t="shared" si="395"/>
        <v>1.1710800875382397</v>
      </c>
      <c r="DM146" s="150">
        <f t="shared" si="396"/>
        <v>1.7066666666666666</v>
      </c>
      <c r="DN146" s="150">
        <f t="shared" si="397"/>
        <v>1.7234567901234565</v>
      </c>
      <c r="DP146" s="314">
        <f t="shared" si="398"/>
        <v>432</v>
      </c>
      <c r="DQ146" s="144">
        <f t="shared" si="399"/>
        <v>170.4001913265306</v>
      </c>
      <c r="DS146" s="144">
        <f t="shared" si="400"/>
        <v>432</v>
      </c>
      <c r="DT146" s="144">
        <f t="shared" si="401"/>
        <v>170.4001913265306</v>
      </c>
      <c r="DV146" s="5">
        <f t="shared" si="402"/>
        <v>5.8685380116959065</v>
      </c>
      <c r="DW146" s="5">
        <f t="shared" si="403"/>
        <v>2.2755555555555556</v>
      </c>
      <c r="DX146" s="5">
        <f t="shared" si="404"/>
        <v>3.5929824561403509</v>
      </c>
      <c r="DY146" s="150">
        <f t="shared" si="405"/>
        <v>0.38775510204081631</v>
      </c>
      <c r="EA146" s="5">
        <f t="shared" si="406"/>
        <v>19.660799999999998</v>
      </c>
      <c r="EB146" s="5">
        <f t="shared" si="407"/>
        <v>2.5599999999999996</v>
      </c>
      <c r="EC146" s="5">
        <f t="shared" si="408"/>
        <v>0.35929824561403506</v>
      </c>
      <c r="ED146" s="5"/>
      <c r="EE146" s="150">
        <f t="shared" si="409"/>
        <v>0.61357384616803556</v>
      </c>
      <c r="EF146" s="150">
        <f t="shared" si="410"/>
        <v>0.77099341047914771</v>
      </c>
      <c r="EG146" s="150">
        <f t="shared" si="411"/>
        <v>0.17233970351886832</v>
      </c>
      <c r="EH146" s="150"/>
      <c r="EI146" s="456">
        <f t="shared" si="412"/>
        <v>7.5294572940287231E-3</v>
      </c>
      <c r="EJ146" s="456">
        <f t="shared" si="413"/>
        <v>8.5499999999999979E-2</v>
      </c>
      <c r="EK146" s="456">
        <f t="shared" si="414"/>
        <v>2.1300023915816323E-2</v>
      </c>
      <c r="EL146" s="456">
        <f t="shared" si="415"/>
        <v>3.6821777343749996E-3</v>
      </c>
      <c r="EM146">
        <f t="shared" si="416"/>
        <v>4.0499999999999998E-3</v>
      </c>
      <c r="EN146" s="144">
        <f t="shared" si="417"/>
        <v>25.350023915816326</v>
      </c>
      <c r="EP146" s="144">
        <f t="shared" si="439"/>
        <v>122.06165894422003</v>
      </c>
      <c r="EQ146" s="150">
        <f t="shared" si="418"/>
        <v>0.3024</v>
      </c>
      <c r="ER146" s="150">
        <f t="shared" si="475"/>
        <v>3.9937499999999994E-2</v>
      </c>
      <c r="ES146" s="456"/>
      <c r="EU146" s="144">
        <f t="shared" si="420"/>
        <v>342.33750000000003</v>
      </c>
      <c r="EV146" s="456">
        <f t="shared" si="421"/>
        <v>1.1294185941043084E-2</v>
      </c>
      <c r="EW146" s="456">
        <f t="shared" si="422"/>
        <v>1.7832925170068025E-2</v>
      </c>
      <c r="EX146" s="456">
        <f t="shared" si="423"/>
        <v>1.4850486704485718E-4</v>
      </c>
      <c r="EY146" s="456">
        <f t="shared" si="424"/>
        <v>7.2113564882065481E-2</v>
      </c>
      <c r="EZ146" s="456"/>
      <c r="FA146" s="538">
        <f t="shared" si="425"/>
        <v>4.9632653061224485E-4</v>
      </c>
      <c r="FB146" s="144">
        <f t="shared" si="426"/>
        <v>101.88550739083368</v>
      </c>
      <c r="FC146" s="150">
        <f t="shared" si="427"/>
        <v>0.56628466633505381</v>
      </c>
      <c r="FD146" s="5">
        <f t="shared" si="428"/>
        <v>2.88</v>
      </c>
      <c r="FE146" s="150">
        <f t="shared" si="429"/>
        <v>0.83568256219029391</v>
      </c>
      <c r="FF146" s="5">
        <f t="shared" si="430"/>
        <v>83.568256219029394</v>
      </c>
      <c r="FG146">
        <f t="shared" si="431"/>
        <v>36</v>
      </c>
      <c r="FI146" s="59">
        <f t="shared" si="432"/>
        <v>-50</v>
      </c>
      <c r="FJ146">
        <f t="shared" si="433"/>
        <v>-50</v>
      </c>
    </row>
    <row r="147" spans="5:166">
      <c r="E147" s="147">
        <v>37</v>
      </c>
      <c r="F147" s="188">
        <f t="shared" si="476"/>
        <v>0.44400000000000001</v>
      </c>
      <c r="G147" s="188">
        <f t="shared" si="444"/>
        <v>9.2499999999999999E-2</v>
      </c>
      <c r="H147" s="188">
        <f t="shared" si="445"/>
        <v>2.2200000000000002</v>
      </c>
      <c r="I147" s="188">
        <f t="shared" si="446"/>
        <v>0.74</v>
      </c>
      <c r="J147" s="465">
        <f t="shared" si="447"/>
        <v>8.9389619875856319</v>
      </c>
      <c r="K147" s="379">
        <f t="shared" si="448"/>
        <v>5.723287269619167</v>
      </c>
      <c r="L147" s="149">
        <f t="shared" si="449"/>
        <v>14.662249257204799</v>
      </c>
      <c r="M147" s="379"/>
      <c r="N147" s="188">
        <f t="shared" si="450"/>
        <v>0.39034169786786521</v>
      </c>
      <c r="O147" s="149">
        <f t="shared" si="451"/>
        <v>6.5423429988946555</v>
      </c>
      <c r="P147" s="149">
        <f t="shared" si="452"/>
        <v>2.9077079995087356</v>
      </c>
      <c r="Q147" s="188">
        <f t="shared" si="322"/>
        <v>1.3084685997789312</v>
      </c>
      <c r="R147" s="188">
        <f t="shared" si="453"/>
        <v>0.81779287486183194</v>
      </c>
      <c r="S147" s="188">
        <f t="shared" si="454"/>
        <v>5</v>
      </c>
      <c r="T147" s="188">
        <f t="shared" si="455"/>
        <v>1.6966398737998563</v>
      </c>
      <c r="U147" s="188">
        <f t="shared" si="326"/>
        <v>2.2776334113372063</v>
      </c>
      <c r="V147" s="188">
        <f t="shared" si="327"/>
        <v>3.5573399562998045</v>
      </c>
      <c r="W147" s="172">
        <f t="shared" si="328"/>
        <v>290.7707999508736</v>
      </c>
      <c r="X147" s="379">
        <f t="shared" si="435"/>
        <v>165.70081408520767</v>
      </c>
      <c r="Z147" s="188">
        <f t="shared" si="329"/>
        <v>1</v>
      </c>
      <c r="AA147" s="150">
        <f t="shared" si="330"/>
        <v>2.0966971313320943</v>
      </c>
      <c r="AB147" s="150">
        <f t="shared" si="456"/>
        <v>0.22862186329955064</v>
      </c>
      <c r="AC147" s="150"/>
      <c r="AD147" s="150">
        <f t="shared" si="332"/>
        <v>2.0966971313320943</v>
      </c>
      <c r="AE147" s="314">
        <f t="shared" si="457"/>
        <v>423.52325795181832</v>
      </c>
      <c r="AF147" s="456">
        <f t="shared" si="458"/>
        <v>0.30482915106606745</v>
      </c>
      <c r="AH147" s="150">
        <f t="shared" si="459"/>
        <v>1.1872336794093272</v>
      </c>
      <c r="AI147" s="150">
        <f t="shared" si="460"/>
        <v>1.6966398737998563</v>
      </c>
      <c r="AJ147" s="150">
        <f t="shared" si="461"/>
        <v>1.7160295361480418</v>
      </c>
      <c r="AL147" s="314">
        <f t="shared" si="462"/>
        <v>444</v>
      </c>
      <c r="AM147" s="144">
        <f t="shared" si="463"/>
        <v>165.70081408520767</v>
      </c>
      <c r="AO147" s="144">
        <f t="shared" si="340"/>
        <v>444</v>
      </c>
      <c r="AP147" s="144">
        <f t="shared" si="341"/>
        <v>165.70081408520767</v>
      </c>
      <c r="AR147" s="5">
        <f t="shared" si="443"/>
        <v>6.0349733676370114</v>
      </c>
      <c r="AS147" s="5">
        <f t="shared" si="440"/>
        <v>2.2776334113372063</v>
      </c>
      <c r="AT147" s="5">
        <f t="shared" si="441"/>
        <v>3.7573399562998051</v>
      </c>
      <c r="AU147" s="150">
        <f t="shared" si="442"/>
        <v>0.37740571044624371</v>
      </c>
      <c r="AW147" s="5">
        <f t="shared" si="342"/>
        <v>20.225384692674389</v>
      </c>
      <c r="AX147" s="5">
        <f t="shared" si="343"/>
        <v>2.6335136318586447</v>
      </c>
      <c r="AY147" s="5">
        <f t="shared" si="344"/>
        <v>0.38880794709767469</v>
      </c>
      <c r="AZ147" s="5"/>
      <c r="BA147" s="150">
        <f t="shared" si="345"/>
        <v>0.60177380010976955</v>
      </c>
      <c r="BB147" s="150">
        <f t="shared" si="346"/>
        <v>0.77291477362684968</v>
      </c>
      <c r="BC147" s="150">
        <f t="shared" si="347"/>
        <v>0.17276918469306052</v>
      </c>
      <c r="BD147" s="150"/>
      <c r="BE147" s="456">
        <f t="shared" si="348"/>
        <v>7.2426341299710578E-3</v>
      </c>
      <c r="BF147" s="456">
        <f t="shared" si="464"/>
        <v>7.7288731906739905E-2</v>
      </c>
      <c r="BG147" s="456">
        <f t="shared" si="465"/>
        <v>3.702983196049163E-2</v>
      </c>
      <c r="BH147" s="456">
        <f t="shared" si="351"/>
        <v>3.5622618391865169E-3</v>
      </c>
      <c r="BI147">
        <f t="shared" si="352"/>
        <v>4.0225328944135342E-3</v>
      </c>
      <c r="BJ147" s="144">
        <f t="shared" si="436"/>
        <v>41.052364854905164</v>
      </c>
      <c r="BK147">
        <f t="shared" si="466"/>
        <v>9.0204367264605553E-2</v>
      </c>
      <c r="BL147" s="144">
        <f t="shared" si="437"/>
        <v>129.14599273080265</v>
      </c>
      <c r="BM147" s="150">
        <f t="shared" si="467"/>
        <v>0.27583499999999994</v>
      </c>
      <c r="BN147" s="150">
        <f t="shared" si="468"/>
        <v>5.7465624999999999E-2</v>
      </c>
      <c r="BO147" s="456"/>
      <c r="BQ147" s="144">
        <f t="shared" si="356"/>
        <v>333.30062499999997</v>
      </c>
      <c r="BR147" s="456">
        <f t="shared" si="357"/>
        <v>1.0863951194956586E-2</v>
      </c>
      <c r="BS147" s="456">
        <f t="shared" si="358"/>
        <v>1.7921917418719326E-2</v>
      </c>
      <c r="BT147" s="456">
        <f t="shared" si="359"/>
        <v>1.4924595589752427E-4</v>
      </c>
      <c r="BU147" s="456">
        <f t="shared" si="360"/>
        <v>6.626066392190931E-2</v>
      </c>
      <c r="BV147" s="456"/>
      <c r="BW147" s="538">
        <f t="shared" si="469"/>
        <v>4.7698418634359286E-4</v>
      </c>
      <c r="BX147" s="144">
        <f t="shared" si="362"/>
        <v>95.672762677826341</v>
      </c>
      <c r="BY147" s="150">
        <f t="shared" si="363"/>
        <v>0.55811938040862896</v>
      </c>
      <c r="BZ147" s="5">
        <f t="shared" si="364"/>
        <v>2.96</v>
      </c>
      <c r="CA147" s="150">
        <f t="shared" si="365"/>
        <v>0.84135860098533566</v>
      </c>
      <c r="CB147" s="5">
        <f t="shared" si="366"/>
        <v>84.13586009853357</v>
      </c>
      <c r="CC147">
        <f t="shared" si="367"/>
        <v>37</v>
      </c>
      <c r="CE147" s="59">
        <f t="shared" si="470"/>
        <v>-50</v>
      </c>
      <c r="CF147">
        <f t="shared" si="471"/>
        <v>-50</v>
      </c>
      <c r="CG147" s="150">
        <f t="shared" si="370"/>
        <v>0.57198633493024886</v>
      </c>
      <c r="CH147" s="150">
        <f t="shared" si="472"/>
        <v>0.31031053622728111</v>
      </c>
      <c r="CI147" s="147">
        <v>37</v>
      </c>
      <c r="CJ147" s="188">
        <f t="shared" si="438"/>
        <v>0.44400000000000001</v>
      </c>
      <c r="CK147" s="188">
        <f t="shared" si="372"/>
        <v>9.2499999999999999E-2</v>
      </c>
      <c r="CL147" s="188">
        <f t="shared" si="373"/>
        <v>2.2200000000000002</v>
      </c>
      <c r="CM147" s="188">
        <f t="shared" si="374"/>
        <v>0.74</v>
      </c>
      <c r="CN147" s="465">
        <f t="shared" si="375"/>
        <v>9</v>
      </c>
      <c r="CO147" s="379">
        <f t="shared" si="473"/>
        <v>5.7</v>
      </c>
      <c r="CP147" s="379">
        <f t="shared" si="474"/>
        <v>14.7</v>
      </c>
      <c r="CQ147" s="379"/>
      <c r="CR147" s="188">
        <f t="shared" si="378"/>
        <v>0.375</v>
      </c>
      <c r="CS147" s="149">
        <f t="shared" si="379"/>
        <v>6.328125</v>
      </c>
      <c r="CT147" s="149">
        <f t="shared" si="380"/>
        <v>2.8125</v>
      </c>
      <c r="CU147" s="188">
        <f t="shared" si="381"/>
        <v>1.265625</v>
      </c>
      <c r="CV147" s="188">
        <f t="shared" si="382"/>
        <v>0.791015625</v>
      </c>
      <c r="CW147" s="188">
        <f t="shared" si="383"/>
        <v>5</v>
      </c>
      <c r="CX147" s="188">
        <f t="shared" si="384"/>
        <v>1.7540740740740741</v>
      </c>
      <c r="CY147" s="188">
        <f t="shared" si="385"/>
        <v>2.3387654320987652</v>
      </c>
      <c r="CZ147" s="188">
        <f t="shared" si="386"/>
        <v>3.6927875243664716</v>
      </c>
      <c r="DA147" s="172">
        <f t="shared" si="387"/>
        <v>290.81632653061229</v>
      </c>
      <c r="DB147" s="379">
        <f t="shared" si="388"/>
        <v>165.7947807501379</v>
      </c>
      <c r="DD147" s="188">
        <f t="shared" si="389"/>
        <v>0.99999999999999978</v>
      </c>
      <c r="DE147" s="150">
        <f t="shared" si="390"/>
        <v>2.1052631578947363</v>
      </c>
      <c r="DF147" s="150">
        <f t="shared" si="391"/>
        <v>0.2295918367346938</v>
      </c>
      <c r="DG147" s="150"/>
      <c r="DH147" s="150">
        <f t="shared" si="392"/>
        <v>2.1052631578947367</v>
      </c>
      <c r="DI147" s="314">
        <f t="shared" si="393"/>
        <v>421.8</v>
      </c>
      <c r="DJ147" s="456">
        <f t="shared" si="394"/>
        <v>0.3061224489795919</v>
      </c>
      <c r="DL147" s="150">
        <f t="shared" si="395"/>
        <v>1.1872336794093272</v>
      </c>
      <c r="DM147" s="150">
        <f t="shared" si="396"/>
        <v>1.7540740740740741</v>
      </c>
      <c r="DN147" s="150">
        <f t="shared" si="397"/>
        <v>1.7585733882030179</v>
      </c>
      <c r="DP147" s="314">
        <f t="shared" si="398"/>
        <v>444</v>
      </c>
      <c r="DQ147" s="144">
        <f t="shared" si="399"/>
        <v>165.7947807501379</v>
      </c>
      <c r="DS147" s="144">
        <f t="shared" si="400"/>
        <v>444</v>
      </c>
      <c r="DT147" s="144">
        <f t="shared" si="401"/>
        <v>165.7947807501379</v>
      </c>
      <c r="DV147" s="5">
        <f t="shared" si="402"/>
        <v>6.0315529564652364</v>
      </c>
      <c r="DW147" s="5">
        <f t="shared" si="403"/>
        <v>2.3387654320987652</v>
      </c>
      <c r="DX147" s="5">
        <f t="shared" si="404"/>
        <v>3.6927875243664712</v>
      </c>
      <c r="DY147" s="150">
        <f t="shared" si="405"/>
        <v>0.38775510204081631</v>
      </c>
      <c r="EA147" s="5">
        <f t="shared" si="406"/>
        <v>20.768237037037036</v>
      </c>
      <c r="EB147" s="5">
        <f t="shared" si="407"/>
        <v>2.7041975308641972</v>
      </c>
      <c r="EC147" s="5">
        <f t="shared" si="408"/>
        <v>0.37953649555988733</v>
      </c>
      <c r="ED147" s="5"/>
      <c r="EE147" s="150">
        <f t="shared" si="409"/>
        <v>0.63061756411714764</v>
      </c>
      <c r="EF147" s="150">
        <f t="shared" si="410"/>
        <v>0.79240989410356855</v>
      </c>
      <c r="EG147" s="150">
        <f t="shared" si="411"/>
        <v>0.17712691750550358</v>
      </c>
      <c r="EH147" s="150"/>
      <c r="EI147" s="456">
        <f t="shared" si="412"/>
        <v>7.9535702434608974E-3</v>
      </c>
      <c r="EJ147" s="456">
        <f t="shared" si="413"/>
        <v>8.5500000000000007E-2</v>
      </c>
      <c r="EK147" s="456">
        <f t="shared" si="414"/>
        <v>2.0724347593767237E-2</v>
      </c>
      <c r="EL147" s="456">
        <f t="shared" si="415"/>
        <v>3.5826594172297297E-3</v>
      </c>
      <c r="EM147">
        <f t="shared" si="416"/>
        <v>4.0499999999999998E-3</v>
      </c>
      <c r="EN147" s="144">
        <f t="shared" si="417"/>
        <v>24.774347593767239</v>
      </c>
      <c r="EP147" s="144">
        <f t="shared" si="439"/>
        <v>121.81057725445785</v>
      </c>
      <c r="EQ147" s="150">
        <f t="shared" si="418"/>
        <v>0.31079999999999997</v>
      </c>
      <c r="ER147" s="150">
        <f t="shared" si="475"/>
        <v>4.1046874999999997E-2</v>
      </c>
      <c r="ES147" s="456"/>
      <c r="EU147" s="144">
        <f t="shared" si="420"/>
        <v>351.84687499999995</v>
      </c>
      <c r="EV147" s="456">
        <f t="shared" si="421"/>
        <v>1.1930355365191344E-2</v>
      </c>
      <c r="EW147" s="456">
        <f t="shared" si="422"/>
        <v>1.8837403208196862E-2</v>
      </c>
      <c r="EX147" s="456">
        <f t="shared" si="423"/>
        <v>1.5686972452500736E-4</v>
      </c>
      <c r="EY147" s="456">
        <f t="shared" si="424"/>
        <v>7.2113564882065481E-2</v>
      </c>
      <c r="EZ147" s="456"/>
      <c r="FA147" s="538">
        <f t="shared" si="425"/>
        <v>5.1011337868480733E-4</v>
      </c>
      <c r="FB147" s="144">
        <f t="shared" si="426"/>
        <v>103.54830655866351</v>
      </c>
      <c r="FC147" s="150">
        <f t="shared" si="427"/>
        <v>0.57720575881312119</v>
      </c>
      <c r="FD147" s="5">
        <f t="shared" si="428"/>
        <v>2.96</v>
      </c>
      <c r="FE147" s="150">
        <f t="shared" si="429"/>
        <v>0.83681872128162615</v>
      </c>
      <c r="FF147" s="5">
        <f t="shared" si="430"/>
        <v>83.68187212816261</v>
      </c>
      <c r="FG147">
        <f t="shared" si="431"/>
        <v>37</v>
      </c>
      <c r="FI147" s="59">
        <f t="shared" si="432"/>
        <v>-50</v>
      </c>
      <c r="FJ147">
        <f t="shared" si="433"/>
        <v>-50</v>
      </c>
    </row>
    <row r="148" spans="5:166">
      <c r="E148" s="147">
        <v>38</v>
      </c>
      <c r="F148" s="188">
        <f t="shared" si="476"/>
        <v>0.45599999999999996</v>
      </c>
      <c r="G148" s="188">
        <f t="shared" si="444"/>
        <v>9.5000000000000001E-2</v>
      </c>
      <c r="H148" s="188">
        <f t="shared" si="445"/>
        <v>2.2799999999999998</v>
      </c>
      <c r="I148" s="188">
        <f t="shared" si="446"/>
        <v>0.76</v>
      </c>
      <c r="J148" s="465">
        <f t="shared" si="447"/>
        <v>8.9373123115744342</v>
      </c>
      <c r="K148" s="379">
        <f t="shared" si="448"/>
        <v>5.7239166552845502</v>
      </c>
      <c r="L148" s="149">
        <f t="shared" si="449"/>
        <v>14.661228966858985</v>
      </c>
      <c r="M148" s="379"/>
      <c r="N148" s="188">
        <f t="shared" si="450"/>
        <v>0.39041179073208615</v>
      </c>
      <c r="O148" s="149">
        <f t="shared" si="451"/>
        <v>6.5423101948006792</v>
      </c>
      <c r="P148" s="149">
        <f t="shared" si="452"/>
        <v>2.9076934199114128</v>
      </c>
      <c r="Q148" s="188">
        <f t="shared" si="322"/>
        <v>1.3084620389601358</v>
      </c>
      <c r="R148" s="188">
        <f t="shared" si="453"/>
        <v>0.8177887743500849</v>
      </c>
      <c r="S148" s="188">
        <f t="shared" si="454"/>
        <v>5</v>
      </c>
      <c r="T148" s="188">
        <f t="shared" si="455"/>
        <v>1.7425037426473353</v>
      </c>
      <c r="U148" s="188">
        <f t="shared" si="326"/>
        <v>2.3396345772417595</v>
      </c>
      <c r="V148" s="188">
        <f t="shared" si="327"/>
        <v>3.6531008697450251</v>
      </c>
      <c r="W148" s="172">
        <f t="shared" si="328"/>
        <v>290.76934199114129</v>
      </c>
      <c r="X148" s="379">
        <f t="shared" si="435"/>
        <v>161.4795284830991</v>
      </c>
      <c r="Z148" s="188">
        <f t="shared" si="329"/>
        <v>1</v>
      </c>
      <c r="AA148" s="150">
        <f t="shared" si="330"/>
        <v>2.0964665844533421</v>
      </c>
      <c r="AB148" s="150">
        <f t="shared" si="456"/>
        <v>0.22859557847546763</v>
      </c>
      <c r="AC148" s="150"/>
      <c r="AD148" s="150">
        <f t="shared" si="332"/>
        <v>2.0964665844533421</v>
      </c>
      <c r="AE148" s="314">
        <f t="shared" si="457"/>
        <v>435.01766580162575</v>
      </c>
      <c r="AF148" s="456">
        <f t="shared" si="458"/>
        <v>0.3047941046339569</v>
      </c>
      <c r="AH148" s="150">
        <f t="shared" si="459"/>
        <v>1.2031704150364766</v>
      </c>
      <c r="AI148" s="150">
        <f t="shared" si="460"/>
        <v>1.7425037426473353</v>
      </c>
      <c r="AJ148" s="150">
        <f t="shared" si="461"/>
        <v>1.7500027723313596</v>
      </c>
      <c r="AL148" s="314">
        <f t="shared" si="462"/>
        <v>455.99999999999994</v>
      </c>
      <c r="AM148" s="144">
        <f t="shared" si="463"/>
        <v>161.4795284830991</v>
      </c>
      <c r="AO148" s="144">
        <f t="shared" si="340"/>
        <v>455.99999999999994</v>
      </c>
      <c r="AP148" s="144">
        <f t="shared" si="341"/>
        <v>161.4795284830991</v>
      </c>
      <c r="AR148" s="5">
        <f t="shared" si="443"/>
        <v>6.1927354469867852</v>
      </c>
      <c r="AS148" s="5">
        <f t="shared" si="440"/>
        <v>2.3396345772417595</v>
      </c>
      <c r="AT148" s="5">
        <f t="shared" si="441"/>
        <v>3.8531008697450257</v>
      </c>
      <c r="AU148" s="150">
        <f t="shared" si="442"/>
        <v>0.37780308835575421</v>
      </c>
      <c r="AW148" s="5">
        <f t="shared" si="342"/>
        <v>21.337467344444843</v>
      </c>
      <c r="AX148" s="5">
        <f t="shared" si="343"/>
        <v>2.7783160604745891</v>
      </c>
      <c r="AY148" s="5">
        <f t="shared" si="344"/>
        <v>0.40956897315955315</v>
      </c>
      <c r="AZ148" s="5"/>
      <c r="BA148" s="150">
        <f t="shared" si="345"/>
        <v>0.6183663440017958</v>
      </c>
      <c r="BB148" s="150">
        <f t="shared" si="346"/>
        <v>0.79355497330210834</v>
      </c>
      <c r="BC148" s="150">
        <f t="shared" si="347"/>
        <v>0.17738287638517714</v>
      </c>
      <c r="BD148" s="150"/>
      <c r="BE148" s="456">
        <f t="shared" si="348"/>
        <v>7.6475387078829447E-3</v>
      </c>
      <c r="BF148" s="456">
        <f t="shared" si="464"/>
        <v>7.7350449264080551E-2</v>
      </c>
      <c r="BG148" s="456">
        <f t="shared" si="465"/>
        <v>3.6079824449480907E-2</v>
      </c>
      <c r="BH148" s="456">
        <f t="shared" si="351"/>
        <v>3.4710288637189329E-3</v>
      </c>
      <c r="BI148">
        <f t="shared" si="352"/>
        <v>4.021790540208495E-3</v>
      </c>
      <c r="BJ148" s="144">
        <f t="shared" si="436"/>
        <v>40.101614989689402</v>
      </c>
      <c r="BK148">
        <f t="shared" si="466"/>
        <v>9.0698656752423099E-2</v>
      </c>
      <c r="BL148" s="144">
        <f t="shared" si="437"/>
        <v>128.57063182537181</v>
      </c>
      <c r="BM148" s="150">
        <f t="shared" si="467"/>
        <v>0.28328999999999993</v>
      </c>
      <c r="BN148" s="150">
        <f t="shared" si="468"/>
        <v>5.9018749999999988E-2</v>
      </c>
      <c r="BO148" s="456"/>
      <c r="BQ148" s="144">
        <f t="shared" si="356"/>
        <v>342.30874999999992</v>
      </c>
      <c r="BR148" s="456">
        <f t="shared" si="357"/>
        <v>1.1471308061824417E-2</v>
      </c>
      <c r="BS148" s="456">
        <f t="shared" si="358"/>
        <v>1.8891884869575295E-2</v>
      </c>
      <c r="BT148" s="456">
        <f t="shared" si="359"/>
        <v>1.5732342417339518E-4</v>
      </c>
      <c r="BU148" s="456">
        <f t="shared" si="360"/>
        <v>6.6404572447008939E-2</v>
      </c>
      <c r="BV148" s="456"/>
      <c r="BW148" s="538">
        <f t="shared" si="469"/>
        <v>4.9030340778037933E-4</v>
      </c>
      <c r="BX148" s="144">
        <f t="shared" si="362"/>
        <v>97.415392210362427</v>
      </c>
      <c r="BY148" s="150">
        <f t="shared" si="363"/>
        <v>0.56829477403573414</v>
      </c>
      <c r="BZ148" s="5">
        <f t="shared" si="364"/>
        <v>3.04</v>
      </c>
      <c r="CA148" s="150">
        <f t="shared" si="365"/>
        <v>0.84250322946866152</v>
      </c>
      <c r="CB148" s="5">
        <f t="shared" si="366"/>
        <v>84.250322946866149</v>
      </c>
      <c r="CC148">
        <f t="shared" si="367"/>
        <v>38</v>
      </c>
      <c r="CE148" s="59">
        <f t="shared" si="470"/>
        <v>-50</v>
      </c>
      <c r="CF148">
        <f t="shared" si="471"/>
        <v>-50</v>
      </c>
      <c r="CG148" s="150">
        <f t="shared" si="370"/>
        <v>0.57198633493024875</v>
      </c>
      <c r="CH148" s="150">
        <f t="shared" si="472"/>
        <v>0.31031053622728111</v>
      </c>
      <c r="CI148" s="147">
        <v>38</v>
      </c>
      <c r="CJ148" s="188">
        <f t="shared" si="438"/>
        <v>0.45599999999999996</v>
      </c>
      <c r="CK148" s="188">
        <f t="shared" si="372"/>
        <v>9.5000000000000001E-2</v>
      </c>
      <c r="CL148" s="188">
        <f t="shared" si="373"/>
        <v>2.2799999999999998</v>
      </c>
      <c r="CM148" s="188">
        <f t="shared" si="374"/>
        <v>0.76</v>
      </c>
      <c r="CN148" s="465">
        <f t="shared" si="375"/>
        <v>9</v>
      </c>
      <c r="CO148" s="379">
        <f t="shared" si="473"/>
        <v>5.7</v>
      </c>
      <c r="CP148" s="379">
        <f t="shared" si="474"/>
        <v>14.7</v>
      </c>
      <c r="CQ148" s="379"/>
      <c r="CR148" s="188">
        <f t="shared" si="378"/>
        <v>0.375</v>
      </c>
      <c r="CS148" s="149">
        <f t="shared" si="379"/>
        <v>6.328125</v>
      </c>
      <c r="CT148" s="149">
        <f t="shared" si="380"/>
        <v>2.8125</v>
      </c>
      <c r="CU148" s="188">
        <f t="shared" si="381"/>
        <v>1.265625</v>
      </c>
      <c r="CV148" s="188">
        <f t="shared" si="382"/>
        <v>0.791015625</v>
      </c>
      <c r="CW148" s="188">
        <f t="shared" si="383"/>
        <v>5</v>
      </c>
      <c r="CX148" s="188">
        <f t="shared" si="384"/>
        <v>1.8014814814814815</v>
      </c>
      <c r="CY148" s="188">
        <f t="shared" si="385"/>
        <v>2.4019753086419753</v>
      </c>
      <c r="CZ148" s="188">
        <f t="shared" si="386"/>
        <v>3.7925925925925923</v>
      </c>
      <c r="DA148" s="172">
        <f t="shared" si="387"/>
        <v>290.81632653061229</v>
      </c>
      <c r="DB148" s="379">
        <f t="shared" si="388"/>
        <v>161.43176020408166</v>
      </c>
      <c r="DD148" s="188">
        <f t="shared" si="389"/>
        <v>0.99999999999999978</v>
      </c>
      <c r="DE148" s="150">
        <f t="shared" si="390"/>
        <v>2.1052631578947363</v>
      </c>
      <c r="DF148" s="150">
        <f t="shared" si="391"/>
        <v>0.2295918367346938</v>
      </c>
      <c r="DG148" s="150"/>
      <c r="DH148" s="150">
        <f t="shared" si="392"/>
        <v>2.1052631578947367</v>
      </c>
      <c r="DI148" s="314">
        <f t="shared" si="393"/>
        <v>433.2</v>
      </c>
      <c r="DJ148" s="456">
        <f t="shared" si="394"/>
        <v>0.3061224489795919</v>
      </c>
      <c r="DL148" s="150">
        <f t="shared" si="395"/>
        <v>1.2031704150364766</v>
      </c>
      <c r="DM148" s="150">
        <f t="shared" si="396"/>
        <v>1.8014814814814815</v>
      </c>
      <c r="DN148" s="150">
        <f t="shared" si="397"/>
        <v>1.7936899862825788</v>
      </c>
      <c r="DP148" s="314">
        <f t="shared" si="398"/>
        <v>455.99999999999994</v>
      </c>
      <c r="DQ148" s="144">
        <f t="shared" si="399"/>
        <v>161.43176020408166</v>
      </c>
      <c r="DS148" s="144">
        <f t="shared" si="400"/>
        <v>455.99999999999994</v>
      </c>
      <c r="DT148" s="144">
        <f t="shared" si="401"/>
        <v>161.43176020408166</v>
      </c>
      <c r="DV148" s="5">
        <f t="shared" si="402"/>
        <v>6.1945679012345671</v>
      </c>
      <c r="DW148" s="5">
        <f t="shared" si="403"/>
        <v>2.4019753086419753</v>
      </c>
      <c r="DX148" s="5">
        <f t="shared" si="404"/>
        <v>3.7925925925925918</v>
      </c>
      <c r="DY148" s="150">
        <f t="shared" si="405"/>
        <v>0.38775510204081637</v>
      </c>
      <c r="EA148" s="5">
        <f t="shared" si="406"/>
        <v>21.906014814814814</v>
      </c>
      <c r="EB148" s="5">
        <f t="shared" si="407"/>
        <v>2.8523456790123456</v>
      </c>
      <c r="EC148" s="5">
        <f t="shared" si="408"/>
        <v>0.40032921810699568</v>
      </c>
      <c r="ED148" s="5"/>
      <c r="EE148" s="150">
        <f t="shared" si="409"/>
        <v>0.64766128206625972</v>
      </c>
      <c r="EF148" s="150">
        <f t="shared" si="410"/>
        <v>0.81382637772798927</v>
      </c>
      <c r="EG148" s="150">
        <f t="shared" si="411"/>
        <v>0.18191413149213878</v>
      </c>
      <c r="EH148" s="150"/>
      <c r="EI148" s="456">
        <f t="shared" si="412"/>
        <v>8.3893027257542253E-3</v>
      </c>
      <c r="EJ148" s="456">
        <f t="shared" si="413"/>
        <v>8.5500000000000007E-2</v>
      </c>
      <c r="EK148" s="456">
        <f t="shared" si="414"/>
        <v>2.0178970025510206E-2</v>
      </c>
      <c r="EL148" s="456">
        <f t="shared" si="415"/>
        <v>3.4883789062500003E-3</v>
      </c>
      <c r="EM148">
        <f t="shared" si="416"/>
        <v>4.0499999999999998E-3</v>
      </c>
      <c r="EN148" s="144">
        <f t="shared" si="417"/>
        <v>24.228970025510208</v>
      </c>
      <c r="EP148" s="144">
        <f t="shared" si="439"/>
        <v>121.60665165751445</v>
      </c>
      <c r="EQ148" s="150">
        <f t="shared" si="418"/>
        <v>0.31919999999999993</v>
      </c>
      <c r="ER148" s="150">
        <f t="shared" si="475"/>
        <v>4.2156249999999999E-2</v>
      </c>
      <c r="ES148" s="456"/>
      <c r="EU148" s="144">
        <f t="shared" si="420"/>
        <v>361.35624999999993</v>
      </c>
      <c r="EV148" s="456">
        <f t="shared" si="421"/>
        <v>1.2583954088631338E-2</v>
      </c>
      <c r="EW148" s="456">
        <f t="shared" si="422"/>
        <v>1.9869401192575797E-2</v>
      </c>
      <c r="EX148" s="456">
        <f t="shared" si="423"/>
        <v>1.654637561826958E-4</v>
      </c>
      <c r="EY148" s="456">
        <f t="shared" si="424"/>
        <v>7.2113564882065453E-2</v>
      </c>
      <c r="EZ148" s="456"/>
      <c r="FA148" s="538">
        <f t="shared" si="425"/>
        <v>5.2390022675736971E-4</v>
      </c>
      <c r="FB148" s="144">
        <f t="shared" si="426"/>
        <v>105.25628414621266</v>
      </c>
      <c r="FC148" s="150">
        <f t="shared" si="427"/>
        <v>0.58821918580372701</v>
      </c>
      <c r="FD148" s="5">
        <f t="shared" si="428"/>
        <v>3.04</v>
      </c>
      <c r="FE148" s="150">
        <f t="shared" si="429"/>
        <v>0.83787661227709864</v>
      </c>
      <c r="FF148" s="5">
        <f t="shared" si="430"/>
        <v>83.787661227709862</v>
      </c>
      <c r="FG148">
        <f t="shared" si="431"/>
        <v>38</v>
      </c>
      <c r="FI148" s="59">
        <f t="shared" si="432"/>
        <v>-50</v>
      </c>
      <c r="FJ148">
        <f t="shared" si="433"/>
        <v>-50</v>
      </c>
    </row>
    <row r="149" spans="5:166">
      <c r="E149" s="147">
        <v>39</v>
      </c>
      <c r="F149" s="188">
        <f t="shared" si="476"/>
        <v>0.46799999999999997</v>
      </c>
      <c r="G149" s="188">
        <f t="shared" si="444"/>
        <v>9.7500000000000003E-2</v>
      </c>
      <c r="H149" s="188">
        <f t="shared" si="445"/>
        <v>2.34</v>
      </c>
      <c r="I149" s="188">
        <f t="shared" si="446"/>
        <v>0.78</v>
      </c>
      <c r="J149" s="465">
        <f t="shared" si="447"/>
        <v>8.9356626355632347</v>
      </c>
      <c r="K149" s="379">
        <f t="shared" si="448"/>
        <v>5.7245460409499334</v>
      </c>
      <c r="L149" s="149">
        <f t="shared" si="449"/>
        <v>14.660208676513168</v>
      </c>
      <c r="M149" s="379"/>
      <c r="N149" s="188">
        <f t="shared" si="450"/>
        <v>0.39048189335265848</v>
      </c>
      <c r="O149" s="149">
        <f t="shared" si="451"/>
        <v>6.5422771205537593</v>
      </c>
      <c r="P149" s="149">
        <f t="shared" si="452"/>
        <v>2.907678720246115</v>
      </c>
      <c r="Q149" s="188">
        <f t="shared" si="322"/>
        <v>1.3084554241107518</v>
      </c>
      <c r="R149" s="188">
        <f t="shared" si="453"/>
        <v>0.81778464006921991</v>
      </c>
      <c r="S149" s="188">
        <f t="shared" si="454"/>
        <v>5</v>
      </c>
      <c r="T149" s="188">
        <f t="shared" si="455"/>
        <v>1.7883681452811457</v>
      </c>
      <c r="U149" s="188">
        <f t="shared" si="326"/>
        <v>2.4016593529351673</v>
      </c>
      <c r="V149" s="188">
        <f t="shared" si="327"/>
        <v>3.7488418452500731</v>
      </c>
      <c r="W149" s="172">
        <f t="shared" si="328"/>
        <v>290.76787202461151</v>
      </c>
      <c r="X149" s="379">
        <f t="shared" si="435"/>
        <v>157.46788620176409</v>
      </c>
      <c r="Z149" s="188">
        <f t="shared" si="329"/>
        <v>1</v>
      </c>
      <c r="AA149" s="150">
        <f t="shared" si="330"/>
        <v>2.0962360882695799</v>
      </c>
      <c r="AB149" s="150">
        <f t="shared" si="456"/>
        <v>0.22856928999275303</v>
      </c>
      <c r="AC149" s="150"/>
      <c r="AD149" s="150">
        <f t="shared" si="332"/>
        <v>2.0962360882695799</v>
      </c>
      <c r="AE149" s="314">
        <f t="shared" si="457"/>
        <v>446.51459119409486</v>
      </c>
      <c r="AF149" s="456">
        <f t="shared" si="458"/>
        <v>0.30475905332367065</v>
      </c>
      <c r="AH149" s="150">
        <f t="shared" si="459"/>
        <v>1.218898800440088</v>
      </c>
      <c r="AI149" s="150">
        <f t="shared" si="460"/>
        <v>1.7883681452811457</v>
      </c>
      <c r="AJ149" s="150">
        <f t="shared" si="461"/>
        <v>1.7839764039119599</v>
      </c>
      <c r="AL149" s="314">
        <f t="shared" si="462"/>
        <v>468</v>
      </c>
      <c r="AM149" s="144">
        <f t="shared" si="463"/>
        <v>157.46788620176409</v>
      </c>
      <c r="AO149" s="144">
        <f t="shared" si="340"/>
        <v>468</v>
      </c>
      <c r="AP149" s="144">
        <f t="shared" si="341"/>
        <v>157.46788620176409</v>
      </c>
      <c r="AR149" s="5">
        <f t="shared" si="443"/>
        <v>6.3505011981852402</v>
      </c>
      <c r="AS149" s="5">
        <f t="shared" si="440"/>
        <v>2.4016593529351673</v>
      </c>
      <c r="AT149" s="5">
        <f t="shared" si="441"/>
        <v>3.9488418452500729</v>
      </c>
      <c r="AU149" s="150">
        <f t="shared" si="442"/>
        <v>0.37818422168339733</v>
      </c>
      <c r="AW149" s="5">
        <f t="shared" si="342"/>
        <v>22.479531543473165</v>
      </c>
      <c r="AX149" s="5">
        <f t="shared" si="343"/>
        <v>2.9270223363897352</v>
      </c>
      <c r="AY149" s="5">
        <f t="shared" si="344"/>
        <v>0.4308713249530754</v>
      </c>
      <c r="AZ149" s="5"/>
      <c r="BA149" s="150">
        <f t="shared" si="345"/>
        <v>0.6349623885111132</v>
      </c>
      <c r="BB149" s="150">
        <f t="shared" si="346"/>
        <v>0.81419263048026325</v>
      </c>
      <c r="BC149" s="150">
        <f t="shared" si="347"/>
        <v>0.18199599975441177</v>
      </c>
      <c r="BD149" s="150"/>
      <c r="BE149" s="456">
        <f t="shared" si="348"/>
        <v>8.063544696474757E-3</v>
      </c>
      <c r="BF149" s="456">
        <f t="shared" si="464"/>
        <v>7.7408802221023684E-2</v>
      </c>
      <c r="BG149" s="456">
        <f t="shared" si="465"/>
        <v>3.5176997675855672E-2</v>
      </c>
      <c r="BH149" s="456">
        <f t="shared" si="351"/>
        <v>3.3843268701426172E-3</v>
      </c>
      <c r="BI149">
        <f t="shared" si="352"/>
        <v>4.0210481860034559E-3</v>
      </c>
      <c r="BJ149" s="144">
        <f t="shared" si="436"/>
        <v>39.198045861859129</v>
      </c>
      <c r="BK149">
        <f t="shared" si="466"/>
        <v>9.1208577206396982E-2</v>
      </c>
      <c r="BL149" s="144">
        <f t="shared" si="437"/>
        <v>128.05471964950019</v>
      </c>
      <c r="BM149" s="150">
        <f t="shared" si="467"/>
        <v>0.29074499999999992</v>
      </c>
      <c r="BN149" s="150">
        <f t="shared" si="468"/>
        <v>6.057187499999999E-2</v>
      </c>
      <c r="BO149" s="456"/>
      <c r="BQ149" s="144">
        <f t="shared" si="356"/>
        <v>351.31687499999992</v>
      </c>
      <c r="BR149" s="456">
        <f t="shared" si="357"/>
        <v>1.2095317044712135E-2</v>
      </c>
      <c r="BS149" s="456">
        <f t="shared" si="358"/>
        <v>1.9887289185851111E-2</v>
      </c>
      <c r="BT149" s="456">
        <f t="shared" si="359"/>
        <v>1.6561271963303926E-4</v>
      </c>
      <c r="BU149" s="456">
        <f t="shared" si="360"/>
        <v>6.6541457983748761E-2</v>
      </c>
      <c r="BV149" s="456"/>
      <c r="BW149" s="538">
        <f t="shared" si="469"/>
        <v>5.0362333983501649E-4</v>
      </c>
      <c r="BX149" s="144">
        <f t="shared" si="362"/>
        <v>99.193300273780054</v>
      </c>
      <c r="BY149" s="150">
        <f t="shared" si="363"/>
        <v>0.57856489492328012</v>
      </c>
      <c r="BZ149" s="5">
        <f t="shared" si="364"/>
        <v>3.12</v>
      </c>
      <c r="CA149" s="150">
        <f t="shared" si="365"/>
        <v>0.84357043573375468</v>
      </c>
      <c r="CB149" s="5">
        <f t="shared" si="366"/>
        <v>84.357043573375464</v>
      </c>
      <c r="CC149">
        <f t="shared" si="367"/>
        <v>39</v>
      </c>
      <c r="CE149" s="59">
        <f t="shared" si="470"/>
        <v>-50</v>
      </c>
      <c r="CF149">
        <f t="shared" si="471"/>
        <v>-50</v>
      </c>
      <c r="CG149" s="150">
        <f t="shared" si="370"/>
        <v>0.57198633493024875</v>
      </c>
      <c r="CH149" s="150">
        <f t="shared" si="472"/>
        <v>0.31031053622728105</v>
      </c>
      <c r="CI149" s="147">
        <v>39</v>
      </c>
      <c r="CJ149" s="188">
        <f t="shared" si="438"/>
        <v>0.46799999999999997</v>
      </c>
      <c r="CK149" s="188">
        <f t="shared" si="372"/>
        <v>9.7500000000000003E-2</v>
      </c>
      <c r="CL149" s="188">
        <f t="shared" si="373"/>
        <v>2.34</v>
      </c>
      <c r="CM149" s="188">
        <f t="shared" si="374"/>
        <v>0.78</v>
      </c>
      <c r="CN149" s="465">
        <f t="shared" si="375"/>
        <v>9</v>
      </c>
      <c r="CO149" s="379">
        <f t="shared" si="473"/>
        <v>5.7</v>
      </c>
      <c r="CP149" s="379">
        <f t="shared" si="474"/>
        <v>14.7</v>
      </c>
      <c r="CQ149" s="379"/>
      <c r="CR149" s="188">
        <f t="shared" si="378"/>
        <v>0.375</v>
      </c>
      <c r="CS149" s="149">
        <f t="shared" si="379"/>
        <v>6.328125</v>
      </c>
      <c r="CT149" s="149">
        <f t="shared" si="380"/>
        <v>2.8125</v>
      </c>
      <c r="CU149" s="188">
        <f t="shared" si="381"/>
        <v>1.265625</v>
      </c>
      <c r="CV149" s="188">
        <f t="shared" si="382"/>
        <v>0.791015625</v>
      </c>
      <c r="CW149" s="188">
        <f t="shared" si="383"/>
        <v>5</v>
      </c>
      <c r="CX149" s="188">
        <f t="shared" si="384"/>
        <v>1.848888888888889</v>
      </c>
      <c r="CY149" s="188">
        <f t="shared" si="385"/>
        <v>2.4651851851851858</v>
      </c>
      <c r="CZ149" s="188">
        <f t="shared" si="386"/>
        <v>3.8923976608187139</v>
      </c>
      <c r="DA149" s="172">
        <f t="shared" si="387"/>
        <v>290.81632653061229</v>
      </c>
      <c r="DB149" s="379">
        <f t="shared" si="388"/>
        <v>157.29248430141286</v>
      </c>
      <c r="DD149" s="188">
        <f t="shared" si="389"/>
        <v>0.99999999999999978</v>
      </c>
      <c r="DE149" s="150">
        <f t="shared" si="390"/>
        <v>2.1052631578947363</v>
      </c>
      <c r="DF149" s="150">
        <f t="shared" si="391"/>
        <v>0.2295918367346938</v>
      </c>
      <c r="DG149" s="150"/>
      <c r="DH149" s="150">
        <f t="shared" si="392"/>
        <v>2.1052631578947367</v>
      </c>
      <c r="DI149" s="314">
        <f t="shared" si="393"/>
        <v>444.60000000000008</v>
      </c>
      <c r="DJ149" s="456">
        <f t="shared" si="394"/>
        <v>0.3061224489795919</v>
      </c>
      <c r="DL149" s="150">
        <f t="shared" si="395"/>
        <v>1.218898800440088</v>
      </c>
      <c r="DM149" s="150">
        <f t="shared" si="396"/>
        <v>1.848888888888889</v>
      </c>
      <c r="DN149" s="150">
        <f t="shared" si="397"/>
        <v>1.8288065843621399</v>
      </c>
      <c r="DP149" s="314">
        <f t="shared" si="398"/>
        <v>468</v>
      </c>
      <c r="DQ149" s="144">
        <f t="shared" si="399"/>
        <v>157.29248430141286</v>
      </c>
      <c r="DS149" s="144">
        <f t="shared" si="400"/>
        <v>468</v>
      </c>
      <c r="DT149" s="144">
        <f t="shared" si="401"/>
        <v>157.29248430141286</v>
      </c>
      <c r="DV149" s="5">
        <f t="shared" si="402"/>
        <v>6.3575828460038997</v>
      </c>
      <c r="DW149" s="5">
        <f t="shared" si="403"/>
        <v>2.4651851851851858</v>
      </c>
      <c r="DX149" s="5">
        <f t="shared" si="404"/>
        <v>3.8923976608187139</v>
      </c>
      <c r="DY149" s="150">
        <f t="shared" si="405"/>
        <v>0.38775510204081637</v>
      </c>
      <c r="EA149" s="5">
        <f t="shared" si="406"/>
        <v>23.074133333333336</v>
      </c>
      <c r="EB149" s="5">
        <f t="shared" si="407"/>
        <v>3.0044444444444456</v>
      </c>
      <c r="EC149" s="5">
        <f t="shared" si="408"/>
        <v>0.42167641325536059</v>
      </c>
      <c r="ED149" s="5"/>
      <c r="EE149" s="150">
        <f t="shared" si="409"/>
        <v>0.66470500001537192</v>
      </c>
      <c r="EF149" s="150">
        <f t="shared" si="410"/>
        <v>0.8352428613524101</v>
      </c>
      <c r="EG149" s="150">
        <f t="shared" si="411"/>
        <v>0.18670134547877404</v>
      </c>
      <c r="EH149" s="150"/>
      <c r="EI149" s="456">
        <f t="shared" si="412"/>
        <v>8.8366547409087122E-3</v>
      </c>
      <c r="EJ149" s="456">
        <f t="shared" si="413"/>
        <v>8.5500000000000007E-2</v>
      </c>
      <c r="EK149" s="456">
        <f t="shared" si="414"/>
        <v>1.9661560537676606E-2</v>
      </c>
      <c r="EL149" s="456">
        <f t="shared" si="415"/>
        <v>3.3989332932692299E-3</v>
      </c>
      <c r="EM149">
        <f t="shared" si="416"/>
        <v>4.0499999999999998E-3</v>
      </c>
      <c r="EN149" s="144">
        <f t="shared" si="417"/>
        <v>23.711560537676604</v>
      </c>
      <c r="EP149" s="144">
        <f t="shared" si="439"/>
        <v>121.44714857185456</v>
      </c>
      <c r="EQ149" s="150">
        <f t="shared" si="418"/>
        <v>0.32759999999999995</v>
      </c>
      <c r="ER149" s="150">
        <f t="shared" si="475"/>
        <v>4.3265625000000002E-2</v>
      </c>
      <c r="ES149" s="456"/>
      <c r="EU149" s="144">
        <f t="shared" si="420"/>
        <v>370.86562499999997</v>
      </c>
      <c r="EV149" s="456">
        <f t="shared" si="421"/>
        <v>1.3254982111363067E-2</v>
      </c>
      <c r="EW149" s="456">
        <f t="shared" si="422"/>
        <v>2.0928919123204843E-2</v>
      </c>
      <c r="EX149" s="456">
        <f t="shared" si="423"/>
        <v>1.7428696201792271E-4</v>
      </c>
      <c r="EY149" s="456">
        <f t="shared" si="424"/>
        <v>7.2113564882065592E-2</v>
      </c>
      <c r="EZ149" s="456"/>
      <c r="FA149" s="538">
        <f t="shared" si="425"/>
        <v>5.3768707482993209E-4</v>
      </c>
      <c r="FB149" s="144">
        <f t="shared" si="426"/>
        <v>107.00944015348135</v>
      </c>
      <c r="FC149" s="150">
        <f t="shared" si="427"/>
        <v>0.59932221372533589</v>
      </c>
      <c r="FD149" s="5">
        <f t="shared" si="428"/>
        <v>3.12</v>
      </c>
      <c r="FE149" s="150">
        <f t="shared" si="429"/>
        <v>0.83886251868319717</v>
      </c>
      <c r="FF149" s="5">
        <f t="shared" si="430"/>
        <v>83.886251868319718</v>
      </c>
      <c r="FG149">
        <f t="shared" si="431"/>
        <v>39</v>
      </c>
      <c r="FI149" s="59">
        <f t="shared" si="432"/>
        <v>-50</v>
      </c>
      <c r="FJ149">
        <f t="shared" si="433"/>
        <v>-50</v>
      </c>
    </row>
    <row r="150" spans="5:166">
      <c r="E150" s="147">
        <v>40</v>
      </c>
      <c r="F150" s="188">
        <f t="shared" si="476"/>
        <v>0.48</v>
      </c>
      <c r="G150" s="188">
        <f t="shared" si="444"/>
        <v>0.1</v>
      </c>
      <c r="H150" s="188">
        <f t="shared" si="445"/>
        <v>2.4</v>
      </c>
      <c r="I150" s="188">
        <f t="shared" si="446"/>
        <v>0.8</v>
      </c>
      <c r="J150" s="465">
        <f t="shared" si="447"/>
        <v>8.9340129595520352</v>
      </c>
      <c r="K150" s="379">
        <f t="shared" si="448"/>
        <v>5.7251754266153165</v>
      </c>
      <c r="L150" s="149">
        <f t="shared" si="449"/>
        <v>14.659188386167351</v>
      </c>
      <c r="M150" s="379"/>
      <c r="N150" s="188">
        <f t="shared" si="450"/>
        <v>0.39055200573161919</v>
      </c>
      <c r="O150" s="149">
        <f t="shared" si="451"/>
        <v>6.5422437760974876</v>
      </c>
      <c r="P150" s="149">
        <f t="shared" si="452"/>
        <v>2.9076639004877718</v>
      </c>
      <c r="Q150" s="188">
        <f t="shared" si="322"/>
        <v>1.3084487552194974</v>
      </c>
      <c r="R150" s="188">
        <f t="shared" si="453"/>
        <v>0.81778047201218595</v>
      </c>
      <c r="S150" s="188">
        <f t="shared" si="454"/>
        <v>5</v>
      </c>
      <c r="T150" s="188">
        <f t="shared" si="455"/>
        <v>1.8342330874069199</v>
      </c>
      <c r="U150" s="188">
        <f t="shared" si="326"/>
        <v>2.463707759159854</v>
      </c>
      <c r="V150" s="188">
        <f t="shared" si="327"/>
        <v>3.8445629013494989</v>
      </c>
      <c r="W150" s="172">
        <f t="shared" si="328"/>
        <v>290.76639004877717</v>
      </c>
      <c r="X150" s="379">
        <f t="shared" si="435"/>
        <v>153.65064733213441</v>
      </c>
      <c r="Z150" s="188">
        <f t="shared" si="329"/>
        <v>1</v>
      </c>
      <c r="AA150" s="150">
        <f t="shared" si="330"/>
        <v>2.0960056427640885</v>
      </c>
      <c r="AB150" s="150">
        <f t="shared" si="456"/>
        <v>0.2285429978506428</v>
      </c>
      <c r="AC150" s="150"/>
      <c r="AD150" s="150">
        <f t="shared" si="332"/>
        <v>2.0960056427640885</v>
      </c>
      <c r="AE150" s="314">
        <f t="shared" si="457"/>
        <v>458.01403412922531</v>
      </c>
      <c r="AF150" s="456">
        <f t="shared" si="458"/>
        <v>0.30472399713419041</v>
      </c>
      <c r="AH150" s="150">
        <f t="shared" si="459"/>
        <v>1.2344267996967353</v>
      </c>
      <c r="AI150" s="150">
        <f t="shared" si="460"/>
        <v>1.8342330874069199</v>
      </c>
      <c r="AJ150" s="150">
        <f t="shared" si="461"/>
        <v>1.817950435116237</v>
      </c>
      <c r="AL150" s="314">
        <f t="shared" si="462"/>
        <v>480</v>
      </c>
      <c r="AM150" s="144">
        <f t="shared" si="463"/>
        <v>153.65064733213441</v>
      </c>
      <c r="AO150" s="144">
        <f t="shared" si="340"/>
        <v>480</v>
      </c>
      <c r="AP150" s="144">
        <f t="shared" si="341"/>
        <v>153.65064733213441</v>
      </c>
      <c r="AR150" s="5">
        <f t="shared" si="443"/>
        <v>6.5082706605093517</v>
      </c>
      <c r="AS150" s="5">
        <f t="shared" si="440"/>
        <v>2.463707759159854</v>
      </c>
      <c r="AT150" s="5">
        <f t="shared" si="441"/>
        <v>4.0445629013494973</v>
      </c>
      <c r="AU150" s="150">
        <f t="shared" si="442"/>
        <v>0.37855029203211393</v>
      </c>
      <c r="AW150" s="5">
        <f t="shared" si="342"/>
        <v>23.651594487934595</v>
      </c>
      <c r="AX150" s="5">
        <f t="shared" si="343"/>
        <v>3.0796346989498176</v>
      </c>
      <c r="AY150" s="5">
        <f t="shared" si="344"/>
        <v>0.4527151370454579</v>
      </c>
      <c r="AZ150" s="5"/>
      <c r="BA150" s="150">
        <f t="shared" si="345"/>
        <v>0.65156191154669862</v>
      </c>
      <c r="BB150" s="150">
        <f t="shared" si="346"/>
        <v>0.83482777569251931</v>
      </c>
      <c r="BC150" s="150">
        <f t="shared" si="347"/>
        <v>0.18660856162538667</v>
      </c>
      <c r="BD150" s="150"/>
      <c r="BE150" s="456">
        <f t="shared" si="348"/>
        <v>8.4906584915677586E-3</v>
      </c>
      <c r="BF150" s="456">
        <f t="shared" si="464"/>
        <v>7.7464035114941321E-2</v>
      </c>
      <c r="BG150" s="456">
        <f t="shared" si="465"/>
        <v>3.4317921862721208E-2</v>
      </c>
      <c r="BH150" s="456">
        <f t="shared" si="351"/>
        <v>3.3018264812656982E-3</v>
      </c>
      <c r="BI150">
        <f t="shared" si="352"/>
        <v>4.0203058317984158E-3</v>
      </c>
      <c r="BJ150" s="144">
        <f t="shared" si="436"/>
        <v>38.338227694519624</v>
      </c>
      <c r="BK150">
        <f t="shared" si="466"/>
        <v>9.1734060381207086E-2</v>
      </c>
      <c r="BL150" s="144">
        <f t="shared" si="437"/>
        <v>127.59474778229441</v>
      </c>
      <c r="BM150" s="150">
        <f t="shared" si="467"/>
        <v>0.29819999999999997</v>
      </c>
      <c r="BN150" s="150">
        <f t="shared" si="468"/>
        <v>6.2124999999999993E-2</v>
      </c>
      <c r="BO150" s="456"/>
      <c r="BQ150" s="144">
        <f t="shared" si="356"/>
        <v>360.32499999999993</v>
      </c>
      <c r="BR150" s="456">
        <f t="shared" si="357"/>
        <v>1.2735987737351637E-2</v>
      </c>
      <c r="BS150" s="456">
        <f t="shared" si="358"/>
        <v>2.090812245203158E-2</v>
      </c>
      <c r="BT150" s="456">
        <f t="shared" si="359"/>
        <v>1.7411377635947868E-4</v>
      </c>
      <c r="BU150" s="456">
        <f t="shared" si="360"/>
        <v>6.6671818125786542E-2</v>
      </c>
      <c r="BV150" s="456"/>
      <c r="BW150" s="538">
        <f t="shared" si="469"/>
        <v>5.1694393095123902E-4</v>
      </c>
      <c r="BX150" s="144">
        <f t="shared" si="362"/>
        <v>101.00698602248048</v>
      </c>
      <c r="BY150" s="150">
        <f t="shared" si="363"/>
        <v>0.58892673380477489</v>
      </c>
      <c r="BZ150" s="5">
        <f t="shared" si="364"/>
        <v>3.2</v>
      </c>
      <c r="CA150" s="150">
        <f t="shared" si="365"/>
        <v>0.84456634419705845</v>
      </c>
      <c r="CB150" s="5">
        <f t="shared" si="366"/>
        <v>84.45663441970585</v>
      </c>
      <c r="CC150">
        <f t="shared" si="367"/>
        <v>40</v>
      </c>
      <c r="CE150" s="59">
        <f t="shared" si="470"/>
        <v>-50</v>
      </c>
      <c r="CF150">
        <f t="shared" si="471"/>
        <v>-50</v>
      </c>
      <c r="CG150" s="150">
        <f t="shared" si="370"/>
        <v>0.57198633493024875</v>
      </c>
      <c r="CH150" s="150">
        <f t="shared" si="472"/>
        <v>0.31031053622728105</v>
      </c>
      <c r="CI150" s="147">
        <v>40</v>
      </c>
      <c r="CJ150" s="188">
        <f t="shared" si="438"/>
        <v>0.48</v>
      </c>
      <c r="CK150" s="188">
        <f t="shared" si="372"/>
        <v>0.1</v>
      </c>
      <c r="CL150" s="188">
        <f t="shared" si="373"/>
        <v>2.4</v>
      </c>
      <c r="CM150" s="188">
        <f t="shared" si="374"/>
        <v>0.8</v>
      </c>
      <c r="CN150" s="465">
        <f t="shared" si="375"/>
        <v>9</v>
      </c>
      <c r="CO150" s="379">
        <f t="shared" si="473"/>
        <v>5.7</v>
      </c>
      <c r="CP150" s="379">
        <f t="shared" si="474"/>
        <v>14.7</v>
      </c>
      <c r="CQ150" s="379"/>
      <c r="CR150" s="188">
        <f t="shared" si="378"/>
        <v>0.375</v>
      </c>
      <c r="CS150" s="149">
        <f t="shared" si="379"/>
        <v>6.328125</v>
      </c>
      <c r="CT150" s="149">
        <f t="shared" si="380"/>
        <v>2.8125</v>
      </c>
      <c r="CU150" s="188">
        <f t="shared" si="381"/>
        <v>1.265625</v>
      </c>
      <c r="CV150" s="188">
        <f t="shared" si="382"/>
        <v>0.791015625</v>
      </c>
      <c r="CW150" s="188">
        <f t="shared" si="383"/>
        <v>5</v>
      </c>
      <c r="CX150" s="188">
        <f t="shared" si="384"/>
        <v>1.8962962962962964</v>
      </c>
      <c r="CY150" s="188">
        <f t="shared" si="385"/>
        <v>2.5283950617283955</v>
      </c>
      <c r="CZ150" s="188">
        <f t="shared" si="386"/>
        <v>3.992202729044835</v>
      </c>
      <c r="DA150" s="172">
        <f t="shared" si="387"/>
        <v>290.81632653061229</v>
      </c>
      <c r="DB150" s="379">
        <f t="shared" si="388"/>
        <v>153.3601721938775</v>
      </c>
      <c r="DD150" s="188">
        <f t="shared" si="389"/>
        <v>0.99999999999999978</v>
      </c>
      <c r="DE150" s="150">
        <f t="shared" si="390"/>
        <v>2.1052631578947363</v>
      </c>
      <c r="DF150" s="150">
        <f t="shared" si="391"/>
        <v>0.2295918367346938</v>
      </c>
      <c r="DG150" s="150"/>
      <c r="DH150" s="150">
        <f t="shared" si="392"/>
        <v>2.1052631578947367</v>
      </c>
      <c r="DI150" s="314">
        <f t="shared" si="393"/>
        <v>456</v>
      </c>
      <c r="DJ150" s="456">
        <f t="shared" si="394"/>
        <v>0.3061224489795919</v>
      </c>
      <c r="DL150" s="150">
        <f t="shared" si="395"/>
        <v>1.2344267996967353</v>
      </c>
      <c r="DM150" s="150">
        <f t="shared" si="396"/>
        <v>1.8962962962962964</v>
      </c>
      <c r="DN150" s="150">
        <f t="shared" si="397"/>
        <v>1.8639231824417011</v>
      </c>
      <c r="DP150" s="314">
        <f t="shared" si="398"/>
        <v>480</v>
      </c>
      <c r="DQ150" s="144">
        <f t="shared" si="399"/>
        <v>153.3601721938775</v>
      </c>
      <c r="DS150" s="144">
        <f t="shared" si="400"/>
        <v>480</v>
      </c>
      <c r="DT150" s="144">
        <f t="shared" si="401"/>
        <v>153.3601721938775</v>
      </c>
      <c r="DV150" s="5">
        <f t="shared" si="402"/>
        <v>6.5205977907732313</v>
      </c>
      <c r="DW150" s="5">
        <f t="shared" si="403"/>
        <v>2.5283950617283955</v>
      </c>
      <c r="DX150" s="5">
        <f t="shared" si="404"/>
        <v>3.9922027290448359</v>
      </c>
      <c r="DY150" s="150">
        <f t="shared" si="405"/>
        <v>0.38775510204081626</v>
      </c>
      <c r="EA150" s="5">
        <f t="shared" si="406"/>
        <v>24.272592592592595</v>
      </c>
      <c r="EB150" s="5">
        <f t="shared" si="407"/>
        <v>3.1604938271604945</v>
      </c>
      <c r="EC150" s="5">
        <f t="shared" si="408"/>
        <v>0.44357808100498164</v>
      </c>
      <c r="ED150" s="5"/>
      <c r="EE150" s="150">
        <f t="shared" si="409"/>
        <v>0.68174871796448389</v>
      </c>
      <c r="EF150" s="150">
        <f t="shared" si="410"/>
        <v>0.85665934497683094</v>
      </c>
      <c r="EG150" s="150">
        <f t="shared" si="411"/>
        <v>0.19148855946540927</v>
      </c>
      <c r="EH150" s="150"/>
      <c r="EI150" s="456">
        <f t="shared" si="412"/>
        <v>9.2956262889243475E-3</v>
      </c>
      <c r="EJ150" s="456">
        <f t="shared" si="413"/>
        <v>8.5499999999999965E-2</v>
      </c>
      <c r="EK150" s="456">
        <f t="shared" si="414"/>
        <v>1.9170021524234686E-2</v>
      </c>
      <c r="EL150" s="456">
        <f t="shared" si="415"/>
        <v>3.3139599609374984E-3</v>
      </c>
      <c r="EM150">
        <f t="shared" si="416"/>
        <v>4.0499999999999998E-3</v>
      </c>
      <c r="EN150" s="144">
        <f t="shared" si="417"/>
        <v>23.220021524234685</v>
      </c>
      <c r="EP150" s="144">
        <f t="shared" si="439"/>
        <v>121.32960777409649</v>
      </c>
      <c r="EQ150" s="150">
        <f t="shared" si="418"/>
        <v>0.33599999999999997</v>
      </c>
      <c r="ER150" s="150">
        <f t="shared" si="475"/>
        <v>4.4374999999999998E-2</v>
      </c>
      <c r="ES150" s="456"/>
      <c r="EU150" s="144">
        <f t="shared" si="420"/>
        <v>380.37499999999994</v>
      </c>
      <c r="EV150" s="456">
        <f t="shared" si="421"/>
        <v>1.3943439433386521E-2</v>
      </c>
      <c r="EW150" s="456">
        <f t="shared" si="422"/>
        <v>2.2015957000083991E-2</v>
      </c>
      <c r="EX150" s="456">
        <f t="shared" si="423"/>
        <v>1.833393420306879E-4</v>
      </c>
      <c r="EY150" s="456">
        <f t="shared" si="424"/>
        <v>7.2113564882065481E-2</v>
      </c>
      <c r="EZ150" s="456"/>
      <c r="FA150" s="538">
        <f t="shared" si="425"/>
        <v>5.5147392290249425E-4</v>
      </c>
      <c r="FB150" s="144">
        <f t="shared" si="426"/>
        <v>108.80777458046917</v>
      </c>
      <c r="FC150" s="150">
        <f t="shared" si="427"/>
        <v>0.61051238235456562</v>
      </c>
      <c r="FD150" s="5">
        <f t="shared" si="428"/>
        <v>3.2</v>
      </c>
      <c r="FE150" s="150">
        <f t="shared" si="429"/>
        <v>0.83978207624211365</v>
      </c>
      <c r="FF150" s="5">
        <f t="shared" si="430"/>
        <v>83.978207624211365</v>
      </c>
      <c r="FG150">
        <f t="shared" si="431"/>
        <v>40</v>
      </c>
      <c r="FI150" s="59">
        <f t="shared" si="432"/>
        <v>-50</v>
      </c>
      <c r="FJ150">
        <f t="shared" si="433"/>
        <v>-50</v>
      </c>
    </row>
    <row r="151" spans="5:166">
      <c r="E151" s="147">
        <v>41</v>
      </c>
      <c r="F151" s="188">
        <f t="shared" si="476"/>
        <v>0.49199999999999994</v>
      </c>
      <c r="G151" s="188">
        <f t="shared" si="444"/>
        <v>0.10249999999999999</v>
      </c>
      <c r="H151" s="188">
        <f t="shared" si="445"/>
        <v>2.4599999999999995</v>
      </c>
      <c r="I151" s="188">
        <f t="shared" si="446"/>
        <v>0.82</v>
      </c>
      <c r="J151" s="465">
        <f t="shared" si="447"/>
        <v>8.9323632835408358</v>
      </c>
      <c r="K151" s="379">
        <f t="shared" si="448"/>
        <v>5.7258048122806988</v>
      </c>
      <c r="L151" s="149">
        <f t="shared" si="449"/>
        <v>14.658168095821534</v>
      </c>
      <c r="M151" s="379"/>
      <c r="N151" s="188">
        <f t="shared" si="450"/>
        <v>0.39062212787100592</v>
      </c>
      <c r="O151" s="149">
        <f t="shared" si="451"/>
        <v>6.5422101613754373</v>
      </c>
      <c r="P151" s="149">
        <f t="shared" si="452"/>
        <v>2.9076489606113052</v>
      </c>
      <c r="Q151" s="188">
        <f t="shared" si="322"/>
        <v>1.3084420322750874</v>
      </c>
      <c r="R151" s="188">
        <f t="shared" si="453"/>
        <v>0.81777627017192966</v>
      </c>
      <c r="S151" s="188">
        <f t="shared" si="454"/>
        <v>5</v>
      </c>
      <c r="T151" s="188">
        <f t="shared" si="455"/>
        <v>1.880098574732127</v>
      </c>
      <c r="U151" s="188">
        <f t="shared" si="326"/>
        <v>2.5257798166760357</v>
      </c>
      <c r="V151" s="188">
        <f t="shared" si="327"/>
        <v>3.9402640565735543</v>
      </c>
      <c r="W151" s="172">
        <f t="shared" si="328"/>
        <v>290.76489606113057</v>
      </c>
      <c r="X151" s="379">
        <f t="shared" si="435"/>
        <v>150.01401416107333</v>
      </c>
      <c r="Z151" s="188">
        <f t="shared" si="329"/>
        <v>1</v>
      </c>
      <c r="AA151" s="150">
        <f t="shared" si="330"/>
        <v>2.0957752479201552</v>
      </c>
      <c r="AB151" s="150">
        <f t="shared" si="456"/>
        <v>0.22851670204837277</v>
      </c>
      <c r="AC151" s="150"/>
      <c r="AD151" s="150">
        <f t="shared" si="332"/>
        <v>2.0957752479201552</v>
      </c>
      <c r="AE151" s="314">
        <f t="shared" si="457"/>
        <v>469.51599460701726</v>
      </c>
      <c r="AF151" s="456">
        <f t="shared" si="458"/>
        <v>0.30468893606449704</v>
      </c>
      <c r="AH151" s="150">
        <f t="shared" si="459"/>
        <v>1.2497618820818475</v>
      </c>
      <c r="AI151" s="150">
        <f t="shared" si="460"/>
        <v>1.880098574732127</v>
      </c>
      <c r="AJ151" s="150">
        <f t="shared" si="461"/>
        <v>1.851924870171946</v>
      </c>
      <c r="AL151" s="314">
        <f t="shared" si="462"/>
        <v>491.99999999999994</v>
      </c>
      <c r="AM151" s="144">
        <f t="shared" si="463"/>
        <v>150.01401416107333</v>
      </c>
      <c r="AO151" s="144">
        <f t="shared" si="340"/>
        <v>491.99999999999994</v>
      </c>
      <c r="AP151" s="144">
        <f t="shared" si="341"/>
        <v>150.01401416107333</v>
      </c>
      <c r="AR151" s="5">
        <f t="shared" si="443"/>
        <v>6.6660438732495892</v>
      </c>
      <c r="AS151" s="5">
        <f t="shared" si="440"/>
        <v>2.5257798166760357</v>
      </c>
      <c r="AT151" s="5">
        <f t="shared" si="441"/>
        <v>4.1402640565735531</v>
      </c>
      <c r="AU151" s="150">
        <f t="shared" si="442"/>
        <v>0.37890236918659204</v>
      </c>
      <c r="AW151" s="5">
        <f t="shared" si="342"/>
        <v>24.853673396092187</v>
      </c>
      <c r="AX151" s="5">
        <f t="shared" si="343"/>
        <v>3.2361553901161706</v>
      </c>
      <c r="AY151" s="5">
        <f t="shared" si="344"/>
        <v>0.47510054431033366</v>
      </c>
      <c r="AZ151" s="5"/>
      <c r="BA151" s="150">
        <f t="shared" si="345"/>
        <v>0.66816489334224616</v>
      </c>
      <c r="BB151" s="150">
        <f t="shared" si="346"/>
        <v>0.8554604367677503</v>
      </c>
      <c r="BC151" s="150">
        <f t="shared" si="347"/>
        <v>0.19122056821867361</v>
      </c>
      <c r="BD151" s="150"/>
      <c r="BE151" s="456">
        <f t="shared" si="348"/>
        <v>8.9288864939011045E-3</v>
      </c>
      <c r="BF151" s="456">
        <f t="shared" si="464"/>
        <v>7.751636916086499E-2</v>
      </c>
      <c r="BG151" s="456">
        <f t="shared" si="465"/>
        <v>3.3499491802723658E-2</v>
      </c>
      <c r="BH151" s="456">
        <f t="shared" si="351"/>
        <v>3.223229489796601E-3</v>
      </c>
      <c r="BI151">
        <f t="shared" si="352"/>
        <v>4.0195634775933757E-3</v>
      </c>
      <c r="BJ151" s="144">
        <f t="shared" si="436"/>
        <v>37.519055280317033</v>
      </c>
      <c r="BK151">
        <f t="shared" si="466"/>
        <v>9.2275046325286242E-2</v>
      </c>
      <c r="BL151" s="144">
        <f t="shared" si="437"/>
        <v>127.18754042487973</v>
      </c>
      <c r="BM151" s="150">
        <f t="shared" si="467"/>
        <v>0.3056549999999999</v>
      </c>
      <c r="BN151" s="150">
        <f t="shared" si="468"/>
        <v>6.3678124999999988E-2</v>
      </c>
      <c r="BO151" s="456"/>
      <c r="BQ151" s="144">
        <f t="shared" si="356"/>
        <v>369.33312499999988</v>
      </c>
      <c r="BR151" s="456">
        <f t="shared" si="357"/>
        <v>1.3393329740851655E-2</v>
      </c>
      <c r="BS151" s="456">
        <f t="shared" si="358"/>
        <v>2.1954376766246102E-2</v>
      </c>
      <c r="BT151" s="456">
        <f t="shared" si="359"/>
        <v>1.8282652854936205E-4</v>
      </c>
      <c r="BU151" s="456">
        <f t="shared" si="360"/>
        <v>6.6796104517377566E-2</v>
      </c>
      <c r="BV151" s="456"/>
      <c r="BW151" s="538">
        <f t="shared" si="469"/>
        <v>5.3026513445172268E-4</v>
      </c>
      <c r="BX151" s="144">
        <f t="shared" si="362"/>
        <v>102.85690268747641</v>
      </c>
      <c r="BY151" s="150">
        <f t="shared" si="363"/>
        <v>0.5993775681123561</v>
      </c>
      <c r="BZ151" s="5">
        <f t="shared" si="364"/>
        <v>3.2799999999999994</v>
      </c>
      <c r="CA151" s="150">
        <f t="shared" si="365"/>
        <v>0.84549645978285026</v>
      </c>
      <c r="CB151" s="5">
        <f t="shared" si="366"/>
        <v>84.549645978285028</v>
      </c>
      <c r="CC151">
        <f t="shared" si="367"/>
        <v>41</v>
      </c>
      <c r="CE151" s="59">
        <f t="shared" si="470"/>
        <v>-50</v>
      </c>
      <c r="CF151">
        <f t="shared" si="471"/>
        <v>-50</v>
      </c>
      <c r="CG151" s="150">
        <f t="shared" si="370"/>
        <v>0.57198633493024886</v>
      </c>
      <c r="CH151" s="150">
        <f t="shared" si="472"/>
        <v>0.31031053622728111</v>
      </c>
      <c r="CI151" s="147">
        <v>41</v>
      </c>
      <c r="CJ151" s="188">
        <f t="shared" si="438"/>
        <v>0.49199999999999994</v>
      </c>
      <c r="CK151" s="188">
        <f t="shared" si="372"/>
        <v>0.10249999999999999</v>
      </c>
      <c r="CL151" s="188">
        <f t="shared" si="373"/>
        <v>2.4599999999999995</v>
      </c>
      <c r="CM151" s="188">
        <f t="shared" si="374"/>
        <v>0.82</v>
      </c>
      <c r="CN151" s="465">
        <f t="shared" si="375"/>
        <v>9</v>
      </c>
      <c r="CO151" s="379">
        <f t="shared" si="473"/>
        <v>5.7</v>
      </c>
      <c r="CP151" s="379">
        <f t="shared" si="474"/>
        <v>14.7</v>
      </c>
      <c r="CQ151" s="379"/>
      <c r="CR151" s="188">
        <f t="shared" si="378"/>
        <v>0.375</v>
      </c>
      <c r="CS151" s="149">
        <f t="shared" si="379"/>
        <v>6.328125</v>
      </c>
      <c r="CT151" s="149">
        <f t="shared" si="380"/>
        <v>2.8125</v>
      </c>
      <c r="CU151" s="188">
        <f t="shared" si="381"/>
        <v>1.265625</v>
      </c>
      <c r="CV151" s="188">
        <f t="shared" si="382"/>
        <v>0.791015625</v>
      </c>
      <c r="CW151" s="188">
        <f t="shared" si="383"/>
        <v>5</v>
      </c>
      <c r="CX151" s="188">
        <f t="shared" si="384"/>
        <v>1.9437037037037033</v>
      </c>
      <c r="CY151" s="188">
        <f t="shared" si="385"/>
        <v>2.5916049382716042</v>
      </c>
      <c r="CZ151" s="188">
        <f t="shared" si="386"/>
        <v>4.0920077972709539</v>
      </c>
      <c r="DA151" s="172">
        <f t="shared" si="387"/>
        <v>290.81632653061229</v>
      </c>
      <c r="DB151" s="379">
        <f t="shared" si="388"/>
        <v>149.61968018914888</v>
      </c>
      <c r="DD151" s="188">
        <f t="shared" si="389"/>
        <v>0.99999999999999978</v>
      </c>
      <c r="DE151" s="150">
        <f t="shared" si="390"/>
        <v>2.1052631578947363</v>
      </c>
      <c r="DF151" s="150">
        <f t="shared" si="391"/>
        <v>0.2295918367346938</v>
      </c>
      <c r="DG151" s="150"/>
      <c r="DH151" s="150">
        <f t="shared" si="392"/>
        <v>2.1052631578947367</v>
      </c>
      <c r="DI151" s="314">
        <f t="shared" si="393"/>
        <v>467.39999999999992</v>
      </c>
      <c r="DJ151" s="456">
        <f t="shared" si="394"/>
        <v>0.3061224489795919</v>
      </c>
      <c r="DL151" s="150">
        <f t="shared" si="395"/>
        <v>1.2497618820818475</v>
      </c>
      <c r="DM151" s="150">
        <f t="shared" si="396"/>
        <v>1.9437037037037033</v>
      </c>
      <c r="DN151" s="150">
        <f t="shared" si="397"/>
        <v>1.8990397805212615</v>
      </c>
      <c r="DP151" s="314">
        <f t="shared" si="398"/>
        <v>491.99999999999994</v>
      </c>
      <c r="DQ151" s="144">
        <f t="shared" si="399"/>
        <v>149.61968018914888</v>
      </c>
      <c r="DS151" s="144">
        <f t="shared" si="400"/>
        <v>491.99999999999994</v>
      </c>
      <c r="DT151" s="144">
        <f t="shared" si="401"/>
        <v>149.61968018914888</v>
      </c>
      <c r="DV151" s="5">
        <f t="shared" si="402"/>
        <v>6.6836127355425576</v>
      </c>
      <c r="DW151" s="5">
        <f t="shared" si="403"/>
        <v>2.5916049382716042</v>
      </c>
      <c r="DX151" s="5">
        <f t="shared" si="404"/>
        <v>4.0920077972709539</v>
      </c>
      <c r="DY151" s="150">
        <f t="shared" si="405"/>
        <v>0.38775510204081637</v>
      </c>
      <c r="EA151" s="5">
        <f t="shared" si="406"/>
        <v>25.501392592592584</v>
      </c>
      <c r="EB151" s="5">
        <f t="shared" si="407"/>
        <v>3.3204938271604929</v>
      </c>
      <c r="EC151" s="5">
        <f t="shared" si="408"/>
        <v>0.46603422135585848</v>
      </c>
      <c r="ED151" s="5"/>
      <c r="EE151" s="150">
        <f t="shared" si="409"/>
        <v>0.69879243591359597</v>
      </c>
      <c r="EF151" s="150">
        <f t="shared" si="410"/>
        <v>0.87807582860125144</v>
      </c>
      <c r="EG151" s="150">
        <f t="shared" si="411"/>
        <v>0.19627577345204444</v>
      </c>
      <c r="EH151" s="150"/>
      <c r="EI151" s="456">
        <f t="shared" si="412"/>
        <v>9.7662173698011417E-3</v>
      </c>
      <c r="EJ151" s="456">
        <f t="shared" si="413"/>
        <v>8.5500000000000007E-2</v>
      </c>
      <c r="EK151" s="456">
        <f t="shared" si="414"/>
        <v>1.8702460023643609E-2</v>
      </c>
      <c r="EL151" s="456">
        <f t="shared" si="415"/>
        <v>3.2331316692073182E-3</v>
      </c>
      <c r="EM151">
        <f t="shared" si="416"/>
        <v>4.0499999999999998E-3</v>
      </c>
      <c r="EN151" s="144">
        <f t="shared" si="417"/>
        <v>22.752460023643611</v>
      </c>
      <c r="EP151" s="144">
        <f t="shared" si="439"/>
        <v>121.25180906265207</v>
      </c>
      <c r="EQ151" s="150">
        <f t="shared" si="418"/>
        <v>0.34439999999999993</v>
      </c>
      <c r="ER151" s="150">
        <f t="shared" si="475"/>
        <v>4.5484374999999994E-2</v>
      </c>
      <c r="ES151" s="456"/>
      <c r="EU151" s="144">
        <f t="shared" si="420"/>
        <v>389.88437499999998</v>
      </c>
      <c r="EV151" s="456">
        <f t="shared" si="421"/>
        <v>1.4649326054701713E-2</v>
      </c>
      <c r="EW151" s="456">
        <f t="shared" si="422"/>
        <v>2.3130514823213228E-2</v>
      </c>
      <c r="EX151" s="456">
        <f t="shared" si="423"/>
        <v>1.9262089622099136E-4</v>
      </c>
      <c r="EY151" s="456">
        <f t="shared" si="424"/>
        <v>7.211356488206544E-2</v>
      </c>
      <c r="EZ151" s="456"/>
      <c r="FA151" s="538">
        <f t="shared" si="425"/>
        <v>5.6526077097505674E-4</v>
      </c>
      <c r="FB151" s="144">
        <f t="shared" si="426"/>
        <v>110.65128742717643</v>
      </c>
      <c r="FC151" s="150">
        <f t="shared" si="427"/>
        <v>0.62178747148982849</v>
      </c>
      <c r="FD151" s="5">
        <f t="shared" si="428"/>
        <v>3.2799999999999994</v>
      </c>
      <c r="FE151" s="150">
        <f t="shared" si="429"/>
        <v>0.84064035367553991</v>
      </c>
      <c r="FF151" s="5">
        <f t="shared" si="430"/>
        <v>84.064035367553984</v>
      </c>
      <c r="FG151">
        <f t="shared" si="431"/>
        <v>41</v>
      </c>
      <c r="FI151" s="59">
        <f t="shared" si="432"/>
        <v>-50</v>
      </c>
      <c r="FJ151">
        <f t="shared" si="433"/>
        <v>-50</v>
      </c>
    </row>
    <row r="152" spans="5:166">
      <c r="E152" s="147">
        <v>42</v>
      </c>
      <c r="F152" s="188">
        <f t="shared" si="476"/>
        <v>0.504</v>
      </c>
      <c r="G152" s="188">
        <f t="shared" si="444"/>
        <v>0.105</v>
      </c>
      <c r="H152" s="188">
        <f t="shared" si="445"/>
        <v>2.52</v>
      </c>
      <c r="I152" s="188">
        <f t="shared" si="446"/>
        <v>0.84</v>
      </c>
      <c r="J152" s="465">
        <f t="shared" si="447"/>
        <v>8.9307136075296363</v>
      </c>
      <c r="K152" s="379">
        <f t="shared" si="448"/>
        <v>5.726434197946082</v>
      </c>
      <c r="L152" s="149">
        <f t="shared" si="449"/>
        <v>14.657147805475718</v>
      </c>
      <c r="M152" s="379"/>
      <c r="N152" s="188">
        <f t="shared" si="450"/>
        <v>0.3906922597728571</v>
      </c>
      <c r="O152" s="149">
        <f t="shared" si="451"/>
        <v>6.5421762763311726</v>
      </c>
      <c r="P152" s="149">
        <f t="shared" si="452"/>
        <v>2.9076339005916321</v>
      </c>
      <c r="Q152" s="188">
        <f t="shared" si="322"/>
        <v>1.3084352552662346</v>
      </c>
      <c r="R152" s="188">
        <f t="shared" si="453"/>
        <v>0.81777203454139658</v>
      </c>
      <c r="S152" s="188">
        <f t="shared" si="454"/>
        <v>5</v>
      </c>
      <c r="T152" s="188">
        <f t="shared" si="455"/>
        <v>1.9259646129660746</v>
      </c>
      <c r="U152" s="188">
        <f t="shared" si="326"/>
        <v>2.587875546261738</v>
      </c>
      <c r="V152" s="188">
        <f t="shared" si="327"/>
        <v>4.0359453294481922</v>
      </c>
      <c r="W152" s="172">
        <f t="shared" si="328"/>
        <v>290.76339005916321</v>
      </c>
      <c r="X152" s="379">
        <f t="shared" si="435"/>
        <v>146.54546451528344</v>
      </c>
      <c r="Z152" s="188">
        <f t="shared" si="329"/>
        <v>1</v>
      </c>
      <c r="AA152" s="150">
        <f t="shared" si="330"/>
        <v>2.095544903721076</v>
      </c>
      <c r="AB152" s="150">
        <f t="shared" si="456"/>
        <v>0.22849040258517855</v>
      </c>
      <c r="AC152" s="150"/>
      <c r="AD152" s="150">
        <f t="shared" si="332"/>
        <v>2.095544903721076</v>
      </c>
      <c r="AE152" s="314">
        <f t="shared" si="457"/>
        <v>481.02047262747084</v>
      </c>
      <c r="AF152" s="456">
        <f t="shared" si="458"/>
        <v>0.30465387011357148</v>
      </c>
      <c r="AH152" s="150">
        <f t="shared" si="459"/>
        <v>1.2649110640673518</v>
      </c>
      <c r="AI152" s="150">
        <f t="shared" si="460"/>
        <v>1.9259646129660746</v>
      </c>
      <c r="AJ152" s="150">
        <f t="shared" si="461"/>
        <v>1.8858997133082034</v>
      </c>
      <c r="AL152" s="314">
        <f t="shared" si="462"/>
        <v>504</v>
      </c>
      <c r="AM152" s="144">
        <f t="shared" si="463"/>
        <v>146.54546451528344</v>
      </c>
      <c r="AO152" s="144">
        <f t="shared" si="340"/>
        <v>504</v>
      </c>
      <c r="AP152" s="144">
        <f t="shared" si="341"/>
        <v>146.54546451528344</v>
      </c>
      <c r="AR152" s="5">
        <f t="shared" si="443"/>
        <v>6.8238208757099299</v>
      </c>
      <c r="AS152" s="5">
        <f t="shared" si="440"/>
        <v>2.587875546261738</v>
      </c>
      <c r="AT152" s="5">
        <f t="shared" si="441"/>
        <v>4.2359453294481924</v>
      </c>
      <c r="AU152" s="150">
        <f t="shared" si="442"/>
        <v>0.37924142403466932</v>
      </c>
      <c r="AW152" s="5">
        <f t="shared" si="342"/>
        <v>26.085785506318317</v>
      </c>
      <c r="AX152" s="5">
        <f t="shared" si="343"/>
        <v>3.3965866544685306</v>
      </c>
      <c r="AY152" s="5">
        <f t="shared" si="344"/>
        <v>0.49802768192797425</v>
      </c>
      <c r="AZ152" s="5"/>
      <c r="BA152" s="150">
        <f t="shared" si="345"/>
        <v>0.68477131618633347</v>
      </c>
      <c r="BB152" s="150">
        <f t="shared" si="346"/>
        <v>0.8760906391431712</v>
      </c>
      <c r="BC152" s="150">
        <f t="shared" si="347"/>
        <v>0.19583202522023829</v>
      </c>
      <c r="BD152" s="150"/>
      <c r="BE152" s="456">
        <f t="shared" si="348"/>
        <v>9.37823510943127E-3</v>
      </c>
      <c r="BF152" s="456">
        <f t="shared" si="464"/>
        <v>7.7566005123438378E-2</v>
      </c>
      <c r="BG152" s="456">
        <f t="shared" si="465"/>
        <v>3.2718889351709829E-2</v>
      </c>
      <c r="BH152" s="456">
        <f t="shared" si="351"/>
        <v>3.1482652564383323E-3</v>
      </c>
      <c r="BI152">
        <f t="shared" si="352"/>
        <v>4.0188211233883366E-3</v>
      </c>
      <c r="BJ152" s="144">
        <f t="shared" si="436"/>
        <v>36.737710475098162</v>
      </c>
      <c r="BK152">
        <f t="shared" si="466"/>
        <v>9.2831482452049405E-2</v>
      </c>
      <c r="BL152" s="144">
        <f t="shared" si="437"/>
        <v>126.83021596440614</v>
      </c>
      <c r="BM152" s="150">
        <f t="shared" si="467"/>
        <v>0.31311</v>
      </c>
      <c r="BN152" s="150">
        <f t="shared" si="468"/>
        <v>6.5231249999999991E-2</v>
      </c>
      <c r="BO152" s="456"/>
      <c r="BQ152" s="144">
        <f t="shared" si="356"/>
        <v>378.34124999999995</v>
      </c>
      <c r="BR152" s="456">
        <f t="shared" si="357"/>
        <v>1.4067352664146904E-2</v>
      </c>
      <c r="BS152" s="456">
        <f t="shared" si="358"/>
        <v>2.3026044239828704E-2</v>
      </c>
      <c r="BT152" s="456">
        <f t="shared" si="359"/>
        <v>1.9175091050930022E-4</v>
      </c>
      <c r="BU152" s="456">
        <f t="shared" si="360"/>
        <v>6.6914728035192758E-2</v>
      </c>
      <c r="BV152" s="456"/>
      <c r="BW152" s="538">
        <f t="shared" si="469"/>
        <v>5.4358690797428829E-4</v>
      </c>
      <c r="BX152" s="144">
        <f t="shared" si="362"/>
        <v>104.74346275765195</v>
      </c>
      <c r="BY152" s="150">
        <f t="shared" si="363"/>
        <v>0.60991492872205799</v>
      </c>
      <c r="BZ152" s="5">
        <f t="shared" si="364"/>
        <v>3.36</v>
      </c>
      <c r="CA152" s="150">
        <f t="shared" si="365"/>
        <v>0.84636574342957183</v>
      </c>
      <c r="CB152" s="5">
        <f t="shared" si="366"/>
        <v>84.636574342957189</v>
      </c>
      <c r="CC152">
        <f t="shared" si="367"/>
        <v>42.000000000000007</v>
      </c>
      <c r="CE152" s="59">
        <f t="shared" si="470"/>
        <v>-50</v>
      </c>
      <c r="CF152">
        <f t="shared" si="471"/>
        <v>-50</v>
      </c>
      <c r="CG152" s="150">
        <f t="shared" si="370"/>
        <v>0.57198633493024875</v>
      </c>
      <c r="CH152" s="150">
        <f t="shared" si="472"/>
        <v>0.31031053622728105</v>
      </c>
      <c r="CI152" s="147">
        <v>42</v>
      </c>
      <c r="CJ152" s="188">
        <f t="shared" si="438"/>
        <v>0.504</v>
      </c>
      <c r="CK152" s="188">
        <f t="shared" si="372"/>
        <v>0.105</v>
      </c>
      <c r="CL152" s="188">
        <f t="shared" si="373"/>
        <v>2.52</v>
      </c>
      <c r="CM152" s="188">
        <f t="shared" si="374"/>
        <v>0.84</v>
      </c>
      <c r="CN152" s="465">
        <f t="shared" si="375"/>
        <v>9</v>
      </c>
      <c r="CO152" s="379">
        <f t="shared" si="473"/>
        <v>5.7</v>
      </c>
      <c r="CP152" s="379">
        <f t="shared" si="474"/>
        <v>14.7</v>
      </c>
      <c r="CQ152" s="379"/>
      <c r="CR152" s="188">
        <f t="shared" si="378"/>
        <v>0.375</v>
      </c>
      <c r="CS152" s="149">
        <f t="shared" si="379"/>
        <v>6.328125</v>
      </c>
      <c r="CT152" s="149">
        <f t="shared" si="380"/>
        <v>2.8125</v>
      </c>
      <c r="CU152" s="188">
        <f t="shared" si="381"/>
        <v>1.265625</v>
      </c>
      <c r="CV152" s="188">
        <f t="shared" si="382"/>
        <v>0.791015625</v>
      </c>
      <c r="CW152" s="188">
        <f t="shared" si="383"/>
        <v>5</v>
      </c>
      <c r="CX152" s="188">
        <f t="shared" si="384"/>
        <v>1.9911111111111111</v>
      </c>
      <c r="CY152" s="188">
        <f t="shared" si="385"/>
        <v>2.6548148148148147</v>
      </c>
      <c r="CZ152" s="188">
        <f t="shared" si="386"/>
        <v>4.1918128654970763</v>
      </c>
      <c r="DA152" s="172">
        <f t="shared" si="387"/>
        <v>290.81632653061229</v>
      </c>
      <c r="DB152" s="379">
        <f t="shared" si="388"/>
        <v>146.05730685131195</v>
      </c>
      <c r="DD152" s="188">
        <f t="shared" si="389"/>
        <v>0.99999999999999978</v>
      </c>
      <c r="DE152" s="150">
        <f t="shared" si="390"/>
        <v>2.1052631578947363</v>
      </c>
      <c r="DF152" s="150">
        <f t="shared" si="391"/>
        <v>0.2295918367346938</v>
      </c>
      <c r="DG152" s="150"/>
      <c r="DH152" s="150">
        <f t="shared" si="392"/>
        <v>2.1052631578947367</v>
      </c>
      <c r="DI152" s="314">
        <f t="shared" si="393"/>
        <v>478.8</v>
      </c>
      <c r="DJ152" s="456">
        <f t="shared" si="394"/>
        <v>0.3061224489795919</v>
      </c>
      <c r="DL152" s="150">
        <f t="shared" si="395"/>
        <v>1.2649110640673518</v>
      </c>
      <c r="DM152" s="150">
        <f t="shared" si="396"/>
        <v>1.9911111111111111</v>
      </c>
      <c r="DN152" s="150">
        <f t="shared" si="397"/>
        <v>1.9341563786008229</v>
      </c>
      <c r="DP152" s="314">
        <f t="shared" si="398"/>
        <v>504</v>
      </c>
      <c r="DQ152" s="144">
        <f t="shared" si="399"/>
        <v>146.05730685131195</v>
      </c>
      <c r="DS152" s="144">
        <f t="shared" si="400"/>
        <v>504</v>
      </c>
      <c r="DT152" s="144">
        <f t="shared" si="401"/>
        <v>146.05730685131195</v>
      </c>
      <c r="DV152" s="5">
        <f t="shared" si="402"/>
        <v>6.8466276803118911</v>
      </c>
      <c r="DW152" s="5">
        <f t="shared" si="403"/>
        <v>2.6548148148148147</v>
      </c>
      <c r="DX152" s="5">
        <f t="shared" si="404"/>
        <v>4.1918128654970763</v>
      </c>
      <c r="DY152" s="150">
        <f t="shared" si="405"/>
        <v>0.38775510204081631</v>
      </c>
      <c r="EA152" s="5">
        <f t="shared" si="406"/>
        <v>26.760533333333331</v>
      </c>
      <c r="EB152" s="5">
        <f t="shared" si="407"/>
        <v>3.4844444444444442</v>
      </c>
      <c r="EC152" s="5">
        <f t="shared" si="408"/>
        <v>0.48904483430799223</v>
      </c>
      <c r="ED152" s="5"/>
      <c r="EE152" s="150">
        <f t="shared" si="409"/>
        <v>0.71583615386270816</v>
      </c>
      <c r="EF152" s="150">
        <f t="shared" si="410"/>
        <v>0.89949231222567239</v>
      </c>
      <c r="EG152" s="150">
        <f t="shared" si="411"/>
        <v>0.20106298743867973</v>
      </c>
      <c r="EH152" s="150"/>
      <c r="EI152" s="456">
        <f t="shared" si="412"/>
        <v>1.0248427983539097E-2</v>
      </c>
      <c r="EJ152" s="456">
        <f t="shared" si="413"/>
        <v>8.5500000000000007E-2</v>
      </c>
      <c r="EK152" s="456">
        <f t="shared" si="414"/>
        <v>1.8257163356413992E-2</v>
      </c>
      <c r="EL152" s="456">
        <f t="shared" si="415"/>
        <v>3.15615234375E-3</v>
      </c>
      <c r="EM152">
        <f t="shared" si="416"/>
        <v>4.0499999999999998E-3</v>
      </c>
      <c r="EN152" s="144">
        <f t="shared" si="417"/>
        <v>22.307163356413994</v>
      </c>
      <c r="EP152" s="144">
        <f t="shared" si="439"/>
        <v>121.21174368370309</v>
      </c>
      <c r="EQ152" s="150">
        <f t="shared" si="418"/>
        <v>0.3528</v>
      </c>
      <c r="ER152" s="150">
        <f t="shared" si="475"/>
        <v>4.6593749999999996E-2</v>
      </c>
      <c r="ES152" s="456"/>
      <c r="EU152" s="144">
        <f t="shared" si="420"/>
        <v>399.39375000000001</v>
      </c>
      <c r="EV152" s="456">
        <f t="shared" si="421"/>
        <v>1.5372641975308644E-2</v>
      </c>
      <c r="EW152" s="456">
        <f t="shared" si="422"/>
        <v>2.4272592592592592E-2</v>
      </c>
      <c r="EX152" s="456">
        <f t="shared" si="423"/>
        <v>2.0213162458883341E-4</v>
      </c>
      <c r="EY152" s="456">
        <f t="shared" si="424"/>
        <v>7.2113564882065426E-2</v>
      </c>
      <c r="EZ152" s="456"/>
      <c r="FA152" s="538">
        <f t="shared" si="425"/>
        <v>5.7904761904761901E-4</v>
      </c>
      <c r="FB152" s="144">
        <f t="shared" si="426"/>
        <v>112.5399786936031</v>
      </c>
      <c r="FC152" s="150">
        <f t="shared" si="427"/>
        <v>0.63314547237730623</v>
      </c>
      <c r="FD152" s="5">
        <f t="shared" si="428"/>
        <v>3.36</v>
      </c>
      <c r="FE152" s="150">
        <f t="shared" si="429"/>
        <v>0.84144192172383714</v>
      </c>
      <c r="FF152" s="5">
        <f t="shared" si="430"/>
        <v>84.144192172383711</v>
      </c>
      <c r="FG152">
        <f t="shared" si="431"/>
        <v>42.000000000000007</v>
      </c>
      <c r="FI152" s="59">
        <f t="shared" si="432"/>
        <v>-50</v>
      </c>
      <c r="FJ152">
        <f t="shared" si="433"/>
        <v>-50</v>
      </c>
    </row>
    <row r="153" spans="5:166">
      <c r="E153" s="147">
        <v>43</v>
      </c>
      <c r="F153" s="188">
        <f t="shared" si="476"/>
        <v>0.51600000000000001</v>
      </c>
      <c r="G153" s="188">
        <f t="shared" si="444"/>
        <v>0.1075</v>
      </c>
      <c r="H153" s="188">
        <f t="shared" si="445"/>
        <v>2.58</v>
      </c>
      <c r="I153" s="188">
        <f t="shared" si="446"/>
        <v>0.86</v>
      </c>
      <c r="J153" s="465">
        <f t="shared" si="447"/>
        <v>8.9290639315184386</v>
      </c>
      <c r="K153" s="379">
        <f t="shared" si="448"/>
        <v>5.7270635836114652</v>
      </c>
      <c r="L153" s="149">
        <f t="shared" si="449"/>
        <v>14.656127515129903</v>
      </c>
      <c r="M153" s="379"/>
      <c r="N153" s="188">
        <f t="shared" si="450"/>
        <v>0.39076240143921154</v>
      </c>
      <c r="O153" s="149">
        <f t="shared" si="451"/>
        <v>6.5421421209082355</v>
      </c>
      <c r="P153" s="149">
        <f t="shared" si="452"/>
        <v>2.9076187204036601</v>
      </c>
      <c r="Q153" s="188">
        <f t="shared" si="322"/>
        <v>1.3084284241816471</v>
      </c>
      <c r="R153" s="188">
        <f t="shared" si="453"/>
        <v>0.81776776511352944</v>
      </c>
      <c r="S153" s="188">
        <f t="shared" si="454"/>
        <v>5</v>
      </c>
      <c r="T153" s="188">
        <f t="shared" si="455"/>
        <v>1.9718312078199107</v>
      </c>
      <c r="U153" s="188">
        <f t="shared" si="326"/>
        <v>2.6499949687128148</v>
      </c>
      <c r="V153" s="188">
        <f t="shared" si="327"/>
        <v>4.1316067384950834</v>
      </c>
      <c r="W153" s="172">
        <f t="shared" si="328"/>
        <v>290.76187204036603</v>
      </c>
      <c r="X153" s="379">
        <f t="shared" si="435"/>
        <v>143.23360769314394</v>
      </c>
      <c r="Z153" s="188">
        <f t="shared" si="329"/>
        <v>1</v>
      </c>
      <c r="AA153" s="150">
        <f t="shared" si="330"/>
        <v>2.0953146101501541</v>
      </c>
      <c r="AB153" s="150">
        <f t="shared" si="456"/>
        <v>0.22846409946029569</v>
      </c>
      <c r="AC153" s="150"/>
      <c r="AD153" s="150">
        <f t="shared" si="332"/>
        <v>2.0953146101501541</v>
      </c>
      <c r="AE153" s="314">
        <f t="shared" si="457"/>
        <v>492.52746819058603</v>
      </c>
      <c r="AF153" s="456">
        <f t="shared" si="458"/>
        <v>0.30461879928039426</v>
      </c>
      <c r="AH153" s="150">
        <f t="shared" si="459"/>
        <v>1.2798809468443688</v>
      </c>
      <c r="AI153" s="150">
        <f t="shared" si="460"/>
        <v>1.9718312078199107</v>
      </c>
      <c r="AJ153" s="150">
        <f t="shared" si="461"/>
        <v>1.9198749687554895</v>
      </c>
      <c r="AL153" s="314">
        <f t="shared" si="462"/>
        <v>516</v>
      </c>
      <c r="AM153" s="144">
        <f t="shared" si="463"/>
        <v>143.23360769314394</v>
      </c>
      <c r="AO153" s="144">
        <f t="shared" si="340"/>
        <v>516</v>
      </c>
      <c r="AP153" s="144">
        <f t="shared" si="341"/>
        <v>143.23360769314394</v>
      </c>
      <c r="AR153" s="5">
        <f t="shared" si="443"/>
        <v>6.981601707207898</v>
      </c>
      <c r="AS153" s="5">
        <f t="shared" si="440"/>
        <v>2.6499949687128148</v>
      </c>
      <c r="AT153" s="5">
        <f t="shared" si="441"/>
        <v>4.3316067384950827</v>
      </c>
      <c r="AU153" s="150">
        <f t="shared" si="442"/>
        <v>0.37956833973741655</v>
      </c>
      <c r="AW153" s="5">
        <f t="shared" si="342"/>
        <v>27.34794807711625</v>
      </c>
      <c r="AX153" s="5">
        <f t="shared" si="343"/>
        <v>3.5609307392078446</v>
      </c>
      <c r="AY153" s="5">
        <f t="shared" si="344"/>
        <v>0.52149668538551419</v>
      </c>
      <c r="AZ153" s="5"/>
      <c r="BA153" s="150">
        <f t="shared" si="345"/>
        <v>0.70138116418934193</v>
      </c>
      <c r="BB153" s="150">
        <f t="shared" si="346"/>
        <v>0.89671840613311415</v>
      </c>
      <c r="BC153" s="150">
        <f t="shared" si="347"/>
        <v>0.20044293784151967</v>
      </c>
      <c r="BD153" s="150"/>
      <c r="BE153" s="456">
        <f t="shared" si="348"/>
        <v>9.8387107495919324E-3</v>
      </c>
      <c r="BF153" s="456">
        <f t="shared" si="464"/>
        <v>7.7613125626723373E-2</v>
      </c>
      <c r="BG153" s="456">
        <f t="shared" si="465"/>
        <v>3.1973551005852835E-2</v>
      </c>
      <c r="BH153" s="456">
        <f t="shared" si="351"/>
        <v>3.0766875961712814E-3</v>
      </c>
      <c r="BI153">
        <f t="shared" si="352"/>
        <v>4.0180787691832974E-3</v>
      </c>
      <c r="BJ153" s="144">
        <f t="shared" si="436"/>
        <v>35.991629775036131</v>
      </c>
      <c r="BK153">
        <f t="shared" si="466"/>
        <v>9.3403322737126038E-2</v>
      </c>
      <c r="BL153" s="144">
        <f t="shared" si="437"/>
        <v>126.52015374752274</v>
      </c>
      <c r="BM153" s="150">
        <f t="shared" si="467"/>
        <v>0.32056499999999993</v>
      </c>
      <c r="BN153" s="150">
        <f t="shared" si="468"/>
        <v>6.6784374999999993E-2</v>
      </c>
      <c r="BO153" s="456"/>
      <c r="BQ153" s="144">
        <f t="shared" si="356"/>
        <v>387.34937499999995</v>
      </c>
      <c r="BR153" s="456">
        <f t="shared" si="357"/>
        <v>1.4758066124387898E-2</v>
      </c>
      <c r="BS153" s="456">
        <f t="shared" si="358"/>
        <v>2.412311699693738E-2</v>
      </c>
      <c r="BT153" s="456">
        <f t="shared" si="359"/>
        <v>2.0088685665269662E-4</v>
      </c>
      <c r="BU153" s="456">
        <f t="shared" si="360"/>
        <v>6.7028063284679779E-2</v>
      </c>
      <c r="BV153" s="456"/>
      <c r="BW153" s="538">
        <f t="shared" si="469"/>
        <v>5.5690921298451952E-4</v>
      </c>
      <c r="BX153" s="144">
        <f t="shared" si="362"/>
        <v>106.66704247564226</v>
      </c>
      <c r="BY153" s="150">
        <f t="shared" si="363"/>
        <v>0.62053657122316497</v>
      </c>
      <c r="BZ153" s="5">
        <f t="shared" si="364"/>
        <v>3.44</v>
      </c>
      <c r="CA153" s="150">
        <f t="shared" si="365"/>
        <v>0.84717867692144955</v>
      </c>
      <c r="CB153" s="5">
        <f t="shared" si="366"/>
        <v>84.717867692144949</v>
      </c>
      <c r="CC153">
        <f t="shared" si="367"/>
        <v>43.000000000000007</v>
      </c>
      <c r="CE153" s="59">
        <f t="shared" si="470"/>
        <v>-50</v>
      </c>
      <c r="CF153">
        <f t="shared" si="471"/>
        <v>-50</v>
      </c>
      <c r="CG153" s="150">
        <f t="shared" si="370"/>
        <v>0.57198633493024875</v>
      </c>
      <c r="CH153" s="150">
        <f t="shared" si="472"/>
        <v>0.31031053622728105</v>
      </c>
      <c r="CI153" s="147">
        <v>43</v>
      </c>
      <c r="CJ153" s="188">
        <f t="shared" si="438"/>
        <v>0.51600000000000001</v>
      </c>
      <c r="CK153" s="188">
        <f t="shared" si="372"/>
        <v>0.1075</v>
      </c>
      <c r="CL153" s="188">
        <f t="shared" si="373"/>
        <v>2.58</v>
      </c>
      <c r="CM153" s="188">
        <f t="shared" si="374"/>
        <v>0.86</v>
      </c>
      <c r="CN153" s="465">
        <f t="shared" si="375"/>
        <v>9</v>
      </c>
      <c r="CO153" s="379">
        <f t="shared" si="473"/>
        <v>5.7</v>
      </c>
      <c r="CP153" s="379">
        <f t="shared" si="474"/>
        <v>14.7</v>
      </c>
      <c r="CQ153" s="379"/>
      <c r="CR153" s="188">
        <f t="shared" si="378"/>
        <v>0.375</v>
      </c>
      <c r="CS153" s="149">
        <f t="shared" si="379"/>
        <v>6.328125</v>
      </c>
      <c r="CT153" s="149">
        <f t="shared" si="380"/>
        <v>2.8125</v>
      </c>
      <c r="CU153" s="188">
        <f t="shared" si="381"/>
        <v>1.265625</v>
      </c>
      <c r="CV153" s="188">
        <f t="shared" si="382"/>
        <v>0.791015625</v>
      </c>
      <c r="CW153" s="188">
        <f t="shared" si="383"/>
        <v>5</v>
      </c>
      <c r="CX153" s="188">
        <f t="shared" si="384"/>
        <v>2.0385185185185186</v>
      </c>
      <c r="CY153" s="188">
        <f t="shared" si="385"/>
        <v>2.7180246913580253</v>
      </c>
      <c r="CZ153" s="188">
        <f t="shared" si="386"/>
        <v>4.291617933723197</v>
      </c>
      <c r="DA153" s="172">
        <f t="shared" si="387"/>
        <v>290.81632653061229</v>
      </c>
      <c r="DB153" s="379">
        <f t="shared" si="388"/>
        <v>142.66062529663026</v>
      </c>
      <c r="DD153" s="188">
        <f t="shared" si="389"/>
        <v>0.99999999999999978</v>
      </c>
      <c r="DE153" s="150">
        <f t="shared" si="390"/>
        <v>2.1052631578947363</v>
      </c>
      <c r="DF153" s="150">
        <f t="shared" si="391"/>
        <v>0.2295918367346938</v>
      </c>
      <c r="DG153" s="150"/>
      <c r="DH153" s="150">
        <f t="shared" si="392"/>
        <v>2.1052631578947367</v>
      </c>
      <c r="DI153" s="314">
        <f t="shared" si="393"/>
        <v>490.20000000000005</v>
      </c>
      <c r="DJ153" s="456">
        <f t="shared" si="394"/>
        <v>0.3061224489795919</v>
      </c>
      <c r="DL153" s="150">
        <f t="shared" si="395"/>
        <v>1.2798809468443688</v>
      </c>
      <c r="DM153" s="150">
        <f t="shared" si="396"/>
        <v>2.0385185185185186</v>
      </c>
      <c r="DN153" s="150">
        <f t="shared" si="397"/>
        <v>1.969272976680384</v>
      </c>
      <c r="DP153" s="314">
        <f t="shared" si="398"/>
        <v>516</v>
      </c>
      <c r="DQ153" s="144">
        <f t="shared" si="399"/>
        <v>142.66062529663026</v>
      </c>
      <c r="DS153" s="144">
        <f t="shared" si="400"/>
        <v>516</v>
      </c>
      <c r="DT153" s="144">
        <f t="shared" si="401"/>
        <v>142.66062529663026</v>
      </c>
      <c r="DV153" s="5">
        <f t="shared" si="402"/>
        <v>7.0096426250812227</v>
      </c>
      <c r="DW153" s="5">
        <f t="shared" si="403"/>
        <v>2.7180246913580253</v>
      </c>
      <c r="DX153" s="5">
        <f t="shared" si="404"/>
        <v>4.291617933723197</v>
      </c>
      <c r="DY153" s="150">
        <f t="shared" si="405"/>
        <v>0.38775510204081637</v>
      </c>
      <c r="EA153" s="5">
        <f t="shared" si="406"/>
        <v>28.050014814814823</v>
      </c>
      <c r="EB153" s="5">
        <f t="shared" si="407"/>
        <v>3.6523456790123463</v>
      </c>
      <c r="EC153" s="5">
        <f t="shared" si="408"/>
        <v>0.51260991986138182</v>
      </c>
      <c r="ED153" s="5"/>
      <c r="EE153" s="150">
        <f t="shared" si="409"/>
        <v>0.73287987181182035</v>
      </c>
      <c r="EF153" s="150">
        <f t="shared" si="410"/>
        <v>0.92090879585009322</v>
      </c>
      <c r="EG153" s="150">
        <f t="shared" si="411"/>
        <v>0.20585020142531496</v>
      </c>
      <c r="EH153" s="150"/>
      <c r="EI153" s="456">
        <f t="shared" si="412"/>
        <v>1.0742258130138205E-2</v>
      </c>
      <c r="EJ153" s="456">
        <f t="shared" si="413"/>
        <v>8.5499999999999979E-2</v>
      </c>
      <c r="EK153" s="456">
        <f t="shared" si="414"/>
        <v>1.7832578162078783E-2</v>
      </c>
      <c r="EL153" s="456">
        <f t="shared" si="415"/>
        <v>3.0827534520348832E-3</v>
      </c>
      <c r="EM153">
        <f t="shared" si="416"/>
        <v>4.0499999999999998E-3</v>
      </c>
      <c r="EN153" s="144">
        <f t="shared" si="417"/>
        <v>21.882578162078779</v>
      </c>
      <c r="EP153" s="144">
        <f t="shared" si="439"/>
        <v>121.20758974425186</v>
      </c>
      <c r="EQ153" s="150">
        <f t="shared" si="418"/>
        <v>0.36119999999999997</v>
      </c>
      <c r="ER153" s="150">
        <f t="shared" si="475"/>
        <v>4.7703124999999999E-2</v>
      </c>
      <c r="ES153" s="456"/>
      <c r="EU153" s="144">
        <f t="shared" si="420"/>
        <v>408.90312499999999</v>
      </c>
      <c r="EV153" s="456">
        <f t="shared" si="421"/>
        <v>1.6113387195207305E-2</v>
      </c>
      <c r="EW153" s="456">
        <f t="shared" si="422"/>
        <v>2.5442190308222059E-2</v>
      </c>
      <c r="EX153" s="456">
        <f t="shared" si="423"/>
        <v>2.1187152713421373E-4</v>
      </c>
      <c r="EY153" s="456">
        <f t="shared" si="424"/>
        <v>7.2113564882065412E-2</v>
      </c>
      <c r="EZ153" s="456"/>
      <c r="FA153" s="538">
        <f t="shared" si="425"/>
        <v>5.9283446712018139E-4</v>
      </c>
      <c r="FB153" s="144">
        <f t="shared" si="426"/>
        <v>114.47384837974917</v>
      </c>
      <c r="FC153" s="150">
        <f t="shared" si="427"/>
        <v>0.64458456312400092</v>
      </c>
      <c r="FD153" s="5">
        <f t="shared" si="428"/>
        <v>3.44</v>
      </c>
      <c r="FE153" s="150">
        <f t="shared" si="429"/>
        <v>0.84219091240187094</v>
      </c>
      <c r="FF153" s="5">
        <f t="shared" si="430"/>
        <v>84.219091240187097</v>
      </c>
      <c r="FG153">
        <f t="shared" si="431"/>
        <v>43.000000000000007</v>
      </c>
      <c r="FI153" s="59">
        <f t="shared" si="432"/>
        <v>-50</v>
      </c>
      <c r="FJ153">
        <f t="shared" si="433"/>
        <v>-50</v>
      </c>
    </row>
    <row r="154" spans="5:166">
      <c r="E154" s="147">
        <v>44</v>
      </c>
      <c r="F154" s="188">
        <f t="shared" si="476"/>
        <v>0.52800000000000002</v>
      </c>
      <c r="G154" s="188">
        <f t="shared" si="444"/>
        <v>0.11</v>
      </c>
      <c r="H154" s="188">
        <f t="shared" si="445"/>
        <v>2.64</v>
      </c>
      <c r="I154" s="188">
        <f t="shared" si="446"/>
        <v>0.88</v>
      </c>
      <c r="J154" s="465">
        <f t="shared" si="447"/>
        <v>8.9274142555072391</v>
      </c>
      <c r="K154" s="379">
        <f t="shared" si="448"/>
        <v>5.7276929692768475</v>
      </c>
      <c r="L154" s="149">
        <f t="shared" si="449"/>
        <v>14.655107224784086</v>
      </c>
      <c r="M154" s="379"/>
      <c r="N154" s="188">
        <f t="shared" si="450"/>
        <v>0.39083255287210866</v>
      </c>
      <c r="O154" s="149">
        <f t="shared" si="451"/>
        <v>6.5421076950501558</v>
      </c>
      <c r="P154" s="149">
        <f t="shared" si="452"/>
        <v>2.9076034200222911</v>
      </c>
      <c r="Q154" s="188">
        <f t="shared" si="322"/>
        <v>1.3084215390100311</v>
      </c>
      <c r="R154" s="188">
        <f t="shared" si="453"/>
        <v>0.81776346188126947</v>
      </c>
      <c r="S154" s="188">
        <f t="shared" si="454"/>
        <v>5</v>
      </c>
      <c r="T154" s="188">
        <f t="shared" si="455"/>
        <v>2.0176983650066314</v>
      </c>
      <c r="U154" s="188">
        <f t="shared" si="326"/>
        <v>2.7121381048429769</v>
      </c>
      <c r="V154" s="188">
        <f t="shared" si="327"/>
        <v>4.2272483022316258</v>
      </c>
      <c r="W154" s="172">
        <f t="shared" si="328"/>
        <v>290.76034200222909</v>
      </c>
      <c r="X154" s="379">
        <f t="shared" si="435"/>
        <v>140.06805949164959</v>
      </c>
      <c r="Z154" s="188">
        <f t="shared" si="329"/>
        <v>1</v>
      </c>
      <c r="AA154" s="150">
        <f t="shared" si="330"/>
        <v>2.0950843671906991</v>
      </c>
      <c r="AB154" s="150">
        <f t="shared" si="456"/>
        <v>0.22843779267295927</v>
      </c>
      <c r="AC154" s="150"/>
      <c r="AD154" s="150">
        <f t="shared" si="332"/>
        <v>2.0950843671906991</v>
      </c>
      <c r="AE154" s="314">
        <f t="shared" si="457"/>
        <v>504.03698129636251</v>
      </c>
      <c r="AF154" s="456">
        <f t="shared" si="458"/>
        <v>0.3045837235639457</v>
      </c>
      <c r="AH154" s="150">
        <f t="shared" si="459"/>
        <v>1.2946777499402993</v>
      </c>
      <c r="AI154" s="150">
        <f t="shared" si="460"/>
        <v>2.0176983650066314</v>
      </c>
      <c r="AJ154" s="150">
        <f t="shared" si="461"/>
        <v>1.9538506407456528</v>
      </c>
      <c r="AL154" s="314">
        <f t="shared" si="462"/>
        <v>528</v>
      </c>
      <c r="AM154" s="144">
        <f t="shared" si="463"/>
        <v>140.06805949164959</v>
      </c>
      <c r="AO154" s="144">
        <f t="shared" si="340"/>
        <v>528</v>
      </c>
      <c r="AP154" s="144">
        <f t="shared" si="341"/>
        <v>140.06805949164959</v>
      </c>
      <c r="AR154" s="5">
        <f t="shared" si="443"/>
        <v>7.1393864070746034</v>
      </c>
      <c r="AS154" s="5">
        <f t="shared" si="440"/>
        <v>2.7121381048429769</v>
      </c>
      <c r="AT154" s="5">
        <f t="shared" si="441"/>
        <v>4.4272483022316269</v>
      </c>
      <c r="AU154" s="150">
        <f t="shared" si="442"/>
        <v>0.37988392141871585</v>
      </c>
      <c r="AW154" s="5">
        <f t="shared" si="342"/>
        <v>28.640178387141837</v>
      </c>
      <c r="AX154" s="5">
        <f t="shared" si="343"/>
        <v>3.7291898941590933</v>
      </c>
      <c r="AY154" s="5">
        <f t="shared" si="344"/>
        <v>0.54550769047717806</v>
      </c>
      <c r="AZ154" s="5"/>
      <c r="BA154" s="150">
        <f t="shared" si="345"/>
        <v>0.71799442308142458</v>
      </c>
      <c r="BB154" s="150">
        <f t="shared" si="346"/>
        <v>0.91734375916235267</v>
      </c>
      <c r="BC154" s="150">
        <f t="shared" si="347"/>
        <v>0.20505331087158477</v>
      </c>
      <c r="BD154" s="150"/>
      <c r="BE154" s="456">
        <f t="shared" si="348"/>
        <v>1.0310319831520554E-2</v>
      </c>
      <c r="BF154" s="456">
        <f t="shared" si="464"/>
        <v>7.7657897157859521E-2</v>
      </c>
      <c r="BG154" s="456">
        <f t="shared" si="465"/>
        <v>3.1261139776174715E-2</v>
      </c>
      <c r="BH154" s="456">
        <f t="shared" si="351"/>
        <v>3.0082720772347518E-3</v>
      </c>
      <c r="BI154">
        <f t="shared" si="352"/>
        <v>4.0173364149782573E-3</v>
      </c>
      <c r="BJ154" s="144">
        <f t="shared" si="436"/>
        <v>35.278476191152969</v>
      </c>
      <c r="BK154">
        <f t="shared" si="466"/>
        <v>9.3990527022113496E-2</v>
      </c>
      <c r="BL154" s="144">
        <f t="shared" si="437"/>
        <v>126.25496525776781</v>
      </c>
      <c r="BM154" s="150">
        <f t="shared" si="467"/>
        <v>0.32801999999999998</v>
      </c>
      <c r="BN154" s="150">
        <f t="shared" si="468"/>
        <v>6.8337499999999995E-2</v>
      </c>
      <c r="BO154" s="456"/>
      <c r="BQ154" s="144">
        <f t="shared" si="356"/>
        <v>396.35749999999996</v>
      </c>
      <c r="BR154" s="456">
        <f t="shared" si="357"/>
        <v>1.546547974728083E-2</v>
      </c>
      <c r="BS154" s="456">
        <f t="shared" si="358"/>
        <v>2.5245587174223493E-2</v>
      </c>
      <c r="BT154" s="456">
        <f t="shared" si="359"/>
        <v>2.1023430149699391E-4</v>
      </c>
      <c r="BU154" s="456">
        <f t="shared" si="360"/>
        <v>6.7136452514421921E-2</v>
      </c>
      <c r="BV154" s="456"/>
      <c r="BW154" s="538">
        <f t="shared" si="469"/>
        <v>5.7023201435297979E-4</v>
      </c>
      <c r="BX154" s="144">
        <f t="shared" si="362"/>
        <v>108.62798575177622</v>
      </c>
      <c r="BY154" s="150">
        <f t="shared" si="363"/>
        <v>0.63124045100954407</v>
      </c>
      <c r="BZ154" s="5">
        <f t="shared" si="364"/>
        <v>3.52</v>
      </c>
      <c r="CA154" s="150">
        <f t="shared" si="365"/>
        <v>0.84793931875084905</v>
      </c>
      <c r="CB154" s="5">
        <f t="shared" si="366"/>
        <v>84.793931875084908</v>
      </c>
      <c r="CC154">
        <f t="shared" si="367"/>
        <v>44.000000000000007</v>
      </c>
      <c r="CE154" s="59">
        <f t="shared" si="470"/>
        <v>-50</v>
      </c>
      <c r="CF154">
        <f t="shared" si="471"/>
        <v>-50</v>
      </c>
      <c r="CG154" s="150">
        <f t="shared" si="370"/>
        <v>0.57198633493024886</v>
      </c>
      <c r="CH154" s="150">
        <f t="shared" si="472"/>
        <v>0.31031053622728111</v>
      </c>
      <c r="CI154" s="147">
        <v>44</v>
      </c>
      <c r="CJ154" s="188">
        <f t="shared" si="438"/>
        <v>0.52800000000000002</v>
      </c>
      <c r="CK154" s="188">
        <f t="shared" si="372"/>
        <v>0.11</v>
      </c>
      <c r="CL154" s="188">
        <f t="shared" si="373"/>
        <v>2.64</v>
      </c>
      <c r="CM154" s="188">
        <f t="shared" si="374"/>
        <v>0.88</v>
      </c>
      <c r="CN154" s="465">
        <f t="shared" si="375"/>
        <v>9</v>
      </c>
      <c r="CO154" s="379">
        <f t="shared" si="473"/>
        <v>5.7</v>
      </c>
      <c r="CP154" s="379">
        <f t="shared" si="474"/>
        <v>14.7</v>
      </c>
      <c r="CQ154" s="379"/>
      <c r="CR154" s="188">
        <f t="shared" si="378"/>
        <v>0.375</v>
      </c>
      <c r="CS154" s="149">
        <f t="shared" si="379"/>
        <v>6.328125</v>
      </c>
      <c r="CT154" s="149">
        <f t="shared" si="380"/>
        <v>2.8125</v>
      </c>
      <c r="CU154" s="188">
        <f t="shared" si="381"/>
        <v>1.265625</v>
      </c>
      <c r="CV154" s="188">
        <f t="shared" si="382"/>
        <v>0.791015625</v>
      </c>
      <c r="CW154" s="188">
        <f t="shared" si="383"/>
        <v>5</v>
      </c>
      <c r="CX154" s="188">
        <f t="shared" si="384"/>
        <v>2.0859259259259257</v>
      </c>
      <c r="CY154" s="188">
        <f t="shared" si="385"/>
        <v>2.7812345679012345</v>
      </c>
      <c r="CZ154" s="188">
        <f t="shared" si="386"/>
        <v>4.3914230019493168</v>
      </c>
      <c r="DA154" s="172">
        <f t="shared" si="387"/>
        <v>290.81632653061229</v>
      </c>
      <c r="DB154" s="379">
        <f t="shared" si="388"/>
        <v>139.41833835807051</v>
      </c>
      <c r="DD154" s="188">
        <f t="shared" si="389"/>
        <v>0.99999999999999978</v>
      </c>
      <c r="DE154" s="150">
        <f t="shared" si="390"/>
        <v>2.1052631578947363</v>
      </c>
      <c r="DF154" s="150">
        <f t="shared" si="391"/>
        <v>0.2295918367346938</v>
      </c>
      <c r="DG154" s="150"/>
      <c r="DH154" s="150">
        <f t="shared" si="392"/>
        <v>2.1052631578947367</v>
      </c>
      <c r="DI154" s="314">
        <f t="shared" si="393"/>
        <v>501.60000000000008</v>
      </c>
      <c r="DJ154" s="456">
        <f t="shared" si="394"/>
        <v>0.3061224489795919</v>
      </c>
      <c r="DL154" s="150">
        <f t="shared" si="395"/>
        <v>1.2946777499402993</v>
      </c>
      <c r="DM154" s="150">
        <f t="shared" si="396"/>
        <v>2.0859259259259257</v>
      </c>
      <c r="DN154" s="150">
        <f t="shared" si="397"/>
        <v>2.0043895747599452</v>
      </c>
      <c r="DP154" s="314">
        <f t="shared" si="398"/>
        <v>528</v>
      </c>
      <c r="DQ154" s="144">
        <f t="shared" si="399"/>
        <v>139.41833835807051</v>
      </c>
      <c r="DS154" s="144">
        <f t="shared" si="400"/>
        <v>528</v>
      </c>
      <c r="DT154" s="144">
        <f t="shared" si="401"/>
        <v>139.41833835807051</v>
      </c>
      <c r="DV154" s="5">
        <f t="shared" si="402"/>
        <v>7.1726575698505517</v>
      </c>
      <c r="DW154" s="5">
        <f t="shared" si="403"/>
        <v>2.7812345679012345</v>
      </c>
      <c r="DX154" s="5">
        <f t="shared" si="404"/>
        <v>4.3914230019493168</v>
      </c>
      <c r="DY154" s="150">
        <f t="shared" si="405"/>
        <v>0.38775510204081637</v>
      </c>
      <c r="EA154" s="5">
        <f t="shared" si="406"/>
        <v>29.369837037037041</v>
      </c>
      <c r="EB154" s="5">
        <f t="shared" si="407"/>
        <v>3.8241975308641978</v>
      </c>
      <c r="EC154" s="5">
        <f t="shared" si="408"/>
        <v>0.53672947801602755</v>
      </c>
      <c r="ED154" s="5"/>
      <c r="EE154" s="150">
        <f t="shared" si="409"/>
        <v>0.74992358976093232</v>
      </c>
      <c r="EF154" s="150">
        <f t="shared" si="410"/>
        <v>0.94232527947451383</v>
      </c>
      <c r="EG154" s="150">
        <f t="shared" si="411"/>
        <v>0.21063741541195016</v>
      </c>
      <c r="EH154" s="150"/>
      <c r="EI154" s="456">
        <f t="shared" si="412"/>
        <v>1.1247707809598462E-2</v>
      </c>
      <c r="EJ154" s="456">
        <f t="shared" si="413"/>
        <v>8.5500000000000007E-2</v>
      </c>
      <c r="EK154" s="456">
        <f t="shared" si="414"/>
        <v>1.7427292294758812E-2</v>
      </c>
      <c r="EL154" s="456">
        <f t="shared" si="415"/>
        <v>3.0126908735795457E-3</v>
      </c>
      <c r="EM154">
        <f t="shared" si="416"/>
        <v>4.0499999999999998E-3</v>
      </c>
      <c r="EN154" s="144">
        <f t="shared" si="417"/>
        <v>21.477292294758811</v>
      </c>
      <c r="EP154" s="144">
        <f t="shared" si="439"/>
        <v>121.23769097793682</v>
      </c>
      <c r="EQ154" s="150">
        <f t="shared" si="418"/>
        <v>0.36959999999999998</v>
      </c>
      <c r="ER154" s="150">
        <f t="shared" si="475"/>
        <v>4.8812499999999995E-2</v>
      </c>
      <c r="ES154" s="456"/>
      <c r="EU154" s="144">
        <f t="shared" si="420"/>
        <v>418.41249999999997</v>
      </c>
      <c r="EV154" s="456">
        <f t="shared" si="421"/>
        <v>1.6871561714397691E-2</v>
      </c>
      <c r="EW154" s="456">
        <f t="shared" si="422"/>
        <v>2.6639307970101618E-2</v>
      </c>
      <c r="EX154" s="456">
        <f t="shared" si="423"/>
        <v>2.2184060385713232E-4</v>
      </c>
      <c r="EY154" s="456">
        <f t="shared" si="424"/>
        <v>7.211356488206544E-2</v>
      </c>
      <c r="EZ154" s="456"/>
      <c r="FA154" s="538">
        <f t="shared" si="425"/>
        <v>6.0662131519274376E-4</v>
      </c>
      <c r="FB154" s="144">
        <f t="shared" si="426"/>
        <v>116.45289648561463</v>
      </c>
      <c r="FC154" s="150">
        <f t="shared" si="427"/>
        <v>0.6561030874635515</v>
      </c>
      <c r="FD154" s="5">
        <f t="shared" si="428"/>
        <v>3.52</v>
      </c>
      <c r="FE154" s="150">
        <f t="shared" si="429"/>
        <v>0.84289107004251418</v>
      </c>
      <c r="FF154" s="5">
        <f t="shared" si="430"/>
        <v>84.28910700425142</v>
      </c>
      <c r="FG154">
        <f t="shared" si="431"/>
        <v>44.000000000000007</v>
      </c>
      <c r="FI154" s="59">
        <f t="shared" si="432"/>
        <v>-50</v>
      </c>
      <c r="FJ154">
        <f t="shared" si="433"/>
        <v>-50</v>
      </c>
    </row>
    <row r="155" spans="5:166">
      <c r="E155" s="147">
        <v>45</v>
      </c>
      <c r="F155" s="188">
        <f t="shared" si="476"/>
        <v>0.54</v>
      </c>
      <c r="G155" s="188">
        <f t="shared" si="444"/>
        <v>0.1125</v>
      </c>
      <c r="H155" s="188">
        <f t="shared" si="445"/>
        <v>2.7</v>
      </c>
      <c r="I155" s="188">
        <f t="shared" si="446"/>
        <v>0.9</v>
      </c>
      <c r="J155" s="465">
        <f t="shared" si="447"/>
        <v>8.9257645794960396</v>
      </c>
      <c r="K155" s="379">
        <f t="shared" si="448"/>
        <v>5.7283223549422306</v>
      </c>
      <c r="L155" s="149">
        <f t="shared" si="449"/>
        <v>14.65408693443827</v>
      </c>
      <c r="M155" s="379"/>
      <c r="N155" s="188">
        <f t="shared" si="450"/>
        <v>0.3909027140735884</v>
      </c>
      <c r="O155" s="149">
        <f t="shared" si="451"/>
        <v>6.5420729987004442</v>
      </c>
      <c r="P155" s="149">
        <f t="shared" si="452"/>
        <v>2.9075879994224199</v>
      </c>
      <c r="Q155" s="188">
        <f t="shared" si="322"/>
        <v>1.3084145997400889</v>
      </c>
      <c r="R155" s="188">
        <f t="shared" si="453"/>
        <v>0.81775912483755553</v>
      </c>
      <c r="S155" s="188">
        <f t="shared" si="454"/>
        <v>5</v>
      </c>
      <c r="T155" s="188">
        <f t="shared" si="455"/>
        <v>2.063566090241078</v>
      </c>
      <c r="U155" s="188">
        <f t="shared" si="326"/>
        <v>2.7743049754838003</v>
      </c>
      <c r="V155" s="188">
        <f t="shared" si="327"/>
        <v>4.3228700391709474</v>
      </c>
      <c r="W155" s="172">
        <f t="shared" si="328"/>
        <v>290.75879994224198</v>
      </c>
      <c r="X155" s="379">
        <f t="shared" si="435"/>
        <v>137.03933343954654</v>
      </c>
      <c r="Z155" s="188">
        <f t="shared" si="329"/>
        <v>1</v>
      </c>
      <c r="AA155" s="150">
        <f t="shared" si="330"/>
        <v>2.0948541748260285</v>
      </c>
      <c r="AB155" s="150">
        <f t="shared" si="456"/>
        <v>0.22841148222240432</v>
      </c>
      <c r="AC155" s="150"/>
      <c r="AD155" s="150">
        <f t="shared" si="332"/>
        <v>2.0948541748260285</v>
      </c>
      <c r="AE155" s="314">
        <f t="shared" si="457"/>
        <v>515.54901194480078</v>
      </c>
      <c r="AF155" s="456">
        <f t="shared" si="458"/>
        <v>0.30454864296320583</v>
      </c>
      <c r="AH155" s="150">
        <f t="shared" si="459"/>
        <v>1.3093073414159542</v>
      </c>
      <c r="AI155" s="150">
        <f t="shared" si="460"/>
        <v>2.063566090241078</v>
      </c>
      <c r="AJ155" s="150">
        <f t="shared" si="461"/>
        <v>1.9878267335119095</v>
      </c>
      <c r="AL155" s="314">
        <f t="shared" si="462"/>
        <v>540</v>
      </c>
      <c r="AM155" s="144">
        <f t="shared" si="463"/>
        <v>137.03933343954654</v>
      </c>
      <c r="AO155" s="144">
        <f t="shared" si="340"/>
        <v>540</v>
      </c>
      <c r="AP155" s="144">
        <f t="shared" si="341"/>
        <v>137.03933343954654</v>
      </c>
      <c r="AR155" s="5">
        <f t="shared" si="443"/>
        <v>7.2971750146547478</v>
      </c>
      <c r="AS155" s="5">
        <f t="shared" si="440"/>
        <v>2.7743049754838003</v>
      </c>
      <c r="AT155" s="5">
        <f t="shared" si="441"/>
        <v>4.5228700391709475</v>
      </c>
      <c r="AU155" s="150">
        <f t="shared" si="442"/>
        <v>0.38018890459831756</v>
      </c>
      <c r="AW155" s="5">
        <f t="shared" si="342"/>
        <v>29.962493735225046</v>
      </c>
      <c r="AX155" s="5">
        <f t="shared" si="343"/>
        <v>3.9013663717740941</v>
      </c>
      <c r="AY155" s="5">
        <f t="shared" si="344"/>
        <v>0.57006083330450141</v>
      </c>
      <c r="AZ155" s="5"/>
      <c r="BA155" s="150">
        <f t="shared" si="345"/>
        <v>0.73461108003679565</v>
      </c>
      <c r="BB155" s="150">
        <f t="shared" si="346"/>
        <v>0.93796671796931164</v>
      </c>
      <c r="BC155" s="150">
        <f t="shared" si="347"/>
        <v>0.20966314872255204</v>
      </c>
      <c r="BD155" s="150"/>
      <c r="BE155" s="456">
        <f t="shared" si="348"/>
        <v>1.0793068778256547E-2</v>
      </c>
      <c r="BF155" s="456">
        <f t="shared" si="464"/>
        <v>7.7700471810894275E-2</v>
      </c>
      <c r="BG155" s="456">
        <f t="shared" si="465"/>
        <v>3.0579520710311295E-2</v>
      </c>
      <c r="BH155" s="456">
        <f t="shared" si="351"/>
        <v>2.9428136703698688E-3</v>
      </c>
      <c r="BI155">
        <f t="shared" si="352"/>
        <v>4.0165940607732181E-3</v>
      </c>
      <c r="BJ155" s="144">
        <f t="shared" si="436"/>
        <v>34.596114771084515</v>
      </c>
      <c r="BK155">
        <f t="shared" si="466"/>
        <v>9.4593060408738258E-2</v>
      </c>
      <c r="BL155" s="144">
        <f t="shared" si="437"/>
        <v>126.03246903060523</v>
      </c>
      <c r="BM155" s="150">
        <f t="shared" si="467"/>
        <v>0.33547499999999997</v>
      </c>
      <c r="BN155" s="150">
        <f t="shared" si="468"/>
        <v>6.9890624999999998E-2</v>
      </c>
      <c r="BO155" s="456"/>
      <c r="BQ155" s="144">
        <f t="shared" si="356"/>
        <v>405.36562499999997</v>
      </c>
      <c r="BR155" s="456">
        <f t="shared" si="357"/>
        <v>1.6189603167384822E-2</v>
      </c>
      <c r="BS155" s="456">
        <f t="shared" si="358"/>
        <v>2.6393446920543667E-2</v>
      </c>
      <c r="BT155" s="456">
        <f t="shared" si="359"/>
        <v>2.197931796612749E-4</v>
      </c>
      <c r="BU155" s="456">
        <f t="shared" si="360"/>
        <v>6.7240209034492154E-2</v>
      </c>
      <c r="BV155" s="456"/>
      <c r="BW155" s="538">
        <f t="shared" si="469"/>
        <v>5.8355527998725433E-4</v>
      </c>
      <c r="BX155" s="144">
        <f t="shared" si="362"/>
        <v>110.62660758206917</v>
      </c>
      <c r="BY155" s="150">
        <f t="shared" si="363"/>
        <v>0.64202470161267433</v>
      </c>
      <c r="BZ155" s="5">
        <f t="shared" si="364"/>
        <v>3.6</v>
      </c>
      <c r="CA155" s="150">
        <f t="shared" si="365"/>
        <v>0.84865135241466216</v>
      </c>
      <c r="CB155" s="5">
        <f t="shared" si="366"/>
        <v>84.86513524146622</v>
      </c>
      <c r="CC155">
        <f t="shared" si="367"/>
        <v>45.000000000000007</v>
      </c>
      <c r="CE155" s="59">
        <f t="shared" si="470"/>
        <v>-50</v>
      </c>
      <c r="CF155">
        <f t="shared" si="471"/>
        <v>-50</v>
      </c>
      <c r="CG155" s="150">
        <f t="shared" si="370"/>
        <v>0.57198633493024886</v>
      </c>
      <c r="CH155" s="150">
        <f t="shared" si="472"/>
        <v>0.31031053622728111</v>
      </c>
      <c r="CI155" s="147">
        <v>45</v>
      </c>
      <c r="CJ155" s="188">
        <f t="shared" si="438"/>
        <v>0.54</v>
      </c>
      <c r="CK155" s="188">
        <f t="shared" si="372"/>
        <v>0.1125</v>
      </c>
      <c r="CL155" s="188">
        <f t="shared" si="373"/>
        <v>2.7</v>
      </c>
      <c r="CM155" s="188">
        <f t="shared" si="374"/>
        <v>0.9</v>
      </c>
      <c r="CN155" s="465">
        <f t="shared" si="375"/>
        <v>9</v>
      </c>
      <c r="CO155" s="379">
        <f t="shared" si="473"/>
        <v>5.7</v>
      </c>
      <c r="CP155" s="379">
        <f t="shared" si="474"/>
        <v>14.7</v>
      </c>
      <c r="CQ155" s="379"/>
      <c r="CR155" s="188">
        <f t="shared" si="378"/>
        <v>0.375</v>
      </c>
      <c r="CS155" s="149">
        <f t="shared" si="379"/>
        <v>6.328125</v>
      </c>
      <c r="CT155" s="149">
        <f t="shared" si="380"/>
        <v>2.8125</v>
      </c>
      <c r="CU155" s="188">
        <f t="shared" si="381"/>
        <v>1.265625</v>
      </c>
      <c r="CV155" s="188">
        <f t="shared" si="382"/>
        <v>0.791015625</v>
      </c>
      <c r="CW155" s="188">
        <f t="shared" si="383"/>
        <v>5</v>
      </c>
      <c r="CX155" s="188">
        <f t="shared" si="384"/>
        <v>2.1333333333333333</v>
      </c>
      <c r="CY155" s="188">
        <f t="shared" si="385"/>
        <v>2.8444444444444441</v>
      </c>
      <c r="CZ155" s="188">
        <f t="shared" si="386"/>
        <v>4.4912280701754383</v>
      </c>
      <c r="DA155" s="172">
        <f t="shared" si="387"/>
        <v>290.81632653061229</v>
      </c>
      <c r="DB155" s="379">
        <f t="shared" si="388"/>
        <v>136.32015306122449</v>
      </c>
      <c r="DD155" s="188">
        <f t="shared" si="389"/>
        <v>0.99999999999999978</v>
      </c>
      <c r="DE155" s="150">
        <f t="shared" si="390"/>
        <v>2.1052631578947363</v>
      </c>
      <c r="DF155" s="150">
        <f t="shared" si="391"/>
        <v>0.2295918367346938</v>
      </c>
      <c r="DG155" s="150"/>
      <c r="DH155" s="150">
        <f t="shared" si="392"/>
        <v>2.1052631578947367</v>
      </c>
      <c r="DI155" s="314">
        <f t="shared" si="393"/>
        <v>513.00000000000011</v>
      </c>
      <c r="DJ155" s="456">
        <f t="shared" si="394"/>
        <v>0.3061224489795919</v>
      </c>
      <c r="DL155" s="150">
        <f t="shared" si="395"/>
        <v>1.3093073414159542</v>
      </c>
      <c r="DM155" s="150">
        <f t="shared" si="396"/>
        <v>2.1333333333333333</v>
      </c>
      <c r="DN155" s="150">
        <f t="shared" si="397"/>
        <v>2.0395061728395061</v>
      </c>
      <c r="DP155" s="314">
        <f t="shared" si="398"/>
        <v>540</v>
      </c>
      <c r="DQ155" s="144">
        <f t="shared" si="399"/>
        <v>136.32015306122449</v>
      </c>
      <c r="DS155" s="144">
        <f t="shared" si="400"/>
        <v>540</v>
      </c>
      <c r="DT155" s="144">
        <f t="shared" si="401"/>
        <v>136.32015306122449</v>
      </c>
      <c r="DV155" s="5">
        <f t="shared" si="402"/>
        <v>7.3356725146198825</v>
      </c>
      <c r="DW155" s="5">
        <f t="shared" si="403"/>
        <v>2.8444444444444441</v>
      </c>
      <c r="DX155" s="5">
        <f t="shared" si="404"/>
        <v>4.4912280701754383</v>
      </c>
      <c r="DY155" s="150">
        <f t="shared" si="405"/>
        <v>0.38775510204081631</v>
      </c>
      <c r="EA155" s="5">
        <f t="shared" si="406"/>
        <v>30.72</v>
      </c>
      <c r="EB155" s="5">
        <f t="shared" si="407"/>
        <v>3.9999999999999991</v>
      </c>
      <c r="EC155" s="5">
        <f t="shared" si="408"/>
        <v>0.56140350877192979</v>
      </c>
      <c r="ED155" s="5"/>
      <c r="EE155" s="150">
        <f t="shared" si="409"/>
        <v>0.76696730771004451</v>
      </c>
      <c r="EF155" s="150">
        <f t="shared" si="410"/>
        <v>0.96374176309893467</v>
      </c>
      <c r="EG155" s="150">
        <f t="shared" si="411"/>
        <v>0.21542462939858542</v>
      </c>
      <c r="EH155" s="150"/>
      <c r="EI155" s="456">
        <f t="shared" si="412"/>
        <v>1.1764777021919881E-2</v>
      </c>
      <c r="EJ155" s="456">
        <f t="shared" si="413"/>
        <v>8.5500000000000007E-2</v>
      </c>
      <c r="EK155" s="456">
        <f t="shared" si="414"/>
        <v>1.7040019132653059E-2</v>
      </c>
      <c r="EL155" s="456">
        <f t="shared" si="415"/>
        <v>2.9457421874999998E-3</v>
      </c>
      <c r="EM155">
        <f t="shared" si="416"/>
        <v>4.0499999999999998E-3</v>
      </c>
      <c r="EN155" s="144">
        <f t="shared" si="417"/>
        <v>21.090019132653058</v>
      </c>
      <c r="EP155" s="144">
        <f t="shared" si="439"/>
        <v>121.30053834207295</v>
      </c>
      <c r="EQ155" s="150">
        <f t="shared" si="418"/>
        <v>0.378</v>
      </c>
      <c r="ER155" s="150">
        <f t="shared" si="475"/>
        <v>4.9921874999999998E-2</v>
      </c>
      <c r="ES155" s="456"/>
      <c r="EU155" s="144">
        <f t="shared" si="420"/>
        <v>427.921875</v>
      </c>
      <c r="EV155" s="456">
        <f t="shared" si="421"/>
        <v>1.764716553287982E-2</v>
      </c>
      <c r="EW155" s="456">
        <f t="shared" si="422"/>
        <v>2.7863945578231294E-2</v>
      </c>
      <c r="EX155" s="456">
        <f t="shared" si="423"/>
        <v>2.3203885475758936E-4</v>
      </c>
      <c r="EY155" s="456">
        <f t="shared" si="424"/>
        <v>7.2113564882065523E-2</v>
      </c>
      <c r="EZ155" s="456"/>
      <c r="FA155" s="538">
        <f t="shared" si="425"/>
        <v>6.2040816326530614E-4</v>
      </c>
      <c r="FB155" s="144">
        <f t="shared" si="426"/>
        <v>118.47712301119954</v>
      </c>
      <c r="FC155" s="150">
        <f t="shared" si="427"/>
        <v>0.66769953635327239</v>
      </c>
      <c r="FD155" s="5">
        <f t="shared" si="428"/>
        <v>3.6</v>
      </c>
      <c r="FE155" s="150">
        <f t="shared" si="429"/>
        <v>0.84354579541843333</v>
      </c>
      <c r="FF155" s="5">
        <f t="shared" si="430"/>
        <v>84.354579541843336</v>
      </c>
      <c r="FG155">
        <f t="shared" si="431"/>
        <v>45.000000000000007</v>
      </c>
      <c r="FI155" s="59">
        <f t="shared" si="432"/>
        <v>-50</v>
      </c>
      <c r="FJ155">
        <f t="shared" si="433"/>
        <v>-50</v>
      </c>
    </row>
    <row r="156" spans="5:166" s="59" customFormat="1">
      <c r="E156" s="147">
        <v>46</v>
      </c>
      <c r="F156" s="188">
        <f t="shared" si="476"/>
        <v>0.55200000000000005</v>
      </c>
      <c r="G156" s="188">
        <f t="shared" si="444"/>
        <v>0.115</v>
      </c>
      <c r="H156" s="188">
        <f t="shared" si="445"/>
        <v>2.7600000000000002</v>
      </c>
      <c r="I156" s="188">
        <f t="shared" si="446"/>
        <v>0.92</v>
      </c>
      <c r="J156" s="465">
        <f t="shared" si="447"/>
        <v>8.9241149034848402</v>
      </c>
      <c r="K156" s="379">
        <f t="shared" si="448"/>
        <v>5.7289517406076138</v>
      </c>
      <c r="L156" s="149">
        <f t="shared" si="449"/>
        <v>14.653066644092455</v>
      </c>
      <c r="M156" s="379"/>
      <c r="N156" s="188">
        <f t="shared" si="450"/>
        <v>0.39097288504569133</v>
      </c>
      <c r="O156" s="149">
        <f t="shared" si="451"/>
        <v>6.5420380318025977</v>
      </c>
      <c r="P156" s="149">
        <f t="shared" si="452"/>
        <v>2.9075724585789322</v>
      </c>
      <c r="Q156" s="188">
        <f t="shared" si="322"/>
        <v>1.3084076063605194</v>
      </c>
      <c r="R156" s="188">
        <f t="shared" si="453"/>
        <v>0.81775475397532471</v>
      </c>
      <c r="S156" s="188">
        <f t="shared" si="454"/>
        <v>5</v>
      </c>
      <c r="T156" s="188">
        <f t="shared" si="455"/>
        <v>2.1094343892399441</v>
      </c>
      <c r="U156" s="188">
        <f t="shared" si="326"/>
        <v>2.8364956014847587</v>
      </c>
      <c r="V156" s="188">
        <f t="shared" si="327"/>
        <v>4.4184719678219189</v>
      </c>
      <c r="W156" s="172">
        <f t="shared" si="328"/>
        <v>290.75724585789328</v>
      </c>
      <c r="X156" s="379">
        <f t="shared" si="435"/>
        <v>134.13874583669067</v>
      </c>
      <c r="Z156" s="188">
        <f t="shared" si="329"/>
        <v>1</v>
      </c>
      <c r="AA156" s="462">
        <f t="shared" si="330"/>
        <v>2.0946240330394681</v>
      </c>
      <c r="AB156" s="150">
        <f t="shared" si="456"/>
        <v>0.22838516810786574</v>
      </c>
      <c r="AC156" s="462"/>
      <c r="AD156" s="462">
        <f t="shared" si="332"/>
        <v>2.0946240330394681</v>
      </c>
      <c r="AE156" s="314">
        <f t="shared" si="457"/>
        <v>527.0635601359005</v>
      </c>
      <c r="AF156" s="456">
        <f t="shared" si="458"/>
        <v>0.30451355747715431</v>
      </c>
      <c r="AH156" s="150">
        <f t="shared" si="459"/>
        <v>1.3237752650585946</v>
      </c>
      <c r="AI156" s="462">
        <f t="shared" si="460"/>
        <v>2.1094343892399441</v>
      </c>
      <c r="AJ156" s="462">
        <f t="shared" si="461"/>
        <v>2.0218032512888473</v>
      </c>
      <c r="AL156" s="484">
        <f t="shared" si="462"/>
        <v>552</v>
      </c>
      <c r="AM156" s="485">
        <f t="shared" si="463"/>
        <v>134.13874583669067</v>
      </c>
      <c r="AO156" s="59">
        <f t="shared" si="340"/>
        <v>552</v>
      </c>
      <c r="AP156" s="59">
        <f t="shared" si="341"/>
        <v>134.13874583669067</v>
      </c>
      <c r="AR156" s="167">
        <f t="shared" si="443"/>
        <v>7.4549675693066773</v>
      </c>
      <c r="AS156" s="5">
        <f t="shared" si="440"/>
        <v>2.8364956014847587</v>
      </c>
      <c r="AT156" s="5">
        <f t="shared" si="441"/>
        <v>4.6184719678219182</v>
      </c>
      <c r="AU156" s="150">
        <f t="shared" si="442"/>
        <v>0.38048396255445505</v>
      </c>
      <c r="AW156" s="5">
        <f t="shared" si="342"/>
        <v>31.314911440391739</v>
      </c>
      <c r="AX156" s="5">
        <f t="shared" si="343"/>
        <v>4.0774624271343409</v>
      </c>
      <c r="AY156" s="5">
        <f t="shared" si="344"/>
        <v>0.59515625027656038</v>
      </c>
      <c r="AZ156" s="5"/>
      <c r="BA156" s="150">
        <f t="shared" si="345"/>
        <v>0.75123112352043064</v>
      </c>
      <c r="BB156" s="150">
        <f t="shared" si="346"/>
        <v>0.95858730078360466</v>
      </c>
      <c r="BC156" s="150">
        <f t="shared" si="347"/>
        <v>0.21427245546927631</v>
      </c>
      <c r="BD156" s="150"/>
      <c r="BE156" s="456">
        <f t="shared" si="348"/>
        <v>1.1286964018915371E-2</v>
      </c>
      <c r="BF156" s="456">
        <f t="shared" si="464"/>
        <v>7.7740988809261197E-2</v>
      </c>
      <c r="BG156" s="456">
        <f t="shared" si="465"/>
        <v>2.9926739521399404E-2</v>
      </c>
      <c r="BH156" s="456">
        <f t="shared" si="351"/>
        <v>2.8801246964536894E-3</v>
      </c>
      <c r="BI156">
        <f t="shared" si="352"/>
        <v>4.0158517065681781E-3</v>
      </c>
      <c r="BJ156" s="144">
        <f t="shared" si="436"/>
        <v>33.942591227967583</v>
      </c>
      <c r="BK156">
        <f t="shared" si="466"/>
        <v>9.5210892730036967E-2</v>
      </c>
      <c r="BL156" s="144">
        <f t="shared" si="437"/>
        <v>125.85066875259781</v>
      </c>
      <c r="BM156" s="150">
        <f t="shared" si="467"/>
        <v>0.34293000000000001</v>
      </c>
      <c r="BN156" s="150">
        <f t="shared" si="468"/>
        <v>7.144375E-2</v>
      </c>
      <c r="BO156" s="456"/>
      <c r="BP156"/>
      <c r="BQ156" s="144">
        <f t="shared" si="356"/>
        <v>414.37374999999997</v>
      </c>
      <c r="BR156" s="456">
        <f t="shared" si="357"/>
        <v>1.6930446028373056E-2</v>
      </c>
      <c r="BS156" s="456">
        <f t="shared" si="358"/>
        <v>2.7566688396707908E-2</v>
      </c>
      <c r="BT156" s="456">
        <f t="shared" si="359"/>
        <v>2.2956342586416502E-4</v>
      </c>
      <c r="BU156" s="456">
        <f t="shared" si="360"/>
        <v>6.7339620210580792E-2</v>
      </c>
      <c r="BV156" s="456"/>
      <c r="BW156" s="538">
        <f t="shared" si="469"/>
        <v>5.9687898051069934E-4</v>
      </c>
      <c r="BX156" s="144">
        <f t="shared" si="362"/>
        <v>112.66319704203661</v>
      </c>
      <c r="BY156" s="150">
        <f t="shared" si="363"/>
        <v>0.6528876157946345</v>
      </c>
      <c r="BZ156" s="5">
        <f t="shared" si="364"/>
        <v>3.68</v>
      </c>
      <c r="CA156" s="150">
        <f t="shared" si="365"/>
        <v>0.84931812830439701</v>
      </c>
      <c r="CB156" s="5">
        <f t="shared" si="366"/>
        <v>84.931812830439696</v>
      </c>
      <c r="CC156">
        <f t="shared" si="367"/>
        <v>46.000000000000007</v>
      </c>
      <c r="CE156" s="59">
        <f t="shared" si="470"/>
        <v>-50</v>
      </c>
      <c r="CF156">
        <f t="shared" si="471"/>
        <v>-50</v>
      </c>
      <c r="CG156" s="150">
        <f t="shared" si="370"/>
        <v>0.57198633493024875</v>
      </c>
      <c r="CH156" s="150">
        <f t="shared" si="472"/>
        <v>0.31031053622728111</v>
      </c>
      <c r="CI156" s="147">
        <v>46</v>
      </c>
      <c r="CJ156" s="188">
        <f t="shared" si="438"/>
        <v>0.55200000000000005</v>
      </c>
      <c r="CK156" s="188">
        <f t="shared" si="372"/>
        <v>0.115</v>
      </c>
      <c r="CL156" s="188">
        <f t="shared" si="373"/>
        <v>2.7600000000000002</v>
      </c>
      <c r="CM156" s="188">
        <f t="shared" si="374"/>
        <v>0.92</v>
      </c>
      <c r="CN156" s="465">
        <f t="shared" si="375"/>
        <v>9</v>
      </c>
      <c r="CO156" s="379">
        <f t="shared" si="473"/>
        <v>5.7</v>
      </c>
      <c r="CP156" s="379">
        <f t="shared" si="474"/>
        <v>14.7</v>
      </c>
      <c r="CQ156" s="379"/>
      <c r="CR156" s="188">
        <f t="shared" si="378"/>
        <v>0.375</v>
      </c>
      <c r="CS156" s="149">
        <f t="shared" si="379"/>
        <v>6.328125</v>
      </c>
      <c r="CT156" s="149">
        <f t="shared" si="380"/>
        <v>2.8125</v>
      </c>
      <c r="CU156" s="188">
        <f t="shared" si="381"/>
        <v>1.265625</v>
      </c>
      <c r="CV156" s="188">
        <f t="shared" si="382"/>
        <v>0.791015625</v>
      </c>
      <c r="CW156" s="188">
        <f t="shared" si="383"/>
        <v>5</v>
      </c>
      <c r="CX156" s="188">
        <f t="shared" si="384"/>
        <v>2.1807407407407409</v>
      </c>
      <c r="CY156" s="188">
        <f t="shared" si="385"/>
        <v>2.9076543209876542</v>
      </c>
      <c r="CZ156" s="188">
        <f t="shared" si="386"/>
        <v>4.5910331384015599</v>
      </c>
      <c r="DA156" s="172">
        <f t="shared" si="387"/>
        <v>290.81632653061229</v>
      </c>
      <c r="DB156" s="379">
        <f t="shared" si="388"/>
        <v>133.35667147293699</v>
      </c>
      <c r="DD156" s="188">
        <f t="shared" si="389"/>
        <v>0.99999999999999978</v>
      </c>
      <c r="DE156" s="462">
        <f t="shared" si="390"/>
        <v>2.1052631578947363</v>
      </c>
      <c r="DF156" s="150">
        <f t="shared" si="391"/>
        <v>0.2295918367346938</v>
      </c>
      <c r="DG156" s="462"/>
      <c r="DH156" s="462">
        <f t="shared" si="392"/>
        <v>2.1052631578947367</v>
      </c>
      <c r="DI156" s="314">
        <f t="shared" si="393"/>
        <v>524.40000000000009</v>
      </c>
      <c r="DJ156" s="456">
        <f t="shared" si="394"/>
        <v>0.3061224489795919</v>
      </c>
      <c r="DL156" s="150">
        <f t="shared" si="395"/>
        <v>1.3237752650585946</v>
      </c>
      <c r="DM156" s="462">
        <f t="shared" si="396"/>
        <v>2.1807407407407409</v>
      </c>
      <c r="DN156" s="462">
        <f t="shared" si="397"/>
        <v>2.074622770919067</v>
      </c>
      <c r="DP156" s="484">
        <f t="shared" si="398"/>
        <v>552</v>
      </c>
      <c r="DQ156" s="485">
        <f t="shared" si="399"/>
        <v>133.35667147293699</v>
      </c>
      <c r="DS156" s="59">
        <f t="shared" si="400"/>
        <v>552</v>
      </c>
      <c r="DT156" s="59">
        <f t="shared" si="401"/>
        <v>133.35667147293699</v>
      </c>
      <c r="DV156" s="167">
        <f t="shared" si="402"/>
        <v>7.4986874593892141</v>
      </c>
      <c r="DW156" s="5">
        <f t="shared" si="403"/>
        <v>2.9076543209876542</v>
      </c>
      <c r="DX156" s="5">
        <f t="shared" si="404"/>
        <v>4.5910331384015599</v>
      </c>
      <c r="DY156" s="150">
        <f t="shared" si="405"/>
        <v>0.38775510204081631</v>
      </c>
      <c r="EA156" s="5">
        <f t="shared" si="406"/>
        <v>32.100503703703708</v>
      </c>
      <c r="EB156" s="5">
        <f t="shared" si="407"/>
        <v>4.179753086419753</v>
      </c>
      <c r="EC156" s="5">
        <f t="shared" si="408"/>
        <v>0.58663201212908822</v>
      </c>
      <c r="ED156" s="5"/>
      <c r="EE156" s="150">
        <f t="shared" si="409"/>
        <v>0.78401102565915659</v>
      </c>
      <c r="EF156" s="150">
        <f t="shared" si="410"/>
        <v>0.9851582467233555</v>
      </c>
      <c r="EG156" s="150">
        <f t="shared" si="411"/>
        <v>0.22021184338522065</v>
      </c>
      <c r="EH156" s="150"/>
      <c r="EI156" s="456">
        <f t="shared" si="412"/>
        <v>1.2293465767102454E-2</v>
      </c>
      <c r="EJ156" s="456">
        <f t="shared" si="413"/>
        <v>8.5500000000000007E-2</v>
      </c>
      <c r="EK156" s="456">
        <f t="shared" si="414"/>
        <v>1.6669583934117122E-2</v>
      </c>
      <c r="EL156" s="456">
        <f t="shared" si="415"/>
        <v>2.8817043138586957E-3</v>
      </c>
      <c r="EM156">
        <f t="shared" si="416"/>
        <v>4.0499999999999998E-3</v>
      </c>
      <c r="EN156" s="144">
        <f t="shared" si="417"/>
        <v>20.719583934117125</v>
      </c>
      <c r="EO156"/>
      <c r="EP156" s="144">
        <f t="shared" si="439"/>
        <v>121.39475401507828</v>
      </c>
      <c r="EQ156" s="150">
        <f t="shared" si="418"/>
        <v>0.38640000000000002</v>
      </c>
      <c r="ER156" s="150">
        <f t="shared" si="475"/>
        <v>5.103125E-2</v>
      </c>
      <c r="ES156" s="456"/>
      <c r="ET156"/>
      <c r="EU156" s="144">
        <f t="shared" si="420"/>
        <v>437.43125000000003</v>
      </c>
      <c r="EV156" s="456">
        <f t="shared" si="421"/>
        <v>1.8440198650653682E-2</v>
      </c>
      <c r="EW156" s="456">
        <f t="shared" si="422"/>
        <v>2.9116103132611076E-2</v>
      </c>
      <c r="EX156" s="456">
        <f t="shared" si="423"/>
        <v>2.4246627983558474E-4</v>
      </c>
      <c r="EY156" s="456">
        <f t="shared" si="424"/>
        <v>7.2113564882065509E-2</v>
      </c>
      <c r="EZ156" s="456"/>
      <c r="FA156" s="538">
        <f t="shared" si="425"/>
        <v>6.3419501133786863E-4</v>
      </c>
      <c r="FB156" s="144">
        <f t="shared" si="426"/>
        <v>120.54652795650371</v>
      </c>
      <c r="FC156" s="150">
        <f t="shared" si="427"/>
        <v>0.67937253197158209</v>
      </c>
      <c r="FD156" s="5">
        <f t="shared" si="428"/>
        <v>3.68</v>
      </c>
      <c r="FE156" s="150">
        <f t="shared" si="429"/>
        <v>0.8441581840072</v>
      </c>
      <c r="FF156" s="5">
        <f t="shared" si="430"/>
        <v>84.415818400719999</v>
      </c>
      <c r="FG156">
        <f t="shared" si="431"/>
        <v>46.000000000000007</v>
      </c>
      <c r="FI156" s="59">
        <f t="shared" si="432"/>
        <v>-50</v>
      </c>
      <c r="FJ156">
        <f t="shared" si="433"/>
        <v>-50</v>
      </c>
    </row>
    <row r="157" spans="5:166">
      <c r="E157" s="147">
        <v>47</v>
      </c>
      <c r="F157" s="188">
        <f t="shared" si="476"/>
        <v>0.56399999999999995</v>
      </c>
      <c r="G157" s="188">
        <f t="shared" si="444"/>
        <v>0.11749999999999999</v>
      </c>
      <c r="H157" s="188">
        <f t="shared" si="445"/>
        <v>2.82</v>
      </c>
      <c r="I157" s="188">
        <f t="shared" si="446"/>
        <v>0.94</v>
      </c>
      <c r="J157" s="465">
        <f t="shared" si="447"/>
        <v>8.9224652274736407</v>
      </c>
      <c r="K157" s="379">
        <f t="shared" si="448"/>
        <v>5.7295811262729961</v>
      </c>
      <c r="L157" s="149">
        <f t="shared" si="449"/>
        <v>14.652046353746638</v>
      </c>
      <c r="M157" s="379"/>
      <c r="N157" s="188">
        <f t="shared" si="450"/>
        <v>0.39104306579045867</v>
      </c>
      <c r="O157" s="149">
        <f t="shared" si="451"/>
        <v>6.5420027943001022</v>
      </c>
      <c r="P157" s="149">
        <f t="shared" si="452"/>
        <v>2.9075567974667118</v>
      </c>
      <c r="Q157" s="188">
        <f t="shared" si="322"/>
        <v>1.3084005588600205</v>
      </c>
      <c r="R157" s="188">
        <f t="shared" si="453"/>
        <v>0.81775034928751278</v>
      </c>
      <c r="S157" s="188">
        <f t="shared" si="454"/>
        <v>5</v>
      </c>
      <c r="T157" s="188">
        <f t="shared" si="455"/>
        <v>2.1553032677217758</v>
      </c>
      <c r="U157" s="188">
        <f t="shared" si="326"/>
        <v>2.8987100037132327</v>
      </c>
      <c r="V157" s="188">
        <f t="shared" si="327"/>
        <v>4.5140541066891586</v>
      </c>
      <c r="W157" s="172">
        <f t="shared" si="328"/>
        <v>290.75567974667121</v>
      </c>
      <c r="X157" s="379">
        <f t="shared" si="435"/>
        <v>131.35833259742793</v>
      </c>
      <c r="Z157" s="188">
        <f t="shared" si="329"/>
        <v>1</v>
      </c>
      <c r="AA157" s="150">
        <f t="shared" si="330"/>
        <v>2.0943939418143493</v>
      </c>
      <c r="AB157" s="150">
        <f t="shared" si="456"/>
        <v>0.22835885032857794</v>
      </c>
      <c r="AC157" s="150"/>
      <c r="AD157" s="150">
        <f t="shared" si="332"/>
        <v>2.0943939418143493</v>
      </c>
      <c r="AE157" s="314">
        <f t="shared" si="457"/>
        <v>538.58062586966162</v>
      </c>
      <c r="AF157" s="456">
        <f t="shared" si="458"/>
        <v>0.30447846710477067</v>
      </c>
      <c r="AH157" s="150">
        <f t="shared" si="459"/>
        <v>1.3380867649282651</v>
      </c>
      <c r="AI157" s="150">
        <f t="shared" si="460"/>
        <v>2.1553032677217758</v>
      </c>
      <c r="AJ157" s="150">
        <f t="shared" si="461"/>
        <v>2.0557801983124264</v>
      </c>
      <c r="AL157" s="314">
        <f t="shared" si="462"/>
        <v>564</v>
      </c>
      <c r="AM157" s="144">
        <f t="shared" si="463"/>
        <v>131.35833259742793</v>
      </c>
      <c r="AO157">
        <f t="shared" si="340"/>
        <v>564</v>
      </c>
      <c r="AP157">
        <f t="shared" si="341"/>
        <v>131.35833259742793</v>
      </c>
      <c r="AR157" s="5">
        <f t="shared" si="443"/>
        <v>7.6127641104023924</v>
      </c>
      <c r="AS157" s="5">
        <f t="shared" si="440"/>
        <v>2.8987100037132327</v>
      </c>
      <c r="AT157" s="5">
        <f t="shared" si="441"/>
        <v>4.7140541066891597</v>
      </c>
      <c r="AU157" s="150">
        <f t="shared" si="442"/>
        <v>0.38076971277125438</v>
      </c>
      <c r="AW157" s="5">
        <f t="shared" si="342"/>
        <v>32.697448841885262</v>
      </c>
      <c r="AX157" s="5">
        <f t="shared" si="343"/>
        <v>4.2574803179538101</v>
      </c>
      <c r="AY157" s="5">
        <f t="shared" si="344"/>
        <v>0.62079407811019405</v>
      </c>
      <c r="AZ157" s="5"/>
      <c r="BA157" s="150">
        <f t="shared" si="345"/>
        <v>0.767854543153909</v>
      </c>
      <c r="BB157" s="150">
        <f t="shared" si="346"/>
        <v>0.97920552448160236</v>
      </c>
      <c r="BC157" s="150">
        <f t="shared" si="347"/>
        <v>0.21888123488412287</v>
      </c>
      <c r="BD157" s="150"/>
      <c r="BE157" s="456">
        <f t="shared" si="348"/>
        <v>1.1792011988841966E-2</v>
      </c>
      <c r="BF157" s="456">
        <f t="shared" si="464"/>
        <v>7.7779575839007825E-2</v>
      </c>
      <c r="BG157" s="456">
        <f t="shared" si="465"/>
        <v>2.9301003873486699E-2</v>
      </c>
      <c r="BH157" s="456">
        <f t="shared" si="351"/>
        <v>2.8200330292513496E-3</v>
      </c>
      <c r="BI157">
        <f t="shared" si="352"/>
        <v>4.015109352363138E-3</v>
      </c>
      <c r="BJ157" s="144">
        <f t="shared" si="436"/>
        <v>33.316113225849833</v>
      </c>
      <c r="BK157">
        <f t="shared" si="466"/>
        <v>9.5843998087390872E-2</v>
      </c>
      <c r="BL157" s="144">
        <f t="shared" si="437"/>
        <v>125.70773408295096</v>
      </c>
      <c r="BM157" s="150">
        <f t="shared" si="467"/>
        <v>0.35038499999999995</v>
      </c>
      <c r="BN157" s="150">
        <f t="shared" si="468"/>
        <v>7.2996874999999989E-2</v>
      </c>
      <c r="BO157" s="456"/>
      <c r="BQ157" s="144">
        <f t="shared" si="356"/>
        <v>423.38187499999992</v>
      </c>
      <c r="BR157" s="456">
        <f t="shared" si="357"/>
        <v>1.7688017983262947E-2</v>
      </c>
      <c r="BS157" s="456">
        <f t="shared" si="358"/>
        <v>2.87653037752587E-2</v>
      </c>
      <c r="BT157" s="456">
        <f t="shared" si="359"/>
        <v>2.3954497492199284E-4</v>
      </c>
      <c r="BU157" s="456">
        <f t="shared" si="360"/>
        <v>6.7434950094050899E-2</v>
      </c>
      <c r="BV157" s="456"/>
      <c r="BW157" s="538">
        <f t="shared" si="469"/>
        <v>6.102030889811223E-4</v>
      </c>
      <c r="BX157" s="144">
        <f t="shared" si="362"/>
        <v>114.73801991647565</v>
      </c>
      <c r="BY157" s="150">
        <f t="shared" si="363"/>
        <v>0.66382762899942638</v>
      </c>
      <c r="BZ157" s="5">
        <f t="shared" si="364"/>
        <v>3.76</v>
      </c>
      <c r="CA157" s="150">
        <f t="shared" si="365"/>
        <v>0.84994270015227291</v>
      </c>
      <c r="CB157" s="5">
        <f t="shared" si="366"/>
        <v>84.994270015227286</v>
      </c>
      <c r="CC157">
        <f t="shared" si="367"/>
        <v>47</v>
      </c>
      <c r="CE157" s="59">
        <f t="shared" si="470"/>
        <v>-50</v>
      </c>
      <c r="CF157">
        <f t="shared" si="471"/>
        <v>-50</v>
      </c>
      <c r="CG157" s="150">
        <f t="shared" si="370"/>
        <v>0.57198633493024875</v>
      </c>
      <c r="CH157" s="150">
        <f t="shared" si="472"/>
        <v>0.31031053622728105</v>
      </c>
      <c r="CI157" s="147">
        <v>47</v>
      </c>
      <c r="CJ157" s="188">
        <f t="shared" si="438"/>
        <v>0.56399999999999995</v>
      </c>
      <c r="CK157" s="188">
        <f t="shared" si="372"/>
        <v>0.11749999999999999</v>
      </c>
      <c r="CL157" s="188">
        <f t="shared" si="373"/>
        <v>2.82</v>
      </c>
      <c r="CM157" s="188">
        <f t="shared" si="374"/>
        <v>0.94</v>
      </c>
      <c r="CN157" s="465">
        <f t="shared" si="375"/>
        <v>9</v>
      </c>
      <c r="CO157" s="379">
        <f t="shared" si="473"/>
        <v>5.7</v>
      </c>
      <c r="CP157" s="379">
        <f t="shared" si="474"/>
        <v>14.7</v>
      </c>
      <c r="CQ157" s="379"/>
      <c r="CR157" s="188">
        <f t="shared" si="378"/>
        <v>0.375</v>
      </c>
      <c r="CS157" s="149">
        <f t="shared" si="379"/>
        <v>6.328125</v>
      </c>
      <c r="CT157" s="149">
        <f t="shared" si="380"/>
        <v>2.8125</v>
      </c>
      <c r="CU157" s="188">
        <f t="shared" si="381"/>
        <v>1.265625</v>
      </c>
      <c r="CV157" s="188">
        <f t="shared" si="382"/>
        <v>0.791015625</v>
      </c>
      <c r="CW157" s="188">
        <f t="shared" si="383"/>
        <v>5</v>
      </c>
      <c r="CX157" s="188">
        <f t="shared" si="384"/>
        <v>2.228148148148148</v>
      </c>
      <c r="CY157" s="188">
        <f t="shared" si="385"/>
        <v>2.9708641975308638</v>
      </c>
      <c r="CZ157" s="188">
        <f t="shared" si="386"/>
        <v>4.6908382066276806</v>
      </c>
      <c r="DA157" s="172">
        <f t="shared" si="387"/>
        <v>290.81632653061229</v>
      </c>
      <c r="DB157" s="379">
        <f t="shared" si="388"/>
        <v>130.51929548415109</v>
      </c>
      <c r="DD157" s="188">
        <f t="shared" si="389"/>
        <v>0.99999999999999978</v>
      </c>
      <c r="DE157" s="150">
        <f t="shared" si="390"/>
        <v>2.1052631578947363</v>
      </c>
      <c r="DF157" s="150">
        <f t="shared" si="391"/>
        <v>0.2295918367346938</v>
      </c>
      <c r="DG157" s="150"/>
      <c r="DH157" s="150">
        <f t="shared" si="392"/>
        <v>2.1052631578947367</v>
      </c>
      <c r="DI157" s="314">
        <f t="shared" si="393"/>
        <v>535.79999999999995</v>
      </c>
      <c r="DJ157" s="456">
        <f t="shared" si="394"/>
        <v>0.3061224489795919</v>
      </c>
      <c r="DL157" s="150">
        <f t="shared" si="395"/>
        <v>1.3380867649282651</v>
      </c>
      <c r="DM157" s="150">
        <f t="shared" si="396"/>
        <v>2.228148148148148</v>
      </c>
      <c r="DN157" s="150">
        <f t="shared" si="397"/>
        <v>2.1097393689986279</v>
      </c>
      <c r="DP157" s="314">
        <f t="shared" si="398"/>
        <v>564</v>
      </c>
      <c r="DQ157" s="144">
        <f t="shared" si="399"/>
        <v>130.51929548415109</v>
      </c>
      <c r="DS157">
        <f t="shared" si="400"/>
        <v>564</v>
      </c>
      <c r="DT157">
        <f t="shared" si="401"/>
        <v>130.51929548415109</v>
      </c>
      <c r="DV157" s="5">
        <f t="shared" si="402"/>
        <v>7.6617024041585458</v>
      </c>
      <c r="DW157" s="5">
        <f t="shared" si="403"/>
        <v>2.9708641975308638</v>
      </c>
      <c r="DX157" s="5">
        <f t="shared" si="404"/>
        <v>4.6908382066276815</v>
      </c>
      <c r="DY157" s="150">
        <f t="shared" si="405"/>
        <v>0.3877551020408162</v>
      </c>
      <c r="EA157" s="5">
        <f t="shared" si="406"/>
        <v>33.511348148148137</v>
      </c>
      <c r="EB157" s="5">
        <f t="shared" si="407"/>
        <v>4.3634567901234558</v>
      </c>
      <c r="EC157" s="5">
        <f t="shared" si="408"/>
        <v>0.61241498808750272</v>
      </c>
      <c r="ED157" s="5"/>
      <c r="EE157" s="150">
        <f t="shared" si="409"/>
        <v>0.80105474360826834</v>
      </c>
      <c r="EF157" s="150">
        <f t="shared" si="410"/>
        <v>1.0065747303477761</v>
      </c>
      <c r="EG157" s="150">
        <f t="shared" si="411"/>
        <v>0.22499905737185583</v>
      </c>
      <c r="EH157" s="150"/>
      <c r="EI157" s="456">
        <f t="shared" si="412"/>
        <v>1.2833774045146171E-2</v>
      </c>
      <c r="EJ157" s="456">
        <f t="shared" si="413"/>
        <v>8.5499999999999965E-2</v>
      </c>
      <c r="EK157" s="456">
        <f t="shared" si="414"/>
        <v>1.6314911935518886E-2</v>
      </c>
      <c r="EL157" s="456">
        <f t="shared" si="415"/>
        <v>2.8203914561170207E-3</v>
      </c>
      <c r="EM157">
        <f t="shared" si="416"/>
        <v>4.0499999999999998E-3</v>
      </c>
      <c r="EN157" s="144">
        <f t="shared" si="417"/>
        <v>20.364911935518883</v>
      </c>
      <c r="EP157" s="144">
        <f t="shared" si="439"/>
        <v>121.51907743678204</v>
      </c>
      <c r="EQ157" s="150">
        <f t="shared" si="418"/>
        <v>0.39479999999999993</v>
      </c>
      <c r="ER157" s="150">
        <f t="shared" si="475"/>
        <v>5.2140624999999996E-2</v>
      </c>
      <c r="ES157" s="456"/>
      <c r="EU157" s="144">
        <f t="shared" si="420"/>
        <v>446.9406249999999</v>
      </c>
      <c r="EV157" s="456">
        <f t="shared" si="421"/>
        <v>1.9250661067719256E-2</v>
      </c>
      <c r="EW157" s="456">
        <f t="shared" si="422"/>
        <v>3.0395780633240943E-2</v>
      </c>
      <c r="EX157" s="456">
        <f t="shared" si="423"/>
        <v>2.5312287909111836E-4</v>
      </c>
      <c r="EY157" s="456">
        <f t="shared" si="424"/>
        <v>7.2113564882065301E-2</v>
      </c>
      <c r="EZ157" s="456"/>
      <c r="FA157" s="538">
        <f t="shared" si="425"/>
        <v>6.4798185941043079E-4</v>
      </c>
      <c r="FB157" s="144">
        <f t="shared" si="426"/>
        <v>122.66111132152706</v>
      </c>
      <c r="FC157" s="150">
        <f t="shared" si="427"/>
        <v>0.69112081375830881</v>
      </c>
      <c r="FD157" s="5">
        <f t="shared" si="428"/>
        <v>3.76</v>
      </c>
      <c r="FE157" s="150">
        <f t="shared" si="429"/>
        <v>0.84473105928240133</v>
      </c>
      <c r="FF157" s="5">
        <f t="shared" si="430"/>
        <v>84.47310592824013</v>
      </c>
      <c r="FG157">
        <f t="shared" si="431"/>
        <v>47</v>
      </c>
      <c r="FI157" s="59">
        <f t="shared" si="432"/>
        <v>-50</v>
      </c>
      <c r="FJ157">
        <f t="shared" si="433"/>
        <v>-50</v>
      </c>
    </row>
    <row r="158" spans="5:166">
      <c r="E158" s="147">
        <v>48</v>
      </c>
      <c r="F158" s="188">
        <f t="shared" si="476"/>
        <v>0.57599999999999996</v>
      </c>
      <c r="G158" s="188">
        <f t="shared" si="444"/>
        <v>0.12</v>
      </c>
      <c r="H158" s="188">
        <f t="shared" si="445"/>
        <v>2.88</v>
      </c>
      <c r="I158" s="188">
        <f t="shared" si="446"/>
        <v>0.96</v>
      </c>
      <c r="J158" s="465">
        <f t="shared" si="447"/>
        <v>8.920815551462443</v>
      </c>
      <c r="K158" s="379">
        <f t="shared" si="448"/>
        <v>5.7302105119383793</v>
      </c>
      <c r="L158" s="149">
        <f t="shared" si="449"/>
        <v>14.651026063400822</v>
      </c>
      <c r="M158" s="379"/>
      <c r="N158" s="188">
        <f t="shared" si="450"/>
        <v>0.39111325630993199</v>
      </c>
      <c r="O158" s="149">
        <f t="shared" si="451"/>
        <v>6.5419672861364209</v>
      </c>
      <c r="P158" s="149">
        <f t="shared" si="452"/>
        <v>2.9075410160606312</v>
      </c>
      <c r="Q158" s="188">
        <f t="shared" si="322"/>
        <v>1.3083934572272842</v>
      </c>
      <c r="R158" s="188">
        <f t="shared" si="453"/>
        <v>0.81774591076705261</v>
      </c>
      <c r="S158" s="188">
        <f t="shared" si="454"/>
        <v>5</v>
      </c>
      <c r="T158" s="188">
        <f t="shared" si="455"/>
        <v>2.2011727314069778</v>
      </c>
      <c r="U158" s="188">
        <f t="shared" si="326"/>
        <v>2.9609482030545422</v>
      </c>
      <c r="V158" s="188">
        <f t="shared" si="327"/>
        <v>4.6096164742730457</v>
      </c>
      <c r="W158" s="172">
        <f t="shared" si="328"/>
        <v>290.7541016060631</v>
      </c>
      <c r="X158" s="379">
        <f t="shared" si="435"/>
        <v>128.69077622090069</v>
      </c>
      <c r="Z158" s="188">
        <f t="shared" si="329"/>
        <v>1.0000000000000002</v>
      </c>
      <c r="AA158" s="150">
        <f t="shared" si="330"/>
        <v>2.0941639011340123</v>
      </c>
      <c r="AB158" s="150">
        <f t="shared" si="456"/>
        <v>0.22833252888377559</v>
      </c>
      <c r="AC158" s="150"/>
      <c r="AD158" s="150">
        <f t="shared" si="332"/>
        <v>2.0941639011340119</v>
      </c>
      <c r="AE158" s="314">
        <f t="shared" si="457"/>
        <v>550.10020914608447</v>
      </c>
      <c r="AF158" s="456">
        <f t="shared" si="458"/>
        <v>0.30444337184503395</v>
      </c>
      <c r="AH158" s="150">
        <f t="shared" si="459"/>
        <v>1.3522468075656264</v>
      </c>
      <c r="AI158" s="150">
        <f t="shared" si="460"/>
        <v>2.2011727314069778</v>
      </c>
      <c r="AJ158" s="150">
        <f t="shared" si="461"/>
        <v>2.0897575788199836</v>
      </c>
      <c r="AL158" s="314">
        <f t="shared" si="462"/>
        <v>576</v>
      </c>
      <c r="AM158" s="144">
        <f t="shared" si="463"/>
        <v>128.69077622090069</v>
      </c>
      <c r="AO158">
        <f t="shared" si="340"/>
        <v>576</v>
      </c>
      <c r="AP158">
        <f t="shared" si="341"/>
        <v>128.69077622090069</v>
      </c>
      <c r="AR158" s="5">
        <f t="shared" si="443"/>
        <v>7.770564677327588</v>
      </c>
      <c r="AS158" s="5">
        <f t="shared" si="440"/>
        <v>2.9609482030545422</v>
      </c>
      <c r="AT158" s="5">
        <f t="shared" si="441"/>
        <v>4.8096164742730458</v>
      </c>
      <c r="AU158" s="150">
        <f t="shared" si="442"/>
        <v>0.38104672260097011</v>
      </c>
      <c r="AW158" s="5">
        <f t="shared" si="342"/>
        <v>34.110123299188317</v>
      </c>
      <c r="AX158" s="5">
        <f t="shared" si="343"/>
        <v>4.4414223045818133</v>
      </c>
      <c r="AY158" s="5">
        <f t="shared" si="344"/>
        <v>0.64697445383023211</v>
      </c>
      <c r="AZ158" s="5"/>
      <c r="BA158" s="150">
        <f t="shared" si="345"/>
        <v>0.78448132959766959</v>
      </c>
      <c r="BB158" s="150">
        <f t="shared" si="346"/>
        <v>0.9998214047231424</v>
      </c>
      <c r="BC158" s="150">
        <f t="shared" si="347"/>
        <v>0.22348949046752592</v>
      </c>
      <c r="BD158" s="150"/>
      <c r="BE158" s="456">
        <f t="shared" si="348"/>
        <v>1.2308219129746549E-2</v>
      </c>
      <c r="BF158" s="456">
        <f t="shared" si="464"/>
        <v>7.7816350219661268E-2</v>
      </c>
      <c r="BG158" s="456">
        <f t="shared" si="465"/>
        <v>2.8700666946029598E-2</v>
      </c>
      <c r="BH158" s="456">
        <f t="shared" si="351"/>
        <v>2.762380517039495E-3</v>
      </c>
      <c r="BI158">
        <f t="shared" si="352"/>
        <v>4.0143669981580988E-3</v>
      </c>
      <c r="BJ158" s="144">
        <f t="shared" si="436"/>
        <v>32.715033944187695</v>
      </c>
      <c r="BK158">
        <f t="shared" si="466"/>
        <v>9.6492354444058293E-2</v>
      </c>
      <c r="BL158" s="144">
        <f t="shared" si="437"/>
        <v>125.60198381063501</v>
      </c>
      <c r="BM158" s="150">
        <f t="shared" si="467"/>
        <v>0.35783999999999994</v>
      </c>
      <c r="BN158" s="150">
        <f t="shared" si="468"/>
        <v>7.4549999999999991E-2</v>
      </c>
      <c r="BO158" s="456"/>
      <c r="BQ158" s="144">
        <f t="shared" si="356"/>
        <v>432.38999999999993</v>
      </c>
      <c r="BR158" s="456">
        <f t="shared" si="357"/>
        <v>1.8462328694619824E-2</v>
      </c>
      <c r="BS158" s="456">
        <f t="shared" si="358"/>
        <v>2.9989285240276733E-2</v>
      </c>
      <c r="BT158" s="456">
        <f t="shared" si="359"/>
        <v>2.4973776174717178E-4</v>
      </c>
      <c r="BU158" s="456">
        <f t="shared" si="360"/>
        <v>6.7526441738526385E-2</v>
      </c>
      <c r="BV158" s="456"/>
      <c r="BW158" s="538">
        <f t="shared" si="469"/>
        <v>6.2352758064372464E-4</v>
      </c>
      <c r="BX158" s="144">
        <f t="shared" si="362"/>
        <v>116.85132101581384</v>
      </c>
      <c r="BY158" s="150">
        <f t="shared" si="363"/>
        <v>0.67484330482644894</v>
      </c>
      <c r="BZ158" s="5">
        <f t="shared" si="364"/>
        <v>3.84</v>
      </c>
      <c r="CA158" s="150">
        <f t="shared" si="365"/>
        <v>0.85052785683502485</v>
      </c>
      <c r="CB158" s="5">
        <f t="shared" si="366"/>
        <v>85.052785683502492</v>
      </c>
      <c r="CC158">
        <f t="shared" si="367"/>
        <v>48</v>
      </c>
      <c r="CE158" s="59">
        <f t="shared" si="470"/>
        <v>-50</v>
      </c>
      <c r="CF158">
        <f t="shared" si="471"/>
        <v>-50</v>
      </c>
      <c r="CG158" s="150">
        <f t="shared" si="370"/>
        <v>0.57198633493024875</v>
      </c>
      <c r="CH158" s="150">
        <f t="shared" si="472"/>
        <v>0.31031053622728111</v>
      </c>
      <c r="CI158" s="147">
        <v>48</v>
      </c>
      <c r="CJ158" s="188">
        <f t="shared" si="438"/>
        <v>0.57599999999999996</v>
      </c>
      <c r="CK158" s="188">
        <f t="shared" si="372"/>
        <v>0.12</v>
      </c>
      <c r="CL158" s="188">
        <f t="shared" si="373"/>
        <v>2.88</v>
      </c>
      <c r="CM158" s="188">
        <f t="shared" si="374"/>
        <v>0.96</v>
      </c>
      <c r="CN158" s="465">
        <f t="shared" si="375"/>
        <v>9</v>
      </c>
      <c r="CO158" s="379">
        <f t="shared" si="473"/>
        <v>5.7</v>
      </c>
      <c r="CP158" s="379">
        <f t="shared" si="474"/>
        <v>14.7</v>
      </c>
      <c r="CQ158" s="379"/>
      <c r="CR158" s="188">
        <f t="shared" si="378"/>
        <v>0.375</v>
      </c>
      <c r="CS158" s="149">
        <f t="shared" si="379"/>
        <v>6.328125</v>
      </c>
      <c r="CT158" s="149">
        <f t="shared" si="380"/>
        <v>2.8125</v>
      </c>
      <c r="CU158" s="188">
        <f t="shared" si="381"/>
        <v>1.265625</v>
      </c>
      <c r="CV158" s="188">
        <f t="shared" si="382"/>
        <v>0.791015625</v>
      </c>
      <c r="CW158" s="188">
        <f t="shared" si="383"/>
        <v>5</v>
      </c>
      <c r="CX158" s="188">
        <f t="shared" si="384"/>
        <v>2.2755555555555556</v>
      </c>
      <c r="CY158" s="188">
        <f t="shared" si="385"/>
        <v>3.0340740740740739</v>
      </c>
      <c r="CZ158" s="188">
        <f t="shared" si="386"/>
        <v>4.7906432748538013</v>
      </c>
      <c r="DA158" s="172">
        <f t="shared" si="387"/>
        <v>290.81632653061229</v>
      </c>
      <c r="DB158" s="379">
        <f t="shared" si="388"/>
        <v>127.80014349489797</v>
      </c>
      <c r="DD158" s="188">
        <f t="shared" si="389"/>
        <v>0.99999999999999978</v>
      </c>
      <c r="DE158" s="150">
        <f t="shared" si="390"/>
        <v>2.1052631578947363</v>
      </c>
      <c r="DF158" s="150">
        <f t="shared" si="391"/>
        <v>0.2295918367346938</v>
      </c>
      <c r="DG158" s="150"/>
      <c r="DH158" s="150">
        <f t="shared" si="392"/>
        <v>2.1052631578947367</v>
      </c>
      <c r="DI158" s="314">
        <f t="shared" si="393"/>
        <v>547.20000000000005</v>
      </c>
      <c r="DJ158" s="456">
        <f t="shared" si="394"/>
        <v>0.3061224489795919</v>
      </c>
      <c r="DL158" s="150">
        <f t="shared" si="395"/>
        <v>1.3522468075656264</v>
      </c>
      <c r="DM158" s="150">
        <f t="shared" si="396"/>
        <v>2.2755555555555556</v>
      </c>
      <c r="DN158" s="150">
        <f t="shared" si="397"/>
        <v>2.1448559670781893</v>
      </c>
      <c r="DP158" s="314">
        <f t="shared" si="398"/>
        <v>576</v>
      </c>
      <c r="DQ158" s="144">
        <f t="shared" si="399"/>
        <v>127.80014349489797</v>
      </c>
      <c r="DS158">
        <f t="shared" si="400"/>
        <v>576</v>
      </c>
      <c r="DT158">
        <f t="shared" si="401"/>
        <v>127.80014349489797</v>
      </c>
      <c r="DV158" s="5">
        <f t="shared" si="402"/>
        <v>7.8247173489278747</v>
      </c>
      <c r="DW158" s="5">
        <f t="shared" si="403"/>
        <v>3.0340740740740739</v>
      </c>
      <c r="DX158" s="5">
        <f t="shared" si="404"/>
        <v>4.7906432748538013</v>
      </c>
      <c r="DY158" s="150">
        <f t="shared" si="405"/>
        <v>0.38775510204081631</v>
      </c>
      <c r="EA158" s="5">
        <f t="shared" si="406"/>
        <v>34.952533333333328</v>
      </c>
      <c r="EB158" s="5">
        <f t="shared" si="407"/>
        <v>4.5511111111111111</v>
      </c>
      <c r="EC158" s="5">
        <f t="shared" si="408"/>
        <v>0.6387524366471734</v>
      </c>
      <c r="ED158" s="5"/>
      <c r="EE158" s="150">
        <f t="shared" si="409"/>
        <v>0.81809846155738075</v>
      </c>
      <c r="EF158" s="150">
        <f t="shared" si="410"/>
        <v>1.0279912139721969</v>
      </c>
      <c r="EG158" s="150">
        <f t="shared" si="411"/>
        <v>0.22978627135849111</v>
      </c>
      <c r="EH158" s="150"/>
      <c r="EI158" s="456">
        <f t="shared" si="412"/>
        <v>1.3385701856051065E-2</v>
      </c>
      <c r="EJ158" s="456">
        <f t="shared" si="413"/>
        <v>8.5500000000000007E-2</v>
      </c>
      <c r="EK158" s="456">
        <f t="shared" si="414"/>
        <v>1.5975017936862245E-2</v>
      </c>
      <c r="EL158" s="456">
        <f t="shared" si="415"/>
        <v>2.76163330078125E-3</v>
      </c>
      <c r="EM158">
        <f t="shared" si="416"/>
        <v>4.0499999999999998E-3</v>
      </c>
      <c r="EN158" s="144">
        <f t="shared" si="417"/>
        <v>20.025017936862248</v>
      </c>
      <c r="EP158" s="144">
        <f t="shared" si="439"/>
        <v>121.67235309369457</v>
      </c>
      <c r="EQ158" s="150">
        <f t="shared" si="418"/>
        <v>0.40319999999999995</v>
      </c>
      <c r="ER158" s="150">
        <f t="shared" si="475"/>
        <v>5.3249999999999999E-2</v>
      </c>
      <c r="ES158" s="456"/>
      <c r="EU158" s="144">
        <f t="shared" si="420"/>
        <v>456.45</v>
      </c>
      <c r="EV158" s="456">
        <f t="shared" si="421"/>
        <v>2.0078552784076595E-2</v>
      </c>
      <c r="EW158" s="456">
        <f t="shared" si="422"/>
        <v>3.170297808012093E-2</v>
      </c>
      <c r="EX158" s="456">
        <f t="shared" si="423"/>
        <v>2.6400865252419059E-4</v>
      </c>
      <c r="EY158" s="456">
        <f t="shared" si="424"/>
        <v>7.2113564882065564E-2</v>
      </c>
      <c r="EZ158" s="456"/>
      <c r="FA158" s="538">
        <f t="shared" si="425"/>
        <v>6.6176870748299328E-4</v>
      </c>
      <c r="FB158" s="144">
        <f t="shared" si="426"/>
        <v>124.82087310627027</v>
      </c>
      <c r="FC158" s="150">
        <f t="shared" si="427"/>
        <v>0.70294322619996474</v>
      </c>
      <c r="FD158" s="5">
        <f t="shared" si="428"/>
        <v>3.84</v>
      </c>
      <c r="FE158" s="150">
        <f t="shared" si="429"/>
        <v>0.8452670017652949</v>
      </c>
      <c r="FF158" s="5">
        <f t="shared" si="430"/>
        <v>84.526700176529488</v>
      </c>
      <c r="FG158">
        <f t="shared" si="431"/>
        <v>48</v>
      </c>
      <c r="FI158" s="59">
        <f t="shared" si="432"/>
        <v>-50</v>
      </c>
      <c r="FJ158">
        <f t="shared" si="433"/>
        <v>-50</v>
      </c>
    </row>
    <row r="159" spans="5:166">
      <c r="E159" s="147">
        <v>49</v>
      </c>
      <c r="F159" s="188">
        <f t="shared" si="476"/>
        <v>0.58799999999999997</v>
      </c>
      <c r="G159" s="188">
        <f t="shared" si="444"/>
        <v>0.1225</v>
      </c>
      <c r="H159" s="188">
        <f t="shared" si="445"/>
        <v>2.94</v>
      </c>
      <c r="I159" s="188">
        <f t="shared" si="446"/>
        <v>0.98</v>
      </c>
      <c r="J159" s="465">
        <f t="shared" si="447"/>
        <v>8.9191658754512435</v>
      </c>
      <c r="K159" s="379">
        <f t="shared" si="448"/>
        <v>5.7308398976037624</v>
      </c>
      <c r="L159" s="149">
        <f t="shared" si="449"/>
        <v>14.650005773055007</v>
      </c>
      <c r="M159" s="379"/>
      <c r="N159" s="188">
        <f t="shared" si="450"/>
        <v>0.39118345660615356</v>
      </c>
      <c r="O159" s="149">
        <f t="shared" si="451"/>
        <v>6.5419315072550006</v>
      </c>
      <c r="P159" s="149">
        <f t="shared" si="452"/>
        <v>2.9075251143355558</v>
      </c>
      <c r="Q159" s="188">
        <f t="shared" si="322"/>
        <v>1.3083863014510002</v>
      </c>
      <c r="R159" s="188">
        <f t="shared" si="453"/>
        <v>0.81774143840687508</v>
      </c>
      <c r="S159" s="188">
        <f t="shared" si="454"/>
        <v>5</v>
      </c>
      <c r="T159" s="188">
        <f t="shared" si="455"/>
        <v>2.2470427860178148</v>
      </c>
      <c r="U159" s="188">
        <f t="shared" si="326"/>
        <v>3.0232102204119591</v>
      </c>
      <c r="V159" s="188">
        <f t="shared" si="327"/>
        <v>4.7051590890697295</v>
      </c>
      <c r="W159" s="172">
        <f t="shared" si="328"/>
        <v>290.75251143355558</v>
      </c>
      <c r="X159" s="379">
        <f t="shared" si="435"/>
        <v>126.12934147808691</v>
      </c>
      <c r="Z159" s="188">
        <f t="shared" si="329"/>
        <v>1</v>
      </c>
      <c r="AA159" s="150">
        <f t="shared" si="330"/>
        <v>2.0939339109818027</v>
      </c>
      <c r="AB159" s="150">
        <f t="shared" si="456"/>
        <v>0.2283062037726924</v>
      </c>
      <c r="AC159" s="150"/>
      <c r="AD159" s="150">
        <f t="shared" si="332"/>
        <v>2.0939339109818027</v>
      </c>
      <c r="AE159" s="314">
        <f t="shared" si="457"/>
        <v>561.62230996516871</v>
      </c>
      <c r="AF159" s="456">
        <f t="shared" si="458"/>
        <v>0.30440827169692314</v>
      </c>
      <c r="AH159" s="150">
        <f t="shared" si="459"/>
        <v>1.3662601021279464</v>
      </c>
      <c r="AI159" s="150">
        <f t="shared" si="460"/>
        <v>2.2470427860178148</v>
      </c>
      <c r="AJ159" s="150">
        <f t="shared" si="461"/>
        <v>2.1237353970502331</v>
      </c>
      <c r="AL159" s="314">
        <f t="shared" si="462"/>
        <v>588</v>
      </c>
      <c r="AM159" s="144">
        <f t="shared" si="463"/>
        <v>126.12934147808691</v>
      </c>
      <c r="AO159">
        <f t="shared" si="340"/>
        <v>588</v>
      </c>
      <c r="AP159">
        <f t="shared" si="341"/>
        <v>126.12934147808691</v>
      </c>
      <c r="AR159" s="5">
        <f t="shared" si="443"/>
        <v>7.9283693094816883</v>
      </c>
      <c r="AS159" s="5">
        <f t="shared" si="440"/>
        <v>3.0232102204119591</v>
      </c>
      <c r="AT159" s="5">
        <f t="shared" si="441"/>
        <v>4.9051590890697288</v>
      </c>
      <c r="AU159" s="150">
        <f t="shared" si="442"/>
        <v>0.3813155142503824</v>
      </c>
      <c r="AW159" s="5">
        <f t="shared" si="342"/>
        <v>35.552952192044636</v>
      </c>
      <c r="AX159" s="5">
        <f t="shared" si="343"/>
        <v>4.6292906500058129</v>
      </c>
      <c r="AY159" s="5">
        <f t="shared" si="344"/>
        <v>0.67369751476972228</v>
      </c>
      <c r="AZ159" s="5"/>
      <c r="BA159" s="150">
        <f t="shared" si="345"/>
        <v>0.80111147444737962</v>
      </c>
      <c r="BB159" s="150">
        <f t="shared" si="346"/>
        <v>1.0204349560719912</v>
      </c>
      <c r="BC159" s="150">
        <f t="shared" si="347"/>
        <v>0.22809722547491573</v>
      </c>
      <c r="BD159" s="150"/>
      <c r="BE159" s="456">
        <f t="shared" si="348"/>
        <v>1.2835591889825091E-2</v>
      </c>
      <c r="BF159" s="456">
        <f t="shared" si="464"/>
        <v>7.7851419935340366E-2</v>
      </c>
      <c r="BG159" s="456">
        <f t="shared" si="465"/>
        <v>2.8124212960112246E-2</v>
      </c>
      <c r="BH159" s="456">
        <f t="shared" si="351"/>
        <v>2.7070215926227564E-3</v>
      </c>
      <c r="BI159">
        <f t="shared" si="352"/>
        <v>4.0136246439530596E-3</v>
      </c>
      <c r="BJ159" s="144">
        <f t="shared" si="436"/>
        <v>32.137837604065304</v>
      </c>
      <c r="BK159">
        <f t="shared" si="466"/>
        <v>9.7155943267339256E-2</v>
      </c>
      <c r="BL159" s="144">
        <f t="shared" si="437"/>
        <v>125.53187102185353</v>
      </c>
      <c r="BM159" s="150">
        <f t="shared" si="467"/>
        <v>0.36529499999999993</v>
      </c>
      <c r="BN159" s="150">
        <f t="shared" si="468"/>
        <v>7.6103124999999994E-2</v>
      </c>
      <c r="BO159" s="456"/>
      <c r="BQ159" s="144">
        <f t="shared" si="356"/>
        <v>441.39812499999994</v>
      </c>
      <c r="BR159" s="456">
        <f t="shared" si="357"/>
        <v>1.9253387834737637E-2</v>
      </c>
      <c r="BS159" s="456">
        <f t="shared" si="358"/>
        <v>3.1238624987209394E-2</v>
      </c>
      <c r="BT159" s="456">
        <f t="shared" si="359"/>
        <v>2.6014172134677276E-4</v>
      </c>
      <c r="BU159" s="456">
        <f t="shared" si="360"/>
        <v>6.7614319245731608E-2</v>
      </c>
      <c r="BV159" s="456"/>
      <c r="BW159" s="538">
        <f t="shared" si="469"/>
        <v>6.3685243271352997E-4</v>
      </c>
      <c r="BX159" s="144">
        <f t="shared" si="362"/>
        <v>119.00332622173893</v>
      </c>
      <c r="BY159" s="150">
        <f t="shared" si="363"/>
        <v>0.68593332224359238</v>
      </c>
      <c r="BZ159" s="5">
        <f t="shared" si="364"/>
        <v>3.92</v>
      </c>
      <c r="CA159" s="150">
        <f t="shared" si="365"/>
        <v>0.85107615020586802</v>
      </c>
      <c r="CB159" s="5">
        <f t="shared" si="366"/>
        <v>85.107615020586806</v>
      </c>
      <c r="CC159">
        <f t="shared" si="367"/>
        <v>49</v>
      </c>
      <c r="CE159" s="59">
        <f t="shared" si="470"/>
        <v>-50</v>
      </c>
      <c r="CF159">
        <f t="shared" si="471"/>
        <v>-50</v>
      </c>
      <c r="CG159" s="150">
        <f t="shared" si="370"/>
        <v>0.57198633493024875</v>
      </c>
      <c r="CH159" s="150">
        <f t="shared" si="472"/>
        <v>0.31031053622728111</v>
      </c>
      <c r="CI159" s="147">
        <v>49</v>
      </c>
      <c r="CJ159" s="188">
        <f t="shared" si="438"/>
        <v>0.58799999999999997</v>
      </c>
      <c r="CK159" s="188">
        <f t="shared" si="372"/>
        <v>0.1225</v>
      </c>
      <c r="CL159" s="188">
        <f t="shared" si="373"/>
        <v>2.94</v>
      </c>
      <c r="CM159" s="188">
        <f t="shared" si="374"/>
        <v>0.98</v>
      </c>
      <c r="CN159" s="465">
        <f t="shared" si="375"/>
        <v>9</v>
      </c>
      <c r="CO159" s="379">
        <f t="shared" si="473"/>
        <v>5.7</v>
      </c>
      <c r="CP159" s="379">
        <f t="shared" si="474"/>
        <v>14.7</v>
      </c>
      <c r="CQ159" s="379"/>
      <c r="CR159" s="188">
        <f t="shared" si="378"/>
        <v>0.375</v>
      </c>
      <c r="CS159" s="149">
        <f t="shared" si="379"/>
        <v>6.328125</v>
      </c>
      <c r="CT159" s="149">
        <f t="shared" si="380"/>
        <v>2.8125</v>
      </c>
      <c r="CU159" s="188">
        <f t="shared" si="381"/>
        <v>1.265625</v>
      </c>
      <c r="CV159" s="188">
        <f t="shared" si="382"/>
        <v>0.791015625</v>
      </c>
      <c r="CW159" s="188">
        <f t="shared" si="383"/>
        <v>5</v>
      </c>
      <c r="CX159" s="188">
        <f t="shared" si="384"/>
        <v>2.3229629629629631</v>
      </c>
      <c r="CY159" s="188">
        <f t="shared" si="385"/>
        <v>3.097283950617284</v>
      </c>
      <c r="CZ159" s="188">
        <f t="shared" si="386"/>
        <v>4.8904483430799219</v>
      </c>
      <c r="DA159" s="172">
        <f t="shared" si="387"/>
        <v>290.81632653061229</v>
      </c>
      <c r="DB159" s="379">
        <f t="shared" si="388"/>
        <v>125.19197730112452</v>
      </c>
      <c r="DD159" s="188">
        <f t="shared" si="389"/>
        <v>0.99999999999999978</v>
      </c>
      <c r="DE159" s="150">
        <f t="shared" si="390"/>
        <v>2.1052631578947363</v>
      </c>
      <c r="DF159" s="150">
        <f t="shared" si="391"/>
        <v>0.2295918367346938</v>
      </c>
      <c r="DG159" s="150"/>
      <c r="DH159" s="150">
        <f t="shared" si="392"/>
        <v>2.1052631578947367</v>
      </c>
      <c r="DI159" s="314">
        <f t="shared" si="393"/>
        <v>558.6</v>
      </c>
      <c r="DJ159" s="456">
        <f t="shared" si="394"/>
        <v>0.3061224489795919</v>
      </c>
      <c r="DL159" s="150">
        <f t="shared" si="395"/>
        <v>1.3662601021279464</v>
      </c>
      <c r="DM159" s="150">
        <f t="shared" si="396"/>
        <v>2.3229629629629631</v>
      </c>
      <c r="DN159" s="150">
        <f t="shared" si="397"/>
        <v>2.1799725651577502</v>
      </c>
      <c r="DP159" s="314">
        <f t="shared" si="398"/>
        <v>588</v>
      </c>
      <c r="DQ159" s="144">
        <f t="shared" si="399"/>
        <v>125.19197730112452</v>
      </c>
      <c r="DS159">
        <f t="shared" si="400"/>
        <v>588</v>
      </c>
      <c r="DT159">
        <f t="shared" si="401"/>
        <v>125.19197730112452</v>
      </c>
      <c r="DV159" s="5">
        <f t="shared" si="402"/>
        <v>7.9877322936972064</v>
      </c>
      <c r="DW159" s="5">
        <f t="shared" si="403"/>
        <v>3.097283950617284</v>
      </c>
      <c r="DX159" s="5">
        <f t="shared" si="404"/>
        <v>4.8904483430799228</v>
      </c>
      <c r="DY159" s="150">
        <f t="shared" si="405"/>
        <v>0.38775510204081631</v>
      </c>
      <c r="EA159" s="5">
        <f t="shared" si="406"/>
        <v>36.424059259259259</v>
      </c>
      <c r="EB159" s="5">
        <f t="shared" si="407"/>
        <v>4.7427160493827163</v>
      </c>
      <c r="EC159" s="5">
        <f t="shared" si="408"/>
        <v>0.6656443578081005</v>
      </c>
      <c r="ED159" s="5"/>
      <c r="EE159" s="150">
        <f t="shared" si="409"/>
        <v>0.83514217950649294</v>
      </c>
      <c r="EF159" s="150">
        <f t="shared" si="410"/>
        <v>1.0494076975966178</v>
      </c>
      <c r="EG159" s="150">
        <f t="shared" si="411"/>
        <v>0.23457348534512637</v>
      </c>
      <c r="EH159" s="150"/>
      <c r="EI159" s="456">
        <f t="shared" si="412"/>
        <v>1.3949249199817106E-2</v>
      </c>
      <c r="EJ159" s="456">
        <f t="shared" si="413"/>
        <v>8.5500000000000007E-2</v>
      </c>
      <c r="EK159" s="456">
        <f t="shared" si="414"/>
        <v>1.5648997162640566E-2</v>
      </c>
      <c r="EL159" s="456">
        <f t="shared" si="415"/>
        <v>2.7052734374999996E-3</v>
      </c>
      <c r="EM159">
        <f t="shared" si="416"/>
        <v>4.0499999999999998E-3</v>
      </c>
      <c r="EN159" s="144">
        <f t="shared" si="417"/>
        <v>19.698997162640563</v>
      </c>
      <c r="EP159" s="144">
        <f t="shared" si="439"/>
        <v>121.85351979995768</v>
      </c>
      <c r="EQ159" s="150">
        <f t="shared" si="418"/>
        <v>0.41159999999999997</v>
      </c>
      <c r="ER159" s="150">
        <f t="shared" si="475"/>
        <v>5.4359374999999995E-2</v>
      </c>
      <c r="ES159" s="456"/>
      <c r="EU159" s="144">
        <f t="shared" si="420"/>
        <v>465.95937499999997</v>
      </c>
      <c r="EV159" s="456">
        <f t="shared" si="421"/>
        <v>2.092387379972566E-2</v>
      </c>
      <c r="EW159" s="456">
        <f t="shared" si="422"/>
        <v>3.3037695473251034E-2</v>
      </c>
      <c r="EX159" s="456">
        <f t="shared" si="423"/>
        <v>2.7512360013480112E-4</v>
      </c>
      <c r="EY159" s="456">
        <f t="shared" si="424"/>
        <v>7.2113564882065398E-2</v>
      </c>
      <c r="EZ159" s="456"/>
      <c r="FA159" s="538">
        <f t="shared" si="425"/>
        <v>6.7555555555555565E-4</v>
      </c>
      <c r="FB159" s="144">
        <f t="shared" si="426"/>
        <v>127.02581331073246</v>
      </c>
      <c r="FC159" s="150">
        <f t="shared" si="427"/>
        <v>0.71483870811069028</v>
      </c>
      <c r="FD159" s="5">
        <f t="shared" si="428"/>
        <v>3.92</v>
      </c>
      <c r="FE159" s="150">
        <f t="shared" si="429"/>
        <v>0.8457683744507084</v>
      </c>
      <c r="FF159" s="5">
        <f t="shared" si="430"/>
        <v>84.576837445070836</v>
      </c>
      <c r="FG159">
        <f t="shared" si="431"/>
        <v>49</v>
      </c>
      <c r="FI159" s="59">
        <f t="shared" si="432"/>
        <v>-50</v>
      </c>
      <c r="FJ159">
        <f t="shared" si="433"/>
        <v>-50</v>
      </c>
    </row>
    <row r="160" spans="5:166">
      <c r="E160" s="147">
        <v>50</v>
      </c>
      <c r="F160" s="188">
        <f t="shared" si="476"/>
        <v>0.6</v>
      </c>
      <c r="G160" s="188">
        <f t="shared" si="444"/>
        <v>0.125</v>
      </c>
      <c r="H160" s="188">
        <f t="shared" si="445"/>
        <v>3</v>
      </c>
      <c r="I160" s="188">
        <f t="shared" si="446"/>
        <v>1</v>
      </c>
      <c r="J160" s="465">
        <f t="shared" si="447"/>
        <v>8.917516199440044</v>
      </c>
      <c r="K160" s="379">
        <f t="shared" si="448"/>
        <v>5.7314692832691447</v>
      </c>
      <c r="L160" s="149">
        <f t="shared" si="449"/>
        <v>14.64898548270919</v>
      </c>
      <c r="M160" s="379"/>
      <c r="N160" s="188">
        <f t="shared" si="450"/>
        <v>0.39125366668116623</v>
      </c>
      <c r="O160" s="149">
        <f t="shared" si="451"/>
        <v>6.5418954575992787</v>
      </c>
      <c r="P160" s="149">
        <f t="shared" si="452"/>
        <v>2.9075090922663458</v>
      </c>
      <c r="Q160" s="188">
        <f t="shared" si="322"/>
        <v>1.3083790915198557</v>
      </c>
      <c r="R160" s="188">
        <f t="shared" si="453"/>
        <v>0.81773693219990984</v>
      </c>
      <c r="S160" s="188">
        <f t="shared" si="454"/>
        <v>5</v>
      </c>
      <c r="T160" s="188">
        <f t="shared" si="455"/>
        <v>2.2929134372784135</v>
      </c>
      <c r="U160" s="188">
        <f t="shared" si="326"/>
        <v>3.0854960767067299</v>
      </c>
      <c r="V160" s="188">
        <f t="shared" si="327"/>
        <v>4.8006819695711318</v>
      </c>
      <c r="W160" s="172">
        <f t="shared" si="328"/>
        <v>290.75090922663463</v>
      </c>
      <c r="X160" s="379">
        <f t="shared" si="435"/>
        <v>123.66781862542697</v>
      </c>
      <c r="Z160" s="188">
        <f t="shared" si="329"/>
        <v>0.99999999999999978</v>
      </c>
      <c r="AA160" s="150">
        <f t="shared" si="330"/>
        <v>2.0937039713410757</v>
      </c>
      <c r="AB160" s="150">
        <f t="shared" si="456"/>
        <v>0.22827987499456254</v>
      </c>
      <c r="AC160" s="150"/>
      <c r="AD160" s="150">
        <f t="shared" si="332"/>
        <v>2.0937039713410761</v>
      </c>
      <c r="AE160" s="314">
        <f t="shared" si="457"/>
        <v>573.14692832691446</v>
      </c>
      <c r="AF160" s="456">
        <f t="shared" si="458"/>
        <v>0.30437316665941683</v>
      </c>
      <c r="AH160" s="150">
        <f t="shared" si="459"/>
        <v>1.3801311186847085</v>
      </c>
      <c r="AI160" s="150">
        <f t="shared" si="460"/>
        <v>2.2929134372784135</v>
      </c>
      <c r="AJ160" s="150">
        <f t="shared" si="461"/>
        <v>2.1577136572432689</v>
      </c>
      <c r="AL160" s="314">
        <f t="shared" si="462"/>
        <v>600</v>
      </c>
      <c r="AM160" s="144">
        <f t="shared" si="463"/>
        <v>123.66781862542697</v>
      </c>
      <c r="AO160">
        <f t="shared" si="340"/>
        <v>600</v>
      </c>
      <c r="AP160">
        <f t="shared" si="341"/>
        <v>123.66781862542697</v>
      </c>
      <c r="AR160" s="5">
        <f t="shared" si="443"/>
        <v>8.0861780462778619</v>
      </c>
      <c r="AS160" s="5">
        <f t="shared" si="440"/>
        <v>3.0854960767067299</v>
      </c>
      <c r="AT160" s="5">
        <f t="shared" si="441"/>
        <v>5.000681969571132</v>
      </c>
      <c r="AU160" s="150">
        <f t="shared" si="442"/>
        <v>0.38157656918363436</v>
      </c>
      <c r="AW160" s="5">
        <f t="shared" si="342"/>
        <v>37.025952920480755</v>
      </c>
      <c r="AX160" s="5">
        <f t="shared" si="343"/>
        <v>4.8210876198542651</v>
      </c>
      <c r="AY160" s="5">
        <f t="shared" si="344"/>
        <v>0.70096339857015599</v>
      </c>
      <c r="AZ160" s="5"/>
      <c r="BA160" s="150">
        <f t="shared" si="345"/>
        <v>0.81774497014248526</v>
      </c>
      <c r="BB160" s="150">
        <f t="shared" si="346"/>
        <v>1.0410461921022696</v>
      </c>
      <c r="BC160" s="150">
        <f t="shared" si="347"/>
        <v>0.23270444294050732</v>
      </c>
      <c r="BD160" s="150"/>
      <c r="BE160" s="456">
        <f t="shared" si="348"/>
        <v>1.3374136723866684E-2</v>
      </c>
      <c r="BF160" s="456">
        <f t="shared" si="464"/>
        <v>7.7884884545196736E-2</v>
      </c>
      <c r="BG160" s="456">
        <f t="shared" si="465"/>
        <v>2.7570244398541457E-2</v>
      </c>
      <c r="BH160" s="456">
        <f t="shared" si="351"/>
        <v>2.6538220460209077E-3</v>
      </c>
      <c r="BI160">
        <f t="shared" si="352"/>
        <v>4.0128822897480196E-3</v>
      </c>
      <c r="BJ160" s="144">
        <f t="shared" si="436"/>
        <v>31.583126688289479</v>
      </c>
      <c r="BK160">
        <f t="shared" si="466"/>
        <v>9.783474921273469E-2</v>
      </c>
      <c r="BL160" s="144">
        <f t="shared" si="437"/>
        <v>125.49597000337381</v>
      </c>
      <c r="BM160" s="150">
        <f t="shared" si="467"/>
        <v>0.37274999999999997</v>
      </c>
      <c r="BN160" s="150">
        <f t="shared" si="468"/>
        <v>7.7656249999999996E-2</v>
      </c>
      <c r="BO160" s="456"/>
      <c r="BQ160" s="144">
        <f t="shared" si="356"/>
        <v>450.40624999999994</v>
      </c>
      <c r="BR160" s="456">
        <f t="shared" si="357"/>
        <v>2.0061205085800025E-2</v>
      </c>
      <c r="BS160" s="456">
        <f t="shared" si="358"/>
        <v>3.2513315222719059E-2</v>
      </c>
      <c r="BT160" s="456">
        <f t="shared" si="359"/>
        <v>2.7075678882125916E-4</v>
      </c>
      <c r="BU160" s="456">
        <f t="shared" si="360"/>
        <v>6.7698789576788362E-2</v>
      </c>
      <c r="BV160" s="456"/>
      <c r="BW160" s="538">
        <f t="shared" si="469"/>
        <v>6.5017762418327662E-4</v>
      </c>
      <c r="BX160" s="144">
        <f t="shared" si="362"/>
        <v>121.19424429831197</v>
      </c>
      <c r="BY160" s="150">
        <f t="shared" si="363"/>
        <v>0.6970964643016857</v>
      </c>
      <c r="BZ160" s="5">
        <f t="shared" si="364"/>
        <v>4</v>
      </c>
      <c r="CA160" s="150">
        <f t="shared" si="365"/>
        <v>0.85158991951737095</v>
      </c>
      <c r="CB160" s="5">
        <f t="shared" si="366"/>
        <v>85.158991951737093</v>
      </c>
      <c r="CC160">
        <f t="shared" si="367"/>
        <v>50</v>
      </c>
      <c r="CE160" s="59">
        <f t="shared" si="470"/>
        <v>-50</v>
      </c>
      <c r="CF160">
        <f t="shared" si="471"/>
        <v>-50</v>
      </c>
      <c r="CG160" s="150">
        <f t="shared" si="370"/>
        <v>0.57198633493024886</v>
      </c>
      <c r="CH160" s="150">
        <f t="shared" si="472"/>
        <v>0.31031053622728111</v>
      </c>
      <c r="CI160" s="147">
        <v>50</v>
      </c>
      <c r="CJ160" s="188">
        <f t="shared" si="438"/>
        <v>0.6</v>
      </c>
      <c r="CK160" s="188">
        <f t="shared" si="372"/>
        <v>0.125</v>
      </c>
      <c r="CL160" s="188">
        <f t="shared" si="373"/>
        <v>3</v>
      </c>
      <c r="CM160" s="188">
        <f t="shared" si="374"/>
        <v>1</v>
      </c>
      <c r="CN160" s="465">
        <f t="shared" si="375"/>
        <v>9</v>
      </c>
      <c r="CO160" s="379">
        <f t="shared" si="473"/>
        <v>5.7</v>
      </c>
      <c r="CP160" s="379">
        <f t="shared" si="474"/>
        <v>14.7</v>
      </c>
      <c r="CQ160" s="379"/>
      <c r="CR160" s="188">
        <f t="shared" si="378"/>
        <v>0.375</v>
      </c>
      <c r="CS160" s="149">
        <f t="shared" si="379"/>
        <v>6.328125</v>
      </c>
      <c r="CT160" s="149">
        <f t="shared" si="380"/>
        <v>2.8125</v>
      </c>
      <c r="CU160" s="188">
        <f t="shared" si="381"/>
        <v>1.265625</v>
      </c>
      <c r="CV160" s="188">
        <f t="shared" si="382"/>
        <v>0.791015625</v>
      </c>
      <c r="CW160" s="188">
        <f t="shared" si="383"/>
        <v>5</v>
      </c>
      <c r="CX160" s="188">
        <f t="shared" si="384"/>
        <v>2.3703703703703702</v>
      </c>
      <c r="CY160" s="188">
        <f t="shared" si="385"/>
        <v>3.1604938271604941</v>
      </c>
      <c r="CZ160" s="188">
        <f t="shared" si="386"/>
        <v>4.9902534113060426</v>
      </c>
      <c r="DA160" s="172">
        <f t="shared" si="387"/>
        <v>290.81632653061229</v>
      </c>
      <c r="DB160" s="379">
        <f t="shared" si="388"/>
        <v>122.68813775510205</v>
      </c>
      <c r="DD160" s="188">
        <f t="shared" si="389"/>
        <v>0.99999999999999978</v>
      </c>
      <c r="DE160" s="150">
        <f t="shared" si="390"/>
        <v>2.1052631578947363</v>
      </c>
      <c r="DF160" s="150">
        <f t="shared" si="391"/>
        <v>0.2295918367346938</v>
      </c>
      <c r="DG160" s="150"/>
      <c r="DH160" s="150">
        <f t="shared" si="392"/>
        <v>2.1052631578947367</v>
      </c>
      <c r="DI160" s="314">
        <f t="shared" si="393"/>
        <v>570</v>
      </c>
      <c r="DJ160" s="456">
        <f t="shared" si="394"/>
        <v>0.3061224489795919</v>
      </c>
      <c r="DL160" s="150">
        <f t="shared" si="395"/>
        <v>1.3801311186847085</v>
      </c>
      <c r="DM160" s="150">
        <f t="shared" si="396"/>
        <v>2.3703703703703702</v>
      </c>
      <c r="DN160" s="150">
        <f t="shared" si="397"/>
        <v>2.2150891632373111</v>
      </c>
      <c r="DP160" s="314">
        <f t="shared" si="398"/>
        <v>600</v>
      </c>
      <c r="DQ160" s="144">
        <f t="shared" si="399"/>
        <v>122.68813775510205</v>
      </c>
      <c r="DS160">
        <f t="shared" si="400"/>
        <v>600</v>
      </c>
      <c r="DT160">
        <f t="shared" si="401"/>
        <v>122.68813775510205</v>
      </c>
      <c r="DV160" s="5">
        <f t="shared" si="402"/>
        <v>8.1507472384665363</v>
      </c>
      <c r="DW160" s="5">
        <f t="shared" si="403"/>
        <v>3.1604938271604941</v>
      </c>
      <c r="DX160" s="5">
        <f t="shared" si="404"/>
        <v>4.9902534113060426</v>
      </c>
      <c r="DY160" s="150">
        <f t="shared" si="405"/>
        <v>0.38775510204081637</v>
      </c>
      <c r="EA160" s="5">
        <f t="shared" si="406"/>
        <v>37.925925925925924</v>
      </c>
      <c r="EB160" s="5">
        <f t="shared" si="407"/>
        <v>4.9382716049382722</v>
      </c>
      <c r="EC160" s="5">
        <f t="shared" si="408"/>
        <v>0.69309075157028355</v>
      </c>
      <c r="ED160" s="5"/>
      <c r="EE160" s="150">
        <f t="shared" si="409"/>
        <v>0.85218589745560491</v>
      </c>
      <c r="EF160" s="150">
        <f t="shared" si="410"/>
        <v>1.0708241812210386</v>
      </c>
      <c r="EG160" s="150">
        <f t="shared" si="411"/>
        <v>0.23936069933176157</v>
      </c>
      <c r="EH160" s="150"/>
      <c r="EI160" s="456">
        <f t="shared" si="412"/>
        <v>1.4524416076444295E-2</v>
      </c>
      <c r="EJ160" s="456">
        <f t="shared" si="413"/>
        <v>8.5500000000000007E-2</v>
      </c>
      <c r="EK160" s="456">
        <f t="shared" si="414"/>
        <v>1.5336017219387753E-2</v>
      </c>
      <c r="EL160" s="456">
        <f t="shared" si="415"/>
        <v>2.6511679687499998E-3</v>
      </c>
      <c r="EM160">
        <f t="shared" si="416"/>
        <v>4.0499999999999998E-3</v>
      </c>
      <c r="EN160" s="144">
        <f t="shared" si="417"/>
        <v>19.386017219387753</v>
      </c>
      <c r="EP160" s="144">
        <f t="shared" si="439"/>
        <v>122.06160126458204</v>
      </c>
      <c r="EQ160" s="150">
        <f t="shared" si="418"/>
        <v>0.42</v>
      </c>
      <c r="ER160" s="150">
        <f t="shared" si="475"/>
        <v>5.5468749999999997E-2</v>
      </c>
      <c r="ES160" s="456"/>
      <c r="EU160" s="144">
        <f t="shared" si="420"/>
        <v>475.46875</v>
      </c>
      <c r="EV160" s="456">
        <f t="shared" si="421"/>
        <v>2.178662411466644E-2</v>
      </c>
      <c r="EW160" s="456">
        <f t="shared" si="422"/>
        <v>3.4399932812631234E-2</v>
      </c>
      <c r="EX160" s="456">
        <f t="shared" si="423"/>
        <v>2.8646772192294985E-4</v>
      </c>
      <c r="EY160" s="456">
        <f t="shared" si="424"/>
        <v>7.2113564882065509E-2</v>
      </c>
      <c r="EZ160" s="456"/>
      <c r="FA160" s="538">
        <f t="shared" si="425"/>
        <v>6.8934240362811792E-4</v>
      </c>
      <c r="FB160" s="144">
        <f t="shared" si="426"/>
        <v>129.27593193491424</v>
      </c>
      <c r="FC160" s="150">
        <f t="shared" si="427"/>
        <v>0.72680628319949636</v>
      </c>
      <c r="FD160" s="5">
        <f t="shared" si="428"/>
        <v>4</v>
      </c>
      <c r="FE160" s="150">
        <f t="shared" si="429"/>
        <v>0.84623734512184545</v>
      </c>
      <c r="FF160" s="5">
        <f t="shared" si="430"/>
        <v>84.623734512184541</v>
      </c>
      <c r="FG160">
        <f t="shared" si="431"/>
        <v>50</v>
      </c>
      <c r="FI160" s="59">
        <f t="shared" si="432"/>
        <v>-50</v>
      </c>
      <c r="FJ160">
        <f t="shared" si="433"/>
        <v>-50</v>
      </c>
    </row>
    <row r="161" spans="5:166">
      <c r="E161" s="147">
        <v>51</v>
      </c>
      <c r="F161" s="188">
        <f t="shared" si="476"/>
        <v>0.61199999999999999</v>
      </c>
      <c r="G161" s="188">
        <f t="shared" si="444"/>
        <v>0.1275</v>
      </c>
      <c r="H161" s="188">
        <f t="shared" si="445"/>
        <v>3.06</v>
      </c>
      <c r="I161" s="188">
        <f t="shared" si="446"/>
        <v>1.02</v>
      </c>
      <c r="J161" s="465">
        <f t="shared" si="447"/>
        <v>8.9158665234288446</v>
      </c>
      <c r="K161" s="379">
        <f t="shared" si="448"/>
        <v>5.7320986689345279</v>
      </c>
      <c r="L161" s="149">
        <f t="shared" si="449"/>
        <v>14.647965192363372</v>
      </c>
      <c r="M161" s="379"/>
      <c r="N161" s="188">
        <f t="shared" si="450"/>
        <v>0.39132388653701355</v>
      </c>
      <c r="O161" s="149">
        <f t="shared" si="451"/>
        <v>6.5418591371126755</v>
      </c>
      <c r="P161" s="149">
        <f t="shared" si="452"/>
        <v>2.9074929498278554</v>
      </c>
      <c r="Q161" s="188">
        <f t="shared" si="322"/>
        <v>1.3083718274225351</v>
      </c>
      <c r="R161" s="188">
        <f t="shared" si="453"/>
        <v>0.81773239213908444</v>
      </c>
      <c r="S161" s="188">
        <f t="shared" si="454"/>
        <v>5</v>
      </c>
      <c r="T161" s="188">
        <f t="shared" si="455"/>
        <v>2.3387846909147649</v>
      </c>
      <c r="U161" s="188">
        <f t="shared" si="326"/>
        <v>3.1478057928780929</v>
      </c>
      <c r="V161" s="188">
        <f t="shared" si="327"/>
        <v>4.8961851342649565</v>
      </c>
      <c r="W161" s="172">
        <f t="shared" si="328"/>
        <v>290.7492949827855</v>
      </c>
      <c r="X161" s="379">
        <f t="shared" si="435"/>
        <v>121.30047313705009</v>
      </c>
      <c r="Z161" s="188">
        <f t="shared" si="329"/>
        <v>1</v>
      </c>
      <c r="AA161" s="150">
        <f t="shared" si="330"/>
        <v>2.0934740821951934</v>
      </c>
      <c r="AB161" s="150">
        <f t="shared" si="456"/>
        <v>0.2282535425486199</v>
      </c>
      <c r="AC161" s="150"/>
      <c r="AD161" s="150">
        <f t="shared" si="332"/>
        <v>2.0934740821951934</v>
      </c>
      <c r="AE161" s="314">
        <f t="shared" si="457"/>
        <v>584.67406423132184</v>
      </c>
      <c r="AF161" s="456">
        <f t="shared" si="458"/>
        <v>0.30433805673149322</v>
      </c>
      <c r="AH161" s="150">
        <f t="shared" si="459"/>
        <v>1.3938641048743392</v>
      </c>
      <c r="AI161" s="150">
        <f t="shared" si="460"/>
        <v>2.3387846909147649</v>
      </c>
      <c r="AJ161" s="150">
        <f t="shared" si="461"/>
        <v>2.1916923636405663</v>
      </c>
      <c r="AL161" s="314">
        <f t="shared" si="462"/>
        <v>612</v>
      </c>
      <c r="AM161" s="144">
        <f t="shared" si="463"/>
        <v>121.30047313705009</v>
      </c>
      <c r="AO161">
        <f t="shared" si="340"/>
        <v>612</v>
      </c>
      <c r="AP161">
        <f t="shared" si="341"/>
        <v>121.30047313705009</v>
      </c>
      <c r="AR161" s="5">
        <f t="shared" si="443"/>
        <v>8.2439909271430469</v>
      </c>
      <c r="AS161" s="5">
        <f t="shared" si="440"/>
        <v>3.1478057928780929</v>
      </c>
      <c r="AT161" s="5">
        <f t="shared" si="441"/>
        <v>5.096185134264954</v>
      </c>
      <c r="AU161" s="150">
        <f t="shared" si="442"/>
        <v>0.38183033201965982</v>
      </c>
      <c r="AW161" s="5">
        <f t="shared" si="342"/>
        <v>38.529142904827857</v>
      </c>
      <c r="AX161" s="5">
        <f t="shared" si="343"/>
        <v>5.0168154823994611</v>
      </c>
      <c r="AY161" s="5">
        <f t="shared" si="344"/>
        <v>0.72877224318169465</v>
      </c>
      <c r="AZ161" s="5"/>
      <c r="BA161" s="150">
        <f t="shared" si="345"/>
        <v>0.83438180988530464</v>
      </c>
      <c r="BB161" s="150">
        <f t="shared" si="346"/>
        <v>1.0616551254927127</v>
      </c>
      <c r="BC161" s="150">
        <f t="shared" si="347"/>
        <v>0.23731114569837108</v>
      </c>
      <c r="BD161" s="150"/>
      <c r="BE161" s="456">
        <f t="shared" si="348"/>
        <v>1.3923860093349534E-2</v>
      </c>
      <c r="BF161" s="456">
        <f t="shared" si="464"/>
        <v>7.791683598934418E-2</v>
      </c>
      <c r="BG161" s="456">
        <f t="shared" si="465"/>
        <v>2.7037470692967615E-2</v>
      </c>
      <c r="BH161" s="456">
        <f t="shared" si="351"/>
        <v>2.6026579380412493E-3</v>
      </c>
      <c r="BI161">
        <f t="shared" si="352"/>
        <v>4.0121399355429795E-3</v>
      </c>
      <c r="BJ161" s="144">
        <f t="shared" si="436"/>
        <v>31.049610628510596</v>
      </c>
      <c r="BK161">
        <f t="shared" si="466"/>
        <v>9.8528759844476912E-2</v>
      </c>
      <c r="BL161" s="144">
        <f t="shared" si="437"/>
        <v>125.49296464924556</v>
      </c>
      <c r="BM161" s="150">
        <f t="shared" si="467"/>
        <v>0.38020499999999996</v>
      </c>
      <c r="BN161" s="150">
        <f t="shared" si="468"/>
        <v>7.9209374999999999E-2</v>
      </c>
      <c r="BO161" s="456"/>
      <c r="BQ161" s="144">
        <f t="shared" si="356"/>
        <v>459.41437499999995</v>
      </c>
      <c r="BR161" s="456">
        <f t="shared" si="357"/>
        <v>2.0885790140024299E-2</v>
      </c>
      <c r="BS161" s="456">
        <f t="shared" si="358"/>
        <v>3.3813348164548424E-2</v>
      </c>
      <c r="BT161" s="456">
        <f t="shared" si="359"/>
        <v>2.8158289936336753E-4</v>
      </c>
      <c r="BU161" s="456">
        <f t="shared" si="360"/>
        <v>6.7780044159737429E-2</v>
      </c>
      <c r="BV161" s="456"/>
      <c r="BW161" s="538">
        <f t="shared" si="469"/>
        <v>6.6350313565336123E-4</v>
      </c>
      <c r="BX161" s="144">
        <f t="shared" si="362"/>
        <v>123.42426849932689</v>
      </c>
      <c r="BY161" s="150">
        <f t="shared" si="363"/>
        <v>0.70833160814857254</v>
      </c>
      <c r="BZ161" s="5">
        <f t="shared" si="364"/>
        <v>4.08</v>
      </c>
      <c r="CA161" s="150">
        <f t="shared" si="365"/>
        <v>0.85207131290924698</v>
      </c>
      <c r="CB161" s="5">
        <f t="shared" si="366"/>
        <v>85.207131290924693</v>
      </c>
      <c r="CC161">
        <f t="shared" si="367"/>
        <v>51</v>
      </c>
      <c r="CE161" s="59">
        <f t="shared" si="470"/>
        <v>-50</v>
      </c>
      <c r="CF161">
        <f t="shared" si="471"/>
        <v>-50</v>
      </c>
      <c r="CG161" s="150">
        <f t="shared" si="370"/>
        <v>0.57198633493024875</v>
      </c>
      <c r="CH161" s="150">
        <f t="shared" si="472"/>
        <v>0.31031053622728105</v>
      </c>
      <c r="CI161" s="147">
        <v>51</v>
      </c>
      <c r="CJ161" s="188">
        <f t="shared" si="438"/>
        <v>0.61199999999999999</v>
      </c>
      <c r="CK161" s="188">
        <f t="shared" si="372"/>
        <v>0.1275</v>
      </c>
      <c r="CL161" s="188">
        <f t="shared" si="373"/>
        <v>3.06</v>
      </c>
      <c r="CM161" s="188">
        <f t="shared" si="374"/>
        <v>1.02</v>
      </c>
      <c r="CN161" s="465">
        <f t="shared" si="375"/>
        <v>9</v>
      </c>
      <c r="CO161" s="379">
        <f t="shared" si="473"/>
        <v>5.7</v>
      </c>
      <c r="CP161" s="379">
        <f t="shared" si="474"/>
        <v>14.7</v>
      </c>
      <c r="CQ161" s="379"/>
      <c r="CR161" s="188">
        <f t="shared" si="378"/>
        <v>0.375</v>
      </c>
      <c r="CS161" s="149">
        <f t="shared" si="379"/>
        <v>6.328125</v>
      </c>
      <c r="CT161" s="149">
        <f t="shared" si="380"/>
        <v>2.8125</v>
      </c>
      <c r="CU161" s="188">
        <f t="shared" si="381"/>
        <v>1.265625</v>
      </c>
      <c r="CV161" s="188">
        <f t="shared" si="382"/>
        <v>0.791015625</v>
      </c>
      <c r="CW161" s="188">
        <f t="shared" si="383"/>
        <v>5</v>
      </c>
      <c r="CX161" s="188">
        <f t="shared" si="384"/>
        <v>2.4177777777777778</v>
      </c>
      <c r="CY161" s="188">
        <f t="shared" si="385"/>
        <v>3.2237037037037042</v>
      </c>
      <c r="CZ161" s="188">
        <f t="shared" si="386"/>
        <v>5.0900584795321642</v>
      </c>
      <c r="DA161" s="172">
        <f t="shared" si="387"/>
        <v>290.81632653061229</v>
      </c>
      <c r="DB161" s="379">
        <f t="shared" si="388"/>
        <v>120.28248799519807</v>
      </c>
      <c r="DD161" s="188">
        <f t="shared" si="389"/>
        <v>0.99999999999999978</v>
      </c>
      <c r="DE161" s="150">
        <f t="shared" si="390"/>
        <v>2.1052631578947363</v>
      </c>
      <c r="DF161" s="150">
        <f t="shared" si="391"/>
        <v>0.2295918367346938</v>
      </c>
      <c r="DG161" s="150"/>
      <c r="DH161" s="150">
        <f t="shared" si="392"/>
        <v>2.1052631578947367</v>
      </c>
      <c r="DI161" s="314">
        <f t="shared" si="393"/>
        <v>581.4</v>
      </c>
      <c r="DJ161" s="456">
        <f t="shared" si="394"/>
        <v>0.3061224489795919</v>
      </c>
      <c r="DL161" s="150">
        <f t="shared" si="395"/>
        <v>1.3938641048743392</v>
      </c>
      <c r="DM161" s="150">
        <f t="shared" si="396"/>
        <v>2.4177777777777778</v>
      </c>
      <c r="DN161" s="150">
        <f t="shared" si="397"/>
        <v>2.2502057613168724</v>
      </c>
      <c r="DP161" s="314">
        <f t="shared" si="398"/>
        <v>612</v>
      </c>
      <c r="DQ161" s="144">
        <f t="shared" si="399"/>
        <v>120.28248799519807</v>
      </c>
      <c r="DS161">
        <f t="shared" si="400"/>
        <v>612</v>
      </c>
      <c r="DT161">
        <f t="shared" si="401"/>
        <v>120.28248799519807</v>
      </c>
      <c r="DV161" s="5">
        <f t="shared" si="402"/>
        <v>8.3137621832358679</v>
      </c>
      <c r="DW161" s="5">
        <f t="shared" si="403"/>
        <v>3.2237037037037042</v>
      </c>
      <c r="DX161" s="5">
        <f t="shared" si="404"/>
        <v>5.0900584795321642</v>
      </c>
      <c r="DY161" s="150">
        <f t="shared" si="405"/>
        <v>0.38775510204081637</v>
      </c>
      <c r="EA161" s="5">
        <f t="shared" si="406"/>
        <v>39.458133333333336</v>
      </c>
      <c r="EB161" s="5">
        <f t="shared" si="407"/>
        <v>5.137777777777778</v>
      </c>
      <c r="EC161" s="5">
        <f t="shared" si="408"/>
        <v>0.72109161793372312</v>
      </c>
      <c r="ED161" s="5"/>
      <c r="EE161" s="150">
        <f t="shared" si="409"/>
        <v>0.8692296154047171</v>
      </c>
      <c r="EF161" s="150">
        <f t="shared" si="410"/>
        <v>1.0922406648454595</v>
      </c>
      <c r="EG161" s="150">
        <f t="shared" si="411"/>
        <v>0.2441479133183968</v>
      </c>
      <c r="EH161" s="150"/>
      <c r="EI161" s="456">
        <f t="shared" si="412"/>
        <v>1.5111202485932649E-2</v>
      </c>
      <c r="EJ161" s="456">
        <f t="shared" si="413"/>
        <v>8.5500000000000007E-2</v>
      </c>
      <c r="EK161" s="456">
        <f t="shared" si="414"/>
        <v>1.5035310999399759E-2</v>
      </c>
      <c r="EL161" s="456">
        <f t="shared" si="415"/>
        <v>2.5991842830882348E-3</v>
      </c>
      <c r="EM161">
        <f t="shared" si="416"/>
        <v>4.0499999999999998E-3</v>
      </c>
      <c r="EN161" s="144">
        <f t="shared" si="417"/>
        <v>19.085310999399759</v>
      </c>
      <c r="EP161" s="144">
        <f t="shared" si="439"/>
        <v>122.29569776842064</v>
      </c>
      <c r="EQ161" s="150">
        <f t="shared" si="418"/>
        <v>0.42839999999999995</v>
      </c>
      <c r="ER161" s="150">
        <f t="shared" si="475"/>
        <v>5.6578125E-2</v>
      </c>
      <c r="ES161" s="456"/>
      <c r="EU161" s="144">
        <f t="shared" si="420"/>
        <v>484.97812499999992</v>
      </c>
      <c r="EV161" s="456">
        <f t="shared" si="421"/>
        <v>2.2666803728898972E-2</v>
      </c>
      <c r="EW161" s="456">
        <f t="shared" si="422"/>
        <v>3.5789690098261537E-2</v>
      </c>
      <c r="EX161" s="456">
        <f t="shared" si="423"/>
        <v>2.98041017888637E-4</v>
      </c>
      <c r="EY161" s="456">
        <f t="shared" si="424"/>
        <v>7.2113564882065495E-2</v>
      </c>
      <c r="EZ161" s="456"/>
      <c r="FA161" s="538">
        <f t="shared" si="425"/>
        <v>7.031292517006803E-4</v>
      </c>
      <c r="FB161" s="144">
        <f t="shared" si="426"/>
        <v>131.57122897881533</v>
      </c>
      <c r="FC161" s="150">
        <f t="shared" si="427"/>
        <v>0.73884505174723591</v>
      </c>
      <c r="FD161" s="5">
        <f t="shared" si="428"/>
        <v>4.08</v>
      </c>
      <c r="FE161" s="150">
        <f t="shared" si="429"/>
        <v>0.84667590598719444</v>
      </c>
      <c r="FF161" s="5">
        <f t="shared" si="430"/>
        <v>84.667590598719443</v>
      </c>
      <c r="FG161">
        <f t="shared" si="431"/>
        <v>51</v>
      </c>
      <c r="FI161" s="59">
        <f t="shared" si="432"/>
        <v>-50</v>
      </c>
      <c r="FJ161">
        <f t="shared" si="433"/>
        <v>-50</v>
      </c>
    </row>
    <row r="162" spans="5:166">
      <c r="E162" s="147">
        <v>52</v>
      </c>
      <c r="F162" s="188">
        <f t="shared" si="476"/>
        <v>0.624</v>
      </c>
      <c r="G162" s="188">
        <f t="shared" si="444"/>
        <v>0.13</v>
      </c>
      <c r="H162" s="188">
        <f t="shared" si="445"/>
        <v>3.12</v>
      </c>
      <c r="I162" s="188">
        <f t="shared" si="446"/>
        <v>1.04</v>
      </c>
      <c r="J162" s="465">
        <f t="shared" si="447"/>
        <v>8.9142168474176451</v>
      </c>
      <c r="K162" s="379">
        <f t="shared" si="448"/>
        <v>5.7327280545999111</v>
      </c>
      <c r="L162" s="149">
        <f t="shared" si="449"/>
        <v>14.646944902017555</v>
      </c>
      <c r="M162" s="379"/>
      <c r="N162" s="188">
        <f t="shared" si="450"/>
        <v>0.39139411617573927</v>
      </c>
      <c r="O162" s="149">
        <f t="shared" si="451"/>
        <v>6.5418225457385883</v>
      </c>
      <c r="P162" s="149">
        <f t="shared" si="452"/>
        <v>2.907476686994928</v>
      </c>
      <c r="Q162" s="188">
        <f t="shared" si="322"/>
        <v>1.3083645091477176</v>
      </c>
      <c r="R162" s="188">
        <f t="shared" si="453"/>
        <v>0.81772781821732354</v>
      </c>
      <c r="S162" s="188">
        <f t="shared" si="454"/>
        <v>5</v>
      </c>
      <c r="T162" s="188">
        <f t="shared" si="455"/>
        <v>2.3846565526547341</v>
      </c>
      <c r="U162" s="188">
        <f t="shared" si="326"/>
        <v>3.2101393898833104</v>
      </c>
      <c r="V162" s="188">
        <f t="shared" si="327"/>
        <v>4.9916686016347098</v>
      </c>
      <c r="W162" s="172">
        <f t="shared" si="328"/>
        <v>290.74766869949281</v>
      </c>
      <c r="X162" s="379">
        <f t="shared" si="435"/>
        <v>119.02200109899468</v>
      </c>
      <c r="Z162" s="188">
        <f t="shared" si="329"/>
        <v>0.99999999999999978</v>
      </c>
      <c r="AA162" s="150">
        <f t="shared" si="330"/>
        <v>2.0932442435275225</v>
      </c>
      <c r="AB162" s="150">
        <f t="shared" si="456"/>
        <v>0.22822720643409766</v>
      </c>
      <c r="AC162" s="150"/>
      <c r="AD162" s="150">
        <f t="shared" si="332"/>
        <v>2.0932442435275229</v>
      </c>
      <c r="AE162" s="314">
        <f t="shared" si="457"/>
        <v>596.20371767839083</v>
      </c>
      <c r="AF162" s="456">
        <f t="shared" si="458"/>
        <v>0.30430294191213031</v>
      </c>
      <c r="AH162" s="150">
        <f t="shared" si="459"/>
        <v>1.4074631010979937</v>
      </c>
      <c r="AI162" s="150">
        <f t="shared" si="460"/>
        <v>2.3846565526547341</v>
      </c>
      <c r="AJ162" s="150">
        <f t="shared" si="461"/>
        <v>2.2256715204849882</v>
      </c>
      <c r="AL162" s="314">
        <f t="shared" si="462"/>
        <v>624</v>
      </c>
      <c r="AM162" s="144">
        <f t="shared" si="463"/>
        <v>119.02200109899468</v>
      </c>
      <c r="AO162">
        <f t="shared" si="340"/>
        <v>624</v>
      </c>
      <c r="AP162">
        <f t="shared" si="341"/>
        <v>119.02200109899468</v>
      </c>
      <c r="AR162" s="5">
        <f t="shared" si="443"/>
        <v>8.4018079915180195</v>
      </c>
      <c r="AS162" s="5">
        <f t="shared" si="440"/>
        <v>3.2101393898833104</v>
      </c>
      <c r="AT162" s="5">
        <f t="shared" si="441"/>
        <v>5.1916686016347091</v>
      </c>
      <c r="AU162" s="150">
        <f t="shared" si="442"/>
        <v>0.3820772139906175</v>
      </c>
      <c r="AW162" s="5">
        <f t="shared" si="342"/>
        <v>40.062539585743714</v>
      </c>
      <c r="AX162" s="5">
        <f t="shared" si="343"/>
        <v>5.2164765085603797</v>
      </c>
      <c r="AY162" s="5">
        <f t="shared" si="344"/>
        <v>0.75712418686340166</v>
      </c>
      <c r="AZ162" s="5"/>
      <c r="BA162" s="150">
        <f t="shared" si="345"/>
        <v>0.85102198756927205</v>
      </c>
      <c r="BB162" s="150">
        <f t="shared" si="346"/>
        <v>1.0822617681103615</v>
      </c>
      <c r="BC162" s="150">
        <f t="shared" si="347"/>
        <v>0.24191733640113966</v>
      </c>
      <c r="BD162" s="150"/>
      <c r="BE162" s="456">
        <f t="shared" si="348"/>
        <v>1.4484768466527085E-2</v>
      </c>
      <c r="BF162" s="456">
        <f t="shared" si="464"/>
        <v>7.7947359304011352E-2</v>
      </c>
      <c r="BG162" s="456">
        <f t="shared" si="465"/>
        <v>2.6524698185250495E-2</v>
      </c>
      <c r="BH162" s="456">
        <f t="shared" si="351"/>
        <v>2.5534146362225633E-3</v>
      </c>
      <c r="BI162">
        <f t="shared" si="352"/>
        <v>4.0113975813379403E-3</v>
      </c>
      <c r="BJ162" s="144">
        <f t="shared" si="436"/>
        <v>30.536095766588435</v>
      </c>
      <c r="BK162">
        <f t="shared" si="466"/>
        <v>9.9237965387654226E-2</v>
      </c>
      <c r="BL162" s="144">
        <f t="shared" si="437"/>
        <v>125.52163817334943</v>
      </c>
      <c r="BM162" s="150">
        <f t="shared" si="467"/>
        <v>0.38765999999999995</v>
      </c>
      <c r="BN162" s="150">
        <f t="shared" si="468"/>
        <v>8.0762499999999987E-2</v>
      </c>
      <c r="BO162" s="456"/>
      <c r="BQ162" s="144">
        <f t="shared" si="356"/>
        <v>468.42249999999996</v>
      </c>
      <c r="BR162" s="456">
        <f t="shared" si="357"/>
        <v>2.1727152699790628E-2</v>
      </c>
      <c r="BS162" s="456">
        <f t="shared" si="358"/>
        <v>3.5138716041400973E-2</v>
      </c>
      <c r="BT162" s="456">
        <f t="shared" si="359"/>
        <v>2.926199882571109E-4</v>
      </c>
      <c r="BU162" s="456">
        <f t="shared" si="360"/>
        <v>6.7858260319531738E-2</v>
      </c>
      <c r="BV162" s="456"/>
      <c r="BW162" s="538">
        <f t="shared" si="469"/>
        <v>6.7682894918093934E-4</v>
      </c>
      <c r="BX162" s="144">
        <f t="shared" si="362"/>
        <v>125.69357799816139</v>
      </c>
      <c r="BY162" s="150">
        <f t="shared" si="363"/>
        <v>0.71963771617151084</v>
      </c>
      <c r="BZ162" s="5">
        <f t="shared" si="364"/>
        <v>4.16</v>
      </c>
      <c r="CA162" s="150">
        <f t="shared" si="365"/>
        <v>0.85252230636168458</v>
      </c>
      <c r="CB162" s="5">
        <f t="shared" si="366"/>
        <v>85.252230636168463</v>
      </c>
      <c r="CC162">
        <f t="shared" si="367"/>
        <v>52</v>
      </c>
      <c r="CE162" s="59">
        <f t="shared" si="470"/>
        <v>-50</v>
      </c>
      <c r="CF162">
        <f t="shared" si="471"/>
        <v>-50</v>
      </c>
      <c r="CG162" s="150">
        <f t="shared" si="370"/>
        <v>0.57198633493024875</v>
      </c>
      <c r="CH162" s="150">
        <f t="shared" si="472"/>
        <v>0.31031053622728105</v>
      </c>
      <c r="CI162" s="147">
        <v>52</v>
      </c>
      <c r="CJ162" s="188">
        <f t="shared" si="438"/>
        <v>0.624</v>
      </c>
      <c r="CK162" s="188">
        <f t="shared" si="372"/>
        <v>0.13</v>
      </c>
      <c r="CL162" s="188">
        <f t="shared" si="373"/>
        <v>3.12</v>
      </c>
      <c r="CM162" s="188">
        <f t="shared" si="374"/>
        <v>1.04</v>
      </c>
      <c r="CN162" s="465">
        <f t="shared" si="375"/>
        <v>9</v>
      </c>
      <c r="CO162" s="379">
        <f t="shared" si="473"/>
        <v>5.7</v>
      </c>
      <c r="CP162" s="379">
        <f t="shared" si="474"/>
        <v>14.7</v>
      </c>
      <c r="CQ162" s="379"/>
      <c r="CR162" s="188">
        <f t="shared" si="378"/>
        <v>0.375</v>
      </c>
      <c r="CS162" s="149">
        <f t="shared" si="379"/>
        <v>6.328125</v>
      </c>
      <c r="CT162" s="149">
        <f t="shared" si="380"/>
        <v>2.8125</v>
      </c>
      <c r="CU162" s="188">
        <f t="shared" si="381"/>
        <v>1.265625</v>
      </c>
      <c r="CV162" s="188">
        <f t="shared" si="382"/>
        <v>0.791015625</v>
      </c>
      <c r="CW162" s="188">
        <f t="shared" si="383"/>
        <v>5</v>
      </c>
      <c r="CX162" s="188">
        <f t="shared" si="384"/>
        <v>2.4651851851851854</v>
      </c>
      <c r="CY162" s="188">
        <f t="shared" si="385"/>
        <v>3.2869135802469138</v>
      </c>
      <c r="CZ162" s="188">
        <f t="shared" si="386"/>
        <v>5.1898635477582848</v>
      </c>
      <c r="DA162" s="172">
        <f t="shared" si="387"/>
        <v>290.81632653061229</v>
      </c>
      <c r="DB162" s="379">
        <f t="shared" si="388"/>
        <v>117.96936322605964</v>
      </c>
      <c r="DD162" s="188">
        <f t="shared" si="389"/>
        <v>0.99999999999999978</v>
      </c>
      <c r="DE162" s="150">
        <f t="shared" si="390"/>
        <v>2.1052631578947363</v>
      </c>
      <c r="DF162" s="150">
        <f t="shared" si="391"/>
        <v>0.2295918367346938</v>
      </c>
      <c r="DG162" s="150"/>
      <c r="DH162" s="150">
        <f t="shared" si="392"/>
        <v>2.1052631578947367</v>
      </c>
      <c r="DI162" s="314">
        <f t="shared" si="393"/>
        <v>592.79999999999995</v>
      </c>
      <c r="DJ162" s="456">
        <f t="shared" si="394"/>
        <v>0.3061224489795919</v>
      </c>
      <c r="DL162" s="150">
        <f t="shared" si="395"/>
        <v>1.4074631010979937</v>
      </c>
      <c r="DM162" s="150">
        <f t="shared" si="396"/>
        <v>2.4651851851851854</v>
      </c>
      <c r="DN162" s="150">
        <f t="shared" si="397"/>
        <v>2.2853223593964334</v>
      </c>
      <c r="DP162" s="314">
        <f t="shared" si="398"/>
        <v>624</v>
      </c>
      <c r="DQ162" s="144">
        <f t="shared" si="399"/>
        <v>117.96936322605964</v>
      </c>
      <c r="DS162">
        <f t="shared" si="400"/>
        <v>624</v>
      </c>
      <c r="DT162">
        <f t="shared" si="401"/>
        <v>117.96936322605964</v>
      </c>
      <c r="DV162" s="5">
        <f t="shared" si="402"/>
        <v>8.4767771280051996</v>
      </c>
      <c r="DW162" s="5">
        <f t="shared" si="403"/>
        <v>3.2869135802469138</v>
      </c>
      <c r="DX162" s="5">
        <f t="shared" si="404"/>
        <v>5.1898635477582857</v>
      </c>
      <c r="DY162" s="150">
        <f t="shared" si="405"/>
        <v>0.38775510204081631</v>
      </c>
      <c r="EA162" s="5">
        <f t="shared" si="406"/>
        <v>41.020681481481482</v>
      </c>
      <c r="EB162" s="5">
        <f t="shared" si="407"/>
        <v>5.3412345679012354</v>
      </c>
      <c r="EC162" s="5">
        <f t="shared" si="408"/>
        <v>0.74964695689841898</v>
      </c>
      <c r="ED162" s="5"/>
      <c r="EE162" s="150">
        <f t="shared" si="409"/>
        <v>0.88627333335382918</v>
      </c>
      <c r="EF162" s="150">
        <f t="shared" si="410"/>
        <v>1.1136571484698803</v>
      </c>
      <c r="EG162" s="150">
        <f t="shared" si="411"/>
        <v>0.24893512730503203</v>
      </c>
      <c r="EH162" s="150"/>
      <c r="EI162" s="456">
        <f t="shared" si="412"/>
        <v>1.5709608428282153E-2</v>
      </c>
      <c r="EJ162" s="456">
        <f t="shared" si="413"/>
        <v>8.5499999999999979E-2</v>
      </c>
      <c r="EK162" s="456">
        <f t="shared" si="414"/>
        <v>1.4746170403257455E-2</v>
      </c>
      <c r="EL162" s="456">
        <f t="shared" si="415"/>
        <v>2.5491999699519224E-3</v>
      </c>
      <c r="EM162">
        <f t="shared" si="416"/>
        <v>4.0499999999999998E-3</v>
      </c>
      <c r="EN162" s="144">
        <f t="shared" si="417"/>
        <v>18.796170403257456</v>
      </c>
      <c r="EP162" s="144">
        <f t="shared" si="439"/>
        <v>122.55497880149152</v>
      </c>
      <c r="EQ162" s="150">
        <f t="shared" si="418"/>
        <v>0.43679999999999997</v>
      </c>
      <c r="ER162" s="150">
        <f t="shared" si="475"/>
        <v>5.7687499999999996E-2</v>
      </c>
      <c r="ES162" s="456"/>
      <c r="EU162" s="144">
        <f t="shared" si="420"/>
        <v>494.48749999999995</v>
      </c>
      <c r="EV162" s="456">
        <f t="shared" si="421"/>
        <v>2.3564412642423229E-2</v>
      </c>
      <c r="EW162" s="456">
        <f t="shared" si="422"/>
        <v>3.7206967330141942E-2</v>
      </c>
      <c r="EX162" s="456">
        <f t="shared" si="423"/>
        <v>3.098434880318625E-4</v>
      </c>
      <c r="EY162" s="456">
        <f t="shared" si="424"/>
        <v>7.211356488206537E-2</v>
      </c>
      <c r="EZ162" s="456"/>
      <c r="FA162" s="538">
        <f t="shared" si="425"/>
        <v>7.1691609977324279E-4</v>
      </c>
      <c r="FB162" s="144">
        <f t="shared" si="426"/>
        <v>133.91170444243565</v>
      </c>
      <c r="FC162" s="150">
        <f t="shared" si="427"/>
        <v>0.75095418324392715</v>
      </c>
      <c r="FD162" s="5">
        <f t="shared" si="428"/>
        <v>4.16</v>
      </c>
      <c r="FE162" s="150">
        <f t="shared" si="429"/>
        <v>0.84708589100542486</v>
      </c>
      <c r="FF162" s="5">
        <f t="shared" si="430"/>
        <v>84.708589100542483</v>
      </c>
      <c r="FG162">
        <f t="shared" si="431"/>
        <v>52</v>
      </c>
      <c r="FI162" s="59">
        <f t="shared" si="432"/>
        <v>-50</v>
      </c>
      <c r="FJ162">
        <f t="shared" si="433"/>
        <v>-50</v>
      </c>
    </row>
    <row r="163" spans="5:166">
      <c r="E163" s="147">
        <v>53</v>
      </c>
      <c r="F163" s="188">
        <f t="shared" si="476"/>
        <v>0.63600000000000001</v>
      </c>
      <c r="G163" s="188">
        <f t="shared" si="444"/>
        <v>0.13250000000000001</v>
      </c>
      <c r="H163" s="188">
        <f t="shared" si="445"/>
        <v>3.18</v>
      </c>
      <c r="I163" s="188">
        <f t="shared" si="446"/>
        <v>1.06</v>
      </c>
      <c r="J163" s="465">
        <f t="shared" si="447"/>
        <v>8.9125671714064456</v>
      </c>
      <c r="K163" s="379">
        <f t="shared" si="448"/>
        <v>5.7333574402652934</v>
      </c>
      <c r="L163" s="149">
        <f t="shared" si="449"/>
        <v>14.645924611671738</v>
      </c>
      <c r="M163" s="379"/>
      <c r="N163" s="188">
        <f t="shared" si="450"/>
        <v>0.39146435559938797</v>
      </c>
      <c r="O163" s="149">
        <f t="shared" si="451"/>
        <v>6.5417856834204073</v>
      </c>
      <c r="P163" s="149">
        <f t="shared" si="452"/>
        <v>2.9074603037424032</v>
      </c>
      <c r="Q163" s="188">
        <f t="shared" si="322"/>
        <v>1.3083571366840814</v>
      </c>
      <c r="R163" s="188">
        <f t="shared" si="453"/>
        <v>0.81772321042755092</v>
      </c>
      <c r="S163" s="188">
        <f t="shared" si="454"/>
        <v>5</v>
      </c>
      <c r="T163" s="188">
        <f t="shared" si="455"/>
        <v>2.4305290282280541</v>
      </c>
      <c r="U163" s="188">
        <f t="shared" si="326"/>
        <v>3.2724968886976771</v>
      </c>
      <c r="V163" s="188">
        <f t="shared" si="327"/>
        <v>5.0871323901596943</v>
      </c>
      <c r="W163" s="172">
        <f t="shared" si="328"/>
        <v>290.74603037424032</v>
      </c>
      <c r="X163" s="379">
        <f t="shared" si="435"/>
        <v>116.82748953509474</v>
      </c>
      <c r="Z163" s="188">
        <f t="shared" si="329"/>
        <v>1</v>
      </c>
      <c r="AA163" s="150">
        <f t="shared" si="330"/>
        <v>2.093014455321442</v>
      </c>
      <c r="AB163" s="150">
        <f t="shared" si="456"/>
        <v>0.22820086665022951</v>
      </c>
      <c r="AC163" s="150"/>
      <c r="AD163" s="150">
        <f t="shared" si="332"/>
        <v>2.093014455321442</v>
      </c>
      <c r="AE163" s="314">
        <f t="shared" si="457"/>
        <v>607.73588866812111</v>
      </c>
      <c r="AF163" s="456">
        <f t="shared" si="458"/>
        <v>0.30426782220030596</v>
      </c>
      <c r="AH163" s="150">
        <f t="shared" si="459"/>
        <v>1.4209319544044392</v>
      </c>
      <c r="AI163" s="150">
        <f t="shared" si="460"/>
        <v>2.4305290282280541</v>
      </c>
      <c r="AJ163" s="150">
        <f t="shared" si="461"/>
        <v>2.2596511320207808</v>
      </c>
      <c r="AL163" s="314">
        <f t="shared" si="462"/>
        <v>636</v>
      </c>
      <c r="AM163" s="144">
        <f t="shared" si="463"/>
        <v>116.82748953509474</v>
      </c>
      <c r="AO163">
        <f t="shared" si="340"/>
        <v>636</v>
      </c>
      <c r="AP163">
        <f t="shared" si="341"/>
        <v>116.82748953509474</v>
      </c>
      <c r="AR163" s="5">
        <f t="shared" si="443"/>
        <v>8.5596292788573702</v>
      </c>
      <c r="AS163" s="5">
        <f t="shared" si="440"/>
        <v>3.2724968886976771</v>
      </c>
      <c r="AT163" s="5">
        <f t="shared" si="441"/>
        <v>5.2871323901596927</v>
      </c>
      <c r="AU163" s="150">
        <f t="shared" si="442"/>
        <v>0.38231759601795801</v>
      </c>
      <c r="AW163" s="5">
        <f t="shared" si="342"/>
        <v>41.626160424234449</v>
      </c>
      <c r="AX163" s="5">
        <f t="shared" si="343"/>
        <v>5.4200729719055278</v>
      </c>
      <c r="AY163" s="5">
        <f t="shared" si="344"/>
        <v>0.78601936818346574</v>
      </c>
      <c r="AZ163" s="5"/>
      <c r="BA163" s="150">
        <f t="shared" si="345"/>
        <v>0.86766549771514689</v>
      </c>
      <c r="BB163" s="150">
        <f t="shared" si="346"/>
        <v>1.1028661310850301</v>
      </c>
      <c r="BC163" s="150">
        <f t="shared" si="347"/>
        <v>0.24652301753665379</v>
      </c>
      <c r="BD163" s="150"/>
      <c r="BE163" s="456">
        <f t="shared" si="348"/>
        <v>1.5056868318505473E-2</v>
      </c>
      <c r="BF163" s="456">
        <f t="shared" si="464"/>
        <v>7.7976533257626129E-2</v>
      </c>
      <c r="BG163" s="456">
        <f t="shared" si="465"/>
        <v>2.6030821198707883E-2</v>
      </c>
      <c r="BH163" s="456">
        <f t="shared" si="351"/>
        <v>2.5059859573662063E-3</v>
      </c>
      <c r="BI163">
        <f t="shared" si="352"/>
        <v>4.0106552271329003E-3</v>
      </c>
      <c r="BJ163" s="144">
        <f t="shared" si="436"/>
        <v>30.041476425840784</v>
      </c>
      <c r="BK163">
        <f t="shared" si="466"/>
        <v>9.9962358507855426E-2</v>
      </c>
      <c r="BL163" s="144">
        <f t="shared" si="437"/>
        <v>125.5808639593386</v>
      </c>
      <c r="BM163" s="150">
        <f t="shared" si="467"/>
        <v>0.39511499999999999</v>
      </c>
      <c r="BN163" s="150">
        <f t="shared" si="468"/>
        <v>8.2315624999999989E-2</v>
      </c>
      <c r="BO163" s="456"/>
      <c r="BQ163" s="144">
        <f t="shared" si="356"/>
        <v>477.43062500000002</v>
      </c>
      <c r="BR163" s="456">
        <f t="shared" si="357"/>
        <v>2.2585302477758206E-2</v>
      </c>
      <c r="BS163" s="456">
        <f t="shared" si="358"/>
        <v>3.6489411092833879E-2</v>
      </c>
      <c r="BT163" s="456">
        <f t="shared" si="359"/>
        <v>3.0386799087688655E-4</v>
      </c>
      <c r="BU163" s="456">
        <f t="shared" si="360"/>
        <v>6.7933602552955691E-2</v>
      </c>
      <c r="BV163" s="456"/>
      <c r="BW163" s="538">
        <f t="shared" si="469"/>
        <v>6.9015504814570663E-4</v>
      </c>
      <c r="BX163" s="144">
        <f t="shared" si="362"/>
        <v>128.00233916257037</v>
      </c>
      <c r="BY163" s="150">
        <f t="shared" si="363"/>
        <v>0.73101382812190907</v>
      </c>
      <c r="BZ163" s="5">
        <f t="shared" si="364"/>
        <v>4.24</v>
      </c>
      <c r="CA163" s="150">
        <f t="shared" si="365"/>
        <v>0.85294472045391756</v>
      </c>
      <c r="CB163" s="5">
        <f t="shared" si="366"/>
        <v>85.294472045391757</v>
      </c>
      <c r="CC163">
        <f t="shared" si="367"/>
        <v>53</v>
      </c>
      <c r="CE163" s="59">
        <f t="shared" si="470"/>
        <v>-50</v>
      </c>
      <c r="CF163">
        <f t="shared" si="471"/>
        <v>-50</v>
      </c>
      <c r="CG163" s="150">
        <f t="shared" si="370"/>
        <v>0.57198633493024875</v>
      </c>
      <c r="CH163" s="150">
        <f t="shared" si="472"/>
        <v>0.31031053622728111</v>
      </c>
      <c r="CI163" s="147">
        <v>53</v>
      </c>
      <c r="CJ163" s="188">
        <f t="shared" si="438"/>
        <v>0.63600000000000001</v>
      </c>
      <c r="CK163" s="188">
        <f t="shared" si="372"/>
        <v>0.13250000000000001</v>
      </c>
      <c r="CL163" s="188">
        <f t="shared" si="373"/>
        <v>3.18</v>
      </c>
      <c r="CM163" s="188">
        <f t="shared" si="374"/>
        <v>1.06</v>
      </c>
      <c r="CN163" s="465">
        <f t="shared" si="375"/>
        <v>9</v>
      </c>
      <c r="CO163" s="379">
        <f t="shared" si="473"/>
        <v>5.7</v>
      </c>
      <c r="CP163" s="379">
        <f t="shared" si="474"/>
        <v>14.7</v>
      </c>
      <c r="CQ163" s="379"/>
      <c r="CR163" s="188">
        <f t="shared" si="378"/>
        <v>0.375</v>
      </c>
      <c r="CS163" s="149">
        <f t="shared" si="379"/>
        <v>6.328125</v>
      </c>
      <c r="CT163" s="149">
        <f t="shared" si="380"/>
        <v>2.8125</v>
      </c>
      <c r="CU163" s="188">
        <f t="shared" si="381"/>
        <v>1.265625</v>
      </c>
      <c r="CV163" s="188">
        <f t="shared" si="382"/>
        <v>0.791015625</v>
      </c>
      <c r="CW163" s="188">
        <f t="shared" si="383"/>
        <v>5</v>
      </c>
      <c r="CX163" s="188">
        <f t="shared" si="384"/>
        <v>2.5125925925925929</v>
      </c>
      <c r="CY163" s="188">
        <f t="shared" si="385"/>
        <v>3.3501234567901239</v>
      </c>
      <c r="CZ163" s="188">
        <f t="shared" si="386"/>
        <v>5.2896686159844064</v>
      </c>
      <c r="DA163" s="172">
        <f t="shared" si="387"/>
        <v>290.81632653061229</v>
      </c>
      <c r="DB163" s="379">
        <f t="shared" si="388"/>
        <v>115.74352618405852</v>
      </c>
      <c r="DD163" s="188">
        <f t="shared" si="389"/>
        <v>0.99999999999999978</v>
      </c>
      <c r="DE163" s="150">
        <f t="shared" si="390"/>
        <v>2.1052631578947363</v>
      </c>
      <c r="DF163" s="150">
        <f t="shared" si="391"/>
        <v>0.2295918367346938</v>
      </c>
      <c r="DG163" s="150"/>
      <c r="DH163" s="150">
        <f t="shared" si="392"/>
        <v>2.1052631578947367</v>
      </c>
      <c r="DI163" s="314">
        <f t="shared" si="393"/>
        <v>604.20000000000016</v>
      </c>
      <c r="DJ163" s="456">
        <f t="shared" si="394"/>
        <v>0.3061224489795919</v>
      </c>
      <c r="DL163" s="150">
        <f t="shared" si="395"/>
        <v>1.4209319544044392</v>
      </c>
      <c r="DM163" s="150">
        <f t="shared" si="396"/>
        <v>2.5125925925925929</v>
      </c>
      <c r="DN163" s="150">
        <f t="shared" si="397"/>
        <v>2.3204389574759947</v>
      </c>
      <c r="DP163" s="314">
        <f t="shared" si="398"/>
        <v>636</v>
      </c>
      <c r="DQ163" s="144">
        <f t="shared" si="399"/>
        <v>115.74352618405852</v>
      </c>
      <c r="DS163">
        <f t="shared" si="400"/>
        <v>636</v>
      </c>
      <c r="DT163">
        <f t="shared" si="401"/>
        <v>115.74352618405852</v>
      </c>
      <c r="DV163" s="5">
        <f t="shared" si="402"/>
        <v>8.6397920727745294</v>
      </c>
      <c r="DW163" s="5">
        <f t="shared" si="403"/>
        <v>3.3501234567901239</v>
      </c>
      <c r="DX163" s="5">
        <f t="shared" si="404"/>
        <v>5.2896686159844055</v>
      </c>
      <c r="DY163" s="150">
        <f t="shared" si="405"/>
        <v>0.38775510204081637</v>
      </c>
      <c r="EA163" s="5">
        <f t="shared" si="406"/>
        <v>42.613570370370375</v>
      </c>
      <c r="EB163" s="5">
        <f t="shared" si="407"/>
        <v>5.5486419753086427</v>
      </c>
      <c r="EC163" s="5">
        <f t="shared" si="408"/>
        <v>0.7787567684643707</v>
      </c>
      <c r="ED163" s="5"/>
      <c r="EE163" s="150">
        <f t="shared" si="409"/>
        <v>0.90331705130294138</v>
      </c>
      <c r="EF163" s="150">
        <f t="shared" si="410"/>
        <v>1.1350736320943011</v>
      </c>
      <c r="EG163" s="150">
        <f t="shared" si="411"/>
        <v>0.25372234129166726</v>
      </c>
      <c r="EH163" s="150"/>
      <c r="EI163" s="456">
        <f t="shared" si="412"/>
        <v>1.6319633903492815E-2</v>
      </c>
      <c r="EJ163" s="456">
        <f t="shared" si="413"/>
        <v>8.5500000000000007E-2</v>
      </c>
      <c r="EK163" s="456">
        <f t="shared" si="414"/>
        <v>1.4467940773007315E-2</v>
      </c>
      <c r="EL163" s="456">
        <f t="shared" si="415"/>
        <v>2.5011018573113204E-3</v>
      </c>
      <c r="EM163">
        <f t="shared" si="416"/>
        <v>4.0499999999999998E-3</v>
      </c>
      <c r="EN163" s="144">
        <f t="shared" si="417"/>
        <v>18.517940773007314</v>
      </c>
      <c r="EP163" s="144">
        <f t="shared" si="439"/>
        <v>122.83867653381147</v>
      </c>
      <c r="EQ163" s="150">
        <f t="shared" si="418"/>
        <v>0.44519999999999998</v>
      </c>
      <c r="ER163" s="150">
        <f t="shared" si="475"/>
        <v>5.8796874999999998E-2</v>
      </c>
      <c r="ES163" s="456"/>
      <c r="EU163" s="144">
        <f t="shared" si="420"/>
        <v>503.99687499999999</v>
      </c>
      <c r="EV163" s="456">
        <f t="shared" si="421"/>
        <v>2.4479450855239223E-2</v>
      </c>
      <c r="EW163" s="456">
        <f t="shared" si="422"/>
        <v>3.8651764508272464E-2</v>
      </c>
      <c r="EX163" s="456">
        <f t="shared" si="423"/>
        <v>3.2187513235262642E-4</v>
      </c>
      <c r="EY163" s="456">
        <f t="shared" si="424"/>
        <v>7.211356488206544E-2</v>
      </c>
      <c r="EZ163" s="456"/>
      <c r="FA163" s="538">
        <f t="shared" si="425"/>
        <v>7.3070294784580527E-4</v>
      </c>
      <c r="FB163" s="144">
        <f t="shared" si="426"/>
        <v>136.29735832577555</v>
      </c>
      <c r="FC163" s="150">
        <f t="shared" si="427"/>
        <v>0.76313290985958693</v>
      </c>
      <c r="FD163" s="5">
        <f t="shared" si="428"/>
        <v>4.24</v>
      </c>
      <c r="FE163" s="150">
        <f t="shared" si="429"/>
        <v>0.84746899120834973</v>
      </c>
      <c r="FF163" s="5">
        <f t="shared" si="430"/>
        <v>84.746899120834968</v>
      </c>
      <c r="FG163">
        <f t="shared" si="431"/>
        <v>53</v>
      </c>
      <c r="FI163" s="59">
        <f t="shared" si="432"/>
        <v>-50</v>
      </c>
      <c r="FJ163">
        <f t="shared" si="433"/>
        <v>-50</v>
      </c>
    </row>
    <row r="164" spans="5:166">
      <c r="E164" s="147">
        <v>54</v>
      </c>
      <c r="F164" s="188">
        <f t="shared" si="476"/>
        <v>0.64800000000000002</v>
      </c>
      <c r="G164" s="188">
        <f t="shared" si="444"/>
        <v>0.13500000000000001</v>
      </c>
      <c r="H164" s="188">
        <f t="shared" si="445"/>
        <v>3.24</v>
      </c>
      <c r="I164" s="188">
        <f t="shared" si="446"/>
        <v>1.08</v>
      </c>
      <c r="J164" s="465">
        <f t="shared" si="447"/>
        <v>8.9109174953952479</v>
      </c>
      <c r="K164" s="379">
        <f t="shared" si="448"/>
        <v>5.7339868259306765</v>
      </c>
      <c r="L164" s="149">
        <f t="shared" si="449"/>
        <v>14.644904321325924</v>
      </c>
      <c r="M164" s="379"/>
      <c r="N164" s="188">
        <f t="shared" si="450"/>
        <v>0.39153460481000474</v>
      </c>
      <c r="O164" s="149">
        <f t="shared" si="451"/>
        <v>6.541748550101504</v>
      </c>
      <c r="P164" s="149">
        <f t="shared" si="452"/>
        <v>2.9074438000451126</v>
      </c>
      <c r="Q164" s="188">
        <f t="shared" si="322"/>
        <v>1.3083497100203008</v>
      </c>
      <c r="R164" s="188">
        <f t="shared" si="453"/>
        <v>0.817718568762688</v>
      </c>
      <c r="S164" s="188">
        <f t="shared" si="454"/>
        <v>5</v>
      </c>
      <c r="T164" s="188">
        <f t="shared" si="455"/>
        <v>2.4764021233663338</v>
      </c>
      <c r="U164" s="188">
        <f t="shared" si="326"/>
        <v>3.3348783103145432</v>
      </c>
      <c r="V164" s="188">
        <f t="shared" si="327"/>
        <v>5.1825765183150212</v>
      </c>
      <c r="W164" s="172">
        <f t="shared" si="328"/>
        <v>290.7443800045113</v>
      </c>
      <c r="X164" s="379">
        <f t="shared" si="435"/>
        <v>114.71238103991483</v>
      </c>
      <c r="Z164" s="188">
        <f t="shared" si="329"/>
        <v>1</v>
      </c>
      <c r="AA164" s="150">
        <f t="shared" si="330"/>
        <v>2.0927847175603325</v>
      </c>
      <c r="AB164" s="150">
        <f t="shared" si="456"/>
        <v>0.2281745231962482</v>
      </c>
      <c r="AC164" s="150"/>
      <c r="AD164" s="150">
        <f t="shared" si="332"/>
        <v>2.0927847175603325</v>
      </c>
      <c r="AE164" s="314">
        <f t="shared" si="457"/>
        <v>619.27057720051312</v>
      </c>
      <c r="AF164" s="456">
        <f t="shared" si="458"/>
        <v>0.3042326975949976</v>
      </c>
      <c r="AH164" s="150">
        <f t="shared" si="459"/>
        <v>1.4342743312012725</v>
      </c>
      <c r="AI164" s="150">
        <f t="shared" si="460"/>
        <v>2.4764021233663338</v>
      </c>
      <c r="AJ164" s="150">
        <f t="shared" si="461"/>
        <v>2.2936312024935805</v>
      </c>
      <c r="AL164" s="314">
        <f t="shared" si="462"/>
        <v>648</v>
      </c>
      <c r="AM164" s="144">
        <f t="shared" si="463"/>
        <v>114.71238103991483</v>
      </c>
      <c r="AO164">
        <f t="shared" si="340"/>
        <v>648</v>
      </c>
      <c r="AP164">
        <f t="shared" si="341"/>
        <v>114.71238103991483</v>
      </c>
      <c r="AR164" s="5">
        <f t="shared" si="443"/>
        <v>8.7174548286295632</v>
      </c>
      <c r="AS164" s="5">
        <f t="shared" si="440"/>
        <v>3.3348783103145432</v>
      </c>
      <c r="AT164" s="5">
        <f t="shared" si="441"/>
        <v>5.3825765183150196</v>
      </c>
      <c r="AU164" s="150">
        <f t="shared" si="442"/>
        <v>0.38255183145454924</v>
      </c>
      <c r="AW164" s="5">
        <f t="shared" si="342"/>
        <v>43.220022901676487</v>
      </c>
      <c r="AX164" s="5">
        <f t="shared" si="343"/>
        <v>5.6276071486557919</v>
      </c>
      <c r="AY164" s="5">
        <f t="shared" si="344"/>
        <v>0.81545792601943146</v>
      </c>
      <c r="AZ164" s="5"/>
      <c r="BA164" s="150">
        <f t="shared" si="345"/>
        <v>0.88431233541417487</v>
      </c>
      <c r="BB164" s="150">
        <f t="shared" si="346"/>
        <v>1.1234682248757297</v>
      </c>
      <c r="BC164" s="150">
        <f t="shared" si="347"/>
        <v>0.25112819144281018</v>
      </c>
      <c r="BD164" s="150"/>
      <c r="BE164" s="456">
        <f t="shared" si="348"/>
        <v>1.5640166131313443E-2</v>
      </c>
      <c r="BF164" s="456">
        <f t="shared" si="464"/>
        <v>7.8004430917846354E-2</v>
      </c>
      <c r="BG164" s="456">
        <f t="shared" si="465"/>
        <v>2.5554814078675582E-2</v>
      </c>
      <c r="BH164" s="456">
        <f t="shared" si="351"/>
        <v>2.4602734031546132E-3</v>
      </c>
      <c r="BI164">
        <f t="shared" si="352"/>
        <v>4.0099128729278611E-3</v>
      </c>
      <c r="BJ164" s="144">
        <f t="shared" si="436"/>
        <v>29.56472695160344</v>
      </c>
      <c r="BK164">
        <f t="shared" si="466"/>
        <v>0.10070193411485093</v>
      </c>
      <c r="BL164" s="144">
        <f t="shared" si="437"/>
        <v>125.66959740391786</v>
      </c>
      <c r="BM164" s="150">
        <f t="shared" si="467"/>
        <v>0.40256999999999998</v>
      </c>
      <c r="BN164" s="150">
        <f t="shared" si="468"/>
        <v>8.3868749999999992E-2</v>
      </c>
      <c r="BO164" s="456"/>
      <c r="BQ164" s="144">
        <f t="shared" si="356"/>
        <v>486.43874999999997</v>
      </c>
      <c r="BR164" s="456">
        <f t="shared" si="357"/>
        <v>2.3460249196970161E-2</v>
      </c>
      <c r="BS164" s="456">
        <f t="shared" si="358"/>
        <v>3.7865425569162697E-2</v>
      </c>
      <c r="BT164" s="456">
        <f t="shared" si="359"/>
        <v>3.1532684268668356E-4</v>
      </c>
      <c r="BU164" s="456">
        <f t="shared" si="360"/>
        <v>6.8006223667733817E-2</v>
      </c>
      <c r="BV164" s="456"/>
      <c r="BW164" s="538">
        <f t="shared" si="469"/>
        <v>7.0348141713025237E-4</v>
      </c>
      <c r="BX164" s="144">
        <f t="shared" si="362"/>
        <v>130.35070669368363</v>
      </c>
      <c r="BY164" s="150">
        <f t="shared" si="363"/>
        <v>0.74245905409760138</v>
      </c>
      <c r="BZ164" s="5">
        <f t="shared" si="364"/>
        <v>4.32</v>
      </c>
      <c r="CA164" s="150">
        <f t="shared" si="365"/>
        <v>0.85334023521698454</v>
      </c>
      <c r="CB164" s="5">
        <f t="shared" si="366"/>
        <v>85.334023521698455</v>
      </c>
      <c r="CC164">
        <f t="shared" si="367"/>
        <v>54</v>
      </c>
      <c r="CE164" s="59">
        <f t="shared" si="470"/>
        <v>-50</v>
      </c>
      <c r="CF164">
        <f t="shared" si="471"/>
        <v>-50</v>
      </c>
      <c r="CG164" s="150">
        <f t="shared" si="370"/>
        <v>0.57198633493024875</v>
      </c>
      <c r="CH164" s="150">
        <f t="shared" si="472"/>
        <v>0.31031053622728105</v>
      </c>
      <c r="CI164" s="147">
        <v>54</v>
      </c>
      <c r="CJ164" s="188">
        <f t="shared" si="438"/>
        <v>0.64800000000000002</v>
      </c>
      <c r="CK164" s="188">
        <f t="shared" si="372"/>
        <v>0.13500000000000001</v>
      </c>
      <c r="CL164" s="188">
        <f t="shared" si="373"/>
        <v>3.24</v>
      </c>
      <c r="CM164" s="188">
        <f t="shared" si="374"/>
        <v>1.08</v>
      </c>
      <c r="CN164" s="465">
        <f t="shared" si="375"/>
        <v>9</v>
      </c>
      <c r="CO164" s="379">
        <f t="shared" si="473"/>
        <v>5.7</v>
      </c>
      <c r="CP164" s="379">
        <f t="shared" si="474"/>
        <v>14.7</v>
      </c>
      <c r="CQ164" s="379"/>
      <c r="CR164" s="188">
        <f t="shared" si="378"/>
        <v>0.375</v>
      </c>
      <c r="CS164" s="149">
        <f t="shared" si="379"/>
        <v>6.328125</v>
      </c>
      <c r="CT164" s="149">
        <f t="shared" si="380"/>
        <v>2.8125</v>
      </c>
      <c r="CU164" s="188">
        <f t="shared" si="381"/>
        <v>1.265625</v>
      </c>
      <c r="CV164" s="188">
        <f t="shared" si="382"/>
        <v>0.791015625</v>
      </c>
      <c r="CW164" s="188">
        <f t="shared" si="383"/>
        <v>5</v>
      </c>
      <c r="CX164" s="188">
        <f t="shared" si="384"/>
        <v>2.56</v>
      </c>
      <c r="CY164" s="188">
        <f t="shared" si="385"/>
        <v>3.413333333333334</v>
      </c>
      <c r="CZ164" s="188">
        <f t="shared" si="386"/>
        <v>5.3894736842105271</v>
      </c>
      <c r="DA164" s="172">
        <f t="shared" si="387"/>
        <v>290.81632653061229</v>
      </c>
      <c r="DB164" s="379">
        <f t="shared" si="388"/>
        <v>113.60012755102039</v>
      </c>
      <c r="DD164" s="188">
        <f t="shared" si="389"/>
        <v>0.99999999999999978</v>
      </c>
      <c r="DE164" s="150">
        <f t="shared" si="390"/>
        <v>2.1052631578947363</v>
      </c>
      <c r="DF164" s="150">
        <f t="shared" si="391"/>
        <v>0.2295918367346938</v>
      </c>
      <c r="DG164" s="150"/>
      <c r="DH164" s="150">
        <f t="shared" si="392"/>
        <v>2.1052631578947367</v>
      </c>
      <c r="DI164" s="314">
        <f t="shared" si="393"/>
        <v>615.60000000000014</v>
      </c>
      <c r="DJ164" s="456">
        <f t="shared" si="394"/>
        <v>0.3061224489795919</v>
      </c>
      <c r="DL164" s="150">
        <f t="shared" si="395"/>
        <v>1.4342743312012725</v>
      </c>
      <c r="DM164" s="150">
        <f t="shared" si="396"/>
        <v>2.56</v>
      </c>
      <c r="DN164" s="150">
        <f t="shared" si="397"/>
        <v>2.3555555555555556</v>
      </c>
      <c r="DP164" s="314">
        <f t="shared" si="398"/>
        <v>648</v>
      </c>
      <c r="DQ164" s="144">
        <f t="shared" si="399"/>
        <v>113.60012755102039</v>
      </c>
      <c r="DS164">
        <f t="shared" si="400"/>
        <v>648</v>
      </c>
      <c r="DT164">
        <f t="shared" si="401"/>
        <v>113.60012755102039</v>
      </c>
      <c r="DV164" s="5">
        <f t="shared" si="402"/>
        <v>8.8028070175438611</v>
      </c>
      <c r="DW164" s="5">
        <f t="shared" si="403"/>
        <v>3.413333333333334</v>
      </c>
      <c r="DX164" s="5">
        <f t="shared" si="404"/>
        <v>5.3894736842105271</v>
      </c>
      <c r="DY164" s="150">
        <f t="shared" si="405"/>
        <v>0.38775510204081631</v>
      </c>
      <c r="EA164" s="5">
        <f t="shared" si="406"/>
        <v>44.236800000000009</v>
      </c>
      <c r="EB164" s="5">
        <f t="shared" si="407"/>
        <v>5.7600000000000016</v>
      </c>
      <c r="EC164" s="5">
        <f t="shared" si="408"/>
        <v>0.80842105263157904</v>
      </c>
      <c r="ED164" s="5"/>
      <c r="EE164" s="150">
        <f t="shared" si="409"/>
        <v>0.92036076925205335</v>
      </c>
      <c r="EF164" s="150">
        <f t="shared" si="410"/>
        <v>1.1564901157187217</v>
      </c>
      <c r="EG164" s="150">
        <f t="shared" si="411"/>
        <v>0.25850955527830249</v>
      </c>
      <c r="EH164" s="150"/>
      <c r="EI164" s="456">
        <f t="shared" si="412"/>
        <v>1.694127891156463E-2</v>
      </c>
      <c r="EJ164" s="456">
        <f t="shared" si="413"/>
        <v>8.5499999999999979E-2</v>
      </c>
      <c r="EK164" s="456">
        <f t="shared" si="414"/>
        <v>1.4200015943877549E-2</v>
      </c>
      <c r="EL164" s="456">
        <f t="shared" si="415"/>
        <v>2.4547851562499992E-3</v>
      </c>
      <c r="EM164">
        <f t="shared" si="416"/>
        <v>4.0499999999999998E-3</v>
      </c>
      <c r="EN164" s="144">
        <f t="shared" si="417"/>
        <v>18.250015943877546</v>
      </c>
      <c r="EP164" s="144">
        <f t="shared" si="439"/>
        <v>123.14608001169216</v>
      </c>
      <c r="EQ164" s="150">
        <f t="shared" si="418"/>
        <v>0.4536</v>
      </c>
      <c r="ER164" s="150">
        <f t="shared" si="475"/>
        <v>5.9906250000000001E-2</v>
      </c>
      <c r="ES164" s="456"/>
      <c r="EU164" s="144">
        <f t="shared" si="420"/>
        <v>513.50625000000002</v>
      </c>
      <c r="EV164" s="456">
        <f t="shared" si="421"/>
        <v>2.541191836734694E-2</v>
      </c>
      <c r="EW164" s="456">
        <f t="shared" si="422"/>
        <v>4.0124081632653075E-2</v>
      </c>
      <c r="EX164" s="456">
        <f t="shared" si="423"/>
        <v>3.341359508509287E-4</v>
      </c>
      <c r="EY164" s="456">
        <f t="shared" si="424"/>
        <v>7.2113564882065495E-2</v>
      </c>
      <c r="EZ164" s="456"/>
      <c r="FA164" s="538">
        <f t="shared" si="425"/>
        <v>7.4448979591836733E-4</v>
      </c>
      <c r="FB164" s="144">
        <f t="shared" si="426"/>
        <v>138.72819062883482</v>
      </c>
      <c r="FC164" s="150">
        <f t="shared" si="427"/>
        <v>0.77538052064052709</v>
      </c>
      <c r="FD164" s="5">
        <f t="shared" si="428"/>
        <v>4.32</v>
      </c>
      <c r="FE164" s="150">
        <f t="shared" si="429"/>
        <v>0.84782676828558901</v>
      </c>
      <c r="FF164" s="5">
        <f t="shared" si="430"/>
        <v>84.782676828558905</v>
      </c>
      <c r="FG164">
        <f t="shared" si="431"/>
        <v>54</v>
      </c>
      <c r="FI164" s="59">
        <f t="shared" si="432"/>
        <v>-50</v>
      </c>
      <c r="FJ164">
        <f t="shared" si="433"/>
        <v>-50</v>
      </c>
    </row>
    <row r="165" spans="5:166">
      <c r="E165" s="147">
        <v>55</v>
      </c>
      <c r="F165" s="188">
        <f t="shared" si="476"/>
        <v>0.66</v>
      </c>
      <c r="G165" s="188">
        <f t="shared" si="444"/>
        <v>0.13750000000000001</v>
      </c>
      <c r="H165" s="188">
        <f t="shared" si="445"/>
        <v>3.3000000000000003</v>
      </c>
      <c r="I165" s="188">
        <f t="shared" si="446"/>
        <v>1.1000000000000001</v>
      </c>
      <c r="J165" s="465">
        <f t="shared" si="447"/>
        <v>8.9092678193840484</v>
      </c>
      <c r="K165" s="379">
        <f t="shared" si="448"/>
        <v>5.7346162115960597</v>
      </c>
      <c r="L165" s="149">
        <f t="shared" si="449"/>
        <v>14.643884030980107</v>
      </c>
      <c r="M165" s="379"/>
      <c r="N165" s="188">
        <f t="shared" si="450"/>
        <v>0.39160486380963538</v>
      </c>
      <c r="O165" s="149">
        <f t="shared" si="451"/>
        <v>6.541711145725233</v>
      </c>
      <c r="P165" s="149">
        <f t="shared" si="452"/>
        <v>2.9074271758778814</v>
      </c>
      <c r="Q165" s="188">
        <f t="shared" si="322"/>
        <v>1.3083422291450466</v>
      </c>
      <c r="R165" s="188">
        <f t="shared" si="453"/>
        <v>0.81771389321565413</v>
      </c>
      <c r="S165" s="188">
        <f t="shared" si="454"/>
        <v>5</v>
      </c>
      <c r="T165" s="188">
        <f t="shared" si="455"/>
        <v>2.5222758438030612</v>
      </c>
      <c r="U165" s="188">
        <f t="shared" si="326"/>
        <v>3.3972836757453431</v>
      </c>
      <c r="V165" s="188">
        <f t="shared" si="327"/>
        <v>5.2780010045716264</v>
      </c>
      <c r="W165" s="172">
        <f t="shared" si="328"/>
        <v>290.74271758778815</v>
      </c>
      <c r="X165" s="379">
        <f t="shared" si="435"/>
        <v>112.67244218292345</v>
      </c>
      <c r="Z165" s="188">
        <f t="shared" si="329"/>
        <v>1</v>
      </c>
      <c r="AA165" s="150">
        <f t="shared" si="330"/>
        <v>2.0925550302275866</v>
      </c>
      <c r="AB165" s="150">
        <f t="shared" si="456"/>
        <v>0.22814817607138677</v>
      </c>
      <c r="AC165" s="150"/>
      <c r="AD165" s="150">
        <f t="shared" si="332"/>
        <v>2.0925550302275866</v>
      </c>
      <c r="AE165" s="314">
        <f t="shared" si="457"/>
        <v>630.80778327556652</v>
      </c>
      <c r="AF165" s="456">
        <f t="shared" si="458"/>
        <v>0.30419756809518234</v>
      </c>
      <c r="AH165" s="150">
        <f t="shared" si="459"/>
        <v>1.4474937289114918</v>
      </c>
      <c r="AI165" s="150">
        <f t="shared" si="460"/>
        <v>2.5222758438030612</v>
      </c>
      <c r="AJ165" s="150">
        <f t="shared" si="461"/>
        <v>2.3276117361504158</v>
      </c>
      <c r="AL165" s="314">
        <f t="shared" si="462"/>
        <v>660</v>
      </c>
      <c r="AM165" s="144">
        <f t="shared" si="463"/>
        <v>112.67244218292345</v>
      </c>
      <c r="AO165">
        <f t="shared" si="340"/>
        <v>660</v>
      </c>
      <c r="AP165">
        <f t="shared" si="341"/>
        <v>112.67244218292345</v>
      </c>
      <c r="AR165" s="5">
        <f t="shared" si="443"/>
        <v>8.8752846803169696</v>
      </c>
      <c r="AS165" s="5">
        <f t="shared" si="440"/>
        <v>3.3972836757453431</v>
      </c>
      <c r="AT165" s="5">
        <f t="shared" si="441"/>
        <v>5.4780010045716265</v>
      </c>
      <c r="AU165" s="150">
        <f t="shared" si="442"/>
        <v>0.38278024853440684</v>
      </c>
      <c r="AW165" s="5">
        <f t="shared" si="342"/>
        <v>44.84414451983853</v>
      </c>
      <c r="AX165" s="5">
        <f t="shared" si="343"/>
        <v>5.8390813176873078</v>
      </c>
      <c r="AY165" s="5">
        <f t="shared" si="344"/>
        <v>0.84543999955843008</v>
      </c>
      <c r="AZ165" s="5"/>
      <c r="BA165" s="150">
        <f t="shared" si="345"/>
        <v>0.90096249627733715</v>
      </c>
      <c r="BB165" s="150">
        <f t="shared" si="346"/>
        <v>1.1440680593300343</v>
      </c>
      <c r="BC165" s="150">
        <f t="shared" si="347"/>
        <v>0.25573286032083115</v>
      </c>
      <c r="BD165" s="150"/>
      <c r="BE165" s="456">
        <f t="shared" si="348"/>
        <v>1.6234668393965816E-2</v>
      </c>
      <c r="BF165" s="456">
        <f t="shared" si="464"/>
        <v>7.8031120158127007E-2</v>
      </c>
      <c r="BG165" s="456">
        <f t="shared" si="465"/>
        <v>2.5095724081793239E-2</v>
      </c>
      <c r="BH165" s="456">
        <f t="shared" si="351"/>
        <v>2.416185477276833E-3</v>
      </c>
      <c r="BI165">
        <f t="shared" si="352"/>
        <v>4.0091705187228219E-3</v>
      </c>
      <c r="BJ165" s="144">
        <f t="shared" si="436"/>
        <v>29.104894600516058</v>
      </c>
      <c r="BK165">
        <f t="shared" si="466"/>
        <v>0.10145668918732109</v>
      </c>
      <c r="BL165" s="144">
        <f t="shared" si="437"/>
        <v>125.78686862988572</v>
      </c>
      <c r="BM165" s="150">
        <f t="shared" si="467"/>
        <v>0.41002499999999997</v>
      </c>
      <c r="BN165" s="150">
        <f t="shared" si="468"/>
        <v>8.5421874999999994E-2</v>
      </c>
      <c r="BO165" s="456"/>
      <c r="BQ165" s="144">
        <f t="shared" si="356"/>
        <v>495.44687499999998</v>
      </c>
      <c r="BR165" s="456">
        <f t="shared" si="357"/>
        <v>2.4352002590948722E-2</v>
      </c>
      <c r="BS165" s="456">
        <f t="shared" si="358"/>
        <v>3.9266751731375726E-2</v>
      </c>
      <c r="BT165" s="456">
        <f t="shared" si="359"/>
        <v>3.269964792393687E-4</v>
      </c>
      <c r="BU165" s="456">
        <f t="shared" si="360"/>
        <v>6.8076265802410107E-2</v>
      </c>
      <c r="BV165" s="456"/>
      <c r="BW165" s="538">
        <f t="shared" si="469"/>
        <v>7.1680804181317129E-4</v>
      </c>
      <c r="BX165" s="144">
        <f t="shared" si="362"/>
        <v>132.7388246457871</v>
      </c>
      <c r="BY165" s="150">
        <f t="shared" si="363"/>
        <v>0.75397256827567283</v>
      </c>
      <c r="BZ165" s="5">
        <f t="shared" si="364"/>
        <v>4.4000000000000004</v>
      </c>
      <c r="CA165" s="150">
        <f t="shared" si="365"/>
        <v>0.85371040332720982</v>
      </c>
      <c r="CB165" s="5">
        <f t="shared" si="366"/>
        <v>85.37104033272098</v>
      </c>
      <c r="CC165">
        <f t="shared" si="367"/>
        <v>55.000000000000007</v>
      </c>
      <c r="CE165" s="59">
        <f t="shared" si="470"/>
        <v>-50</v>
      </c>
      <c r="CF165">
        <f t="shared" si="471"/>
        <v>-50</v>
      </c>
      <c r="CG165" s="150">
        <f t="shared" si="370"/>
        <v>0.57198633493024886</v>
      </c>
      <c r="CH165" s="150">
        <f t="shared" si="472"/>
        <v>0.31031053622728111</v>
      </c>
      <c r="CI165" s="147">
        <v>55</v>
      </c>
      <c r="CJ165" s="188">
        <f t="shared" si="438"/>
        <v>0.66</v>
      </c>
      <c r="CK165" s="188">
        <f t="shared" si="372"/>
        <v>0.13750000000000001</v>
      </c>
      <c r="CL165" s="188">
        <f t="shared" si="373"/>
        <v>3.3000000000000003</v>
      </c>
      <c r="CM165" s="188">
        <f t="shared" si="374"/>
        <v>1.1000000000000001</v>
      </c>
      <c r="CN165" s="465">
        <f t="shared" si="375"/>
        <v>9</v>
      </c>
      <c r="CO165" s="379">
        <f t="shared" si="473"/>
        <v>5.7</v>
      </c>
      <c r="CP165" s="379">
        <f t="shared" si="474"/>
        <v>14.7</v>
      </c>
      <c r="CQ165" s="379"/>
      <c r="CR165" s="188">
        <f t="shared" si="378"/>
        <v>0.375</v>
      </c>
      <c r="CS165" s="149">
        <f t="shared" si="379"/>
        <v>6.328125</v>
      </c>
      <c r="CT165" s="149">
        <f t="shared" si="380"/>
        <v>2.8125</v>
      </c>
      <c r="CU165" s="188">
        <f t="shared" si="381"/>
        <v>1.265625</v>
      </c>
      <c r="CV165" s="188">
        <f t="shared" si="382"/>
        <v>0.791015625</v>
      </c>
      <c r="CW165" s="188">
        <f t="shared" si="383"/>
        <v>5</v>
      </c>
      <c r="CX165" s="188">
        <f t="shared" si="384"/>
        <v>2.6074074074074076</v>
      </c>
      <c r="CY165" s="188">
        <f t="shared" si="385"/>
        <v>3.4765432098765432</v>
      </c>
      <c r="CZ165" s="188">
        <f t="shared" si="386"/>
        <v>5.4892787524366469</v>
      </c>
      <c r="DA165" s="172">
        <f t="shared" si="387"/>
        <v>290.81632653061229</v>
      </c>
      <c r="DB165" s="379">
        <f t="shared" si="388"/>
        <v>111.53467068645642</v>
      </c>
      <c r="DD165" s="188">
        <f t="shared" si="389"/>
        <v>0.99999999999999978</v>
      </c>
      <c r="DE165" s="150">
        <f t="shared" si="390"/>
        <v>2.1052631578947363</v>
      </c>
      <c r="DF165" s="150">
        <f t="shared" si="391"/>
        <v>0.2295918367346938</v>
      </c>
      <c r="DG165" s="150"/>
      <c r="DH165" s="150">
        <f t="shared" si="392"/>
        <v>2.1052631578947367</v>
      </c>
      <c r="DI165" s="314">
        <f t="shared" si="393"/>
        <v>627.00000000000011</v>
      </c>
      <c r="DJ165" s="456">
        <f t="shared" si="394"/>
        <v>0.3061224489795919</v>
      </c>
      <c r="DL165" s="150">
        <f t="shared" si="395"/>
        <v>1.4474937289114918</v>
      </c>
      <c r="DM165" s="150">
        <f t="shared" si="396"/>
        <v>2.6074074074074076</v>
      </c>
      <c r="DN165" s="150">
        <f t="shared" si="397"/>
        <v>2.3906721536351165</v>
      </c>
      <c r="DP165" s="314">
        <f t="shared" si="398"/>
        <v>660</v>
      </c>
      <c r="DQ165" s="144">
        <f t="shared" si="399"/>
        <v>111.53467068645642</v>
      </c>
      <c r="DS165">
        <f t="shared" si="400"/>
        <v>660</v>
      </c>
      <c r="DT165">
        <f t="shared" si="401"/>
        <v>111.53467068645642</v>
      </c>
      <c r="DV165" s="5">
        <f t="shared" si="402"/>
        <v>8.9658219623131874</v>
      </c>
      <c r="DW165" s="5">
        <f t="shared" si="403"/>
        <v>3.4765432098765432</v>
      </c>
      <c r="DX165" s="5">
        <f t="shared" si="404"/>
        <v>5.4892787524366442</v>
      </c>
      <c r="DY165" s="150">
        <f t="shared" si="405"/>
        <v>0.38775510204081648</v>
      </c>
      <c r="EA165" s="5">
        <f t="shared" si="406"/>
        <v>45.890370370370363</v>
      </c>
      <c r="EB165" s="5">
        <f t="shared" si="407"/>
        <v>5.9753086419753094</v>
      </c>
      <c r="EC165" s="5">
        <f t="shared" si="408"/>
        <v>0.8386398094000429</v>
      </c>
      <c r="ED165" s="5"/>
      <c r="EE165" s="150">
        <f t="shared" si="409"/>
        <v>0.93740448720116565</v>
      </c>
      <c r="EF165" s="150">
        <f t="shared" si="410"/>
        <v>1.1779065993431421</v>
      </c>
      <c r="EG165" s="150">
        <f t="shared" si="411"/>
        <v>0.26329676926493772</v>
      </c>
      <c r="EH165" s="150"/>
      <c r="EI165" s="456">
        <f t="shared" si="412"/>
        <v>1.7574543452497607E-2</v>
      </c>
      <c r="EJ165" s="456">
        <f t="shared" si="413"/>
        <v>8.550000000000002E-2</v>
      </c>
      <c r="EK165" s="456">
        <f t="shared" si="414"/>
        <v>1.3941833835807051E-2</v>
      </c>
      <c r="EL165" s="456">
        <f t="shared" si="415"/>
        <v>2.4101526988636367E-3</v>
      </c>
      <c r="EM165">
        <f t="shared" si="416"/>
        <v>4.0499999999999998E-3</v>
      </c>
      <c r="EN165" s="144">
        <f t="shared" si="417"/>
        <v>17.99183383580705</v>
      </c>
      <c r="EP165" s="144">
        <f t="shared" si="439"/>
        <v>123.47652998716831</v>
      </c>
      <c r="EQ165" s="150">
        <f t="shared" si="418"/>
        <v>0.46199999999999997</v>
      </c>
      <c r="ER165" s="150">
        <f t="shared" si="475"/>
        <v>6.1015625000000004E-2</v>
      </c>
      <c r="ES165" s="456"/>
      <c r="EU165" s="144">
        <f t="shared" si="420"/>
        <v>523.015625</v>
      </c>
      <c r="EV165" s="456">
        <f t="shared" si="421"/>
        <v>2.6361815178746407E-2</v>
      </c>
      <c r="EW165" s="456">
        <f t="shared" si="422"/>
        <v>4.1623918703283767E-2</v>
      </c>
      <c r="EX165" s="456">
        <f t="shared" si="423"/>
        <v>3.4662594352676928E-4</v>
      </c>
      <c r="EY165" s="456">
        <f t="shared" si="424"/>
        <v>7.2113564882065495E-2</v>
      </c>
      <c r="EZ165" s="456"/>
      <c r="FA165" s="538">
        <f t="shared" si="425"/>
        <v>7.5827664399093003E-4</v>
      </c>
      <c r="FB165" s="144">
        <f t="shared" si="426"/>
        <v>141.20420135161339</v>
      </c>
      <c r="FC165" s="150">
        <f t="shared" si="427"/>
        <v>0.78769635633878166</v>
      </c>
      <c r="FD165" s="5">
        <f t="shared" si="428"/>
        <v>4.4000000000000004</v>
      </c>
      <c r="FE165" s="150">
        <f t="shared" si="429"/>
        <v>0.84816066665576806</v>
      </c>
      <c r="FF165" s="5">
        <f t="shared" si="430"/>
        <v>84.816066665576813</v>
      </c>
      <c r="FG165">
        <f t="shared" si="431"/>
        <v>55.000000000000007</v>
      </c>
      <c r="FI165" s="59">
        <f t="shared" si="432"/>
        <v>-50</v>
      </c>
      <c r="FJ165">
        <f t="shared" si="433"/>
        <v>-50</v>
      </c>
    </row>
    <row r="166" spans="5:166">
      <c r="E166" s="147">
        <v>56</v>
      </c>
      <c r="F166" s="188">
        <f t="shared" si="476"/>
        <v>0.67200000000000004</v>
      </c>
      <c r="G166" s="188">
        <f t="shared" si="444"/>
        <v>0.14000000000000001</v>
      </c>
      <c r="H166" s="188">
        <f t="shared" si="445"/>
        <v>3.3600000000000003</v>
      </c>
      <c r="I166" s="188">
        <f t="shared" si="446"/>
        <v>1.1200000000000001</v>
      </c>
      <c r="J166" s="465">
        <f t="shared" si="447"/>
        <v>8.907618143372849</v>
      </c>
      <c r="K166" s="379">
        <f t="shared" si="448"/>
        <v>5.7352455972614429</v>
      </c>
      <c r="L166" s="149">
        <f t="shared" si="449"/>
        <v>14.642863740634292</v>
      </c>
      <c r="M166" s="379"/>
      <c r="N166" s="188">
        <f t="shared" si="450"/>
        <v>0.39167513260032605</v>
      </c>
      <c r="O166" s="149">
        <f t="shared" si="451"/>
        <v>6.5416734702349331</v>
      </c>
      <c r="P166" s="149">
        <f t="shared" si="452"/>
        <v>2.907410431215526</v>
      </c>
      <c r="Q166" s="188">
        <f t="shared" si="322"/>
        <v>1.3083346940469867</v>
      </c>
      <c r="R166" s="188">
        <f t="shared" si="453"/>
        <v>0.81770918377936663</v>
      </c>
      <c r="S166" s="188">
        <f t="shared" si="454"/>
        <v>5</v>
      </c>
      <c r="T166" s="188">
        <f t="shared" si="455"/>
        <v>2.5681501952736046</v>
      </c>
      <c r="U166" s="188">
        <f t="shared" si="326"/>
        <v>3.4597130060196055</v>
      </c>
      <c r="V166" s="188">
        <f t="shared" si="327"/>
        <v>5.3734058673962695</v>
      </c>
      <c r="W166" s="172">
        <f t="shared" si="328"/>
        <v>290.74104312155259</v>
      </c>
      <c r="X166" s="379">
        <f t="shared" si="435"/>
        <v>110.70373522294298</v>
      </c>
      <c r="Z166" s="188">
        <f t="shared" si="329"/>
        <v>1</v>
      </c>
      <c r="AA166" s="150">
        <f t="shared" si="330"/>
        <v>2.0923253933066008</v>
      </c>
      <c r="AB166" s="150">
        <f t="shared" si="456"/>
        <v>0.22812182527487773</v>
      </c>
      <c r="AC166" s="150"/>
      <c r="AD166" s="150">
        <f t="shared" si="332"/>
        <v>2.0923253933066008</v>
      </c>
      <c r="AE166" s="314">
        <f t="shared" si="457"/>
        <v>642.34750689328166</v>
      </c>
      <c r="AF166" s="456">
        <f t="shared" si="458"/>
        <v>0.30416243369983698</v>
      </c>
      <c r="AH166" s="150">
        <f t="shared" si="459"/>
        <v>1.4605934866804429</v>
      </c>
      <c r="AI166" s="150">
        <f t="shared" si="460"/>
        <v>2.5681501952736046</v>
      </c>
      <c r="AJ166" s="150">
        <f t="shared" si="461"/>
        <v>2.361592737239707</v>
      </c>
      <c r="AL166" s="314">
        <f t="shared" si="462"/>
        <v>672</v>
      </c>
      <c r="AM166" s="144">
        <f t="shared" si="463"/>
        <v>110.70373522294298</v>
      </c>
      <c r="AO166">
        <f t="shared" si="340"/>
        <v>672</v>
      </c>
      <c r="AP166">
        <f t="shared" si="341"/>
        <v>110.70373522294298</v>
      </c>
      <c r="AR166" s="5">
        <f t="shared" si="443"/>
        <v>9.0331188734158747</v>
      </c>
      <c r="AS166" s="5">
        <f t="shared" si="440"/>
        <v>3.4597130060196055</v>
      </c>
      <c r="AT166" s="5">
        <f t="shared" si="441"/>
        <v>5.5734058673962696</v>
      </c>
      <c r="AU166" s="150">
        <f t="shared" si="442"/>
        <v>0.38300315256576656</v>
      </c>
      <c r="AW166" s="5">
        <f t="shared" si="342"/>
        <v>46.498542800903508</v>
      </c>
      <c r="AX166" s="5">
        <f t="shared" si="343"/>
        <v>6.0544977605343098</v>
      </c>
      <c r="AY166" s="5">
        <f t="shared" si="344"/>
        <v>0.87596572829740504</v>
      </c>
      <c r="AZ166" s="5"/>
      <c r="BA166" s="150">
        <f t="shared" si="345"/>
        <v>0.9176159763899332</v>
      </c>
      <c r="BB166" s="150">
        <f t="shared" si="346"/>
        <v>1.1646656437372491</v>
      </c>
      <c r="BC166" s="150">
        <f t="shared" si="347"/>
        <v>0.26033702624714983</v>
      </c>
      <c r="BD166" s="150"/>
      <c r="BE166" s="456">
        <f t="shared" si="348"/>
        <v>1.684038160252101E-2</v>
      </c>
      <c r="BF166" s="456">
        <f t="shared" si="464"/>
        <v>7.805666411121516E-2</v>
      </c>
      <c r="BG166" s="456">
        <f t="shared" si="465"/>
        <v>2.4652665010275771E-2</v>
      </c>
      <c r="BH166" s="456">
        <f t="shared" si="351"/>
        <v>2.3736370740984392E-3</v>
      </c>
      <c r="BI166">
        <f t="shared" si="352"/>
        <v>4.0084281645177819E-3</v>
      </c>
      <c r="BJ166" s="144">
        <f t="shared" si="436"/>
        <v>28.661093174793553</v>
      </c>
      <c r="BK166">
        <f t="shared" si="466"/>
        <v>0.10222662261606172</v>
      </c>
      <c r="BL166" s="144">
        <f t="shared" si="437"/>
        <v>125.93177596262814</v>
      </c>
      <c r="BM166" s="150">
        <f t="shared" si="467"/>
        <v>0.41747999999999996</v>
      </c>
      <c r="BN166" s="150">
        <f t="shared" si="468"/>
        <v>8.6974999999999997E-2</v>
      </c>
      <c r="BO166" s="456"/>
      <c r="BQ166" s="144">
        <f t="shared" si="356"/>
        <v>504.45499999999998</v>
      </c>
      <c r="BR166" s="456">
        <f t="shared" si="357"/>
        <v>2.526057240378151E-2</v>
      </c>
      <c r="BS166" s="456">
        <f t="shared" si="358"/>
        <v>4.0693381851057024E-2</v>
      </c>
      <c r="BT166" s="456">
        <f t="shared" si="359"/>
        <v>3.3887683617604588E-4</v>
      </c>
      <c r="BU166" s="456">
        <f t="shared" si="360"/>
        <v>6.8143861341303721E-2</v>
      </c>
      <c r="BV166" s="456"/>
      <c r="BW166" s="538">
        <f t="shared" si="469"/>
        <v>7.3013490887337404E-4</v>
      </c>
      <c r="BX166" s="144">
        <f t="shared" si="362"/>
        <v>135.16682734119169</v>
      </c>
      <c r="BY166" s="150">
        <f t="shared" si="363"/>
        <v>0.76555360330381983</v>
      </c>
      <c r="BZ166" s="5">
        <f t="shared" si="364"/>
        <v>4.4800000000000004</v>
      </c>
      <c r="CA166" s="150">
        <f t="shared" si="365"/>
        <v>0.85405666185135365</v>
      </c>
      <c r="CB166" s="5">
        <f t="shared" si="366"/>
        <v>85.40566618513536</v>
      </c>
      <c r="CC166">
        <f t="shared" si="367"/>
        <v>56.000000000000007</v>
      </c>
      <c r="CE166" s="59">
        <f t="shared" si="470"/>
        <v>-50</v>
      </c>
      <c r="CF166">
        <f t="shared" si="471"/>
        <v>-50</v>
      </c>
      <c r="CG166" s="150">
        <f t="shared" si="370"/>
        <v>0.57198633493024875</v>
      </c>
      <c r="CH166" s="150">
        <f t="shared" si="472"/>
        <v>0.31031053622728105</v>
      </c>
      <c r="CI166" s="147">
        <v>56</v>
      </c>
      <c r="CJ166" s="188">
        <f t="shared" si="438"/>
        <v>0.67200000000000004</v>
      </c>
      <c r="CK166" s="188">
        <f t="shared" si="372"/>
        <v>0.14000000000000001</v>
      </c>
      <c r="CL166" s="188">
        <f t="shared" si="373"/>
        <v>3.3600000000000003</v>
      </c>
      <c r="CM166" s="188">
        <f t="shared" si="374"/>
        <v>1.1200000000000001</v>
      </c>
      <c r="CN166" s="465">
        <f t="shared" si="375"/>
        <v>9</v>
      </c>
      <c r="CO166" s="379">
        <f t="shared" si="473"/>
        <v>5.7</v>
      </c>
      <c r="CP166" s="379">
        <f t="shared" si="474"/>
        <v>14.7</v>
      </c>
      <c r="CQ166" s="379"/>
      <c r="CR166" s="188">
        <f t="shared" si="378"/>
        <v>0.375</v>
      </c>
      <c r="CS166" s="149">
        <f t="shared" si="379"/>
        <v>6.328125</v>
      </c>
      <c r="CT166" s="149">
        <f t="shared" si="380"/>
        <v>2.8125</v>
      </c>
      <c r="CU166" s="188">
        <f t="shared" si="381"/>
        <v>1.265625</v>
      </c>
      <c r="CV166" s="188">
        <f t="shared" si="382"/>
        <v>0.791015625</v>
      </c>
      <c r="CW166" s="188">
        <f t="shared" si="383"/>
        <v>5</v>
      </c>
      <c r="CX166" s="188">
        <f t="shared" si="384"/>
        <v>2.6548148148148152</v>
      </c>
      <c r="CY166" s="188">
        <f t="shared" si="385"/>
        <v>3.5397530864197533</v>
      </c>
      <c r="CZ166" s="188">
        <f t="shared" si="386"/>
        <v>5.5890838206627684</v>
      </c>
      <c r="DA166" s="172">
        <f t="shared" si="387"/>
        <v>290.81632653061229</v>
      </c>
      <c r="DB166" s="379">
        <f t="shared" si="388"/>
        <v>109.54298013848394</v>
      </c>
      <c r="DD166" s="188">
        <f t="shared" si="389"/>
        <v>0.99999999999999978</v>
      </c>
      <c r="DE166" s="150">
        <f t="shared" si="390"/>
        <v>2.1052631578947363</v>
      </c>
      <c r="DF166" s="150">
        <f t="shared" si="391"/>
        <v>0.2295918367346938</v>
      </c>
      <c r="DG166" s="150"/>
      <c r="DH166" s="150">
        <f t="shared" si="392"/>
        <v>2.1052631578947367</v>
      </c>
      <c r="DI166" s="314">
        <f t="shared" si="393"/>
        <v>638.40000000000009</v>
      </c>
      <c r="DJ166" s="456">
        <f t="shared" si="394"/>
        <v>0.3061224489795919</v>
      </c>
      <c r="DL166" s="150">
        <f t="shared" si="395"/>
        <v>1.4605934866804429</v>
      </c>
      <c r="DM166" s="150">
        <f t="shared" si="396"/>
        <v>2.6548148148148152</v>
      </c>
      <c r="DN166" s="150">
        <f t="shared" si="397"/>
        <v>2.4257887517146779</v>
      </c>
      <c r="DP166" s="314">
        <f t="shared" si="398"/>
        <v>672</v>
      </c>
      <c r="DQ166" s="144">
        <f t="shared" si="399"/>
        <v>109.54298013848394</v>
      </c>
      <c r="DS166">
        <f t="shared" si="400"/>
        <v>672</v>
      </c>
      <c r="DT166">
        <f t="shared" si="401"/>
        <v>109.54298013848394</v>
      </c>
      <c r="DV166" s="5">
        <f t="shared" si="402"/>
        <v>9.1288369070825226</v>
      </c>
      <c r="DW166" s="5">
        <f t="shared" si="403"/>
        <v>3.5397530864197533</v>
      </c>
      <c r="DX166" s="5">
        <f t="shared" si="404"/>
        <v>5.5890838206627693</v>
      </c>
      <c r="DY166" s="150">
        <f t="shared" si="405"/>
        <v>0.38775510204081626</v>
      </c>
      <c r="EA166" s="5">
        <f t="shared" si="406"/>
        <v>47.574281481481492</v>
      </c>
      <c r="EB166" s="5">
        <f t="shared" si="407"/>
        <v>6.1945679012345698</v>
      </c>
      <c r="EC166" s="5">
        <f t="shared" si="408"/>
        <v>0.86941303876976417</v>
      </c>
      <c r="ED166" s="5"/>
      <c r="EE166" s="150">
        <f t="shared" si="409"/>
        <v>0.95444820515027751</v>
      </c>
      <c r="EF166" s="150">
        <f t="shared" si="410"/>
        <v>1.1993230829675634</v>
      </c>
      <c r="EG166" s="150">
        <f t="shared" si="411"/>
        <v>0.26808398325157301</v>
      </c>
      <c r="EH166" s="150"/>
      <c r="EI166" s="456">
        <f t="shared" si="412"/>
        <v>1.8219427526291725E-2</v>
      </c>
      <c r="EJ166" s="456">
        <f t="shared" si="413"/>
        <v>8.5500000000000007E-2</v>
      </c>
      <c r="EK166" s="456">
        <f t="shared" si="414"/>
        <v>1.3692872517310493E-2</v>
      </c>
      <c r="EL166" s="456">
        <f t="shared" si="415"/>
        <v>2.3671142578124992E-3</v>
      </c>
      <c r="EM166">
        <f t="shared" si="416"/>
        <v>4.0499999999999998E-3</v>
      </c>
      <c r="EN166" s="144">
        <f t="shared" si="417"/>
        <v>17.742872517310492</v>
      </c>
      <c r="EP166" s="144">
        <f t="shared" si="439"/>
        <v>123.82941430141473</v>
      </c>
      <c r="EQ166" s="150">
        <f t="shared" si="418"/>
        <v>0.47039999999999998</v>
      </c>
      <c r="ER166" s="150">
        <f t="shared" si="475"/>
        <v>6.2125E-2</v>
      </c>
      <c r="ES166" s="456"/>
      <c r="EU166" s="144">
        <f t="shared" si="420"/>
        <v>532.52499999999998</v>
      </c>
      <c r="EV166" s="456">
        <f t="shared" si="421"/>
        <v>2.7329141289437586E-2</v>
      </c>
      <c r="EW166" s="456">
        <f t="shared" si="422"/>
        <v>4.3151275720164625E-2</v>
      </c>
      <c r="EX166" s="456">
        <f t="shared" si="423"/>
        <v>3.5934511038014839E-4</v>
      </c>
      <c r="EY166" s="456">
        <f t="shared" si="424"/>
        <v>7.2113564882065509E-2</v>
      </c>
      <c r="EZ166" s="456"/>
      <c r="FA166" s="538">
        <f t="shared" si="425"/>
        <v>7.7206349206349219E-4</v>
      </c>
      <c r="FB166" s="144">
        <f t="shared" si="426"/>
        <v>143.72539049411137</v>
      </c>
      <c r="FC166" s="150">
        <f t="shared" si="427"/>
        <v>0.80007980479552609</v>
      </c>
      <c r="FD166" s="5">
        <f t="shared" si="428"/>
        <v>4.4800000000000004</v>
      </c>
      <c r="FE166" s="150">
        <f t="shared" si="429"/>
        <v>0.8484720242165904</v>
      </c>
      <c r="FF166" s="5">
        <f t="shared" si="430"/>
        <v>84.847202421659034</v>
      </c>
      <c r="FG166">
        <f t="shared" si="431"/>
        <v>56.000000000000007</v>
      </c>
      <c r="FI166" s="59">
        <f t="shared" si="432"/>
        <v>-50</v>
      </c>
      <c r="FJ166">
        <f t="shared" si="433"/>
        <v>-50</v>
      </c>
    </row>
    <row r="167" spans="5:166">
      <c r="E167" s="147">
        <v>57</v>
      </c>
      <c r="F167" s="188">
        <f t="shared" si="476"/>
        <v>0.68399999999999994</v>
      </c>
      <c r="G167" s="188">
        <f t="shared" si="444"/>
        <v>0.14249999999999999</v>
      </c>
      <c r="H167" s="188">
        <f t="shared" si="445"/>
        <v>3.42</v>
      </c>
      <c r="I167" s="188">
        <f t="shared" si="446"/>
        <v>1.1399999999999999</v>
      </c>
      <c r="J167" s="465">
        <f t="shared" si="447"/>
        <v>8.9059684673616495</v>
      </c>
      <c r="K167" s="379">
        <f t="shared" si="448"/>
        <v>5.7358749829268252</v>
      </c>
      <c r="L167" s="149">
        <f t="shared" si="449"/>
        <v>14.641843450288475</v>
      </c>
      <c r="M167" s="379"/>
      <c r="N167" s="188">
        <f t="shared" si="450"/>
        <v>0.39174541118412359</v>
      </c>
      <c r="O167" s="149">
        <f t="shared" si="451"/>
        <v>6.5416355235739285</v>
      </c>
      <c r="P167" s="149">
        <f t="shared" si="452"/>
        <v>2.9073935660328569</v>
      </c>
      <c r="Q167" s="188">
        <f t="shared" si="322"/>
        <v>1.3083271047147857</v>
      </c>
      <c r="R167" s="188">
        <f t="shared" si="453"/>
        <v>0.81770444044674107</v>
      </c>
      <c r="S167" s="188">
        <f t="shared" si="454"/>
        <v>5</v>
      </c>
      <c r="T167" s="188">
        <f t="shared" si="455"/>
        <v>2.6140251835152171</v>
      </c>
      <c r="U167" s="188">
        <f t="shared" si="326"/>
        <v>3.5221663221849822</v>
      </c>
      <c r="V167" s="188">
        <f t="shared" si="327"/>
        <v>5.4687911252515491</v>
      </c>
      <c r="W167" s="172">
        <f t="shared" si="328"/>
        <v>290.73935660328567</v>
      </c>
      <c r="X167" s="379">
        <f t="shared" si="435"/>
        <v>108.80259273520106</v>
      </c>
      <c r="Z167" s="188">
        <f t="shared" si="329"/>
        <v>1</v>
      </c>
      <c r="AA167" s="150">
        <f t="shared" si="330"/>
        <v>2.0920958067807818</v>
      </c>
      <c r="AB167" s="150">
        <f t="shared" si="456"/>
        <v>0.22809547080595363</v>
      </c>
      <c r="AC167" s="150"/>
      <c r="AD167" s="150">
        <f t="shared" si="332"/>
        <v>2.0920958067807818</v>
      </c>
      <c r="AE167" s="314">
        <f t="shared" si="457"/>
        <v>653.88974805365808</v>
      </c>
      <c r="AF167" s="456">
        <f t="shared" si="458"/>
        <v>0.30412729440793818</v>
      </c>
      <c r="AH167" s="150">
        <f t="shared" si="459"/>
        <v>1.4735767952260144</v>
      </c>
      <c r="AI167" s="150">
        <f t="shared" si="460"/>
        <v>2.6140251835152171</v>
      </c>
      <c r="AJ167" s="150">
        <f t="shared" si="461"/>
        <v>2.3955742100112718</v>
      </c>
      <c r="AL167" s="314">
        <f t="shared" si="462"/>
        <v>683.99999999999989</v>
      </c>
      <c r="AM167" s="144">
        <f t="shared" si="463"/>
        <v>108.80259273520106</v>
      </c>
      <c r="AO167">
        <f t="shared" si="340"/>
        <v>683.99999999999989</v>
      </c>
      <c r="AP167">
        <f t="shared" si="341"/>
        <v>108.80259273520106</v>
      </c>
      <c r="AR167" s="5">
        <f t="shared" si="443"/>
        <v>9.1909574474365314</v>
      </c>
      <c r="AS167" s="5">
        <f t="shared" si="440"/>
        <v>3.5221663221849822</v>
      </c>
      <c r="AT167" s="5">
        <f t="shared" si="441"/>
        <v>5.6687911252515493</v>
      </c>
      <c r="AU167" s="150">
        <f t="shared" si="442"/>
        <v>0.38322082789833356</v>
      </c>
      <c r="AW167" s="5">
        <f t="shared" si="342"/>
        <v>48.183235287490554</v>
      </c>
      <c r="AX167" s="5">
        <f t="shared" si="343"/>
        <v>6.2738587613919981</v>
      </c>
      <c r="AY167" s="5">
        <f t="shared" si="344"/>
        <v>0.9070352520433449</v>
      </c>
      <c r="AZ167" s="5"/>
      <c r="BA167" s="150">
        <f t="shared" si="345"/>
        <v>0.93427277227086092</v>
      </c>
      <c r="BB167" s="150">
        <f t="shared" si="346"/>
        <v>1.1852609868761288</v>
      </c>
      <c r="BC167" s="150">
        <f t="shared" si="347"/>
        <v>0.26494069118407587</v>
      </c>
      <c r="BD167" s="150"/>
      <c r="BE167" s="456">
        <f t="shared" si="348"/>
        <v>1.7457312260133601E-2</v>
      </c>
      <c r="BF167" s="456">
        <f t="shared" si="464"/>
        <v>7.8081121575947446E-2</v>
      </c>
      <c r="BG167" s="456">
        <f t="shared" si="465"/>
        <v>2.4224811501672307E-2</v>
      </c>
      <c r="BH167" s="456">
        <f t="shared" si="351"/>
        <v>2.3325489302809216E-3</v>
      </c>
      <c r="BI167">
        <f t="shared" si="352"/>
        <v>4.0076858103127418E-3</v>
      </c>
      <c r="BJ167" s="144">
        <f t="shared" si="436"/>
        <v>28.232497311985046</v>
      </c>
      <c r="BK167">
        <f t="shared" si="466"/>
        <v>0.10301173506344752</v>
      </c>
      <c r="BL167" s="144">
        <f t="shared" si="437"/>
        <v>126.10348007834702</v>
      </c>
      <c r="BM167" s="150">
        <f t="shared" si="467"/>
        <v>0.42493499999999995</v>
      </c>
      <c r="BN167" s="150">
        <f t="shared" si="468"/>
        <v>8.8528124999999985E-2</v>
      </c>
      <c r="BO167" s="456"/>
      <c r="BQ167" s="144">
        <f t="shared" si="356"/>
        <v>513.46312499999988</v>
      </c>
      <c r="BR167" s="456">
        <f t="shared" si="357"/>
        <v>2.6185968390200397E-2</v>
      </c>
      <c r="BS167" s="456">
        <f t="shared" si="358"/>
        <v>4.2145308210317242E-2</v>
      </c>
      <c r="BT167" s="456">
        <f t="shared" si="359"/>
        <v>3.5096784922547926E-4</v>
      </c>
      <c r="BU167" s="456">
        <f t="shared" si="360"/>
        <v>6.8209133736917338E-2</v>
      </c>
      <c r="BV167" s="456"/>
      <c r="BW167" s="538">
        <f t="shared" si="469"/>
        <v>7.434620059042496E-4</v>
      </c>
      <c r="BX167" s="144">
        <f t="shared" si="362"/>
        <v>137.6348401925647</v>
      </c>
      <c r="BY167" s="150">
        <f t="shared" si="363"/>
        <v>0.77720144527091162</v>
      </c>
      <c r="BZ167" s="5">
        <f t="shared" si="364"/>
        <v>4.5599999999999996</v>
      </c>
      <c r="CA167" s="150">
        <f t="shared" si="365"/>
        <v>0.85438034272445162</v>
      </c>
      <c r="CB167" s="5">
        <f t="shared" si="366"/>
        <v>85.438034272445165</v>
      </c>
      <c r="CC167">
        <f t="shared" si="367"/>
        <v>56.999999999999993</v>
      </c>
      <c r="CE167" s="59">
        <f t="shared" si="470"/>
        <v>-50</v>
      </c>
      <c r="CF167">
        <f t="shared" si="471"/>
        <v>-50</v>
      </c>
      <c r="CG167" s="150">
        <f t="shared" si="370"/>
        <v>0.57198633493024886</v>
      </c>
      <c r="CH167" s="150">
        <f t="shared" si="472"/>
        <v>0.31031053622728111</v>
      </c>
      <c r="CI167" s="147">
        <v>57</v>
      </c>
      <c r="CJ167" s="188">
        <f t="shared" si="438"/>
        <v>0.68399999999999994</v>
      </c>
      <c r="CK167" s="188">
        <f t="shared" si="372"/>
        <v>0.14249999999999999</v>
      </c>
      <c r="CL167" s="188">
        <f t="shared" si="373"/>
        <v>3.42</v>
      </c>
      <c r="CM167" s="188">
        <f t="shared" si="374"/>
        <v>1.1399999999999999</v>
      </c>
      <c r="CN167" s="465">
        <f t="shared" si="375"/>
        <v>9</v>
      </c>
      <c r="CO167" s="379">
        <f t="shared" si="473"/>
        <v>5.7</v>
      </c>
      <c r="CP167" s="379">
        <f t="shared" si="474"/>
        <v>14.7</v>
      </c>
      <c r="CQ167" s="379"/>
      <c r="CR167" s="188">
        <f t="shared" si="378"/>
        <v>0.375</v>
      </c>
      <c r="CS167" s="149">
        <f t="shared" si="379"/>
        <v>6.328125</v>
      </c>
      <c r="CT167" s="149">
        <f t="shared" si="380"/>
        <v>2.8125</v>
      </c>
      <c r="CU167" s="188">
        <f t="shared" si="381"/>
        <v>1.265625</v>
      </c>
      <c r="CV167" s="188">
        <f t="shared" si="382"/>
        <v>0.791015625</v>
      </c>
      <c r="CW167" s="188">
        <f t="shared" si="383"/>
        <v>5</v>
      </c>
      <c r="CX167" s="188">
        <f t="shared" si="384"/>
        <v>2.7022222222222219</v>
      </c>
      <c r="CY167" s="188">
        <f t="shared" si="385"/>
        <v>3.6029629629629629</v>
      </c>
      <c r="CZ167" s="188">
        <f t="shared" si="386"/>
        <v>5.6888888888888882</v>
      </c>
      <c r="DA167" s="172">
        <f t="shared" si="387"/>
        <v>290.81632653061229</v>
      </c>
      <c r="DB167" s="379">
        <f t="shared" si="388"/>
        <v>107.62117346938777</v>
      </c>
      <c r="DD167" s="188">
        <f t="shared" si="389"/>
        <v>0.99999999999999978</v>
      </c>
      <c r="DE167" s="150">
        <f t="shared" si="390"/>
        <v>2.1052631578947363</v>
      </c>
      <c r="DF167" s="150">
        <f t="shared" si="391"/>
        <v>0.2295918367346938</v>
      </c>
      <c r="DG167" s="150"/>
      <c r="DH167" s="150">
        <f t="shared" si="392"/>
        <v>2.1052631578947367</v>
      </c>
      <c r="DI167" s="314">
        <f t="shared" si="393"/>
        <v>649.79999999999995</v>
      </c>
      <c r="DJ167" s="456">
        <f t="shared" si="394"/>
        <v>0.3061224489795919</v>
      </c>
      <c r="DL167" s="150">
        <f t="shared" si="395"/>
        <v>1.4735767952260144</v>
      </c>
      <c r="DM167" s="150">
        <f t="shared" si="396"/>
        <v>2.7022222222222219</v>
      </c>
      <c r="DN167" s="150">
        <f t="shared" si="397"/>
        <v>2.4609053497942384</v>
      </c>
      <c r="DP167" s="314">
        <f t="shared" si="398"/>
        <v>683.99999999999989</v>
      </c>
      <c r="DQ167" s="144">
        <f t="shared" si="399"/>
        <v>107.62117346938777</v>
      </c>
      <c r="DS167">
        <f t="shared" si="400"/>
        <v>683.99999999999989</v>
      </c>
      <c r="DT167">
        <f t="shared" si="401"/>
        <v>107.62117346938777</v>
      </c>
      <c r="DV167" s="5">
        <f t="shared" si="402"/>
        <v>9.2918518518518489</v>
      </c>
      <c r="DW167" s="5">
        <f t="shared" si="403"/>
        <v>3.6029629629629629</v>
      </c>
      <c r="DX167" s="5">
        <f t="shared" si="404"/>
        <v>5.6888888888888864</v>
      </c>
      <c r="DY167" s="150">
        <f t="shared" si="405"/>
        <v>0.38775510204081642</v>
      </c>
      <c r="EA167" s="5">
        <f t="shared" si="406"/>
        <v>49.288533333333326</v>
      </c>
      <c r="EB167" s="5">
        <f t="shared" si="407"/>
        <v>6.4177777777777774</v>
      </c>
      <c r="EC167" s="5">
        <f t="shared" si="408"/>
        <v>0.90074074074074018</v>
      </c>
      <c r="ED167" s="5"/>
      <c r="EE167" s="150">
        <f t="shared" si="409"/>
        <v>0.97149192309938948</v>
      </c>
      <c r="EF167" s="150">
        <f t="shared" si="410"/>
        <v>1.2207395665919836</v>
      </c>
      <c r="EG167" s="150">
        <f t="shared" si="411"/>
        <v>0.27287119723820807</v>
      </c>
      <c r="EH167" s="150"/>
      <c r="EI167" s="456">
        <f t="shared" si="412"/>
        <v>1.8875931132947003E-2</v>
      </c>
      <c r="EJ167" s="456">
        <f t="shared" si="413"/>
        <v>8.5500000000000007E-2</v>
      </c>
      <c r="EK167" s="456">
        <f t="shared" si="414"/>
        <v>1.3452646683673471E-2</v>
      </c>
      <c r="EL167" s="456">
        <f t="shared" si="415"/>
        <v>2.3255859375000002E-3</v>
      </c>
      <c r="EM167">
        <f t="shared" si="416"/>
        <v>4.0499999999999998E-3</v>
      </c>
      <c r="EN167" s="144">
        <f t="shared" si="417"/>
        <v>17.502646683673468</v>
      </c>
      <c r="EP167" s="144">
        <f t="shared" si="439"/>
        <v>124.20416375412049</v>
      </c>
      <c r="EQ167" s="150">
        <f t="shared" si="418"/>
        <v>0.47879999999999995</v>
      </c>
      <c r="ER167" s="150">
        <f t="shared" si="475"/>
        <v>6.3234374999999995E-2</v>
      </c>
      <c r="ES167" s="456"/>
      <c r="EU167" s="144">
        <f t="shared" si="420"/>
        <v>542.03437499999995</v>
      </c>
      <c r="EV167" s="456">
        <f t="shared" si="421"/>
        <v>2.8313896699420502E-2</v>
      </c>
      <c r="EW167" s="456">
        <f t="shared" si="422"/>
        <v>4.4706152683295516E-2</v>
      </c>
      <c r="EX167" s="456">
        <f t="shared" si="423"/>
        <v>3.7229345141106526E-4</v>
      </c>
      <c r="EY167" s="456">
        <f t="shared" si="424"/>
        <v>7.211356488206544E-2</v>
      </c>
      <c r="EZ167" s="456"/>
      <c r="FA167" s="538">
        <f t="shared" si="425"/>
        <v>7.8585034013605435E-4</v>
      </c>
      <c r="FB167" s="144">
        <f t="shared" si="426"/>
        <v>146.2917580563286</v>
      </c>
      <c r="FC167" s="150">
        <f t="shared" si="427"/>
        <v>0.81253029681044897</v>
      </c>
      <c r="FD167" s="5">
        <f t="shared" si="428"/>
        <v>4.5599999999999996</v>
      </c>
      <c r="FE167" s="150">
        <f t="shared" si="429"/>
        <v>0.84876208193877845</v>
      </c>
      <c r="FF167" s="5">
        <f t="shared" si="430"/>
        <v>84.876208193877844</v>
      </c>
      <c r="FG167">
        <f t="shared" si="431"/>
        <v>56.999999999999993</v>
      </c>
      <c r="FI167" s="59">
        <f t="shared" si="432"/>
        <v>-50</v>
      </c>
      <c r="FJ167">
        <f t="shared" si="433"/>
        <v>-50</v>
      </c>
    </row>
    <row r="168" spans="5:166">
      <c r="E168" s="147">
        <v>58</v>
      </c>
      <c r="F168" s="188">
        <f t="shared" si="476"/>
        <v>0.69599999999999995</v>
      </c>
      <c r="G168" s="188">
        <f t="shared" si="444"/>
        <v>0.14499999999999999</v>
      </c>
      <c r="H168" s="188">
        <f t="shared" si="445"/>
        <v>3.4799999999999995</v>
      </c>
      <c r="I168" s="188">
        <f t="shared" si="446"/>
        <v>1.1599999999999999</v>
      </c>
      <c r="J168" s="465">
        <f t="shared" si="447"/>
        <v>8.90431879135045</v>
      </c>
      <c r="K168" s="379">
        <f t="shared" si="448"/>
        <v>5.7365043685922084</v>
      </c>
      <c r="L168" s="149">
        <f t="shared" si="449"/>
        <v>14.640823159942659</v>
      </c>
      <c r="M168" s="379"/>
      <c r="N168" s="188">
        <f t="shared" si="450"/>
        <v>0.39181569956307533</v>
      </c>
      <c r="O168" s="149">
        <f t="shared" si="451"/>
        <v>6.5415973056855261</v>
      </c>
      <c r="P168" s="149">
        <f t="shared" si="452"/>
        <v>2.9073765803046783</v>
      </c>
      <c r="Q168" s="188">
        <f t="shared" si="322"/>
        <v>1.3083194611371052</v>
      </c>
      <c r="R168" s="188">
        <f t="shared" si="453"/>
        <v>0.81769966321069076</v>
      </c>
      <c r="S168" s="188">
        <f t="shared" si="454"/>
        <v>5</v>
      </c>
      <c r="T168" s="188">
        <f t="shared" si="455"/>
        <v>2.6599008142670386</v>
      </c>
      <c r="U168" s="188">
        <f t="shared" si="326"/>
        <v>3.5846436453072661</v>
      </c>
      <c r="V168" s="188">
        <f t="shared" si="327"/>
        <v>5.5641567965959098</v>
      </c>
      <c r="W168" s="172">
        <f t="shared" si="328"/>
        <v>290.73765803046786</v>
      </c>
      <c r="X168" s="379">
        <f t="shared" si="435"/>
        <v>106.96559480698741</v>
      </c>
      <c r="Z168" s="188">
        <f t="shared" si="329"/>
        <v>1</v>
      </c>
      <c r="AA168" s="150">
        <f t="shared" si="330"/>
        <v>2.0918662706335414</v>
      </c>
      <c r="AB168" s="150">
        <f t="shared" si="456"/>
        <v>0.22806911266384672</v>
      </c>
      <c r="AC168" s="150"/>
      <c r="AD168" s="150">
        <f t="shared" si="332"/>
        <v>2.0918662706335414</v>
      </c>
      <c r="AE168" s="314">
        <f t="shared" si="457"/>
        <v>665.43450675669601</v>
      </c>
      <c r="AF168" s="456">
        <f t="shared" si="458"/>
        <v>0.30409215021846236</v>
      </c>
      <c r="AH168" s="150">
        <f t="shared" si="459"/>
        <v>1.4864467059144129</v>
      </c>
      <c r="AI168" s="150">
        <f t="shared" si="460"/>
        <v>2.6599008142670386</v>
      </c>
      <c r="AJ168" s="150">
        <f t="shared" si="461"/>
        <v>2.4295561587163252</v>
      </c>
      <c r="AL168" s="314">
        <f t="shared" si="462"/>
        <v>696</v>
      </c>
      <c r="AM168" s="144">
        <f t="shared" si="463"/>
        <v>106.96559480698741</v>
      </c>
      <c r="AO168">
        <f t="shared" si="340"/>
        <v>696</v>
      </c>
      <c r="AP168">
        <f t="shared" si="341"/>
        <v>106.96559480698741</v>
      </c>
      <c r="AR168" s="5">
        <f t="shared" si="443"/>
        <v>9.3488004419031761</v>
      </c>
      <c r="AS168" s="5">
        <f t="shared" si="440"/>
        <v>3.5846436453072661</v>
      </c>
      <c r="AT168" s="5">
        <f t="shared" si="441"/>
        <v>5.76415679659591</v>
      </c>
      <c r="AU168" s="150">
        <f t="shared" si="442"/>
        <v>0.38343353969137933</v>
      </c>
      <c r="AW168" s="5">
        <f t="shared" si="342"/>
        <v>49.898239542677146</v>
      </c>
      <c r="AX168" s="5">
        <f t="shared" si="343"/>
        <v>6.4971666071194187</v>
      </c>
      <c r="AY168" s="5">
        <f t="shared" si="344"/>
        <v>0.93864871091351265</v>
      </c>
      <c r="AZ168" s="5"/>
      <c r="BA168" s="150">
        <f t="shared" si="345"/>
        <v>0.95093288083603322</v>
      </c>
      <c r="BB168" s="150">
        <f t="shared" si="346"/>
        <v>1.2058540970577802</v>
      </c>
      <c r="BC168" s="150">
        <f t="shared" si="347"/>
        <v>0.26954385698938621</v>
      </c>
      <c r="BD168" s="150"/>
      <c r="BE168" s="456">
        <f t="shared" si="348"/>
        <v>1.8085466877102347E-2</v>
      </c>
      <c r="BF168" s="456">
        <f t="shared" si="464"/>
        <v>7.8104547382865958E-2</v>
      </c>
      <c r="BG168" s="456">
        <f t="shared" si="465"/>
        <v>2.3811393896695902E-2</v>
      </c>
      <c r="BH168" s="456">
        <f t="shared" si="351"/>
        <v>2.2928471319158508E-3</v>
      </c>
      <c r="BI168">
        <f t="shared" si="352"/>
        <v>4.0069434561077026E-3</v>
      </c>
      <c r="BJ168" s="144">
        <f t="shared" si="436"/>
        <v>27.818337352803603</v>
      </c>
      <c r="BK168">
        <f t="shared" si="466"/>
        <v>0.10381202883723559</v>
      </c>
      <c r="BL168" s="144">
        <f t="shared" si="437"/>
        <v>126.30119874468775</v>
      </c>
      <c r="BM168" s="150">
        <f t="shared" si="467"/>
        <v>0.43238999999999989</v>
      </c>
      <c r="BN168" s="150">
        <f t="shared" si="468"/>
        <v>9.0081249999999988E-2</v>
      </c>
      <c r="BO168" s="456"/>
      <c r="BQ168" s="144">
        <f t="shared" si="356"/>
        <v>522.47124999999983</v>
      </c>
      <c r="BR168" s="456">
        <f t="shared" si="357"/>
        <v>2.7128200315653519E-2</v>
      </c>
      <c r="BS168" s="456">
        <f t="shared" si="358"/>
        <v>4.3622523101731037E-2</v>
      </c>
      <c r="BT168" s="456">
        <f t="shared" si="359"/>
        <v>3.6326945420357346E-4</v>
      </c>
      <c r="BU168" s="456">
        <f t="shared" si="360"/>
        <v>6.8272198250538763E-2</v>
      </c>
      <c r="BV168" s="456"/>
      <c r="BW168" s="538">
        <f t="shared" si="469"/>
        <v>7.5678932133651925E-4</v>
      </c>
      <c r="BX168" s="144">
        <f t="shared" si="362"/>
        <v>140.14298044346344</v>
      </c>
      <c r="BY168" s="150">
        <f t="shared" si="363"/>
        <v>0.78891542918815116</v>
      </c>
      <c r="BZ168" s="5">
        <f t="shared" si="364"/>
        <v>4.6399999999999997</v>
      </c>
      <c r="CA168" s="150">
        <f t="shared" si="365"/>
        <v>0.85468268211609866</v>
      </c>
      <c r="CB168" s="5">
        <f t="shared" si="366"/>
        <v>85.468268211609868</v>
      </c>
      <c r="CC168">
        <f t="shared" si="367"/>
        <v>57.999999999999993</v>
      </c>
      <c r="CE168" s="59">
        <f t="shared" si="470"/>
        <v>-50</v>
      </c>
      <c r="CF168">
        <f t="shared" si="471"/>
        <v>-50</v>
      </c>
      <c r="CG168" s="150">
        <f t="shared" si="370"/>
        <v>0.57198633493024875</v>
      </c>
      <c r="CH168" s="150">
        <f t="shared" si="472"/>
        <v>0.31031053622728111</v>
      </c>
      <c r="CI168" s="147">
        <v>58</v>
      </c>
      <c r="CJ168" s="188">
        <f t="shared" si="438"/>
        <v>0.69599999999999995</v>
      </c>
      <c r="CK168" s="188">
        <f t="shared" si="372"/>
        <v>0.14499999999999999</v>
      </c>
      <c r="CL168" s="188">
        <f t="shared" si="373"/>
        <v>3.4799999999999995</v>
      </c>
      <c r="CM168" s="188">
        <f t="shared" si="374"/>
        <v>1.1599999999999999</v>
      </c>
      <c r="CN168" s="465">
        <f t="shared" si="375"/>
        <v>9</v>
      </c>
      <c r="CO168" s="379">
        <f t="shared" si="473"/>
        <v>5.7</v>
      </c>
      <c r="CP168" s="379">
        <f t="shared" si="474"/>
        <v>14.7</v>
      </c>
      <c r="CQ168" s="379"/>
      <c r="CR168" s="188">
        <f t="shared" si="378"/>
        <v>0.375</v>
      </c>
      <c r="CS168" s="149">
        <f t="shared" si="379"/>
        <v>6.328125</v>
      </c>
      <c r="CT168" s="149">
        <f t="shared" si="380"/>
        <v>2.8125</v>
      </c>
      <c r="CU168" s="188">
        <f t="shared" si="381"/>
        <v>1.265625</v>
      </c>
      <c r="CV168" s="188">
        <f t="shared" si="382"/>
        <v>0.791015625</v>
      </c>
      <c r="CW168" s="188">
        <f t="shared" si="383"/>
        <v>5</v>
      </c>
      <c r="CX168" s="188">
        <f t="shared" si="384"/>
        <v>2.7496296296296294</v>
      </c>
      <c r="CY168" s="188">
        <f t="shared" si="385"/>
        <v>3.6661728395061726</v>
      </c>
      <c r="CZ168" s="188">
        <f t="shared" si="386"/>
        <v>5.7886939571150089</v>
      </c>
      <c r="DA168" s="172">
        <f t="shared" si="387"/>
        <v>290.81632653061229</v>
      </c>
      <c r="DB168" s="379">
        <f t="shared" si="388"/>
        <v>105.76563599577763</v>
      </c>
      <c r="DD168" s="188">
        <f t="shared" si="389"/>
        <v>0.99999999999999978</v>
      </c>
      <c r="DE168" s="150">
        <f t="shared" si="390"/>
        <v>2.1052631578947363</v>
      </c>
      <c r="DF168" s="150">
        <f t="shared" si="391"/>
        <v>0.2295918367346938</v>
      </c>
      <c r="DG168" s="150"/>
      <c r="DH168" s="150">
        <f t="shared" si="392"/>
        <v>2.1052631578947367</v>
      </c>
      <c r="DI168" s="314">
        <f t="shared" si="393"/>
        <v>661.2</v>
      </c>
      <c r="DJ168" s="456">
        <f t="shared" si="394"/>
        <v>0.3061224489795919</v>
      </c>
      <c r="DL168" s="150">
        <f t="shared" si="395"/>
        <v>1.4864467059144129</v>
      </c>
      <c r="DM168" s="150">
        <f t="shared" si="396"/>
        <v>2.7496296296296294</v>
      </c>
      <c r="DN168" s="150">
        <f t="shared" si="397"/>
        <v>2.4960219478737997</v>
      </c>
      <c r="DP168" s="314">
        <f t="shared" si="398"/>
        <v>696</v>
      </c>
      <c r="DQ168" s="144">
        <f t="shared" si="399"/>
        <v>105.76563599577763</v>
      </c>
      <c r="DS168">
        <f t="shared" si="400"/>
        <v>696</v>
      </c>
      <c r="DT168">
        <f t="shared" si="401"/>
        <v>105.76563599577763</v>
      </c>
      <c r="DV168" s="5">
        <f t="shared" si="402"/>
        <v>9.4548667966211823</v>
      </c>
      <c r="DW168" s="5">
        <f t="shared" si="403"/>
        <v>3.6661728395061726</v>
      </c>
      <c r="DX168" s="5">
        <f t="shared" si="404"/>
        <v>5.7886939571150098</v>
      </c>
      <c r="DY168" s="150">
        <f t="shared" si="405"/>
        <v>0.38775510204081631</v>
      </c>
      <c r="EA168" s="5">
        <f t="shared" si="406"/>
        <v>51.033125925925916</v>
      </c>
      <c r="EB168" s="5">
        <f t="shared" si="407"/>
        <v>6.6449382716049374</v>
      </c>
      <c r="EC168" s="5">
        <f t="shared" si="408"/>
        <v>0.93262291531297359</v>
      </c>
      <c r="ED168" s="5"/>
      <c r="EE168" s="150">
        <f t="shared" si="409"/>
        <v>0.98853564104850167</v>
      </c>
      <c r="EF168" s="150">
        <f t="shared" si="410"/>
        <v>1.2421560502164046</v>
      </c>
      <c r="EG168" s="150">
        <f t="shared" si="411"/>
        <v>0.27765841122484342</v>
      </c>
      <c r="EH168" s="150"/>
      <c r="EI168" s="456">
        <f t="shared" si="412"/>
        <v>1.9544054272463442E-2</v>
      </c>
      <c r="EJ168" s="456">
        <f t="shared" si="413"/>
        <v>8.5499999999999979E-2</v>
      </c>
      <c r="EK168" s="456">
        <f t="shared" si="414"/>
        <v>1.3220704499472203E-2</v>
      </c>
      <c r="EL168" s="456">
        <f t="shared" si="415"/>
        <v>2.2854896282327587E-3</v>
      </c>
      <c r="EM168">
        <f t="shared" si="416"/>
        <v>4.0499999999999998E-3</v>
      </c>
      <c r="EN168" s="144">
        <f t="shared" si="417"/>
        <v>17.270704499472206</v>
      </c>
      <c r="EP168" s="144">
        <f t="shared" si="439"/>
        <v>124.60024840016838</v>
      </c>
      <c r="EQ168" s="150">
        <f t="shared" si="418"/>
        <v>0.48719999999999991</v>
      </c>
      <c r="ER168" s="150">
        <f t="shared" si="475"/>
        <v>6.4343749999999991E-2</v>
      </c>
      <c r="ES168" s="456"/>
      <c r="EU168" s="144">
        <f t="shared" si="420"/>
        <v>551.54374999999993</v>
      </c>
      <c r="EV168" s="456">
        <f t="shared" si="421"/>
        <v>2.9316081408695162E-2</v>
      </c>
      <c r="EW168" s="456">
        <f t="shared" si="422"/>
        <v>4.6288549592676573E-2</v>
      </c>
      <c r="EX168" s="456">
        <f t="shared" si="423"/>
        <v>3.854709666195213E-4</v>
      </c>
      <c r="EY168" s="456">
        <f t="shared" si="424"/>
        <v>7.2113564882065495E-2</v>
      </c>
      <c r="EZ168" s="456"/>
      <c r="FA168" s="538">
        <f t="shared" si="425"/>
        <v>7.9963718820861673E-4</v>
      </c>
      <c r="FB168" s="144">
        <f t="shared" si="426"/>
        <v>148.90330403826539</v>
      </c>
      <c r="FC168" s="150">
        <f t="shared" si="427"/>
        <v>0.82504730243843372</v>
      </c>
      <c r="FD168" s="5">
        <f t="shared" si="428"/>
        <v>4.6399999999999997</v>
      </c>
      <c r="FE168" s="150">
        <f t="shared" si="429"/>
        <v>0.84903199244582783</v>
      </c>
      <c r="FF168" s="5">
        <f t="shared" si="430"/>
        <v>84.90319924458278</v>
      </c>
      <c r="FG168">
        <f t="shared" si="431"/>
        <v>57.999999999999993</v>
      </c>
      <c r="FI168" s="59">
        <f t="shared" si="432"/>
        <v>-50</v>
      </c>
      <c r="FJ168">
        <f t="shared" si="433"/>
        <v>-50</v>
      </c>
    </row>
    <row r="169" spans="5:166">
      <c r="E169" s="147">
        <v>59</v>
      </c>
      <c r="F169" s="188">
        <f t="shared" si="476"/>
        <v>0.70799999999999996</v>
      </c>
      <c r="G169" s="188">
        <f t="shared" si="444"/>
        <v>0.14749999999999999</v>
      </c>
      <c r="H169" s="188">
        <f t="shared" si="445"/>
        <v>3.54</v>
      </c>
      <c r="I169" s="188">
        <f t="shared" si="446"/>
        <v>1.18</v>
      </c>
      <c r="J169" s="465">
        <f t="shared" si="447"/>
        <v>8.9026691153392523</v>
      </c>
      <c r="K169" s="379">
        <f t="shared" si="448"/>
        <v>5.7371337542575915</v>
      </c>
      <c r="L169" s="149">
        <f t="shared" si="449"/>
        <v>14.639802869596844</v>
      </c>
      <c r="M169" s="379"/>
      <c r="N169" s="188">
        <f t="shared" si="450"/>
        <v>0.39188599773922933</v>
      </c>
      <c r="O169" s="149">
        <f t="shared" si="451"/>
        <v>6.5415588165130227</v>
      </c>
      <c r="P169" s="149">
        <f t="shared" si="452"/>
        <v>2.9073594740057875</v>
      </c>
      <c r="Q169" s="188">
        <f t="shared" si="322"/>
        <v>1.3083117633026045</v>
      </c>
      <c r="R169" s="188">
        <f t="shared" si="453"/>
        <v>0.81769485206412784</v>
      </c>
      <c r="S169" s="188">
        <f t="shared" si="454"/>
        <v>5</v>
      </c>
      <c r="T169" s="188">
        <f t="shared" si="455"/>
        <v>2.7057770932700995</v>
      </c>
      <c r="U169" s="188">
        <f t="shared" si="326"/>
        <v>3.6471449964704088</v>
      </c>
      <c r="V169" s="188">
        <f t="shared" si="327"/>
        <v>5.6595028998836483</v>
      </c>
      <c r="W169" s="172">
        <f t="shared" si="328"/>
        <v>290.73594740057871</v>
      </c>
      <c r="X169" s="379">
        <f t="shared" si="435"/>
        <v>105.18954850358087</v>
      </c>
      <c r="Z169" s="188">
        <f t="shared" si="329"/>
        <v>1</v>
      </c>
      <c r="AA169" s="150">
        <f t="shared" si="330"/>
        <v>2.0916367848482991</v>
      </c>
      <c r="AB169" s="150">
        <f t="shared" si="456"/>
        <v>0.22804275084778902</v>
      </c>
      <c r="AC169" s="150"/>
      <c r="AD169" s="150">
        <f t="shared" si="332"/>
        <v>2.0916367848482991</v>
      </c>
      <c r="AE169" s="314">
        <f t="shared" si="457"/>
        <v>676.98178300239579</v>
      </c>
      <c r="AF169" s="456">
        <f t="shared" si="458"/>
        <v>0.30405700113038525</v>
      </c>
      <c r="AH169" s="150">
        <f t="shared" si="459"/>
        <v>1.4992061391346581</v>
      </c>
      <c r="AI169" s="150">
        <f t="shared" si="460"/>
        <v>2.7057770932700995</v>
      </c>
      <c r="AJ169" s="150">
        <f t="shared" si="461"/>
        <v>2.4635385876074811</v>
      </c>
      <c r="AL169" s="314">
        <f t="shared" si="462"/>
        <v>708</v>
      </c>
      <c r="AM169" s="144">
        <f t="shared" si="463"/>
        <v>105.18954850358087</v>
      </c>
      <c r="AO169">
        <f t="shared" si="340"/>
        <v>708</v>
      </c>
      <c r="AP169">
        <f t="shared" si="341"/>
        <v>105.18954850358087</v>
      </c>
      <c r="AR169" s="5">
        <f t="shared" si="443"/>
        <v>9.5066478963540568</v>
      </c>
      <c r="AS169" s="5">
        <f t="shared" si="440"/>
        <v>3.6471449964704088</v>
      </c>
      <c r="AT169" s="5">
        <f t="shared" si="441"/>
        <v>5.8595028998836476</v>
      </c>
      <c r="AU169" s="150">
        <f t="shared" si="442"/>
        <v>0.38364153550581631</v>
      </c>
      <c r="AW169" s="5">
        <f t="shared" si="342"/>
        <v>51.643573150020984</v>
      </c>
      <c r="AX169" s="5">
        <f t="shared" si="343"/>
        <v>6.7244235872423159</v>
      </c>
      <c r="AY169" s="5">
        <f t="shared" si="344"/>
        <v>0.9708062453356755</v>
      </c>
      <c r="AZ169" s="5"/>
      <c r="BA169" s="150">
        <f t="shared" si="345"/>
        <v>0.96759629936544977</v>
      </c>
      <c r="BB169" s="150">
        <f t="shared" si="346"/>
        <v>1.2264449821643109</v>
      </c>
      <c r="BC169" s="150">
        <f t="shared" si="347"/>
        <v>0.27414652542496359</v>
      </c>
      <c r="BD169" s="150"/>
      <c r="BE169" s="456">
        <f t="shared" si="348"/>
        <v>1.8724851970914263E-2</v>
      </c>
      <c r="BF169" s="456">
        <f t="shared" si="464"/>
        <v>7.812699272343572E-2</v>
      </c>
      <c r="BG169" s="456">
        <f t="shared" si="465"/>
        <v>2.3411693617982742E-2</v>
      </c>
      <c r="BH169" s="456">
        <f t="shared" si="351"/>
        <v>2.2544626707259501E-3</v>
      </c>
      <c r="BI169">
        <f t="shared" si="352"/>
        <v>4.0062011019026634E-3</v>
      </c>
      <c r="BJ169" s="144">
        <f t="shared" si="436"/>
        <v>27.417894719885407</v>
      </c>
      <c r="BK169">
        <f t="shared" si="466"/>
        <v>0.10462750777704488</v>
      </c>
      <c r="BL169" s="144">
        <f t="shared" si="437"/>
        <v>126.52420208496135</v>
      </c>
      <c r="BM169" s="150">
        <f t="shared" si="467"/>
        <v>0.43984499999999993</v>
      </c>
      <c r="BN169" s="150">
        <f t="shared" si="468"/>
        <v>9.163437499999999E-2</v>
      </c>
      <c r="BO169" s="456"/>
      <c r="BQ169" s="144">
        <f t="shared" si="356"/>
        <v>531.479375</v>
      </c>
      <c r="BR169" s="456">
        <f t="shared" si="357"/>
        <v>2.8087277956371393E-2</v>
      </c>
      <c r="BS169" s="456">
        <f t="shared" si="358"/>
        <v>4.5125018828280503E-2</v>
      </c>
      <c r="BT169" s="456">
        <f t="shared" si="359"/>
        <v>3.7578158701290101E-4</v>
      </c>
      <c r="BU169" s="456">
        <f t="shared" si="360"/>
        <v>6.8333162620370314E-2</v>
      </c>
      <c r="BV169" s="456"/>
      <c r="BW169" s="538">
        <f t="shared" si="469"/>
        <v>7.7011684436876983E-4</v>
      </c>
      <c r="BX169" s="144">
        <f t="shared" si="362"/>
        <v>142.69135783640388</v>
      </c>
      <c r="BY169" s="150">
        <f t="shared" si="363"/>
        <v>0.80069493492136523</v>
      </c>
      <c r="BZ169" s="5">
        <f t="shared" si="364"/>
        <v>4.72</v>
      </c>
      <c r="CA169" s="150">
        <f t="shared" si="365"/>
        <v>0.85496482881954972</v>
      </c>
      <c r="CB169" s="5">
        <f t="shared" si="366"/>
        <v>85.496482881954975</v>
      </c>
      <c r="CC169">
        <f t="shared" si="367"/>
        <v>59</v>
      </c>
      <c r="CE169" s="59">
        <f t="shared" si="470"/>
        <v>-50</v>
      </c>
      <c r="CF169">
        <f t="shared" si="471"/>
        <v>-50</v>
      </c>
      <c r="CG169" s="150">
        <f t="shared" si="370"/>
        <v>0.57198633493024875</v>
      </c>
      <c r="CH169" s="150">
        <f t="shared" si="472"/>
        <v>0.31031053622728111</v>
      </c>
      <c r="CI169" s="147">
        <v>59</v>
      </c>
      <c r="CJ169" s="188">
        <f t="shared" si="438"/>
        <v>0.70799999999999996</v>
      </c>
      <c r="CK169" s="188">
        <f t="shared" si="372"/>
        <v>0.14749999999999999</v>
      </c>
      <c r="CL169" s="188">
        <f t="shared" si="373"/>
        <v>3.54</v>
      </c>
      <c r="CM169" s="188">
        <f t="shared" si="374"/>
        <v>1.18</v>
      </c>
      <c r="CN169" s="465">
        <f t="shared" si="375"/>
        <v>9</v>
      </c>
      <c r="CO169" s="379">
        <f t="shared" si="473"/>
        <v>5.7</v>
      </c>
      <c r="CP169" s="379">
        <f t="shared" si="474"/>
        <v>14.7</v>
      </c>
      <c r="CQ169" s="379"/>
      <c r="CR169" s="188">
        <f t="shared" si="378"/>
        <v>0.375</v>
      </c>
      <c r="CS169" s="149">
        <f t="shared" si="379"/>
        <v>6.328125</v>
      </c>
      <c r="CT169" s="149">
        <f t="shared" si="380"/>
        <v>2.8125</v>
      </c>
      <c r="CU169" s="188">
        <f t="shared" si="381"/>
        <v>1.265625</v>
      </c>
      <c r="CV169" s="188">
        <f t="shared" si="382"/>
        <v>0.791015625</v>
      </c>
      <c r="CW169" s="188">
        <f t="shared" si="383"/>
        <v>5</v>
      </c>
      <c r="CX169" s="188">
        <f t="shared" si="384"/>
        <v>2.797037037037037</v>
      </c>
      <c r="CY169" s="188">
        <f t="shared" si="385"/>
        <v>3.7293827160493827</v>
      </c>
      <c r="CZ169" s="188">
        <f t="shared" si="386"/>
        <v>5.8884990253411305</v>
      </c>
      <c r="DA169" s="172">
        <f t="shared" si="387"/>
        <v>290.81632653061229</v>
      </c>
      <c r="DB169" s="379">
        <f t="shared" si="388"/>
        <v>103.97299809754411</v>
      </c>
      <c r="DD169" s="188">
        <f t="shared" si="389"/>
        <v>0.99999999999999978</v>
      </c>
      <c r="DE169" s="150">
        <f t="shared" si="390"/>
        <v>2.1052631578947363</v>
      </c>
      <c r="DF169" s="150">
        <f t="shared" si="391"/>
        <v>0.2295918367346938</v>
      </c>
      <c r="DG169" s="150"/>
      <c r="DH169" s="150">
        <f t="shared" si="392"/>
        <v>2.1052631578947367</v>
      </c>
      <c r="DI169" s="314">
        <f t="shared" si="393"/>
        <v>672.6</v>
      </c>
      <c r="DJ169" s="456">
        <f t="shared" si="394"/>
        <v>0.3061224489795919</v>
      </c>
      <c r="DL169" s="150">
        <f t="shared" si="395"/>
        <v>1.4992061391346581</v>
      </c>
      <c r="DM169" s="150">
        <f t="shared" si="396"/>
        <v>2.797037037037037</v>
      </c>
      <c r="DN169" s="150">
        <f t="shared" si="397"/>
        <v>2.5311385459533611</v>
      </c>
      <c r="DP169" s="314">
        <f t="shared" si="398"/>
        <v>708</v>
      </c>
      <c r="DQ169" s="144">
        <f t="shared" si="399"/>
        <v>103.97299809754411</v>
      </c>
      <c r="DS169">
        <f t="shared" si="400"/>
        <v>708</v>
      </c>
      <c r="DT169">
        <f t="shared" si="401"/>
        <v>103.97299809754411</v>
      </c>
      <c r="DV169" s="5">
        <f t="shared" si="402"/>
        <v>9.617881741390514</v>
      </c>
      <c r="DW169" s="5">
        <f t="shared" si="403"/>
        <v>3.7293827160493827</v>
      </c>
      <c r="DX169" s="5">
        <f t="shared" si="404"/>
        <v>5.8884990253411313</v>
      </c>
      <c r="DY169" s="150">
        <f t="shared" si="405"/>
        <v>0.38775510204081631</v>
      </c>
      <c r="EA169" s="5">
        <f t="shared" si="406"/>
        <v>52.808059259259252</v>
      </c>
      <c r="EB169" s="5">
        <f t="shared" si="407"/>
        <v>6.8760493827160483</v>
      </c>
      <c r="EC169" s="5">
        <f t="shared" si="408"/>
        <v>0.96505956248646296</v>
      </c>
      <c r="ED169" s="5"/>
      <c r="EE169" s="150">
        <f t="shared" si="409"/>
        <v>1.0055793589976139</v>
      </c>
      <c r="EF169" s="150">
        <f t="shared" si="410"/>
        <v>1.2635725338408255</v>
      </c>
      <c r="EG169" s="150">
        <f t="shared" si="411"/>
        <v>0.28244562521147865</v>
      </c>
      <c r="EH169" s="150"/>
      <c r="EI169" s="456">
        <f t="shared" si="412"/>
        <v>2.0223796944841041E-2</v>
      </c>
      <c r="EJ169" s="456">
        <f t="shared" si="413"/>
        <v>8.5500000000000007E-2</v>
      </c>
      <c r="EK169" s="456">
        <f t="shared" si="414"/>
        <v>1.2996624762193014E-2</v>
      </c>
      <c r="EL169" s="456">
        <f t="shared" si="415"/>
        <v>2.2467525158898307E-3</v>
      </c>
      <c r="EM169">
        <f t="shared" si="416"/>
        <v>4.0499999999999998E-3</v>
      </c>
      <c r="EN169" s="144">
        <f t="shared" si="417"/>
        <v>17.046624762193012</v>
      </c>
      <c r="EP169" s="144">
        <f t="shared" si="439"/>
        <v>125.01717422292391</v>
      </c>
      <c r="EQ169" s="150">
        <f t="shared" si="418"/>
        <v>0.49559999999999993</v>
      </c>
      <c r="ER169" s="150">
        <f t="shared" si="475"/>
        <v>6.5453124999999987E-2</v>
      </c>
      <c r="ES169" s="456"/>
      <c r="EU169" s="144">
        <f t="shared" si="420"/>
        <v>561.05312499999991</v>
      </c>
      <c r="EV169" s="456">
        <f t="shared" si="421"/>
        <v>3.0335695417261558E-2</v>
      </c>
      <c r="EW169" s="456">
        <f t="shared" si="422"/>
        <v>4.7898466448307718E-2</v>
      </c>
      <c r="EX169" s="456">
        <f t="shared" si="423"/>
        <v>3.9887765600551533E-4</v>
      </c>
      <c r="EY169" s="456">
        <f t="shared" si="424"/>
        <v>7.2113564882065412E-2</v>
      </c>
      <c r="EZ169" s="456"/>
      <c r="FA169" s="538">
        <f t="shared" si="425"/>
        <v>8.1342403628117922E-4</v>
      </c>
      <c r="FB169" s="144">
        <f t="shared" si="426"/>
        <v>151.56002843992138</v>
      </c>
      <c r="FC169" s="150">
        <f t="shared" si="427"/>
        <v>0.83763032766284529</v>
      </c>
      <c r="FD169" s="5">
        <f t="shared" si="428"/>
        <v>4.72</v>
      </c>
      <c r="FE169" s="150">
        <f t="shared" si="429"/>
        <v>0.84928282770201913</v>
      </c>
      <c r="FF169" s="5">
        <f t="shared" si="430"/>
        <v>84.928282770201918</v>
      </c>
      <c r="FG169">
        <f t="shared" si="431"/>
        <v>59</v>
      </c>
      <c r="FI169" s="59">
        <f t="shared" si="432"/>
        <v>-50</v>
      </c>
      <c r="FJ169">
        <f t="shared" si="433"/>
        <v>-50</v>
      </c>
    </row>
    <row r="170" spans="5:166">
      <c r="E170" s="147">
        <v>60</v>
      </c>
      <c r="F170" s="188">
        <f t="shared" si="476"/>
        <v>0.72</v>
      </c>
      <c r="G170" s="188">
        <f t="shared" si="444"/>
        <v>0.15</v>
      </c>
      <c r="H170" s="188">
        <f t="shared" si="445"/>
        <v>3.5999999999999996</v>
      </c>
      <c r="I170" s="188">
        <f t="shared" si="446"/>
        <v>1.2</v>
      </c>
      <c r="J170" s="465">
        <f t="shared" si="447"/>
        <v>8.9010194393280528</v>
      </c>
      <c r="K170" s="379">
        <f t="shared" si="448"/>
        <v>5.7377631399229738</v>
      </c>
      <c r="L170" s="149">
        <f t="shared" si="449"/>
        <v>14.638782579251027</v>
      </c>
      <c r="M170" s="379"/>
      <c r="N170" s="188">
        <f t="shared" si="450"/>
        <v>0.39195630571463402</v>
      </c>
      <c r="O170" s="149">
        <f t="shared" si="451"/>
        <v>6.5415200559996869</v>
      </c>
      <c r="P170" s="149">
        <f t="shared" si="452"/>
        <v>2.907342247110972</v>
      </c>
      <c r="Q170" s="188">
        <f t="shared" si="322"/>
        <v>1.3083040111999373</v>
      </c>
      <c r="R170" s="188">
        <f t="shared" si="453"/>
        <v>0.81769000699996086</v>
      </c>
      <c r="S170" s="188">
        <f t="shared" si="454"/>
        <v>5</v>
      </c>
      <c r="T170" s="188">
        <f t="shared" si="455"/>
        <v>2.7516540262673255</v>
      </c>
      <c r="U170" s="188">
        <f t="shared" si="326"/>
        <v>3.7096703967765525</v>
      </c>
      <c r="V170" s="188">
        <f t="shared" si="327"/>
        <v>5.754829453564926</v>
      </c>
      <c r="W170" s="172">
        <f t="shared" si="328"/>
        <v>290.73422471109717</v>
      </c>
      <c r="X170" s="379">
        <f t="shared" si="435"/>
        <v>103.47146934506567</v>
      </c>
      <c r="Z170" s="188">
        <f t="shared" si="329"/>
        <v>1</v>
      </c>
      <c r="AA170" s="150">
        <f t="shared" si="330"/>
        <v>2.0914073494084828</v>
      </c>
      <c r="AB170" s="150">
        <f t="shared" si="456"/>
        <v>0.22801638535701224</v>
      </c>
      <c r="AC170" s="150"/>
      <c r="AD170" s="150">
        <f t="shared" si="332"/>
        <v>2.0914073494084828</v>
      </c>
      <c r="AE170" s="314">
        <f t="shared" si="457"/>
        <v>688.53157679075673</v>
      </c>
      <c r="AF170" s="456">
        <f t="shared" si="458"/>
        <v>0.30402184714268293</v>
      </c>
      <c r="AH170" s="150">
        <f t="shared" si="459"/>
        <v>1.5118578920369088</v>
      </c>
      <c r="AI170" s="150">
        <f t="shared" si="460"/>
        <v>2.7516540262673255</v>
      </c>
      <c r="AJ170" s="150">
        <f t="shared" si="461"/>
        <v>2.4975215009387597</v>
      </c>
      <c r="AL170" s="314">
        <f t="shared" si="462"/>
        <v>720</v>
      </c>
      <c r="AM170" s="144">
        <f t="shared" si="463"/>
        <v>103.47146934506567</v>
      </c>
      <c r="AO170">
        <f t="shared" si="340"/>
        <v>720</v>
      </c>
      <c r="AP170">
        <f t="shared" si="341"/>
        <v>103.47146934506567</v>
      </c>
      <c r="AR170" s="5">
        <f t="shared" si="443"/>
        <v>9.6644998503414783</v>
      </c>
      <c r="AS170" s="5">
        <f t="shared" si="440"/>
        <v>3.7096703967765525</v>
      </c>
      <c r="AT170" s="5">
        <f t="shared" si="441"/>
        <v>5.9548294535649262</v>
      </c>
      <c r="AU170" s="150">
        <f t="shared" si="442"/>
        <v>0.38384504674036263</v>
      </c>
      <c r="AW170" s="5">
        <f t="shared" ref="AW170:AW210" si="477">F170*AS170/Vout_ripple*1000</f>
        <v>53.41925371358235</v>
      </c>
      <c r="AX170" s="5">
        <f t="shared" ref="AX170:AX210" si="478">G170*AS170/Vout_ripple2*1000</f>
        <v>6.9556319939560352</v>
      </c>
      <c r="AY170" s="5">
        <f t="shared" ref="AY170:AY210" si="479">H170/Efficiency/J170*AT170/Vinripple1</f>
        <v>1.0035079960483371</v>
      </c>
      <c r="AZ170" s="5"/>
      <c r="BA170" s="150">
        <f t="shared" ref="BA170:BA209" si="480">AI170*SQRT(AU170/3)</f>
        <v>0.98426302547350686</v>
      </c>
      <c r="BB170" s="150">
        <f t="shared" ref="BB170:BB210" si="481">AI170*Npri_sec1*SQRT((1-AU170)/3)*(Pout/Pout_total)</f>
        <v>1.2470336496837069</v>
      </c>
      <c r="BC170" s="150">
        <f t="shared" ref="BC170:BC210" si="482">AI170*Npri_sec2*SQRT((1-AU170)/3)*(Pout2/Pout_total)</f>
        <v>0.2787486981645933</v>
      </c>
      <c r="BD170" s="150"/>
      <c r="BE170" s="456">
        <f t="shared" ref="BE170:BE210" si="483">Rdson*BA170^2</f>
        <v>1.9375474066285224E-2</v>
      </c>
      <c r="BF170" s="456">
        <f t="shared" si="464"/>
        <v>7.8148505447021691E-2</v>
      </c>
      <c r="BG170" s="456">
        <f t="shared" si="465"/>
        <v>2.3025039001406653E-2</v>
      </c>
      <c r="BH170" s="456">
        <f t="shared" ref="BH170:BH210" si="484">0.5*(Coss+Csw)*L170^2*AM170*1000</f>
        <v>2.2173310437271273E-3</v>
      </c>
      <c r="BI170">
        <f t="shared" ref="BI170:BI210" si="485">J170*IQ</f>
        <v>4.0054587476976234E-3</v>
      </c>
      <c r="BJ170" s="144">
        <f t="shared" si="436"/>
        <v>27.030497749104274</v>
      </c>
      <c r="BK170">
        <f t="shared" si="466"/>
        <v>0.10545817715206449</v>
      </c>
      <c r="BL170" s="144">
        <f t="shared" si="437"/>
        <v>126.7718083061383</v>
      </c>
      <c r="BM170" s="150">
        <f t="shared" si="467"/>
        <v>0.44729999999999998</v>
      </c>
      <c r="BN170" s="150">
        <f t="shared" si="468"/>
        <v>9.3187499999999993E-2</v>
      </c>
      <c r="BO170" s="456"/>
      <c r="BQ170" s="144">
        <f t="shared" ref="BQ170:BQ210" si="486">SUM(BM170:BP170)*1000</f>
        <v>540.48749999999995</v>
      </c>
      <c r="BR170" s="456">
        <f t="shared" ref="BR170:BR210" si="487">Rdcr_pri*BA170^2</f>
        <v>2.9063211099427833E-2</v>
      </c>
      <c r="BS170" s="456">
        <f t="shared" ref="BS170:BS210" si="488">Rdcr_sec*BB170^2</f>
        <v>4.6652787703303986E-2</v>
      </c>
      <c r="BT170" s="456">
        <f t="shared" ref="BT170:BT210" si="489">Rdcr_sec2*BC170^2</f>
        <v>3.8850418364227773E-4</v>
      </c>
      <c r="BU170" s="456">
        <f t="shared" ref="BU170:BU210" si="490">AI170^2.5*AM170^2.5*k_core</f>
        <v>6.8392127665325778E-2</v>
      </c>
      <c r="BV170" s="456"/>
      <c r="BW170" s="538">
        <f t="shared" si="469"/>
        <v>7.8344456490478951E-4</v>
      </c>
      <c r="BX170" s="144">
        <f t="shared" ref="BX170:BX192" si="491">SUM(BR170:BW170)*1000</f>
        <v>145.28007521660467</v>
      </c>
      <c r="BY170" s="150">
        <f t="shared" ref="BY170:BY192" si="492">SUM(BE170:BI170,BM170:BP170,BR170:BW170)</f>
        <v>0.81253938352274269</v>
      </c>
      <c r="BZ170" s="5">
        <f t="shared" ref="BZ170:BZ192" si="493">MIN(H170+I170,O170+P170)</f>
        <v>4.8</v>
      </c>
      <c r="CA170" s="150">
        <f t="shared" ref="CA170:CA192" si="494">BZ170/(BZ170+BY170)</f>
        <v>0.85522785177985738</v>
      </c>
      <c r="CB170" s="5">
        <f t="shared" ref="CB170:CB192" si="495">CA170*100</f>
        <v>85.522785177985739</v>
      </c>
      <c r="CC170">
        <f t="shared" ref="CC170:CC192" si="496">F170/Iout*100</f>
        <v>60</v>
      </c>
      <c r="CE170" s="59">
        <f t="shared" si="470"/>
        <v>-50</v>
      </c>
      <c r="CF170">
        <f t="shared" si="471"/>
        <v>-50</v>
      </c>
      <c r="CG170" s="150">
        <f t="shared" si="370"/>
        <v>0.57198633493024875</v>
      </c>
      <c r="CH170" s="150">
        <f t="shared" si="472"/>
        <v>0.31031053622728105</v>
      </c>
      <c r="CI170" s="147">
        <v>60</v>
      </c>
      <c r="CJ170" s="188">
        <f t="shared" si="438"/>
        <v>0.72</v>
      </c>
      <c r="CK170" s="188">
        <f t="shared" si="372"/>
        <v>0.15</v>
      </c>
      <c r="CL170" s="188">
        <f t="shared" si="373"/>
        <v>3.5999999999999996</v>
      </c>
      <c r="CM170" s="188">
        <f t="shared" si="374"/>
        <v>1.2</v>
      </c>
      <c r="CN170" s="465">
        <f t="shared" si="375"/>
        <v>9</v>
      </c>
      <c r="CO170" s="379">
        <f t="shared" si="473"/>
        <v>5.7</v>
      </c>
      <c r="CP170" s="379">
        <f t="shared" si="474"/>
        <v>14.7</v>
      </c>
      <c r="CQ170" s="379"/>
      <c r="CR170" s="188">
        <f t="shared" si="378"/>
        <v>0.375</v>
      </c>
      <c r="CS170" s="149">
        <f t="shared" si="379"/>
        <v>6.328125</v>
      </c>
      <c r="CT170" s="149">
        <f t="shared" si="380"/>
        <v>2.8125</v>
      </c>
      <c r="CU170" s="188">
        <f t="shared" si="381"/>
        <v>1.265625</v>
      </c>
      <c r="CV170" s="188">
        <f t="shared" si="382"/>
        <v>0.791015625</v>
      </c>
      <c r="CW170" s="188">
        <f t="shared" si="383"/>
        <v>5</v>
      </c>
      <c r="CX170" s="188">
        <f t="shared" si="384"/>
        <v>2.8444444444444446</v>
      </c>
      <c r="CY170" s="188">
        <f t="shared" si="385"/>
        <v>3.7925925925925927</v>
      </c>
      <c r="CZ170" s="188">
        <f t="shared" si="386"/>
        <v>5.9883040935672511</v>
      </c>
      <c r="DA170" s="172">
        <f t="shared" si="387"/>
        <v>290.81632653061229</v>
      </c>
      <c r="DB170" s="379">
        <f t="shared" si="388"/>
        <v>102.24011479591836</v>
      </c>
      <c r="DD170" s="188">
        <f t="shared" si="389"/>
        <v>0.99999999999999978</v>
      </c>
      <c r="DE170" s="150">
        <f t="shared" si="390"/>
        <v>2.1052631578947363</v>
      </c>
      <c r="DF170" s="150">
        <f t="shared" si="391"/>
        <v>0.2295918367346938</v>
      </c>
      <c r="DG170" s="150"/>
      <c r="DH170" s="150">
        <f t="shared" si="392"/>
        <v>2.1052631578947367</v>
      </c>
      <c r="DI170" s="314">
        <f t="shared" si="393"/>
        <v>684</v>
      </c>
      <c r="DJ170" s="456">
        <f t="shared" si="394"/>
        <v>0.3061224489795919</v>
      </c>
      <c r="DL170" s="150">
        <f t="shared" si="395"/>
        <v>1.5118578920369088</v>
      </c>
      <c r="DM170" s="150">
        <f t="shared" si="396"/>
        <v>2.8444444444444446</v>
      </c>
      <c r="DN170" s="150">
        <f t="shared" si="397"/>
        <v>2.5662551440329215</v>
      </c>
      <c r="DP170" s="314">
        <f t="shared" si="398"/>
        <v>720</v>
      </c>
      <c r="DQ170" s="144">
        <f t="shared" si="399"/>
        <v>102.24011479591836</v>
      </c>
      <c r="DS170">
        <f t="shared" si="400"/>
        <v>720</v>
      </c>
      <c r="DT170">
        <f t="shared" si="401"/>
        <v>102.24011479591836</v>
      </c>
      <c r="DV170" s="5">
        <f t="shared" si="402"/>
        <v>9.7808966861598456</v>
      </c>
      <c r="DW170" s="5">
        <f t="shared" si="403"/>
        <v>3.7925925925925927</v>
      </c>
      <c r="DX170" s="5">
        <f t="shared" si="404"/>
        <v>5.9883040935672529</v>
      </c>
      <c r="DY170" s="150">
        <f t="shared" si="405"/>
        <v>0.38775510204081626</v>
      </c>
      <c r="EA170" s="5">
        <f t="shared" si="406"/>
        <v>54.61333333333333</v>
      </c>
      <c r="EB170" s="5">
        <f t="shared" si="407"/>
        <v>7.1111111111111116</v>
      </c>
      <c r="EC170" s="5">
        <f t="shared" si="408"/>
        <v>0.99805068226120863</v>
      </c>
      <c r="ED170" s="5"/>
      <c r="EE170" s="150">
        <f t="shared" si="409"/>
        <v>1.0226230769467259</v>
      </c>
      <c r="EF170" s="150">
        <f t="shared" si="410"/>
        <v>1.2849890174652463</v>
      </c>
      <c r="EG170" s="150">
        <f t="shared" si="411"/>
        <v>0.28723283919811388</v>
      </c>
      <c r="EH170" s="150"/>
      <c r="EI170" s="456">
        <f t="shared" si="412"/>
        <v>2.0915159150079785E-2</v>
      </c>
      <c r="EJ170" s="456">
        <f t="shared" si="413"/>
        <v>8.5500000000000007E-2</v>
      </c>
      <c r="EK170" s="456">
        <f t="shared" si="414"/>
        <v>1.2780014349489796E-2</v>
      </c>
      <c r="EL170" s="456">
        <f t="shared" si="415"/>
        <v>2.2093066406249995E-3</v>
      </c>
      <c r="EM170">
        <f t="shared" si="416"/>
        <v>4.0499999999999998E-3</v>
      </c>
      <c r="EN170" s="144">
        <f t="shared" si="417"/>
        <v>16.830014349489794</v>
      </c>
      <c r="EP170" s="144">
        <f t="shared" si="439"/>
        <v>125.45448014019459</v>
      </c>
      <c r="EQ170" s="150">
        <f t="shared" si="418"/>
        <v>0.504</v>
      </c>
      <c r="ER170" s="150">
        <f t="shared" si="475"/>
        <v>6.6562499999999997E-2</v>
      </c>
      <c r="ES170" s="456"/>
      <c r="EU170" s="144">
        <f t="shared" ref="EU170:EU210" si="497">SUM(EQ170:ET170)*1000</f>
        <v>570.5625</v>
      </c>
      <c r="EV170" s="456">
        <f t="shared" si="421"/>
        <v>3.1372738725119677E-2</v>
      </c>
      <c r="EW170" s="456">
        <f t="shared" si="422"/>
        <v>4.9535903250188966E-2</v>
      </c>
      <c r="EX170" s="456">
        <f t="shared" si="423"/>
        <v>4.1251351956904771E-4</v>
      </c>
      <c r="EY170" s="456">
        <f t="shared" si="424"/>
        <v>7.2113564882065329E-2</v>
      </c>
      <c r="EZ170" s="456"/>
      <c r="FA170" s="538">
        <f t="shared" si="425"/>
        <v>8.2721088435374149E-4</v>
      </c>
      <c r="FB170" s="144">
        <f t="shared" ref="FB170:FB192" si="498">SUM(EV170:FA170)*1000</f>
        <v>154.26193126129675</v>
      </c>
      <c r="FC170" s="150">
        <f t="shared" si="427"/>
        <v>0.85027891140149137</v>
      </c>
      <c r="FD170" s="5">
        <f t="shared" si="428"/>
        <v>4.8</v>
      </c>
      <c r="FE170" s="150">
        <f t="shared" si="429"/>
        <v>0.8495155859145741</v>
      </c>
      <c r="FF170" s="5">
        <f t="shared" si="430"/>
        <v>84.951558591457413</v>
      </c>
      <c r="FG170">
        <f t="shared" si="431"/>
        <v>60</v>
      </c>
      <c r="FI170" s="59">
        <f t="shared" si="432"/>
        <v>-50</v>
      </c>
      <c r="FJ170">
        <f t="shared" si="433"/>
        <v>-50</v>
      </c>
    </row>
    <row r="171" spans="5:166">
      <c r="E171" s="147">
        <v>61</v>
      </c>
      <c r="F171" s="188">
        <f t="shared" si="476"/>
        <v>0.73199999999999998</v>
      </c>
      <c r="G171" s="188">
        <f t="shared" si="444"/>
        <v>0.1525</v>
      </c>
      <c r="H171" s="188">
        <f t="shared" si="445"/>
        <v>3.66</v>
      </c>
      <c r="I171" s="188">
        <f t="shared" si="446"/>
        <v>1.22</v>
      </c>
      <c r="J171" s="465">
        <f t="shared" si="447"/>
        <v>8.8993697633168534</v>
      </c>
      <c r="K171" s="379">
        <f t="shared" si="448"/>
        <v>5.738392525588357</v>
      </c>
      <c r="L171" s="149">
        <f t="shared" si="449"/>
        <v>14.637762288905211</v>
      </c>
      <c r="M171" s="379"/>
      <c r="N171" s="188">
        <f t="shared" si="450"/>
        <v>0.39202662349133854</v>
      </c>
      <c r="O171" s="149">
        <f t="shared" si="451"/>
        <v>6.5414810240887853</v>
      </c>
      <c r="P171" s="149">
        <f t="shared" si="452"/>
        <v>2.9073248995950154</v>
      </c>
      <c r="Q171" s="188">
        <f t="shared" si="322"/>
        <v>1.3082962048177571</v>
      </c>
      <c r="R171" s="188">
        <f t="shared" si="453"/>
        <v>0.81768512801109816</v>
      </c>
      <c r="S171" s="188">
        <f t="shared" si="454"/>
        <v>5</v>
      </c>
      <c r="T171" s="188">
        <f t="shared" si="455"/>
        <v>2.7975316190035349</v>
      </c>
      <c r="U171" s="188">
        <f t="shared" si="326"/>
        <v>3.7722198673460352</v>
      </c>
      <c r="V171" s="188">
        <f t="shared" si="327"/>
        <v>5.8501364760857735</v>
      </c>
      <c r="W171" s="172">
        <f t="shared" si="328"/>
        <v>290.73248995950161</v>
      </c>
      <c r="X171" s="379">
        <f t="shared" si="435"/>
        <v>101.80856456798152</v>
      </c>
      <c r="Z171" s="188">
        <f t="shared" si="329"/>
        <v>0.99999999999999978</v>
      </c>
      <c r="AA171" s="150">
        <f t="shared" si="330"/>
        <v>2.0911779642975254</v>
      </c>
      <c r="AB171" s="150">
        <f t="shared" si="456"/>
        <v>0.22799001619074796</v>
      </c>
      <c r="AC171" s="150"/>
      <c r="AD171" s="150">
        <f t="shared" si="332"/>
        <v>2.0911779642975263</v>
      </c>
      <c r="AE171" s="314">
        <f t="shared" si="457"/>
        <v>700.0838881217793</v>
      </c>
      <c r="AF171" s="456">
        <f t="shared" si="458"/>
        <v>0.30398668825433084</v>
      </c>
      <c r="AH171" s="150">
        <f t="shared" si="459"/>
        <v>1.5244046456927123</v>
      </c>
      <c r="AI171" s="150">
        <f t="shared" si="460"/>
        <v>2.7975316190035349</v>
      </c>
      <c r="AJ171" s="150">
        <f t="shared" si="461"/>
        <v>2.5315049029655814</v>
      </c>
      <c r="AL171" s="314">
        <f t="shared" si="462"/>
        <v>732</v>
      </c>
      <c r="AM171" s="144">
        <f t="shared" si="463"/>
        <v>101.80856456798152</v>
      </c>
      <c r="AO171">
        <f t="shared" si="340"/>
        <v>732</v>
      </c>
      <c r="AP171">
        <f t="shared" si="341"/>
        <v>101.80856456798152</v>
      </c>
      <c r="AR171" s="5">
        <f t="shared" si="443"/>
        <v>9.8223563434318066</v>
      </c>
      <c r="AS171" s="5">
        <f t="shared" si="440"/>
        <v>3.7722198673460352</v>
      </c>
      <c r="AT171" s="5">
        <f t="shared" si="441"/>
        <v>6.0501364760857719</v>
      </c>
      <c r="AU171" s="150">
        <f t="shared" si="442"/>
        <v>0.38404428992932155</v>
      </c>
      <c r="AW171" s="5">
        <f t="shared" si="477"/>
        <v>55.225298857945958</v>
      </c>
      <c r="AX171" s="5">
        <f t="shared" si="478"/>
        <v>7.1907941221283798</v>
      </c>
      <c r="AY171" s="5">
        <f t="shared" si="479"/>
        <v>1.0367541041009671</v>
      </c>
      <c r="AZ171" s="5"/>
      <c r="BA171" s="150">
        <f t="shared" si="480"/>
        <v>1.0009330570821753</v>
      </c>
      <c r="BB171" s="150">
        <f t="shared" si="481"/>
        <v>1.2676201067413602</v>
      </c>
      <c r="BC171" s="150">
        <f t="shared" si="482"/>
        <v>0.28335037680100994</v>
      </c>
      <c r="BD171" s="150"/>
      <c r="BE171" s="456">
        <f t="shared" si="483"/>
        <v>2.0037339695197384E-2</v>
      </c>
      <c r="BF171" s="456">
        <f t="shared" si="464"/>
        <v>7.8169130329250394E-2</v>
      </c>
      <c r="BG171" s="456">
        <f t="shared" si="465"/>
        <v>2.2650801529074657E-2</v>
      </c>
      <c r="BH171" s="456">
        <f t="shared" si="484"/>
        <v>2.181391891465774E-3</v>
      </c>
      <c r="BI171">
        <f t="shared" si="485"/>
        <v>4.0047163934925842E-3</v>
      </c>
      <c r="BJ171" s="144">
        <f t="shared" si="436"/>
        <v>26.655517922567242</v>
      </c>
      <c r="BK171">
        <f t="shared" si="466"/>
        <v>0.10630404356873049</v>
      </c>
      <c r="BL171" s="144">
        <f t="shared" si="437"/>
        <v>127.0433798384808</v>
      </c>
      <c r="BM171" s="150">
        <f t="shared" si="467"/>
        <v>0.45475499999999996</v>
      </c>
      <c r="BN171" s="150">
        <f t="shared" si="468"/>
        <v>9.4740624999999995E-2</v>
      </c>
      <c r="BO171" s="456"/>
      <c r="BQ171" s="144">
        <f t="shared" si="486"/>
        <v>549.4956249999999</v>
      </c>
      <c r="BR171" s="456">
        <f t="shared" si="487"/>
        <v>3.0056009542796074E-2</v>
      </c>
      <c r="BS171" s="456">
        <f t="shared" si="488"/>
        <v>4.8205822050449314E-2</v>
      </c>
      <c r="BT171" s="456">
        <f t="shared" si="489"/>
        <v>4.0143718016637161E-4</v>
      </c>
      <c r="BU171" s="456">
        <f t="shared" si="490"/>
        <v>6.8449187831605335E-2</v>
      </c>
      <c r="BV171" s="456"/>
      <c r="BW171" s="538">
        <f t="shared" si="469"/>
        <v>7.9677247349694191E-4</v>
      </c>
      <c r="BX171" s="144">
        <f t="shared" si="491"/>
        <v>147.90922907851404</v>
      </c>
      <c r="BY171" s="150">
        <f t="shared" si="492"/>
        <v>0.82444823391699484</v>
      </c>
      <c r="BZ171" s="5">
        <f t="shared" si="493"/>
        <v>4.88</v>
      </c>
      <c r="CA171" s="150">
        <f t="shared" si="494"/>
        <v>0.85547274686181485</v>
      </c>
      <c r="CB171" s="5">
        <f t="shared" si="495"/>
        <v>85.547274686181481</v>
      </c>
      <c r="CC171">
        <f t="shared" si="496"/>
        <v>61</v>
      </c>
      <c r="CE171" s="59">
        <f t="shared" si="470"/>
        <v>-50</v>
      </c>
      <c r="CF171">
        <f t="shared" si="471"/>
        <v>-50</v>
      </c>
      <c r="CG171" s="150">
        <f t="shared" si="370"/>
        <v>0.57198633493024886</v>
      </c>
      <c r="CH171" s="150">
        <f t="shared" si="472"/>
        <v>0.31031053622728111</v>
      </c>
      <c r="CI171" s="147">
        <v>61</v>
      </c>
      <c r="CJ171" s="188">
        <f t="shared" si="438"/>
        <v>0.73199999999999998</v>
      </c>
      <c r="CK171" s="188">
        <f t="shared" si="372"/>
        <v>0.1525</v>
      </c>
      <c r="CL171" s="188">
        <f t="shared" si="373"/>
        <v>3.66</v>
      </c>
      <c r="CM171" s="188">
        <f t="shared" si="374"/>
        <v>1.22</v>
      </c>
      <c r="CN171" s="465">
        <f t="shared" si="375"/>
        <v>9</v>
      </c>
      <c r="CO171" s="379">
        <f t="shared" si="473"/>
        <v>5.7</v>
      </c>
      <c r="CP171" s="379">
        <f t="shared" si="474"/>
        <v>14.7</v>
      </c>
      <c r="CQ171" s="379"/>
      <c r="CR171" s="188">
        <f t="shared" si="378"/>
        <v>0.375</v>
      </c>
      <c r="CS171" s="149">
        <f t="shared" si="379"/>
        <v>6.328125</v>
      </c>
      <c r="CT171" s="149">
        <f t="shared" si="380"/>
        <v>2.8125</v>
      </c>
      <c r="CU171" s="188">
        <f t="shared" si="381"/>
        <v>1.265625</v>
      </c>
      <c r="CV171" s="188">
        <f t="shared" si="382"/>
        <v>0.791015625</v>
      </c>
      <c r="CW171" s="188">
        <f t="shared" si="383"/>
        <v>5</v>
      </c>
      <c r="CX171" s="188">
        <f t="shared" si="384"/>
        <v>2.8918518518518517</v>
      </c>
      <c r="CY171" s="188">
        <f t="shared" si="385"/>
        <v>3.8558024691358024</v>
      </c>
      <c r="CZ171" s="188">
        <f t="shared" si="386"/>
        <v>6.0881091617933718</v>
      </c>
      <c r="DA171" s="172">
        <f t="shared" si="387"/>
        <v>290.81632653061229</v>
      </c>
      <c r="DB171" s="379">
        <f t="shared" si="388"/>
        <v>100.56404734024758</v>
      </c>
      <c r="DD171" s="188">
        <f t="shared" si="389"/>
        <v>0.99999999999999978</v>
      </c>
      <c r="DE171" s="150">
        <f t="shared" si="390"/>
        <v>2.1052631578947363</v>
      </c>
      <c r="DF171" s="150">
        <f t="shared" si="391"/>
        <v>0.2295918367346938</v>
      </c>
      <c r="DG171" s="150"/>
      <c r="DH171" s="150">
        <f t="shared" si="392"/>
        <v>2.1052631578947367</v>
      </c>
      <c r="DI171" s="314">
        <f t="shared" si="393"/>
        <v>695.4</v>
      </c>
      <c r="DJ171" s="456">
        <f t="shared" si="394"/>
        <v>0.3061224489795919</v>
      </c>
      <c r="DL171" s="150">
        <f t="shared" si="395"/>
        <v>1.5244046456927123</v>
      </c>
      <c r="DM171" s="150">
        <f t="shared" si="396"/>
        <v>2.8918518518518517</v>
      </c>
      <c r="DN171" s="150">
        <f t="shared" si="397"/>
        <v>2.6013717421124829</v>
      </c>
      <c r="DP171" s="314">
        <f t="shared" si="398"/>
        <v>732</v>
      </c>
      <c r="DQ171" s="144">
        <f t="shared" si="399"/>
        <v>100.56404734024758</v>
      </c>
      <c r="DS171">
        <f t="shared" si="400"/>
        <v>732</v>
      </c>
      <c r="DT171">
        <f t="shared" si="401"/>
        <v>100.56404734024758</v>
      </c>
      <c r="DV171" s="5">
        <f t="shared" si="402"/>
        <v>9.9439116309291737</v>
      </c>
      <c r="DW171" s="5">
        <f t="shared" si="403"/>
        <v>3.8558024691358024</v>
      </c>
      <c r="DX171" s="5">
        <f t="shared" si="404"/>
        <v>6.0881091617933709</v>
      </c>
      <c r="DY171" s="150">
        <f t="shared" si="405"/>
        <v>0.38775510204081637</v>
      </c>
      <c r="EA171" s="5">
        <f t="shared" si="406"/>
        <v>56.448948148148148</v>
      </c>
      <c r="EB171" s="5">
        <f t="shared" si="407"/>
        <v>7.3501234567901221</v>
      </c>
      <c r="EC171" s="5">
        <f t="shared" si="408"/>
        <v>1.0315962746372098</v>
      </c>
      <c r="ED171" s="5"/>
      <c r="EE171" s="150">
        <f t="shared" si="409"/>
        <v>1.039666794895838</v>
      </c>
      <c r="EF171" s="150">
        <f t="shared" si="410"/>
        <v>1.3064055010896669</v>
      </c>
      <c r="EG171" s="150">
        <f t="shared" si="411"/>
        <v>0.29202005318474911</v>
      </c>
      <c r="EH171" s="150"/>
      <c r="EI171" s="456">
        <f t="shared" si="412"/>
        <v>2.161814088817969E-2</v>
      </c>
      <c r="EJ171" s="456">
        <f t="shared" si="413"/>
        <v>8.5500000000000007E-2</v>
      </c>
      <c r="EK171" s="456">
        <f t="shared" si="414"/>
        <v>1.2570505917530946E-2</v>
      </c>
      <c r="EL171" s="456">
        <f t="shared" si="415"/>
        <v>2.1730884989754097E-3</v>
      </c>
      <c r="EM171">
        <f t="shared" si="416"/>
        <v>4.0499999999999998E-3</v>
      </c>
      <c r="EN171" s="144">
        <f t="shared" si="417"/>
        <v>16.620505917530949</v>
      </c>
      <c r="EP171" s="144">
        <f t="shared" si="439"/>
        <v>125.91173530468605</v>
      </c>
      <c r="EQ171" s="150">
        <f t="shared" si="418"/>
        <v>0.51239999999999997</v>
      </c>
      <c r="ER171" s="150">
        <f t="shared" si="475"/>
        <v>6.7671874999999992E-2</v>
      </c>
      <c r="ES171" s="456"/>
      <c r="EU171" s="144">
        <f t="shared" si="497"/>
        <v>580.07187499999998</v>
      </c>
      <c r="EV171" s="456">
        <f t="shared" si="421"/>
        <v>3.2427211332269536E-2</v>
      </c>
      <c r="EW171" s="456">
        <f t="shared" si="422"/>
        <v>5.120085999832031E-2</v>
      </c>
      <c r="EX171" s="456">
        <f t="shared" si="423"/>
        <v>4.2637855731011851E-4</v>
      </c>
      <c r="EY171" s="456">
        <f t="shared" si="424"/>
        <v>7.2113564882065453E-2</v>
      </c>
      <c r="EZ171" s="456"/>
      <c r="FA171" s="538">
        <f t="shared" si="425"/>
        <v>8.4099773242630386E-4</v>
      </c>
      <c r="FB171" s="144">
        <f t="shared" si="498"/>
        <v>157.00901250239173</v>
      </c>
      <c r="FC171" s="150">
        <f t="shared" si="427"/>
        <v>0.86299262280707767</v>
      </c>
      <c r="FD171" s="5">
        <f t="shared" si="428"/>
        <v>4.88</v>
      </c>
      <c r="FE171" s="150">
        <f t="shared" si="429"/>
        <v>0.84973119774176864</v>
      </c>
      <c r="FF171" s="5">
        <f t="shared" si="430"/>
        <v>84.973119774176865</v>
      </c>
      <c r="FG171">
        <f t="shared" si="431"/>
        <v>61</v>
      </c>
      <c r="FI171" s="59">
        <f t="shared" si="432"/>
        <v>-50</v>
      </c>
      <c r="FJ171">
        <f t="shared" si="433"/>
        <v>-50</v>
      </c>
    </row>
    <row r="172" spans="5:166">
      <c r="E172" s="147">
        <v>62</v>
      </c>
      <c r="F172" s="188">
        <f t="shared" si="476"/>
        <v>0.74399999999999999</v>
      </c>
      <c r="G172" s="188">
        <f t="shared" si="444"/>
        <v>0.155</v>
      </c>
      <c r="H172" s="188">
        <f t="shared" si="445"/>
        <v>3.7199999999999998</v>
      </c>
      <c r="I172" s="188">
        <f t="shared" si="446"/>
        <v>1.24</v>
      </c>
      <c r="J172" s="465">
        <f t="shared" si="447"/>
        <v>8.8977200873056539</v>
      </c>
      <c r="K172" s="379">
        <f t="shared" si="448"/>
        <v>5.7390219112537402</v>
      </c>
      <c r="L172" s="149">
        <f t="shared" si="449"/>
        <v>14.636741998559394</v>
      </c>
      <c r="M172" s="379"/>
      <c r="N172" s="188">
        <f t="shared" si="450"/>
        <v>0.39209695107139264</v>
      </c>
      <c r="O172" s="149">
        <f t="shared" si="451"/>
        <v>6.5414417207235616</v>
      </c>
      <c r="P172" s="149">
        <f t="shared" si="452"/>
        <v>2.9073074314326939</v>
      </c>
      <c r="Q172" s="188">
        <f t="shared" si="322"/>
        <v>1.3082883441447124</v>
      </c>
      <c r="R172" s="188">
        <f t="shared" si="453"/>
        <v>0.81768021509044519</v>
      </c>
      <c r="S172" s="188">
        <f t="shared" si="454"/>
        <v>5</v>
      </c>
      <c r="T172" s="188">
        <f t="shared" si="455"/>
        <v>2.8434098772254472</v>
      </c>
      <c r="U172" s="188">
        <f t="shared" si="326"/>
        <v>3.8347934293174228</v>
      </c>
      <c r="V172" s="188">
        <f t="shared" si="327"/>
        <v>5.9454239858881026</v>
      </c>
      <c r="W172" s="172">
        <f t="shared" si="328"/>
        <v>290.73074314326936</v>
      </c>
      <c r="X172" s="379">
        <f t="shared" si="435"/>
        <v>100.19821797433326</v>
      </c>
      <c r="Z172" s="188">
        <f t="shared" si="329"/>
        <v>0.99999999999999978</v>
      </c>
      <c r="AA172" s="150">
        <f t="shared" si="330"/>
        <v>2.0909486294988704</v>
      </c>
      <c r="AB172" s="150">
        <f t="shared" si="456"/>
        <v>0.22796364334822763</v>
      </c>
      <c r="AC172" s="150"/>
      <c r="AD172" s="150">
        <f t="shared" si="332"/>
        <v>2.0909486294988713</v>
      </c>
      <c r="AE172" s="314">
        <f t="shared" si="457"/>
        <v>711.63871699546371</v>
      </c>
      <c r="AF172" s="456">
        <f t="shared" si="458"/>
        <v>0.30395152446430374</v>
      </c>
      <c r="AH172" s="150">
        <f t="shared" si="459"/>
        <v>1.5368489717290903</v>
      </c>
      <c r="AI172" s="150">
        <f t="shared" si="460"/>
        <v>2.8434098772254472</v>
      </c>
      <c r="AJ172" s="150">
        <f t="shared" si="461"/>
        <v>2.5654887979447758</v>
      </c>
      <c r="AL172" s="314">
        <f t="shared" si="462"/>
        <v>744</v>
      </c>
      <c r="AM172" s="144">
        <f t="shared" si="463"/>
        <v>100.19821797433326</v>
      </c>
      <c r="AO172">
        <f t="shared" si="340"/>
        <v>744</v>
      </c>
      <c r="AP172">
        <f t="shared" si="341"/>
        <v>100.19821797433326</v>
      </c>
      <c r="AR172" s="5">
        <f t="shared" si="443"/>
        <v>9.9802174152055247</v>
      </c>
      <c r="AS172" s="5">
        <f t="shared" si="440"/>
        <v>3.8347934293174228</v>
      </c>
      <c r="AT172" s="5">
        <f t="shared" si="441"/>
        <v>6.1454239858881019</v>
      </c>
      <c r="AU172" s="150">
        <f t="shared" si="442"/>
        <v>0.38423946791728808</v>
      </c>
      <c r="AW172" s="5">
        <f t="shared" si="477"/>
        <v>57.061726228243252</v>
      </c>
      <c r="AX172" s="5">
        <f t="shared" si="478"/>
        <v>7.4299122693025064</v>
      </c>
      <c r="AY172" s="5">
        <f t="shared" si="479"/>
        <v>1.0705447108542356</v>
      </c>
      <c r="AZ172" s="5"/>
      <c r="BA172" s="150">
        <f t="shared" si="480"/>
        <v>1.0176063923967325</v>
      </c>
      <c r="BB172" s="150">
        <f t="shared" si="481"/>
        <v>1.2882043601286193</v>
      </c>
      <c r="BC172" s="150">
        <f t="shared" si="482"/>
        <v>0.28795156285227963</v>
      </c>
      <c r="BD172" s="150"/>
      <c r="BE172" s="456">
        <f t="shared" si="483"/>
        <v>2.0710455396933853E-2</v>
      </c>
      <c r="BF172" s="456">
        <f t="shared" si="464"/>
        <v>7.818890931492159E-2</v>
      </c>
      <c r="BG172" s="456">
        <f t="shared" si="465"/>
        <v>2.2288392419561386E-2</v>
      </c>
      <c r="BH172" s="456">
        <f t="shared" si="484"/>
        <v>2.1465886705633523E-3</v>
      </c>
      <c r="BI172">
        <f t="shared" si="485"/>
        <v>4.0039740392875441E-3</v>
      </c>
      <c r="BJ172" s="144">
        <f t="shared" si="436"/>
        <v>26.292366458848928</v>
      </c>
      <c r="BK172">
        <f t="shared" si="466"/>
        <v>0.10716511488726939</v>
      </c>
      <c r="BL172" s="144">
        <f t="shared" si="437"/>
        <v>127.33831984126773</v>
      </c>
      <c r="BM172" s="150">
        <f t="shared" si="467"/>
        <v>0.4622099999999999</v>
      </c>
      <c r="BN172" s="150">
        <f t="shared" si="468"/>
        <v>9.6293749999999997E-2</v>
      </c>
      <c r="BO172" s="456"/>
      <c r="BQ172" s="144">
        <f t="shared" si="486"/>
        <v>558.50374999999985</v>
      </c>
      <c r="BR172" s="456">
        <f t="shared" si="487"/>
        <v>3.1065683095400778E-2</v>
      </c>
      <c r="BS172" s="456">
        <f t="shared" si="488"/>
        <v>4.978411420363156E-2</v>
      </c>
      <c r="BT172" s="456">
        <f t="shared" si="489"/>
        <v>4.1458051274535177E-4</v>
      </c>
      <c r="BU172" s="456">
        <f t="shared" si="490"/>
        <v>6.8504431688277509E-2</v>
      </c>
      <c r="BV172" s="456"/>
      <c r="BW172" s="538">
        <f t="shared" si="469"/>
        <v>8.101005612949103E-4</v>
      </c>
      <c r="BX172" s="144">
        <f t="shared" si="491"/>
        <v>150.57891006135014</v>
      </c>
      <c r="BY172" s="150">
        <f t="shared" si="492"/>
        <v>0.83642097990261777</v>
      </c>
      <c r="BZ172" s="5">
        <f t="shared" si="493"/>
        <v>4.96</v>
      </c>
      <c r="CA172" s="150">
        <f t="shared" si="494"/>
        <v>0.85570044294528269</v>
      </c>
      <c r="CB172" s="5">
        <f t="shared" si="495"/>
        <v>85.570044294528273</v>
      </c>
      <c r="CC172">
        <f t="shared" si="496"/>
        <v>62</v>
      </c>
      <c r="CE172" s="59">
        <f t="shared" si="470"/>
        <v>-50</v>
      </c>
      <c r="CF172">
        <f t="shared" si="471"/>
        <v>-50</v>
      </c>
      <c r="CG172" s="150">
        <f t="shared" si="370"/>
        <v>0.57198633493024875</v>
      </c>
      <c r="CH172" s="150">
        <f t="shared" si="472"/>
        <v>0.31031053622728111</v>
      </c>
      <c r="CI172" s="147">
        <v>62</v>
      </c>
      <c r="CJ172" s="188">
        <f t="shared" si="438"/>
        <v>0.74399999999999999</v>
      </c>
      <c r="CK172" s="188">
        <f t="shared" si="372"/>
        <v>0.155</v>
      </c>
      <c r="CL172" s="188">
        <f t="shared" si="373"/>
        <v>3.7199999999999998</v>
      </c>
      <c r="CM172" s="188">
        <f t="shared" si="374"/>
        <v>1.24</v>
      </c>
      <c r="CN172" s="465">
        <f t="shared" si="375"/>
        <v>9</v>
      </c>
      <c r="CO172" s="379">
        <f t="shared" si="473"/>
        <v>5.7</v>
      </c>
      <c r="CP172" s="379">
        <f t="shared" si="474"/>
        <v>14.7</v>
      </c>
      <c r="CQ172" s="379"/>
      <c r="CR172" s="188">
        <f t="shared" si="378"/>
        <v>0.375</v>
      </c>
      <c r="CS172" s="149">
        <f t="shared" si="379"/>
        <v>6.328125</v>
      </c>
      <c r="CT172" s="149">
        <f t="shared" si="380"/>
        <v>2.8125</v>
      </c>
      <c r="CU172" s="188">
        <f t="shared" si="381"/>
        <v>1.265625</v>
      </c>
      <c r="CV172" s="188">
        <f t="shared" si="382"/>
        <v>0.791015625</v>
      </c>
      <c r="CW172" s="188">
        <f t="shared" si="383"/>
        <v>5</v>
      </c>
      <c r="CX172" s="188">
        <f t="shared" si="384"/>
        <v>2.9392592592592592</v>
      </c>
      <c r="CY172" s="188">
        <f t="shared" si="385"/>
        <v>3.9190123456790125</v>
      </c>
      <c r="CZ172" s="188">
        <f t="shared" si="386"/>
        <v>6.1879142300194925</v>
      </c>
      <c r="DA172" s="172">
        <f t="shared" si="387"/>
        <v>290.81632653061229</v>
      </c>
      <c r="DB172" s="379">
        <f t="shared" si="388"/>
        <v>98.942046576695191</v>
      </c>
      <c r="DD172" s="188">
        <f t="shared" si="389"/>
        <v>0.99999999999999978</v>
      </c>
      <c r="DE172" s="150">
        <f t="shared" si="390"/>
        <v>2.1052631578947363</v>
      </c>
      <c r="DF172" s="150">
        <f t="shared" si="391"/>
        <v>0.2295918367346938</v>
      </c>
      <c r="DG172" s="150"/>
      <c r="DH172" s="150">
        <f t="shared" si="392"/>
        <v>2.1052631578947367</v>
      </c>
      <c r="DI172" s="314">
        <f t="shared" si="393"/>
        <v>706.80000000000007</v>
      </c>
      <c r="DJ172" s="456">
        <f t="shared" si="394"/>
        <v>0.3061224489795919</v>
      </c>
      <c r="DL172" s="150">
        <f t="shared" si="395"/>
        <v>1.5368489717290903</v>
      </c>
      <c r="DM172" s="150">
        <f t="shared" si="396"/>
        <v>2.9392592592592592</v>
      </c>
      <c r="DN172" s="150">
        <f t="shared" si="397"/>
        <v>2.6364883401920438</v>
      </c>
      <c r="DP172" s="314">
        <f t="shared" si="398"/>
        <v>744</v>
      </c>
      <c r="DQ172" s="144">
        <f t="shared" si="399"/>
        <v>98.942046576695191</v>
      </c>
      <c r="DS172">
        <f t="shared" si="400"/>
        <v>744</v>
      </c>
      <c r="DT172">
        <f t="shared" si="401"/>
        <v>98.942046576695191</v>
      </c>
      <c r="DV172" s="5">
        <f t="shared" si="402"/>
        <v>10.106926575698507</v>
      </c>
      <c r="DW172" s="5">
        <f t="shared" si="403"/>
        <v>3.9190123456790125</v>
      </c>
      <c r="DX172" s="5">
        <f t="shared" si="404"/>
        <v>6.1879142300194943</v>
      </c>
      <c r="DY172" s="150">
        <f t="shared" si="405"/>
        <v>0.38775510204081626</v>
      </c>
      <c r="EA172" s="5">
        <f t="shared" si="406"/>
        <v>58.314903703703706</v>
      </c>
      <c r="EB172" s="5">
        <f t="shared" si="407"/>
        <v>7.593086419753087</v>
      </c>
      <c r="EC172" s="5">
        <f t="shared" si="408"/>
        <v>1.0656963396144683</v>
      </c>
      <c r="ED172" s="5"/>
      <c r="EE172" s="150">
        <f t="shared" si="409"/>
        <v>1.0567105128449499</v>
      </c>
      <c r="EF172" s="150">
        <f t="shared" si="410"/>
        <v>1.3278219847140877</v>
      </c>
      <c r="EG172" s="150">
        <f t="shared" si="411"/>
        <v>0.29680726717138434</v>
      </c>
      <c r="EH172" s="150"/>
      <c r="EI172" s="456">
        <f t="shared" si="412"/>
        <v>2.2332742159140741E-2</v>
      </c>
      <c r="EJ172" s="456">
        <f t="shared" si="413"/>
        <v>8.5500000000000007E-2</v>
      </c>
      <c r="EK172" s="456">
        <f t="shared" si="414"/>
        <v>1.2367755822086898E-2</v>
      </c>
      <c r="EL172" s="456">
        <f t="shared" si="415"/>
        <v>2.138038684475806E-3</v>
      </c>
      <c r="EM172">
        <f t="shared" si="416"/>
        <v>4.0499999999999998E-3</v>
      </c>
      <c r="EN172" s="144">
        <f t="shared" si="417"/>
        <v>16.417755822086896</v>
      </c>
      <c r="EP172" s="144">
        <f t="shared" si="439"/>
        <v>126.38853666570346</v>
      </c>
      <c r="EQ172" s="150">
        <f t="shared" si="418"/>
        <v>0.52079999999999993</v>
      </c>
      <c r="ER172" s="150">
        <f t="shared" si="475"/>
        <v>6.8781250000000002E-2</v>
      </c>
      <c r="ES172" s="456"/>
      <c r="EU172" s="144">
        <f t="shared" si="497"/>
        <v>589.58124999999995</v>
      </c>
      <c r="EV172" s="456">
        <f t="shared" si="421"/>
        <v>3.349911323871111E-2</v>
      </c>
      <c r="EW172" s="456">
        <f t="shared" si="422"/>
        <v>5.289333669270177E-2</v>
      </c>
      <c r="EX172" s="456">
        <f t="shared" si="423"/>
        <v>4.4047276922872761E-4</v>
      </c>
      <c r="EY172" s="456">
        <f t="shared" si="424"/>
        <v>7.2113564882065523E-2</v>
      </c>
      <c r="EZ172" s="456"/>
      <c r="FA172" s="538">
        <f t="shared" si="425"/>
        <v>8.5478458049886635E-4</v>
      </c>
      <c r="FB172" s="144">
        <f t="shared" si="498"/>
        <v>159.80127216320599</v>
      </c>
      <c r="FC172" s="150">
        <f t="shared" si="427"/>
        <v>0.87577105882890949</v>
      </c>
      <c r="FD172" s="5">
        <f t="shared" si="428"/>
        <v>4.96</v>
      </c>
      <c r="FE172" s="150">
        <f t="shared" si="429"/>
        <v>0.84993053188679168</v>
      </c>
      <c r="FF172" s="5">
        <f t="shared" si="430"/>
        <v>84.99305318867917</v>
      </c>
      <c r="FG172">
        <f t="shared" si="431"/>
        <v>62</v>
      </c>
      <c r="FI172" s="59">
        <f t="shared" si="432"/>
        <v>-50</v>
      </c>
      <c r="FJ172">
        <f t="shared" si="433"/>
        <v>-50</v>
      </c>
    </row>
    <row r="173" spans="5:166">
      <c r="E173" s="147">
        <v>63</v>
      </c>
      <c r="F173" s="188">
        <f t="shared" si="476"/>
        <v>0.75600000000000001</v>
      </c>
      <c r="G173" s="188">
        <f t="shared" si="444"/>
        <v>0.1575</v>
      </c>
      <c r="H173" s="188">
        <f t="shared" si="445"/>
        <v>3.7800000000000002</v>
      </c>
      <c r="I173" s="188">
        <f t="shared" si="446"/>
        <v>1.26</v>
      </c>
      <c r="J173" s="465">
        <f t="shared" si="447"/>
        <v>8.8960704112944544</v>
      </c>
      <c r="K173" s="379">
        <f t="shared" si="448"/>
        <v>5.7396512969191225</v>
      </c>
      <c r="L173" s="149">
        <f t="shared" si="449"/>
        <v>14.635721708213577</v>
      </c>
      <c r="M173" s="379"/>
      <c r="N173" s="188">
        <f t="shared" si="450"/>
        <v>0.3921672884568464</v>
      </c>
      <c r="O173" s="149">
        <f t="shared" si="451"/>
        <v>6.5414021458472398</v>
      </c>
      <c r="P173" s="149">
        <f t="shared" si="452"/>
        <v>2.9072898425987734</v>
      </c>
      <c r="Q173" s="188">
        <f t="shared" si="322"/>
        <v>1.3082804291694479</v>
      </c>
      <c r="R173" s="188">
        <f t="shared" si="453"/>
        <v>0.81767526823090497</v>
      </c>
      <c r="S173" s="188">
        <f t="shared" si="454"/>
        <v>5</v>
      </c>
      <c r="T173" s="188">
        <f t="shared" si="455"/>
        <v>2.8892888066816869</v>
      </c>
      <c r="U173" s="188">
        <f t="shared" si="326"/>
        <v>3.89739110384753</v>
      </c>
      <c r="V173" s="188">
        <f t="shared" si="327"/>
        <v>6.0406920014097159</v>
      </c>
      <c r="W173" s="172">
        <f t="shared" si="328"/>
        <v>290.72898425987734</v>
      </c>
      <c r="X173" s="379">
        <f t="shared" si="435"/>
        <v>98.637976195069456</v>
      </c>
      <c r="Z173" s="188">
        <f t="shared" si="329"/>
        <v>1</v>
      </c>
      <c r="AA173" s="150">
        <f t="shared" si="330"/>
        <v>2.0907193449959673</v>
      </c>
      <c r="AB173" s="150">
        <f t="shared" si="456"/>
        <v>0.22793726682868262</v>
      </c>
      <c r="AC173" s="150"/>
      <c r="AD173" s="150">
        <f t="shared" si="332"/>
        <v>2.0907193449959673</v>
      </c>
      <c r="AE173" s="314">
        <f t="shared" si="457"/>
        <v>723.1960634118094</v>
      </c>
      <c r="AF173" s="456">
        <f t="shared" si="458"/>
        <v>0.30391635577157677</v>
      </c>
      <c r="AH173" s="150">
        <f t="shared" si="459"/>
        <v>1.5491933384829668</v>
      </c>
      <c r="AI173" s="150">
        <f t="shared" si="460"/>
        <v>2.8892888066816869</v>
      </c>
      <c r="AJ173" s="150">
        <f t="shared" si="461"/>
        <v>2.5994731901345829</v>
      </c>
      <c r="AL173" s="314">
        <f t="shared" si="462"/>
        <v>756</v>
      </c>
      <c r="AM173" s="144">
        <f t="shared" si="463"/>
        <v>98.637976195069456</v>
      </c>
      <c r="AO173">
        <f t="shared" si="340"/>
        <v>756</v>
      </c>
      <c r="AP173">
        <f t="shared" si="341"/>
        <v>98.637976195069456</v>
      </c>
      <c r="AR173" s="5">
        <f t="shared" si="443"/>
        <v>10.138083105257245</v>
      </c>
      <c r="AS173" s="5">
        <f t="shared" si="440"/>
        <v>3.89739110384753</v>
      </c>
      <c r="AT173" s="5">
        <f t="shared" si="441"/>
        <v>6.2406920014097143</v>
      </c>
      <c r="AU173" s="150">
        <f t="shared" si="442"/>
        <v>0.38443077092418815</v>
      </c>
      <c r="AW173" s="5">
        <f t="shared" si="477"/>
        <v>58.92855349017465</v>
      </c>
      <c r="AX173" s="5">
        <f t="shared" si="478"/>
        <v>7.6729887356998248</v>
      </c>
      <c r="AY173" s="5">
        <f t="shared" si="479"/>
        <v>1.1048799579802431</v>
      </c>
      <c r="AZ173" s="5"/>
      <c r="BA173" s="150">
        <f t="shared" si="480"/>
        <v>1.0342830298837713</v>
      </c>
      <c r="BB173" s="150">
        <f t="shared" si="481"/>
        <v>1.3087864163286824</v>
      </c>
      <c r="BC173" s="150">
        <f t="shared" si="482"/>
        <v>0.29255225776758786</v>
      </c>
      <c r="BD173" s="150"/>
      <c r="BE173" s="456">
        <f t="shared" si="483"/>
        <v>2.1394827718111086E-2</v>
      </c>
      <c r="BF173" s="456">
        <f t="shared" si="464"/>
        <v>7.8207881738242321E-2</v>
      </c>
      <c r="BG173" s="456">
        <f t="shared" si="465"/>
        <v>2.1937259536473103E-2</v>
      </c>
      <c r="BH173" s="456">
        <f t="shared" si="484"/>
        <v>2.1128683568316332E-3</v>
      </c>
      <c r="BI173">
        <f t="shared" si="485"/>
        <v>4.0032316850825041E-3</v>
      </c>
      <c r="BJ173" s="144">
        <f t="shared" si="436"/>
        <v>25.940491221555607</v>
      </c>
      <c r="BK173">
        <f t="shared" si="466"/>
        <v>0.10804140014614498</v>
      </c>
      <c r="BL173" s="144">
        <f t="shared" si="437"/>
        <v>127.65606903474067</v>
      </c>
      <c r="BM173" s="150">
        <f t="shared" si="467"/>
        <v>0.469665</v>
      </c>
      <c r="BN173" s="150">
        <f t="shared" si="468"/>
        <v>9.7846874999999986E-2</v>
      </c>
      <c r="BO173" s="456"/>
      <c r="BQ173" s="144">
        <f t="shared" si="486"/>
        <v>567.51187500000003</v>
      </c>
      <c r="BR173" s="456">
        <f t="shared" si="487"/>
        <v>3.2092241577166628E-2</v>
      </c>
      <c r="BS173" s="456">
        <f t="shared" si="488"/>
        <v>5.1387656506994256E-2</v>
      </c>
      <c r="BT173" s="456">
        <f t="shared" si="489"/>
        <v>4.2793411762456589E-4</v>
      </c>
      <c r="BU173" s="456">
        <f t="shared" si="490"/>
        <v>6.8557942377329942E-2</v>
      </c>
      <c r="BV173" s="456"/>
      <c r="BW173" s="538">
        <f t="shared" si="469"/>
        <v>8.2342881999922831E-4</v>
      </c>
      <c r="BX173" s="144">
        <f t="shared" si="491"/>
        <v>153.28920339911463</v>
      </c>
      <c r="BY173" s="150">
        <f t="shared" si="492"/>
        <v>0.84845714743385525</v>
      </c>
      <c r="BZ173" s="5">
        <f t="shared" si="493"/>
        <v>5.04</v>
      </c>
      <c r="CA173" s="150">
        <f t="shared" si="494"/>
        <v>0.85591180742418982</v>
      </c>
      <c r="CB173" s="5">
        <f t="shared" si="495"/>
        <v>85.591180742418985</v>
      </c>
      <c r="CC173">
        <f t="shared" si="496"/>
        <v>63</v>
      </c>
      <c r="CE173" s="59">
        <f t="shared" si="470"/>
        <v>-50</v>
      </c>
      <c r="CF173">
        <f t="shared" si="471"/>
        <v>-50</v>
      </c>
      <c r="CG173" s="150">
        <f t="shared" si="370"/>
        <v>0.57198633493024875</v>
      </c>
      <c r="CH173" s="150">
        <f t="shared" si="472"/>
        <v>0.31031053622728105</v>
      </c>
      <c r="CI173" s="147">
        <v>63</v>
      </c>
      <c r="CJ173" s="188">
        <f t="shared" si="438"/>
        <v>0.75600000000000001</v>
      </c>
      <c r="CK173" s="188">
        <f t="shared" si="372"/>
        <v>0.1575</v>
      </c>
      <c r="CL173" s="188">
        <f t="shared" si="373"/>
        <v>3.7800000000000002</v>
      </c>
      <c r="CM173" s="188">
        <f t="shared" si="374"/>
        <v>1.26</v>
      </c>
      <c r="CN173" s="465">
        <f t="shared" si="375"/>
        <v>9</v>
      </c>
      <c r="CO173" s="379">
        <f t="shared" si="473"/>
        <v>5.7</v>
      </c>
      <c r="CP173" s="379">
        <f t="shared" si="474"/>
        <v>14.7</v>
      </c>
      <c r="CQ173" s="379"/>
      <c r="CR173" s="188">
        <f t="shared" si="378"/>
        <v>0.375</v>
      </c>
      <c r="CS173" s="149">
        <f t="shared" si="379"/>
        <v>6.328125</v>
      </c>
      <c r="CT173" s="149">
        <f t="shared" si="380"/>
        <v>2.8125</v>
      </c>
      <c r="CU173" s="188">
        <f t="shared" si="381"/>
        <v>1.265625</v>
      </c>
      <c r="CV173" s="188">
        <f t="shared" si="382"/>
        <v>0.791015625</v>
      </c>
      <c r="CW173" s="188">
        <f t="shared" si="383"/>
        <v>5</v>
      </c>
      <c r="CX173" s="188">
        <f t="shared" si="384"/>
        <v>2.9866666666666668</v>
      </c>
      <c r="CY173" s="188">
        <f t="shared" si="385"/>
        <v>3.9822222222222226</v>
      </c>
      <c r="CZ173" s="188">
        <f t="shared" si="386"/>
        <v>6.287719298245614</v>
      </c>
      <c r="DA173" s="172">
        <f t="shared" si="387"/>
        <v>290.81632653061229</v>
      </c>
      <c r="DB173" s="379">
        <f t="shared" si="388"/>
        <v>97.371537900874628</v>
      </c>
      <c r="DD173" s="188">
        <f t="shared" si="389"/>
        <v>0.99999999999999978</v>
      </c>
      <c r="DE173" s="150">
        <f t="shared" si="390"/>
        <v>2.1052631578947363</v>
      </c>
      <c r="DF173" s="150">
        <f t="shared" si="391"/>
        <v>0.2295918367346938</v>
      </c>
      <c r="DG173" s="150"/>
      <c r="DH173" s="150">
        <f t="shared" si="392"/>
        <v>2.1052631578947367</v>
      </c>
      <c r="DI173" s="314">
        <f t="shared" si="393"/>
        <v>718.20000000000016</v>
      </c>
      <c r="DJ173" s="456">
        <f t="shared" si="394"/>
        <v>0.3061224489795919</v>
      </c>
      <c r="DL173" s="150">
        <f t="shared" si="395"/>
        <v>1.5491933384829668</v>
      </c>
      <c r="DM173" s="150">
        <f t="shared" si="396"/>
        <v>2.9866666666666668</v>
      </c>
      <c r="DN173" s="150">
        <f t="shared" si="397"/>
        <v>2.6716049382716047</v>
      </c>
      <c r="DP173" s="314">
        <f t="shared" si="398"/>
        <v>756</v>
      </c>
      <c r="DQ173" s="144">
        <f t="shared" si="399"/>
        <v>97.371537900874628</v>
      </c>
      <c r="DS173">
        <f t="shared" si="400"/>
        <v>756</v>
      </c>
      <c r="DT173">
        <f t="shared" si="401"/>
        <v>97.371537900874628</v>
      </c>
      <c r="DV173" s="5">
        <f t="shared" si="402"/>
        <v>10.269941520467837</v>
      </c>
      <c r="DW173" s="5">
        <f t="shared" si="403"/>
        <v>3.9822222222222226</v>
      </c>
      <c r="DX173" s="5">
        <f t="shared" si="404"/>
        <v>6.287719298245614</v>
      </c>
      <c r="DY173" s="150">
        <f t="shared" si="405"/>
        <v>0.38775510204081631</v>
      </c>
      <c r="EA173" s="5">
        <f t="shared" si="406"/>
        <v>60.211200000000005</v>
      </c>
      <c r="EB173" s="5">
        <f t="shared" si="407"/>
        <v>7.8400000000000016</v>
      </c>
      <c r="EC173" s="5">
        <f t="shared" si="408"/>
        <v>1.1003508771929824</v>
      </c>
      <c r="ED173" s="5"/>
      <c r="EE173" s="150">
        <f t="shared" si="409"/>
        <v>1.0737542307940624</v>
      </c>
      <c r="EF173" s="150">
        <f t="shared" si="410"/>
        <v>1.3492384683385086</v>
      </c>
      <c r="EG173" s="150">
        <f t="shared" si="411"/>
        <v>0.30159448115801957</v>
      </c>
      <c r="EH173" s="150"/>
      <c r="EI173" s="456">
        <f t="shared" si="412"/>
        <v>2.3058962962962976E-2</v>
      </c>
      <c r="EJ173" s="456">
        <f t="shared" si="413"/>
        <v>8.5499999999999979E-2</v>
      </c>
      <c r="EK173" s="456">
        <f t="shared" si="414"/>
        <v>1.2171442237609329E-2</v>
      </c>
      <c r="EL173" s="456">
        <f t="shared" si="415"/>
        <v>2.1041015624999994E-3</v>
      </c>
      <c r="EM173">
        <f t="shared" si="416"/>
        <v>4.0499999999999998E-3</v>
      </c>
      <c r="EN173" s="144">
        <f t="shared" si="417"/>
        <v>16.221442237609331</v>
      </c>
      <c r="EP173" s="144">
        <f t="shared" si="439"/>
        <v>126.88450676307228</v>
      </c>
      <c r="EQ173" s="150">
        <f t="shared" si="418"/>
        <v>0.5292</v>
      </c>
      <c r="ER173" s="150">
        <f t="shared" si="475"/>
        <v>6.9890624999999998E-2</v>
      </c>
      <c r="ES173" s="456"/>
      <c r="EU173" s="144">
        <f t="shared" si="497"/>
        <v>599.09062499999993</v>
      </c>
      <c r="EV173" s="456">
        <f t="shared" si="421"/>
        <v>3.4588444444444463E-2</v>
      </c>
      <c r="EW173" s="456">
        <f t="shared" si="422"/>
        <v>5.4613333333333333E-2</v>
      </c>
      <c r="EX173" s="456">
        <f t="shared" si="423"/>
        <v>4.5479615532487507E-4</v>
      </c>
      <c r="EY173" s="456">
        <f t="shared" si="424"/>
        <v>7.2113564882065564E-2</v>
      </c>
      <c r="EZ173" s="456"/>
      <c r="FA173" s="538">
        <f t="shared" si="425"/>
        <v>8.6857142857142873E-4</v>
      </c>
      <c r="FB173" s="144">
        <f t="shared" si="498"/>
        <v>162.63871024373967</v>
      </c>
      <c r="FC173" s="150">
        <f t="shared" si="427"/>
        <v>0.88861384200681182</v>
      </c>
      <c r="FD173" s="5">
        <f t="shared" si="428"/>
        <v>5.04</v>
      </c>
      <c r="FE173" s="150">
        <f t="shared" si="429"/>
        <v>0.85011440014686135</v>
      </c>
      <c r="FF173" s="5">
        <f t="shared" si="430"/>
        <v>85.01144001468613</v>
      </c>
      <c r="FG173">
        <f t="shared" si="431"/>
        <v>63</v>
      </c>
      <c r="FI173" s="59">
        <f t="shared" si="432"/>
        <v>-50</v>
      </c>
      <c r="FJ173">
        <f t="shared" si="433"/>
        <v>-50</v>
      </c>
    </row>
    <row r="174" spans="5:166">
      <c r="E174" s="147">
        <v>64</v>
      </c>
      <c r="F174" s="188">
        <f t="shared" si="476"/>
        <v>0.76800000000000002</v>
      </c>
      <c r="G174" s="188">
        <f t="shared" ref="G174:G210" si="499">IF(PLOT_TYPE=1, E174/100*Iout2, min_I*EXP(Q174*rr/100))</f>
        <v>0.16</v>
      </c>
      <c r="H174" s="188">
        <f t="shared" ref="H174:H210" si="500">F174*Vout</f>
        <v>3.84</v>
      </c>
      <c r="I174" s="188">
        <f t="shared" ref="I174:I210" si="501">Vout2*G174</f>
        <v>1.28</v>
      </c>
      <c r="J174" s="465">
        <f t="shared" ref="J174:J210" si="502">VIN_min-(F174/CG174/Nps+G174/CH174/(Nps/Nsec1sec2))*(Rdcr_pri+RON/1000)</f>
        <v>8.8944207352832567</v>
      </c>
      <c r="K174" s="379">
        <f t="shared" ref="K174:K210" si="503">MAX((S174+Vfwd2+Rdcr_sec*F174/CG174)*Nps,(Vout2+Vfwd22+Rdcr_sec2*G174/CH174)*Nps/Nsec1sec2)</f>
        <v>5.7402806825845056</v>
      </c>
      <c r="L174" s="149">
        <f t="shared" ref="L174:L210" si="504">MAX((Vout+Vfwd2+F174/CG174*Rdcr_sec)*Nps+J174, (Vout2+Vfwd22+G174/CH174*Rdcr_sec2)*Nps/Nsec1sec2+J174)</f>
        <v>14.634701417867763</v>
      </c>
      <c r="M174" s="379"/>
      <c r="N174" s="188">
        <f t="shared" ref="N174:N210" si="505">MAX((Vout+Vfwd2+F174/CG174*Rdcr_sec)*Nps/((Vout+Vfwd2+F174/CG174*Rdcr_sec)*Nps+J174), (Vout2+Vfwd22+G174/CH174*Rdcr_sec2)*Nps/Nsec1sec2/((Vout2+Vfwd22+G174/CH174*Rdcr_sec2)*Nps/Nsec1sec2+J174))</f>
        <v>0.39223763564975067</v>
      </c>
      <c r="O174" s="149">
        <f t="shared" ref="O174:O205" si="506">N174*J174*Isw_max*0.5*Efficiency*Pout/(Pout+Pout2)</f>
        <v>6.5413622994030414</v>
      </c>
      <c r="P174" s="149">
        <f t="shared" ref="P174:P210" si="507">N174*J174*Isw_max*0.5*Efficiency*(Pout2/Pout_total)</f>
        <v>2.9072721330680182</v>
      </c>
      <c r="Q174" s="188">
        <f t="shared" ref="Q174:Q210" si="508">O174/Vout</f>
        <v>1.3082724598806084</v>
      </c>
      <c r="R174" s="188">
        <f t="shared" ref="R174:R210" si="509">O174/Vout2</f>
        <v>0.81767028742538017</v>
      </c>
      <c r="S174" s="188">
        <f t="shared" ref="S174:S210" si="510">MIN(Vout,O174/F174)</f>
        <v>5</v>
      </c>
      <c r="T174" s="188">
        <f t="shared" ref="T174:T210" si="511">MIN(2*(Vout*F174+Vout2*G174)/(Efficiency*J174*N174), Isw_max)</f>
        <v>2.9351684131227795</v>
      </c>
      <c r="U174" s="188">
        <f t="shared" ref="U174:U210" si="512">L*T174/J174*1000000</f>
        <v>3.960012912111432</v>
      </c>
      <c r="V174" s="188">
        <f t="shared" ref="V174:V210" si="513">L*T174/K174*1000000</f>
        <v>6.1359405410843051</v>
      </c>
      <c r="W174" s="172">
        <f t="shared" ref="W174:W210" si="514">IF(1/((350000*L)*(1/J174+1/K174))&gt;Isw_min, 350, 0.001/((Isw_min*L)*(1/J174+1/K174)))</f>
        <v>290.72721330680179</v>
      </c>
      <c r="X174" s="379">
        <f t="shared" si="435"/>
        <v>97.125536216328996</v>
      </c>
      <c r="Z174" s="188">
        <f t="shared" ref="Z174:Z210" si="515">1/((W174*1000*L)*(1/J174+1/K174))</f>
        <v>1</v>
      </c>
      <c r="AA174" s="150">
        <f t="shared" ref="AA174:AA210" si="516">L*Z174/K174*1000000</f>
        <v>2.0904901107722691</v>
      </c>
      <c r="AB174" s="150">
        <f t="shared" ref="AB174:AB205" si="517">0.5*AA174*Z174*Nps*W174/1000*(Pout/(Pout+Pout2))</f>
        <v>0.22791088663134346</v>
      </c>
      <c r="AC174" s="150"/>
      <c r="AD174" s="150">
        <f t="shared" ref="AD174:AD210" si="518">L*Isw_min/K174*1000000</f>
        <v>2.0904901107722691</v>
      </c>
      <c r="AE174" s="314">
        <f t="shared" ref="AE174:AE205" si="519">MAX(10, F174/(0.5*AD174/1000000*Isw_min*Nps)/1000*Pout_total/Pout)</f>
        <v>734.75592737081672</v>
      </c>
      <c r="AF174" s="456">
        <f t="shared" ref="AF174:AF210" si="520">0.5*AD174/1000000*Isw_min*Nps*W174*1000*(Pout/Pout_total)</f>
        <v>0.30388118217512461</v>
      </c>
      <c r="AH174" s="150">
        <f t="shared" ref="AH174:AH210" si="521">SQRT((H174+I174)/(0.5*L*Fsw_DCM))</f>
        <v>1.561440116717653</v>
      </c>
      <c r="AI174" s="150">
        <f t="shared" ref="AI174:AI205" si="522">MAX(IF(F174&gt;AB174,T174,AH174),Isw_min)</f>
        <v>2.9351684131227795</v>
      </c>
      <c r="AJ174" s="150">
        <f t="shared" ref="AJ174:AJ205" si="523">IF(F174&gt;AF174, (AI174-Isw_min)/1.08*0.8+1.2, AE174*0.2/350+1)</f>
        <v>2.6334580837946513</v>
      </c>
      <c r="AL174" s="314">
        <f t="shared" ref="AL174:AL210" si="524">F174*1000</f>
        <v>768</v>
      </c>
      <c r="AM174" s="144">
        <f t="shared" ref="AM174:AM210" si="525">IF(F174&gt;AF174, X174, AE174)</f>
        <v>97.125536216328996</v>
      </c>
      <c r="AO174">
        <f t="shared" ref="AO174:AO210" si="526">IF(H174&gt;O174, "",AL174)</f>
        <v>768</v>
      </c>
      <c r="AP174">
        <f t="shared" ref="AP174:AP210" si="527">IF(H174&gt;O174, "",AM174)</f>
        <v>97.125536216328996</v>
      </c>
      <c r="AR174" s="5">
        <f t="shared" si="443"/>
        <v>10.295953453195736</v>
      </c>
      <c r="AS174" s="5">
        <f t="shared" si="440"/>
        <v>3.960012912111432</v>
      </c>
      <c r="AT174" s="5">
        <f t="shared" si="441"/>
        <v>6.3359405410843035</v>
      </c>
      <c r="AU174" s="150">
        <f t="shared" si="442"/>
        <v>0.38461837751240935</v>
      </c>
      <c r="AW174" s="5">
        <f t="shared" si="477"/>
        <v>60.825798330031603</v>
      </c>
      <c r="AX174" s="5">
        <f t="shared" si="478"/>
        <v>7.9200258242228641</v>
      </c>
      <c r="AY174" s="5">
        <f t="shared" si="479"/>
        <v>1.1397599874627518</v>
      </c>
      <c r="AZ174" s="5"/>
      <c r="BA174" s="150">
        <f t="shared" si="480"/>
        <v>1.0509629682512296</v>
      </c>
      <c r="BB174" s="150">
        <f t="shared" si="481"/>
        <v>1.3293662815401168</v>
      </c>
      <c r="BC174" s="150">
        <f t="shared" si="482"/>
        <v>0.29715246293249675</v>
      </c>
      <c r="BD174" s="150"/>
      <c r="BE174" s="456">
        <f t="shared" si="483"/>
        <v>2.2090463212708703E-2</v>
      </c>
      <c r="BF174" s="456">
        <f t="shared" ref="BF174:BF210" si="528">0.5*L174*AI174*AM174*1000*Tfall</f>
        <v>7.8226084522815278E-2</v>
      </c>
      <c r="BG174" s="456">
        <f t="shared" ref="BG174:BG210" si="529">Qg*Vdd*AM174*1000*0+Qg*J174*AM174*1000</f>
        <v>2.1596884581200536E-2</v>
      </c>
      <c r="BH174" s="456">
        <f t="shared" si="484"/>
        <v>2.0801811756798847E-3</v>
      </c>
      <c r="BI174">
        <f t="shared" si="485"/>
        <v>4.0024893308774658E-3</v>
      </c>
      <c r="BJ174" s="144">
        <f t="shared" si="436"/>
        <v>25.599373912078001</v>
      </c>
      <c r="BK174">
        <f t="shared" ref="BK174:BK210" si="530">(BF174+BG174*0+BH174+BI174*0+BE174*(1+RdsonTC*(Ta-25)))/(1-BE174*RdsonTC*ThetaJA)</f>
        <v>0.10893290949356065</v>
      </c>
      <c r="BL174" s="144">
        <f t="shared" si="437"/>
        <v>127.99610282328189</v>
      </c>
      <c r="BM174" s="150">
        <f t="shared" ref="BM174:BM210" si="531">Vfwd2*F174*(1+Diode_TC/1000*(Ta-25))</f>
        <v>0.47711999999999993</v>
      </c>
      <c r="BN174" s="150">
        <f t="shared" ref="BN174:BN210" si="532">Vfwd2*G174*(1+Diode_TC/1000*(Ta-25))</f>
        <v>9.9399999999999988E-2</v>
      </c>
      <c r="BO174" s="456"/>
      <c r="BQ174" s="144">
        <f t="shared" si="486"/>
        <v>576.51999999999987</v>
      </c>
      <c r="BR174" s="456">
        <f t="shared" si="487"/>
        <v>3.3135694819063054E-2</v>
      </c>
      <c r="BS174" s="456">
        <f t="shared" si="488"/>
        <v>5.3016441314873909E-2</v>
      </c>
      <c r="BT174" s="456">
        <f t="shared" si="489"/>
        <v>4.4149793113424431E-4</v>
      </c>
      <c r="BU174" s="456">
        <f t="shared" si="490"/>
        <v>6.8609798022996549E-2</v>
      </c>
      <c r="BV174" s="456"/>
      <c r="BW174" s="538">
        <f t="shared" ref="BW174:BW210" si="533">0.5*Lleak*0.000000001*AI174^2*AM174*1000</f>
        <v>8.367572418190801E-4</v>
      </c>
      <c r="BX174" s="144">
        <f t="shared" si="491"/>
        <v>156.04018932988683</v>
      </c>
      <c r="BY174" s="150">
        <f t="shared" si="492"/>
        <v>0.86055629215316864</v>
      </c>
      <c r="BZ174" s="5">
        <f t="shared" si="493"/>
        <v>5.12</v>
      </c>
      <c r="CA174" s="150">
        <f t="shared" si="494"/>
        <v>0.85610765117581655</v>
      </c>
      <c r="CB174" s="5">
        <f t="shared" si="495"/>
        <v>85.61076511758165</v>
      </c>
      <c r="CC174">
        <f t="shared" si="496"/>
        <v>64</v>
      </c>
      <c r="CE174" s="59">
        <f t="shared" ref="CE174:CE210" si="534">IF(ABS(F174-Ioutmax_Vinmin)&lt;Iout/200, AM174, -50)</f>
        <v>-50</v>
      </c>
      <c r="CF174">
        <f t="shared" ref="CF174:CF210" si="535">IF(ABS(F174-Ioutmax_Vinmin)&lt;Iout/200, (O174+P174)*CA174, -50)</f>
        <v>-50</v>
      </c>
      <c r="CG174" s="150">
        <f t="shared" ref="CG174:CG210" si="536">MIN(SQRT(2*DT174*1000*Ls1_*(CL174+CJ174*Vfwd1))/(CW174+Vfwd1), 1-DY174)</f>
        <v>0.57198633493024875</v>
      </c>
      <c r="CH174" s="150">
        <f t="shared" ref="CH174:CH210" si="537">MIN(SQRT(2*DT174*1000*Ls2_*(CM174+CK174*Vfwd22))/(Vout2+Vfwd22), 1-DY174)</f>
        <v>0.31031053622728111</v>
      </c>
      <c r="CI174" s="147">
        <v>64</v>
      </c>
      <c r="CJ174" s="188">
        <f t="shared" si="438"/>
        <v>0.76800000000000002</v>
      </c>
      <c r="CK174" s="188">
        <f t="shared" ref="CK174:CK210" si="538">IF(PLOT_TYPE=1, CI174/100*Iout2, min_I*EXP(CU174*rr/100))</f>
        <v>0.16</v>
      </c>
      <c r="CL174" s="188">
        <f t="shared" ref="CL174:CL210" si="539">CJ174*Vout</f>
        <v>3.84</v>
      </c>
      <c r="CM174" s="188">
        <f t="shared" ref="CM174:CM210" si="540">Vout2*CK174</f>
        <v>1.28</v>
      </c>
      <c r="CN174" s="465">
        <f t="shared" ref="CN174:CN212" si="541">VIN_min</f>
        <v>9</v>
      </c>
      <c r="CO174" s="379">
        <f t="shared" ref="CO174:CO210" si="542">(CW174+Vfwd2)*Nps</f>
        <v>5.7</v>
      </c>
      <c r="CP174" s="379">
        <f t="shared" ref="CP174:CP210" si="543">(Vout+Vfwd2)*Nps+CN174</f>
        <v>14.7</v>
      </c>
      <c r="CQ174" s="379"/>
      <c r="CR174" s="188">
        <f t="shared" ref="CR174:CR210" si="544">(Vout+Vfwd1)*Nps/((Vout+Vfwd1)*Nps+CN174)</f>
        <v>0.375</v>
      </c>
      <c r="CS174" s="149">
        <f t="shared" ref="CS174:CS210" si="545">CR174*CN174*Isw_max*0.5*Efficiency*Pout/(Pout+Pout2)</f>
        <v>6.328125</v>
      </c>
      <c r="CT174" s="149">
        <f t="shared" ref="CT174:CT210" si="546">CR174*CN174*Isw_max*0.5*Efficiency*(Pout2/Pout_total)</f>
        <v>2.8125</v>
      </c>
      <c r="CU174" s="188">
        <f t="shared" ref="CU174:CU210" si="547">CS174/Vout</f>
        <v>1.265625</v>
      </c>
      <c r="CV174" s="188">
        <f t="shared" ref="CV174:CV210" si="548">CS174/Vout2</f>
        <v>0.791015625</v>
      </c>
      <c r="CW174" s="188">
        <f t="shared" ref="CW174:CW210" si="549">MIN(Vout,CS174/CJ174)</f>
        <v>5</v>
      </c>
      <c r="CX174" s="188">
        <f t="shared" ref="CX174:CX210" si="550">MIN(2*(Vout*CJ174+Vout2*CK174)/(Efficiency*CN174*CR174), Isw_max)</f>
        <v>3.0340740740740739</v>
      </c>
      <c r="CY174" s="188">
        <f t="shared" ref="CY174:CY210" si="551">L*CX174/CN174*1000000</f>
        <v>4.0454320987654322</v>
      </c>
      <c r="CZ174" s="188">
        <f t="shared" ref="CZ174:CZ210" si="552">L*CX174/CO174*1000000</f>
        <v>6.3875243664717347</v>
      </c>
      <c r="DA174" s="172">
        <f t="shared" ref="DA174:DA210" si="553">IF(1/((350000*L)*(1/CN174+1/CO174))&gt;Isw_min, 350, 0.001/((Isw_min*L)*(1/CN174+1/CO174)))</f>
        <v>290.81632653061229</v>
      </c>
      <c r="DB174" s="379">
        <f t="shared" ref="DB174:DB210" si="554">MIN(1/(CY174+CZ174)*1000, 350)</f>
        <v>95.850107621173464</v>
      </c>
      <c r="DD174" s="188">
        <f t="shared" ref="DD174:DD210" si="555">1/((DA174*1000*L)*(1/CN174+1/CO174))</f>
        <v>0.99999999999999978</v>
      </c>
      <c r="DE174" s="150">
        <f t="shared" ref="DE174:DE210" si="556">L*DD174/CO174*1000000</f>
        <v>2.1052631578947363</v>
      </c>
      <c r="DF174" s="150">
        <f t="shared" ref="DF174:DF210" si="557">0.5*DE174*DD174*Nps*DA174/1000*(Pout/(Pout+Pout2))</f>
        <v>0.2295918367346938</v>
      </c>
      <c r="DG174" s="150"/>
      <c r="DH174" s="150">
        <f t="shared" ref="DH174:DH210" si="558">L*Isw_min/CO174*1000000</f>
        <v>2.1052631578947367</v>
      </c>
      <c r="DI174" s="314">
        <f t="shared" ref="DI174:DI210" si="559">MAX(10, CJ174/(0.5*DH174/1000000*Isw_min*Nps)/1000*Pout_total/Pout)</f>
        <v>729.6</v>
      </c>
      <c r="DJ174" s="456">
        <f t="shared" ref="DJ174:DJ210" si="560">0.5*DH174/1000000*Isw_min*Nps*DA174*1000*(Pout/Pout_total)</f>
        <v>0.3061224489795919</v>
      </c>
      <c r="DL174" s="150">
        <f t="shared" ref="DL174:DL210" si="561">SQRT((CL174+CM174)/(0.5*L*Fsw_DCM))</f>
        <v>1.561440116717653</v>
      </c>
      <c r="DM174" s="150">
        <f t="shared" ref="DM174:DM210" si="562">MAX(IF(CJ174&gt;DF174,CX174,DL174),Isw_min)</f>
        <v>3.0340740740740739</v>
      </c>
      <c r="DN174" s="150">
        <f t="shared" ref="DN174:DN210" si="563">IF(CJ174&gt;DJ174, (DM174-Isw_min)/1.08*0.8+1.2, DI174*0.2/350+1)</f>
        <v>2.7067215363511661</v>
      </c>
      <c r="DP174" s="314">
        <f t="shared" ref="DP174:DP210" si="564">CJ174*1000</f>
        <v>768</v>
      </c>
      <c r="DQ174" s="144">
        <f t="shared" ref="DQ174:DQ210" si="565">IF(CJ174&gt;DJ174, DB174, DI174)</f>
        <v>95.850107621173464</v>
      </c>
      <c r="DS174">
        <f t="shared" ref="DS174:DS192" si="566">IF(CL174&gt;CS174, "",DP174)</f>
        <v>768</v>
      </c>
      <c r="DT174">
        <f t="shared" ref="DT174:DT193" si="567">IF(CL174&gt;CS174, "",DQ174)</f>
        <v>95.850107621173464</v>
      </c>
      <c r="DV174" s="5">
        <f t="shared" ref="DV174:DV210" si="568">1/DQ174*1000</f>
        <v>10.432956465237169</v>
      </c>
      <c r="DW174" s="5">
        <f t="shared" ref="DW174:DW210" si="569">L*DM174/CN174*1000000</f>
        <v>4.0454320987654322</v>
      </c>
      <c r="DX174" s="5">
        <f t="shared" ref="DX174:DX210" si="570">DV174-DW174</f>
        <v>6.3875243664717365</v>
      </c>
      <c r="DY174" s="150">
        <f t="shared" ref="DY174:DY210" si="571">DW174/DV174</f>
        <v>0.38775510204081626</v>
      </c>
      <c r="EA174" s="5">
        <f t="shared" ref="EA174:EA210" si="572">CJ174*DW174/Vout_ripple*1000</f>
        <v>62.137837037037038</v>
      </c>
      <c r="EB174" s="5">
        <f t="shared" ref="EB174:EB210" si="573">CK174*DW174/Vout_ripple2*1000</f>
        <v>8.0908641975308644</v>
      </c>
      <c r="EC174" s="5">
        <f t="shared" ref="EC174:EC210" si="574">CL174/Efficiency/CN174*DX174/Vinripple1</f>
        <v>1.135559887372753</v>
      </c>
      <c r="ED174" s="5"/>
      <c r="EE174" s="150">
        <f t="shared" ref="EE174:EE210" si="575">DM174*SQRT(DY174/3)</f>
        <v>1.090797948743174</v>
      </c>
      <c r="EF174" s="150">
        <f t="shared" ref="EF174:EF210" si="576">DM174*Npri_sec1*SQRT((1-DY174)/3)*(Pout/Pout_total)</f>
        <v>1.3706549519629292</v>
      </c>
      <c r="EG174" s="150">
        <f t="shared" ref="EG174:EG210" si="577">DM174*Npri_sec2*SQRT((1-DY174)/3)*(Pout2/Pout_total)</f>
        <v>0.3063816951446548</v>
      </c>
      <c r="EH174" s="150"/>
      <c r="EI174" s="456">
        <f t="shared" ref="EI174:EI210" si="578">Rdson*EE174^2</f>
        <v>2.379680329964632E-2</v>
      </c>
      <c r="EJ174" s="456">
        <f t="shared" ref="EJ174:EJ210" si="579">0.5*CP174*DM174*DQ174*1000*Trise</f>
        <v>8.5499999999999979E-2</v>
      </c>
      <c r="EK174" s="456">
        <f t="shared" ref="EK174:EK210" si="580">Qg*Vdd*DQ174*1000</f>
        <v>1.1981263452646683E-2</v>
      </c>
      <c r="EL174" s="456">
        <f t="shared" ref="EL174:EL210" si="581">0.5*(Coss+Csw)*CP174^2*DQ174*1000</f>
        <v>2.0712249755859375E-3</v>
      </c>
      <c r="EM174">
        <f t="shared" ref="EM174:EM210" si="582">CN174*IQ</f>
        <v>4.0499999999999998E-3</v>
      </c>
      <c r="EN174" s="144">
        <f t="shared" ref="EN174:EN210" si="583">(EK174+EM174)*1000</f>
        <v>16.03126345264668</v>
      </c>
      <c r="EP174" s="144">
        <f t="shared" si="439"/>
        <v>127.39929172787895</v>
      </c>
      <c r="EQ174" s="150">
        <f t="shared" ref="EQ174:EQ210" si="584">Vfwd2*CJ174</f>
        <v>0.53759999999999997</v>
      </c>
      <c r="ER174" s="150">
        <f t="shared" ref="ER174:ER210" si="585">Vfwd22*CK174*(1+Diode_TC/1000*(Ta-25))</f>
        <v>7.0999999999999994E-2</v>
      </c>
      <c r="ES174" s="456"/>
      <c r="EU174" s="144">
        <f t="shared" si="497"/>
        <v>608.59999999999991</v>
      </c>
      <c r="EV174" s="456">
        <f t="shared" ref="EV174:EV210" si="586">Rdcr_pri*EE174^2</f>
        <v>3.5695204949469476E-2</v>
      </c>
      <c r="EW174" s="456">
        <f t="shared" ref="EW174:EW210" si="587">Rdcr_sec*EF174^2</f>
        <v>5.6360849920214992E-2</v>
      </c>
      <c r="EX174" s="456">
        <f t="shared" ref="EX174:EX210" si="588">Rdcr_sec2*EG174^2</f>
        <v>4.6934871559856095E-4</v>
      </c>
      <c r="EY174" s="456">
        <f t="shared" ref="EY174:EY210" si="589">DM174^2.5*DQ174^2.5*k_core</f>
        <v>7.2113564882065342E-2</v>
      </c>
      <c r="EZ174" s="456"/>
      <c r="FA174" s="538">
        <f t="shared" ref="FA174:FA210" si="590">0.5*Lleak*0.000000001*DM174^2*DQ174*1000</f>
        <v>8.82358276643991E-4</v>
      </c>
      <c r="FB174" s="144">
        <f t="shared" si="498"/>
        <v>165.52132674399238</v>
      </c>
      <c r="FC174" s="150">
        <f t="shared" ref="FC174:FC210" si="591">SUM(EI174:EM174,EQ174:ET174,EV174:FA174)</f>
        <v>0.90152061847187104</v>
      </c>
      <c r="FD174" s="5">
        <f t="shared" ref="FD174:FD210" si="592">MIN(CL174+CM174,CS174+CT174)</f>
        <v>5.12</v>
      </c>
      <c r="FE174" s="150">
        <f t="shared" ref="FE174:FE210" si="593">FD174/(FD174+FC174)</f>
        <v>0.85028356197829369</v>
      </c>
      <c r="FF174" s="5">
        <f t="shared" ref="FF174:FF210" si="594">FE174*100</f>
        <v>85.028356197829368</v>
      </c>
      <c r="FG174">
        <f t="shared" ref="FG174:FG210" si="595">CJ174/Iout*100</f>
        <v>64</v>
      </c>
      <c r="FI174" s="59">
        <f t="shared" ref="FI174:FI210" si="596">IF(ABS(CJ174-Ioutmax_Vinmin)&lt;Iout/200, DQ174, -50)</f>
        <v>-50</v>
      </c>
      <c r="FJ174">
        <f t="shared" ref="FJ174:FJ210" si="597">IF(ABS(CJ174-Ioutmax_Vinmin)&lt;Iout/200, (CS174+CT174)*FE174, -50)</f>
        <v>-50</v>
      </c>
    </row>
    <row r="175" spans="5:166">
      <c r="E175" s="147">
        <v>65</v>
      </c>
      <c r="F175" s="188">
        <f t="shared" ref="F175:F206" si="598">IF(PLOT_TYPE=1, E175/100*Iout_max, min_I*EXP(O175*rr/100))</f>
        <v>0.78</v>
      </c>
      <c r="G175" s="188">
        <f t="shared" si="499"/>
        <v>0.16250000000000001</v>
      </c>
      <c r="H175" s="188">
        <f t="shared" si="500"/>
        <v>3.9000000000000004</v>
      </c>
      <c r="I175" s="188">
        <f t="shared" si="501"/>
        <v>1.3</v>
      </c>
      <c r="J175" s="465">
        <f t="shared" si="502"/>
        <v>8.8927710592720572</v>
      </c>
      <c r="K175" s="379">
        <f t="shared" si="503"/>
        <v>5.7409100682498888</v>
      </c>
      <c r="L175" s="149">
        <f t="shared" si="504"/>
        <v>14.633681127521946</v>
      </c>
      <c r="M175" s="379"/>
      <c r="N175" s="188">
        <f t="shared" si="505"/>
        <v>0.39230799265215704</v>
      </c>
      <c r="O175" s="149">
        <f t="shared" si="506"/>
        <v>6.5413221813341575</v>
      </c>
      <c r="P175" s="149">
        <f t="shared" si="507"/>
        <v>2.9072543028151809</v>
      </c>
      <c r="Q175" s="188">
        <f t="shared" si="508"/>
        <v>1.3082644362668314</v>
      </c>
      <c r="R175" s="188">
        <f t="shared" si="509"/>
        <v>0.81766527266676969</v>
      </c>
      <c r="S175" s="188">
        <f t="shared" si="510"/>
        <v>5</v>
      </c>
      <c r="T175" s="188">
        <f t="shared" si="511"/>
        <v>2.9810487023011629</v>
      </c>
      <c r="U175" s="188">
        <f t="shared" si="512"/>
        <v>4.0226588753025005</v>
      </c>
      <c r="V175" s="188">
        <f t="shared" si="513"/>
        <v>6.2311696233414784</v>
      </c>
      <c r="W175" s="172">
        <f t="shared" si="514"/>
        <v>290.72543028151807</v>
      </c>
      <c r="X175" s="379">
        <f t="shared" ref="X175:X210" si="599">MIN(1/(U175+V175+0.2)*1000, 350)</f>
        <v>95.658734035068136</v>
      </c>
      <c r="Z175" s="188">
        <f t="shared" si="515"/>
        <v>1</v>
      </c>
      <c r="AA175" s="150">
        <f t="shared" si="516"/>
        <v>2.0902609268112418</v>
      </c>
      <c r="AB175" s="150">
        <f t="shared" si="517"/>
        <v>0.22788450275544114</v>
      </c>
      <c r="AC175" s="150"/>
      <c r="AD175" s="150">
        <f t="shared" si="518"/>
        <v>2.0902609268112418</v>
      </c>
      <c r="AE175" s="314">
        <f t="shared" si="519"/>
        <v>746.31830887248555</v>
      </c>
      <c r="AF175" s="456">
        <f t="shared" si="520"/>
        <v>0.30384600367392151</v>
      </c>
      <c r="AH175" s="150">
        <f t="shared" si="521"/>
        <v>1.5735915849388864</v>
      </c>
      <c r="AI175" s="150">
        <f t="shared" si="522"/>
        <v>2.9810487023011629</v>
      </c>
      <c r="AJ175" s="150">
        <f t="shared" si="523"/>
        <v>2.6674434831860463</v>
      </c>
      <c r="AL175" s="314">
        <f t="shared" si="524"/>
        <v>780</v>
      </c>
      <c r="AM175" s="144">
        <f t="shared" si="525"/>
        <v>95.658734035068136</v>
      </c>
      <c r="AO175">
        <f t="shared" si="526"/>
        <v>780</v>
      </c>
      <c r="AP175">
        <f t="shared" si="527"/>
        <v>95.658734035068136</v>
      </c>
      <c r="AR175" s="5">
        <f t="shared" si="443"/>
        <v>10.453828498643979</v>
      </c>
      <c r="AS175" s="5">
        <f t="shared" si="440"/>
        <v>4.0226588753025005</v>
      </c>
      <c r="AT175" s="5">
        <f t="shared" si="441"/>
        <v>6.4311696233414786</v>
      </c>
      <c r="AU175" s="150">
        <f t="shared" si="442"/>
        <v>0.38480245546636821</v>
      </c>
      <c r="AW175" s="5">
        <f t="shared" si="477"/>
        <v>62.753478454719016</v>
      </c>
      <c r="AX175" s="5">
        <f t="shared" si="478"/>
        <v>8.1710258404582046</v>
      </c>
      <c r="AY175" s="5">
        <f t="shared" si="479"/>
        <v>1.1751849415974249</v>
      </c>
      <c r="AZ175" s="5"/>
      <c r="BA175" s="150">
        <f t="shared" si="480"/>
        <v>1.0676462064302423</v>
      </c>
      <c r="BB175" s="150">
        <f t="shared" si="481"/>
        <v>1.3499439616982605</v>
      </c>
      <c r="BC175" s="150">
        <f t="shared" si="482"/>
        <v>0.3017521796737288</v>
      </c>
      <c r="BD175" s="150"/>
      <c r="BE175" s="456">
        <f t="shared" si="483"/>
        <v>2.2797368442097753E-2</v>
      </c>
      <c r="BF175" s="456">
        <f t="shared" si="528"/>
        <v>7.8243552363519805E-2</v>
      </c>
      <c r="BG175" s="456">
        <f t="shared" si="529"/>
        <v>2.1266780539841421E-2</v>
      </c>
      <c r="BH175" s="456">
        <f t="shared" si="484"/>
        <v>2.0484803569311458E-3</v>
      </c>
      <c r="BI175">
        <f t="shared" si="485"/>
        <v>4.0017469766724257E-3</v>
      </c>
      <c r="BJ175" s="144">
        <f t="shared" ref="BJ175:BJ210" si="600">(BG175+BI175)*1000</f>
        <v>25.268527516513846</v>
      </c>
      <c r="BK175">
        <f t="shared" si="530"/>
        <v>0.10983965412527509</v>
      </c>
      <c r="BL175" s="144">
        <f t="shared" ref="BL175:BL210" si="601">SUM(BE175:BI175)*1000</f>
        <v>128.35792867906252</v>
      </c>
      <c r="BM175" s="150">
        <f t="shared" si="531"/>
        <v>0.48457499999999992</v>
      </c>
      <c r="BN175" s="150">
        <f t="shared" si="532"/>
        <v>0.10095312499999999</v>
      </c>
      <c r="BO175" s="456"/>
      <c r="BQ175" s="144">
        <f t="shared" si="486"/>
        <v>585.52812499999993</v>
      </c>
      <c r="BR175" s="456">
        <f t="shared" si="487"/>
        <v>3.4196052663146626E-2</v>
      </c>
      <c r="BS175" s="456">
        <f t="shared" si="488"/>
        <v>5.4670460991767832E-2</v>
      </c>
      <c r="BT175" s="456">
        <f t="shared" si="489"/>
        <v>4.5527188968923156E-4</v>
      </c>
      <c r="BU175" s="456">
        <f t="shared" si="490"/>
        <v>6.8660072104593572E-2</v>
      </c>
      <c r="BV175" s="456"/>
      <c r="BW175" s="538">
        <f t="shared" si="533"/>
        <v>8.5008581943392142E-4</v>
      </c>
      <c r="BX175" s="144">
        <f t="shared" si="491"/>
        <v>158.83194346863115</v>
      </c>
      <c r="BY175" s="150">
        <f t="shared" si="492"/>
        <v>0.8727179971476936</v>
      </c>
      <c r="BZ175" s="5">
        <f t="shared" si="493"/>
        <v>5.2</v>
      </c>
      <c r="CA175" s="150">
        <f t="shared" si="494"/>
        <v>0.85628873305863995</v>
      </c>
      <c r="CB175" s="5">
        <f t="shared" si="495"/>
        <v>85.628873305863991</v>
      </c>
      <c r="CC175">
        <f t="shared" si="496"/>
        <v>65</v>
      </c>
      <c r="CE175" s="59">
        <f t="shared" si="534"/>
        <v>-50</v>
      </c>
      <c r="CF175">
        <f t="shared" si="535"/>
        <v>-50</v>
      </c>
      <c r="CG175" s="150">
        <f t="shared" si="536"/>
        <v>0.57198633493024875</v>
      </c>
      <c r="CH175" s="150">
        <f t="shared" si="537"/>
        <v>0.31031053622728105</v>
      </c>
      <c r="CI175" s="147">
        <v>65</v>
      </c>
      <c r="CJ175" s="188">
        <f t="shared" ref="CJ175:CJ210" si="602">IF(PLOT_TYPE=1, CI175/100*Iout_max, min_I*EXP(CS175*rr/100))</f>
        <v>0.78</v>
      </c>
      <c r="CK175" s="188">
        <f t="shared" si="538"/>
        <v>0.16250000000000001</v>
      </c>
      <c r="CL175" s="188">
        <f t="shared" si="539"/>
        <v>3.9000000000000004</v>
      </c>
      <c r="CM175" s="188">
        <f t="shared" si="540"/>
        <v>1.3</v>
      </c>
      <c r="CN175" s="465">
        <f t="shared" si="541"/>
        <v>9</v>
      </c>
      <c r="CO175" s="379">
        <f t="shared" si="542"/>
        <v>5.7</v>
      </c>
      <c r="CP175" s="379">
        <f t="shared" si="543"/>
        <v>14.7</v>
      </c>
      <c r="CQ175" s="379"/>
      <c r="CR175" s="188">
        <f t="shared" si="544"/>
        <v>0.375</v>
      </c>
      <c r="CS175" s="149">
        <f t="shared" si="545"/>
        <v>6.328125</v>
      </c>
      <c r="CT175" s="149">
        <f t="shared" si="546"/>
        <v>2.8125</v>
      </c>
      <c r="CU175" s="188">
        <f t="shared" si="547"/>
        <v>1.265625</v>
      </c>
      <c r="CV175" s="188">
        <f t="shared" si="548"/>
        <v>0.791015625</v>
      </c>
      <c r="CW175" s="188">
        <f t="shared" si="549"/>
        <v>5</v>
      </c>
      <c r="CX175" s="188">
        <f t="shared" si="550"/>
        <v>3.0814814814814815</v>
      </c>
      <c r="CY175" s="188">
        <f t="shared" si="551"/>
        <v>4.1086419753086423</v>
      </c>
      <c r="CZ175" s="188">
        <f t="shared" si="552"/>
        <v>6.4873294346978554</v>
      </c>
      <c r="DA175" s="172">
        <f t="shared" si="553"/>
        <v>290.81632653061229</v>
      </c>
      <c r="DB175" s="379">
        <f t="shared" si="554"/>
        <v>94.37549058084771</v>
      </c>
      <c r="DD175" s="188">
        <f t="shared" si="555"/>
        <v>0.99999999999999978</v>
      </c>
      <c r="DE175" s="150">
        <f t="shared" si="556"/>
        <v>2.1052631578947363</v>
      </c>
      <c r="DF175" s="150">
        <f t="shared" si="557"/>
        <v>0.2295918367346938</v>
      </c>
      <c r="DG175" s="150"/>
      <c r="DH175" s="150">
        <f t="shared" si="558"/>
        <v>2.1052631578947367</v>
      </c>
      <c r="DI175" s="314">
        <f t="shared" si="559"/>
        <v>741.00000000000011</v>
      </c>
      <c r="DJ175" s="456">
        <f t="shared" si="560"/>
        <v>0.3061224489795919</v>
      </c>
      <c r="DL175" s="150">
        <f t="shared" si="561"/>
        <v>1.5735915849388864</v>
      </c>
      <c r="DM175" s="150">
        <f t="shared" si="562"/>
        <v>3.0814814814814815</v>
      </c>
      <c r="DN175" s="150">
        <f t="shared" si="563"/>
        <v>2.741838134430727</v>
      </c>
      <c r="DP175" s="314">
        <f t="shared" si="564"/>
        <v>780</v>
      </c>
      <c r="DQ175" s="144">
        <f t="shared" si="565"/>
        <v>94.37549058084771</v>
      </c>
      <c r="DS175">
        <f t="shared" si="566"/>
        <v>780</v>
      </c>
      <c r="DT175">
        <f t="shared" si="567"/>
        <v>94.37549058084771</v>
      </c>
      <c r="DV175" s="5">
        <f t="shared" si="568"/>
        <v>10.595971410006499</v>
      </c>
      <c r="DW175" s="5">
        <f t="shared" si="569"/>
        <v>4.1086419753086423</v>
      </c>
      <c r="DX175" s="5">
        <f t="shared" si="570"/>
        <v>6.4873294346978563</v>
      </c>
      <c r="DY175" s="150">
        <f t="shared" si="571"/>
        <v>0.38775510204081631</v>
      </c>
      <c r="EA175" s="5">
        <f t="shared" si="572"/>
        <v>64.094814814814811</v>
      </c>
      <c r="EB175" s="5">
        <f t="shared" si="573"/>
        <v>8.3456790123456805</v>
      </c>
      <c r="EC175" s="5">
        <f t="shared" si="574"/>
        <v>1.1713233701537795</v>
      </c>
      <c r="ED175" s="5"/>
      <c r="EE175" s="150">
        <f t="shared" si="575"/>
        <v>1.1078416666922863</v>
      </c>
      <c r="EF175" s="150">
        <f t="shared" si="576"/>
        <v>1.3920714355873502</v>
      </c>
      <c r="EG175" s="150">
        <f t="shared" si="577"/>
        <v>0.31116890913129003</v>
      </c>
      <c r="EH175" s="150"/>
      <c r="EI175" s="456">
        <f t="shared" si="578"/>
        <v>2.4546263169190858E-2</v>
      </c>
      <c r="EJ175" s="456">
        <f t="shared" si="579"/>
        <v>8.5499999999999979E-2</v>
      </c>
      <c r="EK175" s="456">
        <f t="shared" si="580"/>
        <v>1.1796936322605964E-2</v>
      </c>
      <c r="EL175" s="456">
        <f t="shared" si="581"/>
        <v>2.0393599759615379E-3</v>
      </c>
      <c r="EM175">
        <f t="shared" si="582"/>
        <v>4.0499999999999998E-3</v>
      </c>
      <c r="EN175" s="144">
        <f t="shared" si="583"/>
        <v>15.846936322605961</v>
      </c>
      <c r="EP175" s="144">
        <f t="shared" ref="EP175:EP210" si="603">SUM(EI175:EM175)*1000</f>
        <v>127.93255946775834</v>
      </c>
      <c r="EQ175" s="150">
        <f t="shared" si="584"/>
        <v>0.54599999999999993</v>
      </c>
      <c r="ER175" s="150">
        <f t="shared" si="585"/>
        <v>7.2109375000000003E-2</v>
      </c>
      <c r="ES175" s="456"/>
      <c r="EU175" s="144">
        <f t="shared" si="497"/>
        <v>618.109375</v>
      </c>
      <c r="EV175" s="456">
        <f t="shared" si="586"/>
        <v>3.6819394753786289E-2</v>
      </c>
      <c r="EW175" s="456">
        <f t="shared" si="587"/>
        <v>5.8135886453346781E-2</v>
      </c>
      <c r="EX175" s="456">
        <f t="shared" si="588"/>
        <v>4.8413045004978513E-4</v>
      </c>
      <c r="EY175" s="456">
        <f t="shared" si="589"/>
        <v>7.2113564882065412E-2</v>
      </c>
      <c r="EZ175" s="456"/>
      <c r="FA175" s="538">
        <f t="shared" si="590"/>
        <v>8.9614512471655327E-4</v>
      </c>
      <c r="FB175" s="144">
        <f t="shared" si="498"/>
        <v>168.44912166396483</v>
      </c>
      <c r="FC175" s="150">
        <f t="shared" si="591"/>
        <v>0.91449105613172321</v>
      </c>
      <c r="FD175" s="5">
        <f t="shared" si="592"/>
        <v>5.2</v>
      </c>
      <c r="FE175" s="150">
        <f t="shared" si="593"/>
        <v>0.85043872863062664</v>
      </c>
      <c r="FF175" s="5">
        <f t="shared" si="594"/>
        <v>85.04387286306266</v>
      </c>
      <c r="FG175">
        <f t="shared" si="595"/>
        <v>65</v>
      </c>
      <c r="FI175" s="59">
        <f t="shared" si="596"/>
        <v>-50</v>
      </c>
      <c r="FJ175">
        <f t="shared" si="597"/>
        <v>-50</v>
      </c>
    </row>
    <row r="176" spans="5:166">
      <c r="E176" s="147">
        <v>66</v>
      </c>
      <c r="F176" s="188">
        <f t="shared" si="598"/>
        <v>0.79200000000000004</v>
      </c>
      <c r="G176" s="188">
        <f t="shared" si="499"/>
        <v>0.16500000000000001</v>
      </c>
      <c r="H176" s="188">
        <f t="shared" si="500"/>
        <v>3.96</v>
      </c>
      <c r="I176" s="188">
        <f t="shared" si="501"/>
        <v>1.32</v>
      </c>
      <c r="J176" s="465">
        <f t="shared" si="502"/>
        <v>8.8911213832608578</v>
      </c>
      <c r="K176" s="379">
        <f t="shared" si="503"/>
        <v>5.7415394539152711</v>
      </c>
      <c r="L176" s="149">
        <f t="shared" si="504"/>
        <v>14.632660837176129</v>
      </c>
      <c r="M176" s="379"/>
      <c r="N176" s="188">
        <f t="shared" si="505"/>
        <v>0.39237835946611727</v>
      </c>
      <c r="O176" s="149">
        <f t="shared" si="506"/>
        <v>6.5412817915837689</v>
      </c>
      <c r="P176" s="149">
        <f t="shared" si="507"/>
        <v>2.9072363518150084</v>
      </c>
      <c r="Q176" s="188">
        <f t="shared" si="508"/>
        <v>1.3082563583167537</v>
      </c>
      <c r="R176" s="188">
        <f t="shared" si="509"/>
        <v>0.81766022394797111</v>
      </c>
      <c r="S176" s="188">
        <f t="shared" si="510"/>
        <v>5</v>
      </c>
      <c r="T176" s="188">
        <f t="shared" si="511"/>
        <v>3.0269296799711851</v>
      </c>
      <c r="U176" s="188">
        <f t="shared" si="512"/>
        <v>4.0853290146324097</v>
      </c>
      <c r="V176" s="188">
        <f t="shared" si="513"/>
        <v>6.326379266606752</v>
      </c>
      <c r="W176" s="172">
        <f t="shared" si="514"/>
        <v>290.72363518150087</v>
      </c>
      <c r="X176" s="379">
        <f t="shared" si="599"/>
        <v>94.235534326545491</v>
      </c>
      <c r="Z176" s="188">
        <f t="shared" si="515"/>
        <v>1</v>
      </c>
      <c r="AA176" s="150">
        <f t="shared" si="516"/>
        <v>2.090031793096355</v>
      </c>
      <c r="AB176" s="150">
        <f t="shared" si="517"/>
        <v>0.22785811520020605</v>
      </c>
      <c r="AC176" s="150"/>
      <c r="AD176" s="150">
        <f t="shared" si="518"/>
        <v>2.090031793096355</v>
      </c>
      <c r="AE176" s="314">
        <f t="shared" si="519"/>
        <v>757.88320791681565</v>
      </c>
      <c r="AF176" s="456">
        <f t="shared" si="520"/>
        <v>0.30381082026694139</v>
      </c>
      <c r="AH176" s="150">
        <f t="shared" si="521"/>
        <v>1.5856499343441837</v>
      </c>
      <c r="AI176" s="150">
        <f t="shared" si="522"/>
        <v>3.0269296799711851</v>
      </c>
      <c r="AJ176" s="150">
        <f t="shared" si="523"/>
        <v>2.7014293925712485</v>
      </c>
      <c r="AL176" s="314">
        <f t="shared" si="524"/>
        <v>792</v>
      </c>
      <c r="AM176" s="144">
        <f t="shared" si="525"/>
        <v>94.235534326545491</v>
      </c>
      <c r="AO176">
        <f t="shared" si="526"/>
        <v>792</v>
      </c>
      <c r="AP176">
        <f t="shared" si="527"/>
        <v>94.235534326545491</v>
      </c>
      <c r="AR176" s="5">
        <f t="shared" si="443"/>
        <v>10.611708281239162</v>
      </c>
      <c r="AS176" s="5">
        <f t="shared" si="440"/>
        <v>4.0853290146324097</v>
      </c>
      <c r="AT176" s="5">
        <f t="shared" si="441"/>
        <v>6.5263792666067522</v>
      </c>
      <c r="AU176" s="150">
        <f t="shared" si="442"/>
        <v>0.38498316259362469</v>
      </c>
      <c r="AW176" s="5">
        <f t="shared" si="477"/>
        <v>64.71161159177737</v>
      </c>
      <c r="AX176" s="5">
        <f t="shared" si="478"/>
        <v>8.4259910926793467</v>
      </c>
      <c r="AY176" s="5">
        <f t="shared" si="479"/>
        <v>1.2111549629920511</v>
      </c>
      <c r="AZ176" s="5"/>
      <c r="BA176" s="150">
        <f t="shared" si="480"/>
        <v>1.0843327435586123</v>
      </c>
      <c r="BB176" s="150">
        <f t="shared" si="481"/>
        <v>1.3705194624947166</v>
      </c>
      <c r="BC176" s="150">
        <f t="shared" si="482"/>
        <v>0.30635140926352489</v>
      </c>
      <c r="BD176" s="150"/>
      <c r="BE176" s="456">
        <f t="shared" si="483"/>
        <v>2.3515549975066947E-2</v>
      </c>
      <c r="BF176" s="456">
        <f t="shared" si="528"/>
        <v>7.8260317892170778E-2</v>
      </c>
      <c r="BG176" s="456">
        <f t="shared" si="529"/>
        <v>2.0946489357844027E-2</v>
      </c>
      <c r="BH176" s="456">
        <f t="shared" si="484"/>
        <v>2.01772191150759E-3</v>
      </c>
      <c r="BI176">
        <f t="shared" si="485"/>
        <v>4.0010046224673856E-3</v>
      </c>
      <c r="BJ176" s="144">
        <f t="shared" si="600"/>
        <v>24.947493980311414</v>
      </c>
      <c r="BK176">
        <f t="shared" si="530"/>
        <v>0.1107616462280754</v>
      </c>
      <c r="BL176" s="144">
        <f t="shared" si="601"/>
        <v>128.74108375905675</v>
      </c>
      <c r="BM176" s="150">
        <f t="shared" si="531"/>
        <v>0.49202999999999997</v>
      </c>
      <c r="BN176" s="150">
        <f t="shared" si="532"/>
        <v>0.10250624999999999</v>
      </c>
      <c r="BO176" s="456"/>
      <c r="BQ176" s="144">
        <f t="shared" si="486"/>
        <v>594.53625</v>
      </c>
      <c r="BR176" s="456">
        <f t="shared" si="487"/>
        <v>3.5273324962600418E-2</v>
      </c>
      <c r="BS176" s="456">
        <f t="shared" si="488"/>
        <v>5.6349707912304203E-2</v>
      </c>
      <c r="BT176" s="456">
        <f t="shared" si="489"/>
        <v>4.6925592978873859E-4</v>
      </c>
      <c r="BU176" s="456">
        <f t="shared" si="490"/>
        <v>6.8708833796606708E-2</v>
      </c>
      <c r="BV176" s="456"/>
      <c r="BW176" s="538">
        <f t="shared" si="533"/>
        <v>8.6341454595852802E-4</v>
      </c>
      <c r="BX176" s="144">
        <f t="shared" si="491"/>
        <v>161.66453714725859</v>
      </c>
      <c r="BY176" s="150">
        <f t="shared" si="492"/>
        <v>0.88494187090631538</v>
      </c>
      <c r="BZ176" s="5">
        <f t="shared" si="493"/>
        <v>5.28</v>
      </c>
      <c r="CA176" s="150">
        <f t="shared" si="494"/>
        <v>0.85645576398983647</v>
      </c>
      <c r="CB176" s="5">
        <f t="shared" si="495"/>
        <v>85.64557639898365</v>
      </c>
      <c r="CC176">
        <f t="shared" si="496"/>
        <v>66</v>
      </c>
      <c r="CE176" s="59">
        <f t="shared" si="534"/>
        <v>-50</v>
      </c>
      <c r="CF176">
        <f t="shared" si="535"/>
        <v>-50</v>
      </c>
      <c r="CG176" s="150">
        <f t="shared" si="536"/>
        <v>0.57198633493024875</v>
      </c>
      <c r="CH176" s="150">
        <f t="shared" si="537"/>
        <v>0.31031053622728105</v>
      </c>
      <c r="CI176" s="147">
        <v>66</v>
      </c>
      <c r="CJ176" s="188">
        <f t="shared" si="602"/>
        <v>0.79200000000000004</v>
      </c>
      <c r="CK176" s="188">
        <f t="shared" si="538"/>
        <v>0.16500000000000001</v>
      </c>
      <c r="CL176" s="188">
        <f t="shared" si="539"/>
        <v>3.96</v>
      </c>
      <c r="CM176" s="188">
        <f t="shared" si="540"/>
        <v>1.32</v>
      </c>
      <c r="CN176" s="465">
        <f t="shared" si="541"/>
        <v>9</v>
      </c>
      <c r="CO176" s="379">
        <f t="shared" si="542"/>
        <v>5.7</v>
      </c>
      <c r="CP176" s="379">
        <f t="shared" si="543"/>
        <v>14.7</v>
      </c>
      <c r="CQ176" s="379"/>
      <c r="CR176" s="188">
        <f t="shared" si="544"/>
        <v>0.375</v>
      </c>
      <c r="CS176" s="149">
        <f t="shared" si="545"/>
        <v>6.328125</v>
      </c>
      <c r="CT176" s="149">
        <f t="shared" si="546"/>
        <v>2.8125</v>
      </c>
      <c r="CU176" s="188">
        <f t="shared" si="547"/>
        <v>1.265625</v>
      </c>
      <c r="CV176" s="188">
        <f t="shared" si="548"/>
        <v>0.791015625</v>
      </c>
      <c r="CW176" s="188">
        <f t="shared" si="549"/>
        <v>5</v>
      </c>
      <c r="CX176" s="188">
        <f t="shared" si="550"/>
        <v>3.1288888888888891</v>
      </c>
      <c r="CY176" s="188">
        <f t="shared" si="551"/>
        <v>4.1718518518518524</v>
      </c>
      <c r="CZ176" s="188">
        <f t="shared" si="552"/>
        <v>6.5871345029239778</v>
      </c>
      <c r="DA176" s="172">
        <f t="shared" si="553"/>
        <v>290.81632653061229</v>
      </c>
      <c r="DB176" s="379">
        <f t="shared" si="554"/>
        <v>92.945558905380324</v>
      </c>
      <c r="DD176" s="188">
        <f t="shared" si="555"/>
        <v>0.99999999999999978</v>
      </c>
      <c r="DE176" s="150">
        <f t="shared" si="556"/>
        <v>2.1052631578947363</v>
      </c>
      <c r="DF176" s="150">
        <f t="shared" si="557"/>
        <v>0.2295918367346938</v>
      </c>
      <c r="DG176" s="150"/>
      <c r="DH176" s="150">
        <f t="shared" si="558"/>
        <v>2.1052631578947367</v>
      </c>
      <c r="DI176" s="314">
        <f t="shared" si="559"/>
        <v>752.40000000000009</v>
      </c>
      <c r="DJ176" s="456">
        <f t="shared" si="560"/>
        <v>0.3061224489795919</v>
      </c>
      <c r="DL176" s="150">
        <f t="shared" si="561"/>
        <v>1.5856499343441837</v>
      </c>
      <c r="DM176" s="150">
        <f t="shared" si="562"/>
        <v>3.1288888888888891</v>
      </c>
      <c r="DN176" s="150">
        <f t="shared" si="563"/>
        <v>2.7769547325102879</v>
      </c>
      <c r="DP176" s="314">
        <f t="shared" si="564"/>
        <v>792</v>
      </c>
      <c r="DQ176" s="144">
        <f t="shared" si="565"/>
        <v>92.945558905380324</v>
      </c>
      <c r="DS176">
        <f t="shared" si="566"/>
        <v>792</v>
      </c>
      <c r="DT176">
        <f t="shared" si="567"/>
        <v>92.945558905380324</v>
      </c>
      <c r="DV176" s="5">
        <f t="shared" si="568"/>
        <v>10.75898635477583</v>
      </c>
      <c r="DW176" s="5">
        <f t="shared" si="569"/>
        <v>4.1718518518518524</v>
      </c>
      <c r="DX176" s="5">
        <f t="shared" si="570"/>
        <v>6.5871345029239778</v>
      </c>
      <c r="DY176" s="150">
        <f t="shared" si="571"/>
        <v>0.38775510204081631</v>
      </c>
      <c r="EA176" s="5">
        <f t="shared" si="572"/>
        <v>66.082133333333346</v>
      </c>
      <c r="EB176" s="5">
        <f t="shared" si="573"/>
        <v>8.6044444444444466</v>
      </c>
      <c r="EC176" s="5">
        <f t="shared" si="574"/>
        <v>1.2076413255360625</v>
      </c>
      <c r="ED176" s="5"/>
      <c r="EE176" s="150">
        <f t="shared" si="575"/>
        <v>1.1248853846413986</v>
      </c>
      <c r="EF176" s="150">
        <f t="shared" si="576"/>
        <v>1.4134879192117711</v>
      </c>
      <c r="EG176" s="150">
        <f t="shared" si="577"/>
        <v>0.31595612311792526</v>
      </c>
      <c r="EH176" s="150"/>
      <c r="EI176" s="456">
        <f t="shared" si="578"/>
        <v>2.5307342571596548E-2</v>
      </c>
      <c r="EJ176" s="456">
        <f t="shared" si="579"/>
        <v>8.5500000000000007E-2</v>
      </c>
      <c r="EK176" s="456">
        <f t="shared" si="580"/>
        <v>1.161819486317254E-2</v>
      </c>
      <c r="EL176" s="456">
        <f t="shared" si="581"/>
        <v>2.0084605823863632E-3</v>
      </c>
      <c r="EM176">
        <f t="shared" si="582"/>
        <v>4.0499999999999998E-3</v>
      </c>
      <c r="EN176" s="144">
        <f t="shared" si="583"/>
        <v>15.668194863172539</v>
      </c>
      <c r="EP176" s="144">
        <f t="shared" si="603"/>
        <v>128.48399801715547</v>
      </c>
      <c r="EQ176" s="150">
        <f t="shared" si="584"/>
        <v>0.5544</v>
      </c>
      <c r="ER176" s="150">
        <f t="shared" si="585"/>
        <v>7.3218749999999999E-2</v>
      </c>
      <c r="ES176" s="456"/>
      <c r="EU176" s="144">
        <f t="shared" si="497"/>
        <v>627.61874999999998</v>
      </c>
      <c r="EV176" s="456">
        <f t="shared" si="586"/>
        <v>3.7961013857394817E-2</v>
      </c>
      <c r="EW176" s="456">
        <f t="shared" si="587"/>
        <v>5.9938442932728667E-2</v>
      </c>
      <c r="EX176" s="456">
        <f t="shared" si="588"/>
        <v>4.9914135867854773E-4</v>
      </c>
      <c r="EY176" s="456">
        <f t="shared" si="589"/>
        <v>7.211356488206544E-2</v>
      </c>
      <c r="EZ176" s="456"/>
      <c r="FA176" s="538">
        <f t="shared" si="590"/>
        <v>9.0993197278911554E-4</v>
      </c>
      <c r="FB176" s="144">
        <f t="shared" si="498"/>
        <v>171.42209500365658</v>
      </c>
      <c r="FC176" s="150">
        <f t="shared" si="591"/>
        <v>0.92752484302081206</v>
      </c>
      <c r="FD176" s="5">
        <f t="shared" si="592"/>
        <v>5.28</v>
      </c>
      <c r="FE176" s="150">
        <f t="shared" si="593"/>
        <v>0.85058056689637929</v>
      </c>
      <c r="FF176" s="5">
        <f t="shared" si="594"/>
        <v>85.058056689637922</v>
      </c>
      <c r="FG176">
        <f t="shared" si="595"/>
        <v>66</v>
      </c>
      <c r="FI176" s="59">
        <f t="shared" si="596"/>
        <v>-50</v>
      </c>
      <c r="FJ176">
        <f t="shared" si="597"/>
        <v>-50</v>
      </c>
    </row>
    <row r="177" spans="5:166">
      <c r="E177" s="147">
        <v>67</v>
      </c>
      <c r="F177" s="188">
        <f t="shared" si="598"/>
        <v>0.80400000000000005</v>
      </c>
      <c r="G177" s="188">
        <f t="shared" si="499"/>
        <v>0.16750000000000001</v>
      </c>
      <c r="H177" s="188">
        <f t="shared" si="500"/>
        <v>4.0200000000000005</v>
      </c>
      <c r="I177" s="188">
        <f t="shared" si="501"/>
        <v>1.34</v>
      </c>
      <c r="J177" s="465">
        <f t="shared" si="502"/>
        <v>8.8894717072496583</v>
      </c>
      <c r="K177" s="379">
        <f t="shared" si="503"/>
        <v>5.7421688395806543</v>
      </c>
      <c r="L177" s="149">
        <f t="shared" si="504"/>
        <v>14.631640546830312</v>
      </c>
      <c r="M177" s="379"/>
      <c r="N177" s="188">
        <f t="shared" si="505"/>
        <v>0.39244873609368391</v>
      </c>
      <c r="O177" s="149">
        <f t="shared" si="506"/>
        <v>6.5412411300950453</v>
      </c>
      <c r="P177" s="149">
        <f t="shared" si="507"/>
        <v>2.9072182800422421</v>
      </c>
      <c r="Q177" s="188">
        <f t="shared" si="508"/>
        <v>1.3082482260190091</v>
      </c>
      <c r="R177" s="188">
        <f t="shared" si="509"/>
        <v>0.81765514126188066</v>
      </c>
      <c r="S177" s="188">
        <f t="shared" si="510"/>
        <v>5</v>
      </c>
      <c r="T177" s="188">
        <f t="shared" si="511"/>
        <v>3.0728113518891091</v>
      </c>
      <c r="U177" s="188">
        <f t="shared" si="512"/>
        <v>4.1480233513311671</v>
      </c>
      <c r="V177" s="188">
        <f t="shared" si="513"/>
        <v>6.4215694893015671</v>
      </c>
      <c r="W177" s="172">
        <f t="shared" si="514"/>
        <v>290.72182800422428</v>
      </c>
      <c r="X177" s="379">
        <f t="shared" si="599"/>
        <v>92.854021019911485</v>
      </c>
      <c r="Z177" s="188">
        <f t="shared" si="515"/>
        <v>0.99999999999999978</v>
      </c>
      <c r="AA177" s="150">
        <f t="shared" si="516"/>
        <v>2.0898027096110861</v>
      </c>
      <c r="AB177" s="150">
        <f t="shared" si="517"/>
        <v>0.22783172396486845</v>
      </c>
      <c r="AC177" s="150"/>
      <c r="AD177" s="150">
        <f t="shared" si="518"/>
        <v>2.0898027096110865</v>
      </c>
      <c r="AE177" s="314">
        <f t="shared" si="519"/>
        <v>769.45062450380772</v>
      </c>
      <c r="AF177" s="456">
        <f t="shared" si="520"/>
        <v>0.3037756319531581</v>
      </c>
      <c r="AH177" s="150">
        <f t="shared" si="521"/>
        <v>1.5976172734359606</v>
      </c>
      <c r="AI177" s="150">
        <f t="shared" si="522"/>
        <v>3.0728113518891091</v>
      </c>
      <c r="AJ177" s="150">
        <f t="shared" si="523"/>
        <v>2.7354158162141546</v>
      </c>
      <c r="AL177" s="314">
        <f t="shared" si="524"/>
        <v>804</v>
      </c>
      <c r="AM177" s="144">
        <f t="shared" si="525"/>
        <v>92.854021019911485</v>
      </c>
      <c r="AO177">
        <f t="shared" si="526"/>
        <v>804</v>
      </c>
      <c r="AP177">
        <f t="shared" si="527"/>
        <v>92.854021019911485</v>
      </c>
      <c r="AR177" s="5">
        <f t="shared" si="443"/>
        <v>10.769592840632733</v>
      </c>
      <c r="AS177" s="5">
        <f t="shared" si="440"/>
        <v>4.1480233513311671</v>
      </c>
      <c r="AT177" s="5">
        <f t="shared" si="441"/>
        <v>6.6215694893015655</v>
      </c>
      <c r="AU177" s="150">
        <f t="shared" si="442"/>
        <v>0.38516064745558787</v>
      </c>
      <c r="AW177" s="5">
        <f t="shared" si="477"/>
        <v>66.700215489405181</v>
      </c>
      <c r="AX177" s="5">
        <f t="shared" si="478"/>
        <v>8.6849238918496319</v>
      </c>
      <c r="AY177" s="5">
        <f t="shared" si="479"/>
        <v>1.2476701945667863</v>
      </c>
      <c r="AZ177" s="5"/>
      <c r="BA177" s="150">
        <f t="shared" si="480"/>
        <v>1.1010225789657406</v>
      </c>
      <c r="BB177" s="150">
        <f t="shared" si="481"/>
        <v>1.391092789395141</v>
      </c>
      <c r="BC177" s="150">
        <f t="shared" si="482"/>
        <v>0.31095015292361983</v>
      </c>
      <c r="BD177" s="150"/>
      <c r="BE177" s="456">
        <f t="shared" si="483"/>
        <v>2.4245014387847413E-2</v>
      </c>
      <c r="BF177" s="456">
        <f t="shared" si="528"/>
        <v>7.8276411828617332E-2</v>
      </c>
      <c r="BG177" s="456">
        <f t="shared" si="529"/>
        <v>2.0635579819021702E-2</v>
      </c>
      <c r="BH177" s="456">
        <f t="shared" si="484"/>
        <v>1.9878644277425716E-3</v>
      </c>
      <c r="BI177">
        <f t="shared" si="485"/>
        <v>4.0002622682623465E-3</v>
      </c>
      <c r="BJ177" s="144">
        <f t="shared" si="600"/>
        <v>24.63584208728405</v>
      </c>
      <c r="BK177">
        <f t="shared" si="530"/>
        <v>0.11169889892832799</v>
      </c>
      <c r="BL177" s="144">
        <f t="shared" si="601"/>
        <v>129.14513273149137</v>
      </c>
      <c r="BM177" s="150">
        <f t="shared" si="531"/>
        <v>0.49948499999999996</v>
      </c>
      <c r="BN177" s="150">
        <f t="shared" si="532"/>
        <v>0.10405937499999998</v>
      </c>
      <c r="BO177" s="456"/>
      <c r="BQ177" s="144">
        <f t="shared" si="486"/>
        <v>603.54437499999995</v>
      </c>
      <c r="BR177" s="456">
        <f t="shared" si="487"/>
        <v>3.6367521581771117E-2</v>
      </c>
      <c r="BS177" s="456">
        <f t="shared" si="488"/>
        <v>5.8054174461214622E-2</v>
      </c>
      <c r="BT177" s="456">
        <f t="shared" si="489"/>
        <v>4.8344998801611277E-4</v>
      </c>
      <c r="BU177" s="456">
        <f t="shared" si="490"/>
        <v>6.8756148279333018E-2</v>
      </c>
      <c r="BV177" s="456"/>
      <c r="BW177" s="538">
        <f t="shared" si="533"/>
        <v>8.7674341491110908E-4</v>
      </c>
      <c r="BX177" s="144">
        <f t="shared" si="491"/>
        <v>164.538037725246</v>
      </c>
      <c r="BY177" s="150">
        <f t="shared" si="492"/>
        <v>0.89722754545673733</v>
      </c>
      <c r="BZ177" s="5">
        <f t="shared" si="493"/>
        <v>5.36</v>
      </c>
      <c r="CA177" s="150">
        <f t="shared" si="494"/>
        <v>0.85660941064734031</v>
      </c>
      <c r="CB177" s="5">
        <f t="shared" si="495"/>
        <v>85.660941064734033</v>
      </c>
      <c r="CC177">
        <f t="shared" si="496"/>
        <v>67</v>
      </c>
      <c r="CE177" s="59">
        <f t="shared" si="534"/>
        <v>-50</v>
      </c>
      <c r="CF177">
        <f t="shared" si="535"/>
        <v>-50</v>
      </c>
      <c r="CG177" s="150">
        <f t="shared" si="536"/>
        <v>0.57198633493024875</v>
      </c>
      <c r="CH177" s="150">
        <f t="shared" si="537"/>
        <v>0.31031053622728105</v>
      </c>
      <c r="CI177" s="147">
        <v>67</v>
      </c>
      <c r="CJ177" s="188">
        <f t="shared" si="602"/>
        <v>0.80400000000000005</v>
      </c>
      <c r="CK177" s="188">
        <f t="shared" si="538"/>
        <v>0.16750000000000001</v>
      </c>
      <c r="CL177" s="188">
        <f t="shared" si="539"/>
        <v>4.0200000000000005</v>
      </c>
      <c r="CM177" s="188">
        <f t="shared" si="540"/>
        <v>1.34</v>
      </c>
      <c r="CN177" s="465">
        <f t="shared" si="541"/>
        <v>9</v>
      </c>
      <c r="CO177" s="379">
        <f t="shared" si="542"/>
        <v>5.7</v>
      </c>
      <c r="CP177" s="379">
        <f t="shared" si="543"/>
        <v>14.7</v>
      </c>
      <c r="CQ177" s="379"/>
      <c r="CR177" s="188">
        <f t="shared" si="544"/>
        <v>0.375</v>
      </c>
      <c r="CS177" s="149">
        <f t="shared" si="545"/>
        <v>6.328125</v>
      </c>
      <c r="CT177" s="149">
        <f t="shared" si="546"/>
        <v>2.8125</v>
      </c>
      <c r="CU177" s="188">
        <f t="shared" si="547"/>
        <v>1.265625</v>
      </c>
      <c r="CV177" s="188">
        <f t="shared" si="548"/>
        <v>0.791015625</v>
      </c>
      <c r="CW177" s="188">
        <f t="shared" si="549"/>
        <v>5</v>
      </c>
      <c r="CX177" s="188">
        <f t="shared" si="550"/>
        <v>3.1762962962962966</v>
      </c>
      <c r="CY177" s="188">
        <f t="shared" si="551"/>
        <v>4.2350617283950625</v>
      </c>
      <c r="CZ177" s="188">
        <f t="shared" si="552"/>
        <v>6.6869395711500985</v>
      </c>
      <c r="DA177" s="172">
        <f t="shared" si="553"/>
        <v>290.81632653061229</v>
      </c>
      <c r="DB177" s="379">
        <f t="shared" si="554"/>
        <v>91.558311757538817</v>
      </c>
      <c r="DD177" s="188">
        <f t="shared" si="555"/>
        <v>0.99999999999999978</v>
      </c>
      <c r="DE177" s="150">
        <f t="shared" si="556"/>
        <v>2.1052631578947363</v>
      </c>
      <c r="DF177" s="150">
        <f t="shared" si="557"/>
        <v>0.2295918367346938</v>
      </c>
      <c r="DG177" s="150"/>
      <c r="DH177" s="150">
        <f t="shared" si="558"/>
        <v>2.1052631578947367</v>
      </c>
      <c r="DI177" s="314">
        <f t="shared" si="559"/>
        <v>763.80000000000007</v>
      </c>
      <c r="DJ177" s="456">
        <f t="shared" si="560"/>
        <v>0.3061224489795919</v>
      </c>
      <c r="DL177" s="150">
        <f t="shared" si="561"/>
        <v>1.5976172734359606</v>
      </c>
      <c r="DM177" s="150">
        <f t="shared" si="562"/>
        <v>3.1762962962962966</v>
      </c>
      <c r="DN177" s="150">
        <f t="shared" si="563"/>
        <v>2.8120713305898493</v>
      </c>
      <c r="DP177" s="314">
        <f t="shared" si="564"/>
        <v>804</v>
      </c>
      <c r="DQ177" s="144">
        <f t="shared" si="565"/>
        <v>91.558311757538817</v>
      </c>
      <c r="DS177">
        <f t="shared" si="566"/>
        <v>804</v>
      </c>
      <c r="DT177">
        <f t="shared" si="567"/>
        <v>91.558311757538817</v>
      </c>
      <c r="DV177" s="5">
        <f t="shared" si="568"/>
        <v>10.922001299545162</v>
      </c>
      <c r="DW177" s="5">
        <f t="shared" si="569"/>
        <v>4.2350617283950625</v>
      </c>
      <c r="DX177" s="5">
        <f t="shared" si="570"/>
        <v>6.6869395711500994</v>
      </c>
      <c r="DY177" s="150">
        <f t="shared" si="571"/>
        <v>0.38775510204081631</v>
      </c>
      <c r="EA177" s="5">
        <f t="shared" si="572"/>
        <v>68.099792592592607</v>
      </c>
      <c r="EB177" s="5">
        <f t="shared" si="573"/>
        <v>8.8671604938271624</v>
      </c>
      <c r="EC177" s="5">
        <f t="shared" si="574"/>
        <v>1.2445137535196018</v>
      </c>
      <c r="ED177" s="5"/>
      <c r="EE177" s="150">
        <f t="shared" si="575"/>
        <v>1.1419291025905107</v>
      </c>
      <c r="EF177" s="150">
        <f t="shared" si="576"/>
        <v>1.4349044028361919</v>
      </c>
      <c r="EG177" s="150">
        <f t="shared" si="577"/>
        <v>0.32074333710456054</v>
      </c>
      <c r="EH177" s="150"/>
      <c r="EI177" s="456">
        <f t="shared" si="578"/>
        <v>2.6080041506863383E-2</v>
      </c>
      <c r="EJ177" s="456">
        <f t="shared" si="579"/>
        <v>8.5499999999999979E-2</v>
      </c>
      <c r="EK177" s="456">
        <f t="shared" si="580"/>
        <v>1.1444788969692352E-2</v>
      </c>
      <c r="EL177" s="456">
        <f t="shared" si="581"/>
        <v>1.9784835587686564E-3</v>
      </c>
      <c r="EM177">
        <f t="shared" si="582"/>
        <v>4.0499999999999998E-3</v>
      </c>
      <c r="EN177" s="144">
        <f t="shared" si="583"/>
        <v>15.494788969692351</v>
      </c>
      <c r="EP177" s="144">
        <f t="shared" si="603"/>
        <v>129.05331403532435</v>
      </c>
      <c r="EQ177" s="150">
        <f t="shared" si="584"/>
        <v>0.56279999999999997</v>
      </c>
      <c r="ER177" s="150">
        <f t="shared" si="585"/>
        <v>7.4328124999999995E-2</v>
      </c>
      <c r="ES177" s="456"/>
      <c r="EU177" s="144">
        <f t="shared" si="497"/>
        <v>637.12812499999995</v>
      </c>
      <c r="EV177" s="456">
        <f t="shared" si="586"/>
        <v>3.9120062260295074E-2</v>
      </c>
      <c r="EW177" s="456">
        <f t="shared" si="587"/>
        <v>6.1768519358360655E-2</v>
      </c>
      <c r="EX177" s="456">
        <f t="shared" si="588"/>
        <v>5.1438144148484885E-4</v>
      </c>
      <c r="EY177" s="456">
        <f t="shared" si="589"/>
        <v>7.2113564882065384E-2</v>
      </c>
      <c r="EZ177" s="456"/>
      <c r="FA177" s="538">
        <f t="shared" si="590"/>
        <v>9.2371882086167802E-4</v>
      </c>
      <c r="FB177" s="144">
        <f t="shared" si="498"/>
        <v>174.44024676306762</v>
      </c>
      <c r="FC177" s="150">
        <f t="shared" si="591"/>
        <v>0.940621685798392</v>
      </c>
      <c r="FD177" s="5">
        <f t="shared" si="592"/>
        <v>5.36</v>
      </c>
      <c r="FE177" s="150">
        <f t="shared" si="593"/>
        <v>0.85070970251736366</v>
      </c>
      <c r="FF177" s="5">
        <f t="shared" si="594"/>
        <v>85.07097025173637</v>
      </c>
      <c r="FG177">
        <f t="shared" si="595"/>
        <v>67</v>
      </c>
      <c r="FI177" s="59">
        <f t="shared" si="596"/>
        <v>-50</v>
      </c>
      <c r="FJ177">
        <f t="shared" si="597"/>
        <v>-50</v>
      </c>
    </row>
    <row r="178" spans="5:166">
      <c r="E178" s="147">
        <v>68</v>
      </c>
      <c r="F178" s="188">
        <f t="shared" si="598"/>
        <v>0.81600000000000006</v>
      </c>
      <c r="G178" s="188">
        <f t="shared" si="499"/>
        <v>0.17</v>
      </c>
      <c r="H178" s="188">
        <f t="shared" si="500"/>
        <v>4.08</v>
      </c>
      <c r="I178" s="188">
        <f t="shared" si="501"/>
        <v>1.36</v>
      </c>
      <c r="J178" s="465">
        <f t="shared" si="502"/>
        <v>8.8878220312384588</v>
      </c>
      <c r="K178" s="379">
        <f t="shared" si="503"/>
        <v>5.7427982252460374</v>
      </c>
      <c r="L178" s="149">
        <f t="shared" si="504"/>
        <v>14.630620256484496</v>
      </c>
      <c r="M178" s="379"/>
      <c r="N178" s="188">
        <f t="shared" si="505"/>
        <v>0.39251912253691013</v>
      </c>
      <c r="O178" s="149">
        <f t="shared" si="506"/>
        <v>6.5412001968111326</v>
      </c>
      <c r="P178" s="149">
        <f t="shared" si="507"/>
        <v>2.9072000874716144</v>
      </c>
      <c r="Q178" s="188">
        <f t="shared" si="508"/>
        <v>1.3082400393622264</v>
      </c>
      <c r="R178" s="188">
        <f t="shared" si="509"/>
        <v>0.81765002460139158</v>
      </c>
      <c r="S178" s="188">
        <f t="shared" si="510"/>
        <v>5</v>
      </c>
      <c r="T178" s="188">
        <f t="shared" si="511"/>
        <v>3.118693723813116</v>
      </c>
      <c r="U178" s="188">
        <f t="shared" si="512"/>
        <v>4.2107419066471294</v>
      </c>
      <c r="V178" s="188">
        <f t="shared" si="513"/>
        <v>6.5167403098432963</v>
      </c>
      <c r="W178" s="172">
        <f t="shared" si="514"/>
        <v>290.72000874716156</v>
      </c>
      <c r="X178" s="379">
        <f t="shared" si="599"/>
        <v>91.512388690134117</v>
      </c>
      <c r="Z178" s="188">
        <f t="shared" si="515"/>
        <v>0.99999999999999978</v>
      </c>
      <c r="AA178" s="150">
        <f t="shared" si="516"/>
        <v>2.0895736763389219</v>
      </c>
      <c r="AB178" s="150">
        <f t="shared" si="517"/>
        <v>0.22780532904865866</v>
      </c>
      <c r="AC178" s="150"/>
      <c r="AD178" s="150">
        <f t="shared" si="518"/>
        <v>2.0895736763389223</v>
      </c>
      <c r="AE178" s="314">
        <f t="shared" si="519"/>
        <v>781.02055863346106</v>
      </c>
      <c r="AF178" s="456">
        <f t="shared" si="520"/>
        <v>0.30374043873154505</v>
      </c>
      <c r="AH178" s="150">
        <f t="shared" si="521"/>
        <v>1.6094956323259131</v>
      </c>
      <c r="AI178" s="150">
        <f t="shared" si="522"/>
        <v>3.118693723813116</v>
      </c>
      <c r="AJ178" s="150">
        <f t="shared" si="523"/>
        <v>2.7694027583800862</v>
      </c>
      <c r="AL178" s="314">
        <f t="shared" si="524"/>
        <v>816.00000000000011</v>
      </c>
      <c r="AM178" s="144">
        <f t="shared" si="525"/>
        <v>91.512388690134117</v>
      </c>
      <c r="AO178">
        <f t="shared" si="526"/>
        <v>816.00000000000011</v>
      </c>
      <c r="AP178">
        <f t="shared" si="527"/>
        <v>91.512388690134117</v>
      </c>
      <c r="AR178" s="5">
        <f t="shared" si="443"/>
        <v>10.927482216490425</v>
      </c>
      <c r="AS178" s="5">
        <f t="shared" si="440"/>
        <v>4.2107419066471294</v>
      </c>
      <c r="AT178" s="5">
        <f t="shared" si="441"/>
        <v>6.7167403098432956</v>
      </c>
      <c r="AU178" s="150">
        <f t="shared" si="442"/>
        <v>0.38533505003492852</v>
      </c>
      <c r="AW178" s="5">
        <f t="shared" si="477"/>
        <v>68.719307916481156</v>
      </c>
      <c r="AX178" s="5">
        <f t="shared" si="478"/>
        <v>8.9478265516251501</v>
      </c>
      <c r="AY178" s="5">
        <f t="shared" si="479"/>
        <v>1.2847307795543825</v>
      </c>
      <c r="AZ178" s="5"/>
      <c r="BA178" s="150">
        <f t="shared" si="480"/>
        <v>1.1177157121588652</v>
      </c>
      <c r="BB178" s="150">
        <f t="shared" si="481"/>
        <v>1.4116639476554991</v>
      </c>
      <c r="BC178" s="150">
        <f t="shared" si="482"/>
        <v>0.31554841182887627</v>
      </c>
      <c r="BD178" s="150"/>
      <c r="BE178" s="456">
        <f t="shared" si="483"/>
        <v>2.4985768264135982E-2</v>
      </c>
      <c r="BF178" s="456">
        <f t="shared" si="528"/>
        <v>7.8291863118753885E-2</v>
      </c>
      <c r="BG178" s="456">
        <f t="shared" si="529"/>
        <v>2.033364560828578E-2</v>
      </c>
      <c r="BH178" s="456">
        <f t="shared" si="484"/>
        <v>1.9588688853359897E-3</v>
      </c>
      <c r="BI178">
        <f t="shared" si="485"/>
        <v>3.9995199140573064E-3</v>
      </c>
      <c r="BJ178" s="144">
        <f t="shared" si="600"/>
        <v>24.333165522343087</v>
      </c>
      <c r="BK178">
        <f t="shared" si="530"/>
        <v>0.11265142624509696</v>
      </c>
      <c r="BL178" s="144">
        <f t="shared" si="601"/>
        <v>129.56966579056893</v>
      </c>
      <c r="BM178" s="150">
        <f t="shared" si="531"/>
        <v>0.50694000000000006</v>
      </c>
      <c r="BN178" s="150">
        <f t="shared" si="532"/>
        <v>0.10561249999999998</v>
      </c>
      <c r="BO178" s="456"/>
      <c r="BQ178" s="144">
        <f t="shared" si="486"/>
        <v>612.55250000000001</v>
      </c>
      <c r="BR178" s="456">
        <f t="shared" si="487"/>
        <v>3.7478652396203974E-2</v>
      </c>
      <c r="BS178" s="456">
        <f t="shared" si="488"/>
        <v>5.9783853033309221E-2</v>
      </c>
      <c r="BT178" s="456">
        <f t="shared" si="489"/>
        <v>4.9785400103863049E-4</v>
      </c>
      <c r="BU178" s="456">
        <f t="shared" si="490"/>
        <v>6.8802077023009764E-2</v>
      </c>
      <c r="BV178" s="456"/>
      <c r="BW178" s="538">
        <f t="shared" si="533"/>
        <v>8.900724201841892E-4</v>
      </c>
      <c r="BX178" s="144">
        <f t="shared" si="491"/>
        <v>167.45250887374578</v>
      </c>
      <c r="BY178" s="150">
        <f t="shared" si="492"/>
        <v>0.90957467466431485</v>
      </c>
      <c r="BZ178" s="5">
        <f t="shared" si="493"/>
        <v>5.44</v>
      </c>
      <c r="CA178" s="150">
        <f t="shared" si="494"/>
        <v>0.85675029883597653</v>
      </c>
      <c r="CB178" s="5">
        <f t="shared" si="495"/>
        <v>85.675029883597659</v>
      </c>
      <c r="CC178">
        <f t="shared" si="496"/>
        <v>68</v>
      </c>
      <c r="CE178" s="59">
        <f t="shared" si="534"/>
        <v>-50</v>
      </c>
      <c r="CF178">
        <f t="shared" si="535"/>
        <v>-50</v>
      </c>
      <c r="CG178" s="150">
        <f t="shared" si="536"/>
        <v>0.57198633493024875</v>
      </c>
      <c r="CH178" s="150">
        <f t="shared" si="537"/>
        <v>0.31031053622728111</v>
      </c>
      <c r="CI178" s="147">
        <v>68</v>
      </c>
      <c r="CJ178" s="188">
        <f t="shared" si="602"/>
        <v>0.81600000000000006</v>
      </c>
      <c r="CK178" s="188">
        <f t="shared" si="538"/>
        <v>0.17</v>
      </c>
      <c r="CL178" s="188">
        <f t="shared" si="539"/>
        <v>4.08</v>
      </c>
      <c r="CM178" s="188">
        <f t="shared" si="540"/>
        <v>1.36</v>
      </c>
      <c r="CN178" s="465">
        <f t="shared" si="541"/>
        <v>9</v>
      </c>
      <c r="CO178" s="379">
        <f t="shared" si="542"/>
        <v>5.7</v>
      </c>
      <c r="CP178" s="379">
        <f t="shared" si="543"/>
        <v>14.7</v>
      </c>
      <c r="CQ178" s="379"/>
      <c r="CR178" s="188">
        <f t="shared" si="544"/>
        <v>0.375</v>
      </c>
      <c r="CS178" s="149">
        <f t="shared" si="545"/>
        <v>6.328125</v>
      </c>
      <c r="CT178" s="149">
        <f t="shared" si="546"/>
        <v>2.8125</v>
      </c>
      <c r="CU178" s="188">
        <f t="shared" si="547"/>
        <v>1.265625</v>
      </c>
      <c r="CV178" s="188">
        <f t="shared" si="548"/>
        <v>0.791015625</v>
      </c>
      <c r="CW178" s="188">
        <f t="shared" si="549"/>
        <v>5</v>
      </c>
      <c r="CX178" s="188">
        <f t="shared" si="550"/>
        <v>3.2237037037037037</v>
      </c>
      <c r="CY178" s="188">
        <f t="shared" si="551"/>
        <v>4.2982716049382717</v>
      </c>
      <c r="CZ178" s="188">
        <f t="shared" si="552"/>
        <v>6.7867446393762183</v>
      </c>
      <c r="DA178" s="172">
        <f t="shared" si="553"/>
        <v>290.81632653061229</v>
      </c>
      <c r="DB178" s="379">
        <f t="shared" si="554"/>
        <v>90.211865996398558</v>
      </c>
      <c r="DD178" s="188">
        <f t="shared" si="555"/>
        <v>0.99999999999999978</v>
      </c>
      <c r="DE178" s="150">
        <f t="shared" si="556"/>
        <v>2.1052631578947363</v>
      </c>
      <c r="DF178" s="150">
        <f t="shared" si="557"/>
        <v>0.2295918367346938</v>
      </c>
      <c r="DG178" s="150"/>
      <c r="DH178" s="150">
        <f t="shared" si="558"/>
        <v>2.1052631578947367</v>
      </c>
      <c r="DI178" s="314">
        <f t="shared" si="559"/>
        <v>775.20000000000016</v>
      </c>
      <c r="DJ178" s="456">
        <f t="shared" si="560"/>
        <v>0.3061224489795919</v>
      </c>
      <c r="DL178" s="150">
        <f t="shared" si="561"/>
        <v>1.6094956323259131</v>
      </c>
      <c r="DM178" s="150">
        <f t="shared" si="562"/>
        <v>3.2237037037037037</v>
      </c>
      <c r="DN178" s="150">
        <f t="shared" si="563"/>
        <v>2.8471879286694102</v>
      </c>
      <c r="DP178" s="314">
        <f t="shared" si="564"/>
        <v>816.00000000000011</v>
      </c>
      <c r="DQ178" s="144">
        <f t="shared" si="565"/>
        <v>90.211865996398558</v>
      </c>
      <c r="DS178">
        <f t="shared" si="566"/>
        <v>816.00000000000011</v>
      </c>
      <c r="DT178">
        <f t="shared" si="567"/>
        <v>90.211865996398558</v>
      </c>
      <c r="DV178" s="5">
        <f t="shared" si="568"/>
        <v>11.08501624431449</v>
      </c>
      <c r="DW178" s="5">
        <f t="shared" si="569"/>
        <v>4.2982716049382717</v>
      </c>
      <c r="DX178" s="5">
        <f t="shared" si="570"/>
        <v>6.7867446393762183</v>
      </c>
      <c r="DY178" s="150">
        <f t="shared" si="571"/>
        <v>0.38775510204081631</v>
      </c>
      <c r="EA178" s="5">
        <f t="shared" si="572"/>
        <v>70.147792592592594</v>
      </c>
      <c r="EB178" s="5">
        <f t="shared" si="573"/>
        <v>9.1338271604938264</v>
      </c>
      <c r="EC178" s="5">
        <f t="shared" si="574"/>
        <v>1.2819406541043967</v>
      </c>
      <c r="ED178" s="5"/>
      <c r="EE178" s="150">
        <f t="shared" si="575"/>
        <v>1.1589728205396228</v>
      </c>
      <c r="EF178" s="150">
        <f t="shared" si="576"/>
        <v>1.4563208864606125</v>
      </c>
      <c r="EG178" s="150">
        <f t="shared" si="577"/>
        <v>0.32553055109119577</v>
      </c>
      <c r="EH178" s="150"/>
      <c r="EI178" s="456">
        <f t="shared" si="578"/>
        <v>2.6864359974991373E-2</v>
      </c>
      <c r="EJ178" s="456">
        <f t="shared" si="579"/>
        <v>8.5500000000000007E-2</v>
      </c>
      <c r="EK178" s="456">
        <f t="shared" si="580"/>
        <v>1.1276483249549819E-2</v>
      </c>
      <c r="EL178" s="456">
        <f t="shared" si="581"/>
        <v>1.9493882123161762E-3</v>
      </c>
      <c r="EM178">
        <f t="shared" si="582"/>
        <v>4.0499999999999998E-3</v>
      </c>
      <c r="EN178" s="144">
        <f t="shared" si="583"/>
        <v>15.326483249549819</v>
      </c>
      <c r="EP178" s="144">
        <f t="shared" si="603"/>
        <v>129.64023143685739</v>
      </c>
      <c r="EQ178" s="150">
        <f t="shared" si="584"/>
        <v>0.57120000000000004</v>
      </c>
      <c r="ER178" s="150">
        <f t="shared" si="585"/>
        <v>7.5437500000000005E-2</v>
      </c>
      <c r="ES178" s="456"/>
      <c r="EU178" s="144">
        <f t="shared" si="497"/>
        <v>646.63750000000005</v>
      </c>
      <c r="EV178" s="456">
        <f t="shared" si="586"/>
        <v>4.0296539962487062E-2</v>
      </c>
      <c r="EW178" s="456">
        <f t="shared" si="587"/>
        <v>6.3626115730242724E-2</v>
      </c>
      <c r="EX178" s="456">
        <f t="shared" si="588"/>
        <v>5.2985069846868816E-4</v>
      </c>
      <c r="EY178" s="456">
        <f t="shared" si="589"/>
        <v>7.2113564882065398E-2</v>
      </c>
      <c r="EZ178" s="456"/>
      <c r="FA178" s="538">
        <f t="shared" si="590"/>
        <v>9.375056689342404E-4</v>
      </c>
      <c r="FB178" s="144">
        <f t="shared" si="498"/>
        <v>177.50357694219812</v>
      </c>
      <c r="FC178" s="150">
        <f t="shared" si="591"/>
        <v>0.9537813083790555</v>
      </c>
      <c r="FD178" s="5">
        <f t="shared" si="592"/>
        <v>5.44</v>
      </c>
      <c r="FE178" s="150">
        <f t="shared" si="593"/>
        <v>0.85082672328358733</v>
      </c>
      <c r="FF178" s="5">
        <f t="shared" si="594"/>
        <v>85.08267232835874</v>
      </c>
      <c r="FG178">
        <f t="shared" si="595"/>
        <v>68</v>
      </c>
      <c r="FI178" s="59">
        <f t="shared" si="596"/>
        <v>-50</v>
      </c>
      <c r="FJ178">
        <f t="shared" si="597"/>
        <v>-50</v>
      </c>
    </row>
    <row r="179" spans="5:166">
      <c r="E179" s="147">
        <v>69</v>
      </c>
      <c r="F179" s="188">
        <f t="shared" si="598"/>
        <v>0.82799999999999996</v>
      </c>
      <c r="G179" s="188">
        <f t="shared" si="499"/>
        <v>0.17249999999999999</v>
      </c>
      <c r="H179" s="188">
        <f t="shared" si="500"/>
        <v>4.1399999999999997</v>
      </c>
      <c r="I179" s="188">
        <f t="shared" si="501"/>
        <v>1.38</v>
      </c>
      <c r="J179" s="465">
        <f t="shared" si="502"/>
        <v>8.8861723552272611</v>
      </c>
      <c r="K179" s="379">
        <f t="shared" si="503"/>
        <v>5.7434276109114197</v>
      </c>
      <c r="L179" s="149">
        <f t="shared" si="504"/>
        <v>14.629599966138681</v>
      </c>
      <c r="M179" s="379"/>
      <c r="N179" s="188">
        <f t="shared" si="505"/>
        <v>0.39258951879784948</v>
      </c>
      <c r="O179" s="149">
        <f t="shared" si="506"/>
        <v>6.541158991675168</v>
      </c>
      <c r="P179" s="149">
        <f t="shared" si="507"/>
        <v>2.9071817740778525</v>
      </c>
      <c r="Q179" s="188">
        <f t="shared" si="508"/>
        <v>1.3082317983350336</v>
      </c>
      <c r="R179" s="188">
        <f t="shared" si="509"/>
        <v>0.817644873959396</v>
      </c>
      <c r="S179" s="188">
        <f t="shared" si="510"/>
        <v>5</v>
      </c>
      <c r="T179" s="188">
        <f t="shared" si="511"/>
        <v>3.1645768015033067</v>
      </c>
      <c r="U179" s="188">
        <f t="shared" si="512"/>
        <v>4.2734847018470292</v>
      </c>
      <c r="V179" s="188">
        <f t="shared" si="513"/>
        <v>6.6118917466452531</v>
      </c>
      <c r="W179" s="172">
        <f t="shared" si="514"/>
        <v>290.71817740778528</v>
      </c>
      <c r="X179" s="379">
        <f t="shared" si="599"/>
        <v>90.208934684938882</v>
      </c>
      <c r="Z179" s="188">
        <f t="shared" si="515"/>
        <v>1</v>
      </c>
      <c r="AA179" s="150">
        <f t="shared" si="516"/>
        <v>2.0893446932633544</v>
      </c>
      <c r="AB179" s="150">
        <f t="shared" si="517"/>
        <v>0.22777893045080647</v>
      </c>
      <c r="AC179" s="150"/>
      <c r="AD179" s="150">
        <f t="shared" si="518"/>
        <v>2.0893446932633544</v>
      </c>
      <c r="AE179" s="314">
        <f t="shared" si="519"/>
        <v>792.59301030577592</v>
      </c>
      <c r="AF179" s="456">
        <f t="shared" si="520"/>
        <v>0.30370524060107529</v>
      </c>
      <c r="AH179" s="150">
        <f t="shared" si="521"/>
        <v>1.6212869667555549</v>
      </c>
      <c r="AI179" s="150">
        <f t="shared" si="522"/>
        <v>3.1645768015033067</v>
      </c>
      <c r="AJ179" s="150">
        <f t="shared" si="523"/>
        <v>2.8033902233357826</v>
      </c>
      <c r="AL179" s="314">
        <f t="shared" si="524"/>
        <v>828</v>
      </c>
      <c r="AM179" s="144">
        <f t="shared" si="525"/>
        <v>90.208934684938882</v>
      </c>
      <c r="AO179">
        <f t="shared" si="526"/>
        <v>828</v>
      </c>
      <c r="AP179">
        <f t="shared" si="527"/>
        <v>90.208934684938882</v>
      </c>
      <c r="AR179" s="5">
        <f t="shared" si="443"/>
        <v>11.085376448492282</v>
      </c>
      <c r="AS179" s="5">
        <f t="shared" ref="AS179:AS242" si="604">L*AI179/J179*1000000</f>
        <v>4.2734847018470292</v>
      </c>
      <c r="AT179" s="5">
        <f t="shared" ref="AT179:AT242" si="605">AR179-AS179</f>
        <v>6.8118917466452524</v>
      </c>
      <c r="AU179" s="150">
        <f t="shared" ref="AU179:AU242" si="606">AS179/AR179</f>
        <v>0.3855065023460042</v>
      </c>
      <c r="AW179" s="5">
        <f t="shared" si="477"/>
        <v>70.768906662586801</v>
      </c>
      <c r="AX179" s="5">
        <f t="shared" si="478"/>
        <v>9.2147013883576552</v>
      </c>
      <c r="AY179" s="5">
        <f t="shared" si="479"/>
        <v>1.3223368615004254</v>
      </c>
      <c r="AZ179" s="5"/>
      <c r="BA179" s="150">
        <f t="shared" si="480"/>
        <v>1.1344121428104812</v>
      </c>
      <c r="BB179" s="150">
        <f t="shared" si="481"/>
        <v>1.4322329423369295</v>
      </c>
      <c r="BC179" s="150">
        <f t="shared" si="482"/>
        <v>0.32014618711060777</v>
      </c>
      <c r="BD179" s="150"/>
      <c r="BE179" s="456">
        <f t="shared" si="483"/>
        <v>2.5737818195117352E-2</v>
      </c>
      <c r="BF179" s="456">
        <f t="shared" si="528"/>
        <v>7.8306699060746818E-2</v>
      </c>
      <c r="BG179" s="456">
        <f t="shared" si="529"/>
        <v>2.0040303539795138E-2</v>
      </c>
      <c r="BH179" s="456">
        <f t="shared" si="484"/>
        <v>1.9306984851953711E-3</v>
      </c>
      <c r="BI179">
        <f t="shared" si="485"/>
        <v>3.9987775598522672E-3</v>
      </c>
      <c r="BJ179" s="144">
        <f t="shared" si="600"/>
        <v>24.039081099647404</v>
      </c>
      <c r="BK179">
        <f t="shared" si="530"/>
        <v>0.11361924304737563</v>
      </c>
      <c r="BL179" s="144">
        <f t="shared" si="601"/>
        <v>130.01429684070692</v>
      </c>
      <c r="BM179" s="150">
        <f t="shared" si="531"/>
        <v>0.51439499999999982</v>
      </c>
      <c r="BN179" s="150">
        <f t="shared" si="532"/>
        <v>0.10716562499999997</v>
      </c>
      <c r="BO179" s="456"/>
      <c r="BQ179" s="144">
        <f t="shared" si="486"/>
        <v>621.56062499999973</v>
      </c>
      <c r="BR179" s="456">
        <f t="shared" si="487"/>
        <v>3.860672729267603E-2</v>
      </c>
      <c r="BS179" s="456">
        <f t="shared" si="488"/>
        <v>6.1538736033452959E-2</v>
      </c>
      <c r="BT179" s="456">
        <f t="shared" si="489"/>
        <v>5.1246790560730145E-4</v>
      </c>
      <c r="BU179" s="456">
        <f t="shared" si="490"/>
        <v>6.8846678048036472E-2</v>
      </c>
      <c r="BV179" s="456"/>
      <c r="BW179" s="538">
        <f t="shared" si="533"/>
        <v>9.0340155601797121E-4</v>
      </c>
      <c r="BX179" s="144">
        <f t="shared" si="491"/>
        <v>170.40801083579075</v>
      </c>
      <c r="BY179" s="150">
        <f t="shared" si="492"/>
        <v>0.92198293267649734</v>
      </c>
      <c r="BZ179" s="5">
        <f t="shared" si="493"/>
        <v>5.52</v>
      </c>
      <c r="CA179" s="150">
        <f t="shared" si="494"/>
        <v>0.85687901655252685</v>
      </c>
      <c r="CB179" s="5">
        <f t="shared" si="495"/>
        <v>85.687901655252688</v>
      </c>
      <c r="CC179">
        <f t="shared" si="496"/>
        <v>69</v>
      </c>
      <c r="CE179" s="59">
        <f t="shared" si="534"/>
        <v>-50</v>
      </c>
      <c r="CF179">
        <f t="shared" si="535"/>
        <v>-50</v>
      </c>
      <c r="CG179" s="150">
        <f t="shared" si="536"/>
        <v>0.57198633493024886</v>
      </c>
      <c r="CH179" s="150">
        <f t="shared" si="537"/>
        <v>0.31031053622728111</v>
      </c>
      <c r="CI179" s="147">
        <v>69</v>
      </c>
      <c r="CJ179" s="188">
        <f t="shared" si="602"/>
        <v>0.82799999999999996</v>
      </c>
      <c r="CK179" s="188">
        <f t="shared" si="538"/>
        <v>0.17249999999999999</v>
      </c>
      <c r="CL179" s="188">
        <f t="shared" si="539"/>
        <v>4.1399999999999997</v>
      </c>
      <c r="CM179" s="188">
        <f t="shared" si="540"/>
        <v>1.38</v>
      </c>
      <c r="CN179" s="465">
        <f t="shared" si="541"/>
        <v>9</v>
      </c>
      <c r="CO179" s="379">
        <f t="shared" si="542"/>
        <v>5.7</v>
      </c>
      <c r="CP179" s="379">
        <f t="shared" si="543"/>
        <v>14.7</v>
      </c>
      <c r="CQ179" s="379"/>
      <c r="CR179" s="188">
        <f t="shared" si="544"/>
        <v>0.375</v>
      </c>
      <c r="CS179" s="149">
        <f t="shared" si="545"/>
        <v>6.328125</v>
      </c>
      <c r="CT179" s="149">
        <f t="shared" si="546"/>
        <v>2.8125</v>
      </c>
      <c r="CU179" s="188">
        <f t="shared" si="547"/>
        <v>1.265625</v>
      </c>
      <c r="CV179" s="188">
        <f t="shared" si="548"/>
        <v>0.791015625</v>
      </c>
      <c r="CW179" s="188">
        <f t="shared" si="549"/>
        <v>5</v>
      </c>
      <c r="CX179" s="188">
        <f t="shared" si="550"/>
        <v>3.2711111111111109</v>
      </c>
      <c r="CY179" s="188">
        <f t="shared" si="551"/>
        <v>4.3614814814814808</v>
      </c>
      <c r="CZ179" s="188">
        <f t="shared" si="552"/>
        <v>6.886549707602339</v>
      </c>
      <c r="DA179" s="172">
        <f t="shared" si="553"/>
        <v>290.81632653061229</v>
      </c>
      <c r="DB179" s="379">
        <f t="shared" si="554"/>
        <v>88.904447648624682</v>
      </c>
      <c r="DD179" s="188">
        <f t="shared" si="555"/>
        <v>0.99999999999999978</v>
      </c>
      <c r="DE179" s="150">
        <f t="shared" si="556"/>
        <v>2.1052631578947363</v>
      </c>
      <c r="DF179" s="150">
        <f t="shared" si="557"/>
        <v>0.2295918367346938</v>
      </c>
      <c r="DG179" s="150"/>
      <c r="DH179" s="150">
        <f t="shared" si="558"/>
        <v>2.1052631578947367</v>
      </c>
      <c r="DI179" s="314">
        <f t="shared" si="559"/>
        <v>786.6</v>
      </c>
      <c r="DJ179" s="456">
        <f t="shared" si="560"/>
        <v>0.3061224489795919</v>
      </c>
      <c r="DL179" s="150">
        <f t="shared" si="561"/>
        <v>1.6212869667555549</v>
      </c>
      <c r="DM179" s="150">
        <f t="shared" si="562"/>
        <v>3.2711111111111109</v>
      </c>
      <c r="DN179" s="150">
        <f t="shared" si="563"/>
        <v>2.8823045267489711</v>
      </c>
      <c r="DP179" s="314">
        <f t="shared" si="564"/>
        <v>828</v>
      </c>
      <c r="DQ179" s="144">
        <f t="shared" si="565"/>
        <v>88.904447648624682</v>
      </c>
      <c r="DS179">
        <f t="shared" si="566"/>
        <v>828</v>
      </c>
      <c r="DT179">
        <f t="shared" si="567"/>
        <v>88.904447648624682</v>
      </c>
      <c r="DV179" s="5">
        <f t="shared" si="568"/>
        <v>11.248031189083818</v>
      </c>
      <c r="DW179" s="5">
        <f t="shared" si="569"/>
        <v>4.3614814814814808</v>
      </c>
      <c r="DX179" s="5">
        <f t="shared" si="570"/>
        <v>6.8865497076023372</v>
      </c>
      <c r="DY179" s="150">
        <f t="shared" si="571"/>
        <v>0.38775510204081637</v>
      </c>
      <c r="EA179" s="5">
        <f t="shared" si="572"/>
        <v>72.226133333333323</v>
      </c>
      <c r="EB179" s="5">
        <f t="shared" si="573"/>
        <v>9.4044444444444402</v>
      </c>
      <c r="EC179" s="5">
        <f t="shared" si="574"/>
        <v>1.3199220272904477</v>
      </c>
      <c r="ED179" s="5"/>
      <c r="EE179" s="150">
        <f t="shared" si="575"/>
        <v>1.1760165384887347</v>
      </c>
      <c r="EF179" s="150">
        <f t="shared" si="576"/>
        <v>1.4777373700850331</v>
      </c>
      <c r="EG179" s="150">
        <f t="shared" si="577"/>
        <v>0.33031776507783095</v>
      </c>
      <c r="EH179" s="150"/>
      <c r="EI179" s="456">
        <f t="shared" si="578"/>
        <v>2.7660297975980512E-2</v>
      </c>
      <c r="EJ179" s="456">
        <f t="shared" si="579"/>
        <v>8.5500000000000007E-2</v>
      </c>
      <c r="EK179" s="456">
        <f t="shared" si="580"/>
        <v>1.1113055956078083E-2</v>
      </c>
      <c r="EL179" s="456">
        <f t="shared" si="581"/>
        <v>1.9211362092391305E-3</v>
      </c>
      <c r="EM179">
        <f t="shared" si="582"/>
        <v>4.0499999999999998E-3</v>
      </c>
      <c r="EN179" s="144">
        <f t="shared" si="583"/>
        <v>15.163055956078082</v>
      </c>
      <c r="EP179" s="144">
        <f t="shared" si="603"/>
        <v>130.24449014129775</v>
      </c>
      <c r="EQ179" s="150">
        <f t="shared" si="584"/>
        <v>0.57959999999999989</v>
      </c>
      <c r="ER179" s="150">
        <f t="shared" si="585"/>
        <v>7.6546874999999986E-2</v>
      </c>
      <c r="ES179" s="456"/>
      <c r="EU179" s="144">
        <f t="shared" si="497"/>
        <v>656.14687499999991</v>
      </c>
      <c r="EV179" s="456">
        <f t="shared" si="586"/>
        <v>4.1490446963970765E-2</v>
      </c>
      <c r="EW179" s="456">
        <f t="shared" si="587"/>
        <v>6.5511232048374904E-2</v>
      </c>
      <c r="EX179" s="456">
        <f t="shared" si="588"/>
        <v>5.4554912963006557E-4</v>
      </c>
      <c r="EY179" s="456">
        <f t="shared" si="589"/>
        <v>7.2113564882065453E-2</v>
      </c>
      <c r="EZ179" s="456"/>
      <c r="FA179" s="538">
        <f t="shared" si="590"/>
        <v>9.5129251700680278E-4</v>
      </c>
      <c r="FB179" s="144">
        <f t="shared" si="498"/>
        <v>180.612085541048</v>
      </c>
      <c r="FC179" s="150">
        <f t="shared" si="591"/>
        <v>0.96700345068234572</v>
      </c>
      <c r="FD179" s="5">
        <f t="shared" si="592"/>
        <v>5.52</v>
      </c>
      <c r="FE179" s="150">
        <f t="shared" si="593"/>
        <v>0.85093218185653496</v>
      </c>
      <c r="FF179" s="5">
        <f t="shared" si="594"/>
        <v>85.093218185653498</v>
      </c>
      <c r="FG179">
        <f t="shared" si="595"/>
        <v>69</v>
      </c>
      <c r="FI179" s="59">
        <f t="shared" si="596"/>
        <v>-50</v>
      </c>
      <c r="FJ179">
        <f t="shared" si="597"/>
        <v>-50</v>
      </c>
    </row>
    <row r="180" spans="5:166">
      <c r="E180" s="147">
        <v>70</v>
      </c>
      <c r="F180" s="188">
        <f t="shared" si="598"/>
        <v>0.84</v>
      </c>
      <c r="G180" s="188">
        <f t="shared" si="499"/>
        <v>0.17499999999999999</v>
      </c>
      <c r="H180" s="188">
        <f t="shared" si="500"/>
        <v>4.2</v>
      </c>
      <c r="I180" s="188">
        <f t="shared" si="501"/>
        <v>1.4</v>
      </c>
      <c r="J180" s="465">
        <f t="shared" si="502"/>
        <v>8.8845226792160616</v>
      </c>
      <c r="K180" s="379">
        <f t="shared" si="503"/>
        <v>5.7440569965768029</v>
      </c>
      <c r="L180" s="149">
        <f t="shared" si="504"/>
        <v>14.628579675792864</v>
      </c>
      <c r="M180" s="379"/>
      <c r="N180" s="188">
        <f t="shared" si="505"/>
        <v>0.39265992487855639</v>
      </c>
      <c r="O180" s="149">
        <f t="shared" si="506"/>
        <v>6.5411175146302671</v>
      </c>
      <c r="P180" s="149">
        <f t="shared" si="507"/>
        <v>2.907163339835674</v>
      </c>
      <c r="Q180" s="188">
        <f t="shared" si="508"/>
        <v>1.3082235029260534</v>
      </c>
      <c r="R180" s="188">
        <f t="shared" si="509"/>
        <v>0.81763968932878339</v>
      </c>
      <c r="S180" s="188">
        <f t="shared" si="510"/>
        <v>5</v>
      </c>
      <c r="T180" s="188">
        <f t="shared" si="511"/>
        <v>3.2104605907217079</v>
      </c>
      <c r="U180" s="188">
        <f t="shared" si="512"/>
        <v>4.3362517582159912</v>
      </c>
      <c r="V180" s="188">
        <f t="shared" si="513"/>
        <v>6.7070238181167001</v>
      </c>
      <c r="W180" s="172">
        <f t="shared" si="514"/>
        <v>290.71633398356744</v>
      </c>
      <c r="X180" s="379">
        <f t="shared" si="599"/>
        <v>88.942051914570087</v>
      </c>
      <c r="Z180" s="188">
        <f t="shared" si="515"/>
        <v>1</v>
      </c>
      <c r="AA180" s="150">
        <f t="shared" si="516"/>
        <v>2.089115760367882</v>
      </c>
      <c r="AB180" s="150">
        <f t="shared" si="517"/>
        <v>0.22775252817054137</v>
      </c>
      <c r="AC180" s="150"/>
      <c r="AD180" s="150">
        <f t="shared" si="518"/>
        <v>2.089115760367882</v>
      </c>
      <c r="AE180" s="314">
        <f t="shared" si="519"/>
        <v>804.16797952075228</v>
      </c>
      <c r="AF180" s="456">
        <f t="shared" si="520"/>
        <v>0.30367003756072181</v>
      </c>
      <c r="AH180" s="150">
        <f t="shared" si="521"/>
        <v>1.6329931618554521</v>
      </c>
      <c r="AI180" s="150">
        <f t="shared" si="522"/>
        <v>3.2104605907217079</v>
      </c>
      <c r="AJ180" s="150">
        <f t="shared" si="523"/>
        <v>2.8373782153494131</v>
      </c>
      <c r="AL180" s="314">
        <f t="shared" si="524"/>
        <v>840</v>
      </c>
      <c r="AM180" s="144">
        <f t="shared" si="525"/>
        <v>88.942051914570087</v>
      </c>
      <c r="AO180">
        <f t="shared" si="526"/>
        <v>840</v>
      </c>
      <c r="AP180">
        <f t="shared" si="527"/>
        <v>88.942051914570087</v>
      </c>
      <c r="AR180" s="5">
        <f t="shared" si="443"/>
        <v>11.243275576332691</v>
      </c>
      <c r="AS180" s="5">
        <f t="shared" si="604"/>
        <v>4.3362517582159912</v>
      </c>
      <c r="AT180" s="5">
        <f t="shared" si="605"/>
        <v>6.9070238181166994</v>
      </c>
      <c r="AU180" s="150">
        <f t="shared" si="606"/>
        <v>0.38567512899389245</v>
      </c>
      <c r="AW180" s="5">
        <f t="shared" si="477"/>
        <v>72.849029538028645</v>
      </c>
      <c r="AX180" s="5">
        <f t="shared" si="478"/>
        <v>9.4855507210974785</v>
      </c>
      <c r="AY180" s="5">
        <f t="shared" si="479"/>
        <v>1.3604885842635681</v>
      </c>
      <c r="AZ180" s="5"/>
      <c r="BA180" s="150">
        <f t="shared" si="480"/>
        <v>1.1511118707468202</v>
      </c>
      <c r="BB180" s="150">
        <f t="shared" si="481"/>
        <v>1.4527997783193716</v>
      </c>
      <c r="BC180" s="150">
        <f t="shared" si="482"/>
        <v>0.32474347985962426</v>
      </c>
      <c r="BD180" s="150"/>
      <c r="BE180" s="456">
        <f t="shared" si="483"/>
        <v>2.6501170779484884E-2</v>
      </c>
      <c r="BF180" s="456">
        <f t="shared" si="528"/>
        <v>7.8320945420634336E-2</v>
      </c>
      <c r="BG180" s="456">
        <f t="shared" si="529"/>
        <v>1.9755191934275256E-2</v>
      </c>
      <c r="BH180" s="456">
        <f t="shared" si="484"/>
        <v>1.9033184936023838E-3</v>
      </c>
      <c r="BI180">
        <f t="shared" si="485"/>
        <v>3.998035205647228E-3</v>
      </c>
      <c r="BJ180" s="144">
        <f t="shared" si="600"/>
        <v>23.753227139922487</v>
      </c>
      <c r="BK180">
        <f t="shared" si="530"/>
        <v>0.11460236501502881</v>
      </c>
      <c r="BL180" s="144">
        <f t="shared" si="601"/>
        <v>130.47866183364408</v>
      </c>
      <c r="BM180" s="150">
        <f t="shared" si="531"/>
        <v>0.52184999999999993</v>
      </c>
      <c r="BN180" s="150">
        <f t="shared" si="532"/>
        <v>0.10871874999999998</v>
      </c>
      <c r="BO180" s="456"/>
      <c r="BQ180" s="144">
        <f t="shared" si="486"/>
        <v>630.56874999999991</v>
      </c>
      <c r="BR180" s="456">
        <f t="shared" si="487"/>
        <v>3.9751756169227326E-2</v>
      </c>
      <c r="BS180" s="456">
        <f t="shared" si="488"/>
        <v>6.3318815876544449E-2</v>
      </c>
      <c r="BT180" s="456">
        <f t="shared" si="489"/>
        <v>5.2729163855669097E-4</v>
      </c>
      <c r="BU180" s="456">
        <f t="shared" si="490"/>
        <v>6.8890006163597736E-2</v>
      </c>
      <c r="BV180" s="456"/>
      <c r="BW180" s="538">
        <f t="shared" si="533"/>
        <v>9.1673081697594679E-4</v>
      </c>
      <c r="BX180" s="144">
        <f t="shared" si="491"/>
        <v>173.40460066490212</v>
      </c>
      <c r="BY180" s="150">
        <f t="shared" si="492"/>
        <v>0.93445201249854615</v>
      </c>
      <c r="BZ180" s="5">
        <f t="shared" si="493"/>
        <v>5.6</v>
      </c>
      <c r="CA180" s="150">
        <f t="shared" si="494"/>
        <v>0.856996116780534</v>
      </c>
      <c r="CB180" s="5">
        <f t="shared" si="495"/>
        <v>85.699611678053401</v>
      </c>
      <c r="CC180">
        <f t="shared" si="496"/>
        <v>70</v>
      </c>
      <c r="CE180" s="59">
        <f t="shared" si="534"/>
        <v>-50</v>
      </c>
      <c r="CF180">
        <f t="shared" si="535"/>
        <v>-50</v>
      </c>
      <c r="CG180" s="150">
        <f t="shared" si="536"/>
        <v>0.57198633493024875</v>
      </c>
      <c r="CH180" s="150">
        <f t="shared" si="537"/>
        <v>0.31031053622728111</v>
      </c>
      <c r="CI180" s="147">
        <v>70</v>
      </c>
      <c r="CJ180" s="188">
        <f t="shared" si="602"/>
        <v>0.84</v>
      </c>
      <c r="CK180" s="188">
        <f t="shared" si="538"/>
        <v>0.17499999999999999</v>
      </c>
      <c r="CL180" s="188">
        <f t="shared" si="539"/>
        <v>4.2</v>
      </c>
      <c r="CM180" s="188">
        <f t="shared" si="540"/>
        <v>1.4</v>
      </c>
      <c r="CN180" s="465">
        <f t="shared" si="541"/>
        <v>9</v>
      </c>
      <c r="CO180" s="379">
        <f t="shared" si="542"/>
        <v>5.7</v>
      </c>
      <c r="CP180" s="379">
        <f t="shared" si="543"/>
        <v>14.7</v>
      </c>
      <c r="CQ180" s="379"/>
      <c r="CR180" s="188">
        <f t="shared" si="544"/>
        <v>0.375</v>
      </c>
      <c r="CS180" s="149">
        <f t="shared" si="545"/>
        <v>6.328125</v>
      </c>
      <c r="CT180" s="149">
        <f t="shared" si="546"/>
        <v>2.8125</v>
      </c>
      <c r="CU180" s="188">
        <f t="shared" si="547"/>
        <v>1.265625</v>
      </c>
      <c r="CV180" s="188">
        <f t="shared" si="548"/>
        <v>0.791015625</v>
      </c>
      <c r="CW180" s="188">
        <f t="shared" si="549"/>
        <v>5</v>
      </c>
      <c r="CX180" s="188">
        <f t="shared" si="550"/>
        <v>3.3185185185185184</v>
      </c>
      <c r="CY180" s="188">
        <f t="shared" si="551"/>
        <v>4.4246913580246918</v>
      </c>
      <c r="CZ180" s="188">
        <f t="shared" si="552"/>
        <v>6.9863547758284605</v>
      </c>
      <c r="DA180" s="172">
        <f t="shared" si="553"/>
        <v>290.81632653061229</v>
      </c>
      <c r="DB180" s="379">
        <f t="shared" si="554"/>
        <v>87.634384110787167</v>
      </c>
      <c r="DD180" s="188">
        <f t="shared" si="555"/>
        <v>0.99999999999999978</v>
      </c>
      <c r="DE180" s="150">
        <f t="shared" si="556"/>
        <v>2.1052631578947363</v>
      </c>
      <c r="DF180" s="150">
        <f t="shared" si="557"/>
        <v>0.2295918367346938</v>
      </c>
      <c r="DG180" s="150"/>
      <c r="DH180" s="150">
        <f t="shared" si="558"/>
        <v>2.1052631578947367</v>
      </c>
      <c r="DI180" s="314">
        <f t="shared" si="559"/>
        <v>798</v>
      </c>
      <c r="DJ180" s="456">
        <f t="shared" si="560"/>
        <v>0.3061224489795919</v>
      </c>
      <c r="DL180" s="150">
        <f t="shared" si="561"/>
        <v>1.6329931618554521</v>
      </c>
      <c r="DM180" s="150">
        <f t="shared" si="562"/>
        <v>3.3185185185185184</v>
      </c>
      <c r="DN180" s="150">
        <f t="shared" si="563"/>
        <v>2.9174211248285324</v>
      </c>
      <c r="DP180" s="314">
        <f t="shared" si="564"/>
        <v>840</v>
      </c>
      <c r="DQ180" s="144">
        <f t="shared" si="565"/>
        <v>87.634384110787167</v>
      </c>
      <c r="DS180">
        <f t="shared" si="566"/>
        <v>840</v>
      </c>
      <c r="DT180">
        <f t="shared" si="567"/>
        <v>87.634384110787167</v>
      </c>
      <c r="DV180" s="5">
        <f t="shared" si="568"/>
        <v>11.411046133853151</v>
      </c>
      <c r="DW180" s="5">
        <f t="shared" si="569"/>
        <v>4.4246913580246918</v>
      </c>
      <c r="DX180" s="5">
        <f t="shared" si="570"/>
        <v>6.9863547758284597</v>
      </c>
      <c r="DY180" s="150">
        <f t="shared" si="571"/>
        <v>0.38775510204081637</v>
      </c>
      <c r="EA180" s="5">
        <f t="shared" si="572"/>
        <v>74.334814814814806</v>
      </c>
      <c r="EB180" s="5">
        <f t="shared" si="573"/>
        <v>9.6790123456790127</v>
      </c>
      <c r="EC180" s="5">
        <f t="shared" si="574"/>
        <v>1.3584578730777559</v>
      </c>
      <c r="ED180" s="5"/>
      <c r="EE180" s="150">
        <f t="shared" si="575"/>
        <v>1.193060256437847</v>
      </c>
      <c r="EF180" s="150">
        <f t="shared" si="576"/>
        <v>1.499153853709454</v>
      </c>
      <c r="EG180" s="150">
        <f t="shared" si="577"/>
        <v>0.33510497906446624</v>
      </c>
      <c r="EH180" s="150"/>
      <c r="EI180" s="456">
        <f t="shared" si="578"/>
        <v>2.8467855509830824E-2</v>
      </c>
      <c r="EJ180" s="456">
        <f t="shared" si="579"/>
        <v>8.5499999999999979E-2</v>
      </c>
      <c r="EK180" s="456">
        <f t="shared" si="580"/>
        <v>1.0954298013848394E-2</v>
      </c>
      <c r="EL180" s="456">
        <f t="shared" si="581"/>
        <v>1.8936914062499999E-3</v>
      </c>
      <c r="EM180">
        <f t="shared" si="582"/>
        <v>4.0499999999999998E-3</v>
      </c>
      <c r="EN180" s="144">
        <f t="shared" si="583"/>
        <v>15.004298013848395</v>
      </c>
      <c r="EP180" s="144">
        <f t="shared" si="603"/>
        <v>130.86584492992921</v>
      </c>
      <c r="EQ180" s="150">
        <f t="shared" si="584"/>
        <v>0.58799999999999997</v>
      </c>
      <c r="ER180" s="150">
        <f t="shared" si="585"/>
        <v>7.7656249999999996E-2</v>
      </c>
      <c r="ES180" s="456"/>
      <c r="EU180" s="144">
        <f t="shared" si="497"/>
        <v>665.65625</v>
      </c>
      <c r="EV180" s="456">
        <f t="shared" si="586"/>
        <v>4.2701783264746232E-2</v>
      </c>
      <c r="EW180" s="456">
        <f t="shared" si="587"/>
        <v>6.7423868312757207E-2</v>
      </c>
      <c r="EX180" s="456">
        <f t="shared" si="588"/>
        <v>5.6147673496898182E-4</v>
      </c>
      <c r="EY180" s="456">
        <f t="shared" si="589"/>
        <v>7.2113564882065398E-2</v>
      </c>
      <c r="EZ180" s="456"/>
      <c r="FA180" s="538">
        <f t="shared" si="590"/>
        <v>9.6507936507936516E-4</v>
      </c>
      <c r="FB180" s="144">
        <f t="shared" si="498"/>
        <v>183.76577255961718</v>
      </c>
      <c r="FC180" s="150">
        <f t="shared" si="591"/>
        <v>0.98028786748954655</v>
      </c>
      <c r="FD180" s="5">
        <f t="shared" si="592"/>
        <v>5.6</v>
      </c>
      <c r="FE180" s="150">
        <f t="shared" si="593"/>
        <v>0.85102659834492356</v>
      </c>
      <c r="FF180" s="5">
        <f t="shared" si="594"/>
        <v>85.102659834492357</v>
      </c>
      <c r="FG180">
        <f t="shared" si="595"/>
        <v>70</v>
      </c>
      <c r="FI180" s="59">
        <f t="shared" si="596"/>
        <v>-50</v>
      </c>
      <c r="FJ180">
        <f t="shared" si="597"/>
        <v>-50</v>
      </c>
    </row>
    <row r="181" spans="5:166">
      <c r="E181" s="147">
        <v>71</v>
      </c>
      <c r="F181" s="188">
        <f t="shared" si="598"/>
        <v>0.85199999999999998</v>
      </c>
      <c r="G181" s="188">
        <f t="shared" si="499"/>
        <v>0.17749999999999999</v>
      </c>
      <c r="H181" s="188">
        <f t="shared" si="500"/>
        <v>4.26</v>
      </c>
      <c r="I181" s="188">
        <f t="shared" si="501"/>
        <v>1.42</v>
      </c>
      <c r="J181" s="465">
        <f t="shared" si="502"/>
        <v>8.8828730032048622</v>
      </c>
      <c r="K181" s="379">
        <f t="shared" si="503"/>
        <v>5.7446863822421861</v>
      </c>
      <c r="L181" s="149">
        <f t="shared" si="504"/>
        <v>14.627559385447048</v>
      </c>
      <c r="M181" s="379"/>
      <c r="N181" s="188">
        <f t="shared" si="505"/>
        <v>0.3927303407810856</v>
      </c>
      <c r="O181" s="149">
        <f t="shared" si="506"/>
        <v>6.5410757656195315</v>
      </c>
      <c r="P181" s="149">
        <f t="shared" si="507"/>
        <v>2.907144784719792</v>
      </c>
      <c r="Q181" s="188">
        <f t="shared" si="508"/>
        <v>1.3082151531239063</v>
      </c>
      <c r="R181" s="188">
        <f t="shared" si="509"/>
        <v>0.81763447070244144</v>
      </c>
      <c r="S181" s="188">
        <f t="shared" si="510"/>
        <v>5</v>
      </c>
      <c r="T181" s="188">
        <f t="shared" si="511"/>
        <v>3.2563450972322729</v>
      </c>
      <c r="U181" s="188">
        <f t="shared" si="512"/>
        <v>4.3990430970575565</v>
      </c>
      <c r="V181" s="188">
        <f t="shared" si="513"/>
        <v>6.8021365426628595</v>
      </c>
      <c r="W181" s="172">
        <f t="shared" si="514"/>
        <v>290.71447847197925</v>
      </c>
      <c r="X181" s="379">
        <f t="shared" si="599"/>
        <v>87.710222240171859</v>
      </c>
      <c r="Z181" s="188">
        <f t="shared" si="515"/>
        <v>0.99999999999999978</v>
      </c>
      <c r="AA181" s="150">
        <f t="shared" si="516"/>
        <v>2.0888868776360119</v>
      </c>
      <c r="AB181" s="150">
        <f t="shared" si="517"/>
        <v>0.22772612220709282</v>
      </c>
      <c r="AC181" s="150"/>
      <c r="AD181" s="150">
        <f t="shared" si="518"/>
        <v>2.0888868776360123</v>
      </c>
      <c r="AE181" s="314">
        <f t="shared" si="519"/>
        <v>815.74546627839061</v>
      </c>
      <c r="AF181" s="456">
        <f t="shared" si="520"/>
        <v>0.3036348296094572</v>
      </c>
      <c r="AH181" s="150">
        <f t="shared" si="521"/>
        <v>1.6446160356636148</v>
      </c>
      <c r="AI181" s="150">
        <f t="shared" si="522"/>
        <v>3.2563450972322729</v>
      </c>
      <c r="AJ181" s="150">
        <f t="shared" si="523"/>
        <v>2.8713667386905728</v>
      </c>
      <c r="AL181" s="314">
        <f t="shared" si="524"/>
        <v>852</v>
      </c>
      <c r="AM181" s="144">
        <f t="shared" si="525"/>
        <v>87.710222240171859</v>
      </c>
      <c r="AO181">
        <f t="shared" si="526"/>
        <v>852</v>
      </c>
      <c r="AP181">
        <f t="shared" si="527"/>
        <v>87.710222240171859</v>
      </c>
      <c r="AR181" s="5">
        <f t="shared" si="443"/>
        <v>11.401179639720413</v>
      </c>
      <c r="AS181" s="5">
        <f t="shared" si="604"/>
        <v>4.3990430970575565</v>
      </c>
      <c r="AT181" s="5">
        <f t="shared" si="605"/>
        <v>7.0021365426628561</v>
      </c>
      <c r="AU181" s="150">
        <f t="shared" si="606"/>
        <v>0.38584104768701222</v>
      </c>
      <c r="AW181" s="5">
        <f t="shared" si="477"/>
        <v>74.959694373860771</v>
      </c>
      <c r="AX181" s="5">
        <f t="shared" si="478"/>
        <v>9.7603768715964527</v>
      </c>
      <c r="AY181" s="5">
        <f t="shared" si="479"/>
        <v>1.3991860920157666</v>
      </c>
      <c r="AZ181" s="5"/>
      <c r="BA181" s="150">
        <f t="shared" si="480"/>
        <v>1.1678148959372916</v>
      </c>
      <c r="BB181" s="150">
        <f t="shared" si="481"/>
        <v>1.4733644603140552</v>
      </c>
      <c r="BC181" s="150">
        <f t="shared" si="482"/>
        <v>0.32934029112902413</v>
      </c>
      <c r="BD181" s="150"/>
      <c r="BE181" s="456">
        <f t="shared" si="483"/>
        <v>2.7275832623460543E-2</v>
      </c>
      <c r="BF181" s="456">
        <f t="shared" si="528"/>
        <v>7.8334626538328678E-2</v>
      </c>
      <c r="BG181" s="456">
        <f t="shared" si="529"/>
        <v>1.947796913105803E-2</v>
      </c>
      <c r="BH181" s="456">
        <f t="shared" si="484"/>
        <v>1.876696099317202E-3</v>
      </c>
      <c r="BI181">
        <f t="shared" si="485"/>
        <v>3.997292851442188E-3</v>
      </c>
      <c r="BJ181" s="144">
        <f t="shared" si="600"/>
        <v>23.475261982500218</v>
      </c>
      <c r="BK181">
        <f t="shared" si="530"/>
        <v>0.11560080860308762</v>
      </c>
      <c r="BL181" s="144">
        <f t="shared" si="601"/>
        <v>130.96241724360664</v>
      </c>
      <c r="BM181" s="150">
        <f t="shared" si="531"/>
        <v>0.52930499999999991</v>
      </c>
      <c r="BN181" s="150">
        <f t="shared" si="532"/>
        <v>0.11027187499999998</v>
      </c>
      <c r="BO181" s="456"/>
      <c r="BQ181" s="144">
        <f t="shared" si="486"/>
        <v>639.57687499999997</v>
      </c>
      <c r="BR181" s="456">
        <f t="shared" si="487"/>
        <v>4.0913748935190813E-2</v>
      </c>
      <c r="BS181" s="456">
        <f t="shared" si="488"/>
        <v>6.5124084987495806E-2</v>
      </c>
      <c r="BT181" s="456">
        <f t="shared" si="489"/>
        <v>5.4232513680475185E-4</v>
      </c>
      <c r="BU181" s="456">
        <f t="shared" si="490"/>
        <v>6.8932113186754393E-2</v>
      </c>
      <c r="BV181" s="456"/>
      <c r="BW181" s="538">
        <f t="shared" si="533"/>
        <v>9.3006019792252789E-4</v>
      </c>
      <c r="BX181" s="144">
        <f t="shared" si="491"/>
        <v>176.4423324441683</v>
      </c>
      <c r="BY181" s="150">
        <f t="shared" si="492"/>
        <v>0.9469816246877748</v>
      </c>
      <c r="BZ181" s="5">
        <f t="shared" si="493"/>
        <v>5.68</v>
      </c>
      <c r="CA181" s="150">
        <f t="shared" si="494"/>
        <v>0.85710212004211028</v>
      </c>
      <c r="CB181" s="5">
        <f t="shared" si="495"/>
        <v>85.71021200421103</v>
      </c>
      <c r="CC181">
        <f t="shared" si="496"/>
        <v>71</v>
      </c>
      <c r="CE181" s="59">
        <f t="shared" si="534"/>
        <v>-50</v>
      </c>
      <c r="CF181">
        <f t="shared" si="535"/>
        <v>-50</v>
      </c>
      <c r="CG181" s="150">
        <f t="shared" si="536"/>
        <v>0.57198633493024875</v>
      </c>
      <c r="CH181" s="150">
        <f t="shared" si="537"/>
        <v>0.31031053622728111</v>
      </c>
      <c r="CI181" s="147">
        <v>71</v>
      </c>
      <c r="CJ181" s="188">
        <f t="shared" si="602"/>
        <v>0.85199999999999998</v>
      </c>
      <c r="CK181" s="188">
        <f t="shared" si="538"/>
        <v>0.17749999999999999</v>
      </c>
      <c r="CL181" s="188">
        <f t="shared" si="539"/>
        <v>4.26</v>
      </c>
      <c r="CM181" s="188">
        <f t="shared" si="540"/>
        <v>1.42</v>
      </c>
      <c r="CN181" s="465">
        <f t="shared" si="541"/>
        <v>9</v>
      </c>
      <c r="CO181" s="379">
        <f t="shared" si="542"/>
        <v>5.7</v>
      </c>
      <c r="CP181" s="379">
        <f t="shared" si="543"/>
        <v>14.7</v>
      </c>
      <c r="CQ181" s="379"/>
      <c r="CR181" s="188">
        <f t="shared" si="544"/>
        <v>0.375</v>
      </c>
      <c r="CS181" s="149">
        <f t="shared" si="545"/>
        <v>6.328125</v>
      </c>
      <c r="CT181" s="149">
        <f t="shared" si="546"/>
        <v>2.8125</v>
      </c>
      <c r="CU181" s="188">
        <f t="shared" si="547"/>
        <v>1.265625</v>
      </c>
      <c r="CV181" s="188">
        <f t="shared" si="548"/>
        <v>0.791015625</v>
      </c>
      <c r="CW181" s="188">
        <f t="shared" si="549"/>
        <v>5</v>
      </c>
      <c r="CX181" s="188">
        <f t="shared" si="550"/>
        <v>3.3659259259259255</v>
      </c>
      <c r="CY181" s="188">
        <f t="shared" si="551"/>
        <v>4.487901234567901</v>
      </c>
      <c r="CZ181" s="188">
        <f t="shared" si="552"/>
        <v>7.0861598440545803</v>
      </c>
      <c r="DA181" s="172">
        <f t="shared" si="553"/>
        <v>290.81632653061229</v>
      </c>
      <c r="DB181" s="379">
        <f t="shared" si="554"/>
        <v>86.40009701063525</v>
      </c>
      <c r="DD181" s="188">
        <f t="shared" si="555"/>
        <v>0.99999999999999978</v>
      </c>
      <c r="DE181" s="150">
        <f t="shared" si="556"/>
        <v>2.1052631578947363</v>
      </c>
      <c r="DF181" s="150">
        <f t="shared" si="557"/>
        <v>0.2295918367346938</v>
      </c>
      <c r="DG181" s="150"/>
      <c r="DH181" s="150">
        <f t="shared" si="558"/>
        <v>2.1052631578947367</v>
      </c>
      <c r="DI181" s="314">
        <f t="shared" si="559"/>
        <v>809.40000000000009</v>
      </c>
      <c r="DJ181" s="456">
        <f t="shared" si="560"/>
        <v>0.3061224489795919</v>
      </c>
      <c r="DL181" s="150">
        <f t="shared" si="561"/>
        <v>1.6446160356636148</v>
      </c>
      <c r="DM181" s="150">
        <f t="shared" si="562"/>
        <v>3.3659259259259255</v>
      </c>
      <c r="DN181" s="150">
        <f t="shared" si="563"/>
        <v>2.9525377229080929</v>
      </c>
      <c r="DP181" s="314">
        <f t="shared" si="564"/>
        <v>852</v>
      </c>
      <c r="DQ181" s="144">
        <f t="shared" si="565"/>
        <v>86.40009701063525</v>
      </c>
      <c r="DS181">
        <f t="shared" si="566"/>
        <v>852</v>
      </c>
      <c r="DT181">
        <f t="shared" si="567"/>
        <v>86.40009701063525</v>
      </c>
      <c r="DV181" s="5">
        <f t="shared" si="568"/>
        <v>11.57406107862248</v>
      </c>
      <c r="DW181" s="5">
        <f t="shared" si="569"/>
        <v>4.487901234567901</v>
      </c>
      <c r="DX181" s="5">
        <f t="shared" si="570"/>
        <v>7.0861598440545785</v>
      </c>
      <c r="DY181" s="150">
        <f t="shared" si="571"/>
        <v>0.38775510204081637</v>
      </c>
      <c r="EA181" s="5">
        <f t="shared" si="572"/>
        <v>76.473837037037029</v>
      </c>
      <c r="EB181" s="5">
        <f t="shared" si="573"/>
        <v>9.957530864197528</v>
      </c>
      <c r="EC181" s="5">
        <f t="shared" si="574"/>
        <v>1.3975481914663195</v>
      </c>
      <c r="ED181" s="5"/>
      <c r="EE181" s="150">
        <f t="shared" si="575"/>
        <v>1.2101039743869588</v>
      </c>
      <c r="EF181" s="150">
        <f t="shared" si="576"/>
        <v>1.5205703373338746</v>
      </c>
      <c r="EG181" s="150">
        <f t="shared" si="577"/>
        <v>0.33989219305110141</v>
      </c>
      <c r="EH181" s="150"/>
      <c r="EI181" s="456">
        <f t="shared" si="578"/>
        <v>2.928703257654227E-2</v>
      </c>
      <c r="EJ181" s="456">
        <f t="shared" si="579"/>
        <v>8.5500000000000007E-2</v>
      </c>
      <c r="EK181" s="456">
        <f t="shared" si="580"/>
        <v>1.0800012126329405E-2</v>
      </c>
      <c r="EL181" s="456">
        <f t="shared" si="581"/>
        <v>1.867019696302817E-3</v>
      </c>
      <c r="EM181">
        <f t="shared" si="582"/>
        <v>4.0499999999999998E-3</v>
      </c>
      <c r="EN181" s="144">
        <f t="shared" si="583"/>
        <v>14.850012126329405</v>
      </c>
      <c r="EP181" s="144">
        <f t="shared" si="603"/>
        <v>131.5040643991745</v>
      </c>
      <c r="EQ181" s="150">
        <f t="shared" si="584"/>
        <v>0.59639999999999993</v>
      </c>
      <c r="ER181" s="150">
        <f t="shared" si="585"/>
        <v>7.8765624999999992E-2</v>
      </c>
      <c r="ES181" s="456"/>
      <c r="EU181" s="144">
        <f t="shared" si="497"/>
        <v>675.16562499999986</v>
      </c>
      <c r="EV181" s="456">
        <f t="shared" si="586"/>
        <v>4.3930548864813401E-2</v>
      </c>
      <c r="EW181" s="456">
        <f t="shared" si="587"/>
        <v>6.9364024523389592E-2</v>
      </c>
      <c r="EX181" s="456">
        <f t="shared" si="588"/>
        <v>5.7763351448543595E-4</v>
      </c>
      <c r="EY181" s="456">
        <f t="shared" si="589"/>
        <v>7.2113564882065467E-2</v>
      </c>
      <c r="EZ181" s="456"/>
      <c r="FA181" s="538">
        <f t="shared" si="590"/>
        <v>9.7886621315192743E-4</v>
      </c>
      <c r="FB181" s="144">
        <f t="shared" si="498"/>
        <v>186.96463799790584</v>
      </c>
      <c r="FC181" s="150">
        <f t="shared" si="591"/>
        <v>0.99363432739708024</v>
      </c>
      <c r="FD181" s="5">
        <f t="shared" si="592"/>
        <v>5.68</v>
      </c>
      <c r="FE181" s="150">
        <f t="shared" si="593"/>
        <v>0.8511104626578142</v>
      </c>
      <c r="FF181" s="5">
        <f t="shared" si="594"/>
        <v>85.111046265781425</v>
      </c>
      <c r="FG181">
        <f t="shared" si="595"/>
        <v>71</v>
      </c>
      <c r="FI181" s="59">
        <f t="shared" si="596"/>
        <v>-50</v>
      </c>
      <c r="FJ181">
        <f t="shared" si="597"/>
        <v>-50</v>
      </c>
    </row>
    <row r="182" spans="5:166">
      <c r="E182" s="147">
        <v>72</v>
      </c>
      <c r="F182" s="188">
        <f t="shared" si="598"/>
        <v>0.86399999999999999</v>
      </c>
      <c r="G182" s="188">
        <f t="shared" si="499"/>
        <v>0.18</v>
      </c>
      <c r="H182" s="188">
        <f t="shared" si="500"/>
        <v>4.32</v>
      </c>
      <c r="I182" s="188">
        <f t="shared" si="501"/>
        <v>1.44</v>
      </c>
      <c r="J182" s="465">
        <f t="shared" si="502"/>
        <v>8.8812233271936627</v>
      </c>
      <c r="K182" s="379">
        <f t="shared" si="503"/>
        <v>5.7453157679075693</v>
      </c>
      <c r="L182" s="149">
        <f t="shared" si="504"/>
        <v>14.626539095101233</v>
      </c>
      <c r="M182" s="379"/>
      <c r="N182" s="188">
        <f t="shared" si="505"/>
        <v>0.39280076650749246</v>
      </c>
      <c r="O182" s="149">
        <f t="shared" si="506"/>
        <v>6.5410337445860502</v>
      </c>
      <c r="P182" s="149">
        <f t="shared" si="507"/>
        <v>2.9071261087049107</v>
      </c>
      <c r="Q182" s="188">
        <f t="shared" si="508"/>
        <v>1.30820674891721</v>
      </c>
      <c r="R182" s="188">
        <f t="shared" si="509"/>
        <v>0.81762921807325628</v>
      </c>
      <c r="S182" s="188">
        <f t="shared" si="510"/>
        <v>5</v>
      </c>
      <c r="T182" s="188">
        <f t="shared" si="511"/>
        <v>3.3022303268008839</v>
      </c>
      <c r="U182" s="188">
        <f t="shared" si="512"/>
        <v>4.4618587396937004</v>
      </c>
      <c r="V182" s="188">
        <f t="shared" si="513"/>
        <v>6.8972299386849167</v>
      </c>
      <c r="W182" s="172">
        <f t="shared" si="514"/>
        <v>290.71261087049112</v>
      </c>
      <c r="X182" s="379">
        <f t="shared" si="599"/>
        <v>86.51201040359777</v>
      </c>
      <c r="Z182" s="188">
        <f t="shared" si="515"/>
        <v>1</v>
      </c>
      <c r="AA182" s="150">
        <f t="shared" si="516"/>
        <v>2.0886580450512597</v>
      </c>
      <c r="AB182" s="150">
        <f t="shared" si="517"/>
        <v>0.22769971255969035</v>
      </c>
      <c r="AC182" s="150"/>
      <c r="AD182" s="150">
        <f t="shared" si="518"/>
        <v>2.0886580450512597</v>
      </c>
      <c r="AE182" s="314">
        <f t="shared" si="519"/>
        <v>827.32547057868999</v>
      </c>
      <c r="AF182" s="456">
        <f t="shared" si="520"/>
        <v>0.3035996167462538</v>
      </c>
      <c r="AH182" s="150">
        <f t="shared" si="521"/>
        <v>1.65615734242165</v>
      </c>
      <c r="AI182" s="150">
        <f t="shared" si="522"/>
        <v>3.3022303268008839</v>
      </c>
      <c r="AJ182" s="150">
        <f t="shared" si="523"/>
        <v>2.9053557976302842</v>
      </c>
      <c r="AL182" s="314">
        <f t="shared" si="524"/>
        <v>864</v>
      </c>
      <c r="AM182" s="144">
        <f t="shared" si="525"/>
        <v>86.51201040359777</v>
      </c>
      <c r="AO182">
        <f t="shared" si="526"/>
        <v>864</v>
      </c>
      <c r="AP182">
        <f t="shared" si="527"/>
        <v>86.51201040359777</v>
      </c>
      <c r="AR182" s="5">
        <f t="shared" si="443"/>
        <v>11.559088678378616</v>
      </c>
      <c r="AS182" s="5">
        <f t="shared" si="604"/>
        <v>4.4618587396937004</v>
      </c>
      <c r="AT182" s="5">
        <f t="shared" si="605"/>
        <v>7.097229938684916</v>
      </c>
      <c r="AU182" s="150">
        <f t="shared" si="606"/>
        <v>0.38600436970776503</v>
      </c>
      <c r="AW182" s="5">
        <f t="shared" si="477"/>
        <v>77.100919021907146</v>
      </c>
      <c r="AX182" s="5">
        <f t="shared" si="478"/>
        <v>10.039182164310827</v>
      </c>
      <c r="AY182" s="5">
        <f t="shared" si="479"/>
        <v>1.438429529242518</v>
      </c>
      <c r="AZ182" s="5"/>
      <c r="BA182" s="150">
        <f t="shared" si="480"/>
        <v>1.1845212184847882</v>
      </c>
      <c r="BB182" s="150">
        <f t="shared" si="481"/>
        <v>1.4939269928749765</v>
      </c>
      <c r="BC182" s="150">
        <f t="shared" si="482"/>
        <v>0.33393662193675944</v>
      </c>
      <c r="BD182" s="150"/>
      <c r="BE182" s="456">
        <f t="shared" si="483"/>
        <v>2.8061810340813748E-2</v>
      </c>
      <c r="BF182" s="456">
        <f t="shared" si="528"/>
        <v>7.8347765424937918E-2</v>
      </c>
      <c r="BG182" s="456">
        <f t="shared" si="529"/>
        <v>1.9208312121971334E-2</v>
      </c>
      <c r="BH182" s="456">
        <f t="shared" si="484"/>
        <v>1.8508002823846611E-3</v>
      </c>
      <c r="BI182">
        <f t="shared" si="485"/>
        <v>3.9965504972371479E-3</v>
      </c>
      <c r="BJ182" s="144">
        <f t="shared" si="600"/>
        <v>23.204862619208484</v>
      </c>
      <c r="BK182">
        <f t="shared" si="530"/>
        <v>0.11661459100907835</v>
      </c>
      <c r="BL182" s="144">
        <f t="shared" si="601"/>
        <v>131.46523866734481</v>
      </c>
      <c r="BM182" s="150">
        <f t="shared" si="531"/>
        <v>0.53676000000000001</v>
      </c>
      <c r="BN182" s="150">
        <f t="shared" si="532"/>
        <v>0.11182499999999999</v>
      </c>
      <c r="BO182" s="456"/>
      <c r="BQ182" s="144">
        <f t="shared" si="486"/>
        <v>648.58499999999992</v>
      </c>
      <c r="BR182" s="456">
        <f t="shared" si="487"/>
        <v>4.2092715511220617E-2</v>
      </c>
      <c r="BS182" s="456">
        <f t="shared" si="488"/>
        <v>6.6954535801214105E-2</v>
      </c>
      <c r="BT182" s="456">
        <f t="shared" si="489"/>
        <v>5.5756833735267101E-4</v>
      </c>
      <c r="BU182" s="456">
        <f t="shared" si="490"/>
        <v>6.8973048143841767E-2</v>
      </c>
      <c r="BV182" s="456"/>
      <c r="BW182" s="538">
        <f t="shared" si="533"/>
        <v>9.4338969400250942E-4</v>
      </c>
      <c r="BX182" s="144">
        <f t="shared" si="491"/>
        <v>179.52125748763169</v>
      </c>
      <c r="BY182" s="150">
        <f t="shared" si="492"/>
        <v>0.9595714961549765</v>
      </c>
      <c r="BZ182" s="5">
        <f t="shared" si="493"/>
        <v>5.76</v>
      </c>
      <c r="CA182" s="150">
        <f t="shared" si="494"/>
        <v>0.85719751673093214</v>
      </c>
      <c r="CB182" s="5">
        <f t="shared" si="495"/>
        <v>85.719751673093214</v>
      </c>
      <c r="CC182">
        <f t="shared" si="496"/>
        <v>72</v>
      </c>
      <c r="CE182" s="59">
        <f t="shared" si="534"/>
        <v>-50</v>
      </c>
      <c r="CF182">
        <f t="shared" si="535"/>
        <v>-50</v>
      </c>
      <c r="CG182" s="150">
        <f t="shared" si="536"/>
        <v>0.57198633493024886</v>
      </c>
      <c r="CH182" s="150">
        <f t="shared" si="537"/>
        <v>0.31031053622728111</v>
      </c>
      <c r="CI182" s="147">
        <v>72</v>
      </c>
      <c r="CJ182" s="188">
        <f t="shared" si="602"/>
        <v>0.86399999999999999</v>
      </c>
      <c r="CK182" s="188">
        <f t="shared" si="538"/>
        <v>0.18</v>
      </c>
      <c r="CL182" s="188">
        <f t="shared" si="539"/>
        <v>4.32</v>
      </c>
      <c r="CM182" s="188">
        <f t="shared" si="540"/>
        <v>1.44</v>
      </c>
      <c r="CN182" s="465">
        <f t="shared" si="541"/>
        <v>9</v>
      </c>
      <c r="CO182" s="379">
        <f t="shared" si="542"/>
        <v>5.7</v>
      </c>
      <c r="CP182" s="379">
        <f t="shared" si="543"/>
        <v>14.7</v>
      </c>
      <c r="CQ182" s="379"/>
      <c r="CR182" s="188">
        <f t="shared" si="544"/>
        <v>0.375</v>
      </c>
      <c r="CS182" s="149">
        <f t="shared" si="545"/>
        <v>6.328125</v>
      </c>
      <c r="CT182" s="149">
        <f t="shared" si="546"/>
        <v>2.8125</v>
      </c>
      <c r="CU182" s="188">
        <f t="shared" si="547"/>
        <v>1.265625</v>
      </c>
      <c r="CV182" s="188">
        <f t="shared" si="548"/>
        <v>0.791015625</v>
      </c>
      <c r="CW182" s="188">
        <f t="shared" si="549"/>
        <v>5</v>
      </c>
      <c r="CX182" s="188">
        <f t="shared" si="550"/>
        <v>3.4133333333333331</v>
      </c>
      <c r="CY182" s="188">
        <f t="shared" si="551"/>
        <v>4.5511111111111111</v>
      </c>
      <c r="CZ182" s="188">
        <f t="shared" si="552"/>
        <v>7.1859649122807019</v>
      </c>
      <c r="DA182" s="172">
        <f t="shared" si="553"/>
        <v>290.81632653061229</v>
      </c>
      <c r="DB182" s="379">
        <f t="shared" si="554"/>
        <v>85.200095663265301</v>
      </c>
      <c r="DD182" s="188">
        <f t="shared" si="555"/>
        <v>0.99999999999999978</v>
      </c>
      <c r="DE182" s="150">
        <f t="shared" si="556"/>
        <v>2.1052631578947363</v>
      </c>
      <c r="DF182" s="150">
        <f t="shared" si="557"/>
        <v>0.2295918367346938</v>
      </c>
      <c r="DG182" s="150"/>
      <c r="DH182" s="150">
        <f t="shared" si="558"/>
        <v>2.1052631578947367</v>
      </c>
      <c r="DI182" s="314">
        <f t="shared" si="559"/>
        <v>820.80000000000007</v>
      </c>
      <c r="DJ182" s="456">
        <f t="shared" si="560"/>
        <v>0.3061224489795919</v>
      </c>
      <c r="DL182" s="150">
        <f t="shared" si="561"/>
        <v>1.65615734242165</v>
      </c>
      <c r="DM182" s="150">
        <f t="shared" si="562"/>
        <v>3.4133333333333331</v>
      </c>
      <c r="DN182" s="150">
        <f t="shared" si="563"/>
        <v>2.9876543209876543</v>
      </c>
      <c r="DP182" s="314">
        <f t="shared" si="564"/>
        <v>864</v>
      </c>
      <c r="DQ182" s="144">
        <f t="shared" si="565"/>
        <v>85.200095663265301</v>
      </c>
      <c r="DS182">
        <f t="shared" si="566"/>
        <v>864</v>
      </c>
      <c r="DT182">
        <f t="shared" si="567"/>
        <v>85.200095663265301</v>
      </c>
      <c r="DV182" s="5">
        <f t="shared" si="568"/>
        <v>11.737076023391813</v>
      </c>
      <c r="DW182" s="5">
        <f t="shared" si="569"/>
        <v>4.5511111111111111</v>
      </c>
      <c r="DX182" s="5">
        <f t="shared" si="570"/>
        <v>7.1859649122807019</v>
      </c>
      <c r="DY182" s="150">
        <f t="shared" si="571"/>
        <v>0.38775510204081631</v>
      </c>
      <c r="EA182" s="5">
        <f t="shared" si="572"/>
        <v>78.643199999999993</v>
      </c>
      <c r="EB182" s="5">
        <f t="shared" si="573"/>
        <v>10.239999999999998</v>
      </c>
      <c r="EC182" s="5">
        <f t="shared" si="574"/>
        <v>1.4371929824561402</v>
      </c>
      <c r="ED182" s="5"/>
      <c r="EE182" s="150">
        <f t="shared" si="575"/>
        <v>1.2271476923360711</v>
      </c>
      <c r="EF182" s="150">
        <f t="shared" si="576"/>
        <v>1.5419868209582954</v>
      </c>
      <c r="EG182" s="150">
        <f t="shared" si="577"/>
        <v>0.34467940703773664</v>
      </c>
      <c r="EH182" s="150"/>
      <c r="EI182" s="456">
        <f t="shared" si="578"/>
        <v>3.0117829176114892E-2</v>
      </c>
      <c r="EJ182" s="456">
        <f t="shared" si="579"/>
        <v>8.5499999999999979E-2</v>
      </c>
      <c r="EK182" s="456">
        <f t="shared" si="580"/>
        <v>1.0650011957908162E-2</v>
      </c>
      <c r="EL182" s="456">
        <f t="shared" si="581"/>
        <v>1.8410888671874998E-3</v>
      </c>
      <c r="EM182">
        <f t="shared" si="582"/>
        <v>4.0499999999999998E-3</v>
      </c>
      <c r="EN182" s="144">
        <f t="shared" si="583"/>
        <v>14.700011957908162</v>
      </c>
      <c r="EP182" s="144">
        <f t="shared" si="603"/>
        <v>132.15893000121054</v>
      </c>
      <c r="EQ182" s="150">
        <f t="shared" si="584"/>
        <v>0.6048</v>
      </c>
      <c r="ER182" s="150">
        <f t="shared" si="585"/>
        <v>7.9874999999999988E-2</v>
      </c>
      <c r="ES182" s="456"/>
      <c r="EU182" s="144">
        <f t="shared" si="497"/>
        <v>684.67500000000007</v>
      </c>
      <c r="EV182" s="456">
        <f t="shared" si="586"/>
        <v>4.5176743764172335E-2</v>
      </c>
      <c r="EW182" s="456">
        <f t="shared" si="587"/>
        <v>7.13317006802721E-2</v>
      </c>
      <c r="EX182" s="456">
        <f t="shared" si="588"/>
        <v>5.940194681794287E-4</v>
      </c>
      <c r="EY182" s="456">
        <f t="shared" si="589"/>
        <v>7.2113564882065523E-2</v>
      </c>
      <c r="EZ182" s="456"/>
      <c r="FA182" s="538">
        <f t="shared" si="590"/>
        <v>9.926530612244897E-4</v>
      </c>
      <c r="FB182" s="144">
        <f t="shared" si="498"/>
        <v>190.20868185591388</v>
      </c>
      <c r="FC182" s="150">
        <f t="shared" si="591"/>
        <v>1.0070426118571243</v>
      </c>
      <c r="FD182" s="5">
        <f t="shared" si="592"/>
        <v>5.76</v>
      </c>
      <c r="FE182" s="150">
        <f t="shared" si="593"/>
        <v>0.85118423665714804</v>
      </c>
      <c r="FF182" s="5">
        <f t="shared" si="594"/>
        <v>85.118423665714801</v>
      </c>
      <c r="FG182">
        <f t="shared" si="595"/>
        <v>72</v>
      </c>
      <c r="FI182" s="59">
        <f t="shared" si="596"/>
        <v>-50</v>
      </c>
      <c r="FJ182">
        <f t="shared" si="597"/>
        <v>-50</v>
      </c>
    </row>
    <row r="183" spans="5:166">
      <c r="E183" s="147">
        <v>73</v>
      </c>
      <c r="F183" s="188">
        <f t="shared" si="598"/>
        <v>0.876</v>
      </c>
      <c r="G183" s="188">
        <f t="shared" si="499"/>
        <v>0.1825</v>
      </c>
      <c r="H183" s="188">
        <f t="shared" si="500"/>
        <v>4.38</v>
      </c>
      <c r="I183" s="188">
        <f t="shared" si="501"/>
        <v>1.46</v>
      </c>
      <c r="J183" s="465">
        <f t="shared" si="502"/>
        <v>8.8795736511824632</v>
      </c>
      <c r="K183" s="379">
        <f t="shared" si="503"/>
        <v>5.7459451535729515</v>
      </c>
      <c r="L183" s="149">
        <f t="shared" si="504"/>
        <v>14.625518804755416</v>
      </c>
      <c r="M183" s="379"/>
      <c r="N183" s="188">
        <f t="shared" si="505"/>
        <v>0.39287120205983295</v>
      </c>
      <c r="O183" s="149">
        <f t="shared" si="506"/>
        <v>6.5409914514728893</v>
      </c>
      <c r="P183" s="149">
        <f t="shared" si="507"/>
        <v>2.9071073117657282</v>
      </c>
      <c r="Q183" s="188">
        <f t="shared" si="508"/>
        <v>1.3081982902945779</v>
      </c>
      <c r="R183" s="188">
        <f t="shared" si="509"/>
        <v>0.81762393143411116</v>
      </c>
      <c r="S183" s="188">
        <f t="shared" si="510"/>
        <v>5</v>
      </c>
      <c r="T183" s="188">
        <f t="shared" si="511"/>
        <v>3.3481162851953576</v>
      </c>
      <c r="U183" s="188">
        <f t="shared" si="512"/>
        <v>4.5246987074648573</v>
      </c>
      <c r="V183" s="188">
        <f t="shared" si="513"/>
        <v>6.9923040245800347</v>
      </c>
      <c r="W183" s="172">
        <f t="shared" si="514"/>
        <v>290.71073117657284</v>
      </c>
      <c r="X183" s="379">
        <f t="shared" si="599"/>
        <v>85.346058447617736</v>
      </c>
      <c r="Z183" s="188">
        <f t="shared" si="515"/>
        <v>1</v>
      </c>
      <c r="AA183" s="150">
        <f t="shared" si="516"/>
        <v>2.0884292625971455</v>
      </c>
      <c r="AB183" s="150">
        <f t="shared" si="517"/>
        <v>0.22767329922756263</v>
      </c>
      <c r="AC183" s="150"/>
      <c r="AD183" s="150">
        <f t="shared" si="518"/>
        <v>2.0884292625971455</v>
      </c>
      <c r="AE183" s="314">
        <f t="shared" si="519"/>
        <v>838.90799242165087</v>
      </c>
      <c r="AF183" s="456">
        <f t="shared" si="520"/>
        <v>0.30356439897008347</v>
      </c>
      <c r="AH183" s="150">
        <f t="shared" si="521"/>
        <v>1.6676187756655838</v>
      </c>
      <c r="AI183" s="150">
        <f t="shared" si="522"/>
        <v>3.3481162851953576</v>
      </c>
      <c r="AJ183" s="150">
        <f t="shared" si="523"/>
        <v>2.9393453964410057</v>
      </c>
      <c r="AL183" s="314">
        <f t="shared" si="524"/>
        <v>876</v>
      </c>
      <c r="AM183" s="144">
        <f t="shared" si="525"/>
        <v>85.346058447617736</v>
      </c>
      <c r="AO183">
        <f t="shared" si="526"/>
        <v>876</v>
      </c>
      <c r="AP183">
        <f t="shared" si="527"/>
        <v>85.346058447617736</v>
      </c>
      <c r="AR183" s="5">
        <f t="shared" si="443"/>
        <v>11.717002732044891</v>
      </c>
      <c r="AS183" s="5">
        <f t="shared" si="604"/>
        <v>4.5246987074648573</v>
      </c>
      <c r="AT183" s="5">
        <f t="shared" si="605"/>
        <v>7.192304024580034</v>
      </c>
      <c r="AU183" s="150">
        <f t="shared" si="606"/>
        <v>0.38616520034515611</v>
      </c>
      <c r="AW183" s="5">
        <f t="shared" si="477"/>
        <v>79.272721354784309</v>
      </c>
      <c r="AX183" s="5">
        <f t="shared" si="478"/>
        <v>10.321968926404207</v>
      </c>
      <c r="AY183" s="5">
        <f t="shared" si="479"/>
        <v>1.4782190407430902</v>
      </c>
      <c r="AZ183" s="5"/>
      <c r="BA183" s="150">
        <f t="shared" si="480"/>
        <v>1.2012308386167827</v>
      </c>
      <c r="BB183" s="150">
        <f t="shared" si="481"/>
        <v>1.5144873804094487</v>
      </c>
      <c r="BC183" s="150">
        <f t="shared" si="482"/>
        <v>0.33853247326799446</v>
      </c>
      <c r="BD183" s="150"/>
      <c r="BE183" s="456">
        <f t="shared" si="483"/>
        <v>2.8859110552879579E-2</v>
      </c>
      <c r="BF183" s="456">
        <f t="shared" si="528"/>
        <v>7.8360383852225296E-2</v>
      </c>
      <c r="BG183" s="456">
        <f t="shared" si="529"/>
        <v>1.8945915295593623E-2</v>
      </c>
      <c r="BH183" s="456">
        <f t="shared" si="484"/>
        <v>1.8256016935392718E-3</v>
      </c>
      <c r="BI183">
        <f t="shared" si="485"/>
        <v>3.9958081430321087E-3</v>
      </c>
      <c r="BJ183" s="144">
        <f t="shared" si="600"/>
        <v>22.941723438625729</v>
      </c>
      <c r="BK183">
        <f t="shared" si="530"/>
        <v>0.1176437301431006</v>
      </c>
      <c r="BL183" s="144">
        <f t="shared" si="601"/>
        <v>131.98681953726987</v>
      </c>
      <c r="BM183" s="150">
        <f t="shared" si="531"/>
        <v>0.54421499999999989</v>
      </c>
      <c r="BN183" s="150">
        <f t="shared" si="532"/>
        <v>0.113378125</v>
      </c>
      <c r="BO183" s="456"/>
      <c r="BQ183" s="144">
        <f t="shared" si="486"/>
        <v>657.59312499999987</v>
      </c>
      <c r="BR183" s="456">
        <f t="shared" si="487"/>
        <v>4.3288665829319367E-2</v>
      </c>
      <c r="BS183" s="456">
        <f t="shared" si="488"/>
        <v>6.8810160762584227E-2</v>
      </c>
      <c r="BT183" s="456">
        <f t="shared" si="489"/>
        <v>5.7302117728472688E-4</v>
      </c>
      <c r="BU183" s="456">
        <f t="shared" si="490"/>
        <v>6.9012857455818963E-2</v>
      </c>
      <c r="BV183" s="456"/>
      <c r="BW183" s="538">
        <f t="shared" si="533"/>
        <v>9.5671930062219714E-4</v>
      </c>
      <c r="BX183" s="144">
        <f t="shared" si="491"/>
        <v>182.64142452562947</v>
      </c>
      <c r="BY183" s="150">
        <f t="shared" si="492"/>
        <v>0.97222136906289935</v>
      </c>
      <c r="BZ183" s="5">
        <f t="shared" si="493"/>
        <v>5.84</v>
      </c>
      <c r="CA183" s="150">
        <f t="shared" si="494"/>
        <v>0.85728276924790536</v>
      </c>
      <c r="CB183" s="5">
        <f t="shared" si="495"/>
        <v>85.728276924790535</v>
      </c>
      <c r="CC183">
        <f t="shared" si="496"/>
        <v>73</v>
      </c>
      <c r="CE183" s="59">
        <f t="shared" si="534"/>
        <v>-50</v>
      </c>
      <c r="CF183">
        <f t="shared" si="535"/>
        <v>-50</v>
      </c>
      <c r="CG183" s="150">
        <f t="shared" si="536"/>
        <v>0.57198633493024886</v>
      </c>
      <c r="CH183" s="150">
        <f t="shared" si="537"/>
        <v>0.31031053622728111</v>
      </c>
      <c r="CI183" s="147">
        <v>73</v>
      </c>
      <c r="CJ183" s="188">
        <f t="shared" si="602"/>
        <v>0.876</v>
      </c>
      <c r="CK183" s="188">
        <f t="shared" si="538"/>
        <v>0.1825</v>
      </c>
      <c r="CL183" s="188">
        <f t="shared" si="539"/>
        <v>4.38</v>
      </c>
      <c r="CM183" s="188">
        <f t="shared" si="540"/>
        <v>1.46</v>
      </c>
      <c r="CN183" s="465">
        <f t="shared" si="541"/>
        <v>9</v>
      </c>
      <c r="CO183" s="379">
        <f t="shared" si="542"/>
        <v>5.7</v>
      </c>
      <c r="CP183" s="379">
        <f t="shared" si="543"/>
        <v>14.7</v>
      </c>
      <c r="CQ183" s="379"/>
      <c r="CR183" s="188">
        <f t="shared" si="544"/>
        <v>0.375</v>
      </c>
      <c r="CS183" s="149">
        <f t="shared" si="545"/>
        <v>6.328125</v>
      </c>
      <c r="CT183" s="149">
        <f t="shared" si="546"/>
        <v>2.8125</v>
      </c>
      <c r="CU183" s="188">
        <f t="shared" si="547"/>
        <v>1.265625</v>
      </c>
      <c r="CV183" s="188">
        <f t="shared" si="548"/>
        <v>0.791015625</v>
      </c>
      <c r="CW183" s="188">
        <f t="shared" si="549"/>
        <v>5</v>
      </c>
      <c r="CX183" s="188">
        <f t="shared" si="550"/>
        <v>3.4607407407407407</v>
      </c>
      <c r="CY183" s="188">
        <f t="shared" si="551"/>
        <v>4.6143209876543203</v>
      </c>
      <c r="CZ183" s="188">
        <f t="shared" si="552"/>
        <v>7.2857699805068217</v>
      </c>
      <c r="DA183" s="172">
        <f t="shared" si="553"/>
        <v>290.81632653061229</v>
      </c>
      <c r="DB183" s="379">
        <f t="shared" si="554"/>
        <v>84.032971065138412</v>
      </c>
      <c r="DD183" s="188">
        <f t="shared" si="555"/>
        <v>0.99999999999999978</v>
      </c>
      <c r="DE183" s="150">
        <f t="shared" si="556"/>
        <v>2.1052631578947363</v>
      </c>
      <c r="DF183" s="150">
        <f t="shared" si="557"/>
        <v>0.2295918367346938</v>
      </c>
      <c r="DG183" s="150"/>
      <c r="DH183" s="150">
        <f t="shared" si="558"/>
        <v>2.1052631578947367</v>
      </c>
      <c r="DI183" s="314">
        <f t="shared" si="559"/>
        <v>832.20000000000016</v>
      </c>
      <c r="DJ183" s="456">
        <f t="shared" si="560"/>
        <v>0.3061224489795919</v>
      </c>
      <c r="DL183" s="150">
        <f t="shared" si="561"/>
        <v>1.6676187756655838</v>
      </c>
      <c r="DM183" s="150">
        <f t="shared" si="562"/>
        <v>3.4607407407407407</v>
      </c>
      <c r="DN183" s="150">
        <f t="shared" si="563"/>
        <v>3.0227709190672152</v>
      </c>
      <c r="DP183" s="314">
        <f t="shared" si="564"/>
        <v>876</v>
      </c>
      <c r="DQ183" s="144">
        <f t="shared" si="565"/>
        <v>84.032971065138412</v>
      </c>
      <c r="DS183">
        <f t="shared" si="566"/>
        <v>876</v>
      </c>
      <c r="DT183">
        <f t="shared" si="567"/>
        <v>84.032971065138412</v>
      </c>
      <c r="DV183" s="5">
        <f t="shared" si="568"/>
        <v>11.900090968161139</v>
      </c>
      <c r="DW183" s="5">
        <f t="shared" si="569"/>
        <v>4.6143209876543203</v>
      </c>
      <c r="DX183" s="5">
        <f t="shared" si="570"/>
        <v>7.285769980506819</v>
      </c>
      <c r="DY183" s="150">
        <f t="shared" si="571"/>
        <v>0.38775510204081642</v>
      </c>
      <c r="EA183" s="5">
        <f t="shared" si="572"/>
        <v>80.842903703703684</v>
      </c>
      <c r="EB183" s="5">
        <f t="shared" si="573"/>
        <v>10.526419753086419</v>
      </c>
      <c r="EC183" s="5">
        <f t="shared" si="574"/>
        <v>1.4773922460472158</v>
      </c>
      <c r="ED183" s="5"/>
      <c r="EE183" s="150">
        <f t="shared" si="575"/>
        <v>1.2441914102851832</v>
      </c>
      <c r="EF183" s="150">
        <f t="shared" si="576"/>
        <v>1.563403304582716</v>
      </c>
      <c r="EG183" s="150">
        <f t="shared" si="577"/>
        <v>0.34946662102437187</v>
      </c>
      <c r="EH183" s="150"/>
      <c r="EI183" s="456">
        <f t="shared" si="578"/>
        <v>3.0960245308548663E-2</v>
      </c>
      <c r="EJ183" s="456">
        <f t="shared" si="579"/>
        <v>8.550000000000002E-2</v>
      </c>
      <c r="EK183" s="456">
        <f t="shared" si="580"/>
        <v>1.0504121383142301E-2</v>
      </c>
      <c r="EL183" s="456">
        <f t="shared" si="581"/>
        <v>1.8158684717465758E-3</v>
      </c>
      <c r="EM183">
        <f t="shared" si="582"/>
        <v>4.0499999999999998E-3</v>
      </c>
      <c r="EN183" s="144">
        <f t="shared" si="583"/>
        <v>14.5541213831423</v>
      </c>
      <c r="EP183" s="144">
        <f t="shared" si="603"/>
        <v>132.83023516343755</v>
      </c>
      <c r="EQ183" s="150">
        <f t="shared" si="584"/>
        <v>0.61319999999999997</v>
      </c>
      <c r="ER183" s="150">
        <f t="shared" si="585"/>
        <v>8.0984374999999997E-2</v>
      </c>
      <c r="ES183" s="456"/>
      <c r="EU183" s="144">
        <f t="shared" si="497"/>
        <v>694.18437499999993</v>
      </c>
      <c r="EV183" s="456">
        <f t="shared" si="586"/>
        <v>4.6440367962822991E-2</v>
      </c>
      <c r="EW183" s="456">
        <f t="shared" si="587"/>
        <v>7.3326896783404705E-2</v>
      </c>
      <c r="EX183" s="456">
        <f t="shared" si="588"/>
        <v>6.1063459605095976E-4</v>
      </c>
      <c r="EY183" s="456">
        <f t="shared" si="589"/>
        <v>7.2113564882065523E-2</v>
      </c>
      <c r="EZ183" s="456"/>
      <c r="FA183" s="538">
        <f t="shared" si="590"/>
        <v>1.0064399092970526E-3</v>
      </c>
      <c r="FB183" s="144">
        <f t="shared" si="498"/>
        <v>193.49790413364124</v>
      </c>
      <c r="FC183" s="150">
        <f t="shared" si="591"/>
        <v>1.0205125142970788</v>
      </c>
      <c r="FD183" s="5">
        <f t="shared" si="592"/>
        <v>5.84</v>
      </c>
      <c r="FE183" s="150">
        <f t="shared" si="593"/>
        <v>0.8512483561293176</v>
      </c>
      <c r="FF183" s="5">
        <f t="shared" si="594"/>
        <v>85.124835612931761</v>
      </c>
      <c r="FG183">
        <f t="shared" si="595"/>
        <v>73</v>
      </c>
      <c r="FI183" s="59">
        <f t="shared" si="596"/>
        <v>-50</v>
      </c>
      <c r="FJ183">
        <f t="shared" si="597"/>
        <v>-50</v>
      </c>
    </row>
    <row r="184" spans="5:166">
      <c r="E184" s="147">
        <v>74</v>
      </c>
      <c r="F184" s="188">
        <f t="shared" si="598"/>
        <v>0.88800000000000001</v>
      </c>
      <c r="G184" s="188">
        <f t="shared" si="499"/>
        <v>0.185</v>
      </c>
      <c r="H184" s="188">
        <f t="shared" si="500"/>
        <v>4.4400000000000004</v>
      </c>
      <c r="I184" s="188">
        <f t="shared" si="501"/>
        <v>1.48</v>
      </c>
      <c r="J184" s="465">
        <f t="shared" si="502"/>
        <v>8.8779239751712655</v>
      </c>
      <c r="K184" s="379">
        <f t="shared" si="503"/>
        <v>5.7465745392383347</v>
      </c>
      <c r="L184" s="149">
        <f t="shared" si="504"/>
        <v>14.6244985144096</v>
      </c>
      <c r="M184" s="379"/>
      <c r="N184" s="188">
        <f t="shared" si="505"/>
        <v>0.39294164744016369</v>
      </c>
      <c r="O184" s="149">
        <f t="shared" si="506"/>
        <v>6.5409488862231067</v>
      </c>
      <c r="P184" s="149">
        <f t="shared" si="507"/>
        <v>2.9070883938769363</v>
      </c>
      <c r="Q184" s="188">
        <f t="shared" si="508"/>
        <v>1.3081897772446214</v>
      </c>
      <c r="R184" s="188">
        <f t="shared" si="509"/>
        <v>0.81761861077788833</v>
      </c>
      <c r="S184" s="188">
        <f t="shared" si="510"/>
        <v>5</v>
      </c>
      <c r="T184" s="188">
        <f t="shared" si="511"/>
        <v>3.3940029781854455</v>
      </c>
      <c r="U184" s="188">
        <f t="shared" si="512"/>
        <v>4.5875630217299372</v>
      </c>
      <c r="V184" s="188">
        <f t="shared" si="513"/>
        <v>7.0873588187413539</v>
      </c>
      <c r="W184" s="172">
        <f t="shared" si="514"/>
        <v>290.70883938769367</v>
      </c>
      <c r="X184" s="379">
        <f t="shared" si="599"/>
        <v>84.211080580915393</v>
      </c>
      <c r="Z184" s="188">
        <f t="shared" si="515"/>
        <v>0.99999999999999978</v>
      </c>
      <c r="AA184" s="150">
        <f t="shared" si="516"/>
        <v>2.0882005302571969</v>
      </c>
      <c r="AB184" s="150">
        <f t="shared" si="517"/>
        <v>0.22764688220993853</v>
      </c>
      <c r="AC184" s="150"/>
      <c r="AD184" s="150">
        <f t="shared" si="518"/>
        <v>2.0882005302571973</v>
      </c>
      <c r="AE184" s="314">
        <f t="shared" si="519"/>
        <v>850.4930318072735</v>
      </c>
      <c r="AF184" s="456">
        <f t="shared" si="520"/>
        <v>0.30352917627991821</v>
      </c>
      <c r="AH184" s="150">
        <f t="shared" si="521"/>
        <v>1.6790019711267818</v>
      </c>
      <c r="AI184" s="150">
        <f t="shared" si="522"/>
        <v>3.3940029781854455</v>
      </c>
      <c r="AJ184" s="150">
        <f t="shared" si="523"/>
        <v>2.9733355393966261</v>
      </c>
      <c r="AL184" s="314">
        <f t="shared" si="524"/>
        <v>888</v>
      </c>
      <c r="AM184" s="144">
        <f t="shared" si="525"/>
        <v>84.211080580915393</v>
      </c>
      <c r="AO184">
        <f t="shared" si="526"/>
        <v>888</v>
      </c>
      <c r="AP184">
        <f t="shared" si="527"/>
        <v>84.211080580915393</v>
      </c>
      <c r="AR184" s="5">
        <f t="shared" si="443"/>
        <v>11.874921840471291</v>
      </c>
      <c r="AS184" s="5">
        <f t="shared" si="604"/>
        <v>4.5875630217299372</v>
      </c>
      <c r="AT184" s="5">
        <f t="shared" si="605"/>
        <v>7.287358818741354</v>
      </c>
      <c r="AU184" s="150">
        <f t="shared" si="606"/>
        <v>0.38632363929292746</v>
      </c>
      <c r="AW184" s="5">
        <f t="shared" si="477"/>
        <v>81.475119265923681</v>
      </c>
      <c r="AX184" s="5">
        <f t="shared" si="478"/>
        <v>10.60873948775048</v>
      </c>
      <c r="AY184" s="5">
        <f t="shared" si="479"/>
        <v>1.5185547716307661</v>
      </c>
      <c r="AZ184" s="5"/>
      <c r="BA184" s="150">
        <f t="shared" si="480"/>
        <v>1.2179437566771301</v>
      </c>
      <c r="BB184" s="150">
        <f t="shared" si="481"/>
        <v>1.5350456271878123</v>
      </c>
      <c r="BC184" s="150">
        <f t="shared" si="482"/>
        <v>0.34312784607727576</v>
      </c>
      <c r="BD184" s="150"/>
      <c r="BE184" s="456">
        <f t="shared" si="483"/>
        <v>2.9667739888576006E-2</v>
      </c>
      <c r="BF184" s="456">
        <f t="shared" si="528"/>
        <v>7.8372502434937416E-2</v>
      </c>
      <c r="BG184" s="456">
        <f t="shared" si="529"/>
        <v>1.8690489281609702E-2</v>
      </c>
      <c r="BH184" s="456">
        <f t="shared" si="484"/>
        <v>1.8010725432234113E-3</v>
      </c>
      <c r="BI184">
        <f t="shared" si="485"/>
        <v>3.9950657888270695E-3</v>
      </c>
      <c r="BJ184" s="144">
        <f t="shared" si="600"/>
        <v>22.68555507043677</v>
      </c>
      <c r="BK184">
        <f t="shared" si="530"/>
        <v>0.11868824460040035</v>
      </c>
      <c r="BL184" s="144">
        <f t="shared" si="601"/>
        <v>132.52686993717361</v>
      </c>
      <c r="BM184" s="150">
        <f t="shared" si="531"/>
        <v>0.55166999999999988</v>
      </c>
      <c r="BN184" s="150">
        <f t="shared" si="532"/>
        <v>0.11493125</v>
      </c>
      <c r="BO184" s="456"/>
      <c r="BQ184" s="144">
        <f t="shared" si="486"/>
        <v>666.60124999999994</v>
      </c>
      <c r="BR184" s="456">
        <f t="shared" si="487"/>
        <v>4.4501609832864004E-2</v>
      </c>
      <c r="BS184" s="456">
        <f t="shared" si="488"/>
        <v>7.0690952326452713E-2</v>
      </c>
      <c r="BT184" s="456">
        <f t="shared" si="489"/>
        <v>5.8868359376815324E-4</v>
      </c>
      <c r="BU184" s="456">
        <f t="shared" si="490"/>
        <v>6.9051585109040123E-2</v>
      </c>
      <c r="BV184" s="456"/>
      <c r="BW184" s="538">
        <f t="shared" si="533"/>
        <v>9.7004901343203257E-4</v>
      </c>
      <c r="BX184" s="144">
        <f t="shared" si="491"/>
        <v>185.80287987555701</v>
      </c>
      <c r="BY184" s="150">
        <f t="shared" si="492"/>
        <v>0.98493099981273047</v>
      </c>
      <c r="BZ184" s="5">
        <f t="shared" si="493"/>
        <v>5.92</v>
      </c>
      <c r="CA184" s="150">
        <f t="shared" si="494"/>
        <v>0.85735831395861262</v>
      </c>
      <c r="CB184" s="5">
        <f t="shared" si="495"/>
        <v>85.735831395861268</v>
      </c>
      <c r="CC184">
        <f t="shared" si="496"/>
        <v>74</v>
      </c>
      <c r="CE184" s="59">
        <f t="shared" si="534"/>
        <v>-50</v>
      </c>
      <c r="CF184">
        <f t="shared" si="535"/>
        <v>-50</v>
      </c>
      <c r="CG184" s="150">
        <f t="shared" si="536"/>
        <v>0.57198633493024886</v>
      </c>
      <c r="CH184" s="150">
        <f t="shared" si="537"/>
        <v>0.31031053622728111</v>
      </c>
      <c r="CI184" s="147">
        <v>74</v>
      </c>
      <c r="CJ184" s="188">
        <f t="shared" si="602"/>
        <v>0.88800000000000001</v>
      </c>
      <c r="CK184" s="188">
        <f t="shared" si="538"/>
        <v>0.185</v>
      </c>
      <c r="CL184" s="188">
        <f t="shared" si="539"/>
        <v>4.4400000000000004</v>
      </c>
      <c r="CM184" s="188">
        <f t="shared" si="540"/>
        <v>1.48</v>
      </c>
      <c r="CN184" s="465">
        <f t="shared" si="541"/>
        <v>9</v>
      </c>
      <c r="CO184" s="379">
        <f t="shared" si="542"/>
        <v>5.7</v>
      </c>
      <c r="CP184" s="379">
        <f t="shared" si="543"/>
        <v>14.7</v>
      </c>
      <c r="CQ184" s="379"/>
      <c r="CR184" s="188">
        <f t="shared" si="544"/>
        <v>0.375</v>
      </c>
      <c r="CS184" s="149">
        <f t="shared" si="545"/>
        <v>6.328125</v>
      </c>
      <c r="CT184" s="149">
        <f t="shared" si="546"/>
        <v>2.8125</v>
      </c>
      <c r="CU184" s="188">
        <f t="shared" si="547"/>
        <v>1.265625</v>
      </c>
      <c r="CV184" s="188">
        <f t="shared" si="548"/>
        <v>0.791015625</v>
      </c>
      <c r="CW184" s="188">
        <f t="shared" si="549"/>
        <v>5</v>
      </c>
      <c r="CX184" s="188">
        <f t="shared" si="550"/>
        <v>3.5081481481481482</v>
      </c>
      <c r="CY184" s="188">
        <f t="shared" si="551"/>
        <v>4.6775308641975304</v>
      </c>
      <c r="CZ184" s="188">
        <f t="shared" si="552"/>
        <v>7.3855750487329432</v>
      </c>
      <c r="DA184" s="172">
        <f t="shared" si="553"/>
        <v>290.81632653061229</v>
      </c>
      <c r="DB184" s="379">
        <f t="shared" si="554"/>
        <v>82.897390375068952</v>
      </c>
      <c r="DD184" s="188">
        <f t="shared" si="555"/>
        <v>0.99999999999999978</v>
      </c>
      <c r="DE184" s="150">
        <f t="shared" si="556"/>
        <v>2.1052631578947363</v>
      </c>
      <c r="DF184" s="150">
        <f t="shared" si="557"/>
        <v>0.2295918367346938</v>
      </c>
      <c r="DG184" s="150"/>
      <c r="DH184" s="150">
        <f t="shared" si="558"/>
        <v>2.1052631578947367</v>
      </c>
      <c r="DI184" s="314">
        <f t="shared" si="559"/>
        <v>843.6</v>
      </c>
      <c r="DJ184" s="456">
        <f t="shared" si="560"/>
        <v>0.3061224489795919</v>
      </c>
      <c r="DL184" s="150">
        <f t="shared" si="561"/>
        <v>1.6790019711267818</v>
      </c>
      <c r="DM184" s="150">
        <f t="shared" si="562"/>
        <v>3.5081481481481482</v>
      </c>
      <c r="DN184" s="150">
        <f t="shared" si="563"/>
        <v>3.0578875171467765</v>
      </c>
      <c r="DP184" s="314">
        <f t="shared" si="564"/>
        <v>888</v>
      </c>
      <c r="DQ184" s="144">
        <f t="shared" si="565"/>
        <v>82.897390375068952</v>
      </c>
      <c r="DS184">
        <f t="shared" si="566"/>
        <v>888</v>
      </c>
      <c r="DT184">
        <f t="shared" si="567"/>
        <v>82.897390375068952</v>
      </c>
      <c r="DV184" s="5">
        <f t="shared" si="568"/>
        <v>12.063105912930473</v>
      </c>
      <c r="DW184" s="5">
        <f t="shared" si="569"/>
        <v>4.6775308641975304</v>
      </c>
      <c r="DX184" s="5">
        <f t="shared" si="570"/>
        <v>7.3855750487329423</v>
      </c>
      <c r="DY184" s="150">
        <f t="shared" si="571"/>
        <v>0.38775510204081631</v>
      </c>
      <c r="EA184" s="5">
        <f t="shared" si="572"/>
        <v>83.072948148148143</v>
      </c>
      <c r="EB184" s="5">
        <f t="shared" si="573"/>
        <v>10.816790123456789</v>
      </c>
      <c r="EC184" s="5">
        <f t="shared" si="574"/>
        <v>1.5181459822395493</v>
      </c>
      <c r="ED184" s="5"/>
      <c r="EE184" s="150">
        <f t="shared" si="575"/>
        <v>1.2612351282342953</v>
      </c>
      <c r="EF184" s="150">
        <f t="shared" si="576"/>
        <v>1.5848197882071371</v>
      </c>
      <c r="EG184" s="150">
        <f t="shared" si="577"/>
        <v>0.35425383501100716</v>
      </c>
      <c r="EH184" s="150"/>
      <c r="EI184" s="456">
        <f t="shared" si="578"/>
        <v>3.1814280973843589E-2</v>
      </c>
      <c r="EJ184" s="456">
        <f t="shared" si="579"/>
        <v>8.5500000000000007E-2</v>
      </c>
      <c r="EK184" s="456">
        <f t="shared" si="580"/>
        <v>1.0362173796883619E-2</v>
      </c>
      <c r="EL184" s="456">
        <f t="shared" si="581"/>
        <v>1.7913297086148648E-3</v>
      </c>
      <c r="EM184">
        <f t="shared" si="582"/>
        <v>4.0499999999999998E-3</v>
      </c>
      <c r="EN184" s="144">
        <f t="shared" si="583"/>
        <v>14.412173796883618</v>
      </c>
      <c r="EP184" s="144">
        <f t="shared" si="603"/>
        <v>133.51778447934208</v>
      </c>
      <c r="EQ184" s="150">
        <f t="shared" si="584"/>
        <v>0.62159999999999993</v>
      </c>
      <c r="ER184" s="150">
        <f t="shared" si="585"/>
        <v>8.2093749999999993E-2</v>
      </c>
      <c r="ES184" s="456"/>
      <c r="EU184" s="144">
        <f t="shared" si="497"/>
        <v>703.69374999999991</v>
      </c>
      <c r="EV184" s="456">
        <f t="shared" si="586"/>
        <v>4.7721421460765377E-2</v>
      </c>
      <c r="EW184" s="456">
        <f t="shared" si="587"/>
        <v>7.5349612832787446E-2</v>
      </c>
      <c r="EX184" s="456">
        <f t="shared" si="588"/>
        <v>6.2747889810002946E-4</v>
      </c>
      <c r="EY184" s="456">
        <f t="shared" si="589"/>
        <v>7.2113564882065384E-2</v>
      </c>
      <c r="EZ184" s="456"/>
      <c r="FA184" s="538">
        <f t="shared" si="590"/>
        <v>1.0202267573696147E-3</v>
      </c>
      <c r="FB184" s="144">
        <f t="shared" si="498"/>
        <v>196.83230483108784</v>
      </c>
      <c r="FC184" s="150">
        <f t="shared" si="591"/>
        <v>1.0340438393104296</v>
      </c>
      <c r="FD184" s="5">
        <f t="shared" si="592"/>
        <v>5.92</v>
      </c>
      <c r="FE184" s="150">
        <f t="shared" si="593"/>
        <v>0.85130323259322926</v>
      </c>
      <c r="FF184" s="5">
        <f t="shared" si="594"/>
        <v>85.130323259322921</v>
      </c>
      <c r="FG184">
        <f t="shared" si="595"/>
        <v>74</v>
      </c>
      <c r="FI184" s="59">
        <f t="shared" si="596"/>
        <v>-50</v>
      </c>
      <c r="FJ184">
        <f t="shared" si="597"/>
        <v>-50</v>
      </c>
    </row>
    <row r="185" spans="5:166">
      <c r="E185" s="147">
        <v>75</v>
      </c>
      <c r="F185" s="188">
        <f t="shared" si="598"/>
        <v>0.89999999999999991</v>
      </c>
      <c r="G185" s="188">
        <f t="shared" si="499"/>
        <v>0.1875</v>
      </c>
      <c r="H185" s="188">
        <f t="shared" si="500"/>
        <v>4.5</v>
      </c>
      <c r="I185" s="188">
        <f t="shared" si="501"/>
        <v>1.5</v>
      </c>
      <c r="J185" s="465">
        <f t="shared" si="502"/>
        <v>8.8762742991600661</v>
      </c>
      <c r="K185" s="379">
        <f t="shared" si="503"/>
        <v>5.7472039249037179</v>
      </c>
      <c r="L185" s="149">
        <f t="shared" si="504"/>
        <v>14.623478224063785</v>
      </c>
      <c r="M185" s="379"/>
      <c r="N185" s="188">
        <f t="shared" si="505"/>
        <v>0.39301210265054171</v>
      </c>
      <c r="O185" s="149">
        <f t="shared" si="506"/>
        <v>6.540906048779739</v>
      </c>
      <c r="P185" s="149">
        <f t="shared" si="507"/>
        <v>2.9070693550132174</v>
      </c>
      <c r="Q185" s="188">
        <f t="shared" si="508"/>
        <v>1.3081812097559478</v>
      </c>
      <c r="R185" s="188">
        <f t="shared" si="509"/>
        <v>0.81761325609746738</v>
      </c>
      <c r="S185" s="188">
        <f t="shared" si="510"/>
        <v>5</v>
      </c>
      <c r="T185" s="188">
        <f t="shared" si="511"/>
        <v>3.4398904115428417</v>
      </c>
      <c r="U185" s="188">
        <f t="shared" si="512"/>
        <v>4.6504517038663593</v>
      </c>
      <c r="V185" s="188">
        <f t="shared" si="513"/>
        <v>7.1823943395580203</v>
      </c>
      <c r="W185" s="172">
        <f t="shared" si="514"/>
        <v>290.70693550132177</v>
      </c>
      <c r="X185" s="379">
        <f t="shared" si="599"/>
        <v>83.105858447052327</v>
      </c>
      <c r="Z185" s="188">
        <f t="shared" si="515"/>
        <v>1</v>
      </c>
      <c r="AA185" s="150">
        <f t="shared" si="516"/>
        <v>2.0879718480149521</v>
      </c>
      <c r="AB185" s="150">
        <f t="shared" si="517"/>
        <v>0.22762046150604687</v>
      </c>
      <c r="AC185" s="150"/>
      <c r="AD185" s="150">
        <f t="shared" si="518"/>
        <v>2.0879718480149521</v>
      </c>
      <c r="AE185" s="314">
        <f t="shared" si="519"/>
        <v>862.08058873555763</v>
      </c>
      <c r="AF185" s="456">
        <f t="shared" si="520"/>
        <v>0.30349394867472912</v>
      </c>
      <c r="AH185" s="150">
        <f t="shared" si="521"/>
        <v>1.6903085094570331</v>
      </c>
      <c r="AI185" s="150">
        <f t="shared" si="522"/>
        <v>3.4398904115428417</v>
      </c>
      <c r="AJ185" s="150">
        <f t="shared" si="523"/>
        <v>3.0073262307724757</v>
      </c>
      <c r="AL185" s="314">
        <f t="shared" si="524"/>
        <v>899.99999999999989</v>
      </c>
      <c r="AM185" s="144">
        <f t="shared" si="525"/>
        <v>83.105858447052327</v>
      </c>
      <c r="AO185">
        <f t="shared" si="526"/>
        <v>899.99999999999989</v>
      </c>
      <c r="AP185">
        <f t="shared" si="527"/>
        <v>83.105858447052327</v>
      </c>
      <c r="AR185" s="5">
        <f t="shared" si="443"/>
        <v>12.032846043424378</v>
      </c>
      <c r="AS185" s="5">
        <f t="shared" si="604"/>
        <v>4.6504517038663593</v>
      </c>
      <c r="AT185" s="5">
        <f t="shared" si="605"/>
        <v>7.3823943395580187</v>
      </c>
      <c r="AU185" s="150">
        <f t="shared" si="606"/>
        <v>0.38647978101637098</v>
      </c>
      <c r="AW185" s="5">
        <f t="shared" si="477"/>
        <v>83.708130669594453</v>
      </c>
      <c r="AX185" s="5">
        <f t="shared" si="478"/>
        <v>10.899496180936779</v>
      </c>
      <c r="AY185" s="5">
        <f t="shared" si="479"/>
        <v>1.5594368673330774</v>
      </c>
      <c r="AZ185" s="5"/>
      <c r="BA185" s="150">
        <f t="shared" si="480"/>
        <v>1.2346599731185217</v>
      </c>
      <c r="BB185" s="150">
        <f t="shared" si="481"/>
        <v>1.5556017373523872</v>
      </c>
      <c r="BC185" s="150">
        <f t="shared" si="482"/>
        <v>0.3477227412905336</v>
      </c>
      <c r="BD185" s="150"/>
      <c r="BE185" s="456">
        <f t="shared" si="483"/>
        <v>3.0487704984420577E-2</v>
      </c>
      <c r="BF185" s="456">
        <f t="shared" si="528"/>
        <v>7.8384140706655378E-2</v>
      </c>
      <c r="BG185" s="456">
        <f t="shared" si="529"/>
        <v>1.8441759886080128E-2</v>
      </c>
      <c r="BH185" s="456">
        <f t="shared" si="484"/>
        <v>1.7771864993363624E-3</v>
      </c>
      <c r="BI185">
        <f t="shared" si="485"/>
        <v>3.9943234346220295E-3</v>
      </c>
      <c r="BJ185" s="144">
        <f t="shared" si="600"/>
        <v>22.43608332070216</v>
      </c>
      <c r="BK185">
        <f t="shared" si="530"/>
        <v>0.11974815363621027</v>
      </c>
      <c r="BL185" s="144">
        <f t="shared" si="601"/>
        <v>133.08511551111448</v>
      </c>
      <c r="BM185" s="150">
        <f t="shared" si="531"/>
        <v>0.55912499999999987</v>
      </c>
      <c r="BN185" s="150">
        <f t="shared" si="532"/>
        <v>0.11648437499999997</v>
      </c>
      <c r="BO185" s="456"/>
      <c r="BQ185" s="144">
        <f t="shared" si="486"/>
        <v>675.60937499999989</v>
      </c>
      <c r="BR185" s="456">
        <f t="shared" si="487"/>
        <v>4.5731557476630866E-2</v>
      </c>
      <c r="BS185" s="456">
        <f t="shared" si="488"/>
        <v>7.2596902957612952E-2</v>
      </c>
      <c r="BT185" s="456">
        <f t="shared" si="489"/>
        <v>6.045555240530168E-4</v>
      </c>
      <c r="BU185" s="456">
        <f t="shared" si="490"/>
        <v>6.9089272812771926E-2</v>
      </c>
      <c r="BV185" s="456"/>
      <c r="BW185" s="538">
        <f t="shared" si="533"/>
        <v>9.8337882831058985E-4</v>
      </c>
      <c r="BX185" s="144">
        <f t="shared" si="491"/>
        <v>189.00566759937934</v>
      </c>
      <c r="BY185" s="150">
        <f t="shared" si="492"/>
        <v>0.99770015811049351</v>
      </c>
      <c r="BZ185" s="5">
        <f t="shared" si="493"/>
        <v>6</v>
      </c>
      <c r="CA185" s="150">
        <f t="shared" si="494"/>
        <v>0.85742456298957925</v>
      </c>
      <c r="CB185" s="5">
        <f t="shared" si="495"/>
        <v>85.742456298957919</v>
      </c>
      <c r="CC185">
        <f t="shared" si="496"/>
        <v>75</v>
      </c>
      <c r="CE185" s="59">
        <f t="shared" si="534"/>
        <v>-50</v>
      </c>
      <c r="CF185">
        <f t="shared" si="535"/>
        <v>-50</v>
      </c>
      <c r="CG185" s="150">
        <f t="shared" si="536"/>
        <v>0.57198633493024886</v>
      </c>
      <c r="CH185" s="150">
        <f t="shared" si="537"/>
        <v>0.31031053622728111</v>
      </c>
      <c r="CI185" s="147">
        <v>75</v>
      </c>
      <c r="CJ185" s="188">
        <f t="shared" si="602"/>
        <v>0.89999999999999991</v>
      </c>
      <c r="CK185" s="188">
        <f t="shared" si="538"/>
        <v>0.1875</v>
      </c>
      <c r="CL185" s="188">
        <f t="shared" si="539"/>
        <v>4.5</v>
      </c>
      <c r="CM185" s="188">
        <f t="shared" si="540"/>
        <v>1.5</v>
      </c>
      <c r="CN185" s="465">
        <f t="shared" si="541"/>
        <v>9</v>
      </c>
      <c r="CO185" s="379">
        <f t="shared" si="542"/>
        <v>5.7</v>
      </c>
      <c r="CP185" s="379">
        <f t="shared" si="543"/>
        <v>14.7</v>
      </c>
      <c r="CQ185" s="379"/>
      <c r="CR185" s="188">
        <f t="shared" si="544"/>
        <v>0.375</v>
      </c>
      <c r="CS185" s="149">
        <f t="shared" si="545"/>
        <v>6.328125</v>
      </c>
      <c r="CT185" s="149">
        <f t="shared" si="546"/>
        <v>2.8125</v>
      </c>
      <c r="CU185" s="188">
        <f t="shared" si="547"/>
        <v>1.265625</v>
      </c>
      <c r="CV185" s="188">
        <f t="shared" si="548"/>
        <v>0.791015625</v>
      </c>
      <c r="CW185" s="188">
        <f t="shared" si="549"/>
        <v>5</v>
      </c>
      <c r="CX185" s="188">
        <f t="shared" si="550"/>
        <v>3.5555555555555554</v>
      </c>
      <c r="CY185" s="188">
        <f t="shared" si="551"/>
        <v>4.7407407407407405</v>
      </c>
      <c r="CZ185" s="188">
        <f t="shared" si="552"/>
        <v>7.485380116959063</v>
      </c>
      <c r="DA185" s="172">
        <f t="shared" si="553"/>
        <v>290.81632653061229</v>
      </c>
      <c r="DB185" s="379">
        <f t="shared" si="554"/>
        <v>81.792091836734699</v>
      </c>
      <c r="DD185" s="188">
        <f t="shared" si="555"/>
        <v>0.99999999999999978</v>
      </c>
      <c r="DE185" s="150">
        <f t="shared" si="556"/>
        <v>2.1052631578947363</v>
      </c>
      <c r="DF185" s="150">
        <f t="shared" si="557"/>
        <v>0.2295918367346938</v>
      </c>
      <c r="DG185" s="150"/>
      <c r="DH185" s="150">
        <f t="shared" si="558"/>
        <v>2.1052631578947367</v>
      </c>
      <c r="DI185" s="314">
        <f t="shared" si="559"/>
        <v>855</v>
      </c>
      <c r="DJ185" s="456">
        <f t="shared" si="560"/>
        <v>0.3061224489795919</v>
      </c>
      <c r="DL185" s="150">
        <f t="shared" si="561"/>
        <v>1.6903085094570331</v>
      </c>
      <c r="DM185" s="150">
        <f t="shared" si="562"/>
        <v>3.5555555555555554</v>
      </c>
      <c r="DN185" s="150">
        <f t="shared" si="563"/>
        <v>3.0930041152263374</v>
      </c>
      <c r="DP185" s="314">
        <f t="shared" si="564"/>
        <v>899.99999999999989</v>
      </c>
      <c r="DQ185" s="144">
        <f t="shared" si="565"/>
        <v>81.792091836734699</v>
      </c>
      <c r="DS185">
        <f t="shared" si="566"/>
        <v>899.99999999999989</v>
      </c>
      <c r="DT185">
        <f t="shared" si="567"/>
        <v>81.792091836734699</v>
      </c>
      <c r="DV185" s="5">
        <f t="shared" si="568"/>
        <v>12.226120857699804</v>
      </c>
      <c r="DW185" s="5">
        <f t="shared" si="569"/>
        <v>4.7407407407407405</v>
      </c>
      <c r="DX185" s="5">
        <f t="shared" si="570"/>
        <v>7.4853801169590639</v>
      </c>
      <c r="DY185" s="150">
        <f t="shared" si="571"/>
        <v>0.38775510204081631</v>
      </c>
      <c r="EA185" s="5">
        <f t="shared" si="572"/>
        <v>85.333333333333314</v>
      </c>
      <c r="EB185" s="5">
        <f t="shared" si="573"/>
        <v>11.111111111111109</v>
      </c>
      <c r="EC185" s="5">
        <f t="shared" si="574"/>
        <v>1.5594541910331381</v>
      </c>
      <c r="ED185" s="5"/>
      <c r="EE185" s="150">
        <f t="shared" si="575"/>
        <v>1.2782788461834074</v>
      </c>
      <c r="EF185" s="150">
        <f t="shared" si="576"/>
        <v>1.6062362718315577</v>
      </c>
      <c r="EG185" s="150">
        <f t="shared" si="577"/>
        <v>0.35904104899764233</v>
      </c>
      <c r="EH185" s="150"/>
      <c r="EI185" s="456">
        <f t="shared" si="578"/>
        <v>3.2679936171999664E-2</v>
      </c>
      <c r="EJ185" s="456">
        <f t="shared" si="579"/>
        <v>8.5500000000000007E-2</v>
      </c>
      <c r="EK185" s="456">
        <f t="shared" si="580"/>
        <v>1.0224011479591838E-2</v>
      </c>
      <c r="EL185" s="456">
        <f t="shared" si="581"/>
        <v>1.7674453124999999E-3</v>
      </c>
      <c r="EM185">
        <f t="shared" si="582"/>
        <v>4.0499999999999998E-3</v>
      </c>
      <c r="EN185" s="144">
        <f t="shared" si="583"/>
        <v>14.274011479591838</v>
      </c>
      <c r="EP185" s="144">
        <f t="shared" si="603"/>
        <v>134.22139296409154</v>
      </c>
      <c r="EQ185" s="150">
        <f t="shared" si="584"/>
        <v>0.62999999999999989</v>
      </c>
      <c r="ER185" s="150">
        <f t="shared" si="585"/>
        <v>8.3203124999999989E-2</v>
      </c>
      <c r="ES185" s="456"/>
      <c r="EU185" s="144">
        <f t="shared" si="497"/>
        <v>713.20312499999989</v>
      </c>
      <c r="EV185" s="456">
        <f t="shared" si="586"/>
        <v>4.9019904257999493E-2</v>
      </c>
      <c r="EW185" s="456">
        <f t="shared" si="587"/>
        <v>7.7399848828420256E-2</v>
      </c>
      <c r="EX185" s="456">
        <f t="shared" si="588"/>
        <v>6.4455237432663691E-4</v>
      </c>
      <c r="EY185" s="456">
        <f t="shared" si="589"/>
        <v>7.2113564882065495E-2</v>
      </c>
      <c r="EZ185" s="456"/>
      <c r="FA185" s="538">
        <f t="shared" si="590"/>
        <v>1.0340136054421769E-3</v>
      </c>
      <c r="FB185" s="144">
        <f t="shared" si="498"/>
        <v>200.21188394825407</v>
      </c>
      <c r="FC185" s="150">
        <f t="shared" si="591"/>
        <v>1.0476364019123452</v>
      </c>
      <c r="FD185" s="5">
        <f t="shared" si="592"/>
        <v>6</v>
      </c>
      <c r="FE185" s="150">
        <f t="shared" si="593"/>
        <v>0.85134925496041858</v>
      </c>
      <c r="FF185" s="5">
        <f t="shared" si="594"/>
        <v>85.134925496041859</v>
      </c>
      <c r="FG185">
        <f t="shared" si="595"/>
        <v>75</v>
      </c>
      <c r="FI185" s="59">
        <f t="shared" si="596"/>
        <v>-50</v>
      </c>
      <c r="FJ185">
        <f t="shared" si="597"/>
        <v>-50</v>
      </c>
    </row>
    <row r="186" spans="5:166">
      <c r="E186" s="147">
        <v>76</v>
      </c>
      <c r="F186" s="188">
        <f t="shared" si="598"/>
        <v>0.91199999999999992</v>
      </c>
      <c r="G186" s="188">
        <f t="shared" si="499"/>
        <v>0.19</v>
      </c>
      <c r="H186" s="188">
        <f t="shared" si="500"/>
        <v>4.5599999999999996</v>
      </c>
      <c r="I186" s="188">
        <f t="shared" si="501"/>
        <v>1.52</v>
      </c>
      <c r="J186" s="465">
        <f t="shared" si="502"/>
        <v>8.8746246231488666</v>
      </c>
      <c r="K186" s="379">
        <f t="shared" si="503"/>
        <v>5.7478333105691002</v>
      </c>
      <c r="L186" s="149">
        <f t="shared" si="504"/>
        <v>14.622457933717968</v>
      </c>
      <c r="M186" s="379"/>
      <c r="N186" s="188">
        <f t="shared" si="505"/>
        <v>0.3930825676930248</v>
      </c>
      <c r="O186" s="149">
        <f t="shared" si="506"/>
        <v>6.5408629390858115</v>
      </c>
      <c r="P186" s="149">
        <f t="shared" si="507"/>
        <v>2.9070501951492496</v>
      </c>
      <c r="Q186" s="188">
        <f t="shared" si="508"/>
        <v>1.3081725878171624</v>
      </c>
      <c r="R186" s="188">
        <f t="shared" si="509"/>
        <v>0.81760786738572644</v>
      </c>
      <c r="S186" s="188">
        <f t="shared" si="510"/>
        <v>5</v>
      </c>
      <c r="T186" s="188">
        <f t="shared" si="511"/>
        <v>3.4857785910411785</v>
      </c>
      <c r="U186" s="188">
        <f t="shared" si="512"/>
        <v>4.7133647752700538</v>
      </c>
      <c r="V186" s="188">
        <f t="shared" si="513"/>
        <v>7.2774106054151675</v>
      </c>
      <c r="W186" s="172">
        <f t="shared" si="514"/>
        <v>290.70501951492486</v>
      </c>
      <c r="X186" s="379">
        <f t="shared" si="599"/>
        <v>82.0292367608033</v>
      </c>
      <c r="Z186" s="188">
        <f t="shared" si="515"/>
        <v>1</v>
      </c>
      <c r="AA186" s="150">
        <f t="shared" si="516"/>
        <v>2.0877432158539522</v>
      </c>
      <c r="AB186" s="150">
        <f t="shared" si="517"/>
        <v>0.22759403711511567</v>
      </c>
      <c r="AC186" s="150"/>
      <c r="AD186" s="150">
        <f t="shared" si="518"/>
        <v>2.0877432158539522</v>
      </c>
      <c r="AE186" s="314">
        <f t="shared" si="519"/>
        <v>873.67066320650304</v>
      </c>
      <c r="AF186" s="456">
        <f t="shared" si="520"/>
        <v>0.30345871615348752</v>
      </c>
      <c r="AH186" s="150">
        <f t="shared" si="521"/>
        <v>1.701539918790651</v>
      </c>
      <c r="AI186" s="150">
        <f t="shared" si="522"/>
        <v>3.4857785910411785</v>
      </c>
      <c r="AJ186" s="150">
        <f t="shared" si="523"/>
        <v>3.0413174748453171</v>
      </c>
      <c r="AL186" s="314">
        <f t="shared" si="524"/>
        <v>911.99999999999989</v>
      </c>
      <c r="AM186" s="144">
        <f t="shared" si="525"/>
        <v>82.0292367608033</v>
      </c>
      <c r="AO186">
        <f t="shared" si="526"/>
        <v>911.99999999999989</v>
      </c>
      <c r="AP186">
        <f t="shared" si="527"/>
        <v>82.0292367608033</v>
      </c>
      <c r="AR186" s="5">
        <f t="shared" si="443"/>
        <v>12.190775380685222</v>
      </c>
      <c r="AS186" s="5">
        <f t="shared" si="604"/>
        <v>4.7133647752700538</v>
      </c>
      <c r="AT186" s="5">
        <f t="shared" si="605"/>
        <v>7.4774106054151686</v>
      </c>
      <c r="AU186" s="150">
        <f t="shared" si="606"/>
        <v>0.38663371509065764</v>
      </c>
      <c r="AW186" s="5">
        <f t="shared" si="477"/>
        <v>85.971773500925778</v>
      </c>
      <c r="AX186" s="5">
        <f t="shared" si="478"/>
        <v>11.194241341266379</v>
      </c>
      <c r="AY186" s="5">
        <f t="shared" si="479"/>
        <v>1.6008654735920431</v>
      </c>
      <c r="AZ186" s="5"/>
      <c r="BA186" s="150">
        <f t="shared" si="480"/>
        <v>1.2513794884955225</v>
      </c>
      <c r="BB186" s="150">
        <f t="shared" si="481"/>
        <v>1.5761557149257257</v>
      </c>
      <c r="BC186" s="150">
        <f t="shared" si="482"/>
        <v>0.35231715980692691</v>
      </c>
      <c r="BD186" s="150"/>
      <c r="BE186" s="456">
        <f t="shared" si="483"/>
        <v>3.1319012484546313E-2</v>
      </c>
      <c r="BF186" s="456">
        <f t="shared" si="528"/>
        <v>7.8395317189756578E-2</v>
      </c>
      <c r="BG186" s="456">
        <f t="shared" si="529"/>
        <v>1.8199467109388325E-2</v>
      </c>
      <c r="BH186" s="456">
        <f t="shared" si="484"/>
        <v>1.7539185929232775E-3</v>
      </c>
      <c r="BI186">
        <f t="shared" si="485"/>
        <v>3.9935810804169894E-3</v>
      </c>
      <c r="BJ186" s="144">
        <f t="shared" si="600"/>
        <v>22.193048189805314</v>
      </c>
      <c r="BK186">
        <f t="shared" si="530"/>
        <v>0.12082347714265362</v>
      </c>
      <c r="BL186" s="144">
        <f t="shared" si="601"/>
        <v>133.66129645703151</v>
      </c>
      <c r="BM186" s="150">
        <f t="shared" si="531"/>
        <v>0.56657999999999986</v>
      </c>
      <c r="BN186" s="150">
        <f t="shared" si="532"/>
        <v>0.11803749999999998</v>
      </c>
      <c r="BO186" s="456"/>
      <c r="BQ186" s="144">
        <f t="shared" si="486"/>
        <v>684.61749999999984</v>
      </c>
      <c r="BR186" s="456">
        <f t="shared" si="487"/>
        <v>4.6978518726819463E-2</v>
      </c>
      <c r="BS186" s="456">
        <f t="shared" si="488"/>
        <v>7.4528005130790762E-2</v>
      </c>
      <c r="BT186" s="456">
        <f t="shared" si="489"/>
        <v>6.2063690547209838E-4</v>
      </c>
      <c r="BU186" s="456">
        <f t="shared" si="490"/>
        <v>6.9125960144636928E-2</v>
      </c>
      <c r="BV186" s="456"/>
      <c r="BW186" s="538">
        <f t="shared" si="533"/>
        <v>9.9670874134981055E-4</v>
      </c>
      <c r="BX186" s="144">
        <f t="shared" si="491"/>
        <v>192.24982964906903</v>
      </c>
      <c r="BY186" s="150">
        <f t="shared" si="492"/>
        <v>1.0105286261061004</v>
      </c>
      <c r="BZ186" s="5">
        <f t="shared" si="493"/>
        <v>6.08</v>
      </c>
      <c r="CA186" s="150">
        <f t="shared" si="494"/>
        <v>0.85748190587856754</v>
      </c>
      <c r="CB186" s="5">
        <f t="shared" si="495"/>
        <v>85.748190587856755</v>
      </c>
      <c r="CC186">
        <f t="shared" si="496"/>
        <v>76</v>
      </c>
      <c r="CE186" s="59">
        <f t="shared" si="534"/>
        <v>-50</v>
      </c>
      <c r="CF186">
        <f t="shared" si="535"/>
        <v>-50</v>
      </c>
      <c r="CG186" s="150">
        <f t="shared" si="536"/>
        <v>0.57198633493024875</v>
      </c>
      <c r="CH186" s="150">
        <f t="shared" si="537"/>
        <v>0.31031053622728111</v>
      </c>
      <c r="CI186" s="147">
        <v>76</v>
      </c>
      <c r="CJ186" s="188">
        <f t="shared" si="602"/>
        <v>0.91199999999999992</v>
      </c>
      <c r="CK186" s="188">
        <f t="shared" si="538"/>
        <v>0.19</v>
      </c>
      <c r="CL186" s="188">
        <f t="shared" si="539"/>
        <v>4.5599999999999996</v>
      </c>
      <c r="CM186" s="188">
        <f t="shared" si="540"/>
        <v>1.52</v>
      </c>
      <c r="CN186" s="465">
        <f t="shared" si="541"/>
        <v>9</v>
      </c>
      <c r="CO186" s="379">
        <f t="shared" si="542"/>
        <v>5.7</v>
      </c>
      <c r="CP186" s="379">
        <f t="shared" si="543"/>
        <v>14.7</v>
      </c>
      <c r="CQ186" s="379"/>
      <c r="CR186" s="188">
        <f t="shared" si="544"/>
        <v>0.375</v>
      </c>
      <c r="CS186" s="149">
        <f t="shared" si="545"/>
        <v>6.328125</v>
      </c>
      <c r="CT186" s="149">
        <f t="shared" si="546"/>
        <v>2.8125</v>
      </c>
      <c r="CU186" s="188">
        <f t="shared" si="547"/>
        <v>1.265625</v>
      </c>
      <c r="CV186" s="188">
        <f t="shared" si="548"/>
        <v>0.791015625</v>
      </c>
      <c r="CW186" s="188">
        <f t="shared" si="549"/>
        <v>5</v>
      </c>
      <c r="CX186" s="188">
        <f t="shared" si="550"/>
        <v>3.6029629629629629</v>
      </c>
      <c r="CY186" s="188">
        <f t="shared" si="551"/>
        <v>4.8039506172839506</v>
      </c>
      <c r="CZ186" s="188">
        <f t="shared" si="552"/>
        <v>7.5851851851851846</v>
      </c>
      <c r="DA186" s="172">
        <f t="shared" si="553"/>
        <v>290.81632653061229</v>
      </c>
      <c r="DB186" s="379">
        <f t="shared" si="554"/>
        <v>80.715880102040828</v>
      </c>
      <c r="DD186" s="188">
        <f t="shared" si="555"/>
        <v>0.99999999999999978</v>
      </c>
      <c r="DE186" s="150">
        <f t="shared" si="556"/>
        <v>2.1052631578947363</v>
      </c>
      <c r="DF186" s="150">
        <f t="shared" si="557"/>
        <v>0.2295918367346938</v>
      </c>
      <c r="DG186" s="150"/>
      <c r="DH186" s="150">
        <f t="shared" si="558"/>
        <v>2.1052631578947367</v>
      </c>
      <c r="DI186" s="314">
        <f t="shared" si="559"/>
        <v>866.4</v>
      </c>
      <c r="DJ186" s="456">
        <f t="shared" si="560"/>
        <v>0.3061224489795919</v>
      </c>
      <c r="DL186" s="150">
        <f t="shared" si="561"/>
        <v>1.701539918790651</v>
      </c>
      <c r="DM186" s="150">
        <f t="shared" si="562"/>
        <v>3.6029629629629629</v>
      </c>
      <c r="DN186" s="150">
        <f t="shared" si="563"/>
        <v>3.1281207133058988</v>
      </c>
      <c r="DP186" s="314">
        <f t="shared" si="564"/>
        <v>911.99999999999989</v>
      </c>
      <c r="DQ186" s="144">
        <f t="shared" si="565"/>
        <v>80.715880102040828</v>
      </c>
      <c r="DS186">
        <f t="shared" si="566"/>
        <v>911.99999999999989</v>
      </c>
      <c r="DT186">
        <f t="shared" si="567"/>
        <v>80.715880102040828</v>
      </c>
      <c r="DV186" s="5">
        <f t="shared" si="568"/>
        <v>12.389135802469134</v>
      </c>
      <c r="DW186" s="5">
        <f t="shared" si="569"/>
        <v>4.8039506172839506</v>
      </c>
      <c r="DX186" s="5">
        <f t="shared" si="570"/>
        <v>7.5851851851851837</v>
      </c>
      <c r="DY186" s="150">
        <f t="shared" si="571"/>
        <v>0.38775510204081637</v>
      </c>
      <c r="EA186" s="5">
        <f t="shared" si="572"/>
        <v>87.624059259259255</v>
      </c>
      <c r="EB186" s="5">
        <f t="shared" si="573"/>
        <v>11.409382716049382</v>
      </c>
      <c r="EC186" s="5">
        <f t="shared" si="574"/>
        <v>1.6013168724279827</v>
      </c>
      <c r="ED186" s="5"/>
      <c r="EE186" s="150">
        <f t="shared" si="575"/>
        <v>1.2953225641325194</v>
      </c>
      <c r="EF186" s="150">
        <f t="shared" si="576"/>
        <v>1.6276527554559785</v>
      </c>
      <c r="EG186" s="150">
        <f t="shared" si="577"/>
        <v>0.36382826298427756</v>
      </c>
      <c r="EH186" s="150"/>
      <c r="EI186" s="456">
        <f t="shared" si="578"/>
        <v>3.3557210903016901E-2</v>
      </c>
      <c r="EJ186" s="456">
        <f t="shared" si="579"/>
        <v>8.5500000000000007E-2</v>
      </c>
      <c r="EK186" s="456">
        <f t="shared" si="580"/>
        <v>1.0089485012755103E-2</v>
      </c>
      <c r="EL186" s="456">
        <f t="shared" si="581"/>
        <v>1.7441894531250001E-3</v>
      </c>
      <c r="EM186">
        <f t="shared" si="582"/>
        <v>4.0499999999999998E-3</v>
      </c>
      <c r="EN186" s="144">
        <f t="shared" si="583"/>
        <v>14.139485012755102</v>
      </c>
      <c r="EP186" s="144">
        <f t="shared" si="603"/>
        <v>134.940885368897</v>
      </c>
      <c r="EQ186" s="150">
        <f t="shared" si="584"/>
        <v>0.63839999999999986</v>
      </c>
      <c r="ER186" s="150">
        <f t="shared" si="585"/>
        <v>8.4312499999999999E-2</v>
      </c>
      <c r="ES186" s="456"/>
      <c r="EU186" s="144">
        <f t="shared" si="497"/>
        <v>722.71249999999986</v>
      </c>
      <c r="EV186" s="456">
        <f t="shared" si="586"/>
        <v>5.0335816354525352E-2</v>
      </c>
      <c r="EW186" s="456">
        <f t="shared" si="587"/>
        <v>7.947760477030319E-2</v>
      </c>
      <c r="EX186" s="456">
        <f t="shared" si="588"/>
        <v>6.6185502473078322E-4</v>
      </c>
      <c r="EY186" s="456">
        <f t="shared" si="589"/>
        <v>7.2113564882065495E-2</v>
      </c>
      <c r="EZ186" s="456"/>
      <c r="FA186" s="538">
        <f t="shared" si="590"/>
        <v>1.0478004535147394E-3</v>
      </c>
      <c r="FB186" s="144">
        <f t="shared" si="498"/>
        <v>203.63664148513956</v>
      </c>
      <c r="FC186" s="150">
        <f t="shared" si="591"/>
        <v>1.0612900268540366</v>
      </c>
      <c r="FD186" s="5">
        <f t="shared" si="592"/>
        <v>6.08</v>
      </c>
      <c r="FE186" s="150">
        <f t="shared" si="593"/>
        <v>0.8513867910611147</v>
      </c>
      <c r="FF186" s="5">
        <f t="shared" si="594"/>
        <v>85.138679106111468</v>
      </c>
      <c r="FG186">
        <f t="shared" si="595"/>
        <v>76</v>
      </c>
      <c r="FI186" s="59">
        <f t="shared" si="596"/>
        <v>-50</v>
      </c>
      <c r="FJ186">
        <f t="shared" si="597"/>
        <v>-50</v>
      </c>
    </row>
    <row r="187" spans="5:166">
      <c r="E187" s="147">
        <v>77</v>
      </c>
      <c r="F187" s="188">
        <f t="shared" si="598"/>
        <v>0.92399999999999993</v>
      </c>
      <c r="G187" s="188">
        <f t="shared" si="499"/>
        <v>0.1925</v>
      </c>
      <c r="H187" s="188">
        <f t="shared" si="500"/>
        <v>4.6199999999999992</v>
      </c>
      <c r="I187" s="188">
        <f t="shared" si="501"/>
        <v>1.54</v>
      </c>
      <c r="J187" s="465">
        <f t="shared" si="502"/>
        <v>8.8729749471376671</v>
      </c>
      <c r="K187" s="379">
        <f t="shared" si="503"/>
        <v>5.7484626962344834</v>
      </c>
      <c r="L187" s="149">
        <f t="shared" si="504"/>
        <v>14.62143764337215</v>
      </c>
      <c r="M187" s="379"/>
      <c r="N187" s="188">
        <f t="shared" si="505"/>
        <v>0.39315304256967115</v>
      </c>
      <c r="O187" s="149">
        <f t="shared" si="506"/>
        <v>6.5408195570843271</v>
      </c>
      <c r="P187" s="149">
        <f t="shared" si="507"/>
        <v>2.9070309142597006</v>
      </c>
      <c r="Q187" s="188">
        <f t="shared" si="508"/>
        <v>1.3081639114168655</v>
      </c>
      <c r="R187" s="188">
        <f t="shared" si="509"/>
        <v>0.81760244463554088</v>
      </c>
      <c r="S187" s="188">
        <f t="shared" si="510"/>
        <v>5</v>
      </c>
      <c r="T187" s="188">
        <f t="shared" si="511"/>
        <v>3.5316675224560372</v>
      </c>
      <c r="U187" s="188">
        <f t="shared" si="512"/>
        <v>4.7763022573555007</v>
      </c>
      <c r="V187" s="188">
        <f t="shared" si="513"/>
        <v>7.3724076346939444</v>
      </c>
      <c r="W187" s="172">
        <f t="shared" si="514"/>
        <v>290.70309142597011</v>
      </c>
      <c r="X187" s="379">
        <f t="shared" si="599"/>
        <v>80.980119279005564</v>
      </c>
      <c r="Z187" s="188">
        <f t="shared" si="515"/>
        <v>1</v>
      </c>
      <c r="AA187" s="150">
        <f t="shared" si="516"/>
        <v>2.0875146337577473</v>
      </c>
      <c r="AB187" s="150">
        <f t="shared" si="517"/>
        <v>0.22756760903637335</v>
      </c>
      <c r="AC187" s="150"/>
      <c r="AD187" s="150">
        <f t="shared" si="518"/>
        <v>2.0875146337577473</v>
      </c>
      <c r="AE187" s="314">
        <f t="shared" si="519"/>
        <v>885.26325522011041</v>
      </c>
      <c r="AF187" s="456">
        <f t="shared" si="520"/>
        <v>0.30342347871516445</v>
      </c>
      <c r="AH187" s="150">
        <f t="shared" si="521"/>
        <v>1.7126976771553504</v>
      </c>
      <c r="AI187" s="150">
        <f t="shared" si="522"/>
        <v>3.5316675224560372</v>
      </c>
      <c r="AJ187" s="150">
        <f t="shared" si="523"/>
        <v>3.0753092758933609</v>
      </c>
      <c r="AL187" s="314">
        <f t="shared" si="524"/>
        <v>923.99999999999989</v>
      </c>
      <c r="AM187" s="144">
        <f t="shared" si="525"/>
        <v>80.980119279005564</v>
      </c>
      <c r="AO187">
        <f t="shared" si="526"/>
        <v>923.99999999999989</v>
      </c>
      <c r="AP187">
        <f t="shared" si="527"/>
        <v>80.980119279005564</v>
      </c>
      <c r="AR187" s="5">
        <f t="shared" si="443"/>
        <v>12.348709892049445</v>
      </c>
      <c r="AS187" s="5">
        <f t="shared" si="604"/>
        <v>4.7763022573555007</v>
      </c>
      <c r="AT187" s="5">
        <f t="shared" si="605"/>
        <v>7.5724076346939446</v>
      </c>
      <c r="AU187" s="150">
        <f t="shared" si="606"/>
        <v>0.386785526513232</v>
      </c>
      <c r="AW187" s="5">
        <f t="shared" si="477"/>
        <v>88.266065715929656</v>
      </c>
      <c r="AX187" s="5">
        <f t="shared" si="478"/>
        <v>11.492977306761675</v>
      </c>
      <c r="AY187" s="5">
        <f t="shared" si="479"/>
        <v>1.6428407364644027</v>
      </c>
      <c r="AZ187" s="5"/>
      <c r="BA187" s="150">
        <f t="shared" si="480"/>
        <v>1.26810230345815</v>
      </c>
      <c r="BB187" s="150">
        <f t="shared" si="481"/>
        <v>1.5967075638182431</v>
      </c>
      <c r="BC187" s="150">
        <f t="shared" si="482"/>
        <v>0.35691110250054847</v>
      </c>
      <c r="BD187" s="150"/>
      <c r="BE187" s="456">
        <f t="shared" si="483"/>
        <v>3.2161669040717322E-2</v>
      </c>
      <c r="BF187" s="456">
        <f t="shared" si="528"/>
        <v>7.840604946001288E-2</v>
      </c>
      <c r="BG187" s="456">
        <f t="shared" si="529"/>
        <v>1.7963364239470907E-2</v>
      </c>
      <c r="BH187" s="456">
        <f t="shared" si="484"/>
        <v>1.7312451310939271E-3</v>
      </c>
      <c r="BI187">
        <f t="shared" si="485"/>
        <v>3.9928387262119502E-3</v>
      </c>
      <c r="BJ187" s="144">
        <f t="shared" si="600"/>
        <v>21.956202965682859</v>
      </c>
      <c r="BK187">
        <f t="shared" si="530"/>
        <v>0.12191423562752868</v>
      </c>
      <c r="BL187" s="144">
        <f t="shared" si="601"/>
        <v>134.25516659750699</v>
      </c>
      <c r="BM187" s="150">
        <f t="shared" si="531"/>
        <v>0.57403499999999996</v>
      </c>
      <c r="BN187" s="150">
        <f t="shared" si="532"/>
        <v>0.11959062499999998</v>
      </c>
      <c r="BO187" s="456"/>
      <c r="BQ187" s="144">
        <f t="shared" si="486"/>
        <v>693.6256249999999</v>
      </c>
      <c r="BR187" s="456">
        <f t="shared" si="487"/>
        <v>4.8242503561075976E-2</v>
      </c>
      <c r="BS187" s="456">
        <f t="shared" si="488"/>
        <v>7.6484251330631664E-2</v>
      </c>
      <c r="BT187" s="456">
        <f t="shared" si="489"/>
        <v>6.3692767544078503E-4</v>
      </c>
      <c r="BU187" s="456">
        <f t="shared" si="490"/>
        <v>6.916168468505296E-2</v>
      </c>
      <c r="BV187" s="456"/>
      <c r="BW187" s="538">
        <f t="shared" si="533"/>
        <v>1.0100387488413778E-3</v>
      </c>
      <c r="BX187" s="144">
        <f t="shared" si="491"/>
        <v>195.53540600104276</v>
      </c>
      <c r="BY187" s="150">
        <f t="shared" si="492"/>
        <v>1.0234161975985496</v>
      </c>
      <c r="BZ187" s="5">
        <f t="shared" si="493"/>
        <v>6.1599999999999993</v>
      </c>
      <c r="CA187" s="150">
        <f t="shared" si="494"/>
        <v>0.85753071109249079</v>
      </c>
      <c r="CB187" s="5">
        <f t="shared" si="495"/>
        <v>85.753071109249078</v>
      </c>
      <c r="CC187">
        <f t="shared" si="496"/>
        <v>77</v>
      </c>
      <c r="CE187" s="59">
        <f t="shared" si="534"/>
        <v>-50</v>
      </c>
      <c r="CF187">
        <f t="shared" si="535"/>
        <v>-50</v>
      </c>
      <c r="CG187" s="150">
        <f t="shared" si="536"/>
        <v>0.57198633493024875</v>
      </c>
      <c r="CH187" s="150">
        <f t="shared" si="537"/>
        <v>0.31031053622728111</v>
      </c>
      <c r="CI187" s="147">
        <v>77</v>
      </c>
      <c r="CJ187" s="188">
        <f t="shared" si="602"/>
        <v>0.92399999999999993</v>
      </c>
      <c r="CK187" s="188">
        <f t="shared" si="538"/>
        <v>0.1925</v>
      </c>
      <c r="CL187" s="188">
        <f t="shared" si="539"/>
        <v>4.6199999999999992</v>
      </c>
      <c r="CM187" s="188">
        <f t="shared" si="540"/>
        <v>1.54</v>
      </c>
      <c r="CN187" s="465">
        <f t="shared" si="541"/>
        <v>9</v>
      </c>
      <c r="CO187" s="379">
        <f t="shared" si="542"/>
        <v>5.7</v>
      </c>
      <c r="CP187" s="379">
        <f t="shared" si="543"/>
        <v>14.7</v>
      </c>
      <c r="CQ187" s="379"/>
      <c r="CR187" s="188">
        <f t="shared" si="544"/>
        <v>0.375</v>
      </c>
      <c r="CS187" s="149">
        <f t="shared" si="545"/>
        <v>6.328125</v>
      </c>
      <c r="CT187" s="149">
        <f t="shared" si="546"/>
        <v>2.8125</v>
      </c>
      <c r="CU187" s="188">
        <f t="shared" si="547"/>
        <v>1.265625</v>
      </c>
      <c r="CV187" s="188">
        <f t="shared" si="548"/>
        <v>0.791015625</v>
      </c>
      <c r="CW187" s="188">
        <f t="shared" si="549"/>
        <v>5</v>
      </c>
      <c r="CX187" s="188">
        <f t="shared" si="550"/>
        <v>3.65037037037037</v>
      </c>
      <c r="CY187" s="188">
        <f t="shared" si="551"/>
        <v>4.8671604938271598</v>
      </c>
      <c r="CZ187" s="188">
        <f t="shared" si="552"/>
        <v>7.6849902534113053</v>
      </c>
      <c r="DA187" s="172">
        <f t="shared" si="553"/>
        <v>290.81632653061229</v>
      </c>
      <c r="DB187" s="379">
        <f t="shared" si="554"/>
        <v>79.667621918897439</v>
      </c>
      <c r="DD187" s="188">
        <f t="shared" si="555"/>
        <v>0.99999999999999978</v>
      </c>
      <c r="DE187" s="150">
        <f t="shared" si="556"/>
        <v>2.1052631578947363</v>
      </c>
      <c r="DF187" s="150">
        <f t="shared" si="557"/>
        <v>0.2295918367346938</v>
      </c>
      <c r="DG187" s="150"/>
      <c r="DH187" s="150">
        <f t="shared" si="558"/>
        <v>2.1052631578947367</v>
      </c>
      <c r="DI187" s="314">
        <f t="shared" si="559"/>
        <v>877.79999999999984</v>
      </c>
      <c r="DJ187" s="456">
        <f t="shared" si="560"/>
        <v>0.3061224489795919</v>
      </c>
      <c r="DL187" s="150">
        <f t="shared" si="561"/>
        <v>1.7126976771553504</v>
      </c>
      <c r="DM187" s="150">
        <f t="shared" si="562"/>
        <v>3.65037037037037</v>
      </c>
      <c r="DN187" s="150">
        <f t="shared" si="563"/>
        <v>3.1632373113854593</v>
      </c>
      <c r="DP187" s="314">
        <f t="shared" si="564"/>
        <v>923.99999999999989</v>
      </c>
      <c r="DQ187" s="144">
        <f t="shared" si="565"/>
        <v>79.667621918897439</v>
      </c>
      <c r="DS187">
        <f t="shared" si="566"/>
        <v>923.99999999999989</v>
      </c>
      <c r="DT187">
        <f t="shared" si="567"/>
        <v>79.667621918897439</v>
      </c>
      <c r="DV187" s="5">
        <f t="shared" si="568"/>
        <v>12.552150747238466</v>
      </c>
      <c r="DW187" s="5">
        <f t="shared" si="569"/>
        <v>4.8671604938271598</v>
      </c>
      <c r="DX187" s="5">
        <f t="shared" si="570"/>
        <v>7.6849902534113061</v>
      </c>
      <c r="DY187" s="150">
        <f t="shared" si="571"/>
        <v>0.38775510204081631</v>
      </c>
      <c r="EA187" s="5">
        <f t="shared" si="572"/>
        <v>89.945125925925907</v>
      </c>
      <c r="EB187" s="5">
        <f t="shared" si="573"/>
        <v>11.711604938271604</v>
      </c>
      <c r="EC187" s="5">
        <f t="shared" si="574"/>
        <v>1.6437340264240843</v>
      </c>
      <c r="ED187" s="5"/>
      <c r="EE187" s="150">
        <f t="shared" si="575"/>
        <v>1.3123662820816315</v>
      </c>
      <c r="EF187" s="150">
        <f t="shared" si="576"/>
        <v>1.6490692390803992</v>
      </c>
      <c r="EG187" s="150">
        <f t="shared" si="577"/>
        <v>0.36861547697091279</v>
      </c>
      <c r="EH187" s="150"/>
      <c r="EI187" s="456">
        <f t="shared" si="578"/>
        <v>3.4446105166895287E-2</v>
      </c>
      <c r="EJ187" s="456">
        <f t="shared" si="579"/>
        <v>8.5500000000000007E-2</v>
      </c>
      <c r="EK187" s="456">
        <f t="shared" si="580"/>
        <v>9.9584527398621798E-3</v>
      </c>
      <c r="EL187" s="456">
        <f t="shared" si="581"/>
        <v>1.7215376420454548E-3</v>
      </c>
      <c r="EM187">
        <f t="shared" si="582"/>
        <v>4.0499999999999998E-3</v>
      </c>
      <c r="EN187" s="144">
        <f t="shared" si="583"/>
        <v>14.008452739862179</v>
      </c>
      <c r="EP187" s="144">
        <f t="shared" si="603"/>
        <v>135.67609554880295</v>
      </c>
      <c r="EQ187" s="150">
        <f t="shared" si="584"/>
        <v>0.64679999999999993</v>
      </c>
      <c r="ER187" s="150">
        <f t="shared" si="585"/>
        <v>8.5421874999999994E-2</v>
      </c>
      <c r="ES187" s="456"/>
      <c r="EU187" s="144">
        <f t="shared" si="497"/>
        <v>732.22187499999995</v>
      </c>
      <c r="EV187" s="456">
        <f t="shared" si="586"/>
        <v>5.1669157750342934E-2</v>
      </c>
      <c r="EW187" s="456">
        <f t="shared" si="587"/>
        <v>8.1582880658436191E-2</v>
      </c>
      <c r="EX187" s="456">
        <f t="shared" si="588"/>
        <v>6.7938684931246772E-4</v>
      </c>
      <c r="EY187" s="456">
        <f t="shared" si="589"/>
        <v>7.2113564882065398E-2</v>
      </c>
      <c r="EZ187" s="456"/>
      <c r="FA187" s="538">
        <f t="shared" si="590"/>
        <v>1.0615873015873017E-3</v>
      </c>
      <c r="FB187" s="144">
        <f t="shared" si="498"/>
        <v>207.10657744174429</v>
      </c>
      <c r="FC187" s="150">
        <f t="shared" si="591"/>
        <v>1.0750045479905472</v>
      </c>
      <c r="FD187" s="5">
        <f t="shared" si="592"/>
        <v>6.1599999999999993</v>
      </c>
      <c r="FE187" s="150">
        <f t="shared" si="593"/>
        <v>0.85141618904868288</v>
      </c>
      <c r="FF187" s="5">
        <f t="shared" si="594"/>
        <v>85.141618904868295</v>
      </c>
      <c r="FG187">
        <f t="shared" si="595"/>
        <v>77</v>
      </c>
      <c r="FI187" s="59">
        <f t="shared" si="596"/>
        <v>-50</v>
      </c>
      <c r="FJ187">
        <f t="shared" si="597"/>
        <v>-50</v>
      </c>
    </row>
    <row r="188" spans="5:166">
      <c r="E188" s="147">
        <v>78</v>
      </c>
      <c r="F188" s="188">
        <f t="shared" si="598"/>
        <v>0.93599999999999994</v>
      </c>
      <c r="G188" s="188">
        <f t="shared" si="499"/>
        <v>0.19500000000000001</v>
      </c>
      <c r="H188" s="188">
        <f t="shared" si="500"/>
        <v>4.68</v>
      </c>
      <c r="I188" s="188">
        <f t="shared" si="501"/>
        <v>1.56</v>
      </c>
      <c r="J188" s="465">
        <f t="shared" si="502"/>
        <v>8.8713252711264676</v>
      </c>
      <c r="K188" s="379">
        <f t="shared" si="503"/>
        <v>5.7490920818998665</v>
      </c>
      <c r="L188" s="149">
        <f t="shared" si="504"/>
        <v>14.620417353026333</v>
      </c>
      <c r="M188" s="379"/>
      <c r="N188" s="188">
        <f t="shared" si="505"/>
        <v>0.39322352728253968</v>
      </c>
      <c r="O188" s="149">
        <f t="shared" si="506"/>
        <v>6.5407759027182797</v>
      </c>
      <c r="P188" s="149">
        <f t="shared" si="507"/>
        <v>2.9070115123192353</v>
      </c>
      <c r="Q188" s="188">
        <f t="shared" si="508"/>
        <v>1.308155180543656</v>
      </c>
      <c r="R188" s="188">
        <f t="shared" si="509"/>
        <v>0.81759698783978496</v>
      </c>
      <c r="S188" s="188">
        <f t="shared" si="510"/>
        <v>5</v>
      </c>
      <c r="T188" s="188">
        <f t="shared" si="511"/>
        <v>3.5775572115649461</v>
      </c>
      <c r="U188" s="188">
        <f t="shared" si="512"/>
        <v>4.8392641715557438</v>
      </c>
      <c r="V188" s="188">
        <f t="shared" si="513"/>
        <v>7.4673854457715212</v>
      </c>
      <c r="W188" s="172">
        <f t="shared" si="514"/>
        <v>290.70115123192352</v>
      </c>
      <c r="X188" s="379">
        <f t="shared" si="599"/>
        <v>79.957465076382718</v>
      </c>
      <c r="Z188" s="188">
        <f t="shared" si="515"/>
        <v>1</v>
      </c>
      <c r="AA188" s="150">
        <f t="shared" si="516"/>
        <v>2.0872861017098954</v>
      </c>
      <c r="AB188" s="150">
        <f t="shared" si="517"/>
        <v>0.22754117726904766</v>
      </c>
      <c r="AC188" s="150"/>
      <c r="AD188" s="150">
        <f t="shared" si="518"/>
        <v>2.0872861017098954</v>
      </c>
      <c r="AE188" s="314">
        <f t="shared" si="519"/>
        <v>896.85836477637906</v>
      </c>
      <c r="AF188" s="456">
        <f t="shared" si="520"/>
        <v>0.30338823635873019</v>
      </c>
      <c r="AH188" s="150">
        <f t="shared" si="521"/>
        <v>1.7237832147426693</v>
      </c>
      <c r="AI188" s="150">
        <f t="shared" si="522"/>
        <v>3.5775572115649461</v>
      </c>
      <c r="AJ188" s="150">
        <f t="shared" si="523"/>
        <v>3.1093016381962562</v>
      </c>
      <c r="AL188" s="314">
        <f t="shared" si="524"/>
        <v>936</v>
      </c>
      <c r="AM188" s="144">
        <f t="shared" si="525"/>
        <v>79.957465076382718</v>
      </c>
      <c r="AO188">
        <f t="shared" si="526"/>
        <v>936</v>
      </c>
      <c r="AP188">
        <f t="shared" si="527"/>
        <v>79.957465076382718</v>
      </c>
      <c r="AR188" s="5">
        <f t="shared" si="443"/>
        <v>12.506649617327264</v>
      </c>
      <c r="AS188" s="5">
        <f t="shared" si="604"/>
        <v>4.8392641715557438</v>
      </c>
      <c r="AT188" s="5">
        <f t="shared" si="605"/>
        <v>7.6673854457715205</v>
      </c>
      <c r="AU188" s="150">
        <f t="shared" si="606"/>
        <v>0.38693529599255855</v>
      </c>
      <c r="AW188" s="5">
        <f t="shared" si="477"/>
        <v>90.591025291523522</v>
      </c>
      <c r="AX188" s="5">
        <f t="shared" si="478"/>
        <v>11.795706418167125</v>
      </c>
      <c r="AY188" s="5">
        <f t="shared" si="479"/>
        <v>1.6853628023218628</v>
      </c>
      <c r="AZ188" s="5"/>
      <c r="BA188" s="150">
        <f t="shared" si="480"/>
        <v>1.2848284187459327</v>
      </c>
      <c r="BB188" s="150">
        <f t="shared" si="481"/>
        <v>1.6172572878352651</v>
      </c>
      <c r="BC188" s="150">
        <f t="shared" si="482"/>
        <v>0.36150457022200044</v>
      </c>
      <c r="BD188" s="150"/>
      <c r="BE188" s="456">
        <f t="shared" si="483"/>
        <v>3.3015681312343476E-2</v>
      </c>
      <c r="BF188" s="456">
        <f t="shared" si="528"/>
        <v>7.8416354206299263E-2</v>
      </c>
      <c r="BG188" s="456">
        <f t="shared" si="529"/>
        <v>1.7733217013683147E-2</v>
      </c>
      <c r="BH188" s="456">
        <f t="shared" si="484"/>
        <v>1.7091436165328061E-3</v>
      </c>
      <c r="BI188">
        <f t="shared" si="485"/>
        <v>3.9920963720069102E-3</v>
      </c>
      <c r="BJ188" s="144">
        <f t="shared" si="600"/>
        <v>21.725313385690058</v>
      </c>
      <c r="BK188">
        <f t="shared" si="530"/>
        <v>0.12302045019480767</v>
      </c>
      <c r="BL188" s="144">
        <f t="shared" si="601"/>
        <v>134.86649252086556</v>
      </c>
      <c r="BM188" s="150">
        <f t="shared" si="531"/>
        <v>0.58148999999999984</v>
      </c>
      <c r="BN188" s="150">
        <f t="shared" si="532"/>
        <v>0.12114374999999998</v>
      </c>
      <c r="BO188" s="456"/>
      <c r="BQ188" s="144">
        <f t="shared" si="486"/>
        <v>702.63374999999985</v>
      </c>
      <c r="BR188" s="456">
        <f t="shared" si="487"/>
        <v>4.9523521968515206E-2</v>
      </c>
      <c r="BS188" s="456">
        <f t="shared" si="488"/>
        <v>7.8465634051688327E-2</v>
      </c>
      <c r="BT188" s="456">
        <f t="shared" si="489"/>
        <v>6.5342777145696628E-4</v>
      </c>
      <c r="BU188" s="456">
        <f t="shared" si="490"/>
        <v>6.919648214162516E-2</v>
      </c>
      <c r="BV188" s="456"/>
      <c r="BW188" s="538">
        <f t="shared" si="533"/>
        <v>1.0233688472641124E-3</v>
      </c>
      <c r="BX188" s="144">
        <f t="shared" si="491"/>
        <v>198.86243478054976</v>
      </c>
      <c r="BY188" s="150">
        <f t="shared" si="492"/>
        <v>1.036362677301415</v>
      </c>
      <c r="BZ188" s="5">
        <f t="shared" si="493"/>
        <v>6.24</v>
      </c>
      <c r="CA188" s="150">
        <f t="shared" si="494"/>
        <v>0.85757132742512343</v>
      </c>
      <c r="CB188" s="5">
        <f t="shared" si="495"/>
        <v>85.75713274251234</v>
      </c>
      <c r="CC188">
        <f t="shared" si="496"/>
        <v>78</v>
      </c>
      <c r="CE188" s="59">
        <f t="shared" si="534"/>
        <v>-50</v>
      </c>
      <c r="CF188">
        <f t="shared" si="535"/>
        <v>-50</v>
      </c>
      <c r="CG188" s="150">
        <f t="shared" si="536"/>
        <v>0.57198633493024875</v>
      </c>
      <c r="CH188" s="150">
        <f t="shared" si="537"/>
        <v>0.31031053622728105</v>
      </c>
      <c r="CI188" s="147">
        <v>78</v>
      </c>
      <c r="CJ188" s="188">
        <f t="shared" si="602"/>
        <v>0.93599999999999994</v>
      </c>
      <c r="CK188" s="188">
        <f t="shared" si="538"/>
        <v>0.19500000000000001</v>
      </c>
      <c r="CL188" s="188">
        <f t="shared" si="539"/>
        <v>4.68</v>
      </c>
      <c r="CM188" s="188">
        <f t="shared" si="540"/>
        <v>1.56</v>
      </c>
      <c r="CN188" s="465">
        <f t="shared" si="541"/>
        <v>9</v>
      </c>
      <c r="CO188" s="379">
        <f t="shared" si="542"/>
        <v>5.7</v>
      </c>
      <c r="CP188" s="379">
        <f t="shared" si="543"/>
        <v>14.7</v>
      </c>
      <c r="CQ188" s="379"/>
      <c r="CR188" s="188">
        <f t="shared" si="544"/>
        <v>0.375</v>
      </c>
      <c r="CS188" s="149">
        <f t="shared" si="545"/>
        <v>6.328125</v>
      </c>
      <c r="CT188" s="149">
        <f t="shared" si="546"/>
        <v>2.8125</v>
      </c>
      <c r="CU188" s="188">
        <f t="shared" si="547"/>
        <v>1.265625</v>
      </c>
      <c r="CV188" s="188">
        <f t="shared" si="548"/>
        <v>0.791015625</v>
      </c>
      <c r="CW188" s="188">
        <f t="shared" si="549"/>
        <v>5</v>
      </c>
      <c r="CX188" s="188">
        <f t="shared" si="550"/>
        <v>3.6977777777777781</v>
      </c>
      <c r="CY188" s="188">
        <f t="shared" si="551"/>
        <v>4.9303703703703716</v>
      </c>
      <c r="CZ188" s="188">
        <f t="shared" si="552"/>
        <v>7.7847953216374277</v>
      </c>
      <c r="DA188" s="172">
        <f t="shared" si="553"/>
        <v>290.81632653061229</v>
      </c>
      <c r="DB188" s="379">
        <f t="shared" si="554"/>
        <v>78.646242150706428</v>
      </c>
      <c r="DD188" s="188">
        <f t="shared" si="555"/>
        <v>0.99999999999999978</v>
      </c>
      <c r="DE188" s="150">
        <f t="shared" si="556"/>
        <v>2.1052631578947363</v>
      </c>
      <c r="DF188" s="150">
        <f t="shared" si="557"/>
        <v>0.2295918367346938</v>
      </c>
      <c r="DG188" s="150"/>
      <c r="DH188" s="150">
        <f t="shared" si="558"/>
        <v>2.1052631578947367</v>
      </c>
      <c r="DI188" s="314">
        <f t="shared" si="559"/>
        <v>889.20000000000016</v>
      </c>
      <c r="DJ188" s="456">
        <f t="shared" si="560"/>
        <v>0.3061224489795919</v>
      </c>
      <c r="DL188" s="150">
        <f t="shared" si="561"/>
        <v>1.7237832147426693</v>
      </c>
      <c r="DM188" s="150">
        <f t="shared" si="562"/>
        <v>3.6977777777777781</v>
      </c>
      <c r="DN188" s="150">
        <f t="shared" si="563"/>
        <v>3.1983539094650206</v>
      </c>
      <c r="DP188" s="314">
        <f t="shared" si="564"/>
        <v>936</v>
      </c>
      <c r="DQ188" s="144">
        <f t="shared" si="565"/>
        <v>78.646242150706428</v>
      </c>
      <c r="DS188">
        <f t="shared" si="566"/>
        <v>936</v>
      </c>
      <c r="DT188">
        <f t="shared" si="567"/>
        <v>78.646242150706428</v>
      </c>
      <c r="DV188" s="5">
        <f t="shared" si="568"/>
        <v>12.715165692007799</v>
      </c>
      <c r="DW188" s="5">
        <f t="shared" si="569"/>
        <v>4.9303703703703716</v>
      </c>
      <c r="DX188" s="5">
        <f t="shared" si="570"/>
        <v>7.7847953216374277</v>
      </c>
      <c r="DY188" s="150">
        <f t="shared" si="571"/>
        <v>0.38775510204081637</v>
      </c>
      <c r="EA188" s="5">
        <f t="shared" si="572"/>
        <v>92.296533333333343</v>
      </c>
      <c r="EB188" s="5">
        <f t="shared" si="573"/>
        <v>12.017777777777782</v>
      </c>
      <c r="EC188" s="5">
        <f t="shared" si="574"/>
        <v>1.6867056530214424</v>
      </c>
      <c r="ED188" s="5"/>
      <c r="EE188" s="150">
        <f t="shared" si="575"/>
        <v>1.3294100000307438</v>
      </c>
      <c r="EF188" s="150">
        <f t="shared" si="576"/>
        <v>1.6704857227048202</v>
      </c>
      <c r="EG188" s="150">
        <f t="shared" si="577"/>
        <v>0.37340269095754808</v>
      </c>
      <c r="EH188" s="150"/>
      <c r="EI188" s="456">
        <f t="shared" si="578"/>
        <v>3.5346618963634849E-2</v>
      </c>
      <c r="EJ188" s="456">
        <f t="shared" si="579"/>
        <v>8.5500000000000007E-2</v>
      </c>
      <c r="EK188" s="456">
        <f t="shared" si="580"/>
        <v>9.8307802688383031E-3</v>
      </c>
      <c r="EL188" s="456">
        <f t="shared" si="581"/>
        <v>1.6994666466346149E-3</v>
      </c>
      <c r="EM188">
        <f t="shared" si="582"/>
        <v>4.0499999999999998E-3</v>
      </c>
      <c r="EN188" s="144">
        <f t="shared" si="583"/>
        <v>13.880780268838302</v>
      </c>
      <c r="EP188" s="144">
        <f t="shared" si="603"/>
        <v>136.42686587910777</v>
      </c>
      <c r="EQ188" s="150">
        <f t="shared" si="584"/>
        <v>0.65519999999999989</v>
      </c>
      <c r="ER188" s="150">
        <f t="shared" si="585"/>
        <v>8.6531250000000004E-2</v>
      </c>
      <c r="ES188" s="456"/>
      <c r="EU188" s="144">
        <f t="shared" si="497"/>
        <v>741.73124999999993</v>
      </c>
      <c r="EV188" s="456">
        <f t="shared" si="586"/>
        <v>5.3019928445452266E-2</v>
      </c>
      <c r="EW188" s="456">
        <f t="shared" si="587"/>
        <v>8.3715676492819371E-2</v>
      </c>
      <c r="EX188" s="456">
        <f t="shared" si="588"/>
        <v>6.9714784807169085E-4</v>
      </c>
      <c r="EY188" s="456">
        <f t="shared" si="589"/>
        <v>7.2113564882065495E-2</v>
      </c>
      <c r="EZ188" s="456"/>
      <c r="FA188" s="538">
        <f t="shared" si="590"/>
        <v>1.0753741496598642E-3</v>
      </c>
      <c r="FB188" s="144">
        <f t="shared" si="498"/>
        <v>210.62169181806865</v>
      </c>
      <c r="FC188" s="150">
        <f t="shared" si="591"/>
        <v>1.0887798076971762</v>
      </c>
      <c r="FD188" s="5">
        <f t="shared" si="592"/>
        <v>6.24</v>
      </c>
      <c r="FE188" s="150">
        <f t="shared" si="593"/>
        <v>0.85143777869357373</v>
      </c>
      <c r="FF188" s="5">
        <f t="shared" si="594"/>
        <v>85.143777869357379</v>
      </c>
      <c r="FG188">
        <f t="shared" si="595"/>
        <v>78</v>
      </c>
      <c r="FI188" s="59">
        <f t="shared" si="596"/>
        <v>-50</v>
      </c>
      <c r="FJ188">
        <f t="shared" si="597"/>
        <v>-50</v>
      </c>
    </row>
    <row r="189" spans="5:166">
      <c r="E189" s="147">
        <v>79</v>
      </c>
      <c r="F189" s="188">
        <f t="shared" si="598"/>
        <v>0.94799999999999995</v>
      </c>
      <c r="G189" s="188">
        <f t="shared" si="499"/>
        <v>0.19750000000000001</v>
      </c>
      <c r="H189" s="188">
        <f t="shared" si="500"/>
        <v>4.74</v>
      </c>
      <c r="I189" s="188">
        <f t="shared" si="501"/>
        <v>1.58</v>
      </c>
      <c r="J189" s="465">
        <f t="shared" si="502"/>
        <v>8.8696755951152699</v>
      </c>
      <c r="K189" s="379">
        <f t="shared" si="503"/>
        <v>5.7497214675652488</v>
      </c>
      <c r="L189" s="149">
        <f t="shared" si="504"/>
        <v>14.61939706268052</v>
      </c>
      <c r="M189" s="379"/>
      <c r="N189" s="188">
        <f t="shared" si="505"/>
        <v>0.3932940218336895</v>
      </c>
      <c r="O189" s="149">
        <f t="shared" si="506"/>
        <v>6.5407319759306386</v>
      </c>
      <c r="P189" s="149">
        <f t="shared" si="507"/>
        <v>2.9069919893025062</v>
      </c>
      <c r="Q189" s="188">
        <f t="shared" si="508"/>
        <v>1.3081463951861276</v>
      </c>
      <c r="R189" s="188">
        <f t="shared" si="509"/>
        <v>0.81759149699132982</v>
      </c>
      <c r="S189" s="188">
        <f t="shared" si="510"/>
        <v>5</v>
      </c>
      <c r="T189" s="188">
        <f t="shared" si="511"/>
        <v>3.6234476641473874</v>
      </c>
      <c r="U189" s="188">
        <f t="shared" si="512"/>
        <v>4.9022505393224103</v>
      </c>
      <c r="V189" s="188">
        <f t="shared" si="513"/>
        <v>7.5623440570210922</v>
      </c>
      <c r="W189" s="172">
        <f t="shared" si="514"/>
        <v>290.6991989302507</v>
      </c>
      <c r="X189" s="379">
        <f t="shared" si="599"/>
        <v>78.960285099747139</v>
      </c>
      <c r="Z189" s="188">
        <f t="shared" si="515"/>
        <v>1</v>
      </c>
      <c r="AA189" s="150">
        <f t="shared" si="516"/>
        <v>2.0870576196939616</v>
      </c>
      <c r="AB189" s="150">
        <f t="shared" si="517"/>
        <v>0.22751474181236647</v>
      </c>
      <c r="AC189" s="150"/>
      <c r="AD189" s="150">
        <f t="shared" si="518"/>
        <v>2.0870576196939616</v>
      </c>
      <c r="AE189" s="314">
        <f t="shared" si="519"/>
        <v>908.455991875309</v>
      </c>
      <c r="AF189" s="456">
        <f t="shared" si="520"/>
        <v>0.30335298908315528</v>
      </c>
      <c r="AH189" s="150">
        <f t="shared" si="521"/>
        <v>1.7347979160478058</v>
      </c>
      <c r="AI189" s="150">
        <f t="shared" si="522"/>
        <v>3.6234476641473874</v>
      </c>
      <c r="AJ189" s="150">
        <f t="shared" si="523"/>
        <v>3.1432945660351015</v>
      </c>
      <c r="AL189" s="314">
        <f t="shared" si="524"/>
        <v>948</v>
      </c>
      <c r="AM189" s="144">
        <f t="shared" si="525"/>
        <v>78.960285099747139</v>
      </c>
      <c r="AO189">
        <f t="shared" si="526"/>
        <v>948</v>
      </c>
      <c r="AP189">
        <f t="shared" si="527"/>
        <v>78.960285099747139</v>
      </c>
      <c r="AR189" s="5">
        <f t="shared" si="443"/>
        <v>12.664594596343502</v>
      </c>
      <c r="AS189" s="5">
        <f t="shared" si="604"/>
        <v>4.9022505393224103</v>
      </c>
      <c r="AT189" s="5">
        <f t="shared" si="605"/>
        <v>7.7623440570210915</v>
      </c>
      <c r="AU189" s="150">
        <f t="shared" si="606"/>
        <v>0.38708310021528669</v>
      </c>
      <c r="AW189" s="5">
        <f t="shared" si="477"/>
        <v>92.946670225552893</v>
      </c>
      <c r="AX189" s="5">
        <f t="shared" si="478"/>
        <v>12.102431018952201</v>
      </c>
      <c r="AY189" s="5">
        <f t="shared" si="479"/>
        <v>1.7284318178513289</v>
      </c>
      <c r="AZ189" s="5"/>
      <c r="BA189" s="150">
        <f t="shared" si="480"/>
        <v>1.3015578351824213</v>
      </c>
      <c r="BB189" s="150">
        <f t="shared" si="481"/>
        <v>1.6378048906835541</v>
      </c>
      <c r="BC189" s="150">
        <f t="shared" si="482"/>
        <v>0.36609756379985325</v>
      </c>
      <c r="BD189" s="150"/>
      <c r="BE189" s="456">
        <f t="shared" si="483"/>
        <v>3.3881055966495016E-2</v>
      </c>
      <c r="BF189" s="456">
        <f t="shared" si="528"/>
        <v>7.8426247285839482E-2</v>
      </c>
      <c r="BG189" s="456">
        <f t="shared" si="529"/>
        <v>1.7508802843314276E-2</v>
      </c>
      <c r="BH189" s="456">
        <f t="shared" si="484"/>
        <v>1.6875926730257798E-3</v>
      </c>
      <c r="BI189">
        <f t="shared" si="485"/>
        <v>3.991354017801871E-3</v>
      </c>
      <c r="BJ189" s="144">
        <f t="shared" si="600"/>
        <v>21.500156861116146</v>
      </c>
      <c r="BK189">
        <f t="shared" si="530"/>
        <v>0.12414214252670441</v>
      </c>
      <c r="BL189" s="144">
        <f t="shared" si="601"/>
        <v>135.49505278647644</v>
      </c>
      <c r="BM189" s="150">
        <f t="shared" si="531"/>
        <v>0.58894499999999994</v>
      </c>
      <c r="BN189" s="150">
        <f t="shared" si="532"/>
        <v>0.12269687499999998</v>
      </c>
      <c r="BO189" s="456"/>
      <c r="BQ189" s="144">
        <f t="shared" si="486"/>
        <v>711.64187500000003</v>
      </c>
      <c r="BR189" s="456">
        <f t="shared" si="487"/>
        <v>5.0821583949742524E-2</v>
      </c>
      <c r="BS189" s="456">
        <f t="shared" si="488"/>
        <v>8.0472145798409042E-2</v>
      </c>
      <c r="BT189" s="456">
        <f t="shared" si="489"/>
        <v>6.7013713110093817E-4</v>
      </c>
      <c r="BU189" s="456">
        <f t="shared" si="490"/>
        <v>6.9230386464355781E-2</v>
      </c>
      <c r="BV189" s="456"/>
      <c r="BW189" s="538">
        <f t="shared" si="533"/>
        <v>1.0366990332723201E-3</v>
      </c>
      <c r="BX189" s="144">
        <f t="shared" si="491"/>
        <v>202.23095237688062</v>
      </c>
      <c r="BY189" s="150">
        <f t="shared" si="492"/>
        <v>1.0493678801633572</v>
      </c>
      <c r="BZ189" s="5">
        <f t="shared" si="493"/>
        <v>6.32</v>
      </c>
      <c r="CA189" s="150">
        <f t="shared" si="494"/>
        <v>0.85760408528552168</v>
      </c>
      <c r="CB189" s="5">
        <f t="shared" si="495"/>
        <v>85.760408528552162</v>
      </c>
      <c r="CC189">
        <f t="shared" si="496"/>
        <v>79</v>
      </c>
      <c r="CE189" s="59">
        <f t="shared" si="534"/>
        <v>-50</v>
      </c>
      <c r="CF189">
        <f t="shared" si="535"/>
        <v>-50</v>
      </c>
      <c r="CG189" s="150">
        <f t="shared" si="536"/>
        <v>0.57198633493024886</v>
      </c>
      <c r="CH189" s="150">
        <f t="shared" si="537"/>
        <v>0.31031053622728111</v>
      </c>
      <c r="CI189" s="147">
        <v>79</v>
      </c>
      <c r="CJ189" s="188">
        <f t="shared" si="602"/>
        <v>0.94799999999999995</v>
      </c>
      <c r="CK189" s="188">
        <f t="shared" si="538"/>
        <v>0.19750000000000001</v>
      </c>
      <c r="CL189" s="188">
        <f t="shared" si="539"/>
        <v>4.74</v>
      </c>
      <c r="CM189" s="188">
        <f t="shared" si="540"/>
        <v>1.58</v>
      </c>
      <c r="CN189" s="465">
        <f t="shared" si="541"/>
        <v>9</v>
      </c>
      <c r="CO189" s="379">
        <f t="shared" si="542"/>
        <v>5.7</v>
      </c>
      <c r="CP189" s="379">
        <f t="shared" si="543"/>
        <v>14.7</v>
      </c>
      <c r="CQ189" s="379"/>
      <c r="CR189" s="188">
        <f t="shared" si="544"/>
        <v>0.375</v>
      </c>
      <c r="CS189" s="149">
        <f t="shared" si="545"/>
        <v>6.328125</v>
      </c>
      <c r="CT189" s="149">
        <f t="shared" si="546"/>
        <v>2.8125</v>
      </c>
      <c r="CU189" s="188">
        <f t="shared" si="547"/>
        <v>1.265625</v>
      </c>
      <c r="CV189" s="188">
        <f t="shared" si="548"/>
        <v>0.791015625</v>
      </c>
      <c r="CW189" s="188">
        <f t="shared" si="549"/>
        <v>5</v>
      </c>
      <c r="CX189" s="188">
        <f t="shared" si="550"/>
        <v>3.7451851851851852</v>
      </c>
      <c r="CY189" s="188">
        <f t="shared" si="551"/>
        <v>4.9935802469135808</v>
      </c>
      <c r="CZ189" s="188">
        <f t="shared" si="552"/>
        <v>7.8846003898635466</v>
      </c>
      <c r="DA189" s="172">
        <f t="shared" si="553"/>
        <v>290.81632653061229</v>
      </c>
      <c r="DB189" s="379">
        <f t="shared" si="554"/>
        <v>77.650720098165863</v>
      </c>
      <c r="DD189" s="188">
        <f t="shared" si="555"/>
        <v>0.99999999999999978</v>
      </c>
      <c r="DE189" s="150">
        <f t="shared" si="556"/>
        <v>2.1052631578947363</v>
      </c>
      <c r="DF189" s="150">
        <f t="shared" si="557"/>
        <v>0.2295918367346938</v>
      </c>
      <c r="DG189" s="150"/>
      <c r="DH189" s="150">
        <f t="shared" si="558"/>
        <v>2.1052631578947367</v>
      </c>
      <c r="DI189" s="314">
        <f t="shared" si="559"/>
        <v>900.6</v>
      </c>
      <c r="DJ189" s="456">
        <f t="shared" si="560"/>
        <v>0.3061224489795919</v>
      </c>
      <c r="DL189" s="150">
        <f t="shared" si="561"/>
        <v>1.7347979160478058</v>
      </c>
      <c r="DM189" s="150">
        <f t="shared" si="562"/>
        <v>3.7451851851851852</v>
      </c>
      <c r="DN189" s="150">
        <f t="shared" si="563"/>
        <v>3.2334705075445811</v>
      </c>
      <c r="DP189" s="314">
        <f t="shared" si="564"/>
        <v>948</v>
      </c>
      <c r="DQ189" s="144">
        <f t="shared" si="565"/>
        <v>77.650720098165863</v>
      </c>
      <c r="DS189">
        <f t="shared" si="566"/>
        <v>948</v>
      </c>
      <c r="DT189">
        <f t="shared" si="567"/>
        <v>77.650720098165863</v>
      </c>
      <c r="DV189" s="5">
        <f t="shared" si="568"/>
        <v>12.878180636777126</v>
      </c>
      <c r="DW189" s="5">
        <f t="shared" si="569"/>
        <v>4.9935802469135808</v>
      </c>
      <c r="DX189" s="5">
        <f t="shared" si="570"/>
        <v>7.8846003898635448</v>
      </c>
      <c r="DY189" s="150">
        <f t="shared" si="571"/>
        <v>0.38775510204081642</v>
      </c>
      <c r="EA189" s="5">
        <f t="shared" si="572"/>
        <v>94.678281481481477</v>
      </c>
      <c r="EB189" s="5">
        <f t="shared" si="573"/>
        <v>12.327901234567904</v>
      </c>
      <c r="EC189" s="5">
        <f t="shared" si="574"/>
        <v>1.7302317522200554</v>
      </c>
      <c r="ED189" s="5"/>
      <c r="EE189" s="150">
        <f t="shared" si="575"/>
        <v>1.3464537179798559</v>
      </c>
      <c r="EF189" s="150">
        <f t="shared" si="576"/>
        <v>1.6919022063292408</v>
      </c>
      <c r="EG189" s="150">
        <f t="shared" si="577"/>
        <v>0.37818990494418325</v>
      </c>
      <c r="EH189" s="150"/>
      <c r="EI189" s="456">
        <f t="shared" si="578"/>
        <v>3.6258752293235545E-2</v>
      </c>
      <c r="EJ189" s="456">
        <f t="shared" si="579"/>
        <v>8.550000000000002E-2</v>
      </c>
      <c r="EK189" s="456">
        <f t="shared" si="580"/>
        <v>9.7063400122707321E-3</v>
      </c>
      <c r="EL189" s="456">
        <f t="shared" si="581"/>
        <v>1.677954410601266E-3</v>
      </c>
      <c r="EM189">
        <f t="shared" si="582"/>
        <v>4.0499999999999998E-3</v>
      </c>
      <c r="EN189" s="144">
        <f t="shared" si="583"/>
        <v>13.756340012270732</v>
      </c>
      <c r="EP189" s="144">
        <f t="shared" si="603"/>
        <v>137.19304671610755</v>
      </c>
      <c r="EQ189" s="150">
        <f t="shared" si="584"/>
        <v>0.66359999999999997</v>
      </c>
      <c r="ER189" s="150">
        <f t="shared" si="585"/>
        <v>8.7640625E-2</v>
      </c>
      <c r="ES189" s="456"/>
      <c r="EU189" s="144">
        <f t="shared" si="497"/>
        <v>751.24062500000002</v>
      </c>
      <c r="EV189" s="456">
        <f t="shared" si="586"/>
        <v>5.4388128439853314E-2</v>
      </c>
      <c r="EW189" s="456">
        <f t="shared" si="587"/>
        <v>8.5875992273452578E-2</v>
      </c>
      <c r="EX189" s="456">
        <f t="shared" si="588"/>
        <v>7.1513802100845185E-4</v>
      </c>
      <c r="EY189" s="456">
        <f t="shared" si="589"/>
        <v>7.2113564882065523E-2</v>
      </c>
      <c r="EZ189" s="456"/>
      <c r="FA189" s="538">
        <f t="shared" si="590"/>
        <v>1.0891609977324267E-3</v>
      </c>
      <c r="FB189" s="144">
        <f t="shared" si="498"/>
        <v>214.18198461411231</v>
      </c>
      <c r="FC189" s="150">
        <f t="shared" si="591"/>
        <v>1.1026156563302196</v>
      </c>
      <c r="FD189" s="5">
        <f t="shared" si="592"/>
        <v>6.32</v>
      </c>
      <c r="FE189" s="150">
        <f t="shared" si="593"/>
        <v>0.8514518725767678</v>
      </c>
      <c r="FF189" s="5">
        <f t="shared" si="594"/>
        <v>85.145187257676781</v>
      </c>
      <c r="FG189">
        <f t="shared" si="595"/>
        <v>79</v>
      </c>
      <c r="FI189" s="59">
        <f t="shared" si="596"/>
        <v>-50</v>
      </c>
      <c r="FJ189">
        <f t="shared" si="597"/>
        <v>-50</v>
      </c>
    </row>
    <row r="190" spans="5:166">
      <c r="E190" s="147">
        <v>80</v>
      </c>
      <c r="F190" s="188">
        <f t="shared" si="598"/>
        <v>0.96</v>
      </c>
      <c r="G190" s="188">
        <f t="shared" si="499"/>
        <v>0.2</v>
      </c>
      <c r="H190" s="188">
        <f t="shared" si="500"/>
        <v>4.8</v>
      </c>
      <c r="I190" s="188">
        <f t="shared" si="501"/>
        <v>1.6</v>
      </c>
      <c r="J190" s="465">
        <f t="shared" si="502"/>
        <v>8.8680259191040705</v>
      </c>
      <c r="K190" s="379">
        <f t="shared" si="503"/>
        <v>5.750350853230632</v>
      </c>
      <c r="L190" s="149">
        <f t="shared" si="504"/>
        <v>14.618376772334702</v>
      </c>
      <c r="M190" s="379"/>
      <c r="N190" s="188">
        <f t="shared" si="505"/>
        <v>0.39336452622518109</v>
      </c>
      <c r="O190" s="149">
        <f t="shared" si="506"/>
        <v>6.5406877766643721</v>
      </c>
      <c r="P190" s="149">
        <f t="shared" si="507"/>
        <v>2.9069723451841654</v>
      </c>
      <c r="Q190" s="188">
        <f t="shared" si="508"/>
        <v>1.3081375553328745</v>
      </c>
      <c r="R190" s="188">
        <f t="shared" si="509"/>
        <v>0.81758597208304651</v>
      </c>
      <c r="S190" s="188">
        <f t="shared" si="510"/>
        <v>5</v>
      </c>
      <c r="T190" s="188">
        <f t="shared" si="511"/>
        <v>3.6693388859847929</v>
      </c>
      <c r="U190" s="188">
        <f t="shared" si="512"/>
        <v>4.9652613821257345</v>
      </c>
      <c r="V190" s="188">
        <f t="shared" si="513"/>
        <v>7.6572834868118784</v>
      </c>
      <c r="W190" s="172">
        <f t="shared" si="514"/>
        <v>290.69723451841656</v>
      </c>
      <c r="X190" s="379">
        <f t="shared" si="599"/>
        <v>77.987638976603023</v>
      </c>
      <c r="Z190" s="188">
        <f t="shared" si="515"/>
        <v>0.99999999999999978</v>
      </c>
      <c r="AA190" s="150">
        <f t="shared" si="516"/>
        <v>2.0868291876935161</v>
      </c>
      <c r="AB190" s="150">
        <f t="shared" si="517"/>
        <v>0.22748830266555703</v>
      </c>
      <c r="AC190" s="150"/>
      <c r="AD190" s="150">
        <f t="shared" si="518"/>
        <v>2.086829187693517</v>
      </c>
      <c r="AE190" s="314">
        <f t="shared" si="519"/>
        <v>920.05613651690101</v>
      </c>
      <c r="AF190" s="456">
        <f t="shared" si="520"/>
        <v>0.30331773688740948</v>
      </c>
      <c r="AH190" s="150">
        <f t="shared" si="521"/>
        <v>1.7457431218879389</v>
      </c>
      <c r="AI190" s="150">
        <f t="shared" si="522"/>
        <v>3.6693388859847929</v>
      </c>
      <c r="AJ190" s="150">
        <f t="shared" si="523"/>
        <v>3.1772880636924392</v>
      </c>
      <c r="AL190" s="314">
        <f t="shared" si="524"/>
        <v>960</v>
      </c>
      <c r="AM190" s="144">
        <f t="shared" si="525"/>
        <v>77.987638976603023</v>
      </c>
      <c r="AO190">
        <f t="shared" si="526"/>
        <v>960</v>
      </c>
      <c r="AP190">
        <f t="shared" si="527"/>
        <v>77.987638976603023</v>
      </c>
      <c r="AR190" s="5">
        <f t="shared" si="443"/>
        <v>12.82254486893761</v>
      </c>
      <c r="AS190" s="5">
        <f t="shared" si="604"/>
        <v>4.9652613821257345</v>
      </c>
      <c r="AT190" s="5">
        <f t="shared" si="605"/>
        <v>7.8572834868118759</v>
      </c>
      <c r="AU190" s="150">
        <f t="shared" si="606"/>
        <v>0.38722901209369076</v>
      </c>
      <c r="AW190" s="5">
        <f t="shared" si="477"/>
        <v>95.333018536814095</v>
      </c>
      <c r="AX190" s="5">
        <f t="shared" si="478"/>
        <v>12.413153455314337</v>
      </c>
      <c r="AY190" s="5">
        <f t="shared" si="479"/>
        <v>1.7720479300551459</v>
      </c>
      <c r="AZ190" s="5"/>
      <c r="BA190" s="150">
        <f t="shared" si="480"/>
        <v>1.3182905536701008</v>
      </c>
      <c r="BB190" s="150">
        <f t="shared" si="481"/>
        <v>1.6583503759773504</v>
      </c>
      <c r="BC190" s="150">
        <f t="shared" si="482"/>
        <v>0.37069008404199599</v>
      </c>
      <c r="BD190" s="150"/>
      <c r="BE190" s="456">
        <f t="shared" si="483"/>
        <v>3.4757799677916423E-2</v>
      </c>
      <c r="BF190" s="456">
        <f t="shared" si="528"/>
        <v>7.8435743775372754E-2</v>
      </c>
      <c r="BG190" s="456">
        <f t="shared" si="529"/>
        <v>1.7289910095356159E-2</v>
      </c>
      <c r="BH190" s="456">
        <f t="shared" si="484"/>
        <v>1.666571976485041E-3</v>
      </c>
      <c r="BI190">
        <f t="shared" si="485"/>
        <v>3.9906116635968318E-3</v>
      </c>
      <c r="BJ190" s="144">
        <f t="shared" si="600"/>
        <v>21.28052175895299</v>
      </c>
      <c r="BK190">
        <f t="shared" si="530"/>
        <v>0.12527933486717441</v>
      </c>
      <c r="BL190" s="144">
        <f t="shared" si="601"/>
        <v>136.14063718872717</v>
      </c>
      <c r="BM190" s="150">
        <f t="shared" si="531"/>
        <v>0.59639999999999993</v>
      </c>
      <c r="BN190" s="150">
        <f t="shared" si="532"/>
        <v>0.12424999999999999</v>
      </c>
      <c r="BO190" s="456"/>
      <c r="BQ190" s="144">
        <f t="shared" si="486"/>
        <v>720.64999999999986</v>
      </c>
      <c r="BR190" s="456">
        <f t="shared" si="487"/>
        <v>5.2136699516874628E-2</v>
      </c>
      <c r="BS190" s="456">
        <f t="shared" si="488"/>
        <v>8.2503779085126572E-2</v>
      </c>
      <c r="BT190" s="456">
        <f t="shared" si="489"/>
        <v>6.8705569203531024E-4</v>
      </c>
      <c r="BU190" s="456">
        <f t="shared" si="490"/>
        <v>6.9263429952455186E-2</v>
      </c>
      <c r="BV190" s="456"/>
      <c r="BW190" s="538">
        <f t="shared" si="533"/>
        <v>1.0500293036849915E-3</v>
      </c>
      <c r="BX190" s="144">
        <f t="shared" si="491"/>
        <v>205.64099355017672</v>
      </c>
      <c r="BY190" s="150">
        <f t="shared" si="492"/>
        <v>1.0624316307389039</v>
      </c>
      <c r="BZ190" s="5">
        <f t="shared" si="493"/>
        <v>6.4</v>
      </c>
      <c r="CA190" s="150">
        <f t="shared" si="494"/>
        <v>0.85762929788695352</v>
      </c>
      <c r="CB190" s="5">
        <f t="shared" si="495"/>
        <v>85.762929788695345</v>
      </c>
      <c r="CC190">
        <f t="shared" si="496"/>
        <v>80</v>
      </c>
      <c r="CE190" s="59">
        <f t="shared" si="534"/>
        <v>-50</v>
      </c>
      <c r="CF190">
        <f t="shared" si="535"/>
        <v>-50</v>
      </c>
      <c r="CG190" s="150">
        <f t="shared" si="536"/>
        <v>0.57198633493024875</v>
      </c>
      <c r="CH190" s="150">
        <f t="shared" si="537"/>
        <v>0.31031053622728105</v>
      </c>
      <c r="CI190" s="147">
        <v>80</v>
      </c>
      <c r="CJ190" s="188">
        <f t="shared" si="602"/>
        <v>0.96</v>
      </c>
      <c r="CK190" s="188">
        <f t="shared" si="538"/>
        <v>0.2</v>
      </c>
      <c r="CL190" s="188">
        <f t="shared" si="539"/>
        <v>4.8</v>
      </c>
      <c r="CM190" s="188">
        <f t="shared" si="540"/>
        <v>1.6</v>
      </c>
      <c r="CN190" s="465">
        <f t="shared" si="541"/>
        <v>9</v>
      </c>
      <c r="CO190" s="379">
        <f t="shared" si="542"/>
        <v>5.7</v>
      </c>
      <c r="CP190" s="379">
        <f t="shared" si="543"/>
        <v>14.7</v>
      </c>
      <c r="CQ190" s="379"/>
      <c r="CR190" s="188">
        <f t="shared" si="544"/>
        <v>0.375</v>
      </c>
      <c r="CS190" s="149">
        <f t="shared" si="545"/>
        <v>6.328125</v>
      </c>
      <c r="CT190" s="149">
        <f t="shared" si="546"/>
        <v>2.8125</v>
      </c>
      <c r="CU190" s="188">
        <f t="shared" si="547"/>
        <v>1.265625</v>
      </c>
      <c r="CV190" s="188">
        <f t="shared" si="548"/>
        <v>0.791015625</v>
      </c>
      <c r="CW190" s="188">
        <f t="shared" si="549"/>
        <v>5</v>
      </c>
      <c r="CX190" s="188">
        <f t="shared" si="550"/>
        <v>3.7925925925925927</v>
      </c>
      <c r="CY190" s="188">
        <f t="shared" si="551"/>
        <v>5.0567901234567909</v>
      </c>
      <c r="CZ190" s="188">
        <f t="shared" si="552"/>
        <v>7.9844054580896699</v>
      </c>
      <c r="DA190" s="172">
        <f t="shared" si="553"/>
        <v>290.81632653061229</v>
      </c>
      <c r="DB190" s="379">
        <f t="shared" si="554"/>
        <v>76.680086096938751</v>
      </c>
      <c r="DD190" s="188">
        <f t="shared" si="555"/>
        <v>0.99999999999999978</v>
      </c>
      <c r="DE190" s="150">
        <f t="shared" si="556"/>
        <v>2.1052631578947363</v>
      </c>
      <c r="DF190" s="150">
        <f t="shared" si="557"/>
        <v>0.2295918367346938</v>
      </c>
      <c r="DG190" s="150"/>
      <c r="DH190" s="150">
        <f t="shared" si="558"/>
        <v>2.1052631578947367</v>
      </c>
      <c r="DI190" s="314">
        <f t="shared" si="559"/>
        <v>912</v>
      </c>
      <c r="DJ190" s="456">
        <f t="shared" si="560"/>
        <v>0.3061224489795919</v>
      </c>
      <c r="DL190" s="150">
        <f t="shared" si="561"/>
        <v>1.7457431218879389</v>
      </c>
      <c r="DM190" s="150">
        <f t="shared" si="562"/>
        <v>3.7925925925925927</v>
      </c>
      <c r="DN190" s="150">
        <f t="shared" si="563"/>
        <v>3.2685871056241425</v>
      </c>
      <c r="DP190" s="314">
        <f t="shared" si="564"/>
        <v>960</v>
      </c>
      <c r="DQ190" s="144">
        <f t="shared" si="565"/>
        <v>76.680086096938751</v>
      </c>
      <c r="DS190">
        <f t="shared" si="566"/>
        <v>960</v>
      </c>
      <c r="DT190">
        <f t="shared" si="567"/>
        <v>76.680086096938751</v>
      </c>
      <c r="DV190" s="5">
        <f t="shared" si="568"/>
        <v>13.041195581546463</v>
      </c>
      <c r="DW190" s="5">
        <f t="shared" si="569"/>
        <v>5.0567901234567909</v>
      </c>
      <c r="DX190" s="5">
        <f t="shared" si="570"/>
        <v>7.9844054580896717</v>
      </c>
      <c r="DY190" s="150">
        <f t="shared" si="571"/>
        <v>0.38775510204081626</v>
      </c>
      <c r="EA190" s="5">
        <f t="shared" si="572"/>
        <v>97.09037037037038</v>
      </c>
      <c r="EB190" s="5">
        <f t="shared" si="573"/>
        <v>12.641975308641978</v>
      </c>
      <c r="EC190" s="5">
        <f t="shared" si="574"/>
        <v>1.7743123240199266</v>
      </c>
      <c r="ED190" s="5"/>
      <c r="EE190" s="150">
        <f t="shared" si="575"/>
        <v>1.3634974359289678</v>
      </c>
      <c r="EF190" s="150">
        <f t="shared" si="576"/>
        <v>1.7133186899536619</v>
      </c>
      <c r="EG190" s="150">
        <f t="shared" si="577"/>
        <v>0.38297711893081854</v>
      </c>
      <c r="EH190" s="150"/>
      <c r="EI190" s="456">
        <f t="shared" si="578"/>
        <v>3.718250515569739E-2</v>
      </c>
      <c r="EJ190" s="456">
        <f t="shared" si="579"/>
        <v>8.5499999999999965E-2</v>
      </c>
      <c r="EK190" s="456">
        <f t="shared" si="580"/>
        <v>9.5850107621173429E-3</v>
      </c>
      <c r="EL190" s="456">
        <f t="shared" si="581"/>
        <v>1.6569799804687492E-3</v>
      </c>
      <c r="EM190">
        <f t="shared" si="582"/>
        <v>4.0499999999999998E-3</v>
      </c>
      <c r="EN190" s="144">
        <f t="shared" si="583"/>
        <v>13.635010762117343</v>
      </c>
      <c r="EP190" s="144">
        <f t="shared" si="603"/>
        <v>137.97449589828344</v>
      </c>
      <c r="EQ190" s="150">
        <f t="shared" si="584"/>
        <v>0.67199999999999993</v>
      </c>
      <c r="ER190" s="150">
        <f t="shared" si="585"/>
        <v>8.8749999999999996E-2</v>
      </c>
      <c r="ES190" s="456"/>
      <c r="EU190" s="144">
        <f t="shared" si="497"/>
        <v>760.74999999999989</v>
      </c>
      <c r="EV190" s="456">
        <f t="shared" si="586"/>
        <v>5.5773757733546085E-2</v>
      </c>
      <c r="EW190" s="456">
        <f t="shared" si="587"/>
        <v>8.8063828000335964E-2</v>
      </c>
      <c r="EX190" s="456">
        <f t="shared" si="588"/>
        <v>7.3335736812275159E-4</v>
      </c>
      <c r="EY190" s="456">
        <f t="shared" si="589"/>
        <v>7.211356488206537E-2</v>
      </c>
      <c r="EZ190" s="456"/>
      <c r="FA190" s="538">
        <f t="shared" si="590"/>
        <v>1.1029478458049885E-3</v>
      </c>
      <c r="FB190" s="144">
        <f t="shared" si="498"/>
        <v>217.7874558298752</v>
      </c>
      <c r="FC190" s="150">
        <f t="shared" si="591"/>
        <v>1.1165119517281583</v>
      </c>
      <c r="FD190" s="5">
        <f t="shared" si="592"/>
        <v>6.4</v>
      </c>
      <c r="FE190" s="150">
        <f t="shared" si="593"/>
        <v>0.85145876719168179</v>
      </c>
      <c r="FF190" s="5">
        <f t="shared" si="594"/>
        <v>85.145876719168172</v>
      </c>
      <c r="FG190">
        <f t="shared" si="595"/>
        <v>80</v>
      </c>
      <c r="FI190" s="59">
        <f t="shared" si="596"/>
        <v>-50</v>
      </c>
      <c r="FJ190">
        <f t="shared" si="597"/>
        <v>-50</v>
      </c>
    </row>
    <row r="191" spans="5:166">
      <c r="E191" s="147">
        <v>81</v>
      </c>
      <c r="F191" s="188">
        <f t="shared" si="598"/>
        <v>0.97199999999999998</v>
      </c>
      <c r="G191" s="188">
        <f t="shared" si="499"/>
        <v>0.20250000000000001</v>
      </c>
      <c r="H191" s="188">
        <f t="shared" si="500"/>
        <v>4.8599999999999994</v>
      </c>
      <c r="I191" s="188">
        <f t="shared" si="501"/>
        <v>1.62</v>
      </c>
      <c r="J191" s="465">
        <f t="shared" si="502"/>
        <v>8.866376243092871</v>
      </c>
      <c r="K191" s="379">
        <f t="shared" si="503"/>
        <v>5.7509802388960152</v>
      </c>
      <c r="L191" s="149">
        <f t="shared" si="504"/>
        <v>14.617356481988885</v>
      </c>
      <c r="M191" s="379"/>
      <c r="N191" s="188">
        <f t="shared" si="505"/>
        <v>0.39343504045907474</v>
      </c>
      <c r="O191" s="149">
        <f t="shared" si="506"/>
        <v>6.5406433048624173</v>
      </c>
      <c r="P191" s="149">
        <f t="shared" si="507"/>
        <v>2.906952579938852</v>
      </c>
      <c r="Q191" s="188">
        <f t="shared" si="508"/>
        <v>1.3081286609724834</v>
      </c>
      <c r="R191" s="188">
        <f t="shared" si="509"/>
        <v>0.81758041310780216</v>
      </c>
      <c r="S191" s="188">
        <f t="shared" si="510"/>
        <v>5</v>
      </c>
      <c r="T191" s="188">
        <f t="shared" si="511"/>
        <v>3.715230882860558</v>
      </c>
      <c r="U191" s="188">
        <f t="shared" si="512"/>
        <v>5.0282967214545851</v>
      </c>
      <c r="V191" s="188">
        <f t="shared" si="513"/>
        <v>7.7522037535091615</v>
      </c>
      <c r="W191" s="172">
        <f t="shared" si="514"/>
        <v>290.69525799388526</v>
      </c>
      <c r="X191" s="379">
        <f t="shared" si="599"/>
        <v>77.038632056503417</v>
      </c>
      <c r="Z191" s="188">
        <f t="shared" si="515"/>
        <v>1</v>
      </c>
      <c r="AA191" s="150">
        <f t="shared" si="516"/>
        <v>2.0866008056921399</v>
      </c>
      <c r="AB191" s="150">
        <f t="shared" si="517"/>
        <v>0.227461859827847</v>
      </c>
      <c r="AC191" s="150"/>
      <c r="AD191" s="150">
        <f t="shared" si="518"/>
        <v>2.0866008056921399</v>
      </c>
      <c r="AE191" s="314">
        <f t="shared" si="519"/>
        <v>931.65879870115441</v>
      </c>
      <c r="AF191" s="456">
        <f t="shared" si="520"/>
        <v>0.30328247977046269</v>
      </c>
      <c r="AH191" s="150">
        <f t="shared" si="521"/>
        <v>1.7566201313073597</v>
      </c>
      <c r="AI191" s="150">
        <f t="shared" si="522"/>
        <v>3.715230882860558</v>
      </c>
      <c r="AJ191" s="150">
        <f t="shared" si="523"/>
        <v>3.2112821354522652</v>
      </c>
      <c r="AL191" s="314">
        <f t="shared" si="524"/>
        <v>972</v>
      </c>
      <c r="AM191" s="144">
        <f t="shared" si="525"/>
        <v>77.038632056503417</v>
      </c>
      <c r="AO191">
        <f t="shared" si="526"/>
        <v>972</v>
      </c>
      <c r="AP191">
        <f t="shared" si="527"/>
        <v>77.038632056503417</v>
      </c>
      <c r="AR191" s="5">
        <f t="shared" si="443"/>
        <v>12.980500474963748</v>
      </c>
      <c r="AS191" s="5">
        <f t="shared" si="604"/>
        <v>5.0282967214545851</v>
      </c>
      <c r="AT191" s="5">
        <f t="shared" si="605"/>
        <v>7.9522037535091625</v>
      </c>
      <c r="AU191" s="150">
        <f t="shared" si="606"/>
        <v>0.38737310099506223</v>
      </c>
      <c r="AW191" s="5">
        <f t="shared" si="477"/>
        <v>97.750088265077139</v>
      </c>
      <c r="AX191" s="5">
        <f t="shared" si="478"/>
        <v>12.727876076181918</v>
      </c>
      <c r="AY191" s="5">
        <f t="shared" si="479"/>
        <v>1.8162112862513424</v>
      </c>
      <c r="AZ191" s="5"/>
      <c r="BA191" s="150">
        <f t="shared" si="480"/>
        <v>1.3350265751856798</v>
      </c>
      <c r="BB191" s="150">
        <f t="shared" si="481"/>
        <v>1.6788937472439824</v>
      </c>
      <c r="BC191" s="150">
        <f t="shared" si="482"/>
        <v>0.37528213173689018</v>
      </c>
      <c r="BD191" s="150"/>
      <c r="BE191" s="456">
        <f t="shared" si="483"/>
        <v>3.564591912904011E-2</v>
      </c>
      <c r="BF191" s="456">
        <f t="shared" si="528"/>
        <v>7.8444858018588942E-2</v>
      </c>
      <c r="BG191" s="456">
        <f t="shared" si="529"/>
        <v>1.7076337426653869E-2</v>
      </c>
      <c r="BH191" s="456">
        <f t="shared" si="484"/>
        <v>1.646062191004536E-3</v>
      </c>
      <c r="BI191">
        <f t="shared" si="485"/>
        <v>3.9898693093917918E-3</v>
      </c>
      <c r="BJ191" s="144">
        <f t="shared" si="600"/>
        <v>21.066206736045658</v>
      </c>
      <c r="BK191">
        <f t="shared" si="530"/>
        <v>0.12643205000672883</v>
      </c>
      <c r="BL191" s="144">
        <f t="shared" si="601"/>
        <v>136.80304607467929</v>
      </c>
      <c r="BM191" s="150">
        <f t="shared" si="531"/>
        <v>0.60385499999999992</v>
      </c>
      <c r="BN191" s="150">
        <f t="shared" si="532"/>
        <v>0.12580312499999999</v>
      </c>
      <c r="BO191" s="456"/>
      <c r="BQ191" s="144">
        <f t="shared" si="486"/>
        <v>729.65812499999993</v>
      </c>
      <c r="BR191" s="456">
        <f t="shared" si="487"/>
        <v>5.3468878693560165E-2</v>
      </c>
      <c r="BS191" s="456">
        <f t="shared" si="488"/>
        <v>8.4560526436048236E-2</v>
      </c>
      <c r="BT191" s="456">
        <f t="shared" si="489"/>
        <v>7.0418339200492303E-4</v>
      </c>
      <c r="BU191" s="456">
        <f t="shared" si="490"/>
        <v>6.9295643353456726E-2</v>
      </c>
      <c r="BV191" s="456"/>
      <c r="BW191" s="538">
        <f t="shared" si="533"/>
        <v>1.0633596554757948E-3</v>
      </c>
      <c r="BX191" s="144">
        <f t="shared" si="491"/>
        <v>209.09259153054586</v>
      </c>
      <c r="BY191" s="150">
        <f t="shared" si="492"/>
        <v>1.0755537626052254</v>
      </c>
      <c r="BZ191" s="5">
        <f t="shared" si="493"/>
        <v>6.4799999999999995</v>
      </c>
      <c r="CA191" s="150">
        <f t="shared" si="494"/>
        <v>0.85764726234515409</v>
      </c>
      <c r="CB191" s="5">
        <f t="shared" si="495"/>
        <v>85.764726234515408</v>
      </c>
      <c r="CC191">
        <f t="shared" si="496"/>
        <v>81</v>
      </c>
      <c r="CE191" s="59">
        <f t="shared" si="534"/>
        <v>-50</v>
      </c>
      <c r="CF191">
        <f t="shared" si="535"/>
        <v>-50</v>
      </c>
      <c r="CG191" s="150">
        <f t="shared" si="536"/>
        <v>0.57198633493024875</v>
      </c>
      <c r="CH191" s="150">
        <f t="shared" si="537"/>
        <v>0.31031053622728105</v>
      </c>
      <c r="CI191" s="147">
        <v>81</v>
      </c>
      <c r="CJ191" s="188">
        <f t="shared" si="602"/>
        <v>0.97199999999999998</v>
      </c>
      <c r="CK191" s="188">
        <f t="shared" si="538"/>
        <v>0.20250000000000001</v>
      </c>
      <c r="CL191" s="188">
        <f t="shared" si="539"/>
        <v>4.8599999999999994</v>
      </c>
      <c r="CM191" s="188">
        <f t="shared" si="540"/>
        <v>1.62</v>
      </c>
      <c r="CN191" s="465">
        <f t="shared" si="541"/>
        <v>9</v>
      </c>
      <c r="CO191" s="379">
        <f t="shared" si="542"/>
        <v>5.7</v>
      </c>
      <c r="CP191" s="379">
        <f t="shared" si="543"/>
        <v>14.7</v>
      </c>
      <c r="CQ191" s="379"/>
      <c r="CR191" s="188">
        <f t="shared" si="544"/>
        <v>0.375</v>
      </c>
      <c r="CS191" s="149">
        <f t="shared" si="545"/>
        <v>6.328125</v>
      </c>
      <c r="CT191" s="149">
        <f t="shared" si="546"/>
        <v>2.8125</v>
      </c>
      <c r="CU191" s="188">
        <f t="shared" si="547"/>
        <v>1.265625</v>
      </c>
      <c r="CV191" s="188">
        <f t="shared" si="548"/>
        <v>0.791015625</v>
      </c>
      <c r="CW191" s="188">
        <f t="shared" si="549"/>
        <v>5</v>
      </c>
      <c r="CX191" s="188">
        <f t="shared" si="550"/>
        <v>3.84</v>
      </c>
      <c r="CY191" s="188">
        <f t="shared" si="551"/>
        <v>5.12</v>
      </c>
      <c r="CZ191" s="188">
        <f t="shared" si="552"/>
        <v>8.0842105263157897</v>
      </c>
      <c r="DA191" s="172">
        <f t="shared" si="553"/>
        <v>290.81632653061229</v>
      </c>
      <c r="DB191" s="379">
        <f t="shared" si="554"/>
        <v>75.733418367346928</v>
      </c>
      <c r="DD191" s="188">
        <f t="shared" si="555"/>
        <v>0.99999999999999978</v>
      </c>
      <c r="DE191" s="150">
        <f t="shared" si="556"/>
        <v>2.1052631578947363</v>
      </c>
      <c r="DF191" s="150">
        <f t="shared" si="557"/>
        <v>0.2295918367346938</v>
      </c>
      <c r="DG191" s="150"/>
      <c r="DH191" s="150">
        <f t="shared" si="558"/>
        <v>2.1052631578947367</v>
      </c>
      <c r="DI191" s="314">
        <f t="shared" si="559"/>
        <v>923.40000000000009</v>
      </c>
      <c r="DJ191" s="456">
        <f t="shared" si="560"/>
        <v>0.3061224489795919</v>
      </c>
      <c r="DL191" s="150">
        <f t="shared" si="561"/>
        <v>1.7566201313073597</v>
      </c>
      <c r="DM191" s="150">
        <f t="shared" si="562"/>
        <v>3.84</v>
      </c>
      <c r="DN191" s="150">
        <f t="shared" si="563"/>
        <v>3.3037037037037038</v>
      </c>
      <c r="DP191" s="314">
        <f t="shared" si="564"/>
        <v>972</v>
      </c>
      <c r="DQ191" s="144">
        <f t="shared" si="565"/>
        <v>75.733418367346928</v>
      </c>
      <c r="DS191">
        <f t="shared" si="566"/>
        <v>972</v>
      </c>
      <c r="DT191">
        <f t="shared" si="567"/>
        <v>75.733418367346928</v>
      </c>
      <c r="DV191" s="5">
        <f t="shared" si="568"/>
        <v>13.204210526315791</v>
      </c>
      <c r="DW191" s="5">
        <f t="shared" si="569"/>
        <v>5.12</v>
      </c>
      <c r="DX191" s="5">
        <f t="shared" si="570"/>
        <v>8.0842105263157897</v>
      </c>
      <c r="DY191" s="150">
        <f t="shared" si="571"/>
        <v>0.38775510204081631</v>
      </c>
      <c r="EA191" s="5">
        <f t="shared" si="572"/>
        <v>99.532799999999995</v>
      </c>
      <c r="EB191" s="5">
        <f t="shared" si="573"/>
        <v>12.960000000000003</v>
      </c>
      <c r="EC191" s="5">
        <f t="shared" si="574"/>
        <v>1.8189473684210522</v>
      </c>
      <c r="ED191" s="5"/>
      <c r="EE191" s="150">
        <f t="shared" si="575"/>
        <v>1.3805411538780801</v>
      </c>
      <c r="EF191" s="150">
        <f t="shared" si="576"/>
        <v>1.7347351735780825</v>
      </c>
      <c r="EG191" s="150">
        <f t="shared" si="577"/>
        <v>0.38776433291745371</v>
      </c>
      <c r="EH191" s="150"/>
      <c r="EI191" s="456">
        <f t="shared" si="578"/>
        <v>3.8117877551020418E-2</v>
      </c>
      <c r="EJ191" s="456">
        <f t="shared" si="579"/>
        <v>8.5499999999999979E-2</v>
      </c>
      <c r="EK191" s="456">
        <f t="shared" si="580"/>
        <v>9.4666772959183659E-3</v>
      </c>
      <c r="EL191" s="456">
        <f t="shared" si="581"/>
        <v>1.6365234374999997E-3</v>
      </c>
      <c r="EM191">
        <f t="shared" si="582"/>
        <v>4.0499999999999998E-3</v>
      </c>
      <c r="EN191" s="144">
        <f t="shared" si="583"/>
        <v>13.516677295918365</v>
      </c>
      <c r="EP191" s="144">
        <f t="shared" si="603"/>
        <v>138.77107828443877</v>
      </c>
      <c r="EQ191" s="150">
        <f t="shared" si="584"/>
        <v>0.68039999999999989</v>
      </c>
      <c r="ER191" s="150">
        <f t="shared" si="585"/>
        <v>8.9859375000000005E-2</v>
      </c>
      <c r="ES191" s="456"/>
      <c r="EU191" s="144">
        <f t="shared" si="497"/>
        <v>770.25937499999986</v>
      </c>
      <c r="EV191" s="456">
        <f t="shared" si="586"/>
        <v>5.717681632653062E-2</v>
      </c>
      <c r="EW191" s="456">
        <f t="shared" si="587"/>
        <v>9.027918367346939E-2</v>
      </c>
      <c r="EX191" s="456">
        <f t="shared" si="588"/>
        <v>7.5180588941458943E-4</v>
      </c>
      <c r="EY191" s="456">
        <f t="shared" si="589"/>
        <v>7.2113564882065467E-2</v>
      </c>
      <c r="EZ191" s="456"/>
      <c r="FA191" s="538">
        <f t="shared" si="590"/>
        <v>1.116734693877551E-3</v>
      </c>
      <c r="FB191" s="144">
        <f t="shared" si="498"/>
        <v>221.43810546535761</v>
      </c>
      <c r="FC191" s="150">
        <f t="shared" si="591"/>
        <v>1.1304685587497962</v>
      </c>
      <c r="FD191" s="5">
        <f t="shared" si="592"/>
        <v>6.4799999999999995</v>
      </c>
      <c r="FE191" s="150">
        <f t="shared" si="593"/>
        <v>0.85145874396260524</v>
      </c>
      <c r="FF191" s="5">
        <f t="shared" si="594"/>
        <v>85.145874396260524</v>
      </c>
      <c r="FG191">
        <f t="shared" si="595"/>
        <v>81</v>
      </c>
      <c r="FI191" s="59">
        <f t="shared" si="596"/>
        <v>-50</v>
      </c>
      <c r="FJ191">
        <f t="shared" si="597"/>
        <v>-50</v>
      </c>
    </row>
    <row r="192" spans="5:166">
      <c r="E192" s="147">
        <v>82</v>
      </c>
      <c r="F192" s="188">
        <f t="shared" si="598"/>
        <v>0.98399999999999987</v>
      </c>
      <c r="G192" s="188">
        <f t="shared" si="499"/>
        <v>0.20499999999999999</v>
      </c>
      <c r="H192" s="188">
        <f t="shared" si="500"/>
        <v>4.919999999999999</v>
      </c>
      <c r="I192" s="188">
        <f t="shared" si="501"/>
        <v>1.64</v>
      </c>
      <c r="J192" s="465">
        <f t="shared" si="502"/>
        <v>8.8647265670816715</v>
      </c>
      <c r="K192" s="379">
        <f t="shared" si="503"/>
        <v>5.7516096245613975</v>
      </c>
      <c r="L192" s="149">
        <f t="shared" si="504"/>
        <v>14.616336191643068</v>
      </c>
      <c r="M192" s="379"/>
      <c r="N192" s="188">
        <f t="shared" si="505"/>
        <v>0.39350556453743152</v>
      </c>
      <c r="O192" s="149">
        <f t="shared" si="506"/>
        <v>6.5405985604676999</v>
      </c>
      <c r="P192" s="149">
        <f t="shared" si="507"/>
        <v>2.9069326935411999</v>
      </c>
      <c r="Q192" s="188">
        <f t="shared" si="508"/>
        <v>1.3081197120935399</v>
      </c>
      <c r="R192" s="188">
        <f t="shared" si="509"/>
        <v>0.81757482005846249</v>
      </c>
      <c r="S192" s="188">
        <f t="shared" si="510"/>
        <v>5</v>
      </c>
      <c r="T192" s="188">
        <f t="shared" si="511"/>
        <v>3.7611236605600382</v>
      </c>
      <c r="U192" s="188">
        <f t="shared" si="512"/>
        <v>5.0913565788164759</v>
      </c>
      <c r="V192" s="188">
        <f t="shared" si="513"/>
        <v>7.847104875474268</v>
      </c>
      <c r="W192" s="172">
        <f t="shared" si="514"/>
        <v>290.69326935412005</v>
      </c>
      <c r="X192" s="379">
        <f t="shared" si="599"/>
        <v>76.112412665595727</v>
      </c>
      <c r="Z192" s="188">
        <f t="shared" si="515"/>
        <v>1</v>
      </c>
      <c r="AA192" s="150">
        <f t="shared" si="516"/>
        <v>2.0863724736734177</v>
      </c>
      <c r="AB192" s="150">
        <f t="shared" si="517"/>
        <v>0.2274354132984632</v>
      </c>
      <c r="AC192" s="150"/>
      <c r="AD192" s="150">
        <f t="shared" si="518"/>
        <v>2.0863724736734177</v>
      </c>
      <c r="AE192" s="314">
        <f t="shared" si="519"/>
        <v>943.26397842806875</v>
      </c>
      <c r="AF192" s="456">
        <f t="shared" si="520"/>
        <v>0.30324721773128432</v>
      </c>
      <c r="AH192" s="150">
        <f t="shared" si="521"/>
        <v>1.7674302033770735</v>
      </c>
      <c r="AI192" s="150">
        <f t="shared" si="522"/>
        <v>3.7611236605600382</v>
      </c>
      <c r="AJ192" s="150">
        <f t="shared" si="523"/>
        <v>3.2452767856000282</v>
      </c>
      <c r="AL192" s="314">
        <f t="shared" si="524"/>
        <v>983.99999999999989</v>
      </c>
      <c r="AM192" s="144">
        <f t="shared" si="525"/>
        <v>76.112412665595727</v>
      </c>
      <c r="AO192">
        <f t="shared" si="526"/>
        <v>983.99999999999989</v>
      </c>
      <c r="AP192">
        <f t="shared" si="527"/>
        <v>76.112412665595727</v>
      </c>
      <c r="AR192" s="5">
        <f t="shared" si="443"/>
        <v>13.138461454290743</v>
      </c>
      <c r="AS192" s="5">
        <f t="shared" si="604"/>
        <v>5.0913565788164759</v>
      </c>
      <c r="AT192" s="5">
        <f t="shared" si="605"/>
        <v>8.0471048754742682</v>
      </c>
      <c r="AU192" s="150">
        <f t="shared" si="606"/>
        <v>0.38751543295457525</v>
      </c>
      <c r="AW192" s="5">
        <f t="shared" si="477"/>
        <v>100.19789747110823</v>
      </c>
      <c r="AX192" s="5">
        <f t="shared" si="478"/>
        <v>13.046601233217219</v>
      </c>
      <c r="AY192" s="5">
        <f t="shared" si="479"/>
        <v>1.8609220340738639</v>
      </c>
      <c r="AZ192" s="5"/>
      <c r="BA192" s="150">
        <f t="shared" si="480"/>
        <v>1.3517659007757155</v>
      </c>
      <c r="BB192" s="150">
        <f t="shared" si="481"/>
        <v>1.6994350079290663</v>
      </c>
      <c r="BC192" s="150">
        <f t="shared" si="482"/>
        <v>0.3798737076547325</v>
      </c>
      <c r="BD192" s="150"/>
      <c r="BE192" s="456">
        <f t="shared" si="483"/>
        <v>3.6545421009999628E-2</v>
      </c>
      <c r="BF192" s="456">
        <f t="shared" si="528"/>
        <v>7.8453603670145838E-2</v>
      </c>
      <c r="BG192" s="456">
        <f t="shared" si="529"/>
        <v>1.6867893166034747E-2</v>
      </c>
      <c r="BH192" s="456">
        <f t="shared" si="484"/>
        <v>1.6260449095229913E-3</v>
      </c>
      <c r="BI192">
        <f t="shared" si="485"/>
        <v>3.9891269551867517E-3</v>
      </c>
      <c r="BJ192" s="144">
        <f t="shared" si="600"/>
        <v>20.857020121221499</v>
      </c>
      <c r="BK192">
        <f t="shared" si="530"/>
        <v>0.12760031126845223</v>
      </c>
      <c r="BL192" s="144">
        <f t="shared" si="601"/>
        <v>137.48208971088994</v>
      </c>
      <c r="BM192" s="150">
        <f t="shared" si="531"/>
        <v>0.6113099999999998</v>
      </c>
      <c r="BN192" s="150">
        <f t="shared" si="532"/>
        <v>0.12735624999999998</v>
      </c>
      <c r="BO192" s="456"/>
      <c r="BQ192" s="144">
        <f t="shared" si="486"/>
        <v>738.66624999999976</v>
      </c>
      <c r="BR192" s="456">
        <f t="shared" si="487"/>
        <v>5.4818131514999438E-2</v>
      </c>
      <c r="BS192" s="456">
        <f t="shared" si="488"/>
        <v>8.6642380385245965E-2</v>
      </c>
      <c r="BT192" s="456">
        <f t="shared" si="489"/>
        <v>7.2152016883676587E-4</v>
      </c>
      <c r="BU192" s="456">
        <f t="shared" si="490"/>
        <v>6.9327055955277064E-2</v>
      </c>
      <c r="BV192" s="456"/>
      <c r="BW192" s="538">
        <f t="shared" si="533"/>
        <v>1.0766900857637895E-3</v>
      </c>
      <c r="BX192" s="144">
        <f t="shared" si="491"/>
        <v>212.58577811012296</v>
      </c>
      <c r="BY192" s="150">
        <f t="shared" si="492"/>
        <v>1.0887341178210126</v>
      </c>
      <c r="BZ192" s="5">
        <f t="shared" si="493"/>
        <v>6.5599999999999987</v>
      </c>
      <c r="CA192" s="150">
        <f t="shared" si="494"/>
        <v>0.85765826069383977</v>
      </c>
      <c r="CB192" s="5">
        <f t="shared" si="495"/>
        <v>85.765826069383976</v>
      </c>
      <c r="CC192">
        <f t="shared" si="496"/>
        <v>82</v>
      </c>
      <c r="CE192" s="59">
        <f t="shared" si="534"/>
        <v>-50</v>
      </c>
      <c r="CF192">
        <f t="shared" si="535"/>
        <v>-50</v>
      </c>
      <c r="CG192" s="150">
        <f t="shared" si="536"/>
        <v>0.57198633493024886</v>
      </c>
      <c r="CH192" s="150">
        <f t="shared" si="537"/>
        <v>0.31031053622728111</v>
      </c>
      <c r="CI192" s="147">
        <v>82</v>
      </c>
      <c r="CJ192" s="188">
        <f t="shared" si="602"/>
        <v>0.98399999999999987</v>
      </c>
      <c r="CK192" s="188">
        <f t="shared" si="538"/>
        <v>0.20499999999999999</v>
      </c>
      <c r="CL192" s="188">
        <f t="shared" si="539"/>
        <v>4.919999999999999</v>
      </c>
      <c r="CM192" s="188">
        <f t="shared" si="540"/>
        <v>1.64</v>
      </c>
      <c r="CN192" s="465">
        <f t="shared" si="541"/>
        <v>9</v>
      </c>
      <c r="CO192" s="379">
        <f t="shared" si="542"/>
        <v>5.7</v>
      </c>
      <c r="CP192" s="379">
        <f t="shared" si="543"/>
        <v>14.7</v>
      </c>
      <c r="CQ192" s="379"/>
      <c r="CR192" s="188">
        <f t="shared" si="544"/>
        <v>0.375</v>
      </c>
      <c r="CS192" s="149">
        <f t="shared" si="545"/>
        <v>6.328125</v>
      </c>
      <c r="CT192" s="149">
        <f t="shared" si="546"/>
        <v>2.8125</v>
      </c>
      <c r="CU192" s="188">
        <f t="shared" si="547"/>
        <v>1.265625</v>
      </c>
      <c r="CV192" s="188">
        <f t="shared" si="548"/>
        <v>0.791015625</v>
      </c>
      <c r="CW192" s="188">
        <f t="shared" si="549"/>
        <v>5</v>
      </c>
      <c r="CX192" s="188">
        <f t="shared" si="550"/>
        <v>3.8874074074074065</v>
      </c>
      <c r="CY192" s="188">
        <f t="shared" si="551"/>
        <v>5.1832098765432084</v>
      </c>
      <c r="CZ192" s="188">
        <f t="shared" si="552"/>
        <v>8.1840155945419077</v>
      </c>
      <c r="DA192" s="172">
        <f t="shared" si="553"/>
        <v>290.81632653061229</v>
      </c>
      <c r="DB192" s="379">
        <f t="shared" si="554"/>
        <v>74.80984009457444</v>
      </c>
      <c r="DD192" s="188">
        <f t="shared" si="555"/>
        <v>0.99999999999999978</v>
      </c>
      <c r="DE192" s="150">
        <f t="shared" si="556"/>
        <v>2.1052631578947363</v>
      </c>
      <c r="DF192" s="150">
        <f t="shared" si="557"/>
        <v>0.2295918367346938</v>
      </c>
      <c r="DG192" s="150"/>
      <c r="DH192" s="150">
        <f t="shared" si="558"/>
        <v>2.1052631578947367</v>
      </c>
      <c r="DI192" s="314">
        <f t="shared" si="559"/>
        <v>934.79999999999984</v>
      </c>
      <c r="DJ192" s="456">
        <f t="shared" si="560"/>
        <v>0.3061224489795919</v>
      </c>
      <c r="DL192" s="150">
        <f t="shared" si="561"/>
        <v>1.7674302033770735</v>
      </c>
      <c r="DM192" s="150">
        <f t="shared" si="562"/>
        <v>3.8874074074074065</v>
      </c>
      <c r="DN192" s="150">
        <f t="shared" si="563"/>
        <v>3.3388203017832643</v>
      </c>
      <c r="DP192" s="314">
        <f t="shared" si="564"/>
        <v>983.99999999999989</v>
      </c>
      <c r="DQ192" s="144">
        <f t="shared" si="565"/>
        <v>74.80984009457444</v>
      </c>
      <c r="DS192">
        <f t="shared" si="566"/>
        <v>983.99999999999989</v>
      </c>
      <c r="DT192">
        <f t="shared" si="567"/>
        <v>74.80984009457444</v>
      </c>
      <c r="DV192" s="5">
        <f t="shared" si="568"/>
        <v>13.367225471085115</v>
      </c>
      <c r="DW192" s="5">
        <f t="shared" si="569"/>
        <v>5.1832098765432084</v>
      </c>
      <c r="DX192" s="5">
        <f t="shared" si="570"/>
        <v>8.1840155945419077</v>
      </c>
      <c r="DY192" s="150">
        <f t="shared" si="571"/>
        <v>0.38775510204081637</v>
      </c>
      <c r="EA192" s="5">
        <f t="shared" si="572"/>
        <v>102.00557037037034</v>
      </c>
      <c r="EB192" s="5">
        <f t="shared" si="573"/>
        <v>13.281975308641972</v>
      </c>
      <c r="EC192" s="5">
        <f t="shared" si="574"/>
        <v>1.8641368854234339</v>
      </c>
      <c r="ED192" s="5"/>
      <c r="EE192" s="150">
        <f t="shared" si="575"/>
        <v>1.3975848718271919</v>
      </c>
      <c r="EF192" s="150">
        <f t="shared" si="576"/>
        <v>1.7561516572025029</v>
      </c>
      <c r="EG192" s="150">
        <f t="shared" si="577"/>
        <v>0.39255154690408889</v>
      </c>
      <c r="EH192" s="150"/>
      <c r="EI192" s="456">
        <f t="shared" si="578"/>
        <v>3.9064869479204567E-2</v>
      </c>
      <c r="EJ192" s="456">
        <f t="shared" si="579"/>
        <v>8.5500000000000007E-2</v>
      </c>
      <c r="EK192" s="456">
        <f t="shared" si="580"/>
        <v>9.3512300118218043E-3</v>
      </c>
      <c r="EL192" s="456">
        <f t="shared" si="581"/>
        <v>1.6165658346036591E-3</v>
      </c>
      <c r="EM192">
        <f t="shared" si="582"/>
        <v>4.0499999999999998E-3</v>
      </c>
      <c r="EN192" s="144">
        <f t="shared" si="583"/>
        <v>13.401230011821804</v>
      </c>
      <c r="EP192" s="144">
        <f t="shared" si="603"/>
        <v>139.58266532563002</v>
      </c>
      <c r="EQ192" s="150">
        <f t="shared" si="584"/>
        <v>0.68879999999999986</v>
      </c>
      <c r="ER192" s="150">
        <f t="shared" si="585"/>
        <v>9.0968749999999987E-2</v>
      </c>
      <c r="ES192" s="456"/>
      <c r="EU192" s="144">
        <f t="shared" si="497"/>
        <v>779.76874999999995</v>
      </c>
      <c r="EV192" s="456">
        <f t="shared" si="586"/>
        <v>5.859730421880685E-2</v>
      </c>
      <c r="EW192" s="456">
        <f t="shared" si="587"/>
        <v>9.2522059292852912E-2</v>
      </c>
      <c r="EX192" s="456">
        <f t="shared" si="588"/>
        <v>7.7048358488396545E-4</v>
      </c>
      <c r="EY192" s="456">
        <f t="shared" si="589"/>
        <v>7.211356488206537E-2</v>
      </c>
      <c r="EZ192" s="456"/>
      <c r="FA192" s="538">
        <f t="shared" si="590"/>
        <v>1.1305215419501135E-3</v>
      </c>
      <c r="FB192" s="144">
        <f t="shared" si="498"/>
        <v>225.13393352055925</v>
      </c>
      <c r="FC192" s="150">
        <f t="shared" si="591"/>
        <v>1.1444853488461892</v>
      </c>
      <c r="FD192" s="5">
        <f t="shared" si="592"/>
        <v>6.5599999999999987</v>
      </c>
      <c r="FE192" s="150">
        <f t="shared" si="593"/>
        <v>0.85145207018693525</v>
      </c>
      <c r="FF192" s="5">
        <f t="shared" si="594"/>
        <v>85.145207018693526</v>
      </c>
      <c r="FG192">
        <f t="shared" si="595"/>
        <v>82</v>
      </c>
      <c r="FI192" s="59">
        <f t="shared" si="596"/>
        <v>-50</v>
      </c>
      <c r="FJ192">
        <f t="shared" si="597"/>
        <v>-50</v>
      </c>
    </row>
    <row r="193" spans="5:166">
      <c r="E193" s="147">
        <v>83</v>
      </c>
      <c r="F193" s="188">
        <f t="shared" si="598"/>
        <v>0.99599999999999989</v>
      </c>
      <c r="G193" s="188">
        <f t="shared" si="499"/>
        <v>0.20749999999999999</v>
      </c>
      <c r="H193" s="188">
        <f t="shared" si="500"/>
        <v>4.9799999999999995</v>
      </c>
      <c r="I193" s="188">
        <f t="shared" si="501"/>
        <v>1.66</v>
      </c>
      <c r="J193" s="465">
        <f t="shared" si="502"/>
        <v>8.863076891070472</v>
      </c>
      <c r="K193" s="379">
        <f t="shared" si="503"/>
        <v>5.7522390102267806</v>
      </c>
      <c r="L193" s="149">
        <f t="shared" si="504"/>
        <v>14.615315901297253</v>
      </c>
      <c r="M193" s="379"/>
      <c r="N193" s="188">
        <f t="shared" si="505"/>
        <v>0.39357609846231328</v>
      </c>
      <c r="O193" s="149">
        <f t="shared" si="506"/>
        <v>6.540553543423135</v>
      </c>
      <c r="P193" s="149">
        <f t="shared" si="507"/>
        <v>2.9069126859658376</v>
      </c>
      <c r="Q193" s="188">
        <f t="shared" si="508"/>
        <v>1.3081107086846271</v>
      </c>
      <c r="R193" s="188">
        <f t="shared" si="509"/>
        <v>0.81756919292789187</v>
      </c>
      <c r="S193" s="188">
        <f t="shared" si="510"/>
        <v>5</v>
      </c>
      <c r="T193" s="188">
        <f t="shared" si="511"/>
        <v>3.8070172248705521</v>
      </c>
      <c r="U193" s="188">
        <f t="shared" si="512"/>
        <v>5.1544409757375966</v>
      </c>
      <c r="V193" s="188">
        <f t="shared" si="513"/>
        <v>7.9419868710645831</v>
      </c>
      <c r="W193" s="172">
        <f t="shared" si="514"/>
        <v>290.69126859658377</v>
      </c>
      <c r="X193" s="379">
        <f t="shared" si="599"/>
        <v>75.208169556645416</v>
      </c>
      <c r="Z193" s="188">
        <f t="shared" si="515"/>
        <v>1</v>
      </c>
      <c r="AA193" s="150">
        <f t="shared" si="516"/>
        <v>2.0861441916209431</v>
      </c>
      <c r="AB193" s="150">
        <f t="shared" si="517"/>
        <v>0.2274089630766325</v>
      </c>
      <c r="AC193" s="150"/>
      <c r="AD193" s="150">
        <f t="shared" si="518"/>
        <v>2.0861441916209431</v>
      </c>
      <c r="AE193" s="314">
        <f t="shared" si="519"/>
        <v>954.8716756976454</v>
      </c>
      <c r="AF193" s="456">
        <f t="shared" si="520"/>
        <v>0.30321195076884333</v>
      </c>
      <c r="AH193" s="150">
        <f t="shared" si="521"/>
        <v>1.7781745588959375</v>
      </c>
      <c r="AI193" s="150">
        <f t="shared" si="522"/>
        <v>3.8070172248705521</v>
      </c>
      <c r="AJ193" s="150">
        <f t="shared" si="523"/>
        <v>3.2792720184226312</v>
      </c>
      <c r="AL193" s="314">
        <f t="shared" si="524"/>
        <v>995.99999999999989</v>
      </c>
      <c r="AM193" s="144">
        <f t="shared" si="525"/>
        <v>75.208169556645416</v>
      </c>
      <c r="AO193">
        <f t="shared" si="526"/>
        <v>995.99999999999989</v>
      </c>
      <c r="AP193">
        <f t="shared" si="527"/>
        <v>75.208169556645416</v>
      </c>
      <c r="AR193" s="5">
        <f t="shared" si="443"/>
        <v>13.296427846802178</v>
      </c>
      <c r="AS193" s="5">
        <f t="shared" si="604"/>
        <v>5.1544409757375966</v>
      </c>
      <c r="AT193" s="5">
        <f t="shared" si="605"/>
        <v>8.1419868710645815</v>
      </c>
      <c r="AU193" s="150">
        <f t="shared" si="606"/>
        <v>0.38765607087299403</v>
      </c>
      <c r="AW193" s="5">
        <f t="shared" si="477"/>
        <v>102.67646423669291</v>
      </c>
      <c r="AX193" s="5">
        <f t="shared" si="478"/>
        <v>13.36933128081939</v>
      </c>
      <c r="AY193" s="5">
        <f t="shared" si="479"/>
        <v>1.9061803214728166</v>
      </c>
      <c r="AZ193" s="5"/>
      <c r="BA193" s="150">
        <f t="shared" si="480"/>
        <v>1.368508531552554</v>
      </c>
      <c r="BB193" s="150">
        <f t="shared" si="481"/>
        <v>1.7199741614013366</v>
      </c>
      <c r="BC193" s="150">
        <f t="shared" si="482"/>
        <v>0.38446481254853404</v>
      </c>
      <c r="BD193" s="150"/>
      <c r="BE193" s="456">
        <f t="shared" si="483"/>
        <v>3.7456312018642558E-2</v>
      </c>
      <c r="BF193" s="456">
        <f t="shared" si="528"/>
        <v>7.8461993736552021E-2</v>
      </c>
      <c r="BG193" s="456">
        <f t="shared" si="529"/>
        <v>1.6664394740430345E-2</v>
      </c>
      <c r="BH193" s="456">
        <f t="shared" si="484"/>
        <v>1.6065025987117691E-3</v>
      </c>
      <c r="BI193">
        <f t="shared" si="485"/>
        <v>3.9883846009817125E-3</v>
      </c>
      <c r="BJ193" s="144">
        <f t="shared" si="600"/>
        <v>20.652779341412057</v>
      </c>
      <c r="BK193">
        <f t="shared" si="530"/>
        <v>0.12878414249512557</v>
      </c>
      <c r="BL193" s="144">
        <f t="shared" si="601"/>
        <v>138.17758769531841</v>
      </c>
      <c r="BM193" s="150">
        <f t="shared" si="531"/>
        <v>0.6187649999999999</v>
      </c>
      <c r="BN193" s="150">
        <f t="shared" si="532"/>
        <v>0.12890937499999999</v>
      </c>
      <c r="BO193" s="456"/>
      <c r="BQ193" s="144">
        <f t="shared" si="486"/>
        <v>747.67437499999994</v>
      </c>
      <c r="BR193" s="456">
        <f t="shared" si="487"/>
        <v>5.6184468027963827E-2</v>
      </c>
      <c r="BS193" s="456">
        <f t="shared" si="488"/>
        <v>8.874933347664693E-2</v>
      </c>
      <c r="BT193" s="456">
        <f t="shared" si="489"/>
        <v>7.3906596043989711E-4</v>
      </c>
      <c r="BU193" s="456">
        <f t="shared" si="490"/>
        <v>6.9357695671798295E-2</v>
      </c>
      <c r="BV193" s="456"/>
      <c r="BW193" s="538">
        <f t="shared" si="533"/>
        <v>1.0900205918047961E-3</v>
      </c>
      <c r="BX193" s="144">
        <f t="shared" ref="BX193:BX210" si="607">SUM(BR193:BW193)*1000</f>
        <v>216.12058372865377</v>
      </c>
      <c r="BY193" s="150">
        <f t="shared" ref="BY193:BY210" si="608">SUM(BE193:BI193,BM193:BP193,BR193:BW193)</f>
        <v>1.1019725464239718</v>
      </c>
      <c r="BZ193" s="5">
        <f t="shared" ref="BZ193:BZ210" si="609">MIN(H193+I193,O193+P193)</f>
        <v>6.64</v>
      </c>
      <c r="CA193" s="150">
        <f t="shared" ref="CA193:CA210" si="610">BZ193/(BZ193+BY193)</f>
        <v>0.85766256082463443</v>
      </c>
      <c r="CB193" s="5">
        <f t="shared" ref="CB193:CB210" si="611">CA193*100</f>
        <v>85.766256082463443</v>
      </c>
      <c r="CC193">
        <f t="shared" ref="CC193:CC210" si="612">F193/Iout*100</f>
        <v>83</v>
      </c>
      <c r="CE193" s="59">
        <f t="shared" si="534"/>
        <v>-50</v>
      </c>
      <c r="CF193">
        <f t="shared" si="535"/>
        <v>-50</v>
      </c>
      <c r="CG193" s="150">
        <f t="shared" si="536"/>
        <v>0.57198633493024875</v>
      </c>
      <c r="CH193" s="150">
        <f t="shared" si="537"/>
        <v>0.31031053622728111</v>
      </c>
      <c r="CI193" s="147">
        <v>83</v>
      </c>
      <c r="CJ193" s="188">
        <f t="shared" si="602"/>
        <v>0.99599999999999989</v>
      </c>
      <c r="CK193" s="188">
        <f t="shared" si="538"/>
        <v>0.20749999999999999</v>
      </c>
      <c r="CL193" s="188">
        <f t="shared" si="539"/>
        <v>4.9799999999999995</v>
      </c>
      <c r="CM193" s="188">
        <f t="shared" si="540"/>
        <v>1.66</v>
      </c>
      <c r="CN193" s="465">
        <f t="shared" si="541"/>
        <v>9</v>
      </c>
      <c r="CO193" s="379">
        <f t="shared" si="542"/>
        <v>5.7</v>
      </c>
      <c r="CP193" s="379">
        <f t="shared" si="543"/>
        <v>14.7</v>
      </c>
      <c r="CQ193" s="379"/>
      <c r="CR193" s="188">
        <f t="shared" si="544"/>
        <v>0.375</v>
      </c>
      <c r="CS193" s="149">
        <f t="shared" si="545"/>
        <v>6.328125</v>
      </c>
      <c r="CT193" s="149">
        <f t="shared" si="546"/>
        <v>2.8125</v>
      </c>
      <c r="CU193" s="188">
        <f t="shared" si="547"/>
        <v>1.265625</v>
      </c>
      <c r="CV193" s="188">
        <f t="shared" si="548"/>
        <v>0.791015625</v>
      </c>
      <c r="CW193" s="188">
        <f t="shared" si="549"/>
        <v>5</v>
      </c>
      <c r="CX193" s="188">
        <f t="shared" si="550"/>
        <v>3.9348148148148145</v>
      </c>
      <c r="CY193" s="188">
        <f t="shared" si="551"/>
        <v>5.2464197530864194</v>
      </c>
      <c r="CZ193" s="188">
        <f t="shared" si="552"/>
        <v>8.2838206627680311</v>
      </c>
      <c r="DA193" s="172">
        <f t="shared" si="553"/>
        <v>290.81632653061229</v>
      </c>
      <c r="DB193" s="379">
        <f t="shared" si="554"/>
        <v>73.908516719940991</v>
      </c>
      <c r="DD193" s="188">
        <f t="shared" si="555"/>
        <v>0.99999999999999978</v>
      </c>
      <c r="DE193" s="150">
        <f t="shared" si="556"/>
        <v>2.1052631578947363</v>
      </c>
      <c r="DF193" s="150">
        <f t="shared" si="557"/>
        <v>0.2295918367346938</v>
      </c>
      <c r="DG193" s="150"/>
      <c r="DH193" s="150">
        <f t="shared" si="558"/>
        <v>2.1052631578947367</v>
      </c>
      <c r="DI193" s="314">
        <f t="shared" si="559"/>
        <v>946.20000000000016</v>
      </c>
      <c r="DJ193" s="456">
        <f t="shared" si="560"/>
        <v>0.3061224489795919</v>
      </c>
      <c r="DL193" s="150">
        <f t="shared" si="561"/>
        <v>1.7781745588959375</v>
      </c>
      <c r="DM193" s="150">
        <f t="shared" si="562"/>
        <v>3.9348148148148145</v>
      </c>
      <c r="DN193" s="150">
        <f t="shared" si="563"/>
        <v>3.3739368998628256</v>
      </c>
      <c r="DP193" s="314">
        <f t="shared" si="564"/>
        <v>995.99999999999989</v>
      </c>
      <c r="DQ193" s="144">
        <f t="shared" si="565"/>
        <v>73.908516719940991</v>
      </c>
      <c r="DS193">
        <f>IF(CL193&gt;CS193, "",DP193)</f>
        <v>995.99999999999989</v>
      </c>
      <c r="DT193">
        <f t="shared" si="567"/>
        <v>73.908516719940991</v>
      </c>
      <c r="DV193" s="5">
        <f t="shared" si="568"/>
        <v>13.53024041585445</v>
      </c>
      <c r="DW193" s="5">
        <f t="shared" si="569"/>
        <v>5.2464197530864194</v>
      </c>
      <c r="DX193" s="5">
        <f t="shared" si="570"/>
        <v>8.2838206627680311</v>
      </c>
      <c r="DY193" s="150">
        <f t="shared" si="571"/>
        <v>0.38775510204081631</v>
      </c>
      <c r="EA193" s="5">
        <f t="shared" si="572"/>
        <v>104.50868148148146</v>
      </c>
      <c r="EB193" s="5">
        <f t="shared" si="573"/>
        <v>13.607901234567898</v>
      </c>
      <c r="EC193" s="5">
        <f t="shared" si="574"/>
        <v>1.9098808750270733</v>
      </c>
      <c r="ED193" s="5"/>
      <c r="EE193" s="150">
        <f t="shared" si="575"/>
        <v>1.4146285897763042</v>
      </c>
      <c r="EF193" s="150">
        <f t="shared" si="576"/>
        <v>1.7775681408269239</v>
      </c>
      <c r="EG193" s="150">
        <f t="shared" si="577"/>
        <v>0.39733876089072417</v>
      </c>
      <c r="EH193" s="150"/>
      <c r="EI193" s="456">
        <f t="shared" si="578"/>
        <v>4.0023480940249913E-2</v>
      </c>
      <c r="EJ193" s="456">
        <f t="shared" si="579"/>
        <v>8.5500000000000007E-2</v>
      </c>
      <c r="EK193" s="456">
        <f t="shared" si="580"/>
        <v>9.2385645899926237E-3</v>
      </c>
      <c r="EL193" s="456">
        <f t="shared" si="581"/>
        <v>1.5970891378012046E-3</v>
      </c>
      <c r="EM193">
        <f t="shared" si="582"/>
        <v>4.0499999999999998E-3</v>
      </c>
      <c r="EN193" s="144">
        <f t="shared" si="583"/>
        <v>13.288564589992623</v>
      </c>
      <c r="EP193" s="144">
        <f t="shared" si="603"/>
        <v>140.40913466804375</v>
      </c>
      <c r="EQ193" s="150">
        <f t="shared" si="584"/>
        <v>0.69719999999999993</v>
      </c>
      <c r="ER193" s="150">
        <f t="shared" si="585"/>
        <v>9.2078124999999997E-2</v>
      </c>
      <c r="ES193" s="456"/>
      <c r="EU193" s="144">
        <f t="shared" si="497"/>
        <v>789.27812499999993</v>
      </c>
      <c r="EV193" s="456">
        <f t="shared" si="586"/>
        <v>6.0035221410374859E-2</v>
      </c>
      <c r="EW193" s="456">
        <f t="shared" si="587"/>
        <v>9.4792454858486599E-2</v>
      </c>
      <c r="EX193" s="456">
        <f t="shared" si="588"/>
        <v>7.8939045453088044E-4</v>
      </c>
      <c r="EY193" s="456">
        <f t="shared" si="589"/>
        <v>7.2113564882065453E-2</v>
      </c>
      <c r="EZ193" s="456"/>
      <c r="FA193" s="538">
        <f t="shared" si="590"/>
        <v>1.1443083900226757E-3</v>
      </c>
      <c r="FB193" s="144">
        <f t="shared" ref="FB193:FB210" si="613">SUM(EV193:FA193)*1000</f>
        <v>228.87493999548047</v>
      </c>
      <c r="FC193" s="150">
        <f t="shared" si="591"/>
        <v>1.158562199663524</v>
      </c>
      <c r="FD193" s="5">
        <f t="shared" si="592"/>
        <v>6.64</v>
      </c>
      <c r="FE193" s="150">
        <f t="shared" si="593"/>
        <v>0.85143899990776362</v>
      </c>
      <c r="FF193" s="5">
        <f t="shared" si="594"/>
        <v>85.143899990776362</v>
      </c>
      <c r="FG193">
        <f t="shared" si="595"/>
        <v>83</v>
      </c>
      <c r="FI193" s="59">
        <f t="shared" si="596"/>
        <v>-50</v>
      </c>
      <c r="FJ193">
        <f t="shared" si="597"/>
        <v>-50</v>
      </c>
    </row>
    <row r="194" spans="5:166">
      <c r="E194" s="147">
        <v>84</v>
      </c>
      <c r="F194" s="188">
        <f t="shared" si="598"/>
        <v>1.008</v>
      </c>
      <c r="G194" s="188">
        <f t="shared" si="499"/>
        <v>0.21</v>
      </c>
      <c r="H194" s="188">
        <f t="shared" si="500"/>
        <v>5.04</v>
      </c>
      <c r="I194" s="188">
        <f t="shared" si="501"/>
        <v>1.68</v>
      </c>
      <c r="J194" s="465">
        <f t="shared" si="502"/>
        <v>8.8614272150592743</v>
      </c>
      <c r="K194" s="379">
        <f t="shared" si="503"/>
        <v>5.7528683958921638</v>
      </c>
      <c r="L194" s="149">
        <f t="shared" si="504"/>
        <v>14.614295610951437</v>
      </c>
      <c r="M194" s="379"/>
      <c r="N194" s="188">
        <f t="shared" si="505"/>
        <v>0.39364664223578227</v>
      </c>
      <c r="O194" s="149">
        <f t="shared" si="506"/>
        <v>6.5405082536716179</v>
      </c>
      <c r="P194" s="149">
        <f t="shared" si="507"/>
        <v>2.9068925571873856</v>
      </c>
      <c r="Q194" s="188">
        <f t="shared" si="508"/>
        <v>1.3081016507343235</v>
      </c>
      <c r="R194" s="188">
        <f t="shared" si="509"/>
        <v>0.81756353170895224</v>
      </c>
      <c r="S194" s="188">
        <f t="shared" si="510"/>
        <v>5</v>
      </c>
      <c r="T194" s="188">
        <f t="shared" si="511"/>
        <v>3.8529115815813824</v>
      </c>
      <c r="U194" s="188">
        <f t="shared" si="512"/>
        <v>5.2175499337628217</v>
      </c>
      <c r="V194" s="188">
        <f t="shared" si="513"/>
        <v>8.0368497586335632</v>
      </c>
      <c r="W194" s="172">
        <f t="shared" si="514"/>
        <v>290.68925571873854</v>
      </c>
      <c r="X194" s="379">
        <f t="shared" si="599"/>
        <v>74.325129538491396</v>
      </c>
      <c r="Z194" s="188">
        <f t="shared" si="515"/>
        <v>1</v>
      </c>
      <c r="AA194" s="150">
        <f t="shared" si="516"/>
        <v>2.0859159595183163</v>
      </c>
      <c r="AB194" s="150">
        <f t="shared" si="517"/>
        <v>0.22738250916158159</v>
      </c>
      <c r="AC194" s="150"/>
      <c r="AD194" s="150">
        <f t="shared" si="518"/>
        <v>2.0859159595183163</v>
      </c>
      <c r="AE194" s="314">
        <f t="shared" si="519"/>
        <v>966.48189050988367</v>
      </c>
      <c r="AF194" s="456">
        <f t="shared" si="520"/>
        <v>0.30317667888210886</v>
      </c>
      <c r="AH194" s="150">
        <f t="shared" si="521"/>
        <v>1.7888543819998317</v>
      </c>
      <c r="AI194" s="150">
        <f t="shared" si="522"/>
        <v>3.8529115815813824</v>
      </c>
      <c r="AJ194" s="150">
        <f t="shared" si="523"/>
        <v>3.3132678382084313</v>
      </c>
      <c r="AL194" s="314">
        <f t="shared" si="524"/>
        <v>1008</v>
      </c>
      <c r="AM194" s="144">
        <f t="shared" si="525"/>
        <v>74.325129538491396</v>
      </c>
      <c r="AO194">
        <f t="shared" si="526"/>
        <v>1008</v>
      </c>
      <c r="AP194">
        <f t="shared" si="527"/>
        <v>74.325129538491396</v>
      </c>
      <c r="AR194" s="5">
        <f t="shared" si="443"/>
        <v>13.454399692396384</v>
      </c>
      <c r="AS194" s="5">
        <f t="shared" si="604"/>
        <v>5.2175499337628217</v>
      </c>
      <c r="AT194" s="5">
        <f t="shared" si="605"/>
        <v>8.2368497586335625</v>
      </c>
      <c r="AU194" s="150">
        <f t="shared" si="606"/>
        <v>0.38779507470046892</v>
      </c>
      <c r="AW194" s="5">
        <f t="shared" si="477"/>
        <v>105.18580666465847</v>
      </c>
      <c r="AX194" s="5">
        <f t="shared" si="478"/>
        <v>13.696068576127407</v>
      </c>
      <c r="AY194" s="5">
        <f t="shared" si="479"/>
        <v>1.9519862967147077</v>
      </c>
      <c r="AZ194" s="5"/>
      <c r="BA194" s="150">
        <f t="shared" si="480"/>
        <v>1.385254468690555</v>
      </c>
      <c r="BB194" s="150">
        <f t="shared" si="481"/>
        <v>1.7405112109571423</v>
      </c>
      <c r="BC194" s="150">
        <f t="shared" si="482"/>
        <v>0.38905544715512597</v>
      </c>
      <c r="BD194" s="150"/>
      <c r="BE194" s="456">
        <f t="shared" si="483"/>
        <v>3.8378598860543039E-2</v>
      </c>
      <c r="BF194" s="456">
        <f t="shared" si="528"/>
        <v>7.8470040614173245E-2</v>
      </c>
      <c r="BG194" s="456">
        <f t="shared" si="529"/>
        <v>1.6465668141379841E-2</v>
      </c>
      <c r="BH194" s="456">
        <f t="shared" si="484"/>
        <v>1.5874185477407488E-3</v>
      </c>
      <c r="BI194">
        <f t="shared" si="485"/>
        <v>3.9876422467766733E-3</v>
      </c>
      <c r="BJ194" s="144">
        <f t="shared" si="600"/>
        <v>20.453310388156517</v>
      </c>
      <c r="BK194">
        <f t="shared" si="530"/>
        <v>0.12998356803736522</v>
      </c>
      <c r="BL194" s="144">
        <f t="shared" si="601"/>
        <v>138.88936841061354</v>
      </c>
      <c r="BM194" s="150">
        <f t="shared" si="531"/>
        <v>0.62622</v>
      </c>
      <c r="BN194" s="150">
        <f t="shared" si="532"/>
        <v>0.13046249999999998</v>
      </c>
      <c r="BO194" s="456"/>
      <c r="BQ194" s="144">
        <f t="shared" si="486"/>
        <v>756.68249999999989</v>
      </c>
      <c r="BR194" s="456">
        <f t="shared" si="487"/>
        <v>5.7567898290814552E-2</v>
      </c>
      <c r="BS194" s="456">
        <f t="shared" si="488"/>
        <v>9.088137826402494E-2</v>
      </c>
      <c r="BT194" s="456">
        <f t="shared" si="489"/>
        <v>7.5682070480537504E-4</v>
      </c>
      <c r="BU194" s="456">
        <f t="shared" si="490"/>
        <v>6.9387589122500704E-2</v>
      </c>
      <c r="BV194" s="456"/>
      <c r="BW194" s="538">
        <f t="shared" si="533"/>
        <v>1.1033511709833779E-3</v>
      </c>
      <c r="BX194" s="144">
        <f t="shared" si="607"/>
        <v>219.69703755312895</v>
      </c>
      <c r="BY194" s="150">
        <f t="shared" si="608"/>
        <v>1.1152689059637426</v>
      </c>
      <c r="BZ194" s="5">
        <f t="shared" si="609"/>
        <v>6.72</v>
      </c>
      <c r="CA194" s="150">
        <f t="shared" si="610"/>
        <v>0.85766041735786935</v>
      </c>
      <c r="CB194" s="5">
        <f t="shared" si="611"/>
        <v>85.766041735786942</v>
      </c>
      <c r="CC194">
        <f t="shared" si="612"/>
        <v>84.000000000000014</v>
      </c>
      <c r="CE194" s="59">
        <f t="shared" si="534"/>
        <v>-50</v>
      </c>
      <c r="CF194">
        <f t="shared" si="535"/>
        <v>-50</v>
      </c>
      <c r="CG194" s="150">
        <f t="shared" si="536"/>
        <v>0.57198633493024875</v>
      </c>
      <c r="CH194" s="150">
        <f t="shared" si="537"/>
        <v>0.31031053622728105</v>
      </c>
      <c r="CI194" s="147">
        <v>84</v>
      </c>
      <c r="CJ194" s="188">
        <f t="shared" si="602"/>
        <v>1.008</v>
      </c>
      <c r="CK194" s="188">
        <f t="shared" si="538"/>
        <v>0.21</v>
      </c>
      <c r="CL194" s="188">
        <f t="shared" si="539"/>
        <v>5.04</v>
      </c>
      <c r="CM194" s="188">
        <f t="shared" si="540"/>
        <v>1.68</v>
      </c>
      <c r="CN194" s="465">
        <f t="shared" si="541"/>
        <v>9</v>
      </c>
      <c r="CO194" s="379">
        <f t="shared" si="542"/>
        <v>5.7</v>
      </c>
      <c r="CP194" s="379">
        <f t="shared" si="543"/>
        <v>14.7</v>
      </c>
      <c r="CQ194" s="379"/>
      <c r="CR194" s="188">
        <f t="shared" si="544"/>
        <v>0.375</v>
      </c>
      <c r="CS194" s="149">
        <f t="shared" si="545"/>
        <v>6.328125</v>
      </c>
      <c r="CT194" s="149">
        <f t="shared" si="546"/>
        <v>2.8125</v>
      </c>
      <c r="CU194" s="188">
        <f t="shared" si="547"/>
        <v>1.265625</v>
      </c>
      <c r="CV194" s="188">
        <f t="shared" si="548"/>
        <v>0.791015625</v>
      </c>
      <c r="CW194" s="188">
        <f t="shared" si="549"/>
        <v>5</v>
      </c>
      <c r="CX194" s="188">
        <f t="shared" si="550"/>
        <v>3.9822222222222221</v>
      </c>
      <c r="CY194" s="188">
        <f t="shared" si="551"/>
        <v>5.3096296296296295</v>
      </c>
      <c r="CZ194" s="188">
        <f t="shared" si="552"/>
        <v>8.3836257309941526</v>
      </c>
      <c r="DA194" s="172">
        <f t="shared" si="553"/>
        <v>290.81632653061229</v>
      </c>
      <c r="DB194" s="379">
        <f t="shared" si="554"/>
        <v>73.028653425655975</v>
      </c>
      <c r="DD194" s="188">
        <f t="shared" si="555"/>
        <v>0.99999999999999978</v>
      </c>
      <c r="DE194" s="150">
        <f t="shared" si="556"/>
        <v>2.1052631578947363</v>
      </c>
      <c r="DF194" s="150">
        <f t="shared" si="557"/>
        <v>0.2295918367346938</v>
      </c>
      <c r="DG194" s="150"/>
      <c r="DH194" s="150">
        <f t="shared" si="558"/>
        <v>2.1052631578947367</v>
      </c>
      <c r="DI194" s="314">
        <f t="shared" si="559"/>
        <v>957.6</v>
      </c>
      <c r="DJ194" s="456">
        <f t="shared" si="560"/>
        <v>0.3061224489795919</v>
      </c>
      <c r="DL194" s="150">
        <f t="shared" si="561"/>
        <v>1.7888543819998317</v>
      </c>
      <c r="DM194" s="150">
        <f t="shared" si="562"/>
        <v>3.9822222222222221</v>
      </c>
      <c r="DN194" s="150">
        <f t="shared" si="563"/>
        <v>3.4090534979423861</v>
      </c>
      <c r="DP194" s="314">
        <f t="shared" si="564"/>
        <v>1008</v>
      </c>
      <c r="DQ194" s="144">
        <f t="shared" si="565"/>
        <v>73.028653425655975</v>
      </c>
      <c r="DS194">
        <f t="shared" ref="DS194:DS210" si="614">IF(CL194&gt;CS194, "",DP194)</f>
        <v>1008</v>
      </c>
      <c r="DT194">
        <f t="shared" ref="DT194:DT210" si="615">IF(CL194&gt;CS194, "",DQ194)</f>
        <v>73.028653425655975</v>
      </c>
      <c r="DV194" s="5">
        <f t="shared" si="568"/>
        <v>13.693255360623782</v>
      </c>
      <c r="DW194" s="5">
        <f t="shared" si="569"/>
        <v>5.3096296296296295</v>
      </c>
      <c r="DX194" s="5">
        <f t="shared" si="570"/>
        <v>8.3836257309941526</v>
      </c>
      <c r="DY194" s="150">
        <f t="shared" si="571"/>
        <v>0.38775510204081631</v>
      </c>
      <c r="EA194" s="5">
        <f t="shared" si="572"/>
        <v>107.04213333333333</v>
      </c>
      <c r="EB194" s="5">
        <f t="shared" si="573"/>
        <v>13.937777777777777</v>
      </c>
      <c r="EC194" s="5">
        <f t="shared" si="574"/>
        <v>1.9561793372319689</v>
      </c>
      <c r="ED194" s="5"/>
      <c r="EE194" s="150">
        <f t="shared" si="575"/>
        <v>1.4316723077254163</v>
      </c>
      <c r="EF194" s="150">
        <f t="shared" si="576"/>
        <v>1.7989846244513448</v>
      </c>
      <c r="EG194" s="150">
        <f t="shared" si="577"/>
        <v>0.40212597487735946</v>
      </c>
      <c r="EH194" s="150"/>
      <c r="EI194" s="456">
        <f t="shared" si="578"/>
        <v>4.0993711934156386E-2</v>
      </c>
      <c r="EJ194" s="456">
        <f t="shared" si="579"/>
        <v>8.5500000000000007E-2</v>
      </c>
      <c r="EK194" s="456">
        <f t="shared" si="580"/>
        <v>9.128581678206996E-3</v>
      </c>
      <c r="EL194" s="456">
        <f t="shared" si="581"/>
        <v>1.578076171875E-3</v>
      </c>
      <c r="EM194">
        <f t="shared" si="582"/>
        <v>4.0499999999999998E-3</v>
      </c>
      <c r="EN194" s="144">
        <f t="shared" si="583"/>
        <v>13.178581678206996</v>
      </c>
      <c r="EP194" s="144">
        <f t="shared" si="603"/>
        <v>141.25036978423839</v>
      </c>
      <c r="EQ194" s="150">
        <f t="shared" si="584"/>
        <v>0.7056</v>
      </c>
      <c r="ER194" s="150">
        <f t="shared" si="585"/>
        <v>9.3187499999999993E-2</v>
      </c>
      <c r="ES194" s="456"/>
      <c r="EU194" s="144">
        <f t="shared" si="497"/>
        <v>798.78750000000002</v>
      </c>
      <c r="EV194" s="456">
        <f t="shared" si="586"/>
        <v>6.1490567901234576E-2</v>
      </c>
      <c r="EW194" s="456">
        <f t="shared" si="587"/>
        <v>9.7090370370370369E-2</v>
      </c>
      <c r="EX194" s="456">
        <f t="shared" si="588"/>
        <v>8.0852649835533362E-4</v>
      </c>
      <c r="EY194" s="456">
        <f t="shared" si="589"/>
        <v>7.2113564882065453E-2</v>
      </c>
      <c r="EZ194" s="456"/>
      <c r="FA194" s="538">
        <f t="shared" si="590"/>
        <v>1.158095238095238E-3</v>
      </c>
      <c r="FB194" s="144">
        <f t="shared" si="613"/>
        <v>232.66112489012099</v>
      </c>
      <c r="FC194" s="150">
        <f t="shared" si="591"/>
        <v>1.1726989946743591</v>
      </c>
      <c r="FD194" s="5">
        <f t="shared" si="592"/>
        <v>6.72</v>
      </c>
      <c r="FE194" s="150">
        <f t="shared" si="593"/>
        <v>0.851419774722735</v>
      </c>
      <c r="FF194" s="5">
        <f t="shared" si="594"/>
        <v>85.141977472273496</v>
      </c>
      <c r="FG194">
        <f t="shared" si="595"/>
        <v>84.000000000000014</v>
      </c>
      <c r="FI194" s="59">
        <f t="shared" si="596"/>
        <v>-50</v>
      </c>
      <c r="FJ194">
        <f t="shared" si="597"/>
        <v>-50</v>
      </c>
    </row>
    <row r="195" spans="5:166">
      <c r="E195" s="147">
        <v>85</v>
      </c>
      <c r="F195" s="188">
        <f t="shared" si="598"/>
        <v>1.02</v>
      </c>
      <c r="G195" s="188">
        <f t="shared" si="499"/>
        <v>0.21249999999999999</v>
      </c>
      <c r="H195" s="188">
        <f t="shared" si="500"/>
        <v>5.0999999999999996</v>
      </c>
      <c r="I195" s="188">
        <f t="shared" si="501"/>
        <v>1.7</v>
      </c>
      <c r="J195" s="465">
        <f t="shared" si="502"/>
        <v>8.8597775390480749</v>
      </c>
      <c r="K195" s="379">
        <f t="shared" si="503"/>
        <v>5.7534977815575461</v>
      </c>
      <c r="L195" s="149">
        <f t="shared" si="504"/>
        <v>14.61327532060562</v>
      </c>
      <c r="M195" s="379"/>
      <c r="N195" s="188">
        <f t="shared" si="505"/>
        <v>0.39371719585990139</v>
      </c>
      <c r="O195" s="149">
        <f t="shared" si="506"/>
        <v>6.5404626911560246</v>
      </c>
      <c r="P195" s="149">
        <f t="shared" si="507"/>
        <v>2.9068723071804552</v>
      </c>
      <c r="Q195" s="188">
        <f t="shared" si="508"/>
        <v>1.308092538231205</v>
      </c>
      <c r="R195" s="188">
        <f t="shared" si="509"/>
        <v>0.81755783639450308</v>
      </c>
      <c r="S195" s="188">
        <f t="shared" si="510"/>
        <v>5</v>
      </c>
      <c r="T195" s="188">
        <f t="shared" si="511"/>
        <v>3.8988067364837891</v>
      </c>
      <c r="U195" s="188">
        <f t="shared" si="512"/>
        <v>5.280683474455758</v>
      </c>
      <c r="V195" s="188">
        <f t="shared" si="513"/>
        <v>8.1316935565307507</v>
      </c>
      <c r="W195" s="172">
        <f t="shared" si="514"/>
        <v>290.68723071804544</v>
      </c>
      <c r="X195" s="379">
        <f t="shared" si="599"/>
        <v>73.462555270372832</v>
      </c>
      <c r="Z195" s="188">
        <f t="shared" si="515"/>
        <v>1</v>
      </c>
      <c r="AA195" s="150">
        <f t="shared" si="516"/>
        <v>2.085687777349146</v>
      </c>
      <c r="AB195" s="150">
        <f t="shared" si="517"/>
        <v>0.22735605155253696</v>
      </c>
      <c r="AC195" s="150"/>
      <c r="AD195" s="150">
        <f t="shared" si="518"/>
        <v>2.085687777349146</v>
      </c>
      <c r="AE195" s="314">
        <f t="shared" si="519"/>
        <v>978.09462286478276</v>
      </c>
      <c r="AF195" s="456">
        <f t="shared" si="520"/>
        <v>0.3031414020700493</v>
      </c>
      <c r="AH195" s="150">
        <f t="shared" si="521"/>
        <v>1.7994708216848745</v>
      </c>
      <c r="AI195" s="150">
        <f t="shared" si="522"/>
        <v>3.8988067364837891</v>
      </c>
      <c r="AJ195" s="150">
        <f t="shared" si="523"/>
        <v>3.3472642492472513</v>
      </c>
      <c r="AL195" s="314">
        <f t="shared" si="524"/>
        <v>1020</v>
      </c>
      <c r="AM195" s="144">
        <f t="shared" si="525"/>
        <v>73.462555270372832</v>
      </c>
      <c r="AO195">
        <f t="shared" si="526"/>
        <v>1020</v>
      </c>
      <c r="AP195">
        <f t="shared" si="527"/>
        <v>73.462555270372832</v>
      </c>
      <c r="AR195" s="5">
        <f t="shared" si="443"/>
        <v>13.612377030986508</v>
      </c>
      <c r="AS195" s="5">
        <f t="shared" si="604"/>
        <v>5.280683474455758</v>
      </c>
      <c r="AT195" s="5">
        <f t="shared" si="605"/>
        <v>8.3316935565307499</v>
      </c>
      <c r="AU195" s="150">
        <f t="shared" si="606"/>
        <v>0.38793250160755055</v>
      </c>
      <c r="AW195" s="5">
        <f t="shared" si="477"/>
        <v>107.72594287889747</v>
      </c>
      <c r="AX195" s="5">
        <f t="shared" si="478"/>
        <v>14.026815479023107</v>
      </c>
      <c r="AY195" s="5">
        <f t="shared" si="479"/>
        <v>1.9983401083826884</v>
      </c>
      <c r="AZ195" s="5"/>
      <c r="BA195" s="150">
        <f t="shared" si="480"/>
        <v>1.402003713422584</v>
      </c>
      <c r="BB195" s="150">
        <f t="shared" si="481"/>
        <v>1.7610461598246299</v>
      </c>
      <c r="BC195" s="150">
        <f t="shared" si="482"/>
        <v>0.39364561219609373</v>
      </c>
      <c r="BD195" s="150"/>
      <c r="BE195" s="456">
        <f t="shared" si="483"/>
        <v>3.9312288249014303E-2</v>
      </c>
      <c r="BF195" s="456">
        <f t="shared" si="528"/>
        <v>7.8477756124595371E-2</v>
      </c>
      <c r="BG195" s="456">
        <f t="shared" si="529"/>
        <v>1.6271547428638174E-2</v>
      </c>
      <c r="BH195" s="456">
        <f t="shared" si="484"/>
        <v>1.5687768206075407E-3</v>
      </c>
      <c r="BI195">
        <f t="shared" si="485"/>
        <v>3.9868998925716333E-3</v>
      </c>
      <c r="BJ195" s="144">
        <f t="shared" si="600"/>
        <v>20.258447321209808</v>
      </c>
      <c r="BK195">
        <f t="shared" si="530"/>
        <v>0.13119861274269706</v>
      </c>
      <c r="BL195" s="144">
        <f t="shared" si="601"/>
        <v>139.61726851542704</v>
      </c>
      <c r="BM195" s="150">
        <f t="shared" si="531"/>
        <v>0.63367499999999999</v>
      </c>
      <c r="BN195" s="150">
        <f t="shared" si="532"/>
        <v>0.132015625</v>
      </c>
      <c r="BO195" s="456"/>
      <c r="BQ195" s="144">
        <f t="shared" si="486"/>
        <v>765.69062499999995</v>
      </c>
      <c r="BR195" s="456">
        <f t="shared" si="487"/>
        <v>5.8968432373521451E-2</v>
      </c>
      <c r="BS195" s="456">
        <f t="shared" si="488"/>
        <v>9.303850731099228E-2</v>
      </c>
      <c r="BT195" s="456">
        <f t="shared" si="489"/>
        <v>7.7478434000618709E-4</v>
      </c>
      <c r="BU195" s="456">
        <f t="shared" si="490"/>
        <v>6.9416761706620644E-2</v>
      </c>
      <c r="BV195" s="456"/>
      <c r="BW195" s="538">
        <f t="shared" si="533"/>
        <v>1.116681820805382E-3</v>
      </c>
      <c r="BX195" s="144">
        <f t="shared" si="607"/>
        <v>223.31516755194593</v>
      </c>
      <c r="BY195" s="150">
        <f t="shared" si="608"/>
        <v>1.1286230610673731</v>
      </c>
      <c r="BZ195" s="5">
        <f t="shared" si="609"/>
        <v>6.8</v>
      </c>
      <c r="CA195" s="150">
        <f t="shared" si="610"/>
        <v>0.85765207245008879</v>
      </c>
      <c r="CB195" s="5">
        <f t="shared" si="611"/>
        <v>85.765207245008881</v>
      </c>
      <c r="CC195">
        <f t="shared" si="612"/>
        <v>85.000000000000014</v>
      </c>
      <c r="CE195" s="59">
        <f t="shared" si="534"/>
        <v>-50</v>
      </c>
      <c r="CF195">
        <f t="shared" si="535"/>
        <v>-50</v>
      </c>
      <c r="CG195" s="150">
        <f t="shared" si="536"/>
        <v>0.57198633493024886</v>
      </c>
      <c r="CH195" s="150">
        <f t="shared" si="537"/>
        <v>0.31031053622728111</v>
      </c>
      <c r="CI195" s="147">
        <v>85</v>
      </c>
      <c r="CJ195" s="188">
        <f t="shared" si="602"/>
        <v>1.02</v>
      </c>
      <c r="CK195" s="188">
        <f t="shared" si="538"/>
        <v>0.21249999999999999</v>
      </c>
      <c r="CL195" s="188">
        <f t="shared" si="539"/>
        <v>5.0999999999999996</v>
      </c>
      <c r="CM195" s="188">
        <f t="shared" si="540"/>
        <v>1.7</v>
      </c>
      <c r="CN195" s="465">
        <f t="shared" si="541"/>
        <v>9</v>
      </c>
      <c r="CO195" s="379">
        <f t="shared" si="542"/>
        <v>5.7</v>
      </c>
      <c r="CP195" s="379">
        <f t="shared" si="543"/>
        <v>14.7</v>
      </c>
      <c r="CQ195" s="379"/>
      <c r="CR195" s="188">
        <f t="shared" si="544"/>
        <v>0.375</v>
      </c>
      <c r="CS195" s="149">
        <f t="shared" si="545"/>
        <v>6.328125</v>
      </c>
      <c r="CT195" s="149">
        <f t="shared" si="546"/>
        <v>2.8125</v>
      </c>
      <c r="CU195" s="188">
        <f t="shared" si="547"/>
        <v>1.265625</v>
      </c>
      <c r="CV195" s="188">
        <f t="shared" si="548"/>
        <v>0.791015625</v>
      </c>
      <c r="CW195" s="188">
        <f t="shared" si="549"/>
        <v>5</v>
      </c>
      <c r="CX195" s="188">
        <f t="shared" si="550"/>
        <v>4.0296296296296292</v>
      </c>
      <c r="CY195" s="188">
        <f t="shared" si="551"/>
        <v>5.3728395061728396</v>
      </c>
      <c r="CZ195" s="188">
        <f t="shared" si="552"/>
        <v>8.4834307992202707</v>
      </c>
      <c r="DA195" s="172">
        <f t="shared" si="553"/>
        <v>290.81632653061229</v>
      </c>
      <c r="DB195" s="379">
        <f t="shared" si="554"/>
        <v>72.169492797118863</v>
      </c>
      <c r="DD195" s="188">
        <f t="shared" si="555"/>
        <v>0.99999999999999978</v>
      </c>
      <c r="DE195" s="150">
        <f t="shared" si="556"/>
        <v>2.1052631578947363</v>
      </c>
      <c r="DF195" s="150">
        <f t="shared" si="557"/>
        <v>0.2295918367346938</v>
      </c>
      <c r="DG195" s="150"/>
      <c r="DH195" s="150">
        <f t="shared" si="558"/>
        <v>2.1052631578947367</v>
      </c>
      <c r="DI195" s="314">
        <f t="shared" si="559"/>
        <v>969.00000000000011</v>
      </c>
      <c r="DJ195" s="456">
        <f t="shared" si="560"/>
        <v>0.3061224489795919</v>
      </c>
      <c r="DL195" s="150">
        <f t="shared" si="561"/>
        <v>1.7994708216848745</v>
      </c>
      <c r="DM195" s="150">
        <f t="shared" si="562"/>
        <v>4.0296296296296292</v>
      </c>
      <c r="DN195" s="150">
        <f t="shared" si="563"/>
        <v>3.4441700960219475</v>
      </c>
      <c r="DP195" s="314">
        <f t="shared" si="564"/>
        <v>1020</v>
      </c>
      <c r="DQ195" s="144">
        <f t="shared" si="565"/>
        <v>72.169492797118863</v>
      </c>
      <c r="DS195">
        <f t="shared" si="614"/>
        <v>1020</v>
      </c>
      <c r="DT195">
        <f t="shared" si="615"/>
        <v>72.169492797118863</v>
      </c>
      <c r="DV195" s="5">
        <f t="shared" si="568"/>
        <v>13.856270305393108</v>
      </c>
      <c r="DW195" s="5">
        <f t="shared" si="569"/>
        <v>5.3728395061728396</v>
      </c>
      <c r="DX195" s="5">
        <f t="shared" si="570"/>
        <v>8.4834307992202689</v>
      </c>
      <c r="DY195" s="150">
        <f t="shared" si="571"/>
        <v>0.38775510204081642</v>
      </c>
      <c r="EA195" s="5">
        <f t="shared" si="572"/>
        <v>109.60592592592594</v>
      </c>
      <c r="EB195" s="5">
        <f t="shared" si="573"/>
        <v>14.271604938271603</v>
      </c>
      <c r="EC195" s="5">
        <f t="shared" si="574"/>
        <v>2.0030322720381184</v>
      </c>
      <c r="ED195" s="5"/>
      <c r="EE195" s="150">
        <f t="shared" si="575"/>
        <v>1.4487160256745284</v>
      </c>
      <c r="EF195" s="150">
        <f t="shared" si="576"/>
        <v>1.8204011080757652</v>
      </c>
      <c r="EG195" s="150">
        <f t="shared" si="577"/>
        <v>0.40691318886399458</v>
      </c>
      <c r="EH195" s="150"/>
      <c r="EI195" s="456">
        <f t="shared" si="578"/>
        <v>4.1975562460924022E-2</v>
      </c>
      <c r="EJ195" s="456">
        <f t="shared" si="579"/>
        <v>8.550000000000002E-2</v>
      </c>
      <c r="EK195" s="456">
        <f t="shared" si="580"/>
        <v>9.0211865996398573E-3</v>
      </c>
      <c r="EL195" s="456">
        <f t="shared" si="581"/>
        <v>1.5595105698529414E-3</v>
      </c>
      <c r="EM195">
        <f t="shared" si="582"/>
        <v>4.0499999999999998E-3</v>
      </c>
      <c r="EN195" s="144">
        <f t="shared" si="583"/>
        <v>13.071186599639857</v>
      </c>
      <c r="EP195" s="144">
        <f t="shared" si="603"/>
        <v>142.10625963041682</v>
      </c>
      <c r="EQ195" s="150">
        <f t="shared" si="584"/>
        <v>0.71399999999999997</v>
      </c>
      <c r="ER195" s="150">
        <f t="shared" si="585"/>
        <v>9.4296874999999988E-2</v>
      </c>
      <c r="ES195" s="456"/>
      <c r="EU195" s="144">
        <f t="shared" si="497"/>
        <v>808.29687499999989</v>
      </c>
      <c r="EV195" s="456">
        <f t="shared" si="586"/>
        <v>6.2963343691386023E-2</v>
      </c>
      <c r="EW195" s="456">
        <f t="shared" si="587"/>
        <v>9.9415805828504206E-2</v>
      </c>
      <c r="EX195" s="456">
        <f t="shared" si="588"/>
        <v>8.2789171635732467E-4</v>
      </c>
      <c r="EY195" s="456">
        <f t="shared" si="589"/>
        <v>7.2113564882065453E-2</v>
      </c>
      <c r="EZ195" s="456"/>
      <c r="FA195" s="538">
        <f t="shared" si="590"/>
        <v>1.1718820861678005E-3</v>
      </c>
      <c r="FB195" s="144">
        <f t="shared" si="613"/>
        <v>236.49248820448082</v>
      </c>
      <c r="FC195" s="150">
        <f t="shared" si="591"/>
        <v>1.1868956228348975</v>
      </c>
      <c r="FD195" s="5">
        <f t="shared" si="592"/>
        <v>6.8</v>
      </c>
      <c r="FE195" s="150">
        <f t="shared" si="593"/>
        <v>0.85139462453453019</v>
      </c>
      <c r="FF195" s="5">
        <f t="shared" si="594"/>
        <v>85.139462453453021</v>
      </c>
      <c r="FG195">
        <f t="shared" si="595"/>
        <v>85.000000000000014</v>
      </c>
      <c r="FI195" s="59">
        <f t="shared" si="596"/>
        <v>-50</v>
      </c>
      <c r="FJ195">
        <f t="shared" si="597"/>
        <v>-50</v>
      </c>
    </row>
    <row r="196" spans="5:166">
      <c r="E196" s="147">
        <v>86</v>
      </c>
      <c r="F196" s="188">
        <f t="shared" si="598"/>
        <v>1.032</v>
      </c>
      <c r="G196" s="188">
        <f t="shared" si="499"/>
        <v>0.215</v>
      </c>
      <c r="H196" s="188">
        <f t="shared" si="500"/>
        <v>5.16</v>
      </c>
      <c r="I196" s="188">
        <f t="shared" si="501"/>
        <v>1.72</v>
      </c>
      <c r="J196" s="465">
        <f t="shared" si="502"/>
        <v>8.8581278630368754</v>
      </c>
      <c r="K196" s="379">
        <f t="shared" si="503"/>
        <v>5.7541271672229293</v>
      </c>
      <c r="L196" s="149">
        <f t="shared" si="504"/>
        <v>14.612255030259805</v>
      </c>
      <c r="M196" s="379"/>
      <c r="N196" s="188">
        <f t="shared" si="505"/>
        <v>0.39378775933673404</v>
      </c>
      <c r="O196" s="149">
        <f t="shared" si="506"/>
        <v>6.5404168558192195</v>
      </c>
      <c r="P196" s="149">
        <f t="shared" si="507"/>
        <v>2.906851935919653</v>
      </c>
      <c r="Q196" s="188">
        <f t="shared" si="508"/>
        <v>1.308083371163844</v>
      </c>
      <c r="R196" s="188">
        <f t="shared" si="509"/>
        <v>0.81755210697740244</v>
      </c>
      <c r="S196" s="188">
        <f t="shared" si="510"/>
        <v>5</v>
      </c>
      <c r="T196" s="188">
        <f t="shared" si="511"/>
        <v>3.9447026953710007</v>
      </c>
      <c r="U196" s="188">
        <f t="shared" si="512"/>
        <v>5.3438416193987326</v>
      </c>
      <c r="V196" s="188">
        <f t="shared" si="513"/>
        <v>8.2265182831017682</v>
      </c>
      <c r="W196" s="172">
        <f t="shared" si="514"/>
        <v>290.68519359196529</v>
      </c>
      <c r="X196" s="379">
        <f t="shared" si="599"/>
        <v>72.619743207903696</v>
      </c>
      <c r="Z196" s="188">
        <f t="shared" si="515"/>
        <v>1</v>
      </c>
      <c r="AA196" s="150">
        <f t="shared" si="516"/>
        <v>2.0854596450970462</v>
      </c>
      <c r="AB196" s="150">
        <f t="shared" si="517"/>
        <v>0.22732959024872482</v>
      </c>
      <c r="AC196" s="150"/>
      <c r="AD196" s="150">
        <f t="shared" si="518"/>
        <v>2.0854596450970462</v>
      </c>
      <c r="AE196" s="314">
        <f t="shared" si="519"/>
        <v>989.70987276234371</v>
      </c>
      <c r="AF196" s="456">
        <f t="shared" si="520"/>
        <v>0.30310612033163303</v>
      </c>
      <c r="AH196" s="150">
        <f t="shared" si="521"/>
        <v>1.8100249932502248</v>
      </c>
      <c r="AI196" s="150">
        <f t="shared" si="522"/>
        <v>3.9447026953710007</v>
      </c>
      <c r="AJ196" s="150">
        <f t="shared" si="523"/>
        <v>3.3812612558303705</v>
      </c>
      <c r="AL196" s="314">
        <f t="shared" si="524"/>
        <v>1032</v>
      </c>
      <c r="AM196" s="144">
        <f t="shared" si="525"/>
        <v>72.619743207903696</v>
      </c>
      <c r="AO196">
        <f t="shared" si="526"/>
        <v>1032</v>
      </c>
      <c r="AP196">
        <f t="shared" si="527"/>
        <v>72.619743207903696</v>
      </c>
      <c r="AR196" s="5">
        <f t="shared" si="443"/>
        <v>13.770359902500498</v>
      </c>
      <c r="AS196" s="5">
        <f t="shared" si="604"/>
        <v>5.3438416193987326</v>
      </c>
      <c r="AT196" s="5">
        <f t="shared" si="605"/>
        <v>8.4265182831017658</v>
      </c>
      <c r="AU196" s="150">
        <f t="shared" si="606"/>
        <v>0.38806840614444421</v>
      </c>
      <c r="AW196" s="5">
        <f t="shared" si="477"/>
        <v>110.29689102438985</v>
      </c>
      <c r="AX196" s="5">
        <f t="shared" si="478"/>
        <v>14.361574352134094</v>
      </c>
      <c r="AY196" s="5">
        <f t="shared" si="479"/>
        <v>2.0452419053767925</v>
      </c>
      <c r="AZ196" s="5"/>
      <c r="BA196" s="150">
        <f t="shared" si="480"/>
        <v>1.4187562670367413</v>
      </c>
      <c r="BB196" s="150">
        <f t="shared" si="481"/>
        <v>1.7815790111676357</v>
      </c>
      <c r="BC196" s="150">
        <f t="shared" si="482"/>
        <v>0.39823530837864807</v>
      </c>
      <c r="BD196" s="150"/>
      <c r="BE196" s="456">
        <f t="shared" si="483"/>
        <v>4.0257386905120589E-2</v>
      </c>
      <c r="BF196" s="456">
        <f t="shared" si="528"/>
        <v>7.8485151547556239E-2</v>
      </c>
      <c r="BG196" s="456">
        <f t="shared" si="529"/>
        <v>1.6081874267912865E-2</v>
      </c>
      <c r="BH196" s="456">
        <f t="shared" si="484"/>
        <v>1.5505622117442345E-3</v>
      </c>
      <c r="BI196">
        <f t="shared" si="485"/>
        <v>3.9861575383665941E-3</v>
      </c>
      <c r="BJ196" s="144">
        <f t="shared" si="600"/>
        <v>20.06803180627946</v>
      </c>
      <c r="BK196">
        <f t="shared" si="530"/>
        <v>0.13242930194549196</v>
      </c>
      <c r="BL196" s="144">
        <f t="shared" si="601"/>
        <v>140.36113247070051</v>
      </c>
      <c r="BM196" s="150">
        <f t="shared" si="531"/>
        <v>0.64112999999999987</v>
      </c>
      <c r="BN196" s="150">
        <f t="shared" si="532"/>
        <v>0.13356874999999999</v>
      </c>
      <c r="BO196" s="456"/>
      <c r="BQ196" s="144">
        <f t="shared" si="486"/>
        <v>774.6987499999999</v>
      </c>
      <c r="BR196" s="456">
        <f t="shared" si="487"/>
        <v>6.038608035768088E-2</v>
      </c>
      <c r="BS196" s="456">
        <f t="shared" si="488"/>
        <v>9.5220713190991513E-2</v>
      </c>
      <c r="BT196" s="456">
        <f t="shared" si="489"/>
        <v>7.9295680419718458E-4</v>
      </c>
      <c r="BU196" s="456">
        <f t="shared" si="490"/>
        <v>6.944523767226761E-2</v>
      </c>
      <c r="BV196" s="456"/>
      <c r="BW196" s="538">
        <f t="shared" si="533"/>
        <v>1.1300125388909875E-3</v>
      </c>
      <c r="BX196" s="144">
        <f t="shared" si="607"/>
        <v>226.97500056402819</v>
      </c>
      <c r="BY196" s="150">
        <f t="shared" si="608"/>
        <v>1.1420348830347284</v>
      </c>
      <c r="BZ196" s="5">
        <f t="shared" si="609"/>
        <v>6.88</v>
      </c>
      <c r="CA196" s="150">
        <f t="shared" si="610"/>
        <v>0.85763775654354957</v>
      </c>
      <c r="CB196" s="5">
        <f t="shared" si="611"/>
        <v>85.763775654354959</v>
      </c>
      <c r="CC196">
        <f t="shared" si="612"/>
        <v>86.000000000000014</v>
      </c>
      <c r="CE196" s="59">
        <f t="shared" si="534"/>
        <v>-50</v>
      </c>
      <c r="CF196">
        <f t="shared" si="535"/>
        <v>-50</v>
      </c>
      <c r="CG196" s="150">
        <f t="shared" si="536"/>
        <v>0.57198633493024875</v>
      </c>
      <c r="CH196" s="150">
        <f t="shared" si="537"/>
        <v>0.31031053622728105</v>
      </c>
      <c r="CI196" s="147">
        <v>86</v>
      </c>
      <c r="CJ196" s="188">
        <f t="shared" si="602"/>
        <v>1.032</v>
      </c>
      <c r="CK196" s="188">
        <f t="shared" si="538"/>
        <v>0.215</v>
      </c>
      <c r="CL196" s="188">
        <f t="shared" si="539"/>
        <v>5.16</v>
      </c>
      <c r="CM196" s="188">
        <f t="shared" si="540"/>
        <v>1.72</v>
      </c>
      <c r="CN196" s="465">
        <f t="shared" si="541"/>
        <v>9</v>
      </c>
      <c r="CO196" s="379">
        <f t="shared" si="542"/>
        <v>5.7</v>
      </c>
      <c r="CP196" s="379">
        <f t="shared" si="543"/>
        <v>14.7</v>
      </c>
      <c r="CQ196" s="379"/>
      <c r="CR196" s="188">
        <f t="shared" si="544"/>
        <v>0.375</v>
      </c>
      <c r="CS196" s="149">
        <f t="shared" si="545"/>
        <v>6.328125</v>
      </c>
      <c r="CT196" s="149">
        <f t="shared" si="546"/>
        <v>2.8125</v>
      </c>
      <c r="CU196" s="188">
        <f t="shared" si="547"/>
        <v>1.265625</v>
      </c>
      <c r="CV196" s="188">
        <f t="shared" si="548"/>
        <v>0.791015625</v>
      </c>
      <c r="CW196" s="188">
        <f t="shared" si="549"/>
        <v>5</v>
      </c>
      <c r="CX196" s="188">
        <f t="shared" si="550"/>
        <v>4.0770370370370372</v>
      </c>
      <c r="CY196" s="188">
        <f t="shared" si="551"/>
        <v>5.4360493827160505</v>
      </c>
      <c r="CZ196" s="188">
        <f t="shared" si="552"/>
        <v>8.583235867446394</v>
      </c>
      <c r="DA196" s="172">
        <f t="shared" si="553"/>
        <v>290.81632653061229</v>
      </c>
      <c r="DB196" s="379">
        <f t="shared" si="554"/>
        <v>71.330312648315129</v>
      </c>
      <c r="DD196" s="188">
        <f t="shared" si="555"/>
        <v>0.99999999999999978</v>
      </c>
      <c r="DE196" s="150">
        <f t="shared" si="556"/>
        <v>2.1052631578947363</v>
      </c>
      <c r="DF196" s="150">
        <f t="shared" si="557"/>
        <v>0.2295918367346938</v>
      </c>
      <c r="DG196" s="150"/>
      <c r="DH196" s="150">
        <f t="shared" si="558"/>
        <v>2.1052631578947367</v>
      </c>
      <c r="DI196" s="314">
        <f t="shared" si="559"/>
        <v>980.40000000000009</v>
      </c>
      <c r="DJ196" s="456">
        <f t="shared" si="560"/>
        <v>0.3061224489795919</v>
      </c>
      <c r="DL196" s="150">
        <f t="shared" si="561"/>
        <v>1.8100249932502248</v>
      </c>
      <c r="DM196" s="150">
        <f t="shared" si="562"/>
        <v>4.0770370370370372</v>
      </c>
      <c r="DN196" s="150">
        <f t="shared" si="563"/>
        <v>3.4792866941015088</v>
      </c>
      <c r="DP196" s="314">
        <f t="shared" si="564"/>
        <v>1032</v>
      </c>
      <c r="DQ196" s="144">
        <f t="shared" si="565"/>
        <v>71.330312648315129</v>
      </c>
      <c r="DS196">
        <f t="shared" si="614"/>
        <v>1032</v>
      </c>
      <c r="DT196">
        <f t="shared" si="615"/>
        <v>71.330312648315129</v>
      </c>
      <c r="DV196" s="5">
        <f t="shared" si="568"/>
        <v>14.019285250162445</v>
      </c>
      <c r="DW196" s="5">
        <f t="shared" si="569"/>
        <v>5.4360493827160505</v>
      </c>
      <c r="DX196" s="5">
        <f t="shared" si="570"/>
        <v>8.583235867446394</v>
      </c>
      <c r="DY196" s="150">
        <f t="shared" si="571"/>
        <v>0.38775510204081637</v>
      </c>
      <c r="EA196" s="5">
        <f t="shared" si="572"/>
        <v>112.20005925925929</v>
      </c>
      <c r="EB196" s="5">
        <f t="shared" si="573"/>
        <v>14.609382716049385</v>
      </c>
      <c r="EC196" s="5">
        <f t="shared" si="574"/>
        <v>2.0504396794455273</v>
      </c>
      <c r="ED196" s="5"/>
      <c r="EE196" s="150">
        <f t="shared" si="575"/>
        <v>1.4657597436236407</v>
      </c>
      <c r="EF196" s="150">
        <f t="shared" si="576"/>
        <v>1.8418175917001864</v>
      </c>
      <c r="EG196" s="150">
        <f t="shared" si="577"/>
        <v>0.41170040285062992</v>
      </c>
      <c r="EH196" s="150"/>
      <c r="EI196" s="456">
        <f t="shared" si="578"/>
        <v>4.296903252055282E-2</v>
      </c>
      <c r="EJ196" s="456">
        <f t="shared" si="579"/>
        <v>8.5499999999999979E-2</v>
      </c>
      <c r="EK196" s="456">
        <f t="shared" si="580"/>
        <v>8.9162890810393913E-3</v>
      </c>
      <c r="EL196" s="456">
        <f t="shared" si="581"/>
        <v>1.5413767260174416E-3</v>
      </c>
      <c r="EM196">
        <f t="shared" si="582"/>
        <v>4.0499999999999998E-3</v>
      </c>
      <c r="EN196" s="144">
        <f t="shared" si="583"/>
        <v>12.966289081039392</v>
      </c>
      <c r="EP196" s="144">
        <f t="shared" si="603"/>
        <v>142.97669832760965</v>
      </c>
      <c r="EQ196" s="150">
        <f t="shared" si="584"/>
        <v>0.72239999999999993</v>
      </c>
      <c r="ER196" s="150">
        <f t="shared" si="585"/>
        <v>9.5406249999999998E-2</v>
      </c>
      <c r="ES196" s="456"/>
      <c r="EU196" s="144">
        <f t="shared" si="497"/>
        <v>817.80624999999998</v>
      </c>
      <c r="EV196" s="456">
        <f t="shared" si="586"/>
        <v>6.445354878082922E-2</v>
      </c>
      <c r="EW196" s="456">
        <f t="shared" si="587"/>
        <v>0.10176876123288824</v>
      </c>
      <c r="EX196" s="456">
        <f t="shared" si="588"/>
        <v>8.474861085368549E-4</v>
      </c>
      <c r="EY196" s="456">
        <f t="shared" si="589"/>
        <v>7.211356488206544E-2</v>
      </c>
      <c r="EZ196" s="456"/>
      <c r="FA196" s="538">
        <f t="shared" si="590"/>
        <v>1.1856689342403628E-3</v>
      </c>
      <c r="FB196" s="144">
        <f t="shared" si="613"/>
        <v>240.36902993856009</v>
      </c>
      <c r="FC196" s="150">
        <f t="shared" si="591"/>
        <v>1.2011519782661697</v>
      </c>
      <c r="FD196" s="5">
        <f t="shared" si="592"/>
        <v>6.88</v>
      </c>
      <c r="FE196" s="150">
        <f t="shared" si="593"/>
        <v>0.85136376824781845</v>
      </c>
      <c r="FF196" s="5">
        <f t="shared" si="594"/>
        <v>85.136376824781848</v>
      </c>
      <c r="FG196">
        <f t="shared" si="595"/>
        <v>86.000000000000014</v>
      </c>
      <c r="FI196" s="59">
        <f t="shared" si="596"/>
        <v>-50</v>
      </c>
      <c r="FJ196">
        <f t="shared" si="597"/>
        <v>-50</v>
      </c>
    </row>
    <row r="197" spans="5:166">
      <c r="E197" s="147">
        <v>87</v>
      </c>
      <c r="F197" s="188">
        <f t="shared" si="598"/>
        <v>1.044</v>
      </c>
      <c r="G197" s="188">
        <f t="shared" si="499"/>
        <v>0.2175</v>
      </c>
      <c r="H197" s="188">
        <f t="shared" si="500"/>
        <v>5.2200000000000006</v>
      </c>
      <c r="I197" s="188">
        <f t="shared" si="501"/>
        <v>1.74</v>
      </c>
      <c r="J197" s="465">
        <f t="shared" si="502"/>
        <v>8.8564781870256759</v>
      </c>
      <c r="K197" s="379">
        <f t="shared" si="503"/>
        <v>5.7547565528883124</v>
      </c>
      <c r="L197" s="149">
        <f t="shared" si="504"/>
        <v>14.611234739913989</v>
      </c>
      <c r="M197" s="379"/>
      <c r="N197" s="188">
        <f t="shared" si="505"/>
        <v>0.39385833266834425</v>
      </c>
      <c r="O197" s="149">
        <f t="shared" si="506"/>
        <v>6.5403707476040491</v>
      </c>
      <c r="P197" s="149">
        <f t="shared" si="507"/>
        <v>2.9068314433795774</v>
      </c>
      <c r="Q197" s="188">
        <f t="shared" si="508"/>
        <v>1.3080741495208099</v>
      </c>
      <c r="R197" s="188">
        <f t="shared" si="509"/>
        <v>0.81754634345050614</v>
      </c>
      <c r="S197" s="188">
        <f t="shared" si="510"/>
        <v>5</v>
      </c>
      <c r="T197" s="188">
        <f t="shared" si="511"/>
        <v>3.9905994640382247</v>
      </c>
      <c r="U197" s="188">
        <f t="shared" si="512"/>
        <v>5.4070243901928405</v>
      </c>
      <c r="V197" s="188">
        <f t="shared" si="513"/>
        <v>8.3213239566883352</v>
      </c>
      <c r="W197" s="172">
        <f t="shared" si="514"/>
        <v>290.68314433795774</v>
      </c>
      <c r="X197" s="379">
        <f t="shared" si="599"/>
        <v>71.796021688667707</v>
      </c>
      <c r="Z197" s="188">
        <f t="shared" si="515"/>
        <v>1</v>
      </c>
      <c r="AA197" s="150">
        <f t="shared" si="516"/>
        <v>2.0852315627456388</v>
      </c>
      <c r="AB197" s="150">
        <f t="shared" si="517"/>
        <v>0.22730312524937091</v>
      </c>
      <c r="AC197" s="150"/>
      <c r="AD197" s="150">
        <f t="shared" si="518"/>
        <v>2.0852315627456388</v>
      </c>
      <c r="AE197" s="314">
        <f t="shared" si="519"/>
        <v>1001.3276402025663</v>
      </c>
      <c r="AF197" s="456">
        <f t="shared" si="520"/>
        <v>0.30307083366582782</v>
      </c>
      <c r="AH197" s="150">
        <f t="shared" si="521"/>
        <v>1.820517979665599</v>
      </c>
      <c r="AI197" s="150">
        <f t="shared" si="522"/>
        <v>3.9905994640382247</v>
      </c>
      <c r="AJ197" s="150">
        <f t="shared" si="523"/>
        <v>3.4152588622505364</v>
      </c>
      <c r="AL197" s="314">
        <f t="shared" si="524"/>
        <v>1044</v>
      </c>
      <c r="AM197" s="144">
        <f t="shared" si="525"/>
        <v>71.796021688667707</v>
      </c>
      <c r="AO197">
        <f t="shared" si="526"/>
        <v>1044</v>
      </c>
      <c r="AP197">
        <f t="shared" si="527"/>
        <v>71.796021688667707</v>
      </c>
      <c r="AR197" s="5">
        <f t="shared" si="443"/>
        <v>13.928348346881176</v>
      </c>
      <c r="AS197" s="5">
        <f t="shared" si="604"/>
        <v>5.4070243901928405</v>
      </c>
      <c r="AT197" s="5">
        <f t="shared" si="605"/>
        <v>8.5213239566883345</v>
      </c>
      <c r="AU197" s="150">
        <f t="shared" si="606"/>
        <v>0.38820284038944047</v>
      </c>
      <c r="AW197" s="5">
        <f t="shared" si="477"/>
        <v>112.89866926722651</v>
      </c>
      <c r="AX197" s="5">
        <f t="shared" si="478"/>
        <v>14.700347560836786</v>
      </c>
      <c r="AY197" s="5">
        <f t="shared" si="479"/>
        <v>2.09269183691418</v>
      </c>
      <c r="AZ197" s="5"/>
      <c r="BA197" s="150">
        <f t="shared" si="480"/>
        <v>1.4355121308733159</v>
      </c>
      <c r="BB197" s="150">
        <f t="shared" si="481"/>
        <v>1.8021097680893194</v>
      </c>
      <c r="BC197" s="150">
        <f t="shared" si="482"/>
        <v>0.40282453639643612</v>
      </c>
      <c r="BD197" s="150"/>
      <c r="BE197" s="456">
        <f t="shared" si="483"/>
        <v>4.1213901557688955E-2</v>
      </c>
      <c r="BF197" s="456">
        <f t="shared" si="528"/>
        <v>7.8492237651638416E-2</v>
      </c>
      <c r="BG197" s="456">
        <f t="shared" si="529"/>
        <v>1.5896497500022696E-2</v>
      </c>
      <c r="BH197" s="456">
        <f t="shared" si="484"/>
        <v>1.5327602046417337E-3</v>
      </c>
      <c r="BI197">
        <f t="shared" si="485"/>
        <v>3.985415184161554E-3</v>
      </c>
      <c r="BJ197" s="144">
        <f t="shared" si="600"/>
        <v>19.88191268418425</v>
      </c>
      <c r="BK197">
        <f t="shared" si="530"/>
        <v>0.13367566145769472</v>
      </c>
      <c r="BL197" s="144">
        <f t="shared" si="601"/>
        <v>141.12081209815338</v>
      </c>
      <c r="BM197" s="150">
        <f t="shared" si="531"/>
        <v>0.64858499999999997</v>
      </c>
      <c r="BN197" s="150">
        <f t="shared" si="532"/>
        <v>0.135121875</v>
      </c>
      <c r="BO197" s="456"/>
      <c r="BQ197" s="144">
        <f t="shared" si="486"/>
        <v>783.70687500000008</v>
      </c>
      <c r="BR197" s="456">
        <f t="shared" si="487"/>
        <v>6.1820852336533429E-2</v>
      </c>
      <c r="BS197" s="456">
        <f t="shared" si="488"/>
        <v>9.7427988487288217E-2</v>
      </c>
      <c r="BT197" s="456">
        <f t="shared" si="489"/>
        <v>8.1133803561501852E-4</v>
      </c>
      <c r="BU197" s="456">
        <f t="shared" si="490"/>
        <v>6.947304018089831E-2</v>
      </c>
      <c r="BV197" s="456"/>
      <c r="BW197" s="538">
        <f t="shared" si="533"/>
        <v>1.1433433229682294E-3</v>
      </c>
      <c r="BX197" s="144">
        <f t="shared" si="607"/>
        <v>230.67656236330319</v>
      </c>
      <c r="BY197" s="150">
        <f t="shared" si="608"/>
        <v>1.1555042494614565</v>
      </c>
      <c r="BZ197" s="5">
        <f t="shared" si="609"/>
        <v>6.9600000000000009</v>
      </c>
      <c r="CA197" s="150">
        <f t="shared" si="610"/>
        <v>0.85761768906249602</v>
      </c>
      <c r="CB197" s="5">
        <f t="shared" si="611"/>
        <v>85.7617689062496</v>
      </c>
      <c r="CC197">
        <f t="shared" si="612"/>
        <v>87.000000000000014</v>
      </c>
      <c r="CE197" s="59">
        <f t="shared" si="534"/>
        <v>-50</v>
      </c>
      <c r="CF197">
        <f t="shared" si="535"/>
        <v>-50</v>
      </c>
      <c r="CG197" s="150">
        <f t="shared" si="536"/>
        <v>0.57198633493024875</v>
      </c>
      <c r="CH197" s="150">
        <f t="shared" si="537"/>
        <v>0.31031053622728105</v>
      </c>
      <c r="CI197" s="147">
        <v>87</v>
      </c>
      <c r="CJ197" s="188">
        <f t="shared" si="602"/>
        <v>1.044</v>
      </c>
      <c r="CK197" s="188">
        <f t="shared" si="538"/>
        <v>0.2175</v>
      </c>
      <c r="CL197" s="188">
        <f t="shared" si="539"/>
        <v>5.2200000000000006</v>
      </c>
      <c r="CM197" s="188">
        <f t="shared" si="540"/>
        <v>1.74</v>
      </c>
      <c r="CN197" s="465">
        <f t="shared" si="541"/>
        <v>9</v>
      </c>
      <c r="CO197" s="379">
        <f t="shared" si="542"/>
        <v>5.7</v>
      </c>
      <c r="CP197" s="379">
        <f t="shared" si="543"/>
        <v>14.7</v>
      </c>
      <c r="CQ197" s="379"/>
      <c r="CR197" s="188">
        <f t="shared" si="544"/>
        <v>0.375</v>
      </c>
      <c r="CS197" s="149">
        <f t="shared" si="545"/>
        <v>6.328125</v>
      </c>
      <c r="CT197" s="149">
        <f t="shared" si="546"/>
        <v>2.8125</v>
      </c>
      <c r="CU197" s="188">
        <f t="shared" si="547"/>
        <v>1.265625</v>
      </c>
      <c r="CV197" s="188">
        <f t="shared" si="548"/>
        <v>0.791015625</v>
      </c>
      <c r="CW197" s="188">
        <f t="shared" si="549"/>
        <v>5</v>
      </c>
      <c r="CX197" s="188">
        <f t="shared" si="550"/>
        <v>4.1244444444444452</v>
      </c>
      <c r="CY197" s="188">
        <f t="shared" si="551"/>
        <v>5.4992592592592606</v>
      </c>
      <c r="CZ197" s="188">
        <f t="shared" si="552"/>
        <v>8.6830409356725173</v>
      </c>
      <c r="DA197" s="172">
        <f t="shared" si="553"/>
        <v>290.81632653061229</v>
      </c>
      <c r="DB197" s="379">
        <f t="shared" si="554"/>
        <v>70.510423997185057</v>
      </c>
      <c r="DD197" s="188">
        <f t="shared" si="555"/>
        <v>0.99999999999999978</v>
      </c>
      <c r="DE197" s="150">
        <f t="shared" si="556"/>
        <v>2.1052631578947363</v>
      </c>
      <c r="DF197" s="150">
        <f t="shared" si="557"/>
        <v>0.2295918367346938</v>
      </c>
      <c r="DG197" s="150"/>
      <c r="DH197" s="150">
        <f t="shared" si="558"/>
        <v>2.1052631578947367</v>
      </c>
      <c r="DI197" s="314">
        <f t="shared" si="559"/>
        <v>991.80000000000007</v>
      </c>
      <c r="DJ197" s="456">
        <f t="shared" si="560"/>
        <v>0.3061224489795919</v>
      </c>
      <c r="DL197" s="150">
        <f t="shared" si="561"/>
        <v>1.820517979665599</v>
      </c>
      <c r="DM197" s="150">
        <f t="shared" si="562"/>
        <v>4.1244444444444452</v>
      </c>
      <c r="DN197" s="150">
        <f t="shared" si="563"/>
        <v>3.5144032921810702</v>
      </c>
      <c r="DP197" s="314">
        <f t="shared" si="564"/>
        <v>1044</v>
      </c>
      <c r="DQ197" s="144">
        <f t="shared" si="565"/>
        <v>70.510423997185057</v>
      </c>
      <c r="DS197">
        <f t="shared" si="614"/>
        <v>1044</v>
      </c>
      <c r="DT197">
        <f t="shared" si="615"/>
        <v>70.510423997185057</v>
      </c>
      <c r="DV197" s="5">
        <f t="shared" si="568"/>
        <v>14.182300194931779</v>
      </c>
      <c r="DW197" s="5">
        <f t="shared" si="569"/>
        <v>5.4992592592592606</v>
      </c>
      <c r="DX197" s="5">
        <f t="shared" si="570"/>
        <v>8.6830409356725191</v>
      </c>
      <c r="DY197" s="150">
        <f t="shared" si="571"/>
        <v>0.38775510204081631</v>
      </c>
      <c r="EA197" s="5">
        <f t="shared" si="572"/>
        <v>114.82453333333336</v>
      </c>
      <c r="EB197" s="5">
        <f t="shared" si="573"/>
        <v>14.951111111111114</v>
      </c>
      <c r="EC197" s="5">
        <f t="shared" si="574"/>
        <v>2.0984015594541918</v>
      </c>
      <c r="ED197" s="5"/>
      <c r="EE197" s="150">
        <f t="shared" si="575"/>
        <v>1.482803461572753</v>
      </c>
      <c r="EF197" s="150">
        <f t="shared" si="576"/>
        <v>1.8632340753246075</v>
      </c>
      <c r="EG197" s="150">
        <f t="shared" si="577"/>
        <v>0.41648761683726521</v>
      </c>
      <c r="EH197" s="150"/>
      <c r="EI197" s="456">
        <f t="shared" si="578"/>
        <v>4.3974122113042774E-2</v>
      </c>
      <c r="EJ197" s="456">
        <f t="shared" si="579"/>
        <v>8.5499999999999979E-2</v>
      </c>
      <c r="EK197" s="456">
        <f t="shared" si="580"/>
        <v>8.8138029996481324E-3</v>
      </c>
      <c r="EL197" s="456">
        <f t="shared" si="581"/>
        <v>1.5236597521551718E-3</v>
      </c>
      <c r="EM197">
        <f t="shared" si="582"/>
        <v>4.0499999999999998E-3</v>
      </c>
      <c r="EN197" s="144">
        <f t="shared" si="583"/>
        <v>12.863802999648133</v>
      </c>
      <c r="EP197" s="144">
        <f t="shared" si="603"/>
        <v>143.86158486484607</v>
      </c>
      <c r="EQ197" s="150">
        <f t="shared" si="584"/>
        <v>0.73080000000000001</v>
      </c>
      <c r="ER197" s="150">
        <f t="shared" si="585"/>
        <v>9.6515624999999994E-2</v>
      </c>
      <c r="ES197" s="456"/>
      <c r="EU197" s="144">
        <f t="shared" si="497"/>
        <v>827.31562499999995</v>
      </c>
      <c r="EV197" s="456">
        <f t="shared" si="586"/>
        <v>6.5961183169564161E-2</v>
      </c>
      <c r="EW197" s="456">
        <f t="shared" si="587"/>
        <v>0.10414923658352235</v>
      </c>
      <c r="EX197" s="456">
        <f t="shared" si="588"/>
        <v>8.6730967489392322E-4</v>
      </c>
      <c r="EY197" s="456">
        <f t="shared" si="589"/>
        <v>7.2113564882065412E-2</v>
      </c>
      <c r="EZ197" s="456"/>
      <c r="FA197" s="538">
        <f t="shared" si="590"/>
        <v>1.199455782312925E-3</v>
      </c>
      <c r="FB197" s="144">
        <f t="shared" si="613"/>
        <v>244.29075009235876</v>
      </c>
      <c r="FC197" s="150">
        <f t="shared" si="591"/>
        <v>1.2154679599572049</v>
      </c>
      <c r="FD197" s="5">
        <f t="shared" si="592"/>
        <v>6.9600000000000009</v>
      </c>
      <c r="FE197" s="150">
        <f t="shared" si="593"/>
        <v>0.85132741441707416</v>
      </c>
      <c r="FF197" s="5">
        <f t="shared" si="594"/>
        <v>85.13274144170741</v>
      </c>
      <c r="FG197">
        <f t="shared" si="595"/>
        <v>87.000000000000014</v>
      </c>
      <c r="FI197" s="59">
        <f t="shared" si="596"/>
        <v>-50</v>
      </c>
      <c r="FJ197">
        <f t="shared" si="597"/>
        <v>-50</v>
      </c>
    </row>
    <row r="198" spans="5:166">
      <c r="E198" s="147">
        <v>88</v>
      </c>
      <c r="F198" s="188">
        <f t="shared" si="598"/>
        <v>1.056</v>
      </c>
      <c r="G198" s="188">
        <f t="shared" si="499"/>
        <v>0.22</v>
      </c>
      <c r="H198" s="188">
        <f t="shared" si="500"/>
        <v>5.28</v>
      </c>
      <c r="I198" s="188">
        <f t="shared" si="501"/>
        <v>1.76</v>
      </c>
      <c r="J198" s="465">
        <f t="shared" si="502"/>
        <v>8.8548285110144764</v>
      </c>
      <c r="K198" s="379">
        <f t="shared" si="503"/>
        <v>5.7553859385536956</v>
      </c>
      <c r="L198" s="149">
        <f t="shared" si="504"/>
        <v>14.610214449568172</v>
      </c>
      <c r="M198" s="379"/>
      <c r="N198" s="188">
        <f t="shared" si="505"/>
        <v>0.39392891585679668</v>
      </c>
      <c r="O198" s="149">
        <f t="shared" si="506"/>
        <v>6.5403243664533477</v>
      </c>
      <c r="P198" s="149">
        <f t="shared" si="507"/>
        <v>2.9068108295348214</v>
      </c>
      <c r="Q198" s="188">
        <f t="shared" si="508"/>
        <v>1.3080648732906694</v>
      </c>
      <c r="R198" s="188">
        <f t="shared" si="509"/>
        <v>0.81754054580666846</v>
      </c>
      <c r="S198" s="188">
        <f t="shared" si="510"/>
        <v>5</v>
      </c>
      <c r="T198" s="188">
        <f t="shared" si="511"/>
        <v>4.0364970482826443</v>
      </c>
      <c r="U198" s="188">
        <f t="shared" si="512"/>
        <v>5.4702318084579495</v>
      </c>
      <c r="V198" s="188">
        <f t="shared" si="513"/>
        <v>8.4161105956282736</v>
      </c>
      <c r="W198" s="172">
        <f t="shared" si="514"/>
        <v>290.68108295348213</v>
      </c>
      <c r="X198" s="379">
        <f t="shared" si="599"/>
        <v>70.990749146486451</v>
      </c>
      <c r="Z198" s="188">
        <f t="shared" si="515"/>
        <v>1</v>
      </c>
      <c r="AA198" s="150">
        <f t="shared" si="516"/>
        <v>2.0850035302785535</v>
      </c>
      <c r="AB198" s="150">
        <f t="shared" si="517"/>
        <v>0.22727665655370125</v>
      </c>
      <c r="AC198" s="150"/>
      <c r="AD198" s="150">
        <f t="shared" si="518"/>
        <v>2.0850035302785535</v>
      </c>
      <c r="AE198" s="314">
        <f t="shared" si="519"/>
        <v>1012.9479251854505</v>
      </c>
      <c r="AF198" s="456">
        <f t="shared" si="520"/>
        <v>0.30303554207160166</v>
      </c>
      <c r="AH198" s="150">
        <f t="shared" si="521"/>
        <v>1.8309508328682538</v>
      </c>
      <c r="AI198" s="150">
        <f t="shared" si="522"/>
        <v>4.0364970482826443</v>
      </c>
      <c r="AJ198" s="150">
        <f t="shared" si="523"/>
        <v>3.4492570728019585</v>
      </c>
      <c r="AL198" s="314">
        <f t="shared" si="524"/>
        <v>1056</v>
      </c>
      <c r="AM198" s="144">
        <f t="shared" si="525"/>
        <v>70.990749146486451</v>
      </c>
      <c r="AO198">
        <f t="shared" si="526"/>
        <v>1056</v>
      </c>
      <c r="AP198">
        <f t="shared" si="527"/>
        <v>70.990749146486451</v>
      </c>
      <c r="AR198" s="5">
        <f t="shared" ref="AR198:AR262" si="616">1/AM198*1000</f>
        <v>14.086342404086224</v>
      </c>
      <c r="AS198" s="5">
        <f t="shared" si="604"/>
        <v>5.4702318084579495</v>
      </c>
      <c r="AT198" s="5">
        <f t="shared" si="605"/>
        <v>8.6161105956282746</v>
      </c>
      <c r="AU198" s="150">
        <f t="shared" si="606"/>
        <v>0.3883358540873692</v>
      </c>
      <c r="AW198" s="5">
        <f t="shared" si="477"/>
        <v>115.5312957946319</v>
      </c>
      <c r="AX198" s="5">
        <f t="shared" si="478"/>
        <v>15.04313747325936</v>
      </c>
      <c r="AY198" s="5">
        <f t="shared" si="479"/>
        <v>2.1406900525293766</v>
      </c>
      <c r="AZ198" s="5"/>
      <c r="BA198" s="150">
        <f t="shared" si="480"/>
        <v>1.4522713063219463</v>
      </c>
      <c r="BB198" s="150">
        <f t="shared" si="481"/>
        <v>1.822638433635549</v>
      </c>
      <c r="BC198" s="150">
        <f t="shared" si="482"/>
        <v>0.40741329693029926</v>
      </c>
      <c r="BD198" s="150"/>
      <c r="BE198" s="456">
        <f t="shared" si="483"/>
        <v>4.2181838943321052E-2</v>
      </c>
      <c r="BF198" s="456">
        <f t="shared" si="528"/>
        <v>7.8499024722899657E-2</v>
      </c>
      <c r="BG198" s="456">
        <f t="shared" si="529"/>
        <v>1.5715272739014623E-2</v>
      </c>
      <c r="BH198" s="456">
        <f t="shared" si="484"/>
        <v>1.5153569332550779E-3</v>
      </c>
      <c r="BI198">
        <f t="shared" si="485"/>
        <v>3.984672829956514E-3</v>
      </c>
      <c r="BJ198" s="144">
        <f t="shared" si="600"/>
        <v>19.699945568971138</v>
      </c>
      <c r="BK198">
        <f t="shared" si="530"/>
        <v>0.13493771756028744</v>
      </c>
      <c r="BL198" s="144">
        <f t="shared" si="601"/>
        <v>141.89616616844694</v>
      </c>
      <c r="BM198" s="150">
        <f t="shared" si="531"/>
        <v>0.65603999999999996</v>
      </c>
      <c r="BN198" s="150">
        <f t="shared" si="532"/>
        <v>0.13667499999999999</v>
      </c>
      <c r="BO198" s="456"/>
      <c r="BQ198" s="144">
        <f t="shared" si="486"/>
        <v>792.71499999999992</v>
      </c>
      <c r="BR198" s="456">
        <f t="shared" si="487"/>
        <v>6.3272758414981575E-2</v>
      </c>
      <c r="BS198" s="456">
        <f t="shared" si="488"/>
        <v>9.9660325792963425E-2</v>
      </c>
      <c r="BT198" s="456">
        <f t="shared" si="489"/>
        <v>8.2992797257808106E-4</v>
      </c>
      <c r="BU198" s="456">
        <f t="shared" si="490"/>
        <v>6.9500191367503544E-2</v>
      </c>
      <c r="BV198" s="456"/>
      <c r="BW198" s="538">
        <f t="shared" si="533"/>
        <v>1.1566741708669576E-3</v>
      </c>
      <c r="BX198" s="144">
        <f t="shared" si="607"/>
        <v>234.41987771889359</v>
      </c>
      <c r="BY198" s="150">
        <f t="shared" si="608"/>
        <v>1.1690310438873406</v>
      </c>
      <c r="BZ198" s="5">
        <f t="shared" si="609"/>
        <v>7.04</v>
      </c>
      <c r="CA198" s="150">
        <f t="shared" si="610"/>
        <v>0.85759207906055701</v>
      </c>
      <c r="CB198" s="5">
        <f t="shared" si="611"/>
        <v>85.759207906055707</v>
      </c>
      <c r="CC198">
        <f t="shared" si="612"/>
        <v>88.000000000000014</v>
      </c>
      <c r="CE198" s="59">
        <f t="shared" si="534"/>
        <v>-50</v>
      </c>
      <c r="CF198">
        <f t="shared" si="535"/>
        <v>-50</v>
      </c>
      <c r="CG198" s="150">
        <f t="shared" si="536"/>
        <v>0.57198633493024886</v>
      </c>
      <c r="CH198" s="150">
        <f t="shared" si="537"/>
        <v>0.31031053622728111</v>
      </c>
      <c r="CI198" s="147">
        <v>88</v>
      </c>
      <c r="CJ198" s="188">
        <f t="shared" si="602"/>
        <v>1.056</v>
      </c>
      <c r="CK198" s="188">
        <f t="shared" si="538"/>
        <v>0.22</v>
      </c>
      <c r="CL198" s="188">
        <f t="shared" si="539"/>
        <v>5.28</v>
      </c>
      <c r="CM198" s="188">
        <f t="shared" si="540"/>
        <v>1.76</v>
      </c>
      <c r="CN198" s="465">
        <f t="shared" si="541"/>
        <v>9</v>
      </c>
      <c r="CO198" s="379">
        <f t="shared" si="542"/>
        <v>5.7</v>
      </c>
      <c r="CP198" s="379">
        <f t="shared" si="543"/>
        <v>14.7</v>
      </c>
      <c r="CQ198" s="379"/>
      <c r="CR198" s="188">
        <f t="shared" si="544"/>
        <v>0.375</v>
      </c>
      <c r="CS198" s="149">
        <f t="shared" si="545"/>
        <v>6.328125</v>
      </c>
      <c r="CT198" s="149">
        <f t="shared" si="546"/>
        <v>2.8125</v>
      </c>
      <c r="CU198" s="188">
        <f t="shared" si="547"/>
        <v>1.265625</v>
      </c>
      <c r="CV198" s="188">
        <f t="shared" si="548"/>
        <v>0.791015625</v>
      </c>
      <c r="CW198" s="188">
        <f t="shared" si="549"/>
        <v>5</v>
      </c>
      <c r="CX198" s="188">
        <f t="shared" si="550"/>
        <v>4.1718518518518515</v>
      </c>
      <c r="CY198" s="188">
        <f t="shared" si="551"/>
        <v>5.5624691358024689</v>
      </c>
      <c r="CZ198" s="188">
        <f t="shared" si="552"/>
        <v>8.7828460038986336</v>
      </c>
      <c r="DA198" s="172">
        <f t="shared" si="553"/>
        <v>290.81632653061229</v>
      </c>
      <c r="DB198" s="379">
        <f t="shared" si="554"/>
        <v>69.709169179035257</v>
      </c>
      <c r="DD198" s="188">
        <f t="shared" si="555"/>
        <v>0.99999999999999978</v>
      </c>
      <c r="DE198" s="150">
        <f t="shared" si="556"/>
        <v>2.1052631578947363</v>
      </c>
      <c r="DF198" s="150">
        <f t="shared" si="557"/>
        <v>0.2295918367346938</v>
      </c>
      <c r="DG198" s="150"/>
      <c r="DH198" s="150">
        <f t="shared" si="558"/>
        <v>2.1052631578947367</v>
      </c>
      <c r="DI198" s="314">
        <f t="shared" si="559"/>
        <v>1003.2000000000002</v>
      </c>
      <c r="DJ198" s="456">
        <f t="shared" si="560"/>
        <v>0.3061224489795919</v>
      </c>
      <c r="DL198" s="150">
        <f t="shared" si="561"/>
        <v>1.8309508328682538</v>
      </c>
      <c r="DM198" s="150">
        <f t="shared" si="562"/>
        <v>4.1718518518518515</v>
      </c>
      <c r="DN198" s="150">
        <f t="shared" si="563"/>
        <v>3.5495198902606306</v>
      </c>
      <c r="DP198" s="314">
        <f t="shared" si="564"/>
        <v>1056</v>
      </c>
      <c r="DQ198" s="144">
        <f t="shared" si="565"/>
        <v>69.709169179035257</v>
      </c>
      <c r="DS198">
        <f t="shared" si="614"/>
        <v>1056</v>
      </c>
      <c r="DT198">
        <f t="shared" si="615"/>
        <v>69.709169179035257</v>
      </c>
      <c r="DV198" s="5">
        <f t="shared" si="568"/>
        <v>14.345315139701103</v>
      </c>
      <c r="DW198" s="5">
        <f t="shared" si="569"/>
        <v>5.5624691358024689</v>
      </c>
      <c r="DX198" s="5">
        <f t="shared" si="570"/>
        <v>8.7828460038986336</v>
      </c>
      <c r="DY198" s="150">
        <f t="shared" si="571"/>
        <v>0.38775510204081637</v>
      </c>
      <c r="EA198" s="5">
        <f t="shared" si="572"/>
        <v>117.47934814814816</v>
      </c>
      <c r="EB198" s="5">
        <f t="shared" si="573"/>
        <v>15.296790123456791</v>
      </c>
      <c r="EC198" s="5">
        <f t="shared" si="574"/>
        <v>2.1469179120641102</v>
      </c>
      <c r="ED198" s="5"/>
      <c r="EE198" s="150">
        <f t="shared" si="575"/>
        <v>1.4998471795218646</v>
      </c>
      <c r="EF198" s="150">
        <f t="shared" si="576"/>
        <v>1.8846505589490277</v>
      </c>
      <c r="EG198" s="150">
        <f t="shared" si="577"/>
        <v>0.42127483082390033</v>
      </c>
      <c r="EH198" s="150"/>
      <c r="EI198" s="456">
        <f t="shared" si="578"/>
        <v>4.4990831238393848E-2</v>
      </c>
      <c r="EJ198" s="456">
        <f t="shared" si="579"/>
        <v>8.5500000000000007E-2</v>
      </c>
      <c r="EK198" s="456">
        <f t="shared" si="580"/>
        <v>8.7136461473794058E-3</v>
      </c>
      <c r="EL198" s="456">
        <f t="shared" si="581"/>
        <v>1.5063454367897728E-3</v>
      </c>
      <c r="EM198">
        <f t="shared" si="582"/>
        <v>4.0499999999999998E-3</v>
      </c>
      <c r="EN198" s="144">
        <f t="shared" si="583"/>
        <v>12.763646147379406</v>
      </c>
      <c r="EP198" s="144">
        <f t="shared" si="603"/>
        <v>144.76082282256303</v>
      </c>
      <c r="EQ198" s="150">
        <f t="shared" si="584"/>
        <v>0.73919999999999997</v>
      </c>
      <c r="ER198" s="150">
        <f t="shared" si="585"/>
        <v>9.762499999999999E-2</v>
      </c>
      <c r="ES198" s="456"/>
      <c r="EU198" s="144">
        <f t="shared" si="497"/>
        <v>836.82499999999993</v>
      </c>
      <c r="EV198" s="456">
        <f t="shared" si="586"/>
        <v>6.7486246857590762E-2</v>
      </c>
      <c r="EW198" s="456">
        <f t="shared" si="587"/>
        <v>0.10655723188040647</v>
      </c>
      <c r="EX198" s="456">
        <f t="shared" si="588"/>
        <v>8.873624154285293E-4</v>
      </c>
      <c r="EY198" s="456">
        <f t="shared" si="589"/>
        <v>7.2113564882065453E-2</v>
      </c>
      <c r="EZ198" s="456"/>
      <c r="FA198" s="538">
        <f t="shared" si="590"/>
        <v>1.2132426303854875E-3</v>
      </c>
      <c r="FB198" s="144">
        <f t="shared" si="613"/>
        <v>248.2576486658767</v>
      </c>
      <c r="FC198" s="150">
        <f t="shared" si="591"/>
        <v>1.2298434714884399</v>
      </c>
      <c r="FD198" s="5">
        <f t="shared" si="592"/>
        <v>7.04</v>
      </c>
      <c r="FE198" s="150">
        <f t="shared" si="593"/>
        <v>0.8512857618492401</v>
      </c>
      <c r="FF198" s="5">
        <f t="shared" si="594"/>
        <v>85.128576184924015</v>
      </c>
      <c r="FG198">
        <f t="shared" si="595"/>
        <v>88.000000000000014</v>
      </c>
      <c r="FI198" s="59">
        <f t="shared" si="596"/>
        <v>-50</v>
      </c>
      <c r="FJ198">
        <f t="shared" si="597"/>
        <v>-50</v>
      </c>
    </row>
    <row r="199" spans="5:166">
      <c r="E199" s="147">
        <v>89</v>
      </c>
      <c r="F199" s="188">
        <f t="shared" si="598"/>
        <v>1.0680000000000001</v>
      </c>
      <c r="G199" s="188">
        <f t="shared" si="499"/>
        <v>0.2225</v>
      </c>
      <c r="H199" s="188">
        <f t="shared" si="500"/>
        <v>5.34</v>
      </c>
      <c r="I199" s="188">
        <f t="shared" si="501"/>
        <v>1.78</v>
      </c>
      <c r="J199" s="465">
        <f t="shared" si="502"/>
        <v>8.8531788350032787</v>
      </c>
      <c r="K199" s="379">
        <f t="shared" si="503"/>
        <v>5.7560153242190779</v>
      </c>
      <c r="L199" s="149">
        <f t="shared" si="504"/>
        <v>14.609194159222357</v>
      </c>
      <c r="M199" s="379"/>
      <c r="N199" s="188">
        <f t="shared" si="505"/>
        <v>0.39399950890415636</v>
      </c>
      <c r="O199" s="149">
        <f t="shared" si="506"/>
        <v>6.5402777123099298</v>
      </c>
      <c r="P199" s="149">
        <f t="shared" si="507"/>
        <v>2.9067900943599687</v>
      </c>
      <c r="Q199" s="188">
        <f t="shared" si="508"/>
        <v>1.308055542461986</v>
      </c>
      <c r="R199" s="188">
        <f t="shared" si="509"/>
        <v>0.81753471403874123</v>
      </c>
      <c r="S199" s="188">
        <f t="shared" si="510"/>
        <v>5</v>
      </c>
      <c r="T199" s="188">
        <f t="shared" si="511"/>
        <v>4.0823954539034322</v>
      </c>
      <c r="U199" s="188">
        <f t="shared" si="512"/>
        <v>5.5334638958327389</v>
      </c>
      <c r="V199" s="188">
        <f t="shared" si="513"/>
        <v>8.5108782182555291</v>
      </c>
      <c r="W199" s="172">
        <f t="shared" si="514"/>
        <v>290.67900943599693</v>
      </c>
      <c r="X199" s="379">
        <f t="shared" si="599"/>
        <v>70.203312444381481</v>
      </c>
      <c r="Z199" s="188">
        <f t="shared" si="515"/>
        <v>1</v>
      </c>
      <c r="AA199" s="150">
        <f t="shared" si="516"/>
        <v>2.0847755476794267</v>
      </c>
      <c r="AB199" s="150">
        <f t="shared" si="517"/>
        <v>0.22725018416094145</v>
      </c>
      <c r="AC199" s="150"/>
      <c r="AD199" s="150">
        <f t="shared" si="518"/>
        <v>2.0847755476794267</v>
      </c>
      <c r="AE199" s="314">
        <f t="shared" si="519"/>
        <v>1024.5707277109959</v>
      </c>
      <c r="AF199" s="456">
        <f t="shared" si="520"/>
        <v>0.30300024554792182</v>
      </c>
      <c r="AH199" s="150">
        <f t="shared" si="521"/>
        <v>1.841324574993825</v>
      </c>
      <c r="AI199" s="150">
        <f t="shared" si="522"/>
        <v>4.0823954539034322</v>
      </c>
      <c r="AJ199" s="150">
        <f t="shared" si="523"/>
        <v>3.4832558917803205</v>
      </c>
      <c r="AL199" s="314">
        <f t="shared" si="524"/>
        <v>1068</v>
      </c>
      <c r="AM199" s="144">
        <f t="shared" si="525"/>
        <v>70.203312444381481</v>
      </c>
      <c r="AO199">
        <f t="shared" si="526"/>
        <v>1068</v>
      </c>
      <c r="AP199">
        <f t="shared" si="527"/>
        <v>70.203312444381481</v>
      </c>
      <c r="AR199" s="5">
        <f t="shared" si="616"/>
        <v>14.244342114088267</v>
      </c>
      <c r="AS199" s="5">
        <f t="shared" si="604"/>
        <v>5.5334638958327389</v>
      </c>
      <c r="AT199" s="5">
        <f t="shared" si="605"/>
        <v>8.7108782182555284</v>
      </c>
      <c r="AU199" s="150">
        <f t="shared" si="606"/>
        <v>0.38846749477885012</v>
      </c>
      <c r="AW199" s="5">
        <f t="shared" si="477"/>
        <v>118.19478881498729</v>
      </c>
      <c r="AX199" s="5">
        <f t="shared" si="478"/>
        <v>15.389946460284806</v>
      </c>
      <c r="AY199" s="5">
        <f t="shared" si="479"/>
        <v>2.1892367020745231</v>
      </c>
      <c r="AZ199" s="5"/>
      <c r="BA199" s="150">
        <f t="shared" si="480"/>
        <v>1.4690337948189698</v>
      </c>
      <c r="BB199" s="150">
        <f t="shared" si="481"/>
        <v>1.8431650107980693</v>
      </c>
      <c r="BC199" s="150">
        <f t="shared" si="482"/>
        <v>0.41200159064898023</v>
      </c>
      <c r="BD199" s="150"/>
      <c r="BE199" s="456">
        <f t="shared" si="483"/>
        <v>4.3161205806404458E-2</v>
      </c>
      <c r="BF199" s="456">
        <f t="shared" si="528"/>
        <v>7.8505522591600027E-2</v>
      </c>
      <c r="BG199" s="456">
        <f t="shared" si="529"/>
        <v>1.5538061996993011E-2</v>
      </c>
      <c r="BH199" s="456">
        <f t="shared" si="484"/>
        <v>1.498339145974082E-3</v>
      </c>
      <c r="BI199">
        <f t="shared" si="485"/>
        <v>3.9839304757514757E-3</v>
      </c>
      <c r="BJ199" s="144">
        <f t="shared" si="600"/>
        <v>19.521992472744486</v>
      </c>
      <c r="BK199">
        <f t="shared" si="530"/>
        <v>0.13621549699543009</v>
      </c>
      <c r="BL199" s="144">
        <f t="shared" si="601"/>
        <v>142.68706001672305</v>
      </c>
      <c r="BM199" s="150">
        <f t="shared" si="531"/>
        <v>0.66349500000000006</v>
      </c>
      <c r="BN199" s="150">
        <f t="shared" si="532"/>
        <v>0.13822812499999998</v>
      </c>
      <c r="BO199" s="456"/>
      <c r="BQ199" s="144">
        <f t="shared" si="486"/>
        <v>801.7231250000001</v>
      </c>
      <c r="BR199" s="456">
        <f t="shared" si="487"/>
        <v>6.4741808709606677E-2</v>
      </c>
      <c r="BS199" s="456">
        <f t="shared" si="488"/>
        <v>0.10191771771090739</v>
      </c>
      <c r="BT199" s="456">
        <f t="shared" si="489"/>
        <v>8.4872655348644944E-4</v>
      </c>
      <c r="BU199" s="456">
        <f t="shared" si="490"/>
        <v>6.9526712396841148E-2</v>
      </c>
      <c r="BV199" s="456"/>
      <c r="BW199" s="538">
        <f t="shared" si="533"/>
        <v>1.1700050805132001E-3</v>
      </c>
      <c r="BX199" s="144">
        <f t="shared" si="607"/>
        <v>238.20497045135488</v>
      </c>
      <c r="BY199" s="150">
        <f t="shared" si="608"/>
        <v>1.1826151554680779</v>
      </c>
      <c r="BZ199" s="5">
        <f t="shared" si="609"/>
        <v>7.12</v>
      </c>
      <c r="CA199" s="150">
        <f t="shared" si="610"/>
        <v>0.85756112582320387</v>
      </c>
      <c r="CB199" s="5">
        <f t="shared" si="611"/>
        <v>85.756112582320384</v>
      </c>
      <c r="CC199">
        <f t="shared" si="612"/>
        <v>89.000000000000014</v>
      </c>
      <c r="CE199" s="59">
        <f t="shared" si="534"/>
        <v>-50</v>
      </c>
      <c r="CF199">
        <f t="shared" si="535"/>
        <v>-50</v>
      </c>
      <c r="CG199" s="150">
        <f t="shared" si="536"/>
        <v>0.57198633493024875</v>
      </c>
      <c r="CH199" s="150">
        <f t="shared" si="537"/>
        <v>0.31031053622728105</v>
      </c>
      <c r="CI199" s="147">
        <v>89</v>
      </c>
      <c r="CJ199" s="188">
        <f t="shared" si="602"/>
        <v>1.0680000000000001</v>
      </c>
      <c r="CK199" s="188">
        <f t="shared" si="538"/>
        <v>0.2225</v>
      </c>
      <c r="CL199" s="188">
        <f t="shared" si="539"/>
        <v>5.34</v>
      </c>
      <c r="CM199" s="188">
        <f t="shared" si="540"/>
        <v>1.78</v>
      </c>
      <c r="CN199" s="465">
        <f t="shared" si="541"/>
        <v>9</v>
      </c>
      <c r="CO199" s="379">
        <f t="shared" si="542"/>
        <v>5.7</v>
      </c>
      <c r="CP199" s="379">
        <f t="shared" si="543"/>
        <v>14.7</v>
      </c>
      <c r="CQ199" s="379"/>
      <c r="CR199" s="188">
        <f t="shared" si="544"/>
        <v>0.375</v>
      </c>
      <c r="CS199" s="149">
        <f t="shared" si="545"/>
        <v>6.328125</v>
      </c>
      <c r="CT199" s="149">
        <f t="shared" si="546"/>
        <v>2.8125</v>
      </c>
      <c r="CU199" s="188">
        <f t="shared" si="547"/>
        <v>1.265625</v>
      </c>
      <c r="CV199" s="188">
        <f t="shared" si="548"/>
        <v>0.791015625</v>
      </c>
      <c r="CW199" s="188">
        <f t="shared" si="549"/>
        <v>5</v>
      </c>
      <c r="CX199" s="188">
        <f t="shared" si="550"/>
        <v>4.2192592592592595</v>
      </c>
      <c r="CY199" s="188">
        <f t="shared" si="551"/>
        <v>5.625679012345679</v>
      </c>
      <c r="CZ199" s="188">
        <f t="shared" si="552"/>
        <v>8.8826510721247569</v>
      </c>
      <c r="DA199" s="172">
        <f t="shared" si="553"/>
        <v>290.81632653061229</v>
      </c>
      <c r="DB199" s="379">
        <f t="shared" si="554"/>
        <v>68.925920087135964</v>
      </c>
      <c r="DD199" s="188">
        <f t="shared" si="555"/>
        <v>0.99999999999999978</v>
      </c>
      <c r="DE199" s="150">
        <f t="shared" si="556"/>
        <v>2.1052631578947363</v>
      </c>
      <c r="DF199" s="150">
        <f t="shared" si="557"/>
        <v>0.2295918367346938</v>
      </c>
      <c r="DG199" s="150"/>
      <c r="DH199" s="150">
        <f t="shared" si="558"/>
        <v>2.1052631578947367</v>
      </c>
      <c r="DI199" s="314">
        <f t="shared" si="559"/>
        <v>1014.6</v>
      </c>
      <c r="DJ199" s="456">
        <f t="shared" si="560"/>
        <v>0.3061224489795919</v>
      </c>
      <c r="DL199" s="150">
        <f t="shared" si="561"/>
        <v>1.841324574993825</v>
      </c>
      <c r="DM199" s="150">
        <f t="shared" si="562"/>
        <v>4.2192592592592595</v>
      </c>
      <c r="DN199" s="150">
        <f t="shared" si="563"/>
        <v>3.584636488340192</v>
      </c>
      <c r="DP199" s="314">
        <f t="shared" si="564"/>
        <v>1068</v>
      </c>
      <c r="DQ199" s="144">
        <f t="shared" si="565"/>
        <v>68.925920087135964</v>
      </c>
      <c r="DS199">
        <f t="shared" si="614"/>
        <v>1068</v>
      </c>
      <c r="DT199">
        <f t="shared" si="615"/>
        <v>68.925920087135964</v>
      </c>
      <c r="DV199" s="5">
        <f t="shared" si="568"/>
        <v>14.508330084470439</v>
      </c>
      <c r="DW199" s="5">
        <f t="shared" si="569"/>
        <v>5.625679012345679</v>
      </c>
      <c r="DX199" s="5">
        <f t="shared" si="570"/>
        <v>8.8826510721247587</v>
      </c>
      <c r="DY199" s="150">
        <f t="shared" si="571"/>
        <v>0.38775510204081626</v>
      </c>
      <c r="EA199" s="5">
        <f t="shared" si="572"/>
        <v>120.16450370370372</v>
      </c>
      <c r="EB199" s="5">
        <f t="shared" si="573"/>
        <v>15.646419753086422</v>
      </c>
      <c r="EC199" s="5">
        <f t="shared" si="574"/>
        <v>2.1959887372752869</v>
      </c>
      <c r="ED199" s="5"/>
      <c r="EE199" s="150">
        <f t="shared" si="575"/>
        <v>1.5168908974709767</v>
      </c>
      <c r="EF199" s="150">
        <f t="shared" si="576"/>
        <v>1.9060670425734487</v>
      </c>
      <c r="EG199" s="150">
        <f t="shared" si="577"/>
        <v>0.42606204481053556</v>
      </c>
      <c r="EH199" s="150"/>
      <c r="EI199" s="456">
        <f t="shared" si="578"/>
        <v>4.6019159896606106E-2</v>
      </c>
      <c r="EJ199" s="456">
        <f t="shared" si="579"/>
        <v>8.5499999999999979E-2</v>
      </c>
      <c r="EK199" s="456">
        <f t="shared" si="580"/>
        <v>8.6157400108919958E-3</v>
      </c>
      <c r="EL199" s="456">
        <f t="shared" si="581"/>
        <v>1.4894202071629209E-3</v>
      </c>
      <c r="EM199">
        <f t="shared" si="582"/>
        <v>4.0499999999999998E-3</v>
      </c>
      <c r="EN199" s="144">
        <f t="shared" si="583"/>
        <v>12.665740010891996</v>
      </c>
      <c r="EP199" s="144">
        <f t="shared" si="603"/>
        <v>145.67432011466099</v>
      </c>
      <c r="EQ199" s="150">
        <f t="shared" si="584"/>
        <v>0.74760000000000004</v>
      </c>
      <c r="ER199" s="150">
        <f t="shared" si="585"/>
        <v>9.8734374999999999E-2</v>
      </c>
      <c r="ES199" s="456"/>
      <c r="EU199" s="144">
        <f t="shared" si="497"/>
        <v>846.33437500000014</v>
      </c>
      <c r="EV199" s="456">
        <f t="shared" si="586"/>
        <v>6.9028739844909148E-2</v>
      </c>
      <c r="EW199" s="456">
        <f t="shared" si="587"/>
        <v>0.10899274712354079</v>
      </c>
      <c r="EX199" s="456">
        <f t="shared" si="588"/>
        <v>9.0764433014067412E-4</v>
      </c>
      <c r="EY199" s="456">
        <f t="shared" si="589"/>
        <v>7.2113564882065426E-2</v>
      </c>
      <c r="EZ199" s="456"/>
      <c r="FA199" s="538">
        <f t="shared" si="590"/>
        <v>1.2270294784580498E-3</v>
      </c>
      <c r="FB199" s="144">
        <f t="shared" si="613"/>
        <v>252.2697256591141</v>
      </c>
      <c r="FC199" s="150">
        <f t="shared" si="591"/>
        <v>1.2442784207737749</v>
      </c>
      <c r="FD199" s="5">
        <f t="shared" si="592"/>
        <v>7.12</v>
      </c>
      <c r="FE199" s="150">
        <f t="shared" si="593"/>
        <v>0.85123900016486209</v>
      </c>
      <c r="FF199" s="5">
        <f t="shared" si="594"/>
        <v>85.123900016486203</v>
      </c>
      <c r="FG199">
        <f t="shared" si="595"/>
        <v>89.000000000000014</v>
      </c>
      <c r="FI199" s="59">
        <f t="shared" si="596"/>
        <v>-50</v>
      </c>
      <c r="FJ199">
        <f t="shared" si="597"/>
        <v>-50</v>
      </c>
    </row>
    <row r="200" spans="5:166">
      <c r="E200" s="147">
        <v>90</v>
      </c>
      <c r="F200" s="188">
        <f t="shared" si="598"/>
        <v>1.08</v>
      </c>
      <c r="G200" s="188">
        <f t="shared" si="499"/>
        <v>0.22500000000000001</v>
      </c>
      <c r="H200" s="188">
        <f t="shared" si="500"/>
        <v>5.4</v>
      </c>
      <c r="I200" s="188">
        <f t="shared" si="501"/>
        <v>1.8</v>
      </c>
      <c r="J200" s="465">
        <f t="shared" si="502"/>
        <v>8.8515291589920793</v>
      </c>
      <c r="K200" s="379">
        <f t="shared" si="503"/>
        <v>5.7566447098844611</v>
      </c>
      <c r="L200" s="149">
        <f t="shared" si="504"/>
        <v>14.608173868876541</v>
      </c>
      <c r="M200" s="379"/>
      <c r="N200" s="188">
        <f t="shared" si="505"/>
        <v>0.39407011181248919</v>
      </c>
      <c r="O200" s="149">
        <f t="shared" si="506"/>
        <v>6.5402307851165951</v>
      </c>
      <c r="P200" s="149">
        <f t="shared" si="507"/>
        <v>2.9067692378295975</v>
      </c>
      <c r="Q200" s="188">
        <f t="shared" si="508"/>
        <v>1.3080461570233191</v>
      </c>
      <c r="R200" s="188">
        <f t="shared" si="509"/>
        <v>0.81752884813957438</v>
      </c>
      <c r="S200" s="188">
        <f t="shared" si="510"/>
        <v>5</v>
      </c>
      <c r="T200" s="188">
        <f t="shared" si="511"/>
        <v>4.128294686701742</v>
      </c>
      <c r="U200" s="188">
        <f t="shared" si="512"/>
        <v>5.5967206739747057</v>
      </c>
      <c r="V200" s="188">
        <f t="shared" si="513"/>
        <v>8.6056268429001577</v>
      </c>
      <c r="W200" s="172">
        <f t="shared" si="514"/>
        <v>290.6769237829597</v>
      </c>
      <c r="X200" s="379">
        <f t="shared" si="599"/>
        <v>69.433125317128031</v>
      </c>
      <c r="Z200" s="188">
        <f t="shared" si="515"/>
        <v>1</v>
      </c>
      <c r="AA200" s="150">
        <f t="shared" si="516"/>
        <v>2.0845476149319011</v>
      </c>
      <c r="AB200" s="150">
        <f t="shared" si="517"/>
        <v>0.22722370807031647</v>
      </c>
      <c r="AC200" s="150"/>
      <c r="AD200" s="150">
        <f t="shared" si="518"/>
        <v>2.0845476149319011</v>
      </c>
      <c r="AE200" s="314">
        <f t="shared" si="519"/>
        <v>1036.1960477792031</v>
      </c>
      <c r="AF200" s="456">
        <f t="shared" si="520"/>
        <v>0.30296494409375535</v>
      </c>
      <c r="AH200" s="150">
        <f t="shared" si="521"/>
        <v>1.8516401995451028</v>
      </c>
      <c r="AI200" s="150">
        <f t="shared" si="522"/>
        <v>4.128294686701742</v>
      </c>
      <c r="AJ200" s="150">
        <f t="shared" si="523"/>
        <v>3.5172553234827717</v>
      </c>
      <c r="AL200" s="314">
        <f t="shared" si="524"/>
        <v>1080</v>
      </c>
      <c r="AM200" s="144">
        <f t="shared" si="525"/>
        <v>69.433125317128031</v>
      </c>
      <c r="AO200">
        <f t="shared" si="526"/>
        <v>1080</v>
      </c>
      <c r="AP200">
        <f t="shared" si="527"/>
        <v>69.433125317128031</v>
      </c>
      <c r="AR200" s="5">
        <f t="shared" si="616"/>
        <v>14.402347516874862</v>
      </c>
      <c r="AS200" s="5">
        <f t="shared" si="604"/>
        <v>5.5967206739747057</v>
      </c>
      <c r="AT200" s="5">
        <f t="shared" si="605"/>
        <v>8.805626842900157</v>
      </c>
      <c r="AU200" s="150">
        <f t="shared" si="606"/>
        <v>0.38859780792104698</v>
      </c>
      <c r="AW200" s="5">
        <f t="shared" si="477"/>
        <v>120.88916655785364</v>
      </c>
      <c r="AX200" s="5">
        <f t="shared" si="478"/>
        <v>15.740776895553859</v>
      </c>
      <c r="AY200" s="5">
        <f t="shared" si="479"/>
        <v>2.2383319357196143</v>
      </c>
      <c r="AZ200" s="5"/>
      <c r="BA200" s="150">
        <f t="shared" si="480"/>
        <v>1.4857995978449445</v>
      </c>
      <c r="BB200" s="150">
        <f t="shared" si="481"/>
        <v>1.8636895025174516</v>
      </c>
      <c r="BC200" s="150">
        <f t="shared" si="482"/>
        <v>0.41658941820978335</v>
      </c>
      <c r="BD200" s="150"/>
      <c r="BE200" s="456">
        <f t="shared" si="483"/>
        <v>4.4152008899123976E-2</v>
      </c>
      <c r="BF200" s="456">
        <f t="shared" si="528"/>
        <v>7.8511740657171869E-2</v>
      </c>
      <c r="BG200" s="456">
        <f t="shared" si="529"/>
        <v>1.5364733333612749E-2</v>
      </c>
      <c r="BH200" s="456">
        <f t="shared" si="484"/>
        <v>1.4816941719625468E-3</v>
      </c>
      <c r="BI200">
        <f t="shared" si="485"/>
        <v>3.9831881215464356E-3</v>
      </c>
      <c r="BJ200" s="144">
        <f t="shared" si="600"/>
        <v>19.347921455159184</v>
      </c>
      <c r="BK200">
        <f t="shared" si="530"/>
        <v>0.13750902695922834</v>
      </c>
      <c r="BL200" s="144">
        <f t="shared" si="601"/>
        <v>143.49336518341758</v>
      </c>
      <c r="BM200" s="150">
        <f t="shared" si="531"/>
        <v>0.67094999999999994</v>
      </c>
      <c r="BN200" s="150">
        <f t="shared" si="532"/>
        <v>0.13978125</v>
      </c>
      <c r="BO200" s="456"/>
      <c r="BQ200" s="144">
        <f t="shared" si="486"/>
        <v>810.73124999999993</v>
      </c>
      <c r="BR200" s="456">
        <f t="shared" si="487"/>
        <v>6.6228013348685957E-2</v>
      </c>
      <c r="BS200" s="456">
        <f t="shared" si="488"/>
        <v>0.10420015685381238</v>
      </c>
      <c r="BT200" s="456">
        <f t="shared" si="489"/>
        <v>8.6773371682182887E-4</v>
      </c>
      <c r="BU200" s="456">
        <f t="shared" si="490"/>
        <v>6.9552623516010936E-2</v>
      </c>
      <c r="BV200" s="456"/>
      <c r="BW200" s="538">
        <f t="shared" si="533"/>
        <v>1.1833360499238894E-3</v>
      </c>
      <c r="BX200" s="144">
        <f t="shared" si="607"/>
        <v>242.031863485255</v>
      </c>
      <c r="BY200" s="150">
        <f t="shared" si="608"/>
        <v>1.1962564786686725</v>
      </c>
      <c r="BZ200" s="5">
        <f t="shared" si="609"/>
        <v>7.2</v>
      </c>
      <c r="CA200" s="150">
        <f t="shared" si="610"/>
        <v>0.85752501942885473</v>
      </c>
      <c r="CB200" s="5">
        <f t="shared" si="611"/>
        <v>85.752501942885473</v>
      </c>
      <c r="CC200">
        <f t="shared" si="612"/>
        <v>90.000000000000014</v>
      </c>
      <c r="CE200" s="59">
        <f t="shared" si="534"/>
        <v>-50</v>
      </c>
      <c r="CF200">
        <f t="shared" si="535"/>
        <v>-50</v>
      </c>
      <c r="CG200" s="150">
        <f t="shared" si="536"/>
        <v>0.57198633493024886</v>
      </c>
      <c r="CH200" s="150">
        <f t="shared" si="537"/>
        <v>0.31031053622728111</v>
      </c>
      <c r="CI200" s="147">
        <v>90</v>
      </c>
      <c r="CJ200" s="188">
        <f t="shared" si="602"/>
        <v>1.08</v>
      </c>
      <c r="CK200" s="188">
        <f t="shared" si="538"/>
        <v>0.22500000000000001</v>
      </c>
      <c r="CL200" s="188">
        <f t="shared" si="539"/>
        <v>5.4</v>
      </c>
      <c r="CM200" s="188">
        <f t="shared" si="540"/>
        <v>1.8</v>
      </c>
      <c r="CN200" s="465">
        <f t="shared" si="541"/>
        <v>9</v>
      </c>
      <c r="CO200" s="379">
        <f t="shared" si="542"/>
        <v>5.7</v>
      </c>
      <c r="CP200" s="379">
        <f t="shared" si="543"/>
        <v>14.7</v>
      </c>
      <c r="CQ200" s="379"/>
      <c r="CR200" s="188">
        <f t="shared" si="544"/>
        <v>0.375</v>
      </c>
      <c r="CS200" s="149">
        <f t="shared" si="545"/>
        <v>6.328125</v>
      </c>
      <c r="CT200" s="149">
        <f t="shared" si="546"/>
        <v>2.8125</v>
      </c>
      <c r="CU200" s="188">
        <f t="shared" si="547"/>
        <v>1.265625</v>
      </c>
      <c r="CV200" s="188">
        <f t="shared" si="548"/>
        <v>0.791015625</v>
      </c>
      <c r="CW200" s="188">
        <f t="shared" si="549"/>
        <v>5</v>
      </c>
      <c r="CX200" s="188">
        <f t="shared" si="550"/>
        <v>4.2666666666666666</v>
      </c>
      <c r="CY200" s="188">
        <f t="shared" si="551"/>
        <v>5.6888888888888882</v>
      </c>
      <c r="CZ200" s="188">
        <f t="shared" si="552"/>
        <v>8.9824561403508767</v>
      </c>
      <c r="DA200" s="172">
        <f t="shared" si="553"/>
        <v>290.81632653061229</v>
      </c>
      <c r="DB200" s="379">
        <f t="shared" si="554"/>
        <v>68.160076530612244</v>
      </c>
      <c r="DD200" s="188">
        <f t="shared" si="555"/>
        <v>0.99999999999999978</v>
      </c>
      <c r="DE200" s="150">
        <f t="shared" si="556"/>
        <v>2.1052631578947363</v>
      </c>
      <c r="DF200" s="150">
        <f t="shared" si="557"/>
        <v>0.2295918367346938</v>
      </c>
      <c r="DG200" s="150"/>
      <c r="DH200" s="150">
        <f t="shared" si="558"/>
        <v>2.1052631578947367</v>
      </c>
      <c r="DI200" s="314">
        <f t="shared" si="559"/>
        <v>1026.0000000000002</v>
      </c>
      <c r="DJ200" s="456">
        <f t="shared" si="560"/>
        <v>0.3061224489795919</v>
      </c>
      <c r="DL200" s="150">
        <f t="shared" si="561"/>
        <v>1.8516401995451028</v>
      </c>
      <c r="DM200" s="150">
        <f t="shared" si="562"/>
        <v>4.2666666666666666</v>
      </c>
      <c r="DN200" s="150">
        <f t="shared" si="563"/>
        <v>3.6197530864197534</v>
      </c>
      <c r="DP200" s="314">
        <f t="shared" si="564"/>
        <v>1080</v>
      </c>
      <c r="DQ200" s="144">
        <f t="shared" si="565"/>
        <v>68.160076530612244</v>
      </c>
      <c r="DS200">
        <f t="shared" si="614"/>
        <v>1080</v>
      </c>
      <c r="DT200">
        <f t="shared" si="615"/>
        <v>68.160076530612244</v>
      </c>
      <c r="DV200" s="5">
        <f t="shared" si="568"/>
        <v>14.671345029239765</v>
      </c>
      <c r="DW200" s="5">
        <f t="shared" si="569"/>
        <v>5.6888888888888882</v>
      </c>
      <c r="DX200" s="5">
        <f t="shared" si="570"/>
        <v>8.9824561403508767</v>
      </c>
      <c r="DY200" s="150">
        <f t="shared" si="571"/>
        <v>0.38775510204081631</v>
      </c>
      <c r="EA200" s="5">
        <f t="shared" si="572"/>
        <v>122.88</v>
      </c>
      <c r="EB200" s="5">
        <f t="shared" si="573"/>
        <v>15.999999999999996</v>
      </c>
      <c r="EC200" s="5">
        <f t="shared" si="574"/>
        <v>2.2456140350877192</v>
      </c>
      <c r="ED200" s="5"/>
      <c r="EE200" s="150">
        <f t="shared" si="575"/>
        <v>1.533934615420089</v>
      </c>
      <c r="EF200" s="150">
        <f t="shared" si="576"/>
        <v>1.9274835261978693</v>
      </c>
      <c r="EG200" s="150">
        <f t="shared" si="577"/>
        <v>0.43084925879717084</v>
      </c>
      <c r="EH200" s="150"/>
      <c r="EI200" s="456">
        <f t="shared" si="578"/>
        <v>4.7059108087679526E-2</v>
      </c>
      <c r="EJ200" s="456">
        <f t="shared" si="579"/>
        <v>8.5500000000000007E-2</v>
      </c>
      <c r="EK200" s="456">
        <f t="shared" si="580"/>
        <v>8.5200095663265293E-3</v>
      </c>
      <c r="EL200" s="456">
        <f t="shared" si="581"/>
        <v>1.4728710937499999E-3</v>
      </c>
      <c r="EM200">
        <f t="shared" si="582"/>
        <v>4.0499999999999998E-3</v>
      </c>
      <c r="EN200" s="144">
        <f t="shared" si="583"/>
        <v>12.570009566326529</v>
      </c>
      <c r="EP200" s="144">
        <f t="shared" si="603"/>
        <v>146.60198874775608</v>
      </c>
      <c r="EQ200" s="150">
        <f t="shared" si="584"/>
        <v>0.75600000000000001</v>
      </c>
      <c r="ER200" s="150">
        <f t="shared" si="585"/>
        <v>9.9843749999999995E-2</v>
      </c>
      <c r="ES200" s="456"/>
      <c r="EU200" s="144">
        <f t="shared" si="497"/>
        <v>855.84375</v>
      </c>
      <c r="EV200" s="456">
        <f t="shared" si="586"/>
        <v>7.0588662131519278E-2</v>
      </c>
      <c r="EW200" s="456">
        <f t="shared" si="587"/>
        <v>0.11145578231292518</v>
      </c>
      <c r="EX200" s="456">
        <f t="shared" si="588"/>
        <v>9.2815541903035746E-4</v>
      </c>
      <c r="EY200" s="456">
        <f t="shared" si="589"/>
        <v>7.2113564882065578E-2</v>
      </c>
      <c r="EZ200" s="456"/>
      <c r="FA200" s="538">
        <f t="shared" si="590"/>
        <v>1.2408163265306123E-3</v>
      </c>
      <c r="FB200" s="144">
        <f t="shared" si="613"/>
        <v>256.32698107207096</v>
      </c>
      <c r="FC200" s="150">
        <f t="shared" si="591"/>
        <v>1.2587727198198271</v>
      </c>
      <c r="FD200" s="5">
        <f t="shared" si="592"/>
        <v>7.2</v>
      </c>
      <c r="FE200" s="150">
        <f t="shared" si="593"/>
        <v>0.8511873103209896</v>
      </c>
      <c r="FF200" s="5">
        <f t="shared" si="594"/>
        <v>85.118731032098964</v>
      </c>
      <c r="FG200">
        <f t="shared" si="595"/>
        <v>90.000000000000014</v>
      </c>
      <c r="FI200" s="59">
        <f t="shared" si="596"/>
        <v>-50</v>
      </c>
      <c r="FJ200">
        <f t="shared" si="597"/>
        <v>-50</v>
      </c>
    </row>
    <row r="201" spans="5:166">
      <c r="E201" s="147">
        <v>91</v>
      </c>
      <c r="F201" s="188">
        <f t="shared" si="598"/>
        <v>1.0920000000000001</v>
      </c>
      <c r="G201" s="188">
        <f t="shared" si="499"/>
        <v>0.22750000000000001</v>
      </c>
      <c r="H201" s="188">
        <f t="shared" si="500"/>
        <v>5.4600000000000009</v>
      </c>
      <c r="I201" s="188">
        <f t="shared" si="501"/>
        <v>1.82</v>
      </c>
      <c r="J201" s="465">
        <f t="shared" si="502"/>
        <v>8.8498794829808798</v>
      </c>
      <c r="K201" s="379">
        <f t="shared" si="503"/>
        <v>5.7572740955498443</v>
      </c>
      <c r="L201" s="149">
        <f t="shared" si="504"/>
        <v>14.607153578530724</v>
      </c>
      <c r="M201" s="379"/>
      <c r="N201" s="188">
        <f t="shared" si="505"/>
        <v>0.39414072458386146</v>
      </c>
      <c r="O201" s="149">
        <f t="shared" si="506"/>
        <v>6.5401835848161243</v>
      </c>
      <c r="P201" s="149">
        <f t="shared" si="507"/>
        <v>2.9067482599182775</v>
      </c>
      <c r="Q201" s="188">
        <f t="shared" si="508"/>
        <v>1.3080367169632248</v>
      </c>
      <c r="R201" s="188">
        <f t="shared" si="509"/>
        <v>0.81752294810201553</v>
      </c>
      <c r="S201" s="188">
        <f t="shared" si="510"/>
        <v>5</v>
      </c>
      <c r="T201" s="188">
        <f t="shared" si="511"/>
        <v>4.1741947524807186</v>
      </c>
      <c r="U201" s="188">
        <f t="shared" si="512"/>
        <v>5.6600021645601934</v>
      </c>
      <c r="V201" s="188">
        <f t="shared" si="513"/>
        <v>8.7003564878883495</v>
      </c>
      <c r="W201" s="172">
        <f t="shared" si="514"/>
        <v>290.67482599182779</v>
      </c>
      <c r="X201" s="379">
        <f t="shared" si="599"/>
        <v>68.679626915085294</v>
      </c>
      <c r="Z201" s="188">
        <f t="shared" si="515"/>
        <v>1</v>
      </c>
      <c r="AA201" s="150">
        <f t="shared" si="516"/>
        <v>2.0843197320196283</v>
      </c>
      <c r="AB201" s="150">
        <f t="shared" si="517"/>
        <v>0.22719722828105193</v>
      </c>
      <c r="AC201" s="150"/>
      <c r="AD201" s="150">
        <f t="shared" si="518"/>
        <v>2.0843197320196283</v>
      </c>
      <c r="AE201" s="314">
        <f t="shared" si="519"/>
        <v>1047.8238853900718</v>
      </c>
      <c r="AF201" s="456">
        <f t="shared" si="520"/>
        <v>0.3029296377080693</v>
      </c>
      <c r="AH201" s="150">
        <f t="shared" si="521"/>
        <v>1.8618986725025257</v>
      </c>
      <c r="AI201" s="150">
        <f t="shared" si="522"/>
        <v>4.1741947524807186</v>
      </c>
      <c r="AJ201" s="150">
        <f t="shared" si="523"/>
        <v>3.5512553722079394</v>
      </c>
      <c r="AL201" s="314">
        <f t="shared" si="524"/>
        <v>1092</v>
      </c>
      <c r="AM201" s="144">
        <f t="shared" si="525"/>
        <v>68.679626915085294</v>
      </c>
      <c r="AO201">
        <f t="shared" si="526"/>
        <v>1092</v>
      </c>
      <c r="AP201">
        <f t="shared" si="527"/>
        <v>68.679626915085294</v>
      </c>
      <c r="AR201" s="5">
        <f t="shared" si="616"/>
        <v>14.560358652448544</v>
      </c>
      <c r="AS201" s="5">
        <f t="shared" si="604"/>
        <v>5.6600021645601934</v>
      </c>
      <c r="AT201" s="5">
        <f t="shared" si="605"/>
        <v>8.9003564878883505</v>
      </c>
      <c r="AU201" s="150">
        <f t="shared" si="606"/>
        <v>0.38872683700056926</v>
      </c>
      <c r="AW201" s="5">
        <f t="shared" si="477"/>
        <v>123.61444727399463</v>
      </c>
      <c r="AX201" s="5">
        <f t="shared" si="478"/>
        <v>16.095631155468052</v>
      </c>
      <c r="AY201" s="5">
        <f t="shared" si="479"/>
        <v>2.2879759039527414</v>
      </c>
      <c r="AZ201" s="5"/>
      <c r="BA201" s="150">
        <f t="shared" si="480"/>
        <v>1.502568716922335</v>
      </c>
      <c r="BB201" s="150">
        <f t="shared" si="481"/>
        <v>1.884211911685862</v>
      </c>
      <c r="BC201" s="150">
        <f t="shared" si="482"/>
        <v>0.4211767802591927</v>
      </c>
      <c r="BD201" s="150"/>
      <c r="BE201" s="456">
        <f t="shared" si="483"/>
        <v>4.5154254981472644E-2</v>
      </c>
      <c r="BF201" s="456">
        <f t="shared" si="528"/>
        <v>7.8517687911566339E-2</v>
      </c>
      <c r="BG201" s="456">
        <f t="shared" si="529"/>
        <v>1.5195160528364868E-2</v>
      </c>
      <c r="BH201" s="456">
        <f t="shared" si="484"/>
        <v>1.4654098896863489E-3</v>
      </c>
      <c r="BI201">
        <f t="shared" si="485"/>
        <v>3.9824457673413955E-3</v>
      </c>
      <c r="BJ201" s="144">
        <f t="shared" si="600"/>
        <v>19.177606295706266</v>
      </c>
      <c r="BK201">
        <f t="shared" si="530"/>
        <v>0.13881833509508221</v>
      </c>
      <c r="BL201" s="144">
        <f t="shared" si="601"/>
        <v>144.3149590784316</v>
      </c>
      <c r="BM201" s="150">
        <f t="shared" si="531"/>
        <v>0.67840499999999992</v>
      </c>
      <c r="BN201" s="150">
        <f t="shared" si="532"/>
        <v>0.14133437499999998</v>
      </c>
      <c r="BO201" s="456"/>
      <c r="BQ201" s="144">
        <f t="shared" si="486"/>
        <v>819.73937499999988</v>
      </c>
      <c r="BR201" s="456">
        <f t="shared" si="487"/>
        <v>6.7731382472208959E-2</v>
      </c>
      <c r="BS201" s="456">
        <f t="shared" si="488"/>
        <v>0.10650763584416671</v>
      </c>
      <c r="BT201" s="456">
        <f t="shared" si="489"/>
        <v>8.8694940114750144E-4</v>
      </c>
      <c r="BU201" s="456">
        <f t="shared" si="490"/>
        <v>6.9577944103648703E-2</v>
      </c>
      <c r="BV201" s="456"/>
      <c r="BW201" s="538">
        <f t="shared" si="533"/>
        <v>1.1966670772019397E-3</v>
      </c>
      <c r="BX201" s="144">
        <f t="shared" si="607"/>
        <v>245.90057889837382</v>
      </c>
      <c r="BY201" s="150">
        <f t="shared" si="608"/>
        <v>1.2099549129768052</v>
      </c>
      <c r="BZ201" s="5">
        <f t="shared" si="609"/>
        <v>7.2800000000000011</v>
      </c>
      <c r="CA201" s="150">
        <f t="shared" si="610"/>
        <v>0.85748394127189043</v>
      </c>
      <c r="CB201" s="5">
        <f t="shared" si="611"/>
        <v>85.748394127189044</v>
      </c>
      <c r="CC201">
        <f t="shared" si="612"/>
        <v>91.000000000000014</v>
      </c>
      <c r="CE201" s="59">
        <f t="shared" si="534"/>
        <v>-50</v>
      </c>
      <c r="CF201">
        <f t="shared" si="535"/>
        <v>-50</v>
      </c>
      <c r="CG201" s="150">
        <f t="shared" si="536"/>
        <v>0.57198633493024886</v>
      </c>
      <c r="CH201" s="150">
        <f t="shared" si="537"/>
        <v>0.31031053622728111</v>
      </c>
      <c r="CI201" s="147">
        <v>91</v>
      </c>
      <c r="CJ201" s="188">
        <f t="shared" si="602"/>
        <v>1.0920000000000001</v>
      </c>
      <c r="CK201" s="188">
        <f t="shared" si="538"/>
        <v>0.22750000000000001</v>
      </c>
      <c r="CL201" s="188">
        <f t="shared" si="539"/>
        <v>5.4600000000000009</v>
      </c>
      <c r="CM201" s="188">
        <f t="shared" si="540"/>
        <v>1.82</v>
      </c>
      <c r="CN201" s="465">
        <f t="shared" si="541"/>
        <v>9</v>
      </c>
      <c r="CO201" s="379">
        <f t="shared" si="542"/>
        <v>5.7</v>
      </c>
      <c r="CP201" s="379">
        <f t="shared" si="543"/>
        <v>14.7</v>
      </c>
      <c r="CQ201" s="379"/>
      <c r="CR201" s="188">
        <f t="shared" si="544"/>
        <v>0.375</v>
      </c>
      <c r="CS201" s="149">
        <f t="shared" si="545"/>
        <v>6.328125</v>
      </c>
      <c r="CT201" s="149">
        <f t="shared" si="546"/>
        <v>2.8125</v>
      </c>
      <c r="CU201" s="188">
        <f t="shared" si="547"/>
        <v>1.265625</v>
      </c>
      <c r="CV201" s="188">
        <f t="shared" si="548"/>
        <v>0.791015625</v>
      </c>
      <c r="CW201" s="188">
        <f t="shared" si="549"/>
        <v>5</v>
      </c>
      <c r="CX201" s="188">
        <f t="shared" si="550"/>
        <v>4.3140740740740746</v>
      </c>
      <c r="CY201" s="188">
        <f t="shared" si="551"/>
        <v>5.7520987654320992</v>
      </c>
      <c r="CZ201" s="188">
        <f t="shared" si="552"/>
        <v>9.0822612085769983</v>
      </c>
      <c r="DA201" s="172">
        <f t="shared" si="553"/>
        <v>290.81632653061229</v>
      </c>
      <c r="DB201" s="379">
        <f t="shared" si="554"/>
        <v>67.411064700605522</v>
      </c>
      <c r="DD201" s="188">
        <f t="shared" si="555"/>
        <v>0.99999999999999978</v>
      </c>
      <c r="DE201" s="150">
        <f t="shared" si="556"/>
        <v>2.1052631578947363</v>
      </c>
      <c r="DF201" s="150">
        <f t="shared" si="557"/>
        <v>0.2295918367346938</v>
      </c>
      <c r="DG201" s="150"/>
      <c r="DH201" s="150">
        <f t="shared" si="558"/>
        <v>2.1052631578947367</v>
      </c>
      <c r="DI201" s="314">
        <f t="shared" si="559"/>
        <v>1037.4000000000003</v>
      </c>
      <c r="DJ201" s="456">
        <f t="shared" si="560"/>
        <v>0.3061224489795919</v>
      </c>
      <c r="DL201" s="150">
        <f t="shared" si="561"/>
        <v>1.8618986725025257</v>
      </c>
      <c r="DM201" s="150">
        <f t="shared" si="562"/>
        <v>4.3140740740740746</v>
      </c>
      <c r="DN201" s="150">
        <f t="shared" si="563"/>
        <v>3.6548696844993147</v>
      </c>
      <c r="DP201" s="314">
        <f t="shared" si="564"/>
        <v>1092</v>
      </c>
      <c r="DQ201" s="144">
        <f t="shared" si="565"/>
        <v>67.411064700605522</v>
      </c>
      <c r="DS201">
        <f t="shared" si="614"/>
        <v>1092</v>
      </c>
      <c r="DT201">
        <f t="shared" si="615"/>
        <v>67.411064700605522</v>
      </c>
      <c r="DV201" s="5">
        <f t="shared" si="568"/>
        <v>14.834359974009097</v>
      </c>
      <c r="DW201" s="5">
        <f t="shared" si="569"/>
        <v>5.7520987654320992</v>
      </c>
      <c r="DX201" s="5">
        <f t="shared" si="570"/>
        <v>9.0822612085769983</v>
      </c>
      <c r="DY201" s="150">
        <f t="shared" si="571"/>
        <v>0.38775510204081637</v>
      </c>
      <c r="EA201" s="5">
        <f t="shared" si="572"/>
        <v>125.62583703703706</v>
      </c>
      <c r="EB201" s="5">
        <f t="shared" si="573"/>
        <v>16.357530864197535</v>
      </c>
      <c r="EC201" s="5">
        <f t="shared" si="574"/>
        <v>2.295793805501408</v>
      </c>
      <c r="ED201" s="5"/>
      <c r="EE201" s="150">
        <f t="shared" si="575"/>
        <v>1.5509783333692013</v>
      </c>
      <c r="EF201" s="150">
        <f t="shared" si="576"/>
        <v>1.9489000098222904</v>
      </c>
      <c r="EG201" s="150">
        <f t="shared" si="577"/>
        <v>0.43563647278380607</v>
      </c>
      <c r="EH201" s="150"/>
      <c r="EI201" s="456">
        <f t="shared" si="578"/>
        <v>4.8110675811614108E-2</v>
      </c>
      <c r="EJ201" s="456">
        <f t="shared" si="579"/>
        <v>8.550000000000002E-2</v>
      </c>
      <c r="EK201" s="456">
        <f t="shared" si="580"/>
        <v>8.4263830875756906E-3</v>
      </c>
      <c r="EL201" s="456">
        <f t="shared" si="581"/>
        <v>1.4566856971153846E-3</v>
      </c>
      <c r="EM201">
        <f t="shared" si="582"/>
        <v>4.0499999999999998E-3</v>
      </c>
      <c r="EN201" s="144">
        <f t="shared" si="583"/>
        <v>12.476383087575691</v>
      </c>
      <c r="EP201" s="144">
        <f t="shared" si="603"/>
        <v>147.54374459630517</v>
      </c>
      <c r="EQ201" s="150">
        <f t="shared" si="584"/>
        <v>0.76439999999999997</v>
      </c>
      <c r="ER201" s="150">
        <f t="shared" si="585"/>
        <v>0.100953125</v>
      </c>
      <c r="ES201" s="456"/>
      <c r="EU201" s="144">
        <f t="shared" si="497"/>
        <v>865.35312499999998</v>
      </c>
      <c r="EV201" s="456">
        <f t="shared" si="586"/>
        <v>7.2166013717421165E-2</v>
      </c>
      <c r="EW201" s="456">
        <f t="shared" si="587"/>
        <v>0.1139463374485597</v>
      </c>
      <c r="EX201" s="456">
        <f t="shared" si="588"/>
        <v>9.48895682097579E-4</v>
      </c>
      <c r="EY201" s="456">
        <f t="shared" si="589"/>
        <v>7.2113564882065564E-2</v>
      </c>
      <c r="EZ201" s="456"/>
      <c r="FA201" s="538">
        <f t="shared" si="590"/>
        <v>1.254603174603175E-3</v>
      </c>
      <c r="FB201" s="144">
        <f t="shared" si="613"/>
        <v>260.4294149047472</v>
      </c>
      <c r="FC201" s="150">
        <f t="shared" si="591"/>
        <v>1.2733262845010525</v>
      </c>
      <c r="FD201" s="5">
        <f t="shared" si="592"/>
        <v>7.2800000000000011</v>
      </c>
      <c r="FE201" s="150">
        <f t="shared" si="593"/>
        <v>0.85113086509883673</v>
      </c>
      <c r="FF201" s="5">
        <f t="shared" si="594"/>
        <v>85.113086509883672</v>
      </c>
      <c r="FG201">
        <f t="shared" si="595"/>
        <v>91.000000000000014</v>
      </c>
      <c r="FI201" s="59">
        <f t="shared" si="596"/>
        <v>-50</v>
      </c>
      <c r="FJ201">
        <f t="shared" si="597"/>
        <v>-50</v>
      </c>
    </row>
    <row r="202" spans="5:166">
      <c r="E202" s="147">
        <v>92</v>
      </c>
      <c r="F202" s="188">
        <f t="shared" si="598"/>
        <v>1.1040000000000001</v>
      </c>
      <c r="G202" s="188">
        <f t="shared" si="499"/>
        <v>0.23</v>
      </c>
      <c r="H202" s="188">
        <f t="shared" si="500"/>
        <v>5.5200000000000005</v>
      </c>
      <c r="I202" s="188">
        <f t="shared" si="501"/>
        <v>1.84</v>
      </c>
      <c r="J202" s="465">
        <f t="shared" si="502"/>
        <v>8.8482298069696803</v>
      </c>
      <c r="K202" s="379">
        <f t="shared" si="503"/>
        <v>5.7579034812152265</v>
      </c>
      <c r="L202" s="149">
        <f t="shared" si="504"/>
        <v>14.606133288184907</v>
      </c>
      <c r="M202" s="379"/>
      <c r="N202" s="188">
        <f t="shared" si="505"/>
        <v>0.39421134722034001</v>
      </c>
      <c r="O202" s="149">
        <f t="shared" si="506"/>
        <v>6.5401361113512877</v>
      </c>
      <c r="P202" s="149">
        <f t="shared" si="507"/>
        <v>2.906727160600572</v>
      </c>
      <c r="Q202" s="188">
        <f t="shared" si="508"/>
        <v>1.3080272222702576</v>
      </c>
      <c r="R202" s="188">
        <f t="shared" si="509"/>
        <v>0.81751701391891096</v>
      </c>
      <c r="S202" s="188">
        <f t="shared" si="510"/>
        <v>5</v>
      </c>
      <c r="T202" s="188">
        <f t="shared" si="511"/>
        <v>4.2200956570454986</v>
      </c>
      <c r="U202" s="188">
        <f t="shared" si="512"/>
        <v>5.7233083892844139</v>
      </c>
      <c r="V202" s="188">
        <f t="shared" si="513"/>
        <v>8.795067171542442</v>
      </c>
      <c r="W202" s="172">
        <f t="shared" si="514"/>
        <v>290.67271606005721</v>
      </c>
      <c r="X202" s="379">
        <f t="shared" si="599"/>
        <v>67.942280441702593</v>
      </c>
      <c r="Z202" s="188">
        <f t="shared" si="515"/>
        <v>1</v>
      </c>
      <c r="AA202" s="150">
        <f t="shared" si="516"/>
        <v>2.0840918989262662</v>
      </c>
      <c r="AB202" s="150">
        <f t="shared" si="517"/>
        <v>0.22717074479237254</v>
      </c>
      <c r="AC202" s="150"/>
      <c r="AD202" s="150">
        <f t="shared" si="518"/>
        <v>2.0840918989262662</v>
      </c>
      <c r="AE202" s="314">
        <f t="shared" si="519"/>
        <v>1059.4542405436018</v>
      </c>
      <c r="AF202" s="456">
        <f t="shared" si="520"/>
        <v>0.30289432638983005</v>
      </c>
      <c r="AH202" s="150">
        <f t="shared" si="521"/>
        <v>1.8721009333799032</v>
      </c>
      <c r="AI202" s="150">
        <f t="shared" si="522"/>
        <v>4.2200956570454986</v>
      </c>
      <c r="AJ202" s="150">
        <f t="shared" si="523"/>
        <v>3.5852560422559243</v>
      </c>
      <c r="AL202" s="314">
        <f t="shared" si="524"/>
        <v>1104</v>
      </c>
      <c r="AM202" s="144">
        <f t="shared" si="525"/>
        <v>67.942280441702593</v>
      </c>
      <c r="AO202">
        <f t="shared" si="526"/>
        <v>1104</v>
      </c>
      <c r="AP202">
        <f t="shared" si="527"/>
        <v>67.942280441702593</v>
      </c>
      <c r="AR202" s="5">
        <f t="shared" si="616"/>
        <v>14.718375560826857</v>
      </c>
      <c r="AS202" s="5">
        <f t="shared" si="604"/>
        <v>5.7233083892844139</v>
      </c>
      <c r="AT202" s="5">
        <f t="shared" si="605"/>
        <v>8.9950671715424431</v>
      </c>
      <c r="AU202" s="150">
        <f t="shared" si="606"/>
        <v>0.38885462363911083</v>
      </c>
      <c r="AW202" s="5">
        <f t="shared" si="477"/>
        <v>126.37064923539987</v>
      </c>
      <c r="AX202" s="5">
        <f t="shared" si="478"/>
        <v>16.45451161919269</v>
      </c>
      <c r="AY202" s="5">
        <f t="shared" si="479"/>
        <v>2.3381687575803389</v>
      </c>
      <c r="AZ202" s="5"/>
      <c r="BA202" s="150">
        <f t="shared" si="480"/>
        <v>1.5193411536133483</v>
      </c>
      <c r="BB202" s="150">
        <f t="shared" si="481"/>
        <v>1.9047322411496459</v>
      </c>
      <c r="BC202" s="150">
        <f t="shared" si="482"/>
        <v>0.42576367743345023</v>
      </c>
      <c r="BD202" s="150"/>
      <c r="BE202" s="456">
        <f t="shared" si="483"/>
        <v>4.61679508212628E-2</v>
      </c>
      <c r="BF202" s="456">
        <f t="shared" si="528"/>
        <v>7.8523372961097862E-2</v>
      </c>
      <c r="BG202" s="456">
        <f t="shared" si="529"/>
        <v>1.502922277394415E-2</v>
      </c>
      <c r="BH202" s="456">
        <f t="shared" si="484"/>
        <v>1.4494746974661257E-3</v>
      </c>
      <c r="BI202">
        <f t="shared" si="485"/>
        <v>3.9817034131363564E-3</v>
      </c>
      <c r="BJ202" s="144">
        <f t="shared" si="600"/>
        <v>19.010926187080507</v>
      </c>
      <c r="BK202">
        <f t="shared" si="530"/>
        <v>0.14014344948757393</v>
      </c>
      <c r="BL202" s="144">
        <f t="shared" si="601"/>
        <v>145.15172466690728</v>
      </c>
      <c r="BM202" s="150">
        <f t="shared" si="531"/>
        <v>0.68586000000000003</v>
      </c>
      <c r="BN202" s="150">
        <f t="shared" si="532"/>
        <v>0.1428875</v>
      </c>
      <c r="BO202" s="456"/>
      <c r="BQ202" s="144">
        <f t="shared" si="486"/>
        <v>828.74749999999995</v>
      </c>
      <c r="BR202" s="456">
        <f t="shared" si="487"/>
        <v>6.925192623189419E-2</v>
      </c>
      <c r="BS202" s="456">
        <f t="shared" si="488"/>
        <v>0.10884014731424858</v>
      </c>
      <c r="BT202" s="456">
        <f t="shared" si="489"/>
        <v>9.0637354510827528E-4</v>
      </c>
      <c r="BU202" s="456">
        <f t="shared" si="490"/>
        <v>6.9602692715989664E-2</v>
      </c>
      <c r="BV202" s="456"/>
      <c r="BW202" s="538">
        <f t="shared" si="533"/>
        <v>1.2099981605316361E-3</v>
      </c>
      <c r="BX202" s="144">
        <f t="shared" si="607"/>
        <v>249.81113796777231</v>
      </c>
      <c r="BY202" s="150">
        <f t="shared" si="608"/>
        <v>1.2237103626346797</v>
      </c>
      <c r="BZ202" s="5">
        <f t="shared" si="609"/>
        <v>7.36</v>
      </c>
      <c r="CA202" s="150">
        <f t="shared" si="610"/>
        <v>0.85743806455055249</v>
      </c>
      <c r="CB202" s="5">
        <f t="shared" si="611"/>
        <v>85.74380645505525</v>
      </c>
      <c r="CC202">
        <f t="shared" si="612"/>
        <v>92.000000000000014</v>
      </c>
      <c r="CE202" s="59">
        <f t="shared" si="534"/>
        <v>-50</v>
      </c>
      <c r="CF202">
        <f t="shared" si="535"/>
        <v>-50</v>
      </c>
      <c r="CG202" s="150">
        <f t="shared" si="536"/>
        <v>0.57198633493024875</v>
      </c>
      <c r="CH202" s="150">
        <f t="shared" si="537"/>
        <v>0.31031053622728111</v>
      </c>
      <c r="CI202" s="147">
        <v>92</v>
      </c>
      <c r="CJ202" s="188">
        <f t="shared" si="602"/>
        <v>1.1040000000000001</v>
      </c>
      <c r="CK202" s="188">
        <f t="shared" si="538"/>
        <v>0.23</v>
      </c>
      <c r="CL202" s="188">
        <f t="shared" si="539"/>
        <v>5.5200000000000005</v>
      </c>
      <c r="CM202" s="188">
        <f t="shared" si="540"/>
        <v>1.84</v>
      </c>
      <c r="CN202" s="465">
        <f t="shared" si="541"/>
        <v>9</v>
      </c>
      <c r="CO202" s="379">
        <f t="shared" si="542"/>
        <v>5.7</v>
      </c>
      <c r="CP202" s="379">
        <f t="shared" si="543"/>
        <v>14.7</v>
      </c>
      <c r="CQ202" s="379"/>
      <c r="CR202" s="188">
        <f t="shared" si="544"/>
        <v>0.375</v>
      </c>
      <c r="CS202" s="149">
        <f t="shared" si="545"/>
        <v>6.328125</v>
      </c>
      <c r="CT202" s="149">
        <f t="shared" si="546"/>
        <v>2.8125</v>
      </c>
      <c r="CU202" s="188">
        <f t="shared" si="547"/>
        <v>1.265625</v>
      </c>
      <c r="CV202" s="188">
        <f t="shared" si="548"/>
        <v>0.791015625</v>
      </c>
      <c r="CW202" s="188">
        <f t="shared" si="549"/>
        <v>5</v>
      </c>
      <c r="CX202" s="188">
        <f t="shared" si="550"/>
        <v>4.3614814814814817</v>
      </c>
      <c r="CY202" s="188">
        <f t="shared" si="551"/>
        <v>5.8153086419753084</v>
      </c>
      <c r="CZ202" s="188">
        <f t="shared" si="552"/>
        <v>9.1820662768031198</v>
      </c>
      <c r="DA202" s="172">
        <f t="shared" si="553"/>
        <v>290.81632653061229</v>
      </c>
      <c r="DB202" s="379">
        <f t="shared" si="554"/>
        <v>66.678335736468497</v>
      </c>
      <c r="DD202" s="188">
        <f t="shared" si="555"/>
        <v>0.99999999999999978</v>
      </c>
      <c r="DE202" s="150">
        <f t="shared" si="556"/>
        <v>2.1052631578947363</v>
      </c>
      <c r="DF202" s="150">
        <f t="shared" si="557"/>
        <v>0.2295918367346938</v>
      </c>
      <c r="DG202" s="150"/>
      <c r="DH202" s="150">
        <f t="shared" si="558"/>
        <v>2.1052631578947367</v>
      </c>
      <c r="DI202" s="314">
        <f t="shared" si="559"/>
        <v>1048.8000000000002</v>
      </c>
      <c r="DJ202" s="456">
        <f t="shared" si="560"/>
        <v>0.3061224489795919</v>
      </c>
      <c r="DL202" s="150">
        <f t="shared" si="561"/>
        <v>1.8721009333799032</v>
      </c>
      <c r="DM202" s="150">
        <f t="shared" si="562"/>
        <v>4.3614814814814817</v>
      </c>
      <c r="DN202" s="150">
        <f t="shared" si="563"/>
        <v>3.6899862825788752</v>
      </c>
      <c r="DP202" s="314">
        <f t="shared" si="564"/>
        <v>1104</v>
      </c>
      <c r="DQ202" s="144">
        <f t="shared" si="565"/>
        <v>66.678335736468497</v>
      </c>
      <c r="DS202">
        <f t="shared" si="614"/>
        <v>1104</v>
      </c>
      <c r="DT202">
        <f t="shared" si="615"/>
        <v>66.678335736468497</v>
      </c>
      <c r="DV202" s="5">
        <f t="shared" si="568"/>
        <v>14.997374918778428</v>
      </c>
      <c r="DW202" s="5">
        <f t="shared" si="569"/>
        <v>5.8153086419753084</v>
      </c>
      <c r="DX202" s="5">
        <f t="shared" si="570"/>
        <v>9.1820662768031198</v>
      </c>
      <c r="DY202" s="150">
        <f t="shared" si="571"/>
        <v>0.38775510204081631</v>
      </c>
      <c r="EA202" s="5">
        <f t="shared" si="572"/>
        <v>128.40201481481483</v>
      </c>
      <c r="EB202" s="5">
        <f t="shared" si="573"/>
        <v>16.719012345679012</v>
      </c>
      <c r="EC202" s="5">
        <f t="shared" si="574"/>
        <v>2.3465280485163529</v>
      </c>
      <c r="ED202" s="5"/>
      <c r="EE202" s="150">
        <f t="shared" si="575"/>
        <v>1.5680220513183132</v>
      </c>
      <c r="EF202" s="150">
        <f t="shared" si="576"/>
        <v>1.970316493446711</v>
      </c>
      <c r="EG202" s="150">
        <f t="shared" si="577"/>
        <v>0.4404236867704413</v>
      </c>
      <c r="EH202" s="150"/>
      <c r="EI202" s="456">
        <f t="shared" si="578"/>
        <v>4.9173863068409818E-2</v>
      </c>
      <c r="EJ202" s="456">
        <f t="shared" si="579"/>
        <v>8.5500000000000007E-2</v>
      </c>
      <c r="EK202" s="456">
        <f t="shared" si="580"/>
        <v>8.3347919670585611E-3</v>
      </c>
      <c r="EL202" s="456">
        <f t="shared" si="581"/>
        <v>1.4408521569293478E-3</v>
      </c>
      <c r="EM202">
        <f t="shared" si="582"/>
        <v>4.0499999999999998E-3</v>
      </c>
      <c r="EN202" s="144">
        <f t="shared" si="583"/>
        <v>12.384791967058561</v>
      </c>
      <c r="EP202" s="144">
        <f t="shared" si="603"/>
        <v>148.49950719239774</v>
      </c>
      <c r="EQ202" s="150">
        <f t="shared" si="584"/>
        <v>0.77280000000000004</v>
      </c>
      <c r="ER202" s="150">
        <f t="shared" si="585"/>
        <v>0.1020625</v>
      </c>
      <c r="ES202" s="456"/>
      <c r="EU202" s="144">
        <f t="shared" si="497"/>
        <v>874.86250000000007</v>
      </c>
      <c r="EV202" s="456">
        <f t="shared" si="586"/>
        <v>7.3760794602614727E-2</v>
      </c>
      <c r="EW202" s="456">
        <f t="shared" si="587"/>
        <v>0.1164644125304443</v>
      </c>
      <c r="EX202" s="456">
        <f t="shared" si="588"/>
        <v>9.6986511934233895E-4</v>
      </c>
      <c r="EY202" s="456">
        <f t="shared" si="589"/>
        <v>7.2113564882065426E-2</v>
      </c>
      <c r="EZ202" s="456"/>
      <c r="FA202" s="538">
        <f t="shared" si="590"/>
        <v>1.2683900226757373E-3</v>
      </c>
      <c r="FB202" s="144">
        <f t="shared" si="613"/>
        <v>264.57702715714254</v>
      </c>
      <c r="FC202" s="150">
        <f t="shared" si="591"/>
        <v>1.2879390343495403</v>
      </c>
      <c r="FD202" s="5">
        <f t="shared" si="592"/>
        <v>7.36</v>
      </c>
      <c r="FE202" s="150">
        <f t="shared" si="593"/>
        <v>0.85106982955894372</v>
      </c>
      <c r="FF202" s="5">
        <f t="shared" si="594"/>
        <v>85.106982955894367</v>
      </c>
      <c r="FG202">
        <f t="shared" si="595"/>
        <v>92.000000000000014</v>
      </c>
      <c r="FI202" s="59">
        <f t="shared" si="596"/>
        <v>-50</v>
      </c>
      <c r="FJ202">
        <f t="shared" si="597"/>
        <v>-50</v>
      </c>
    </row>
    <row r="203" spans="5:166">
      <c r="E203" s="147">
        <v>93</v>
      </c>
      <c r="F203" s="188">
        <f t="shared" si="598"/>
        <v>1.1160000000000001</v>
      </c>
      <c r="G203" s="188">
        <f t="shared" si="499"/>
        <v>0.23250000000000001</v>
      </c>
      <c r="H203" s="188">
        <f t="shared" si="500"/>
        <v>5.58</v>
      </c>
      <c r="I203" s="188">
        <f t="shared" si="501"/>
        <v>1.86</v>
      </c>
      <c r="J203" s="465">
        <f t="shared" si="502"/>
        <v>8.8465801309584808</v>
      </c>
      <c r="K203" s="379">
        <f t="shared" si="503"/>
        <v>5.7585328668806097</v>
      </c>
      <c r="L203" s="149">
        <f t="shared" si="504"/>
        <v>14.60511299783909</v>
      </c>
      <c r="M203" s="379"/>
      <c r="N203" s="188">
        <f t="shared" si="505"/>
        <v>0.39428197972399237</v>
      </c>
      <c r="O203" s="149">
        <f t="shared" si="506"/>
        <v>6.5400883646648351</v>
      </c>
      <c r="P203" s="149">
        <f t="shared" si="507"/>
        <v>2.9067059398510375</v>
      </c>
      <c r="Q203" s="188">
        <f t="shared" si="508"/>
        <v>1.3080176729329671</v>
      </c>
      <c r="R203" s="188">
        <f t="shared" si="509"/>
        <v>0.81751104558310439</v>
      </c>
      <c r="S203" s="188">
        <f t="shared" si="510"/>
        <v>5</v>
      </c>
      <c r="T203" s="188">
        <f t="shared" si="511"/>
        <v>4.2659974062032129</v>
      </c>
      <c r="U203" s="188">
        <f t="shared" si="512"/>
        <v>5.7866393698614669</v>
      </c>
      <c r="V203" s="188">
        <f t="shared" si="513"/>
        <v>8.8897589121809055</v>
      </c>
      <c r="W203" s="172">
        <f t="shared" si="514"/>
        <v>290.67059398510378</v>
      </c>
      <c r="X203" s="379">
        <f t="shared" si="599"/>
        <v>67.220571877745584</v>
      </c>
      <c r="Z203" s="188">
        <f t="shared" si="515"/>
        <v>0.99999999999999978</v>
      </c>
      <c r="AA203" s="150">
        <f t="shared" si="516"/>
        <v>2.0838641156354782</v>
      </c>
      <c r="AB203" s="150">
        <f t="shared" si="517"/>
        <v>0.22714425760350274</v>
      </c>
      <c r="AC203" s="150"/>
      <c r="AD203" s="150">
        <f t="shared" si="518"/>
        <v>2.0838641156354787</v>
      </c>
      <c r="AE203" s="314">
        <f t="shared" si="519"/>
        <v>1071.0871132397936</v>
      </c>
      <c r="AF203" s="456">
        <f t="shared" si="520"/>
        <v>0.30285901013800381</v>
      </c>
      <c r="AH203" s="150">
        <f t="shared" si="521"/>
        <v>1.8822478962286404</v>
      </c>
      <c r="AI203" s="150">
        <f t="shared" si="522"/>
        <v>4.2659974062032129</v>
      </c>
      <c r="AJ203" s="150">
        <f t="shared" si="523"/>
        <v>3.619257337928306</v>
      </c>
      <c r="AL203" s="314">
        <f t="shared" si="524"/>
        <v>1116</v>
      </c>
      <c r="AM203" s="144">
        <f t="shared" si="525"/>
        <v>67.220571877745584</v>
      </c>
      <c r="AO203">
        <f t="shared" si="526"/>
        <v>1116</v>
      </c>
      <c r="AP203">
        <f t="shared" si="527"/>
        <v>67.220571877745584</v>
      </c>
      <c r="AR203" s="5">
        <f t="shared" si="616"/>
        <v>14.87639828204237</v>
      </c>
      <c r="AS203" s="5">
        <f t="shared" si="604"/>
        <v>5.7866393698614669</v>
      </c>
      <c r="AT203" s="5">
        <f t="shared" si="605"/>
        <v>9.089758912180903</v>
      </c>
      <c r="AU203" s="150">
        <f t="shared" si="606"/>
        <v>0.38898120769236511</v>
      </c>
      <c r="AW203" s="5">
        <f t="shared" si="477"/>
        <v>129.15779073530794</v>
      </c>
      <c r="AX203" s="5">
        <f t="shared" si="478"/>
        <v>16.817420668659889</v>
      </c>
      <c r="AY203" s="5">
        <f t="shared" si="479"/>
        <v>2.3889106477274256</v>
      </c>
      <c r="AZ203" s="5"/>
      <c r="BA203" s="150">
        <f t="shared" si="480"/>
        <v>1.5361169095179044</v>
      </c>
      <c r="BB203" s="150">
        <f t="shared" si="481"/>
        <v>1.9252504937117516</v>
      </c>
      <c r="BC203" s="150">
        <f t="shared" si="482"/>
        <v>0.43035011035909743</v>
      </c>
      <c r="BD203" s="150"/>
      <c r="BE203" s="456">
        <f t="shared" si="483"/>
        <v>4.7193103194136755E-2</v>
      </c>
      <c r="BF203" s="456">
        <f t="shared" si="528"/>
        <v>7.8528804046898312E-2</v>
      </c>
      <c r="BG203" s="456">
        <f t="shared" si="529"/>
        <v>1.4866804389133263E-2</v>
      </c>
      <c r="BH203" s="456">
        <f t="shared" si="484"/>
        <v>1.4338774859042243E-3</v>
      </c>
      <c r="BI203">
        <f t="shared" si="485"/>
        <v>3.9809610589313163E-3</v>
      </c>
      <c r="BJ203" s="144">
        <f t="shared" si="600"/>
        <v>18.847765448064582</v>
      </c>
      <c r="BK203">
        <f t="shared" si="530"/>
        <v>0.141484398656855</v>
      </c>
      <c r="BL203" s="144">
        <f t="shared" si="601"/>
        <v>146.00355017500388</v>
      </c>
      <c r="BM203" s="150">
        <f t="shared" si="531"/>
        <v>0.69331500000000001</v>
      </c>
      <c r="BN203" s="150">
        <f t="shared" si="532"/>
        <v>0.14444062499999999</v>
      </c>
      <c r="BO203" s="456"/>
      <c r="BQ203" s="144">
        <f t="shared" si="486"/>
        <v>837.75562500000001</v>
      </c>
      <c r="BR203" s="456">
        <f t="shared" si="487"/>
        <v>7.0789654791205123E-2</v>
      </c>
      <c r="BS203" s="456">
        <f t="shared" si="488"/>
        <v>0.1111976839061203</v>
      </c>
      <c r="BT203" s="456">
        <f t="shared" si="489"/>
        <v>9.2600608743043675E-4</v>
      </c>
      <c r="BU203" s="456">
        <f t="shared" si="490"/>
        <v>6.9626887130030166E-2</v>
      </c>
      <c r="BV203" s="456"/>
      <c r="BW203" s="538">
        <f t="shared" si="533"/>
        <v>1.2233292981743194E-3</v>
      </c>
      <c r="BX203" s="144">
        <f t="shared" si="607"/>
        <v>253.76356121296035</v>
      </c>
      <c r="BY203" s="150">
        <f t="shared" si="608"/>
        <v>1.2375227363879642</v>
      </c>
      <c r="BZ203" s="5">
        <f t="shared" si="609"/>
        <v>7.44</v>
      </c>
      <c r="CA203" s="150">
        <f t="shared" si="610"/>
        <v>0.857387554722434</v>
      </c>
      <c r="CB203" s="5">
        <f t="shared" si="611"/>
        <v>85.738755472243398</v>
      </c>
      <c r="CC203">
        <f t="shared" si="612"/>
        <v>93.000000000000014</v>
      </c>
      <c r="CE203" s="59">
        <f t="shared" si="534"/>
        <v>-50</v>
      </c>
      <c r="CF203">
        <f t="shared" si="535"/>
        <v>-50</v>
      </c>
      <c r="CG203" s="150">
        <f t="shared" si="536"/>
        <v>0.57198633493024875</v>
      </c>
      <c r="CH203" s="150">
        <f t="shared" si="537"/>
        <v>0.31031053622728111</v>
      </c>
      <c r="CI203" s="147">
        <v>93</v>
      </c>
      <c r="CJ203" s="188">
        <f t="shared" si="602"/>
        <v>1.1160000000000001</v>
      </c>
      <c r="CK203" s="188">
        <f t="shared" si="538"/>
        <v>0.23250000000000001</v>
      </c>
      <c r="CL203" s="188">
        <f t="shared" si="539"/>
        <v>5.58</v>
      </c>
      <c r="CM203" s="188">
        <f t="shared" si="540"/>
        <v>1.86</v>
      </c>
      <c r="CN203" s="465">
        <f t="shared" si="541"/>
        <v>9</v>
      </c>
      <c r="CO203" s="379">
        <f t="shared" si="542"/>
        <v>5.7</v>
      </c>
      <c r="CP203" s="379">
        <f t="shared" si="543"/>
        <v>14.7</v>
      </c>
      <c r="CQ203" s="379"/>
      <c r="CR203" s="188">
        <f t="shared" si="544"/>
        <v>0.375</v>
      </c>
      <c r="CS203" s="149">
        <f t="shared" si="545"/>
        <v>6.328125</v>
      </c>
      <c r="CT203" s="149">
        <f t="shared" si="546"/>
        <v>2.8125</v>
      </c>
      <c r="CU203" s="188">
        <f t="shared" si="547"/>
        <v>1.265625</v>
      </c>
      <c r="CV203" s="188">
        <f t="shared" si="548"/>
        <v>0.791015625</v>
      </c>
      <c r="CW203" s="188">
        <f t="shared" si="549"/>
        <v>5</v>
      </c>
      <c r="CX203" s="188">
        <f t="shared" si="550"/>
        <v>4.4088888888888889</v>
      </c>
      <c r="CY203" s="188">
        <f t="shared" si="551"/>
        <v>5.8785185185185185</v>
      </c>
      <c r="CZ203" s="188">
        <f t="shared" si="552"/>
        <v>9.2818713450292396</v>
      </c>
      <c r="DA203" s="172">
        <f t="shared" si="553"/>
        <v>290.81632653061229</v>
      </c>
      <c r="DB203" s="379">
        <f t="shared" si="554"/>
        <v>65.961364384463465</v>
      </c>
      <c r="DD203" s="188">
        <f t="shared" si="555"/>
        <v>0.99999999999999978</v>
      </c>
      <c r="DE203" s="150">
        <f t="shared" si="556"/>
        <v>2.1052631578947363</v>
      </c>
      <c r="DF203" s="150">
        <f t="shared" si="557"/>
        <v>0.2295918367346938</v>
      </c>
      <c r="DG203" s="150"/>
      <c r="DH203" s="150">
        <f t="shared" si="558"/>
        <v>2.1052631578947367</v>
      </c>
      <c r="DI203" s="314">
        <f t="shared" si="559"/>
        <v>1060.2000000000003</v>
      </c>
      <c r="DJ203" s="456">
        <f t="shared" si="560"/>
        <v>0.3061224489795919</v>
      </c>
      <c r="DL203" s="150">
        <f t="shared" si="561"/>
        <v>1.8822478962286404</v>
      </c>
      <c r="DM203" s="150">
        <f t="shared" si="562"/>
        <v>4.4088888888888889</v>
      </c>
      <c r="DN203" s="150">
        <f t="shared" si="563"/>
        <v>3.7251028806584365</v>
      </c>
      <c r="DP203" s="314">
        <f t="shared" si="564"/>
        <v>1116</v>
      </c>
      <c r="DQ203" s="144">
        <f t="shared" si="565"/>
        <v>65.961364384463465</v>
      </c>
      <c r="DS203">
        <f t="shared" si="614"/>
        <v>1116</v>
      </c>
      <c r="DT203">
        <f t="shared" si="615"/>
        <v>65.961364384463465</v>
      </c>
      <c r="DV203" s="5">
        <f t="shared" si="568"/>
        <v>15.160389863547758</v>
      </c>
      <c r="DW203" s="5">
        <f t="shared" si="569"/>
        <v>5.8785185185185185</v>
      </c>
      <c r="DX203" s="5">
        <f t="shared" si="570"/>
        <v>9.2818713450292396</v>
      </c>
      <c r="DY203" s="150">
        <f t="shared" si="571"/>
        <v>0.38775510204081631</v>
      </c>
      <c r="EA203" s="5">
        <f t="shared" si="572"/>
        <v>131.20853333333335</v>
      </c>
      <c r="EB203" s="5">
        <f t="shared" si="573"/>
        <v>17.084444444444447</v>
      </c>
      <c r="EC203" s="5">
        <f t="shared" si="574"/>
        <v>2.3978167641325534</v>
      </c>
      <c r="ED203" s="5"/>
      <c r="EE203" s="150">
        <f t="shared" si="575"/>
        <v>1.5850657692674253</v>
      </c>
      <c r="EF203" s="150">
        <f t="shared" si="576"/>
        <v>1.9917329770711316</v>
      </c>
      <c r="EG203" s="150">
        <f t="shared" si="577"/>
        <v>0.44521090075707648</v>
      </c>
      <c r="EH203" s="150"/>
      <c r="EI203" s="456">
        <f t="shared" si="578"/>
        <v>5.0248669858066697E-2</v>
      </c>
      <c r="EJ203" s="456">
        <f t="shared" si="579"/>
        <v>8.5500000000000007E-2</v>
      </c>
      <c r="EK203" s="456">
        <f t="shared" si="580"/>
        <v>8.2451705480579337E-3</v>
      </c>
      <c r="EL203" s="456">
        <f t="shared" si="581"/>
        <v>1.4253591229838711E-3</v>
      </c>
      <c r="EM203">
        <f t="shared" si="582"/>
        <v>4.0499999999999998E-3</v>
      </c>
      <c r="EN203" s="144">
        <f t="shared" si="583"/>
        <v>12.295170548057934</v>
      </c>
      <c r="EP203" s="144">
        <f t="shared" si="603"/>
        <v>149.46919952910849</v>
      </c>
      <c r="EQ203" s="150">
        <f t="shared" si="584"/>
        <v>0.78120000000000001</v>
      </c>
      <c r="ER203" s="150">
        <f t="shared" si="585"/>
        <v>0.103171875</v>
      </c>
      <c r="ES203" s="456"/>
      <c r="EU203" s="144">
        <f t="shared" si="497"/>
        <v>884.37187500000005</v>
      </c>
      <c r="EV203" s="456">
        <f t="shared" si="586"/>
        <v>7.5373004787100045E-2</v>
      </c>
      <c r="EW203" s="456">
        <f t="shared" si="587"/>
        <v>0.11901000755857899</v>
      </c>
      <c r="EX203" s="456">
        <f t="shared" si="588"/>
        <v>9.9106373076463688E-4</v>
      </c>
      <c r="EY203" s="456">
        <f t="shared" si="589"/>
        <v>7.2113564882065509E-2</v>
      </c>
      <c r="EZ203" s="456"/>
      <c r="FA203" s="538">
        <f t="shared" si="590"/>
        <v>1.2821768707482995E-3</v>
      </c>
      <c r="FB203" s="144">
        <f t="shared" si="613"/>
        <v>268.76981782925748</v>
      </c>
      <c r="FC203" s="150">
        <f t="shared" si="591"/>
        <v>1.3026108923583657</v>
      </c>
      <c r="FD203" s="5">
        <f t="shared" si="592"/>
        <v>7.44</v>
      </c>
      <c r="FE203" s="150">
        <f t="shared" si="593"/>
        <v>0.85100436146632863</v>
      </c>
      <c r="FF203" s="5">
        <f t="shared" si="594"/>
        <v>85.100436146632859</v>
      </c>
      <c r="FG203">
        <f t="shared" si="595"/>
        <v>93.000000000000014</v>
      </c>
      <c r="FI203" s="59">
        <f t="shared" si="596"/>
        <v>-50</v>
      </c>
      <c r="FJ203">
        <f t="shared" si="597"/>
        <v>-50</v>
      </c>
    </row>
    <row r="204" spans="5:166">
      <c r="E204" s="147">
        <v>94</v>
      </c>
      <c r="F204" s="188">
        <f t="shared" si="598"/>
        <v>1.1279999999999999</v>
      </c>
      <c r="G204" s="188">
        <f t="shared" si="499"/>
        <v>0.23499999999999999</v>
      </c>
      <c r="H204" s="188">
        <f t="shared" si="500"/>
        <v>5.64</v>
      </c>
      <c r="I204" s="188">
        <f t="shared" si="501"/>
        <v>1.88</v>
      </c>
      <c r="J204" s="465">
        <f t="shared" si="502"/>
        <v>8.8449304549472831</v>
      </c>
      <c r="K204" s="379">
        <f t="shared" si="503"/>
        <v>5.7591622525459929</v>
      </c>
      <c r="L204" s="149">
        <f t="shared" si="504"/>
        <v>14.604092707493276</v>
      </c>
      <c r="M204" s="379"/>
      <c r="N204" s="188">
        <f t="shared" si="505"/>
        <v>0.3943526220968866</v>
      </c>
      <c r="O204" s="149">
        <f t="shared" si="506"/>
        <v>6.5400403446995039</v>
      </c>
      <c r="P204" s="149">
        <f t="shared" si="507"/>
        <v>2.9066845976442242</v>
      </c>
      <c r="Q204" s="188">
        <f t="shared" si="508"/>
        <v>1.3080080689399007</v>
      </c>
      <c r="R204" s="188">
        <f t="shared" si="509"/>
        <v>0.81750504308743799</v>
      </c>
      <c r="S204" s="188">
        <f t="shared" si="510"/>
        <v>5</v>
      </c>
      <c r="T204" s="188">
        <f t="shared" si="511"/>
        <v>4.3119000057629924</v>
      </c>
      <c r="U204" s="188">
        <f t="shared" si="512"/>
        <v>5.8499951280243625</v>
      </c>
      <c r="V204" s="188">
        <f t="shared" si="513"/>
        <v>8.9844317281183752</v>
      </c>
      <c r="W204" s="172">
        <f t="shared" si="514"/>
        <v>290.66845976442238</v>
      </c>
      <c r="X204" s="379">
        <f t="shared" si="599"/>
        <v>66.514008785870146</v>
      </c>
      <c r="Z204" s="188">
        <f t="shared" si="515"/>
        <v>1</v>
      </c>
      <c r="AA204" s="150">
        <f t="shared" si="516"/>
        <v>2.0836363821309387</v>
      </c>
      <c r="AB204" s="150">
        <f t="shared" si="517"/>
        <v>0.22711776671366751</v>
      </c>
      <c r="AC204" s="150"/>
      <c r="AD204" s="150">
        <f t="shared" si="518"/>
        <v>2.0836363821309387</v>
      </c>
      <c r="AE204" s="314">
        <f t="shared" si="519"/>
        <v>1082.7225034786466</v>
      </c>
      <c r="AF204" s="456">
        <f t="shared" si="520"/>
        <v>0.3028236889515567</v>
      </c>
      <c r="AH204" s="150">
        <f t="shared" si="521"/>
        <v>1.892340450593492</v>
      </c>
      <c r="AI204" s="150">
        <f t="shared" si="522"/>
        <v>4.3119000057629924</v>
      </c>
      <c r="AJ204" s="150">
        <f t="shared" si="523"/>
        <v>3.6532592635281427</v>
      </c>
      <c r="AL204" s="314">
        <f t="shared" si="524"/>
        <v>1128</v>
      </c>
      <c r="AM204" s="144">
        <f t="shared" si="525"/>
        <v>66.514008785870146</v>
      </c>
      <c r="AO204">
        <f t="shared" si="526"/>
        <v>1128</v>
      </c>
      <c r="AP204">
        <f t="shared" si="527"/>
        <v>66.514008785870146</v>
      </c>
      <c r="AR204" s="5">
        <f t="shared" si="616"/>
        <v>15.034426856142735</v>
      </c>
      <c r="AS204" s="5">
        <f t="shared" si="604"/>
        <v>5.8499951280243625</v>
      </c>
      <c r="AT204" s="5">
        <f t="shared" si="605"/>
        <v>9.1844317281183727</v>
      </c>
      <c r="AU204" s="150">
        <f t="shared" si="606"/>
        <v>0.38910662734271001</v>
      </c>
      <c r="AW204" s="5">
        <f t="shared" si="477"/>
        <v>131.97589008822959</v>
      </c>
      <c r="AX204" s="5">
        <f t="shared" si="478"/>
        <v>17.184360688571562</v>
      </c>
      <c r="AY204" s="5">
        <f t="shared" si="479"/>
        <v>2.4402017258378561</v>
      </c>
      <c r="AZ204" s="5"/>
      <c r="BA204" s="150">
        <f t="shared" si="480"/>
        <v>1.5528959862717384</v>
      </c>
      <c r="BB204" s="150">
        <f t="shared" si="481"/>
        <v>1.9457666721340003</v>
      </c>
      <c r="BC204" s="150">
        <f t="shared" si="482"/>
        <v>0.43493607965348235</v>
      </c>
      <c r="BD204" s="150"/>
      <c r="BE204" s="456">
        <f t="shared" si="483"/>
        <v>4.8229718883577508E-2</v>
      </c>
      <c r="BF204" s="456">
        <f t="shared" si="528"/>
        <v>7.8533989064082779E-2</v>
      </c>
      <c r="BG204" s="456">
        <f t="shared" si="529"/>
        <v>1.470779454976935E-2</v>
      </c>
      <c r="BH204" s="456">
        <f t="shared" si="484"/>
        <v>1.4186076120481905E-3</v>
      </c>
      <c r="BI204">
        <f t="shared" si="485"/>
        <v>3.9802187047262771E-3</v>
      </c>
      <c r="BJ204" s="144">
        <f t="shared" si="600"/>
        <v>18.688013254495626</v>
      </c>
      <c r="BK204">
        <f t="shared" si="530"/>
        <v>0.14284121155349824</v>
      </c>
      <c r="BL204" s="144">
        <f t="shared" si="601"/>
        <v>146.8703288142041</v>
      </c>
      <c r="BM204" s="150">
        <f t="shared" si="531"/>
        <v>0.70076999999999989</v>
      </c>
      <c r="BN204" s="150">
        <f t="shared" si="532"/>
        <v>0.14599374999999998</v>
      </c>
      <c r="BO204" s="456"/>
      <c r="BQ204" s="144">
        <f t="shared" si="486"/>
        <v>846.76374999999985</v>
      </c>
      <c r="BR204" s="456">
        <f t="shared" si="487"/>
        <v>7.2344578325366254E-2</v>
      </c>
      <c r="BS204" s="456">
        <f t="shared" si="488"/>
        <v>0.11358023827162267</v>
      </c>
      <c r="BT204" s="456">
        <f t="shared" si="489"/>
        <v>9.4584696692170186E-4</v>
      </c>
      <c r="BU204" s="456">
        <f t="shared" si="490"/>
        <v>6.9650544384000451E-2</v>
      </c>
      <c r="BV204" s="456"/>
      <c r="BW204" s="538">
        <f t="shared" si="533"/>
        <v>1.236660488464342E-3</v>
      </c>
      <c r="BX204" s="144">
        <f t="shared" si="607"/>
        <v>257.75786843637542</v>
      </c>
      <c r="BY204" s="150">
        <f t="shared" si="608"/>
        <v>1.2513919472505795</v>
      </c>
      <c r="BZ204" s="5">
        <f t="shared" si="609"/>
        <v>7.52</v>
      </c>
      <c r="CA204" s="150">
        <f t="shared" si="610"/>
        <v>0.85733256993004026</v>
      </c>
      <c r="CB204" s="5">
        <f t="shared" si="611"/>
        <v>85.733256993004019</v>
      </c>
      <c r="CC204">
        <f t="shared" si="612"/>
        <v>94</v>
      </c>
      <c r="CE204" s="59">
        <f t="shared" si="534"/>
        <v>-50</v>
      </c>
      <c r="CF204">
        <f t="shared" si="535"/>
        <v>-50</v>
      </c>
      <c r="CG204" s="150">
        <f t="shared" si="536"/>
        <v>0.57198633493024875</v>
      </c>
      <c r="CH204" s="150">
        <f t="shared" si="537"/>
        <v>0.31031053622728105</v>
      </c>
      <c r="CI204" s="147">
        <v>94</v>
      </c>
      <c r="CJ204" s="188">
        <f t="shared" si="602"/>
        <v>1.1279999999999999</v>
      </c>
      <c r="CK204" s="188">
        <f t="shared" si="538"/>
        <v>0.23499999999999999</v>
      </c>
      <c r="CL204" s="188">
        <f t="shared" si="539"/>
        <v>5.64</v>
      </c>
      <c r="CM204" s="188">
        <f t="shared" si="540"/>
        <v>1.88</v>
      </c>
      <c r="CN204" s="465">
        <f t="shared" si="541"/>
        <v>9</v>
      </c>
      <c r="CO204" s="379">
        <f t="shared" si="542"/>
        <v>5.7</v>
      </c>
      <c r="CP204" s="379">
        <f t="shared" si="543"/>
        <v>14.7</v>
      </c>
      <c r="CQ204" s="379"/>
      <c r="CR204" s="188">
        <f t="shared" si="544"/>
        <v>0.375</v>
      </c>
      <c r="CS204" s="149">
        <f t="shared" si="545"/>
        <v>6.328125</v>
      </c>
      <c r="CT204" s="149">
        <f t="shared" si="546"/>
        <v>2.8125</v>
      </c>
      <c r="CU204" s="188">
        <f t="shared" si="547"/>
        <v>1.265625</v>
      </c>
      <c r="CV204" s="188">
        <f t="shared" si="548"/>
        <v>0.791015625</v>
      </c>
      <c r="CW204" s="188">
        <f t="shared" si="549"/>
        <v>5</v>
      </c>
      <c r="CX204" s="188">
        <f t="shared" si="550"/>
        <v>4.456296296296296</v>
      </c>
      <c r="CY204" s="188">
        <f t="shared" si="551"/>
        <v>5.9417283950617277</v>
      </c>
      <c r="CZ204" s="188">
        <f t="shared" si="552"/>
        <v>9.3816764132553612</v>
      </c>
      <c r="DA204" s="172">
        <f t="shared" si="553"/>
        <v>290.81632653061229</v>
      </c>
      <c r="DB204" s="379">
        <f t="shared" si="554"/>
        <v>65.259647742075543</v>
      </c>
      <c r="DD204" s="188">
        <f t="shared" si="555"/>
        <v>0.99999999999999978</v>
      </c>
      <c r="DE204" s="150">
        <f t="shared" si="556"/>
        <v>2.1052631578947363</v>
      </c>
      <c r="DF204" s="150">
        <f t="shared" si="557"/>
        <v>0.2295918367346938</v>
      </c>
      <c r="DG204" s="150"/>
      <c r="DH204" s="150">
        <f t="shared" si="558"/>
        <v>2.1052631578947367</v>
      </c>
      <c r="DI204" s="314">
        <f t="shared" si="559"/>
        <v>1071.5999999999999</v>
      </c>
      <c r="DJ204" s="456">
        <f t="shared" si="560"/>
        <v>0.3061224489795919</v>
      </c>
      <c r="DL204" s="150">
        <f t="shared" si="561"/>
        <v>1.892340450593492</v>
      </c>
      <c r="DM204" s="150">
        <f t="shared" si="562"/>
        <v>4.456296296296296</v>
      </c>
      <c r="DN204" s="150">
        <f t="shared" si="563"/>
        <v>3.760219478737997</v>
      </c>
      <c r="DP204" s="314">
        <f t="shared" si="564"/>
        <v>1128</v>
      </c>
      <c r="DQ204" s="144">
        <f t="shared" si="565"/>
        <v>65.259647742075543</v>
      </c>
      <c r="DS204">
        <f t="shared" si="614"/>
        <v>1128</v>
      </c>
      <c r="DT204">
        <f t="shared" si="615"/>
        <v>65.259647742075543</v>
      </c>
      <c r="DV204" s="5">
        <f t="shared" si="568"/>
        <v>15.323404808317092</v>
      </c>
      <c r="DW204" s="5">
        <f t="shared" si="569"/>
        <v>5.9417283950617277</v>
      </c>
      <c r="DX204" s="5">
        <f t="shared" si="570"/>
        <v>9.3816764132553629</v>
      </c>
      <c r="DY204" s="150">
        <f t="shared" si="571"/>
        <v>0.3877551020408162</v>
      </c>
      <c r="EA204" s="5">
        <f t="shared" si="572"/>
        <v>134.04539259259255</v>
      </c>
      <c r="EB204" s="5">
        <f t="shared" si="573"/>
        <v>17.453827160493823</v>
      </c>
      <c r="EC204" s="5">
        <f t="shared" si="574"/>
        <v>2.4496599523500109</v>
      </c>
      <c r="ED204" s="5"/>
      <c r="EE204" s="150">
        <f t="shared" si="575"/>
        <v>1.6021094872165367</v>
      </c>
      <c r="EF204" s="150">
        <f t="shared" si="576"/>
        <v>2.0131494606955522</v>
      </c>
      <c r="EG204" s="150">
        <f t="shared" si="577"/>
        <v>0.44999811474371165</v>
      </c>
      <c r="EH204" s="150"/>
      <c r="EI204" s="456">
        <f t="shared" si="578"/>
        <v>5.1335096180584683E-2</v>
      </c>
      <c r="EJ204" s="456">
        <f t="shared" si="579"/>
        <v>8.5499999999999965E-2</v>
      </c>
      <c r="EK204" s="456">
        <f t="shared" si="580"/>
        <v>8.157455967759443E-3</v>
      </c>
      <c r="EL204" s="456">
        <f t="shared" si="581"/>
        <v>1.4101957280585103E-3</v>
      </c>
      <c r="EM204">
        <f t="shared" si="582"/>
        <v>4.0499999999999998E-3</v>
      </c>
      <c r="EN204" s="144">
        <f t="shared" si="583"/>
        <v>12.207455967759444</v>
      </c>
      <c r="EP204" s="144">
        <f t="shared" si="603"/>
        <v>150.45274787640258</v>
      </c>
      <c r="EQ204" s="150">
        <f t="shared" si="584"/>
        <v>0.78959999999999986</v>
      </c>
      <c r="ER204" s="150">
        <f t="shared" si="585"/>
        <v>0.10428124999999999</v>
      </c>
      <c r="ES204" s="456"/>
      <c r="EU204" s="144">
        <f t="shared" si="497"/>
        <v>893.8812499999998</v>
      </c>
      <c r="EV204" s="456">
        <f t="shared" si="586"/>
        <v>7.7002644270877024E-2</v>
      </c>
      <c r="EW204" s="456">
        <f t="shared" si="587"/>
        <v>0.12158312253296377</v>
      </c>
      <c r="EX204" s="456">
        <f t="shared" si="588"/>
        <v>1.0124915163644734E-3</v>
      </c>
      <c r="EY204" s="456">
        <f t="shared" si="589"/>
        <v>7.2113564882065453E-2</v>
      </c>
      <c r="EZ204" s="456"/>
      <c r="FA204" s="538">
        <f t="shared" si="590"/>
        <v>1.2959637188208616E-3</v>
      </c>
      <c r="FB204" s="144">
        <f t="shared" si="613"/>
        <v>273.00778692109157</v>
      </c>
      <c r="FC204" s="150">
        <f t="shared" si="591"/>
        <v>1.317341784797494</v>
      </c>
      <c r="FD204" s="5">
        <f t="shared" si="592"/>
        <v>7.52</v>
      </c>
      <c r="FE204" s="150">
        <f t="shared" si="593"/>
        <v>0.8509346116879104</v>
      </c>
      <c r="FF204" s="5">
        <f t="shared" si="594"/>
        <v>85.093461168791038</v>
      </c>
      <c r="FG204">
        <f t="shared" si="595"/>
        <v>94</v>
      </c>
      <c r="FI204" s="59">
        <f t="shared" si="596"/>
        <v>-50</v>
      </c>
      <c r="FJ204">
        <f t="shared" si="597"/>
        <v>-50</v>
      </c>
    </row>
    <row r="205" spans="5:166">
      <c r="E205" s="147">
        <v>95</v>
      </c>
      <c r="F205" s="188">
        <f t="shared" si="598"/>
        <v>1.1399999999999999</v>
      </c>
      <c r="G205" s="188">
        <f t="shared" si="499"/>
        <v>0.23749999999999999</v>
      </c>
      <c r="H205" s="188">
        <f t="shared" si="500"/>
        <v>5.6999999999999993</v>
      </c>
      <c r="I205" s="188">
        <f t="shared" si="501"/>
        <v>1.9</v>
      </c>
      <c r="J205" s="465">
        <f t="shared" si="502"/>
        <v>8.8432807789360837</v>
      </c>
      <c r="K205" s="379">
        <f t="shared" si="503"/>
        <v>5.7597916382113752</v>
      </c>
      <c r="L205" s="149">
        <f t="shared" si="504"/>
        <v>14.603072417147459</v>
      </c>
      <c r="M205" s="379"/>
      <c r="N205" s="188">
        <f t="shared" si="505"/>
        <v>0.39442327434109126</v>
      </c>
      <c r="O205" s="149">
        <f t="shared" si="506"/>
        <v>6.5399920513980119</v>
      </c>
      <c r="P205" s="149">
        <f t="shared" si="507"/>
        <v>2.9066631339546718</v>
      </c>
      <c r="Q205" s="188">
        <f t="shared" si="508"/>
        <v>1.3079984102796023</v>
      </c>
      <c r="R205" s="188">
        <f t="shared" si="509"/>
        <v>0.81749900642475148</v>
      </c>
      <c r="S205" s="188">
        <f t="shared" si="510"/>
        <v>5</v>
      </c>
      <c r="T205" s="188">
        <f t="shared" si="511"/>
        <v>4.3578034615359718</v>
      </c>
      <c r="U205" s="188">
        <f t="shared" si="512"/>
        <v>5.9133756855250503</v>
      </c>
      <c r="V205" s="188">
        <f t="shared" si="513"/>
        <v>9.0790856376656599</v>
      </c>
      <c r="W205" s="172">
        <f t="shared" si="514"/>
        <v>290.66631339546717</v>
      </c>
      <c r="X205" s="379">
        <f t="shared" si="599"/>
        <v>65.822119189702221</v>
      </c>
      <c r="Z205" s="188">
        <f t="shared" si="515"/>
        <v>1</v>
      </c>
      <c r="AA205" s="150">
        <f t="shared" si="516"/>
        <v>2.0834086983963251</v>
      </c>
      <c r="AB205" s="150">
        <f t="shared" si="517"/>
        <v>0.22709127212209068</v>
      </c>
      <c r="AC205" s="150"/>
      <c r="AD205" s="150">
        <f t="shared" si="518"/>
        <v>2.0834086983963251</v>
      </c>
      <c r="AE205" s="314">
        <f t="shared" si="519"/>
        <v>1094.3604112601613</v>
      </c>
      <c r="AF205" s="456">
        <f t="shared" si="520"/>
        <v>0.30278836282945432</v>
      </c>
      <c r="AH205" s="150">
        <f t="shared" si="521"/>
        <v>1.9023794624226835</v>
      </c>
      <c r="AI205" s="150">
        <f t="shared" si="522"/>
        <v>4.3578034615359718</v>
      </c>
      <c r="AJ205" s="150">
        <f t="shared" si="523"/>
        <v>3.6872618233599788</v>
      </c>
      <c r="AL205" s="314">
        <f t="shared" si="524"/>
        <v>1140</v>
      </c>
      <c r="AM205" s="144">
        <f t="shared" si="525"/>
        <v>65.822119189702221</v>
      </c>
      <c r="AO205">
        <f t="shared" si="526"/>
        <v>1140</v>
      </c>
      <c r="AP205">
        <f t="shared" si="527"/>
        <v>65.822119189702221</v>
      </c>
      <c r="AR205" s="5">
        <f t="shared" si="616"/>
        <v>15.19246132319071</v>
      </c>
      <c r="AS205" s="5">
        <f t="shared" si="604"/>
        <v>5.9133756855250503</v>
      </c>
      <c r="AT205" s="5">
        <f t="shared" si="605"/>
        <v>9.2790856376656592</v>
      </c>
      <c r="AU205" s="150">
        <f t="shared" si="606"/>
        <v>0.38923091918611696</v>
      </c>
      <c r="AW205" s="5">
        <f t="shared" si="477"/>
        <v>134.82496562997113</v>
      </c>
      <c r="AX205" s="5">
        <f t="shared" si="478"/>
        <v>17.555334066402494</v>
      </c>
      <c r="AY205" s="5">
        <f t="shared" si="479"/>
        <v>2.492042143674563</v>
      </c>
      <c r="AZ205" s="5"/>
      <c r="BA205" s="150">
        <f t="shared" si="480"/>
        <v>1.5696783855446221</v>
      </c>
      <c r="BB205" s="150">
        <f t="shared" si="481"/>
        <v>1.9662807791392172</v>
      </c>
      <c r="BC205" s="150">
        <f t="shared" si="482"/>
        <v>0.43952158592523682</v>
      </c>
      <c r="BD205" s="150"/>
      <c r="BE205" s="456">
        <f t="shared" si="483"/>
        <v>4.9277804680919433E-2</v>
      </c>
      <c r="BF205" s="456">
        <f t="shared" si="528"/>
        <v>7.8538935579721206E-2</v>
      </c>
      <c r="BG205" s="456">
        <f t="shared" si="529"/>
        <v>1.4552087036478339E-2</v>
      </c>
      <c r="BH205" s="456">
        <f t="shared" si="484"/>
        <v>1.4036548751645357E-3</v>
      </c>
      <c r="BI205">
        <f t="shared" si="485"/>
        <v>3.9794763505212379E-3</v>
      </c>
      <c r="BJ205" s="144">
        <f t="shared" si="600"/>
        <v>18.531563386999579</v>
      </c>
      <c r="BK205">
        <f t="shared" si="530"/>
        <v>0.14421391755378241</v>
      </c>
      <c r="BL205" s="144">
        <f t="shared" si="601"/>
        <v>147.75195852280473</v>
      </c>
      <c r="BM205" s="150">
        <f t="shared" si="531"/>
        <v>0.70822499999999988</v>
      </c>
      <c r="BN205" s="150">
        <f t="shared" si="532"/>
        <v>0.14754687499999997</v>
      </c>
      <c r="BO205" s="456"/>
      <c r="BQ205" s="144">
        <f t="shared" si="486"/>
        <v>855.7718749999998</v>
      </c>
      <c r="BR205" s="456">
        <f t="shared" si="487"/>
        <v>7.3916707021379147E-2</v>
      </c>
      <c r="BS205" s="456">
        <f t="shared" si="488"/>
        <v>0.11598780307236981</v>
      </c>
      <c r="BT205" s="456">
        <f t="shared" si="489"/>
        <v>9.658961224711767E-4</v>
      </c>
      <c r="BU205" s="456">
        <f t="shared" si="490"/>
        <v>6.9673680815340588E-2</v>
      </c>
      <c r="BV205" s="456"/>
      <c r="BW205" s="538">
        <f t="shared" si="533"/>
        <v>1.2499917298052754E-3</v>
      </c>
      <c r="BX205" s="144">
        <f t="shared" si="607"/>
        <v>261.79407876136599</v>
      </c>
      <c r="BY205" s="150">
        <f t="shared" si="608"/>
        <v>1.2653179122841705</v>
      </c>
      <c r="BZ205" s="5">
        <f t="shared" si="609"/>
        <v>7.6</v>
      </c>
      <c r="CA205" s="150">
        <f t="shared" si="610"/>
        <v>0.85727326139868143</v>
      </c>
      <c r="CB205" s="5">
        <f t="shared" si="611"/>
        <v>85.72732613986814</v>
      </c>
      <c r="CC205">
        <f t="shared" si="612"/>
        <v>95</v>
      </c>
      <c r="CE205" s="59">
        <f t="shared" si="534"/>
        <v>-50</v>
      </c>
      <c r="CF205">
        <f t="shared" si="535"/>
        <v>-50</v>
      </c>
      <c r="CG205" s="150">
        <f t="shared" si="536"/>
        <v>0.57198633493024875</v>
      </c>
      <c r="CH205" s="150">
        <f t="shared" si="537"/>
        <v>0.31031053622728111</v>
      </c>
      <c r="CI205" s="147">
        <v>95</v>
      </c>
      <c r="CJ205" s="188">
        <f t="shared" si="602"/>
        <v>1.1399999999999999</v>
      </c>
      <c r="CK205" s="188">
        <f t="shared" si="538"/>
        <v>0.23749999999999999</v>
      </c>
      <c r="CL205" s="188">
        <f t="shared" si="539"/>
        <v>5.6999999999999993</v>
      </c>
      <c r="CM205" s="188">
        <f t="shared" si="540"/>
        <v>1.9</v>
      </c>
      <c r="CN205" s="465">
        <f t="shared" si="541"/>
        <v>9</v>
      </c>
      <c r="CO205" s="379">
        <f t="shared" si="542"/>
        <v>5.7</v>
      </c>
      <c r="CP205" s="379">
        <f t="shared" si="543"/>
        <v>14.7</v>
      </c>
      <c r="CQ205" s="379"/>
      <c r="CR205" s="188">
        <f t="shared" si="544"/>
        <v>0.375</v>
      </c>
      <c r="CS205" s="149">
        <f t="shared" si="545"/>
        <v>6.328125</v>
      </c>
      <c r="CT205" s="149">
        <f t="shared" si="546"/>
        <v>2.8125</v>
      </c>
      <c r="CU205" s="188">
        <f t="shared" si="547"/>
        <v>1.265625</v>
      </c>
      <c r="CV205" s="188">
        <f t="shared" si="548"/>
        <v>0.791015625</v>
      </c>
      <c r="CW205" s="188">
        <f t="shared" si="549"/>
        <v>5</v>
      </c>
      <c r="CX205" s="188">
        <f t="shared" si="550"/>
        <v>4.5037037037037031</v>
      </c>
      <c r="CY205" s="188">
        <f t="shared" si="551"/>
        <v>6.0049382716049378</v>
      </c>
      <c r="CZ205" s="188">
        <f t="shared" si="552"/>
        <v>9.4814814814814792</v>
      </c>
      <c r="DA205" s="172">
        <f t="shared" si="553"/>
        <v>290.81632653061229</v>
      </c>
      <c r="DB205" s="379">
        <f t="shared" si="554"/>
        <v>64.572704081632665</v>
      </c>
      <c r="DD205" s="188">
        <f t="shared" si="555"/>
        <v>0.99999999999999978</v>
      </c>
      <c r="DE205" s="150">
        <f t="shared" si="556"/>
        <v>2.1052631578947363</v>
      </c>
      <c r="DF205" s="150">
        <f t="shared" si="557"/>
        <v>0.2295918367346938</v>
      </c>
      <c r="DG205" s="150"/>
      <c r="DH205" s="150">
        <f t="shared" si="558"/>
        <v>2.1052631578947367</v>
      </c>
      <c r="DI205" s="314">
        <f t="shared" si="559"/>
        <v>1083</v>
      </c>
      <c r="DJ205" s="456">
        <f t="shared" si="560"/>
        <v>0.3061224489795919</v>
      </c>
      <c r="DL205" s="150">
        <f t="shared" si="561"/>
        <v>1.9023794624226835</v>
      </c>
      <c r="DM205" s="150">
        <f t="shared" si="562"/>
        <v>4.5037037037037031</v>
      </c>
      <c r="DN205" s="150">
        <f t="shared" si="563"/>
        <v>3.7953360768175584</v>
      </c>
      <c r="DP205" s="314">
        <f t="shared" si="564"/>
        <v>1140</v>
      </c>
      <c r="DQ205" s="144">
        <f t="shared" si="565"/>
        <v>64.572704081632665</v>
      </c>
      <c r="DS205">
        <f t="shared" si="614"/>
        <v>1140</v>
      </c>
      <c r="DT205">
        <f t="shared" si="615"/>
        <v>64.572704081632665</v>
      </c>
      <c r="DV205" s="5">
        <f t="shared" si="568"/>
        <v>15.486419753086418</v>
      </c>
      <c r="DW205" s="5">
        <f t="shared" si="569"/>
        <v>6.0049382716049378</v>
      </c>
      <c r="DX205" s="5">
        <f t="shared" si="570"/>
        <v>9.481481481481481</v>
      </c>
      <c r="DY205" s="150">
        <f t="shared" si="571"/>
        <v>0.38775510204081637</v>
      </c>
      <c r="EA205" s="5">
        <f t="shared" si="572"/>
        <v>136.91259259259255</v>
      </c>
      <c r="EB205" s="5">
        <f t="shared" si="573"/>
        <v>17.827160493827158</v>
      </c>
      <c r="EC205" s="5">
        <f t="shared" si="574"/>
        <v>2.5020576131687235</v>
      </c>
      <c r="ED205" s="5"/>
      <c r="EE205" s="150">
        <f t="shared" si="575"/>
        <v>1.6191532051656492</v>
      </c>
      <c r="EF205" s="150">
        <f t="shared" si="576"/>
        <v>2.0345659443199731</v>
      </c>
      <c r="EG205" s="150">
        <f t="shared" si="577"/>
        <v>0.45478532873034694</v>
      </c>
      <c r="EH205" s="150"/>
      <c r="EI205" s="456">
        <f t="shared" si="578"/>
        <v>5.2433142035963901E-2</v>
      </c>
      <c r="EJ205" s="456">
        <f t="shared" si="579"/>
        <v>8.5500000000000007E-2</v>
      </c>
      <c r="EK205" s="456">
        <f t="shared" si="580"/>
        <v>8.0715880102040834E-3</v>
      </c>
      <c r="EL205" s="456">
        <f t="shared" si="581"/>
        <v>1.3953515625000003E-3</v>
      </c>
      <c r="EM205">
        <f t="shared" si="582"/>
        <v>4.0499999999999998E-3</v>
      </c>
      <c r="EN205" s="144">
        <f t="shared" si="583"/>
        <v>12.121588010204084</v>
      </c>
      <c r="EP205" s="144">
        <f t="shared" si="603"/>
        <v>151.450081608668</v>
      </c>
      <c r="EQ205" s="150">
        <f t="shared" si="584"/>
        <v>0.79799999999999993</v>
      </c>
      <c r="ER205" s="150">
        <f t="shared" si="585"/>
        <v>0.10539062499999999</v>
      </c>
      <c r="ES205" s="456"/>
      <c r="EU205" s="144">
        <f t="shared" si="497"/>
        <v>903.39062499999989</v>
      </c>
      <c r="EV205" s="456">
        <f t="shared" si="586"/>
        <v>7.8649713053945844E-2</v>
      </c>
      <c r="EW205" s="456">
        <f t="shared" si="587"/>
        <v>0.12418375745359871</v>
      </c>
      <c r="EX205" s="456">
        <f t="shared" si="588"/>
        <v>1.0341484761418485E-3</v>
      </c>
      <c r="EY205" s="456">
        <f t="shared" si="589"/>
        <v>7.2113564882065523E-2</v>
      </c>
      <c r="EZ205" s="456"/>
      <c r="FA205" s="538">
        <f t="shared" si="590"/>
        <v>1.3097505668934241E-3</v>
      </c>
      <c r="FB205" s="144">
        <f t="shared" si="613"/>
        <v>277.29093443264537</v>
      </c>
      <c r="FC205" s="150">
        <f t="shared" si="591"/>
        <v>1.3321316410413133</v>
      </c>
      <c r="FD205" s="5">
        <f t="shared" si="592"/>
        <v>7.6</v>
      </c>
      <c r="FE205" s="150">
        <f t="shared" si="593"/>
        <v>0.85086072456428641</v>
      </c>
      <c r="FF205" s="5">
        <f t="shared" si="594"/>
        <v>85.086072456428639</v>
      </c>
      <c r="FG205">
        <f t="shared" si="595"/>
        <v>95</v>
      </c>
      <c r="FI205" s="59">
        <f t="shared" si="596"/>
        <v>-50</v>
      </c>
      <c r="FJ205">
        <f t="shared" si="597"/>
        <v>-50</v>
      </c>
    </row>
    <row r="206" spans="5:166">
      <c r="E206" s="147">
        <v>96</v>
      </c>
      <c r="F206" s="188">
        <f t="shared" si="598"/>
        <v>1.1519999999999999</v>
      </c>
      <c r="G206" s="188">
        <f t="shared" si="499"/>
        <v>0.24</v>
      </c>
      <c r="H206" s="188">
        <f t="shared" si="500"/>
        <v>5.76</v>
      </c>
      <c r="I206" s="188">
        <f t="shared" si="501"/>
        <v>1.92</v>
      </c>
      <c r="J206" s="465">
        <f t="shared" si="502"/>
        <v>8.8416311029248842</v>
      </c>
      <c r="K206" s="379">
        <f t="shared" si="503"/>
        <v>5.7604210238767584</v>
      </c>
      <c r="L206" s="149">
        <f t="shared" si="504"/>
        <v>14.602052126801642</v>
      </c>
      <c r="M206" s="379"/>
      <c r="N206" s="188">
        <f t="shared" si="505"/>
        <v>0.39449393645867575</v>
      </c>
      <c r="O206" s="149">
        <f>N206*J206*Isw_max*0.5*Efficiency*Pout/(Pout+Pout2)</f>
        <v>6.5399434847030635</v>
      </c>
      <c r="P206" s="149">
        <f t="shared" si="507"/>
        <v>2.9066415487569168</v>
      </c>
      <c r="Q206" s="188">
        <f t="shared" si="508"/>
        <v>1.3079886969406127</v>
      </c>
      <c r="R206" s="188">
        <f t="shared" si="509"/>
        <v>0.81749293558788294</v>
      </c>
      <c r="S206" s="188">
        <f t="shared" si="510"/>
        <v>5</v>
      </c>
      <c r="T206" s="188">
        <f t="shared" si="511"/>
        <v>4.4037077793352859</v>
      </c>
      <c r="U206" s="188">
        <f t="shared" si="512"/>
        <v>5.9767810641344257</v>
      </c>
      <c r="V206" s="188">
        <f t="shared" si="513"/>
        <v>9.1737206591297262</v>
      </c>
      <c r="W206" s="172">
        <f t="shared" si="514"/>
        <v>290.66415487569168</v>
      </c>
      <c r="X206" s="379">
        <f t="shared" si="599"/>
        <v>65.144450522061419</v>
      </c>
      <c r="Z206" s="188">
        <f t="shared" si="515"/>
        <v>1</v>
      </c>
      <c r="AA206" s="150">
        <f t="shared" si="516"/>
        <v>2.0831810644153244</v>
      </c>
      <c r="AB206" s="150">
        <f>0.5*AA206*Z206*Nps*W206/1000*(Pout/(Pout+Pout2))</f>
        <v>0.22706477382799653</v>
      </c>
      <c r="AC206" s="150"/>
      <c r="AD206" s="150">
        <f t="shared" si="518"/>
        <v>2.0831810644153244</v>
      </c>
      <c r="AE206" s="314">
        <f>MAX(10, F206/(0.5*AD206/1000000*Isw_min*Nps)/1000*Pout_total/Pout)</f>
        <v>1106.0008365843375</v>
      </c>
      <c r="AF206" s="456">
        <f t="shared" si="520"/>
        <v>0.30275303177066204</v>
      </c>
      <c r="AH206" s="150">
        <f t="shared" si="521"/>
        <v>1.9123657749350298</v>
      </c>
      <c r="AI206" s="150">
        <f>MAX(IF(F206&gt;AB206,T206,AH206),Isw_min)</f>
        <v>4.4037077793352859</v>
      </c>
      <c r="AJ206" s="150">
        <f>IF(F206&gt;AF206, (AI206-Isw_min)/1.08*0.8+1.2, AE206*0.2/350+1)</f>
        <v>3.7212650217298417</v>
      </c>
      <c r="AL206" s="314">
        <f t="shared" si="524"/>
        <v>1152</v>
      </c>
      <c r="AM206" s="144">
        <f t="shared" si="525"/>
        <v>65.144450522061419</v>
      </c>
      <c r="AO206">
        <f t="shared" si="526"/>
        <v>1152</v>
      </c>
      <c r="AP206">
        <f t="shared" si="527"/>
        <v>65.144450522061419</v>
      </c>
      <c r="AR206" s="5">
        <f t="shared" si="616"/>
        <v>15.35050172326415</v>
      </c>
      <c r="AS206" s="5">
        <f t="shared" si="604"/>
        <v>5.9767810641344257</v>
      </c>
      <c r="AT206" s="5">
        <f t="shared" si="605"/>
        <v>9.3737206591297237</v>
      </c>
      <c r="AU206" s="150">
        <f t="shared" si="606"/>
        <v>0.3893541183136987</v>
      </c>
      <c r="AW206" s="5">
        <f t="shared" si="477"/>
        <v>137.70503571765715</v>
      </c>
      <c r="AX206" s="5">
        <f t="shared" si="478"/>
        <v>17.930343192403274</v>
      </c>
      <c r="AY206" s="5">
        <f t="shared" si="479"/>
        <v>2.5444320533197957</v>
      </c>
      <c r="AZ206" s="5"/>
      <c r="BA206" s="150">
        <f t="shared" si="480"/>
        <v>1.5864641090386886</v>
      </c>
      <c r="BB206" s="150">
        <f t="shared" si="481"/>
        <v>1.9867928174132263</v>
      </c>
      <c r="BC206" s="150">
        <f t="shared" si="482"/>
        <v>0.44410662977472121</v>
      </c>
      <c r="BD206" s="150"/>
      <c r="BE206" s="456">
        <f t="shared" si="483"/>
        <v>5.0337367385358399E-2</v>
      </c>
      <c r="BF206" s="456">
        <f t="shared" si="528"/>
        <v>7.8543650849701149E-2</v>
      </c>
      <c r="BG206" s="456">
        <f t="shared" si="529"/>
        <v>1.4399579997970235E-2</v>
      </c>
      <c r="BH206" s="456">
        <f t="shared" si="484"/>
        <v>1.3890094940069034E-3</v>
      </c>
      <c r="BI206">
        <f t="shared" si="485"/>
        <v>3.9787339963161979E-3</v>
      </c>
      <c r="BJ206" s="144">
        <f t="shared" si="600"/>
        <v>18.37831399428643</v>
      </c>
      <c r="BK206">
        <f t="shared" si="530"/>
        <v>0.14560254645537793</v>
      </c>
      <c r="BL206" s="144">
        <f t="shared" si="601"/>
        <v>148.6483417233529</v>
      </c>
      <c r="BM206" s="150">
        <f t="shared" si="531"/>
        <v>0.71567999999999987</v>
      </c>
      <c r="BN206" s="150">
        <f t="shared" si="532"/>
        <v>0.14909999999999998</v>
      </c>
      <c r="BO206" s="456"/>
      <c r="BQ206" s="144">
        <f t="shared" si="486"/>
        <v>864.77999999999986</v>
      </c>
      <c r="BR206" s="456">
        <f t="shared" si="487"/>
        <v>7.5506051078037595E-2</v>
      </c>
      <c r="BS206" s="456">
        <f t="shared" si="488"/>
        <v>0.11842037097974356</v>
      </c>
      <c r="BT206" s="456">
        <f t="shared" si="489"/>
        <v>9.8615349304930649E-4</v>
      </c>
      <c r="BU206" s="456">
        <f t="shared" si="490"/>
        <v>6.9696312096358043E-2</v>
      </c>
      <c r="BV206" s="456"/>
      <c r="BW206" s="538">
        <f t="shared" si="533"/>
        <v>1.2633230206663525E-3</v>
      </c>
      <c r="BX206" s="144">
        <f t="shared" si="607"/>
        <v>265.8722106678548</v>
      </c>
      <c r="BY206" s="150">
        <f t="shared" si="608"/>
        <v>1.2793005523912078</v>
      </c>
      <c r="BZ206" s="5">
        <f t="shared" si="609"/>
        <v>7.68</v>
      </c>
      <c r="CA206" s="150">
        <f t="shared" si="610"/>
        <v>0.85720977380876384</v>
      </c>
      <c r="CB206" s="5">
        <f t="shared" si="611"/>
        <v>85.720977380876377</v>
      </c>
      <c r="CC206">
        <f t="shared" si="612"/>
        <v>96</v>
      </c>
      <c r="CE206" s="59">
        <f t="shared" si="534"/>
        <v>-50</v>
      </c>
      <c r="CF206">
        <f t="shared" si="535"/>
        <v>-50</v>
      </c>
      <c r="CG206" s="150">
        <f t="shared" si="536"/>
        <v>0.57198633493024875</v>
      </c>
      <c r="CH206" s="150">
        <f t="shared" si="537"/>
        <v>0.31031053622728111</v>
      </c>
      <c r="CI206" s="147">
        <v>96</v>
      </c>
      <c r="CJ206" s="188">
        <f t="shared" si="602"/>
        <v>1.1519999999999999</v>
      </c>
      <c r="CK206" s="188">
        <f t="shared" si="538"/>
        <v>0.24</v>
      </c>
      <c r="CL206" s="188">
        <f t="shared" si="539"/>
        <v>5.76</v>
      </c>
      <c r="CM206" s="188">
        <f t="shared" si="540"/>
        <v>1.92</v>
      </c>
      <c r="CN206" s="465">
        <f t="shared" si="541"/>
        <v>9</v>
      </c>
      <c r="CO206" s="379">
        <f t="shared" si="542"/>
        <v>5.7</v>
      </c>
      <c r="CP206" s="379">
        <f t="shared" si="543"/>
        <v>14.7</v>
      </c>
      <c r="CQ206" s="379"/>
      <c r="CR206" s="188">
        <f t="shared" si="544"/>
        <v>0.375</v>
      </c>
      <c r="CS206" s="149">
        <f t="shared" si="545"/>
        <v>6.328125</v>
      </c>
      <c r="CT206" s="149">
        <f t="shared" si="546"/>
        <v>2.8125</v>
      </c>
      <c r="CU206" s="188">
        <f t="shared" si="547"/>
        <v>1.265625</v>
      </c>
      <c r="CV206" s="188">
        <f t="shared" si="548"/>
        <v>0.791015625</v>
      </c>
      <c r="CW206" s="188">
        <f t="shared" si="549"/>
        <v>5</v>
      </c>
      <c r="CX206" s="188">
        <f t="shared" si="550"/>
        <v>4.5511111111111111</v>
      </c>
      <c r="CY206" s="188">
        <f t="shared" si="551"/>
        <v>6.0681481481481478</v>
      </c>
      <c r="CZ206" s="188">
        <f t="shared" si="552"/>
        <v>9.5812865497076025</v>
      </c>
      <c r="DA206" s="172">
        <f t="shared" si="553"/>
        <v>290.81632653061229</v>
      </c>
      <c r="DB206" s="379">
        <f t="shared" si="554"/>
        <v>63.900071747448983</v>
      </c>
      <c r="DD206" s="188">
        <f t="shared" si="555"/>
        <v>0.99999999999999978</v>
      </c>
      <c r="DE206" s="150">
        <f t="shared" si="556"/>
        <v>2.1052631578947363</v>
      </c>
      <c r="DF206" s="150">
        <f t="shared" si="557"/>
        <v>0.2295918367346938</v>
      </c>
      <c r="DG206" s="150"/>
      <c r="DH206" s="150">
        <f t="shared" si="558"/>
        <v>2.1052631578947367</v>
      </c>
      <c r="DI206" s="314">
        <f t="shared" si="559"/>
        <v>1094.4000000000001</v>
      </c>
      <c r="DJ206" s="456">
        <f t="shared" si="560"/>
        <v>0.3061224489795919</v>
      </c>
      <c r="DL206" s="150">
        <f t="shared" si="561"/>
        <v>1.9123657749350298</v>
      </c>
      <c r="DM206" s="150">
        <f t="shared" si="562"/>
        <v>4.5511111111111111</v>
      </c>
      <c r="DN206" s="150">
        <f t="shared" si="563"/>
        <v>3.8304526748971197</v>
      </c>
      <c r="DP206" s="314">
        <f t="shared" si="564"/>
        <v>1152</v>
      </c>
      <c r="DQ206" s="144">
        <f t="shared" si="565"/>
        <v>63.900071747448983</v>
      </c>
      <c r="DS206">
        <f t="shared" si="614"/>
        <v>1152</v>
      </c>
      <c r="DT206">
        <f t="shared" si="615"/>
        <v>63.900071747448983</v>
      </c>
      <c r="DV206" s="5">
        <f t="shared" si="568"/>
        <v>15.649434697855749</v>
      </c>
      <c r="DW206" s="5">
        <f t="shared" si="569"/>
        <v>6.0681481481481478</v>
      </c>
      <c r="DX206" s="5">
        <f t="shared" si="570"/>
        <v>9.5812865497076025</v>
      </c>
      <c r="DY206" s="150">
        <f t="shared" si="571"/>
        <v>0.38775510204081631</v>
      </c>
      <c r="EA206" s="5">
        <f t="shared" si="572"/>
        <v>139.81013333333331</v>
      </c>
      <c r="EB206" s="5">
        <f t="shared" si="573"/>
        <v>18.204444444444444</v>
      </c>
      <c r="EC206" s="5">
        <f t="shared" si="574"/>
        <v>2.5550097465886936</v>
      </c>
      <c r="ED206" s="5"/>
      <c r="EE206" s="150">
        <f t="shared" si="575"/>
        <v>1.6361969231147615</v>
      </c>
      <c r="EF206" s="150">
        <f t="shared" si="576"/>
        <v>2.0559824279443939</v>
      </c>
      <c r="EG206" s="150">
        <f t="shared" si="577"/>
        <v>0.45957254271698222</v>
      </c>
      <c r="EH206" s="150"/>
      <c r="EI206" s="456">
        <f t="shared" si="578"/>
        <v>5.354280742420426E-2</v>
      </c>
      <c r="EJ206" s="456">
        <f t="shared" si="579"/>
        <v>8.5500000000000007E-2</v>
      </c>
      <c r="EK206" s="456">
        <f t="shared" si="580"/>
        <v>7.9875089684311226E-3</v>
      </c>
      <c r="EL206" s="456">
        <f t="shared" si="581"/>
        <v>1.380816650390625E-3</v>
      </c>
      <c r="EM206">
        <f t="shared" si="582"/>
        <v>4.0499999999999998E-3</v>
      </c>
      <c r="EN206" s="144">
        <f t="shared" si="583"/>
        <v>12.037508968431123</v>
      </c>
      <c r="EP206" s="144">
        <f t="shared" si="603"/>
        <v>152.46113304302602</v>
      </c>
      <c r="EQ206" s="150">
        <f t="shared" si="584"/>
        <v>0.80639999999999989</v>
      </c>
      <c r="ER206" s="150">
        <f t="shared" si="585"/>
        <v>0.1065</v>
      </c>
      <c r="ES206" s="456"/>
      <c r="EU206" s="144">
        <f t="shared" si="497"/>
        <v>912.9</v>
      </c>
      <c r="EV206" s="456">
        <f t="shared" si="586"/>
        <v>8.0314211136306379E-2</v>
      </c>
      <c r="EW206" s="456">
        <f t="shared" si="587"/>
        <v>0.12681191232048372</v>
      </c>
      <c r="EX206" s="456">
        <f t="shared" si="588"/>
        <v>1.0560346100967624E-3</v>
      </c>
      <c r="EY206" s="456">
        <f t="shared" si="589"/>
        <v>7.2113564882065592E-2</v>
      </c>
      <c r="EZ206" s="456"/>
      <c r="FA206" s="538">
        <f t="shared" si="590"/>
        <v>1.3235374149659866E-3</v>
      </c>
      <c r="FB206" s="144">
        <f t="shared" si="613"/>
        <v>281.61926036391844</v>
      </c>
      <c r="FC206" s="150">
        <f t="shared" si="591"/>
        <v>1.3469803934069444</v>
      </c>
      <c r="FD206" s="5">
        <f t="shared" si="592"/>
        <v>7.68</v>
      </c>
      <c r="FE206" s="150">
        <f t="shared" si="593"/>
        <v>0.85078283825776979</v>
      </c>
      <c r="FF206" s="5">
        <f t="shared" si="594"/>
        <v>85.078283825776978</v>
      </c>
      <c r="FG206">
        <f t="shared" si="595"/>
        <v>96</v>
      </c>
      <c r="FI206" s="59">
        <f t="shared" si="596"/>
        <v>-50</v>
      </c>
      <c r="FJ206">
        <f t="shared" si="597"/>
        <v>-50</v>
      </c>
    </row>
    <row r="207" spans="5:166">
      <c r="E207" s="147">
        <v>97</v>
      </c>
      <c r="F207" s="188">
        <f>IF(PLOT_TYPE=1, E207/100*Iout_max, min_I*EXP(O207*rr/100))</f>
        <v>1.1639999999999999</v>
      </c>
      <c r="G207" s="188">
        <f t="shared" si="499"/>
        <v>0.24249999999999999</v>
      </c>
      <c r="H207" s="188">
        <f t="shared" si="500"/>
        <v>5.8199999999999994</v>
      </c>
      <c r="I207" s="188">
        <f t="shared" si="501"/>
        <v>1.94</v>
      </c>
      <c r="J207" s="465">
        <f t="shared" si="502"/>
        <v>8.8399814269136847</v>
      </c>
      <c r="K207" s="379">
        <f t="shared" si="503"/>
        <v>5.7610504095421415</v>
      </c>
      <c r="L207" s="149">
        <f t="shared" si="504"/>
        <v>14.601031836455826</v>
      </c>
      <c r="M207" s="379"/>
      <c r="N207" s="188">
        <f t="shared" si="505"/>
        <v>0.39456460845170976</v>
      </c>
      <c r="O207" s="149">
        <f>N207*J207*Isw_max*0.5*Efficiency*Pout/(Pout+Pout2)</f>
        <v>6.5398946445573465</v>
      </c>
      <c r="P207" s="149">
        <f t="shared" si="507"/>
        <v>2.9066198420254872</v>
      </c>
      <c r="Q207" s="188">
        <f t="shared" si="508"/>
        <v>1.3079789289114694</v>
      </c>
      <c r="R207" s="188">
        <f t="shared" si="509"/>
        <v>0.81748683056966831</v>
      </c>
      <c r="S207" s="188">
        <f t="shared" si="510"/>
        <v>5</v>
      </c>
      <c r="T207" s="188">
        <f t="shared" si="511"/>
        <v>4.4496129649760805</v>
      </c>
      <c r="U207" s="188">
        <f t="shared" si="512"/>
        <v>6.0402112856423678</v>
      </c>
      <c r="V207" s="188">
        <f t="shared" si="513"/>
        <v>9.2683368108137323</v>
      </c>
      <c r="W207" s="172">
        <f t="shared" si="514"/>
        <v>290.66198420254869</v>
      </c>
      <c r="X207" s="379">
        <f t="shared" si="599"/>
        <v>64.480568637402797</v>
      </c>
      <c r="Z207" s="188">
        <f t="shared" si="515"/>
        <v>1</v>
      </c>
      <c r="AA207" s="150">
        <f t="shared" si="516"/>
        <v>2.0829534801716303</v>
      </c>
      <c r="AB207" s="150">
        <f>0.5*AA207*Z207*Nps*W207/1000*(Pout/(Pout+Pout2))</f>
        <v>0.22703827183060882</v>
      </c>
      <c r="AC207" s="150"/>
      <c r="AD207" s="150">
        <f t="shared" si="518"/>
        <v>2.0829534801716303</v>
      </c>
      <c r="AE207" s="314">
        <f>MAX(10, F207/(0.5*AD207/1000000*Isw_min*Nps)/1000*Pout_total/Pout)</f>
        <v>1117.6437794511753</v>
      </c>
      <c r="AF207" s="456">
        <f t="shared" si="520"/>
        <v>0.30271769577414515</v>
      </c>
      <c r="AH207" s="150">
        <f t="shared" si="521"/>
        <v>1.9223002094465096</v>
      </c>
      <c r="AI207" s="150">
        <f>MAX(IF(F207&gt;AB207,T207,AH207),Isw_min)</f>
        <v>4.4496129649760805</v>
      </c>
      <c r="AJ207" s="150">
        <f>IF(F207&gt;AF207, (AI207-Isw_min)/1.08*0.8+1.2, AE207*0.2/350+1)</f>
        <v>3.7552688629452451</v>
      </c>
      <c r="AL207" s="314">
        <f t="shared" si="524"/>
        <v>1164</v>
      </c>
      <c r="AM207" s="144">
        <f t="shared" si="525"/>
        <v>64.480568637402797</v>
      </c>
      <c r="AO207">
        <f t="shared" si="526"/>
        <v>1164</v>
      </c>
      <c r="AP207">
        <f t="shared" si="527"/>
        <v>64.480568637402797</v>
      </c>
      <c r="AR207" s="5">
        <f t="shared" si="616"/>
        <v>15.508548096456099</v>
      </c>
      <c r="AS207" s="5">
        <f t="shared" si="604"/>
        <v>6.0402112856423678</v>
      </c>
      <c r="AT207" s="5">
        <f t="shared" si="605"/>
        <v>9.4683368108137316</v>
      </c>
      <c r="AU207" s="150">
        <f t="shared" si="606"/>
        <v>0.38947625838827771</v>
      </c>
      <c r="AW207" s="5">
        <f t="shared" si="477"/>
        <v>140.61611872975433</v>
      </c>
      <c r="AX207" s="5">
        <f t="shared" si="478"/>
        <v>18.309390459603428</v>
      </c>
      <c r="AY207" s="5">
        <f t="shared" si="479"/>
        <v>2.5973716071753783</v>
      </c>
      <c r="AZ207" s="5"/>
      <c r="BA207" s="150">
        <f t="shared" si="480"/>
        <v>1.603253158486869</v>
      </c>
      <c r="BB207" s="150">
        <f t="shared" si="481"/>
        <v>2.0073027896067286</v>
      </c>
      <c r="BC207" s="150">
        <f t="shared" si="482"/>
        <v>0.44869121179444527</v>
      </c>
      <c r="BD207" s="150"/>
      <c r="BE207" s="456">
        <f t="shared" si="483"/>
        <v>5.1408413803962438E-2</v>
      </c>
      <c r="BF207" s="456">
        <f t="shared" si="528"/>
        <v>7.8548141834560964E-2</v>
      </c>
      <c r="BG207" s="456">
        <f t="shared" si="529"/>
        <v>1.4250175728786844E-2</v>
      </c>
      <c r="BH207" s="456">
        <f t="shared" si="484"/>
        <v>1.3746620854721615E-3</v>
      </c>
      <c r="BI207">
        <f t="shared" si="485"/>
        <v>3.9779916421111578E-3</v>
      </c>
      <c r="BJ207" s="144">
        <f t="shared" si="600"/>
        <v>18.228167370898003</v>
      </c>
      <c r="BK207">
        <f t="shared" si="530"/>
        <v>0.14700712847340935</v>
      </c>
      <c r="BL207" s="144">
        <f t="shared" si="601"/>
        <v>149.55938509489354</v>
      </c>
      <c r="BM207" s="150">
        <f t="shared" si="531"/>
        <v>0.72313499999999986</v>
      </c>
      <c r="BN207" s="150">
        <f t="shared" si="532"/>
        <v>0.15065312499999997</v>
      </c>
      <c r="BO207" s="456"/>
      <c r="BQ207" s="144">
        <f t="shared" si="486"/>
        <v>873.78812499999981</v>
      </c>
      <c r="BR207" s="456">
        <f t="shared" si="487"/>
        <v>7.7112620705943644E-2</v>
      </c>
      <c r="BS207" s="456">
        <f t="shared" si="488"/>
        <v>0.12087793467488862</v>
      </c>
      <c r="BT207" s="456">
        <f t="shared" si="489"/>
        <v>1.0066190177078387E-3</v>
      </c>
      <c r="BU207" s="456">
        <f t="shared" si="490"/>
        <v>6.9718453267730338E-2</v>
      </c>
      <c r="BV207" s="456"/>
      <c r="BW207" s="538">
        <f t="shared" si="533"/>
        <v>1.2766543595791255E-3</v>
      </c>
      <c r="BX207" s="144">
        <f t="shared" si="607"/>
        <v>269.99228202584959</v>
      </c>
      <c r="BY207" s="150">
        <f t="shared" si="608"/>
        <v>1.293339792120743</v>
      </c>
      <c r="BZ207" s="5">
        <f t="shared" si="609"/>
        <v>7.76</v>
      </c>
      <c r="CA207" s="150">
        <f t="shared" si="610"/>
        <v>0.85714224564438013</v>
      </c>
      <c r="CB207" s="5">
        <f t="shared" si="611"/>
        <v>85.714224564438013</v>
      </c>
      <c r="CC207">
        <f t="shared" si="612"/>
        <v>97</v>
      </c>
      <c r="CE207" s="59">
        <f t="shared" si="534"/>
        <v>-50</v>
      </c>
      <c r="CF207">
        <f t="shared" si="535"/>
        <v>-50</v>
      </c>
      <c r="CG207" s="150">
        <f t="shared" si="536"/>
        <v>0.57198633493024886</v>
      </c>
      <c r="CH207" s="150">
        <f t="shared" si="537"/>
        <v>0.31031053622728111</v>
      </c>
      <c r="CI207" s="147">
        <v>97</v>
      </c>
      <c r="CJ207" s="188">
        <f t="shared" si="602"/>
        <v>1.1639999999999999</v>
      </c>
      <c r="CK207" s="188">
        <f t="shared" si="538"/>
        <v>0.24249999999999999</v>
      </c>
      <c r="CL207" s="188">
        <f t="shared" si="539"/>
        <v>5.8199999999999994</v>
      </c>
      <c r="CM207" s="188">
        <f t="shared" si="540"/>
        <v>1.94</v>
      </c>
      <c r="CN207" s="465">
        <f t="shared" si="541"/>
        <v>9</v>
      </c>
      <c r="CO207" s="379">
        <f t="shared" si="542"/>
        <v>5.7</v>
      </c>
      <c r="CP207" s="379">
        <f t="shared" si="543"/>
        <v>14.7</v>
      </c>
      <c r="CQ207" s="379"/>
      <c r="CR207" s="188">
        <f t="shared" si="544"/>
        <v>0.375</v>
      </c>
      <c r="CS207" s="149">
        <f t="shared" si="545"/>
        <v>6.328125</v>
      </c>
      <c r="CT207" s="149">
        <f t="shared" si="546"/>
        <v>2.8125</v>
      </c>
      <c r="CU207" s="188">
        <f t="shared" si="547"/>
        <v>1.265625</v>
      </c>
      <c r="CV207" s="188">
        <f t="shared" si="548"/>
        <v>0.791015625</v>
      </c>
      <c r="CW207" s="188">
        <f t="shared" si="549"/>
        <v>5</v>
      </c>
      <c r="CX207" s="188">
        <f t="shared" si="550"/>
        <v>4.5985185185185182</v>
      </c>
      <c r="CY207" s="188">
        <f t="shared" si="551"/>
        <v>6.1313580246913579</v>
      </c>
      <c r="CZ207" s="188">
        <f t="shared" si="552"/>
        <v>9.6810916179337223</v>
      </c>
      <c r="DA207" s="172">
        <f t="shared" si="553"/>
        <v>290.81632653061229</v>
      </c>
      <c r="DB207" s="379">
        <f t="shared" si="554"/>
        <v>63.241308121186627</v>
      </c>
      <c r="DD207" s="188">
        <f t="shared" si="555"/>
        <v>0.99999999999999978</v>
      </c>
      <c r="DE207" s="150">
        <f t="shared" si="556"/>
        <v>2.1052631578947363</v>
      </c>
      <c r="DF207" s="150">
        <f t="shared" si="557"/>
        <v>0.2295918367346938</v>
      </c>
      <c r="DG207" s="150"/>
      <c r="DH207" s="150">
        <f t="shared" si="558"/>
        <v>2.1052631578947367</v>
      </c>
      <c r="DI207" s="314">
        <f t="shared" si="559"/>
        <v>1105.8</v>
      </c>
      <c r="DJ207" s="456">
        <f t="shared" si="560"/>
        <v>0.3061224489795919</v>
      </c>
      <c r="DL207" s="150">
        <f t="shared" si="561"/>
        <v>1.9223002094465096</v>
      </c>
      <c r="DM207" s="150">
        <f t="shared" si="562"/>
        <v>4.5985185185185182</v>
      </c>
      <c r="DN207" s="150">
        <f t="shared" si="563"/>
        <v>3.8655692729766802</v>
      </c>
      <c r="DP207" s="314">
        <f t="shared" si="564"/>
        <v>1164</v>
      </c>
      <c r="DQ207" s="144">
        <f t="shared" si="565"/>
        <v>63.241308121186627</v>
      </c>
      <c r="DS207">
        <f t="shared" si="614"/>
        <v>1164</v>
      </c>
      <c r="DT207">
        <f t="shared" si="615"/>
        <v>63.241308121186627</v>
      </c>
      <c r="DV207" s="5">
        <f t="shared" si="568"/>
        <v>15.812449642625081</v>
      </c>
      <c r="DW207" s="5">
        <f t="shared" si="569"/>
        <v>6.1313580246913579</v>
      </c>
      <c r="DX207" s="5">
        <f t="shared" si="570"/>
        <v>9.6810916179337241</v>
      </c>
      <c r="DY207" s="150">
        <f t="shared" si="571"/>
        <v>0.38775510204081631</v>
      </c>
      <c r="EA207" s="5">
        <f t="shared" si="572"/>
        <v>142.73801481481482</v>
      </c>
      <c r="EB207" s="5">
        <f t="shared" si="573"/>
        <v>18.585679012345683</v>
      </c>
      <c r="EC207" s="5">
        <f t="shared" si="574"/>
        <v>2.6085163526099193</v>
      </c>
      <c r="ED207" s="5"/>
      <c r="EE207" s="150">
        <f t="shared" si="575"/>
        <v>1.6532406410638736</v>
      </c>
      <c r="EF207" s="150">
        <f t="shared" si="576"/>
        <v>2.0773989115688147</v>
      </c>
      <c r="EG207" s="150">
        <f t="shared" si="577"/>
        <v>0.4643597567036174</v>
      </c>
      <c r="EH207" s="150"/>
      <c r="EI207" s="456">
        <f t="shared" si="578"/>
        <v>5.4664092345305754E-2</v>
      </c>
      <c r="EJ207" s="456">
        <f t="shared" si="579"/>
        <v>8.5500000000000007E-2</v>
      </c>
      <c r="EK207" s="456">
        <f t="shared" si="580"/>
        <v>7.9051635151483265E-3</v>
      </c>
      <c r="EL207" s="456">
        <f t="shared" si="581"/>
        <v>1.3665814271907218E-3</v>
      </c>
      <c r="EM207">
        <f t="shared" si="582"/>
        <v>4.0499999999999998E-3</v>
      </c>
      <c r="EN207" s="144">
        <f t="shared" si="583"/>
        <v>11.955163515148326</v>
      </c>
      <c r="EP207" s="144">
        <f t="shared" si="603"/>
        <v>153.48583728764481</v>
      </c>
      <c r="EQ207" s="150">
        <f t="shared" si="584"/>
        <v>0.81479999999999986</v>
      </c>
      <c r="ER207" s="150">
        <f t="shared" si="585"/>
        <v>0.10760937499999999</v>
      </c>
      <c r="ES207" s="456"/>
      <c r="EU207" s="144">
        <f t="shared" si="497"/>
        <v>922.40937499999984</v>
      </c>
      <c r="EV207" s="456">
        <f t="shared" si="586"/>
        <v>8.1996138517958617E-2</v>
      </c>
      <c r="EW207" s="456">
        <f t="shared" si="587"/>
        <v>0.12946758713361889</v>
      </c>
      <c r="EX207" s="456">
        <f t="shared" si="588"/>
        <v>1.0781499182292136E-3</v>
      </c>
      <c r="EY207" s="456">
        <f t="shared" si="589"/>
        <v>7.2113564882065564E-2</v>
      </c>
      <c r="EZ207" s="456"/>
      <c r="FA207" s="538">
        <f t="shared" si="590"/>
        <v>1.3373242630385488E-3</v>
      </c>
      <c r="FB207" s="144">
        <f t="shared" si="613"/>
        <v>285.99276471491089</v>
      </c>
      <c r="FC207" s="150">
        <f t="shared" si="591"/>
        <v>1.3618879770025556</v>
      </c>
      <c r="FD207" s="5">
        <f t="shared" si="592"/>
        <v>7.76</v>
      </c>
      <c r="FE207" s="150">
        <f t="shared" si="593"/>
        <v>0.85070108507843456</v>
      </c>
      <c r="FF207" s="5">
        <f t="shared" si="594"/>
        <v>85.070108507843457</v>
      </c>
      <c r="FG207">
        <f t="shared" si="595"/>
        <v>97</v>
      </c>
      <c r="FI207" s="59">
        <f t="shared" si="596"/>
        <v>-50</v>
      </c>
      <c r="FJ207">
        <f t="shared" si="597"/>
        <v>-50</v>
      </c>
    </row>
    <row r="208" spans="5:166">
      <c r="E208" s="147">
        <v>98</v>
      </c>
      <c r="F208" s="188">
        <f>IF(PLOT_TYPE=1, E208/100*Iout_max, min_I*EXP(O208*rr/100))</f>
        <v>1.1759999999999999</v>
      </c>
      <c r="G208" s="188">
        <f t="shared" si="499"/>
        <v>0.245</v>
      </c>
      <c r="H208" s="188">
        <f t="shared" si="500"/>
        <v>5.88</v>
      </c>
      <c r="I208" s="188">
        <f t="shared" si="501"/>
        <v>1.96</v>
      </c>
      <c r="J208" s="465">
        <f t="shared" si="502"/>
        <v>8.8383317509024852</v>
      </c>
      <c r="K208" s="379">
        <f t="shared" si="503"/>
        <v>5.7616797952075238</v>
      </c>
      <c r="L208" s="149">
        <f t="shared" si="504"/>
        <v>14.600011546110009</v>
      </c>
      <c r="M208" s="379"/>
      <c r="N208" s="188">
        <f t="shared" si="505"/>
        <v>0.39463529032226358</v>
      </c>
      <c r="O208" s="149">
        <f>N208*J208*Isw_max*0.5*Efficiency*Pout/(Pout+Pout2)</f>
        <v>6.5398455309035288</v>
      </c>
      <c r="P208" s="149">
        <f t="shared" si="507"/>
        <v>2.9065980137349019</v>
      </c>
      <c r="Q208" s="188">
        <f t="shared" si="508"/>
        <v>1.3079691061807057</v>
      </c>
      <c r="R208" s="188">
        <f t="shared" si="509"/>
        <v>0.8174806913629411</v>
      </c>
      <c r="S208" s="188">
        <f t="shared" si="510"/>
        <v>5</v>
      </c>
      <c r="T208" s="188">
        <f t="shared" si="511"/>
        <v>4.4955190242755112</v>
      </c>
      <c r="U208" s="188">
        <f t="shared" si="512"/>
        <v>6.1036663718577513</v>
      </c>
      <c r="V208" s="188">
        <f t="shared" si="513"/>
        <v>9.3629341110170277</v>
      </c>
      <c r="W208" s="172">
        <f t="shared" si="514"/>
        <v>290.65980137349021</v>
      </c>
      <c r="X208" s="379">
        <f t="shared" si="599"/>
        <v>63.830056883949005</v>
      </c>
      <c r="Z208" s="188">
        <f t="shared" si="515"/>
        <v>1</v>
      </c>
      <c r="AA208" s="150">
        <f t="shared" si="516"/>
        <v>2.0827259456489431</v>
      </c>
      <c r="AB208" s="150">
        <f>0.5*AA208*Z208*Nps*W208/1000*(Pout/(Pout+Pout2))</f>
        <v>0.22701176612915114</v>
      </c>
      <c r="AC208" s="150"/>
      <c r="AD208" s="150">
        <f t="shared" si="518"/>
        <v>2.0827259456489431</v>
      </c>
      <c r="AE208" s="314">
        <f>MAX(10, F208/(0.5*AD208/1000000*Isw_min*Nps)/1000*Pout_total/Pout)</f>
        <v>1129.2892398606746</v>
      </c>
      <c r="AF208" s="456">
        <f t="shared" si="520"/>
        <v>0.30268235483886824</v>
      </c>
      <c r="AH208" s="150">
        <f t="shared" si="521"/>
        <v>1.9321835661585918</v>
      </c>
      <c r="AI208" s="150">
        <f>MAX(IF(F208&gt;AB208,T208,AH208),Isw_min)</f>
        <v>4.4955190242755112</v>
      </c>
      <c r="AJ208" s="150">
        <f>IF(F208&gt;AF208, (AI208-Isw_min)/1.08*0.8+1.2, AE208*0.2/350+1)</f>
        <v>3.7892733513151935</v>
      </c>
      <c r="AL208" s="314">
        <f t="shared" si="524"/>
        <v>1176</v>
      </c>
      <c r="AM208" s="144">
        <f t="shared" si="525"/>
        <v>63.830056883949005</v>
      </c>
      <c r="AO208">
        <f t="shared" si="526"/>
        <v>1176</v>
      </c>
      <c r="AP208">
        <f t="shared" si="527"/>
        <v>63.830056883949005</v>
      </c>
      <c r="AR208" s="5">
        <f t="shared" si="616"/>
        <v>15.666600482874777</v>
      </c>
      <c r="AS208" s="5">
        <f t="shared" si="604"/>
        <v>6.1036663718577513</v>
      </c>
      <c r="AT208" s="5">
        <f t="shared" si="605"/>
        <v>9.5629341110170252</v>
      </c>
      <c r="AU208" s="150">
        <f t="shared" si="606"/>
        <v>0.38959737171632691</v>
      </c>
      <c r="AW208" s="5">
        <f t="shared" si="477"/>
        <v>143.55823306609432</v>
      </c>
      <c r="AX208" s="5">
        <f t="shared" si="478"/>
        <v>18.692478263814365</v>
      </c>
      <c r="AY208" s="5">
        <f t="shared" si="479"/>
        <v>2.6508609579629487</v>
      </c>
      <c r="AZ208" s="5"/>
      <c r="BA208" s="150">
        <f t="shared" si="480"/>
        <v>1.6200455356514172</v>
      </c>
      <c r="BB208" s="150">
        <f t="shared" si="481"/>
        <v>2.0278106983370665</v>
      </c>
      <c r="BC208" s="150">
        <f t="shared" si="482"/>
        <v>0.4532753325694619</v>
      </c>
      <c r="BD208" s="150"/>
      <c r="BE208" s="456">
        <f t="shared" si="483"/>
        <v>5.2490950751681746E-2</v>
      </c>
      <c r="BF208" s="456">
        <f t="shared" si="528"/>
        <v>7.855241521436615E-2</v>
      </c>
      <c r="BG208" s="456">
        <f t="shared" si="529"/>
        <v>1.4103780460482955E-2</v>
      </c>
      <c r="BH208" s="456">
        <f t="shared" si="484"/>
        <v>1.3606036445465753E-3</v>
      </c>
      <c r="BI208">
        <f t="shared" si="485"/>
        <v>3.9772492879061186E-3</v>
      </c>
      <c r="BJ208" s="144">
        <f t="shared" si="600"/>
        <v>18.081029748389074</v>
      </c>
      <c r="BK208">
        <f t="shared" si="530"/>
        <v>0.14842769423686597</v>
      </c>
      <c r="BL208" s="144">
        <f t="shared" si="601"/>
        <v>150.48499935898357</v>
      </c>
      <c r="BM208" s="150">
        <f t="shared" si="531"/>
        <v>0.73058999999999985</v>
      </c>
      <c r="BN208" s="150">
        <f t="shared" si="532"/>
        <v>0.15220624999999999</v>
      </c>
      <c r="BO208" s="456"/>
      <c r="BQ208" s="144">
        <f t="shared" si="486"/>
        <v>882.79624999999987</v>
      </c>
      <c r="BR208" s="456">
        <f t="shared" si="487"/>
        <v>7.8736426127522616E-2</v>
      </c>
      <c r="BS208" s="456">
        <f t="shared" si="488"/>
        <v>0.12336048684870783</v>
      </c>
      <c r="BT208" s="456">
        <f t="shared" si="489"/>
        <v>1.0272926355797815E-3</v>
      </c>
      <c r="BU208" s="456">
        <f t="shared" si="490"/>
        <v>6.9740118770002218E-2</v>
      </c>
      <c r="BV208" s="456"/>
      <c r="BW208" s="538">
        <f t="shared" si="533"/>
        <v>1.2899857451343282E-3</v>
      </c>
      <c r="BX208" s="144">
        <f t="shared" si="607"/>
        <v>274.15431012694677</v>
      </c>
      <c r="BY208" s="150">
        <f t="shared" si="608"/>
        <v>1.3074355594859302</v>
      </c>
      <c r="BZ208" s="5">
        <f t="shared" si="609"/>
        <v>7.84</v>
      </c>
      <c r="CA208" s="150">
        <f t="shared" si="610"/>
        <v>0.85707080951993009</v>
      </c>
      <c r="CB208" s="5">
        <f t="shared" si="611"/>
        <v>85.707080951993007</v>
      </c>
      <c r="CC208">
        <f t="shared" si="612"/>
        <v>98</v>
      </c>
      <c r="CE208" s="59">
        <f t="shared" si="534"/>
        <v>-50</v>
      </c>
      <c r="CF208">
        <f t="shared" si="535"/>
        <v>-50</v>
      </c>
      <c r="CG208" s="150">
        <f t="shared" si="536"/>
        <v>0.57198633493024875</v>
      </c>
      <c r="CH208" s="150">
        <f t="shared" si="537"/>
        <v>0.31031053622728111</v>
      </c>
      <c r="CI208" s="147">
        <v>98</v>
      </c>
      <c r="CJ208" s="188">
        <f t="shared" si="602"/>
        <v>1.1759999999999999</v>
      </c>
      <c r="CK208" s="188">
        <f t="shared" si="538"/>
        <v>0.245</v>
      </c>
      <c r="CL208" s="188">
        <f t="shared" si="539"/>
        <v>5.88</v>
      </c>
      <c r="CM208" s="188">
        <f t="shared" si="540"/>
        <v>1.96</v>
      </c>
      <c r="CN208" s="465">
        <f t="shared" si="541"/>
        <v>9</v>
      </c>
      <c r="CO208" s="379">
        <f t="shared" si="542"/>
        <v>5.7</v>
      </c>
      <c r="CP208" s="379">
        <f t="shared" si="543"/>
        <v>14.7</v>
      </c>
      <c r="CQ208" s="379"/>
      <c r="CR208" s="188">
        <f t="shared" si="544"/>
        <v>0.375</v>
      </c>
      <c r="CS208" s="149">
        <f t="shared" si="545"/>
        <v>6.328125</v>
      </c>
      <c r="CT208" s="149">
        <f t="shared" si="546"/>
        <v>2.8125</v>
      </c>
      <c r="CU208" s="188">
        <f t="shared" si="547"/>
        <v>1.265625</v>
      </c>
      <c r="CV208" s="188">
        <f t="shared" si="548"/>
        <v>0.791015625</v>
      </c>
      <c r="CW208" s="188">
        <f t="shared" si="549"/>
        <v>5</v>
      </c>
      <c r="CX208" s="188">
        <f t="shared" si="550"/>
        <v>4.6459259259259262</v>
      </c>
      <c r="CY208" s="188">
        <f t="shared" si="551"/>
        <v>6.194567901234568</v>
      </c>
      <c r="CZ208" s="188">
        <f t="shared" si="552"/>
        <v>9.7808966861598439</v>
      </c>
      <c r="DA208" s="172">
        <f t="shared" si="553"/>
        <v>290.81632653061229</v>
      </c>
      <c r="DB208" s="379">
        <f t="shared" si="554"/>
        <v>62.595988650562262</v>
      </c>
      <c r="DD208" s="188">
        <f t="shared" si="555"/>
        <v>0.99999999999999978</v>
      </c>
      <c r="DE208" s="150">
        <f t="shared" si="556"/>
        <v>2.1052631578947363</v>
      </c>
      <c r="DF208" s="150">
        <f t="shared" si="557"/>
        <v>0.2295918367346938</v>
      </c>
      <c r="DG208" s="150"/>
      <c r="DH208" s="150">
        <f t="shared" si="558"/>
        <v>2.1052631578947367</v>
      </c>
      <c r="DI208" s="314">
        <f t="shared" si="559"/>
        <v>1117.2</v>
      </c>
      <c r="DJ208" s="456">
        <f t="shared" si="560"/>
        <v>0.3061224489795919</v>
      </c>
      <c r="DL208" s="150">
        <f t="shared" si="561"/>
        <v>1.9321835661585918</v>
      </c>
      <c r="DM208" s="150">
        <f t="shared" si="562"/>
        <v>4.6459259259259262</v>
      </c>
      <c r="DN208" s="150">
        <f t="shared" si="563"/>
        <v>3.9006858710562415</v>
      </c>
      <c r="DP208" s="314">
        <f t="shared" si="564"/>
        <v>1176</v>
      </c>
      <c r="DQ208" s="144">
        <f t="shared" si="565"/>
        <v>62.595988650562262</v>
      </c>
      <c r="DS208">
        <f t="shared" si="614"/>
        <v>1176</v>
      </c>
      <c r="DT208">
        <f t="shared" si="615"/>
        <v>62.595988650562262</v>
      </c>
      <c r="DV208" s="5">
        <f t="shared" si="568"/>
        <v>15.975464587394413</v>
      </c>
      <c r="DW208" s="5">
        <f t="shared" si="569"/>
        <v>6.194567901234568</v>
      </c>
      <c r="DX208" s="5">
        <f t="shared" si="570"/>
        <v>9.7808966861598456</v>
      </c>
      <c r="DY208" s="150">
        <f t="shared" si="571"/>
        <v>0.38775510204081631</v>
      </c>
      <c r="EA208" s="5">
        <f t="shared" si="572"/>
        <v>145.69623703703704</v>
      </c>
      <c r="EB208" s="5">
        <f t="shared" si="573"/>
        <v>18.970864197530865</v>
      </c>
      <c r="EC208" s="5">
        <f t="shared" si="574"/>
        <v>2.662577431232402</v>
      </c>
      <c r="ED208" s="5"/>
      <c r="EE208" s="150">
        <f t="shared" si="575"/>
        <v>1.6702843590129859</v>
      </c>
      <c r="EF208" s="150">
        <f t="shared" si="576"/>
        <v>2.0988153951932356</v>
      </c>
      <c r="EG208" s="150">
        <f t="shared" si="577"/>
        <v>0.46914697069025274</v>
      </c>
      <c r="EH208" s="150"/>
      <c r="EI208" s="456">
        <f t="shared" si="578"/>
        <v>5.5796996799268424E-2</v>
      </c>
      <c r="EJ208" s="456">
        <f t="shared" si="579"/>
        <v>8.5500000000000007E-2</v>
      </c>
      <c r="EK208" s="456">
        <f t="shared" si="580"/>
        <v>7.8244985813202828E-3</v>
      </c>
      <c r="EL208" s="456">
        <f t="shared" si="581"/>
        <v>1.3526367187499998E-3</v>
      </c>
      <c r="EM208">
        <f t="shared" si="582"/>
        <v>4.0499999999999998E-3</v>
      </c>
      <c r="EN208" s="144">
        <f t="shared" si="583"/>
        <v>11.874498581320282</v>
      </c>
      <c r="EP208" s="144">
        <f t="shared" si="603"/>
        <v>154.52413209933871</v>
      </c>
      <c r="EQ208" s="150">
        <f t="shared" si="584"/>
        <v>0.82319999999999993</v>
      </c>
      <c r="ER208" s="150">
        <f t="shared" si="585"/>
        <v>0.10871874999999999</v>
      </c>
      <c r="ES208" s="456"/>
      <c r="EU208" s="144">
        <f t="shared" si="497"/>
        <v>931.91874999999993</v>
      </c>
      <c r="EV208" s="456">
        <f t="shared" si="586"/>
        <v>8.3695495198902639E-2</v>
      </c>
      <c r="EW208" s="456">
        <f t="shared" si="587"/>
        <v>0.13215078189300414</v>
      </c>
      <c r="EX208" s="456">
        <f t="shared" si="588"/>
        <v>1.1004944005392045E-3</v>
      </c>
      <c r="EY208" s="456">
        <f t="shared" si="589"/>
        <v>7.2113564882065453E-2</v>
      </c>
      <c r="EZ208" s="456"/>
      <c r="FA208" s="538">
        <f t="shared" si="590"/>
        <v>1.3511111111111113E-3</v>
      </c>
      <c r="FB208" s="144">
        <f t="shared" si="613"/>
        <v>290.4114474856226</v>
      </c>
      <c r="FC208" s="150">
        <f t="shared" si="591"/>
        <v>1.3768543295849611</v>
      </c>
      <c r="FD208" s="5">
        <f t="shared" si="592"/>
        <v>7.84</v>
      </c>
      <c r="FE208" s="150">
        <f t="shared" si="593"/>
        <v>0.8506155917897682</v>
      </c>
      <c r="FF208" s="5">
        <f t="shared" si="594"/>
        <v>85.061559178976822</v>
      </c>
      <c r="FG208">
        <f t="shared" si="595"/>
        <v>98</v>
      </c>
      <c r="FI208" s="59">
        <f t="shared" si="596"/>
        <v>-50</v>
      </c>
      <c r="FJ208">
        <f t="shared" si="597"/>
        <v>-50</v>
      </c>
    </row>
    <row r="209" spans="1:169">
      <c r="E209" s="147">
        <v>99</v>
      </c>
      <c r="F209" s="188">
        <f>IF(PLOT_TYPE=1, E209/100*Iout_max, min_I*EXP(O209*rr/100))</f>
        <v>1.1879999999999999</v>
      </c>
      <c r="G209" s="188">
        <f t="shared" si="499"/>
        <v>0.2475</v>
      </c>
      <c r="H209" s="188">
        <f t="shared" si="500"/>
        <v>5.9399999999999995</v>
      </c>
      <c r="I209" s="188">
        <f t="shared" si="501"/>
        <v>1.98</v>
      </c>
      <c r="J209" s="465">
        <f t="shared" si="502"/>
        <v>8.8366820748912875</v>
      </c>
      <c r="K209" s="379">
        <f t="shared" si="503"/>
        <v>5.762309180872907</v>
      </c>
      <c r="L209" s="149">
        <f t="shared" si="504"/>
        <v>14.598991255764194</v>
      </c>
      <c r="M209" s="379"/>
      <c r="N209" s="188">
        <f t="shared" si="505"/>
        <v>0.39470598207240826</v>
      </c>
      <c r="O209" s="149">
        <f>N209*J209*Isw_max*0.5*Efficiency*Pout/(Pout+Pout2)</f>
        <v>6.5397961436842724</v>
      </c>
      <c r="P209" s="149">
        <f t="shared" si="507"/>
        <v>2.9065760638596765</v>
      </c>
      <c r="Q209" s="188">
        <f t="shared" si="508"/>
        <v>1.3079592287368544</v>
      </c>
      <c r="R209" s="188">
        <f t="shared" si="509"/>
        <v>0.81747451796053405</v>
      </c>
      <c r="S209" s="188">
        <f t="shared" si="510"/>
        <v>5</v>
      </c>
      <c r="T209" s="188">
        <f t="shared" si="511"/>
        <v>4.5414259630527489</v>
      </c>
      <c r="U209" s="188">
        <f t="shared" si="512"/>
        <v>6.1671463446084687</v>
      </c>
      <c r="V209" s="188">
        <f t="shared" si="513"/>
        <v>9.4575125780351588</v>
      </c>
      <c r="W209" s="172">
        <f t="shared" si="514"/>
        <v>290.65760638596771</v>
      </c>
      <c r="X209" s="379">
        <f t="shared" si="599"/>
        <v>63.192515231345197</v>
      </c>
      <c r="Z209" s="188">
        <f t="shared" si="515"/>
        <v>0.99999999999999978</v>
      </c>
      <c r="AA209" s="150">
        <f t="shared" si="516"/>
        <v>2.08249846083097</v>
      </c>
      <c r="AB209" s="150">
        <f>0.5*AA209*Z209*Nps*W209/1000*(Pout/(Pout+Pout2))</f>
        <v>0.22698525672284681</v>
      </c>
      <c r="AC209" s="150"/>
      <c r="AD209" s="150">
        <f t="shared" si="518"/>
        <v>2.0824984608309705</v>
      </c>
      <c r="AE209" s="314">
        <f>MAX(10, F209/(0.5*AD209/1000000*Isw_min*Nps)/1000*Pout_total/Pout)</f>
        <v>1140.9372178128356</v>
      </c>
      <c r="AF209" s="456">
        <f t="shared" si="520"/>
        <v>0.30264700896379593</v>
      </c>
      <c r="AH209" s="150">
        <f t="shared" si="521"/>
        <v>1.9420166249104489</v>
      </c>
      <c r="AI209" s="150">
        <f>MAX(IF(F209&gt;AB209,T209,AH209),Isw_min)</f>
        <v>4.5414259630527489</v>
      </c>
      <c r="AJ209" s="150">
        <f>IF(F209&gt;AF209, (AI209-Isw_min)/1.08*0.8+1.2, AE209*0.2/350+1)</f>
        <v>3.8232784911501847</v>
      </c>
      <c r="AL209" s="314">
        <f t="shared" si="524"/>
        <v>1188</v>
      </c>
      <c r="AM209" s="144">
        <f t="shared" si="525"/>
        <v>63.192515231345197</v>
      </c>
      <c r="AO209">
        <f t="shared" si="526"/>
        <v>1188</v>
      </c>
      <c r="AP209">
        <f t="shared" si="527"/>
        <v>63.192515231345197</v>
      </c>
      <c r="AR209" s="5">
        <f t="shared" si="616"/>
        <v>15.824658922643627</v>
      </c>
      <c r="AS209" s="5">
        <f t="shared" si="604"/>
        <v>6.1671463446084687</v>
      </c>
      <c r="AT209" s="5">
        <f t="shared" si="605"/>
        <v>9.6575125780351581</v>
      </c>
      <c r="AU209" s="150">
        <f t="shared" si="606"/>
        <v>0.38971748931560551</v>
      </c>
      <c r="AW209" s="5">
        <f t="shared" si="477"/>
        <v>146.5313971478972</v>
      </c>
      <c r="AX209" s="5">
        <f t="shared" si="478"/>
        <v>19.079609003632449</v>
      </c>
      <c r="AY209" s="5">
        <f t="shared" si="479"/>
        <v>2.7049002587242077</v>
      </c>
      <c r="AZ209" s="5"/>
      <c r="BA209" s="150">
        <f t="shared" si="480"/>
        <v>1.6368412423225269</v>
      </c>
      <c r="BB209" s="150">
        <f t="shared" si="481"/>
        <v>2.0483165461898811</v>
      </c>
      <c r="BC209" s="150">
        <f t="shared" si="482"/>
        <v>0.45785899267773816</v>
      </c>
      <c r="BD209" s="150"/>
      <c r="BE209" s="456">
        <f t="shared" si="483"/>
        <v>5.3584985051359064E-2</v>
      </c>
      <c r="BF209" s="456">
        <f t="shared" si="528"/>
        <v>7.8556477402695446E-2</v>
      </c>
      <c r="BG209" s="456">
        <f t="shared" si="529"/>
        <v>1.396030416530307E-2</v>
      </c>
      <c r="BH209" s="456">
        <f t="shared" si="484"/>
        <v>1.3468255254519847E-3</v>
      </c>
      <c r="BI209">
        <f t="shared" si="485"/>
        <v>3.9765069337010794E-3</v>
      </c>
      <c r="BJ209" s="144">
        <f t="shared" si="600"/>
        <v>17.936811099004149</v>
      </c>
      <c r="BK209">
        <f t="shared" si="530"/>
        <v>0.14986427478534084</v>
      </c>
      <c r="BL209" s="144">
        <f t="shared" si="601"/>
        <v>151.42509907851064</v>
      </c>
      <c r="BM209" s="150">
        <f t="shared" si="531"/>
        <v>0.73804499999999984</v>
      </c>
      <c r="BN209" s="150">
        <f t="shared" si="532"/>
        <v>0.15375937499999998</v>
      </c>
      <c r="BO209" s="456"/>
      <c r="BQ209" s="144">
        <f t="shared" si="486"/>
        <v>891.80437499999971</v>
      </c>
      <c r="BR209" s="456">
        <f t="shared" si="487"/>
        <v>8.03774775770386E-2</v>
      </c>
      <c r="BS209" s="456">
        <f t="shared" si="488"/>
        <v>0.12586802020185731</v>
      </c>
      <c r="BT209" s="456">
        <f t="shared" si="489"/>
        <v>1.0481742858793656E-3</v>
      </c>
      <c r="BU209" s="456">
        <f t="shared" si="490"/>
        <v>6.9761322473218285E-2</v>
      </c>
      <c r="BV209" s="456"/>
      <c r="BW209" s="538">
        <f t="shared" si="533"/>
        <v>1.3033171759789248E-3</v>
      </c>
      <c r="BX209" s="144">
        <f t="shared" si="607"/>
        <v>278.35831171397245</v>
      </c>
      <c r="BY209" s="150">
        <f t="shared" si="608"/>
        <v>1.3215877857924829</v>
      </c>
      <c r="BZ209" s="5">
        <f t="shared" si="609"/>
        <v>7.92</v>
      </c>
      <c r="CA209" s="150">
        <f t="shared" si="610"/>
        <v>0.85699559248636692</v>
      </c>
      <c r="CB209" s="5">
        <f t="shared" si="611"/>
        <v>85.699559248636689</v>
      </c>
      <c r="CC209">
        <f t="shared" si="612"/>
        <v>99</v>
      </c>
      <c r="CE209" s="59">
        <f t="shared" si="534"/>
        <v>-50</v>
      </c>
      <c r="CF209">
        <f t="shared" si="535"/>
        <v>-50</v>
      </c>
      <c r="CG209" s="150">
        <f t="shared" si="536"/>
        <v>0.57198633493024875</v>
      </c>
      <c r="CH209" s="150">
        <f t="shared" si="537"/>
        <v>0.31031053622728105</v>
      </c>
      <c r="CI209" s="147">
        <v>99</v>
      </c>
      <c r="CJ209" s="188">
        <f t="shared" si="602"/>
        <v>1.1879999999999999</v>
      </c>
      <c r="CK209" s="188">
        <f t="shared" si="538"/>
        <v>0.2475</v>
      </c>
      <c r="CL209" s="188">
        <f t="shared" si="539"/>
        <v>5.9399999999999995</v>
      </c>
      <c r="CM209" s="188">
        <f t="shared" si="540"/>
        <v>1.98</v>
      </c>
      <c r="CN209" s="465">
        <f t="shared" si="541"/>
        <v>9</v>
      </c>
      <c r="CO209" s="379">
        <f t="shared" si="542"/>
        <v>5.7</v>
      </c>
      <c r="CP209" s="379">
        <f t="shared" si="543"/>
        <v>14.7</v>
      </c>
      <c r="CQ209" s="379"/>
      <c r="CR209" s="188">
        <f t="shared" si="544"/>
        <v>0.375</v>
      </c>
      <c r="CS209" s="149">
        <f t="shared" si="545"/>
        <v>6.328125</v>
      </c>
      <c r="CT209" s="149">
        <f t="shared" si="546"/>
        <v>2.8125</v>
      </c>
      <c r="CU209" s="188">
        <f t="shared" si="547"/>
        <v>1.265625</v>
      </c>
      <c r="CV209" s="188">
        <f t="shared" si="548"/>
        <v>0.791015625</v>
      </c>
      <c r="CW209" s="188">
        <f t="shared" si="549"/>
        <v>5</v>
      </c>
      <c r="CX209" s="188">
        <f t="shared" si="550"/>
        <v>4.6933333333333334</v>
      </c>
      <c r="CY209" s="188">
        <f t="shared" si="551"/>
        <v>6.2577777777777781</v>
      </c>
      <c r="CZ209" s="188">
        <f t="shared" si="552"/>
        <v>9.8807017543859654</v>
      </c>
      <c r="DA209" s="172">
        <f t="shared" si="553"/>
        <v>290.81632653061229</v>
      </c>
      <c r="DB209" s="379">
        <f t="shared" si="554"/>
        <v>61.963705936920221</v>
      </c>
      <c r="DD209" s="188">
        <f t="shared" si="555"/>
        <v>0.99999999999999978</v>
      </c>
      <c r="DE209" s="150">
        <f t="shared" si="556"/>
        <v>2.1052631578947363</v>
      </c>
      <c r="DF209" s="150">
        <f t="shared" si="557"/>
        <v>0.2295918367346938</v>
      </c>
      <c r="DG209" s="150"/>
      <c r="DH209" s="150">
        <f t="shared" si="558"/>
        <v>2.1052631578947367</v>
      </c>
      <c r="DI209" s="314">
        <f t="shared" si="559"/>
        <v>1128.5999999999999</v>
      </c>
      <c r="DJ209" s="456">
        <f t="shared" si="560"/>
        <v>0.3061224489795919</v>
      </c>
      <c r="DL209" s="150">
        <f t="shared" si="561"/>
        <v>1.9420166249104489</v>
      </c>
      <c r="DM209" s="150">
        <f t="shared" si="562"/>
        <v>4.6933333333333334</v>
      </c>
      <c r="DN209" s="150">
        <f t="shared" si="563"/>
        <v>3.935802469135802</v>
      </c>
      <c r="DP209" s="314">
        <f t="shared" si="564"/>
        <v>1188</v>
      </c>
      <c r="DQ209" s="144">
        <f t="shared" si="565"/>
        <v>61.963705936920221</v>
      </c>
      <c r="DS209">
        <f t="shared" si="614"/>
        <v>1188</v>
      </c>
      <c r="DT209">
        <f t="shared" si="615"/>
        <v>61.963705936920221</v>
      </c>
      <c r="DV209" s="5">
        <f t="shared" si="568"/>
        <v>16.138479532163743</v>
      </c>
      <c r="DW209" s="5">
        <f t="shared" si="569"/>
        <v>6.2577777777777781</v>
      </c>
      <c r="DX209" s="5">
        <f t="shared" si="570"/>
        <v>9.8807017543859637</v>
      </c>
      <c r="DY209" s="150">
        <f t="shared" si="571"/>
        <v>0.38775510204081637</v>
      </c>
      <c r="EA209" s="5">
        <f t="shared" si="572"/>
        <v>148.6848</v>
      </c>
      <c r="EB209" s="5">
        <f t="shared" si="573"/>
        <v>19.360000000000003</v>
      </c>
      <c r="EC209" s="5">
        <f t="shared" si="574"/>
        <v>2.7171929824561389</v>
      </c>
      <c r="ED209" s="5"/>
      <c r="EE209" s="150">
        <f t="shared" si="575"/>
        <v>1.6873280769620977</v>
      </c>
      <c r="EF209" s="150">
        <f t="shared" si="576"/>
        <v>2.1202318788176564</v>
      </c>
      <c r="EG209" s="150">
        <f t="shared" si="577"/>
        <v>0.47393418467688792</v>
      </c>
      <c r="EH209" s="150"/>
      <c r="EI209" s="456">
        <f t="shared" si="578"/>
        <v>5.6941520786092222E-2</v>
      </c>
      <c r="EJ209" s="456">
        <f t="shared" si="579"/>
        <v>8.5499999999999979E-2</v>
      </c>
      <c r="EK209" s="456">
        <f t="shared" si="580"/>
        <v>7.7454632421150279E-3</v>
      </c>
      <c r="EL209" s="456">
        <f t="shared" si="581"/>
        <v>1.3389737215909088E-3</v>
      </c>
      <c r="EM209">
        <f t="shared" si="582"/>
        <v>4.0499999999999998E-3</v>
      </c>
      <c r="EN209" s="144">
        <f t="shared" si="583"/>
        <v>11.795463242115028</v>
      </c>
      <c r="EP209" s="144">
        <f t="shared" si="603"/>
        <v>155.57595774979816</v>
      </c>
      <c r="EQ209" s="150">
        <f t="shared" si="584"/>
        <v>0.83159999999999989</v>
      </c>
      <c r="ER209" s="150">
        <f t="shared" si="585"/>
        <v>0.109828125</v>
      </c>
      <c r="ES209" s="456"/>
      <c r="EU209" s="144">
        <f t="shared" si="497"/>
        <v>941.4281249999998</v>
      </c>
      <c r="EV209" s="456">
        <f t="shared" si="586"/>
        <v>8.5412281179138322E-2</v>
      </c>
      <c r="EW209" s="456">
        <f t="shared" si="587"/>
        <v>0.13486149659863947</v>
      </c>
      <c r="EX209" s="456">
        <f t="shared" si="588"/>
        <v>1.1230680570267326E-3</v>
      </c>
      <c r="EY209" s="456">
        <f t="shared" si="589"/>
        <v>7.2113564882065564E-2</v>
      </c>
      <c r="EZ209" s="456"/>
      <c r="FA209" s="538">
        <f t="shared" si="590"/>
        <v>1.3648979591836736E-3</v>
      </c>
      <c r="FB209" s="144">
        <f t="shared" si="613"/>
        <v>294.87530867605369</v>
      </c>
      <c r="FC209" s="150">
        <f t="shared" si="591"/>
        <v>1.3918793914258516</v>
      </c>
      <c r="FD209" s="5">
        <f t="shared" si="592"/>
        <v>7.92</v>
      </c>
      <c r="FE209" s="150">
        <f t="shared" si="593"/>
        <v>0.85052647989540553</v>
      </c>
      <c r="FF209" s="5">
        <f t="shared" si="594"/>
        <v>85.05264798954056</v>
      </c>
      <c r="FG209">
        <f t="shared" si="595"/>
        <v>99</v>
      </c>
      <c r="FI209" s="59">
        <f t="shared" si="596"/>
        <v>-50</v>
      </c>
      <c r="FJ209">
        <f t="shared" si="597"/>
        <v>-50</v>
      </c>
    </row>
    <row r="210" spans="1:169">
      <c r="A210" t="s">
        <v>862</v>
      </c>
      <c r="E210" s="147">
        <v>100</v>
      </c>
      <c r="F210" s="188">
        <f>IF(PLOT_TYPE=1, E210/100*Iout_max, min_I*EXP(O210*rr/100))</f>
        <v>1.2</v>
      </c>
      <c r="G210" s="188">
        <f t="shared" si="499"/>
        <v>0.25</v>
      </c>
      <c r="H210" s="188">
        <f t="shared" si="500"/>
        <v>6</v>
      </c>
      <c r="I210" s="188">
        <f t="shared" si="501"/>
        <v>2</v>
      </c>
      <c r="J210" s="465">
        <f t="shared" si="502"/>
        <v>8.8350323988800881</v>
      </c>
      <c r="K210" s="379">
        <f t="shared" si="503"/>
        <v>5.7629385665382902</v>
      </c>
      <c r="L210" s="149">
        <f t="shared" si="504"/>
        <v>14.597970965418378</v>
      </c>
      <c r="M210" s="379"/>
      <c r="N210" s="188">
        <f t="shared" si="505"/>
        <v>0.39477668370421531</v>
      </c>
      <c r="O210" s="149">
        <f>N210*J210*Isw_max*0.5*Efficiency*Pout/(Pout+Pout2)</f>
        <v>6.5397464828422116</v>
      </c>
      <c r="P210" s="149">
        <f t="shared" si="507"/>
        <v>2.9065539923743158</v>
      </c>
      <c r="Q210" s="188">
        <f t="shared" si="508"/>
        <v>1.3079492965684423</v>
      </c>
      <c r="R210" s="188">
        <f t="shared" si="509"/>
        <v>0.81746831035527645</v>
      </c>
      <c r="S210" s="188">
        <f t="shared" si="510"/>
        <v>5</v>
      </c>
      <c r="T210" s="188">
        <f t="shared" si="511"/>
        <v>4.5873337871289825</v>
      </c>
      <c r="U210" s="188">
        <f t="shared" si="512"/>
        <v>6.2306512257414672</v>
      </c>
      <c r="V210" s="188">
        <f t="shared" si="513"/>
        <v>9.5520722301598813</v>
      </c>
      <c r="W210" s="172">
        <f t="shared" si="514"/>
        <v>290.65539923743165</v>
      </c>
      <c r="X210" s="379">
        <f t="shared" si="599"/>
        <v>62.567559449998939</v>
      </c>
      <c r="Z210" s="188">
        <f t="shared" si="515"/>
        <v>0.99999999999999978</v>
      </c>
      <c r="AA210" s="150">
        <f t="shared" si="516"/>
        <v>2.0822710257014267</v>
      </c>
      <c r="AB210" s="150">
        <f>0.5*AA210*Z210*Nps*W210/1000*(Pout/(Pout+Pout2))</f>
        <v>0.22695874361091911</v>
      </c>
      <c r="AC210" s="150"/>
      <c r="AD210" s="150">
        <f t="shared" si="518"/>
        <v>2.0822710257014276</v>
      </c>
      <c r="AE210" s="314">
        <f>MAX(10, F210/(0.5*AD210/1000000*Isw_min*Nps)/1000*Pout_total/Pout)</f>
        <v>1152.5877133076581</v>
      </c>
      <c r="AF210" s="456">
        <f t="shared" si="520"/>
        <v>0.30261165814789243</v>
      </c>
      <c r="AH210" s="150">
        <f t="shared" si="521"/>
        <v>1.9518001458970664</v>
      </c>
      <c r="AI210" s="150">
        <f>MAX(IF(F210&gt;AB210,T210,AH210),Isw_min)</f>
        <v>4.5873337871289825</v>
      </c>
      <c r="AJ210" s="150">
        <f>IF(F210&gt;AF210, (AI210-Isw_min)/1.08*0.8+1.2, AE210*0.2/350+1)</f>
        <v>3.8572842867622095</v>
      </c>
      <c r="AL210" s="314">
        <f t="shared" si="524"/>
        <v>1200</v>
      </c>
      <c r="AM210" s="144">
        <f t="shared" si="525"/>
        <v>62.567559449998939</v>
      </c>
      <c r="AO210">
        <f t="shared" si="526"/>
        <v>1200</v>
      </c>
      <c r="AP210">
        <f t="shared" si="527"/>
        <v>62.567559449998939</v>
      </c>
      <c r="AR210" s="5">
        <f t="shared" si="616"/>
        <v>15.982723455901345</v>
      </c>
      <c r="AS210" s="5">
        <f t="shared" si="604"/>
        <v>6.2306512257414672</v>
      </c>
      <c r="AT210" s="5">
        <f t="shared" si="605"/>
        <v>9.7520722301598788</v>
      </c>
      <c r="AU210" s="150">
        <f t="shared" si="606"/>
        <v>0.38983664097878806</v>
      </c>
      <c r="AW210" s="5">
        <f t="shared" si="477"/>
        <v>149.53562941779518</v>
      </c>
      <c r="AX210" s="5">
        <f t="shared" si="478"/>
        <v>19.470785080442084</v>
      </c>
      <c r="AY210" s="5">
        <f t="shared" si="479"/>
        <v>2.7594896628211663</v>
      </c>
      <c r="AZ210" s="5"/>
      <c r="BA210" s="150">
        <f>AI210*SQRT(AU210/3)</f>
        <v>1.6536402803170291</v>
      </c>
      <c r="BB210" s="150">
        <f t="shared" si="481"/>
        <v>2.0688203357206723</v>
      </c>
      <c r="BC210" s="150">
        <f t="shared" si="482"/>
        <v>0.46244219269050324</v>
      </c>
      <c r="BD210" s="150"/>
      <c r="BE210" s="456">
        <f t="shared" si="483"/>
        <v>5.4690523533739654E-2</v>
      </c>
      <c r="BF210" s="456">
        <f t="shared" si="528"/>
        <v>7.8560334559798134E-2</v>
      </c>
      <c r="BG210" s="456">
        <f t="shared" si="529"/>
        <v>1.3819660371489916E-2</v>
      </c>
      <c r="BH210" s="456">
        <f t="shared" si="484"/>
        <v>1.3333194239090345E-3</v>
      </c>
      <c r="BI210">
        <f t="shared" si="485"/>
        <v>3.9757645794960394E-3</v>
      </c>
      <c r="BJ210" s="144">
        <f t="shared" si="600"/>
        <v>17.795424950985954</v>
      </c>
      <c r="BK210">
        <f t="shared" si="530"/>
        <v>0.15131690156607425</v>
      </c>
      <c r="BL210" s="144">
        <f t="shared" si="601"/>
        <v>152.37960246843278</v>
      </c>
      <c r="BM210" s="150">
        <f t="shared" si="531"/>
        <v>0.74549999999999994</v>
      </c>
      <c r="BN210" s="150">
        <f t="shared" si="532"/>
        <v>0.15531249999999999</v>
      </c>
      <c r="BO210" s="456"/>
      <c r="BQ210" s="144">
        <f t="shared" si="486"/>
        <v>900.81249999999989</v>
      </c>
      <c r="BR210" s="456">
        <f t="shared" si="487"/>
        <v>8.2035785300609482E-2</v>
      </c>
      <c r="BS210" s="456">
        <f t="shared" si="488"/>
        <v>0.12840052744474187</v>
      </c>
      <c r="BT210" s="456">
        <f t="shared" si="489"/>
        <v>1.0692639079020027E-3</v>
      </c>
      <c r="BU210" s="456">
        <f t="shared" si="490"/>
        <v>6.9782077704815357E-2</v>
      </c>
      <c r="BV210" s="456"/>
      <c r="BW210" s="538">
        <f t="shared" si="533"/>
        <v>1.3166486508133341E-3</v>
      </c>
      <c r="BX210" s="144">
        <f t="shared" si="607"/>
        <v>282.60430300888203</v>
      </c>
      <c r="BY210" s="150">
        <f t="shared" si="608"/>
        <v>1.3357964054773148</v>
      </c>
      <c r="BZ210" s="5">
        <f t="shared" si="609"/>
        <v>8</v>
      </c>
      <c r="CA210" s="150">
        <f t="shared" si="610"/>
        <v>0.85691671631853472</v>
      </c>
      <c r="CB210" s="5">
        <f t="shared" si="611"/>
        <v>85.691671631853467</v>
      </c>
      <c r="CC210">
        <f t="shared" si="612"/>
        <v>100</v>
      </c>
      <c r="CE210" s="59">
        <f t="shared" si="534"/>
        <v>-50</v>
      </c>
      <c r="CF210">
        <f t="shared" si="535"/>
        <v>-50</v>
      </c>
      <c r="CG210" s="150">
        <f t="shared" si="536"/>
        <v>0.57198633493024886</v>
      </c>
      <c r="CH210" s="150">
        <f t="shared" si="537"/>
        <v>0.31031053622728111</v>
      </c>
      <c r="CI210" s="147">
        <v>100</v>
      </c>
      <c r="CJ210" s="188">
        <f t="shared" si="602"/>
        <v>1.2</v>
      </c>
      <c r="CK210" s="188">
        <f t="shared" si="538"/>
        <v>0.25</v>
      </c>
      <c r="CL210" s="188">
        <f t="shared" si="539"/>
        <v>6</v>
      </c>
      <c r="CM210" s="188">
        <f t="shared" si="540"/>
        <v>2</v>
      </c>
      <c r="CN210" s="465">
        <f t="shared" si="541"/>
        <v>9</v>
      </c>
      <c r="CO210" s="379">
        <f t="shared" si="542"/>
        <v>5.7</v>
      </c>
      <c r="CP210" s="379">
        <f t="shared" si="543"/>
        <v>14.7</v>
      </c>
      <c r="CQ210" s="379"/>
      <c r="CR210" s="188">
        <f t="shared" si="544"/>
        <v>0.375</v>
      </c>
      <c r="CS210" s="149">
        <f t="shared" si="545"/>
        <v>6.328125</v>
      </c>
      <c r="CT210" s="149">
        <f t="shared" si="546"/>
        <v>2.8125</v>
      </c>
      <c r="CU210" s="188">
        <f t="shared" si="547"/>
        <v>1.265625</v>
      </c>
      <c r="CV210" s="188">
        <f t="shared" si="548"/>
        <v>0.791015625</v>
      </c>
      <c r="CW210" s="188">
        <f t="shared" si="549"/>
        <v>5</v>
      </c>
      <c r="CX210" s="188">
        <f t="shared" si="550"/>
        <v>4.7407407407407405</v>
      </c>
      <c r="CY210" s="188">
        <f t="shared" si="551"/>
        <v>6.3209876543209882</v>
      </c>
      <c r="CZ210" s="188">
        <f t="shared" si="552"/>
        <v>9.9805068226120852</v>
      </c>
      <c r="DA210" s="172">
        <f t="shared" si="553"/>
        <v>290.81632653061229</v>
      </c>
      <c r="DB210" s="379">
        <f t="shared" si="554"/>
        <v>61.344068877551024</v>
      </c>
      <c r="DD210" s="188">
        <f t="shared" si="555"/>
        <v>0.99999999999999978</v>
      </c>
      <c r="DE210" s="150">
        <f t="shared" si="556"/>
        <v>2.1052631578947363</v>
      </c>
      <c r="DF210" s="150">
        <f t="shared" si="557"/>
        <v>0.2295918367346938</v>
      </c>
      <c r="DG210" s="150"/>
      <c r="DH210" s="150">
        <f t="shared" si="558"/>
        <v>2.1052631578947367</v>
      </c>
      <c r="DI210" s="314">
        <f t="shared" si="559"/>
        <v>1140</v>
      </c>
      <c r="DJ210" s="456">
        <f t="shared" si="560"/>
        <v>0.3061224489795919</v>
      </c>
      <c r="DL210" s="150">
        <f t="shared" si="561"/>
        <v>1.9518001458970664</v>
      </c>
      <c r="DM210" s="150">
        <f t="shared" si="562"/>
        <v>4.7407407407407405</v>
      </c>
      <c r="DN210" s="150">
        <f t="shared" si="563"/>
        <v>3.9709190672153634</v>
      </c>
      <c r="DP210" s="314">
        <f t="shared" si="564"/>
        <v>1200</v>
      </c>
      <c r="DQ210" s="144">
        <f t="shared" si="565"/>
        <v>61.344068877551024</v>
      </c>
      <c r="DS210">
        <f t="shared" si="614"/>
        <v>1200</v>
      </c>
      <c r="DT210">
        <f t="shared" si="615"/>
        <v>61.344068877551024</v>
      </c>
      <c r="DV210" s="5">
        <f t="shared" si="568"/>
        <v>16.301494476933073</v>
      </c>
      <c r="DW210" s="5">
        <f t="shared" si="569"/>
        <v>6.3209876543209882</v>
      </c>
      <c r="DX210" s="5">
        <f t="shared" si="570"/>
        <v>9.9805068226120852</v>
      </c>
      <c r="DY210" s="150">
        <f t="shared" si="571"/>
        <v>0.38775510204081637</v>
      </c>
      <c r="EA210" s="5">
        <f t="shared" si="572"/>
        <v>151.7037037037037</v>
      </c>
      <c r="EB210" s="5">
        <f t="shared" si="573"/>
        <v>19.753086419753089</v>
      </c>
      <c r="EC210" s="5">
        <f t="shared" si="574"/>
        <v>2.7723630062811342</v>
      </c>
      <c r="ED210" s="5"/>
      <c r="EE210" s="150">
        <f t="shared" si="575"/>
        <v>1.7043717949112098</v>
      </c>
      <c r="EF210" s="150">
        <f t="shared" si="576"/>
        <v>2.1416483624420772</v>
      </c>
      <c r="EG210" s="150">
        <f t="shared" si="577"/>
        <v>0.47872139866352315</v>
      </c>
      <c r="EH210" s="150"/>
      <c r="EI210" s="456">
        <f t="shared" si="578"/>
        <v>5.8097664305777182E-2</v>
      </c>
      <c r="EJ210" s="456">
        <f t="shared" si="579"/>
        <v>8.5500000000000007E-2</v>
      </c>
      <c r="EK210" s="456">
        <f t="shared" si="580"/>
        <v>7.6680086096938766E-3</v>
      </c>
      <c r="EL210" s="456">
        <f t="shared" si="581"/>
        <v>1.3255839843749999E-3</v>
      </c>
      <c r="EM210">
        <f t="shared" si="582"/>
        <v>4.0499999999999998E-3</v>
      </c>
      <c r="EN210" s="144">
        <f t="shared" si="583"/>
        <v>11.718008609693877</v>
      </c>
      <c r="EP210" s="144">
        <f t="shared" si="603"/>
        <v>156.64125689984607</v>
      </c>
      <c r="EQ210" s="150">
        <f t="shared" si="584"/>
        <v>0.84</v>
      </c>
      <c r="ER210" s="150">
        <f t="shared" si="585"/>
        <v>0.11093749999999999</v>
      </c>
      <c r="ES210" s="456"/>
      <c r="EU210" s="144">
        <f t="shared" si="497"/>
        <v>950.9375</v>
      </c>
      <c r="EV210" s="456">
        <f t="shared" si="586"/>
        <v>8.7146496458665762E-2</v>
      </c>
      <c r="EW210" s="456">
        <f t="shared" si="587"/>
        <v>0.13759973125052494</v>
      </c>
      <c r="EX210" s="456">
        <f t="shared" si="588"/>
        <v>1.1458708876917994E-3</v>
      </c>
      <c r="EY210" s="456">
        <f t="shared" si="589"/>
        <v>7.2113564882065398E-2</v>
      </c>
      <c r="EZ210" s="456"/>
      <c r="FA210" s="538">
        <f t="shared" si="590"/>
        <v>1.3786848072562358E-3</v>
      </c>
      <c r="FB210" s="144">
        <f t="shared" si="613"/>
        <v>299.38434828620416</v>
      </c>
      <c r="FC210" s="150">
        <f t="shared" si="591"/>
        <v>1.4069631051860503</v>
      </c>
      <c r="FD210" s="5">
        <f t="shared" si="592"/>
        <v>8</v>
      </c>
      <c r="FE210" s="150">
        <f t="shared" si="593"/>
        <v>0.85043386590828729</v>
      </c>
      <c r="FF210" s="5">
        <f t="shared" si="594"/>
        <v>85.043386590828732</v>
      </c>
      <c r="FG210">
        <f t="shared" si="595"/>
        <v>100</v>
      </c>
      <c r="FI210" s="59">
        <f t="shared" si="596"/>
        <v>-50</v>
      </c>
      <c r="FJ210">
        <f t="shared" si="597"/>
        <v>-50</v>
      </c>
    </row>
    <row r="211" spans="1:169">
      <c r="E211" s="147"/>
      <c r="F211" s="188"/>
      <c r="G211" s="188"/>
      <c r="H211" s="188"/>
      <c r="I211" s="188"/>
      <c r="J211" s="465"/>
      <c r="K211" s="379"/>
      <c r="L211" s="149"/>
      <c r="M211" s="379"/>
      <c r="N211" s="188"/>
      <c r="O211" s="149"/>
      <c r="P211" s="149"/>
      <c r="Q211" s="188"/>
      <c r="R211" s="188"/>
      <c r="S211" s="188"/>
      <c r="T211" s="188"/>
      <c r="U211" s="188"/>
      <c r="V211" s="188"/>
      <c r="W211" s="172"/>
      <c r="X211" s="379"/>
      <c r="Z211" s="188"/>
      <c r="AA211" s="150"/>
      <c r="AB211" s="150"/>
      <c r="AC211" s="150"/>
      <c r="AD211" s="150"/>
      <c r="AE211" s="314"/>
      <c r="AF211" s="456"/>
      <c r="AH211" s="150"/>
      <c r="AI211" s="150"/>
      <c r="AJ211" s="150"/>
      <c r="AL211" s="314"/>
      <c r="AM211" s="144"/>
      <c r="AR211" s="5"/>
      <c r="AS211" s="5"/>
      <c r="AT211" s="5"/>
      <c r="AU211" s="150"/>
      <c r="CE211" s="59"/>
      <c r="CF211" s="463">
        <f>MAX(CF110:CF210)</f>
        <v>-50</v>
      </c>
      <c r="CG211" s="150"/>
      <c r="CH211" s="150"/>
      <c r="CI211" s="147"/>
      <c r="CJ211" s="188"/>
      <c r="CK211" s="188"/>
      <c r="CL211" s="188"/>
      <c r="CM211" s="188"/>
      <c r="CN211" s="465"/>
      <c r="CO211" s="379"/>
      <c r="CP211" s="379"/>
      <c r="CQ211" s="379"/>
      <c r="CR211" s="188"/>
      <c r="CS211" s="149"/>
      <c r="CT211" s="149"/>
      <c r="CU211" s="188"/>
      <c r="CV211" s="188"/>
      <c r="CW211" s="188"/>
      <c r="CX211" s="188"/>
      <c r="CY211" s="188"/>
      <c r="CZ211" s="188"/>
      <c r="DA211" s="172"/>
      <c r="DB211" s="379"/>
      <c r="DD211" s="188"/>
      <c r="DE211" s="150"/>
      <c r="DF211" s="150"/>
      <c r="DG211" s="150"/>
      <c r="DH211" s="150"/>
      <c r="DI211" s="314"/>
      <c r="DJ211" s="456"/>
      <c r="DL211" s="150"/>
      <c r="DM211" s="150"/>
      <c r="DN211" s="150"/>
      <c r="DP211" s="314"/>
      <c r="DQ211" s="144"/>
      <c r="DV211" s="5"/>
      <c r="DW211" s="5"/>
      <c r="DX211" s="5"/>
      <c r="DY211" s="150"/>
      <c r="FI211" s="59"/>
      <c r="FJ211" s="463">
        <f>MAX(FJ110:FJ210)</f>
        <v>-50</v>
      </c>
    </row>
    <row r="212" spans="1:169">
      <c r="A212" t="s">
        <v>862</v>
      </c>
      <c r="E212" s="147">
        <v>101</v>
      </c>
      <c r="F212" s="188">
        <f>'Calculations - Dual'!Ioutmax_Vinmin+0*H210/(H210+I210)</f>
        <v>1.3084374173260138</v>
      </c>
      <c r="G212" s="188">
        <f>'Calculations - Dual'!Ioutmax_Vinmin/Nsec1sec2*(1-H210/(H210+I210))</f>
        <v>0.21935568466936115</v>
      </c>
      <c r="H212" s="188">
        <f>F212*Vout</f>
        <v>6.5421870866300686</v>
      </c>
      <c r="I212" s="188">
        <f>Vout2*G212</f>
        <v>1.7548454773548892</v>
      </c>
      <c r="J212" s="465">
        <f>VIN_min-(F212/CG212/Nps+G212/CH212/(Nps/Nsec1sec2))*(Rdcr_pri+RON/1000)</f>
        <v>8.8329165920948025</v>
      </c>
      <c r="K212" s="379">
        <f>MAX((S212+Vfwd2+Rdcr_sec*F212/CG212)*Nps,(Vout2+Vfwd22+Rdcr_sec2*G212/CH212)*Nps/Nsec1sec2)</f>
        <v>5.7686259795429677</v>
      </c>
      <c r="L212" s="149">
        <f>MAX((Vout+Vfwd2+F212/CG212*Rdcr_sec)*Nps+J212, (Vout2+Vfwd22+G212/CH212*Rdcr_sec2)*Nps/Nsec1sec2+J212)</f>
        <v>14.60154257163777</v>
      </c>
      <c r="M212" s="379"/>
      <c r="N212" s="188">
        <f>MAX((Vout+Vfwd2+F212/CG212*Rdcr_sec)*Nps/((Vout+Vfwd2+F212/CG212*Rdcr_sec)*Nps+J212), (Vout2+Vfwd22+G212/CH212*Rdcr_sec2)*Nps/Nsec1sec2/((Vout2+Vfwd22+G212/CH212*Rdcr_sec2)*Nps/Nsec1sec2+J212))</f>
        <v>0.39506962714665661</v>
      </c>
      <c r="O212" s="149">
        <f>N212*J212*Isw_max*0.5*Efficiency*Pout/(Pout+Pout2)</f>
        <v>6.543031996230769</v>
      </c>
      <c r="P212" s="149">
        <f>N212*J212*Isw_max*0.5*Efficiency*(Pout2/Pout_total)</f>
        <v>2.9080142205470083</v>
      </c>
      <c r="Q212" s="188">
        <f>O212/Vout</f>
        <v>1.3086063992461539</v>
      </c>
      <c r="R212" s="188">
        <f>O212/Vout2</f>
        <v>0.81787899952884613</v>
      </c>
      <c r="S212" s="188">
        <f>MIN(Vout,O212/F212)</f>
        <v>5</v>
      </c>
      <c r="T212" s="188">
        <f>MIN(2*(Vout*F212+Vout2*G212)/(Efficiency*J212*N212), Isw_max)</f>
        <v>4.7552682201259744</v>
      </c>
      <c r="U212" s="188">
        <f>L*T212/J212*1000000</f>
        <v>6.4602918013039519</v>
      </c>
      <c r="V212" s="188">
        <f>L*T212/K212*1000000</f>
        <v>9.8919948777876314</v>
      </c>
      <c r="W212" s="172">
        <f>IF(1/((350000*L)*(1/J212+1/K212))&gt;Isw_min, 350, 0.001/((Isw_min*L)*(1/J212+1/K212)))</f>
        <v>290.80142205470088</v>
      </c>
      <c r="X212" s="379">
        <f>MIN(1/(U212+V212+0.2)*1000, 350)</f>
        <v>60.414613363552597</v>
      </c>
      <c r="Z212" s="188">
        <f>1/((W212*1000*L)*(1/J212+1/K212))</f>
        <v>1</v>
      </c>
      <c r="AA212" s="150">
        <f>L*Z212/K212*1000000</f>
        <v>2.080218069702402</v>
      </c>
      <c r="AB212" s="150">
        <f>0.5*AA212*Z212*Nps*W212/1000*(Pout/(Pout+Pout2))</f>
        <v>0.22684888982000373</v>
      </c>
      <c r="AC212" s="150"/>
      <c r="AD212" s="150">
        <f>L*Isw_min/K212*1000000</f>
        <v>2.080218069702402</v>
      </c>
      <c r="AE212" s="314">
        <f>MAX(10, F212/(0.5*AD212/1000000*Isw_min*Nps)/1000*Pout_total/Pout)</f>
        <v>1257.981013032158</v>
      </c>
      <c r="AF212" s="456">
        <f>0.5*AD212/1000000*Isw_min*Nps*W212*1000*(Pout/Pout_total)</f>
        <v>0.30246518642667164</v>
      </c>
      <c r="AH212" s="150">
        <f>SQRT((H212+I212)/(0.5*L*Fsw_DCM))</f>
        <v>1.9877041750753266</v>
      </c>
      <c r="AI212" s="150">
        <f>MAX(IF(F212&gt;AB212,T212,AH212),Isw_min)</f>
        <v>4.7552682201259744</v>
      </c>
      <c r="AJ212" s="150">
        <f>IF(F212&gt;AF212, (AI212-Isw_min)/1.08*0.8+1.2, AE212*0.2/350+1)</f>
        <v>3.9816801630562777</v>
      </c>
      <c r="AL212" s="314">
        <f>F212*1000</f>
        <v>1308.4374173260139</v>
      </c>
      <c r="AM212" s="144">
        <f>IF(F212&gt;AF212, X212, AE212)</f>
        <v>60.414613363552597</v>
      </c>
      <c r="AO212">
        <f>IF(H212&gt;O212, "",AL212)</f>
        <v>1308.4374173260139</v>
      </c>
      <c r="AP212">
        <f>IF(H212&gt;O212, "",AM212)</f>
        <v>60.414613363552597</v>
      </c>
      <c r="AR212" s="5">
        <f>1/AM212*1000</f>
        <v>16.552286679091583</v>
      </c>
      <c r="AS212" s="5">
        <f>L*AI212/J212*1000000</f>
        <v>6.4602918013039519</v>
      </c>
      <c r="AT212" s="5">
        <f>AR212-AS212</f>
        <v>10.091994877787631</v>
      </c>
      <c r="AU212" s="150">
        <f>AS212/AR212</f>
        <v>0.39029603139150698</v>
      </c>
      <c r="AW212" s="5">
        <f>F212*AS212/Vout_ripple*1000</f>
        <v>169.05775039341131</v>
      </c>
      <c r="AX212" s="5">
        <f>G212*AS212/Vout_ripple2*1000</f>
        <v>17.713771640486108</v>
      </c>
      <c r="AY212" s="5">
        <f>H212/Efficiency/J212*AT212/Vinripple1</f>
        <v>3.1144732829474986</v>
      </c>
      <c r="AZ212" s="5"/>
      <c r="BA212" s="150">
        <f>AI212*SQRT(AU212/3)</f>
        <v>1.7151869297519415</v>
      </c>
      <c r="BB212" s="150">
        <f>AI212*Npri_sec1*SQRT((1-AU212)/3)*(Pout/Pout_total)</f>
        <v>2.1437488373846705</v>
      </c>
      <c r="BC212" s="150">
        <f>AI212*Npri_sec2*SQRT((1-AU212)/3)*(Pout2/Pout_total)</f>
        <v>0.47919091659186758</v>
      </c>
      <c r="BD212" s="150"/>
      <c r="BE212" s="456">
        <f>Rdson*BA212^2</f>
        <v>5.8837324079837827E-2</v>
      </c>
      <c r="BF212" s="456">
        <f>0.5*L212*AI212*AM212*1000*Tfall</f>
        <v>7.86533146845729E-2</v>
      </c>
      <c r="BG212" s="456">
        <f>Qg*Vdd*AM212*1000*0+Qg*J212*AM212*1000</f>
        <v>1.3340931019597902E-2</v>
      </c>
      <c r="BH212" s="456">
        <f>0.5*(Coss+Csw)*L212^2*AM212*1000</f>
        <v>1.2880700389310269E-3</v>
      </c>
      <c r="BI212">
        <f>J212*IQ</f>
        <v>3.9748124664426608E-3</v>
      </c>
      <c r="BJ212" s="144">
        <f>(BG212+BI212)*1000</f>
        <v>17.315743486040564</v>
      </c>
      <c r="BK212">
        <f>(BF212+BG212*0+BH212+BI212*0+BE212*(1+RdsonTC*(Ta-25)))/(1-BE212*RdsonTC*ThetaJA)</f>
        <v>0.15685761628401554</v>
      </c>
      <c r="BL212" s="144">
        <f>SUM(BE212:BI212)*1000</f>
        <v>156.09445228938233</v>
      </c>
      <c r="BM212" s="150">
        <f>Vfwd2*F212*(1+Diode_TC/1000*(Ta-25))</f>
        <v>0.8128667455137859</v>
      </c>
      <c r="BN212" s="150">
        <f>Vfwd2*G212*(1+Diode_TC/1000*(Ta-25))</f>
        <v>0.1362747191008406</v>
      </c>
      <c r="BO212" s="456"/>
      <c r="BQ212" s="144">
        <f>SUM(BM212:BP212)*1000</f>
        <v>949.14146461462656</v>
      </c>
      <c r="BR212" s="456">
        <f>Rdcr_pri*BA212^2</f>
        <v>8.8255986119756741E-2</v>
      </c>
      <c r="BS212" s="456">
        <f>Rdcr_sec*BB212^2</f>
        <v>0.13786977233364378</v>
      </c>
      <c r="BT212" s="456">
        <f>Rdcr_sec2*BC212^2</f>
        <v>1.148119672720771E-3</v>
      </c>
      <c r="BU212" s="456">
        <f>AI212^2.5*AM212^2.5*k_core</f>
        <v>6.994594647087557E-2</v>
      </c>
      <c r="BV212" s="456"/>
      <c r="BW212" s="538">
        <f>0.5*Lleak*0.000000001*AI212^2*AM212*1000</f>
        <v>1.3661300268502279E-3</v>
      </c>
      <c r="BX212" s="144">
        <f>SUM(BR212:BW212)*1000</f>
        <v>298.58595462384704</v>
      </c>
      <c r="BY212" s="150">
        <f>SUM(BE212:BI212,BM212:BP212,BR212:BW212)</f>
        <v>1.4038218715278559</v>
      </c>
      <c r="BZ212" s="5">
        <f>MIN(H212+I212,O212+P212)</f>
        <v>8.297032563984958</v>
      </c>
      <c r="CA212" s="150">
        <f>BZ212/(BZ212+BY212)</f>
        <v>0.85528884276535944</v>
      </c>
      <c r="CB212" s="5">
        <f>CA212*100</f>
        <v>85.528884276535948</v>
      </c>
      <c r="CC212">
        <f>F212/Iout*100</f>
        <v>109.03645144383449</v>
      </c>
      <c r="CE212" s="59">
        <f>IF(ABS(F212-Ioutmax_Vinmin)&lt;Iout/200, AM212, -50)</f>
        <v>60.414613363552597</v>
      </c>
      <c r="CF212">
        <f>IF(ABS(F212-Ioutmax_Vinmin)&lt;Iout/200, (O212+P212)*CA212, -50)</f>
        <v>8.0833743816697936</v>
      </c>
      <c r="CG212" s="150">
        <f>MIN(SQRT(2*DT212*1000*Ls1_*(CL212+CJ212*Vfwd1))/(CW212+Vfwd1), 1-DY212)</f>
        <v>0.57198633493024886</v>
      </c>
      <c r="CH212" s="150">
        <f>MIN(SQRT(2*DT212*1000*Ls2_*(CM212+CK212*Vfwd22))/(Vout2+Vfwd22), 1-DY212)</f>
        <v>0.31031053622728111</v>
      </c>
      <c r="CI212" s="147">
        <v>100</v>
      </c>
      <c r="CJ212" s="188">
        <f>IF(PLOT_TYPE=1, CI212/100*Iout_max, min_I*EXP(CS212*rr/100))</f>
        <v>1.2</v>
      </c>
      <c r="CK212" s="188">
        <f>IF(PLOT_TYPE=1, CI212/100*Iout2, min_I*EXP(CU212*rr/100))</f>
        <v>0.25</v>
      </c>
      <c r="CL212" s="188">
        <f>CJ212*Vout</f>
        <v>6</v>
      </c>
      <c r="CM212" s="188">
        <f>Vout2*CK212</f>
        <v>2</v>
      </c>
      <c r="CN212" s="465">
        <f t="shared" si="541"/>
        <v>9</v>
      </c>
      <c r="CO212" s="379">
        <f>(CW212+Vfwd2)*Nps</f>
        <v>5.7</v>
      </c>
      <c r="CP212" s="379">
        <f>(Vout+Vfwd2)*Nps+CN212</f>
        <v>14.7</v>
      </c>
      <c r="CQ212" s="379"/>
      <c r="CR212" s="188">
        <f>(Vout+Vfwd1)*Nps/((Vout+Vfwd1)*Nps+CN212)</f>
        <v>0.375</v>
      </c>
      <c r="CS212" s="149">
        <f>CR212*CN212*Isw_max*0.5*Efficiency*Pout/(Pout+Pout2)</f>
        <v>6.328125</v>
      </c>
      <c r="CT212" s="149">
        <f>CR212*CN212*Isw_max*0.5*Efficiency*(Pout2/Pout_total)</f>
        <v>2.8125</v>
      </c>
      <c r="CU212" s="188">
        <f>CS212/Vout</f>
        <v>1.265625</v>
      </c>
      <c r="CV212" s="188">
        <f>CS212/Vout2</f>
        <v>0.791015625</v>
      </c>
      <c r="CW212" s="188">
        <f>MIN(Vout,CS212/CJ212)</f>
        <v>5</v>
      </c>
      <c r="CX212" s="188">
        <f>MIN(2*(Vout*CJ212+Vout2*CK212)/(Efficiency*CN212*CR212), Isw_max)</f>
        <v>4.7407407407407405</v>
      </c>
      <c r="CY212" s="188">
        <f>L*CX212/CN212*1000000</f>
        <v>6.3209876543209882</v>
      </c>
      <c r="CZ212" s="188">
        <f>L*CX212/CO212*1000000</f>
        <v>9.9805068226120852</v>
      </c>
      <c r="DA212" s="172">
        <f>IF(1/((350000*L)*(1/CN212+1/CO212))&gt;Isw_min, 350, 0.001/((Isw_min*L)*(1/CN212+1/CO212)))</f>
        <v>290.81632653061229</v>
      </c>
      <c r="DB212" s="379">
        <f>MIN(1/(CY212+CZ212)*1000, 350)</f>
        <v>61.344068877551024</v>
      </c>
      <c r="DD212" s="188">
        <f>1/((DA212*1000*L)*(1/CN212+1/CO212))</f>
        <v>0.99999999999999978</v>
      </c>
      <c r="DE212" s="150">
        <f>L*DD212/CO212*1000000</f>
        <v>2.1052631578947363</v>
      </c>
      <c r="DF212" s="150">
        <f>0.5*DE212*DD212*Nps*DA212/1000*(Pout/(Pout+Pout2))</f>
        <v>0.2295918367346938</v>
      </c>
      <c r="DG212" s="150"/>
      <c r="DH212" s="150">
        <f>L*Isw_min/CO212*1000000</f>
        <v>2.1052631578947367</v>
      </c>
      <c r="DI212" s="314">
        <f>MAX(10, CJ212/(0.5*DH212/1000000*Isw_min*Nps)/1000*Pout_total/Pout)</f>
        <v>1140</v>
      </c>
      <c r="DJ212" s="456">
        <f>0.5*DH212/1000000*Isw_min*Nps*DA212*1000*(Pout/Pout_total)</f>
        <v>0.3061224489795919</v>
      </c>
      <c r="DL212" s="150">
        <f>SQRT((CL212+CM212)/(0.5*L*Fsw_DCM))</f>
        <v>1.9518001458970664</v>
      </c>
      <c r="DM212" s="150">
        <f>MAX(IF(CJ212&gt;DF212,CX212,DL212),Isw_min)</f>
        <v>4.7407407407407405</v>
      </c>
      <c r="DN212" s="150">
        <f>IF(CJ212&gt;DJ212, (DM212-Isw_min)/1.08*0.8+1.2, DI212*0.2/350+1)</f>
        <v>3.9709190672153634</v>
      </c>
      <c r="DP212" s="314">
        <f>CJ212*1000</f>
        <v>1200</v>
      </c>
      <c r="DQ212" s="144">
        <f>IF(CJ212&gt;DJ212, DB212, DI212)</f>
        <v>61.344068877551024</v>
      </c>
      <c r="DS212">
        <f>IF(CL212&gt;CS212, "",DP212)</f>
        <v>1200</v>
      </c>
      <c r="DT212">
        <f>IF(CL212&gt;CS212, "",DQ212)</f>
        <v>61.344068877551024</v>
      </c>
      <c r="DV212" s="5">
        <f>1/DQ212*1000</f>
        <v>16.301494476933073</v>
      </c>
      <c r="DW212" s="5">
        <f>L*DM212/CN212*1000000</f>
        <v>6.3209876543209882</v>
      </c>
      <c r="DX212" s="5">
        <f>DV212-DW212</f>
        <v>9.9805068226120852</v>
      </c>
      <c r="DY212" s="150">
        <f>DW212/DV212</f>
        <v>0.38775510204081637</v>
      </c>
      <c r="EA212" s="5">
        <f>CJ212*DW212/Vout_ripple*1000</f>
        <v>151.7037037037037</v>
      </c>
      <c r="EB212" s="5">
        <f>CK212*DW212/Vout_ripple2*1000</f>
        <v>19.753086419753089</v>
      </c>
      <c r="EC212" s="5">
        <f>CL212/Efficiency/CN212*DX212/Vinripple1</f>
        <v>2.7723630062811342</v>
      </c>
      <c r="ED212" s="5"/>
      <c r="EE212" s="150">
        <f>DM212*SQRT(DY212/3)</f>
        <v>1.7043717949112098</v>
      </c>
      <c r="EF212" s="150">
        <f>DM212*Npri_sec1*SQRT((1-DY212)/3)*(Pout/Pout_total)</f>
        <v>2.1416483624420772</v>
      </c>
      <c r="EG212" s="150">
        <f>DM212*Npri_sec2*SQRT((1-DY212)/3)*(Pout2/Pout_total)</f>
        <v>0.47872139866352315</v>
      </c>
      <c r="EH212" s="150"/>
      <c r="EI212" s="456">
        <f>Rdson*EE212^2</f>
        <v>5.8097664305777182E-2</v>
      </c>
      <c r="EJ212" s="456">
        <f>0.5*CP212*DM212*DQ212*1000*Trise</f>
        <v>8.5500000000000007E-2</v>
      </c>
      <c r="EK212" s="456">
        <f>Qg*Vdd*DQ212*1000</f>
        <v>7.6680086096938766E-3</v>
      </c>
      <c r="EL212" s="456">
        <f>0.5*(Coss+Csw)*CP212^2*DQ212*1000</f>
        <v>1.3255839843749999E-3</v>
      </c>
      <c r="EM212">
        <f>CN212*IQ</f>
        <v>4.0499999999999998E-3</v>
      </c>
      <c r="EN212" s="144">
        <f>(EK212+EM212)*1000</f>
        <v>11.718008609693877</v>
      </c>
      <c r="EP212" s="144">
        <f>SUM(EI212:EM212)*1000</f>
        <v>156.64125689984607</v>
      </c>
      <c r="EQ212" s="150">
        <f>Vfwd2*CJ212</f>
        <v>0.84</v>
      </c>
      <c r="ER212" s="150">
        <f>Vfwd22*CK212*(1+Diode_TC/1000*(Ta-25))</f>
        <v>0.11093749999999999</v>
      </c>
      <c r="ES212" s="456"/>
      <c r="EU212" s="144">
        <f>SUM(EQ212:ET212)*1000</f>
        <v>950.9375</v>
      </c>
      <c r="EV212" s="456">
        <f>Rdcr_pri*EE212^2</f>
        <v>8.7146496458665762E-2</v>
      </c>
      <c r="EW212" s="456">
        <f>Rdcr_sec*EF212^2</f>
        <v>0.13759973125052494</v>
      </c>
      <c r="EX212" s="456">
        <f>Rdcr_sec2*EG212^2</f>
        <v>1.1458708876917994E-3</v>
      </c>
      <c r="EY212" s="456">
        <f>DM212^2.5*DQ212^2.5*k_core</f>
        <v>7.2113564882065398E-2</v>
      </c>
      <c r="EZ212" s="456"/>
      <c r="FA212" s="538">
        <f>0.5*Lleak*0.000000001*DM212^2*DQ212*1000</f>
        <v>1.3786848072562358E-3</v>
      </c>
      <c r="FB212" s="144">
        <f>SUM(EV212:FA212)*1000</f>
        <v>299.38434828620416</v>
      </c>
      <c r="FC212" s="150">
        <f>SUM(EI212:EM212,EQ212:ET212,EV212:FA212)</f>
        <v>1.4069631051860503</v>
      </c>
      <c r="FD212" s="5">
        <f>MIN(CL212+CM212,CS212+CT212)</f>
        <v>8</v>
      </c>
      <c r="FE212" s="150">
        <f>FD212/(FD212+FC212)</f>
        <v>0.85043386590828729</v>
      </c>
      <c r="FF212" s="5">
        <f>FE212*100</f>
        <v>85.043386590828732</v>
      </c>
      <c r="FG212">
        <f>CJ212/Iout*100</f>
        <v>100</v>
      </c>
      <c r="FI212" s="59">
        <f>IF(ABS(CJ212-Ioutmax_Vinmin)&lt;Iout/200, DQ212, -50)</f>
        <v>-50</v>
      </c>
      <c r="FJ212">
        <f>IF(ABS(CJ212-Ioutmax_Vinmin)&lt;Iout/200, (CS212+CT212)*FE212, -50)</f>
        <v>-50</v>
      </c>
    </row>
    <row r="213" spans="1:169">
      <c r="G213" s="188"/>
      <c r="H213" s="188"/>
      <c r="I213" s="188"/>
      <c r="J213" s="465"/>
      <c r="K213" s="379"/>
      <c r="L213" s="149"/>
      <c r="M213" s="379"/>
      <c r="N213" s="188"/>
      <c r="O213" s="149"/>
      <c r="P213" s="149"/>
      <c r="Q213" s="188"/>
      <c r="R213" s="188"/>
      <c r="S213" s="188"/>
      <c r="T213" s="188"/>
      <c r="U213" s="188"/>
      <c r="V213" s="188"/>
      <c r="W213" s="172"/>
      <c r="X213" s="379"/>
      <c r="Z213" s="188"/>
      <c r="AA213" s="150"/>
      <c r="AB213" s="150"/>
      <c r="AC213" s="150"/>
      <c r="AD213" s="150"/>
      <c r="AE213" s="314"/>
      <c r="AF213" s="456"/>
      <c r="AH213" s="150"/>
      <c r="AI213" s="150"/>
      <c r="AJ213" s="150"/>
      <c r="AL213" s="314"/>
      <c r="AM213" s="144"/>
      <c r="AR213" s="5"/>
      <c r="AS213" s="5"/>
      <c r="AT213" s="5"/>
      <c r="AU213" s="150"/>
      <c r="CE213" s="59"/>
      <c r="CG213" s="150"/>
      <c r="CH213" s="150"/>
      <c r="CK213" s="188"/>
      <c r="CL213" s="188"/>
      <c r="CM213" s="188"/>
      <c r="CN213" s="465"/>
      <c r="CO213" s="379"/>
      <c r="CP213" s="379"/>
      <c r="CQ213" s="379"/>
      <c r="CR213" s="188"/>
      <c r="CS213" s="149"/>
      <c r="CT213" s="149"/>
      <c r="CU213" s="188"/>
      <c r="CV213" s="188"/>
      <c r="CW213" s="188"/>
      <c r="CX213" s="188"/>
      <c r="CY213" s="188"/>
      <c r="CZ213" s="188"/>
      <c r="DA213" s="172"/>
      <c r="DB213" s="379"/>
      <c r="DD213" s="188"/>
      <c r="DE213" s="150"/>
      <c r="DF213" s="150"/>
      <c r="DG213" s="150"/>
      <c r="DH213" s="150"/>
      <c r="DI213" s="314"/>
      <c r="DJ213" s="456"/>
      <c r="DL213" s="150"/>
      <c r="DM213" s="150"/>
      <c r="DN213" s="150"/>
      <c r="DP213" s="314"/>
      <c r="DQ213" s="144"/>
      <c r="DV213" s="5"/>
      <c r="DW213" s="5"/>
      <c r="DX213" s="5"/>
      <c r="DY213" s="150"/>
      <c r="FI213" s="59"/>
    </row>
    <row r="214" spans="1:169">
      <c r="E214" s="159" t="s">
        <v>435</v>
      </c>
      <c r="G214" s="188"/>
      <c r="H214" s="188"/>
      <c r="I214" s="188"/>
      <c r="J214" s="465"/>
      <c r="K214" s="379"/>
      <c r="L214" s="149"/>
      <c r="M214" s="379"/>
      <c r="N214" s="188"/>
      <c r="O214" s="149"/>
      <c r="P214" s="149"/>
      <c r="Q214" s="188"/>
      <c r="R214" s="188"/>
      <c r="S214" s="188"/>
      <c r="T214" s="188"/>
      <c r="U214" s="188"/>
      <c r="V214" s="188"/>
      <c r="W214" s="172"/>
      <c r="X214" s="379"/>
      <c r="Z214" s="188"/>
      <c r="AA214" s="150"/>
      <c r="AB214" s="150"/>
      <c r="AC214" s="150"/>
      <c r="AD214" s="150"/>
      <c r="AE214" s="314"/>
      <c r="AF214" s="456"/>
      <c r="AH214" s="150"/>
      <c r="AI214" s="150"/>
      <c r="AJ214" s="150"/>
      <c r="AL214" s="314"/>
      <c r="AM214" s="144"/>
      <c r="AR214" s="5"/>
      <c r="AS214" s="5"/>
      <c r="AT214" s="5"/>
      <c r="AU214" s="150"/>
      <c r="CE214" s="59"/>
      <c r="CG214" s="150"/>
      <c r="CH214" s="150"/>
      <c r="CI214" s="159" t="s">
        <v>435</v>
      </c>
      <c r="CK214" s="188"/>
      <c r="CL214" s="188"/>
      <c r="CM214" s="188"/>
      <c r="CN214" s="465"/>
      <c r="CO214" s="379"/>
      <c r="CP214" s="379"/>
      <c r="CQ214" s="379"/>
      <c r="CR214" s="188"/>
      <c r="CS214" s="149"/>
      <c r="CT214" s="149"/>
      <c r="CU214" s="188"/>
      <c r="CV214" s="188"/>
      <c r="CW214" s="188"/>
      <c r="CX214" s="188"/>
      <c r="CY214" s="188"/>
      <c r="CZ214" s="188"/>
      <c r="DA214" s="172"/>
      <c r="DB214" s="379"/>
      <c r="DD214" s="188"/>
      <c r="DE214" s="150"/>
      <c r="DF214" s="150"/>
      <c r="DG214" s="150"/>
      <c r="DH214" s="150"/>
      <c r="DI214" s="314"/>
      <c r="DJ214" s="456"/>
      <c r="DL214" s="150"/>
      <c r="DM214" s="150"/>
      <c r="DN214" s="150"/>
      <c r="DP214" s="314"/>
      <c r="DQ214" s="144"/>
      <c r="DV214" s="5"/>
      <c r="DW214" s="5"/>
      <c r="DX214" s="5"/>
      <c r="DY214" s="150"/>
      <c r="FI214" s="59"/>
    </row>
    <row r="215" spans="1:169" ht="45" customHeight="1" thickBot="1">
      <c r="E215" s="211" t="s">
        <v>25</v>
      </c>
      <c r="F215" s="516" t="s">
        <v>580</v>
      </c>
      <c r="G215" s="380" t="s">
        <v>579</v>
      </c>
      <c r="H215" s="517" t="s">
        <v>581</v>
      </c>
      <c r="I215" s="518" t="s">
        <v>582</v>
      </c>
      <c r="J215" s="212" t="s">
        <v>412</v>
      </c>
      <c r="K215" s="213" t="s">
        <v>586</v>
      </c>
      <c r="L215" s="519" t="s">
        <v>413</v>
      </c>
      <c r="M215" s="520"/>
      <c r="N215" s="214" t="s">
        <v>48</v>
      </c>
      <c r="O215" s="520" t="s">
        <v>590</v>
      </c>
      <c r="P215" s="520" t="s">
        <v>606</v>
      </c>
      <c r="Q215" s="520" t="s">
        <v>583</v>
      </c>
      <c r="R215" s="520" t="s">
        <v>584</v>
      </c>
      <c r="S215" s="520" t="s">
        <v>585</v>
      </c>
      <c r="T215" s="520" t="s">
        <v>414</v>
      </c>
      <c r="U215" s="520" t="s">
        <v>466</v>
      </c>
      <c r="V215" s="520" t="s">
        <v>465</v>
      </c>
      <c r="W215" s="521" t="s">
        <v>420</v>
      </c>
      <c r="X215" s="522" t="s">
        <v>425</v>
      </c>
      <c r="Z215" s="215" t="s">
        <v>417</v>
      </c>
      <c r="AA215" s="215" t="s">
        <v>464</v>
      </c>
      <c r="AB215" s="215" t="s">
        <v>587</v>
      </c>
      <c r="AC215" s="468"/>
      <c r="AD215" s="215" t="s">
        <v>463</v>
      </c>
      <c r="AE215" s="521" t="s">
        <v>426</v>
      </c>
      <c r="AF215" s="215" t="s">
        <v>588</v>
      </c>
      <c r="AG215" s="468"/>
      <c r="AH215" s="215" t="s">
        <v>429</v>
      </c>
      <c r="AI215" s="470" t="s">
        <v>430</v>
      </c>
      <c r="AJ215" s="470" t="s">
        <v>431</v>
      </c>
      <c r="AL215" s="467" t="s">
        <v>275</v>
      </c>
      <c r="AM215" s="467" t="s">
        <v>432</v>
      </c>
      <c r="AO215" s="215" t="s">
        <v>275</v>
      </c>
      <c r="AP215" s="215" t="s">
        <v>432</v>
      </c>
      <c r="AQ215" s="471"/>
      <c r="AR215" s="215" t="s">
        <v>467</v>
      </c>
      <c r="AS215" s="215" t="s">
        <v>461</v>
      </c>
      <c r="AT215" s="215" t="s">
        <v>462</v>
      </c>
      <c r="AU215" s="215" t="s">
        <v>48</v>
      </c>
      <c r="AV215" s="468"/>
      <c r="AW215" s="215" t="s">
        <v>591</v>
      </c>
      <c r="AX215" s="215" t="s">
        <v>592</v>
      </c>
      <c r="AY215" s="215" t="s">
        <v>514</v>
      </c>
      <c r="AZ215" s="468"/>
      <c r="BA215" s="479" t="s">
        <v>456</v>
      </c>
      <c r="BB215" s="215" t="s">
        <v>599</v>
      </c>
      <c r="BC215" s="215" t="s">
        <v>598</v>
      </c>
      <c r="BD215" s="468"/>
      <c r="BE215" s="479" t="s">
        <v>474</v>
      </c>
      <c r="BF215" s="215" t="s">
        <v>475</v>
      </c>
      <c r="BG215" s="215" t="s">
        <v>473</v>
      </c>
      <c r="BH215" s="215" t="s">
        <v>469</v>
      </c>
      <c r="BI215" s="215" t="s">
        <v>478</v>
      </c>
      <c r="BJ215" s="215" t="s">
        <v>491</v>
      </c>
      <c r="BK215" s="215" t="s">
        <v>776</v>
      </c>
      <c r="BL215" s="215" t="s">
        <v>778</v>
      </c>
      <c r="BM215" s="479" t="s">
        <v>601</v>
      </c>
      <c r="BN215" s="215" t="s">
        <v>600</v>
      </c>
      <c r="BO215" s="215" t="s">
        <v>477</v>
      </c>
      <c r="BP215" s="215" t="s">
        <v>483</v>
      </c>
      <c r="BQ215" s="215" t="s">
        <v>487</v>
      </c>
      <c r="BR215" s="479" t="s">
        <v>458</v>
      </c>
      <c r="BS215" s="215" t="s">
        <v>603</v>
      </c>
      <c r="BT215" s="215" t="s">
        <v>602</v>
      </c>
      <c r="BU215" s="215" t="s">
        <v>468</v>
      </c>
      <c r="BV215" s="215" t="s">
        <v>673</v>
      </c>
      <c r="BW215" s="215" t="s">
        <v>484</v>
      </c>
      <c r="BX215" s="215" t="s">
        <v>667</v>
      </c>
      <c r="BY215" s="479" t="s">
        <v>482</v>
      </c>
      <c r="BZ215" s="215" t="s">
        <v>223</v>
      </c>
      <c r="CA215" s="215" t="s">
        <v>47</v>
      </c>
      <c r="CB215" s="215" t="s">
        <v>485</v>
      </c>
      <c r="CC215" s="215" t="s">
        <v>604</v>
      </c>
      <c r="CE215" s="490" t="s">
        <v>497</v>
      </c>
      <c r="CG215" s="668" t="s">
        <v>829</v>
      </c>
      <c r="CH215" s="669" t="s">
        <v>830</v>
      </c>
      <c r="CI215" s="211" t="s">
        <v>25</v>
      </c>
      <c r="CJ215" s="516" t="s">
        <v>580</v>
      </c>
      <c r="CK215" s="380" t="s">
        <v>579</v>
      </c>
      <c r="CL215" s="517" t="s">
        <v>581</v>
      </c>
      <c r="CM215" s="518" t="s">
        <v>582</v>
      </c>
      <c r="CN215" s="212" t="s">
        <v>412</v>
      </c>
      <c r="CO215" s="213" t="s">
        <v>586</v>
      </c>
      <c r="CP215" s="519" t="s">
        <v>413</v>
      </c>
      <c r="CQ215" s="520"/>
      <c r="CR215" s="214" t="s">
        <v>48</v>
      </c>
      <c r="CS215" s="520" t="s">
        <v>590</v>
      </c>
      <c r="CT215" s="520" t="s">
        <v>606</v>
      </c>
      <c r="CU215" s="520" t="s">
        <v>583</v>
      </c>
      <c r="CV215" s="520" t="s">
        <v>584</v>
      </c>
      <c r="CW215" s="520" t="s">
        <v>585</v>
      </c>
      <c r="CX215" s="520" t="s">
        <v>414</v>
      </c>
      <c r="CY215" s="520" t="s">
        <v>466</v>
      </c>
      <c r="CZ215" s="520" t="s">
        <v>465</v>
      </c>
      <c r="DA215" s="521" t="s">
        <v>420</v>
      </c>
      <c r="DB215" s="522" t="s">
        <v>425</v>
      </c>
      <c r="DD215" s="215" t="s">
        <v>417</v>
      </c>
      <c r="DE215" s="215" t="s">
        <v>464</v>
      </c>
      <c r="DF215" s="215" t="s">
        <v>587</v>
      </c>
      <c r="DG215" s="468"/>
      <c r="DH215" s="215" t="s">
        <v>463</v>
      </c>
      <c r="DI215" s="521" t="s">
        <v>426</v>
      </c>
      <c r="DJ215" s="215" t="s">
        <v>588</v>
      </c>
      <c r="DK215" s="468"/>
      <c r="DL215" s="215" t="s">
        <v>429</v>
      </c>
      <c r="DM215" s="470" t="s">
        <v>430</v>
      </c>
      <c r="DN215" s="470" t="s">
        <v>431</v>
      </c>
      <c r="DP215" s="467" t="s">
        <v>275</v>
      </c>
      <c r="DQ215" s="467" t="s">
        <v>432</v>
      </c>
      <c r="DS215" s="215" t="s">
        <v>275</v>
      </c>
      <c r="DT215" s="215" t="s">
        <v>432</v>
      </c>
      <c r="DU215" s="471"/>
      <c r="DV215" s="215" t="s">
        <v>467</v>
      </c>
      <c r="DW215" s="215" t="s">
        <v>461</v>
      </c>
      <c r="DX215" s="215" t="s">
        <v>462</v>
      </c>
      <c r="DY215" s="215" t="s">
        <v>48</v>
      </c>
      <c r="DZ215" s="468"/>
      <c r="EA215" s="215" t="s">
        <v>591</v>
      </c>
      <c r="EB215" s="215" t="s">
        <v>592</v>
      </c>
      <c r="EC215" s="215" t="s">
        <v>514</v>
      </c>
      <c r="ED215" s="468"/>
      <c r="EE215" s="479" t="s">
        <v>456</v>
      </c>
      <c r="EF215" s="215" t="s">
        <v>599</v>
      </c>
      <c r="EG215" s="215" t="s">
        <v>598</v>
      </c>
      <c r="EH215" s="468"/>
      <c r="EI215" s="479" t="s">
        <v>474</v>
      </c>
      <c r="EJ215" s="215" t="s">
        <v>475</v>
      </c>
      <c r="EK215" s="215" t="s">
        <v>473</v>
      </c>
      <c r="EL215" s="215" t="s">
        <v>469</v>
      </c>
      <c r="EM215" s="215" t="s">
        <v>478</v>
      </c>
      <c r="EN215" s="215" t="s">
        <v>491</v>
      </c>
      <c r="EO215" s="215" t="s">
        <v>776</v>
      </c>
      <c r="EP215" s="215" t="s">
        <v>778</v>
      </c>
      <c r="EQ215" s="479" t="s">
        <v>601</v>
      </c>
      <c r="ER215" s="215" t="s">
        <v>600</v>
      </c>
      <c r="ES215" s="215" t="s">
        <v>477</v>
      </c>
      <c r="ET215" s="215" t="s">
        <v>483</v>
      </c>
      <c r="EU215" s="215" t="s">
        <v>487</v>
      </c>
      <c r="EV215" s="479" t="s">
        <v>458</v>
      </c>
      <c r="EW215" s="215" t="s">
        <v>603</v>
      </c>
      <c r="EX215" s="215" t="s">
        <v>602</v>
      </c>
      <c r="EY215" s="215" t="s">
        <v>468</v>
      </c>
      <c r="EZ215" s="215" t="s">
        <v>673</v>
      </c>
      <c r="FA215" s="215" t="s">
        <v>484</v>
      </c>
      <c r="FB215" s="215" t="s">
        <v>486</v>
      </c>
      <c r="FC215" s="479" t="s">
        <v>482</v>
      </c>
      <c r="FD215" s="215" t="s">
        <v>223</v>
      </c>
      <c r="FE215" s="215" t="s">
        <v>47</v>
      </c>
      <c r="FF215" s="215" t="s">
        <v>485</v>
      </c>
      <c r="FG215" s="215" t="s">
        <v>604</v>
      </c>
      <c r="FI215" s="490" t="s">
        <v>497</v>
      </c>
      <c r="FL215" s="668" t="s">
        <v>876</v>
      </c>
      <c r="FM215" s="668" t="s">
        <v>875</v>
      </c>
    </row>
    <row r="216" spans="1:169">
      <c r="E216" s="147">
        <v>0.1</v>
      </c>
      <c r="F216" s="188">
        <v>1.0000000000000001E-9</v>
      </c>
      <c r="G216" s="188">
        <f t="shared" ref="G216:G247" si="617">IF(PLOT_TYPE=1, E216/100*Iout2, min_I*EXP(Q216*rr/100))</f>
        <v>2.5000000000000001E-4</v>
      </c>
      <c r="H216" s="188">
        <f t="shared" ref="H216:H247" si="618">F216*Vout</f>
        <v>5.0000000000000001E-9</v>
      </c>
      <c r="I216" s="188">
        <f t="shared" ref="I216:I247" si="619">Vout2*G216</f>
        <v>2E-3</v>
      </c>
      <c r="J216" s="465">
        <f t="shared" ref="J216:J247" si="620">VIN_max-(F216/CG216/Nps+G216/CH216/(Nps/Nsec1sec2))*(Rdcr_pri+RON/1000)</f>
        <v>59.995428428475762</v>
      </c>
      <c r="K216" s="379">
        <f t="shared" ref="K216:K247" si="621">MAX((S216+Vfwd2+Rdcr_sec*F216/CG216)*Nps,(Vout2+Vfwd22+Rdcr_sec2*G216/CH216)*Nps/Nsec1sec2)</f>
        <v>5.7002052538165326</v>
      </c>
      <c r="L216" s="149">
        <f t="shared" ref="L216:L247" si="622">MAX((Vout+Vfwd2+F216/CG216*Rdcr_sec)*Nps+J216, (Vout2+Vfwd22+G216/CH216*Rdcr_sec2)*Nps/Nsec1sec2+J216)</f>
        <v>65.695633682292296</v>
      </c>
      <c r="M216" s="379"/>
      <c r="N216" s="188">
        <f t="shared" ref="N216:N247" si="623">MAX((Vout+Vfwd2+F216/CG216*Rdcr_sec)*Nps/((Vout+Vfwd2+F216/CG216*Rdcr_sec)*Nps+J216), (Vout2+Vfwd22+G216/CH216*Rdcr_sec2)*Nps/Nsec1sec2/((Vout2+Vfwd22+G216/CH216*Rdcr_sec2)*Nps/Nsec1sec2+J216))</f>
        <v>8.6766881363577977E-2</v>
      </c>
      <c r="O216" s="149">
        <f t="shared" ref="O216:O247" si="624">N216*J216*Isw_max*0.5*Efficiency*Pout/(Pout+Pout2)</f>
        <v>9.7605304140198577</v>
      </c>
      <c r="P216" s="149">
        <f t="shared" ref="P216:P247" si="625">N216*J216*Isw_max*0.5*Efficiency*(Pout2/Pout_total)</f>
        <v>4.3380135173421586</v>
      </c>
      <c r="Q216" s="188">
        <f t="shared" ref="Q216:Q279" si="626">O216/Vout</f>
        <v>1.9521060828039716</v>
      </c>
      <c r="R216" s="188">
        <f t="shared" ref="R216:R247" si="627">O216/Vout2</f>
        <v>1.2200663017524822</v>
      </c>
      <c r="S216" s="188">
        <f t="shared" ref="S216:S247" si="628">MIN(Vout,O216/F216)</f>
        <v>5</v>
      </c>
      <c r="T216" s="188">
        <f t="shared" ref="T216:T247" si="629">MIN(2*(Vout*F216+Vout2*G216)/(Efficiency*J216*N216), Isw_max)</f>
        <v>7.6840278467111818E-4</v>
      </c>
      <c r="U216" s="188">
        <f t="shared" ref="U216:U279" si="630">L*T216/J216*1000000</f>
        <v>1.5369226718742646E-4</v>
      </c>
      <c r="V216" s="188">
        <f t="shared" ref="V216:V279" si="631">L*T216/K216*1000000</f>
        <v>1.6176318229733349E-3</v>
      </c>
      <c r="W216" s="172">
        <f t="shared" ref="W216:W279" si="632">IF(1/((350000*L)*(1/J216+1/K216))&gt;Isw_min, 350, 0.001/((Isw_min*L)*(1/J216+1/K216)))</f>
        <v>350</v>
      </c>
      <c r="X216" s="379">
        <f>MIN(1/(U216+V216+0.2)*1000, 350)</f>
        <v>350</v>
      </c>
      <c r="Z216" s="188">
        <f t="shared" ref="Z216:Z279" si="633">1/((W216*1000*L)*(1/J216+1/K216))</f>
        <v>1.2394324335263309</v>
      </c>
      <c r="AA216" s="150">
        <f t="shared" ref="AA216:AA279" si="634">L*Z216/K216*1000000</f>
        <v>2.609237481818349</v>
      </c>
      <c r="AB216" s="150">
        <f t="shared" ref="AB216:AB247" si="635">0.5*AA216*Z216*Nps*W216/1000*(Pout/(Pout+Pout2))</f>
        <v>0.42445902997814294</v>
      </c>
      <c r="AC216" s="150"/>
      <c r="AD216" s="150">
        <f t="shared" ref="AD216:AD279" si="636">L*Isw_min/K216*1000000</f>
        <v>2.1051873512739712</v>
      </c>
      <c r="AE216" s="314">
        <f t="shared" ref="AE216:AE247" si="637">MAX(10, F216/(0.5*AD216/1000000*Isw_min*Nps)/1000*Pout_total/Pout)</f>
        <v>10</v>
      </c>
      <c r="AF216" s="456">
        <f t="shared" ref="AF216:AF247" si="638">0.5*AD216/1000000*Isw_min*Nps*W216*1000*(Pout/Pout_total)</f>
        <v>0.36840778647294498</v>
      </c>
      <c r="AH216" s="150">
        <f t="shared" ref="AH216:AH247" si="639">SQRT((H216+I216)/(0.5*L*Fsw_DCM))</f>
        <v>3.0860708568231761E-2</v>
      </c>
      <c r="AI216" s="150">
        <f t="shared" ref="AI216:AI247" si="640">MAX(IF(F216&gt;AB216,T216,AH216),Isw_min)</f>
        <v>1</v>
      </c>
      <c r="AJ216" s="150">
        <f t="shared" ref="AJ216:AJ247" si="641">IF(F216&gt;AF216, (AI216-Isw_min)/1.08*0.8+1.2, AE216*0.2/350+1)</f>
        <v>1.0057142857142858</v>
      </c>
      <c r="AL216" s="314">
        <f t="shared" ref="AL216:AL247" si="642">F216*1000</f>
        <v>1.0000000000000002E-6</v>
      </c>
      <c r="AM216" s="144">
        <f t="shared" ref="AM216:AM247" si="643">IF(F216&gt;AF216, X216, AE216)</f>
        <v>10</v>
      </c>
      <c r="AO216">
        <f t="shared" ref="AO216:AO279" si="644">IF(H216&gt;O216, "",AL216)</f>
        <v>1.0000000000000002E-6</v>
      </c>
      <c r="AP216">
        <f t="shared" ref="AP216:AP279" si="645">IF(H216&gt;O216, "",AM216)</f>
        <v>10</v>
      </c>
      <c r="AR216" s="5">
        <f t="shared" si="616"/>
        <v>100</v>
      </c>
      <c r="AS216" s="5">
        <f t="shared" si="604"/>
        <v>0.20001523973290627</v>
      </c>
      <c r="AT216" s="5">
        <f t="shared" si="605"/>
        <v>99.799984760267094</v>
      </c>
      <c r="AU216" s="150">
        <f t="shared" si="606"/>
        <v>2.0001523973290627E-3</v>
      </c>
      <c r="BA216" s="150">
        <f>AI216*SQRT(AU216/3)</f>
        <v>2.5820872676506391E-2</v>
      </c>
      <c r="BB216" s="150">
        <f>AI216*Npri_sec1*SQRT((1-AU216)/3)*(Pout/Pout_total)</f>
        <v>0.57677258591888447</v>
      </c>
      <c r="BC216" s="150">
        <f>AI216*Npri_sec2*SQRT((1-AU216)/3)*(Pout2/Pout_total)</f>
        <v>0.12892563685245653</v>
      </c>
      <c r="BD216" s="150"/>
      <c r="BE216" s="456">
        <f>Rdson*BA216^2</f>
        <v>1.3334349315527086E-5</v>
      </c>
      <c r="BF216" s="456">
        <f t="shared" ref="BF216:BF247" si="646">0.5*L216*AI216*AM216*1000*Tfall</f>
        <v>1.2317931315429805E-2</v>
      </c>
      <c r="BG216" s="456">
        <f t="shared" ref="BG216:BG247" si="647">Qg*Vdd*AM216*1000*0+Qg*J216*AM216*1000</f>
        <v>1.499885710711894E-2</v>
      </c>
      <c r="BH216" s="456">
        <f>0.5*(Coss+Csw)*L216^2*AM216*1000</f>
        <v>4.3159162849179386E-3</v>
      </c>
      <c r="BI216">
        <f>J216*IQ</f>
        <v>2.6997942792814093E-2</v>
      </c>
      <c r="BJ216" s="144">
        <f>(BG216+BI216)*1000</f>
        <v>41.996799899933031</v>
      </c>
      <c r="BK216">
        <f t="shared" ref="BK216:BK247" si="648">(BF216+BG216*0+BH216+BI216*0+BE216*(1+RdsonTC*(Ta-25)))/(1-BE216*RdsonTC*ThetaJA)</f>
        <v>1.665083497784314E-2</v>
      </c>
      <c r="BL216" s="144">
        <f>SUM(BE216:BI216)*1000</f>
        <v>58.643981849596308</v>
      </c>
      <c r="BM216" s="150">
        <f t="shared" ref="BM216:BM247" si="649">Vfwd2*F216*(1+Diode_TC/1000*(Ta-25))</f>
        <v>6.212499999999999E-10</v>
      </c>
      <c r="BN216" s="150">
        <f t="shared" ref="BN216:BN247" si="650">Vfwd22*G216*(1+Diode_TC/1000*(Ta-25))</f>
        <v>1.1093749999999999E-4</v>
      </c>
      <c r="BQ216" s="144">
        <f>SUM(BM216:BP216)*1000</f>
        <v>0.11093812124999999</v>
      </c>
      <c r="BR216" s="456">
        <f>Rdcr_pri*BA216^2</f>
        <v>2.0001523973290629E-5</v>
      </c>
      <c r="BS216" s="456">
        <f>Rdcr_sec*BB216^2</f>
        <v>9.979998476026708E-3</v>
      </c>
      <c r="BT216" s="456">
        <f>Rdcr_sec2*BC216^2</f>
        <v>8.3109099189057487E-5</v>
      </c>
      <c r="BU216" s="456">
        <f>AI216^2.5*AM216^2.5*k_core</f>
        <v>1.5811388300841911E-5</v>
      </c>
      <c r="BV216" s="456"/>
      <c r="BW216" s="538">
        <f>0.5*Lleak*0.000000001*AI216^2*AM216*1000</f>
        <v>1.0000000000000001E-5</v>
      </c>
      <c r="BX216" s="144">
        <f>SUM(BR216:BW216)*1000</f>
        <v>10.108920487489899</v>
      </c>
      <c r="BY216" s="150">
        <f>SUM(BE216:BI216,BM216:BP216,BR216:BW216)</f>
        <v>6.8863840458336212E-2</v>
      </c>
      <c r="BZ216" s="5">
        <f>MIN(H216+I216,O216+P216)</f>
        <v>2.000005E-3</v>
      </c>
      <c r="CA216" s="150">
        <f>BZ216/(BZ216+BY216)</f>
        <v>2.8223207293709255E-2</v>
      </c>
      <c r="CB216" s="5">
        <f>CA216*100</f>
        <v>2.8223207293709254</v>
      </c>
      <c r="CC216">
        <f>F216/Iout*100</f>
        <v>8.3333333333333352E-8</v>
      </c>
      <c r="CE216" s="59">
        <f t="shared" ref="CE216:CE247" si="651">IF(ABS(F216-Ioutmax_Vinmax)&lt;Iout/200, AM216, -50)</f>
        <v>-50</v>
      </c>
      <c r="CG216" s="150">
        <f t="shared" ref="CG216:CG247" si="652">MIN(SQRT(2*DT216*1000*Ls1_*CL216)/CW216, 1-DY216)</f>
        <v>6.9282032302755094E-6</v>
      </c>
      <c r="CH216" s="150">
        <f t="shared" ref="CH216:CH247" si="653">MIN(SQRT(2*DT216*1000*Ls2_*CM216)/Vout2, 1-DY216)</f>
        <v>4.0838962620999225E-3</v>
      </c>
      <c r="CI216" s="147">
        <v>0.1</v>
      </c>
      <c r="CJ216" s="188">
        <v>1.0000000000000001E-9</v>
      </c>
      <c r="CK216" s="188">
        <f t="shared" ref="CK216:CK279" si="654">IF(PLOT_TYPE=1, CI216/100*Iout2, min_I*EXP(CU216*rr/100))</f>
        <v>2.5000000000000001E-4</v>
      </c>
      <c r="CL216" s="188">
        <f t="shared" ref="CL216:CL279" si="655">CJ216*Vout</f>
        <v>5.0000000000000001E-9</v>
      </c>
      <c r="CM216" s="188">
        <f t="shared" ref="CM216:CM279" si="656">Vout2*CK216</f>
        <v>2E-3</v>
      </c>
      <c r="CN216" s="465">
        <f t="shared" ref="CN216:CN279" si="657">VIN_max</f>
        <v>60</v>
      </c>
      <c r="CO216" s="379">
        <f t="shared" ref="CO216:CO247" si="658">(CW216+Vfwd2)*Nps</f>
        <v>5.7</v>
      </c>
      <c r="CP216" s="379">
        <f t="shared" ref="CP216:CP247" si="659">(Vout+Vfwd2)*Nps+CN216</f>
        <v>65.7</v>
      </c>
      <c r="CQ216" s="379"/>
      <c r="CR216" s="188">
        <f t="shared" ref="CR216:CR279" si="660">(Vout+Vfwd1)*Nps/((Vout+Vfwd1)*Nps+CN216)</f>
        <v>8.2568807339449546E-2</v>
      </c>
      <c r="CS216" s="149">
        <f t="shared" ref="CS216:CS279" si="661">CR216*CN216*Isw_max*0.5*Efficiency*Pout/(Pout+Pout2)</f>
        <v>9.2889908256880744</v>
      </c>
      <c r="CT216" s="149">
        <f t="shared" ref="CT216:CT279" si="662">CR216*CN216*Isw_max*0.5*Efficiency*(Pout2/Pout_total)</f>
        <v>4.1284403669724767</v>
      </c>
      <c r="CU216" s="188">
        <f t="shared" ref="CU216:CU279" si="663">CS216/Vout</f>
        <v>1.857798165137615</v>
      </c>
      <c r="CV216" s="188">
        <f t="shared" ref="CV216:CV279" si="664">CS216/Vout2</f>
        <v>1.1611238532110093</v>
      </c>
      <c r="CW216" s="188">
        <f t="shared" ref="CW216:CW279" si="665">MIN(Vout,CS216/CJ216)</f>
        <v>5</v>
      </c>
      <c r="CX216" s="188">
        <f t="shared" ref="CX216:CX279" si="666">MIN(2*(Vout*CJ216+Vout2*CK216)/(Efficiency*CN216*CR216), Isw_max)</f>
        <v>8.0740942592592586E-4</v>
      </c>
      <c r="CY216" s="188">
        <f t="shared" ref="CY216:CY279" si="667">L*CX216/CN216*1000000</f>
        <v>1.6148188518518518E-4</v>
      </c>
      <c r="CZ216" s="188">
        <f t="shared" ref="CZ216:CZ279" si="668">L*CX216/CO216*1000000</f>
        <v>1.6998093177387913E-3</v>
      </c>
      <c r="DA216" s="172">
        <f t="shared" ref="DA216:DA279" si="669">IF(1/((350000*L)*(1/CN216+1/CO216))&gt;Isw_min, 350, 0.001/((Isw_min*L)*(1/CN216+1/CO216)))</f>
        <v>350</v>
      </c>
      <c r="DB216" s="379">
        <f t="shared" ref="DB216:DB279" si="670">MIN(1/(CY216+CZ216)*1000, 350)</f>
        <v>350</v>
      </c>
      <c r="DD216" s="188">
        <f t="shared" ref="DD216:DD279" si="671">1/((DA216*1000*L)*(1/CN216+1/CO216))</f>
        <v>1.2393998695368558</v>
      </c>
      <c r="DE216" s="150">
        <f t="shared" ref="DE216:DE279" si="672">L*DD216/CO216*1000000</f>
        <v>2.6092628832354858</v>
      </c>
      <c r="DF216" s="150">
        <f t="shared" ref="DF216:DF279" si="673">0.5*DE216*DD216*Nps*DA216/1000*(Pout/(Pout+Pout2))</f>
        <v>0.4244520101153616</v>
      </c>
      <c r="DG216" s="150"/>
      <c r="DH216" s="150">
        <f t="shared" ref="DH216:DH279" si="674">L*Isw_min/CO216*1000000</f>
        <v>2.1052631578947367</v>
      </c>
      <c r="DI216" s="314">
        <f t="shared" ref="DI216:DI279" si="675">MAX(10, CJ216/(0.5*DH216/1000000*Isw_min*Nps)/1000*Pout_total/Pout)</f>
        <v>10</v>
      </c>
      <c r="DJ216" s="456">
        <f t="shared" ref="DJ216:DJ279" si="676">0.5*DH216/1000000*Isw_min*Nps*DA216*1000*(Pout/Pout_total)</f>
        <v>0.36842105263157893</v>
      </c>
      <c r="DL216" s="150">
        <f t="shared" ref="DL216:DL279" si="677">SQRT((CL216+CM216)/(0.5*L*Fsw_DCM))</f>
        <v>3.0860708568231761E-2</v>
      </c>
      <c r="DM216" s="150">
        <f t="shared" ref="DM216:DM279" si="678">MAX(IF(CJ216&gt;DF216,CX216,DL216),Isw_min)</f>
        <v>1</v>
      </c>
      <c r="DN216" s="150">
        <f t="shared" ref="DN216:DN279" si="679">IF(CJ216&gt;DJ216, (DM216-Isw_min)/1.08*0.8+1.2, DI216*0.2/350+1)</f>
        <v>1.0057142857142858</v>
      </c>
      <c r="DP216" s="314">
        <f t="shared" ref="DP216:DP279" si="680">CJ216*1000</f>
        <v>1.0000000000000002E-6</v>
      </c>
      <c r="DQ216" s="144">
        <f t="shared" ref="DQ216:DQ279" si="681">IF(CJ216&gt;DJ216, DB216, DI216)</f>
        <v>10</v>
      </c>
      <c r="DS216">
        <f t="shared" ref="DS216:DS279" si="682">IF(CL216&gt;CS216, "",DP216)</f>
        <v>1.0000000000000002E-6</v>
      </c>
      <c r="DT216">
        <f t="shared" ref="DT216:DT279" si="683">IF(CL216&gt;CS216, "",DQ216)</f>
        <v>10</v>
      </c>
      <c r="DV216" s="5">
        <f t="shared" ref="DV216:DV280" si="684">1/DQ216*1000</f>
        <v>100</v>
      </c>
      <c r="DW216" s="5">
        <f t="shared" ref="DW216:DW279" si="685">L*DM216/CN216*1000000</f>
        <v>0.2</v>
      </c>
      <c r="DX216" s="5">
        <f t="shared" ref="DX216:DX279" si="686">DV216-DW216</f>
        <v>99.8</v>
      </c>
      <c r="DY216" s="150">
        <f t="shared" ref="DY216:DY279" si="687">DW216/DV216</f>
        <v>2E-3</v>
      </c>
      <c r="EA216" s="5">
        <f>CJ216*DW216/Vout_ripple*1000</f>
        <v>4.0000000000000011E-9</v>
      </c>
      <c r="EB216" s="5">
        <f>CK216*DW216/Vout_ripple2*1000</f>
        <v>6.2500000000000001E-4</v>
      </c>
      <c r="EC216" s="5">
        <f>CL216/Efficiency/CN216*DX216/Vinripple1</f>
        <v>3.4652777777777771E-9</v>
      </c>
      <c r="ED216" s="5"/>
      <c r="EE216" s="150">
        <f>DM216*SQRT(DY216/3)</f>
        <v>2.5819888974716113E-2</v>
      </c>
      <c r="EF216" s="150">
        <f>DM216*Npri_sec1*SQRT((1-DY216)/3)*(Pout/Pout_total)</f>
        <v>0.5767726299562651</v>
      </c>
      <c r="EG216" s="150">
        <f>DM216*Npri_sec2*SQRT((1-DY216)/3)*(Pout2/Pout_total)</f>
        <v>0.12892564669610632</v>
      </c>
      <c r="EH216" s="150"/>
      <c r="EI216" s="456">
        <f>Rdson*EE216^2</f>
        <v>1.3333333333333333E-5</v>
      </c>
      <c r="EJ216" s="456">
        <f>0.5*CP216*DM216*DQ216*1000*Trise</f>
        <v>1.3140000000000001E-2</v>
      </c>
      <c r="EK216" s="456">
        <f>Qg*Vdd*DQ216*1000</f>
        <v>1.2499999999999998E-3</v>
      </c>
      <c r="EL216" s="456">
        <f>0.5*(Coss+Csw)*CP216^2*DQ216*1000</f>
        <v>4.316490000000001E-3</v>
      </c>
      <c r="EM216">
        <f>CN216*IQ</f>
        <v>2.7E-2</v>
      </c>
      <c r="EN216" s="144">
        <f>(EK216+EM216)*1000</f>
        <v>28.25</v>
      </c>
      <c r="EP216" s="144">
        <f>SUM(EI216:EM216)*1000</f>
        <v>45.719823333333338</v>
      </c>
      <c r="EQ216" s="150">
        <f>Vfwd2*CJ216</f>
        <v>6.9999999999999996E-10</v>
      </c>
      <c r="ER216" s="150">
        <f t="shared" ref="ER216:ER247" si="688">Vfwd22*CK216*(1+Diode_TC/1000*(Ta-25))</f>
        <v>1.1093749999999999E-4</v>
      </c>
      <c r="ES216" s="456"/>
      <c r="EU216" s="144">
        <f>SUM(EQ216:ET216)*1000</f>
        <v>0.11093819999999999</v>
      </c>
      <c r="EV216" s="456">
        <f>Rdcr_pri*EE216^2</f>
        <v>1.9999999999999998E-5</v>
      </c>
      <c r="EW216" s="456">
        <f>Rdcr_sec*EF216^2</f>
        <v>9.980000000000001E-3</v>
      </c>
      <c r="EX216" s="456">
        <f>Rdcr_sec2*EG216^2</f>
        <v>8.3109111880046141E-5</v>
      </c>
      <c r="EY216" s="456">
        <f>DM216^2.5*DQ216^2.5*k_core</f>
        <v>1.5811388300841911E-5</v>
      </c>
      <c r="EZ216" s="456"/>
      <c r="FA216" s="538">
        <f>0.5*Lleak*0.000000001*DM216^2*DQ216*1000</f>
        <v>1.0000000000000001E-5</v>
      </c>
      <c r="FB216" s="144">
        <f>SUM(EV216:FA216)*1000</f>
        <v>10.108920500180888</v>
      </c>
      <c r="FC216" s="150">
        <f>SUM(EI216:EM216,EQ216:ET216,EV216:FA216)</f>
        <v>5.5939682033514231E-2</v>
      </c>
      <c r="FD216" s="5">
        <f>MIN(CL216+CM216,CS216+CT216)</f>
        <v>2.000005E-3</v>
      </c>
      <c r="FE216" s="150">
        <f>FD216/(FD216+FC216)</f>
        <v>3.4518740131321925E-2</v>
      </c>
      <c r="FF216" s="5">
        <f>FE216*100</f>
        <v>3.4518740131321923</v>
      </c>
      <c r="FG216">
        <f>CJ216/Iout*100</f>
        <v>8.3333333333333352E-8</v>
      </c>
      <c r="FI216" s="59">
        <f t="shared" ref="FI216:FI279" si="689">IF(ABS(CJ216-Ioutmax_Vinmax)&lt;Iout/200, DQ216, -50)</f>
        <v>-50</v>
      </c>
    </row>
    <row r="217" spans="1:169">
      <c r="E217" s="147">
        <v>1</v>
      </c>
      <c r="F217" s="188">
        <f t="shared" ref="F217:F248" si="690">IF(PLOT_TYPE=1, E217/100*Iout_max, min_I*EXP(O217*rr/100))</f>
        <v>1.2E-2</v>
      </c>
      <c r="G217" s="188">
        <f t="shared" si="617"/>
        <v>2.5000000000000001E-3</v>
      </c>
      <c r="H217" s="188">
        <f t="shared" si="618"/>
        <v>0.06</v>
      </c>
      <c r="I217" s="188">
        <f t="shared" si="619"/>
        <v>0.02</v>
      </c>
      <c r="J217" s="465">
        <f t="shared" si="620"/>
        <v>59.963066902949564</v>
      </c>
      <c r="K217" s="379">
        <f t="shared" si="621"/>
        <v>5.7140487871737253</v>
      </c>
      <c r="L217" s="149">
        <f t="shared" si="622"/>
        <v>65.677115690123287</v>
      </c>
      <c r="M217" s="379"/>
      <c r="N217" s="188">
        <f t="shared" si="623"/>
        <v>8.7002127409700189E-2</v>
      </c>
      <c r="O217" s="149">
        <f t="shared" si="624"/>
        <v>9.7817144748127411</v>
      </c>
      <c r="P217" s="149">
        <f t="shared" si="625"/>
        <v>4.3474286554723287</v>
      </c>
      <c r="Q217" s="188">
        <f t="shared" si="626"/>
        <v>1.9563428949625483</v>
      </c>
      <c r="R217" s="188">
        <f t="shared" si="627"/>
        <v>1.2227143093515926</v>
      </c>
      <c r="S217" s="188">
        <f t="shared" si="628"/>
        <v>5</v>
      </c>
      <c r="T217" s="188">
        <f t="shared" si="629"/>
        <v>3.0669470139665179E-2</v>
      </c>
      <c r="U217" s="188">
        <f t="shared" si="630"/>
        <v>6.1376720819107857E-3</v>
      </c>
      <c r="V217" s="188">
        <f t="shared" si="631"/>
        <v>6.4408557816675288E-2</v>
      </c>
      <c r="W217" s="172">
        <f t="shared" si="632"/>
        <v>350</v>
      </c>
      <c r="X217" s="379">
        <f t="shared" ref="X217:X280" si="691">MIN(1/(U217+V217+0.2)*1000, 350)</f>
        <v>350</v>
      </c>
      <c r="Z217" s="188">
        <f t="shared" si="633"/>
        <v>1.2421224729920939</v>
      </c>
      <c r="AA217" s="150">
        <f t="shared" si="634"/>
        <v>2.6085653502579995</v>
      </c>
      <c r="AB217" s="150">
        <f t="shared" si="635"/>
        <v>0.42527069075189394</v>
      </c>
      <c r="AC217" s="150"/>
      <c r="AD217" s="150">
        <f t="shared" si="636"/>
        <v>2.1000870743239526</v>
      </c>
      <c r="AE217" s="314">
        <f t="shared" si="637"/>
        <v>11.428097574347452</v>
      </c>
      <c r="AF217" s="456">
        <f t="shared" si="638"/>
        <v>0.36751523800669172</v>
      </c>
      <c r="AH217" s="150">
        <f t="shared" si="639"/>
        <v>0.19518001458970663</v>
      </c>
      <c r="AI217" s="150">
        <f t="shared" si="640"/>
        <v>1</v>
      </c>
      <c r="AJ217" s="150">
        <f t="shared" si="641"/>
        <v>1.0065303414710556</v>
      </c>
      <c r="AL217" s="314">
        <f t="shared" si="642"/>
        <v>12</v>
      </c>
      <c r="AM217" s="144">
        <f t="shared" si="643"/>
        <v>11.428097574347452</v>
      </c>
      <c r="AO217">
        <f t="shared" si="644"/>
        <v>12</v>
      </c>
      <c r="AP217">
        <f t="shared" si="645"/>
        <v>11.428097574347452</v>
      </c>
      <c r="AR217" s="5">
        <f t="shared" si="616"/>
        <v>87.503628096831363</v>
      </c>
      <c r="AS217" s="5">
        <f t="shared" si="604"/>
        <v>0.20012318615093594</v>
      </c>
      <c r="AT217" s="5">
        <f t="shared" si="605"/>
        <v>87.303504910680431</v>
      </c>
      <c r="AU217" s="150">
        <f t="shared" si="606"/>
        <v>2.2870272982221944E-3</v>
      </c>
      <c r="BA217" s="150">
        <f t="shared" ref="BA217:BA280" si="692">AI217*SQRT(AU217/3)</f>
        <v>2.7610549301684155E-2</v>
      </c>
      <c r="BB217" s="150">
        <f t="shared" ref="BB217:BB280" si="693">AI217*Npri_sec1*SQRT((1-AU217)/3)*(Pout/Pout_total)</f>
        <v>0.57668968336583981</v>
      </c>
      <c r="BC217" s="150">
        <f t="shared" ref="BC217:BC280" si="694">AI217*Npri_sec2*SQRT((1-AU217)/3)*(Pout2/Pout_total)</f>
        <v>0.12890710569354066</v>
      </c>
      <c r="BD217" s="150"/>
      <c r="BE217" s="456">
        <f t="shared" ref="BE217:BE280" si="695">Rdson*BA217^2</f>
        <v>1.5246848654814626E-5</v>
      </c>
      <c r="BF217" s="456">
        <f t="shared" si="646"/>
        <v>1.4073084122033154E-2</v>
      </c>
      <c r="BG217" s="456">
        <f t="shared" si="647"/>
        <v>1.7131594485600799E-2</v>
      </c>
      <c r="BH217" s="456">
        <f t="shared" ref="BH217:BH280" si="696">0.5*(Coss+Csw)*L217^2*AM217*1000</f>
        <v>4.9294910613312459E-3</v>
      </c>
      <c r="BI217">
        <f t="shared" ref="BI217:BI280" si="697">J217*IQ</f>
        <v>2.6983380106327302E-2</v>
      </c>
      <c r="BJ217" s="144">
        <f t="shared" ref="BJ217:BJ280" si="698">(BG217+BI217)*1000</f>
        <v>44.114974591928103</v>
      </c>
      <c r="BK217">
        <f t="shared" si="648"/>
        <v>1.9022007591255413E-2</v>
      </c>
      <c r="BL217" s="144">
        <f t="shared" ref="BL217:BL280" si="699">SUM(BE217:BI217)*1000</f>
        <v>63.132796623947314</v>
      </c>
      <c r="BM217" s="150">
        <f t="shared" si="649"/>
        <v>7.454999999999999E-3</v>
      </c>
      <c r="BN217" s="150">
        <f t="shared" si="650"/>
        <v>1.1093749999999999E-3</v>
      </c>
      <c r="BQ217" s="144">
        <f t="shared" ref="BQ217:BQ280" si="700">SUM(BM217:BP217)*1000</f>
        <v>8.5643749999999983</v>
      </c>
      <c r="BR217" s="456">
        <f t="shared" ref="BR217:BR280" si="701">Rdcr_pri*BA217^2</f>
        <v>2.287027298222194E-5</v>
      </c>
      <c r="BS217" s="456">
        <f t="shared" ref="BS217:BS280" si="702">Rdcr_sec*BB217^2</f>
        <v>9.9771297270177771E-3</v>
      </c>
      <c r="BT217" s="456">
        <f t="shared" ref="BT217:BT280" si="703">Rdcr_sec2*BC217^2</f>
        <v>8.3085209491428323E-5</v>
      </c>
      <c r="BU217" s="456">
        <f t="shared" ref="BU217:BU280" si="704">AI217^2.5*AM217^2.5*k_core</f>
        <v>2.2075210513544904E-5</v>
      </c>
      <c r="BV217" s="456"/>
      <c r="BW217" s="538">
        <f t="shared" ref="BW217:BW280" si="705">0.5*Lleak*0.000000001*AI217^2*AM217*1000</f>
        <v>1.1428097574347453E-5</v>
      </c>
      <c r="BX217" s="144">
        <f t="shared" ref="BX217:BX280" si="706">SUM(BR217:BW217)*1000</f>
        <v>10.116588517579318</v>
      </c>
      <c r="BY217" s="150">
        <f t="shared" ref="BY217:BY280" si="707">SUM(BE217:BI217,BM217:BP217,BR217:BW217)</f>
        <v>8.1813760141526651E-2</v>
      </c>
      <c r="BZ217" s="5">
        <f t="shared" ref="BZ217:BZ280" si="708">MIN(H217+I217,O217+P217)</f>
        <v>0.08</v>
      </c>
      <c r="CA217" s="150">
        <f t="shared" ref="CA217:CA280" si="709">BZ217/(BZ217+BY217)</f>
        <v>0.49439553181404261</v>
      </c>
      <c r="CB217" s="5">
        <f t="shared" ref="CB217:CB280" si="710">CA217*100</f>
        <v>49.439553181404264</v>
      </c>
      <c r="CC217">
        <f t="shared" ref="CC217:CC280" si="711">F217/Iout*100</f>
        <v>1</v>
      </c>
      <c r="CE217" s="59">
        <f t="shared" si="651"/>
        <v>-50</v>
      </c>
      <c r="CG217" s="150">
        <f t="shared" si="652"/>
        <v>2.5624987804875148E-2</v>
      </c>
      <c r="CH217" s="150">
        <f t="shared" si="653"/>
        <v>1.3788820796114815E-2</v>
      </c>
      <c r="CI217" s="147">
        <v>1</v>
      </c>
      <c r="CJ217" s="188">
        <f t="shared" ref="CJ217:CJ280" si="712">IF(PLOT_TYPE=1, CI217/100*Iout_max, min_I*EXP(CS217*rr/100))</f>
        <v>1.2E-2</v>
      </c>
      <c r="CK217" s="188">
        <f t="shared" si="654"/>
        <v>2.5000000000000001E-3</v>
      </c>
      <c r="CL217" s="188">
        <f t="shared" si="655"/>
        <v>0.06</v>
      </c>
      <c r="CM217" s="188">
        <f t="shared" si="656"/>
        <v>0.02</v>
      </c>
      <c r="CN217" s="465">
        <f t="shared" si="657"/>
        <v>60</v>
      </c>
      <c r="CO217" s="379">
        <f t="shared" si="658"/>
        <v>5.7</v>
      </c>
      <c r="CP217" s="379">
        <f t="shared" si="659"/>
        <v>65.7</v>
      </c>
      <c r="CQ217" s="379"/>
      <c r="CR217" s="188">
        <f t="shared" si="660"/>
        <v>8.2568807339449546E-2</v>
      </c>
      <c r="CS217" s="149">
        <f t="shared" si="661"/>
        <v>9.2889908256880744</v>
      </c>
      <c r="CT217" s="149">
        <f t="shared" si="662"/>
        <v>4.1284403669724767</v>
      </c>
      <c r="CU217" s="188">
        <f t="shared" si="663"/>
        <v>1.857798165137615</v>
      </c>
      <c r="CV217" s="188">
        <f t="shared" si="664"/>
        <v>1.1611238532110093</v>
      </c>
      <c r="CW217" s="188">
        <f t="shared" si="665"/>
        <v>5</v>
      </c>
      <c r="CX217" s="188">
        <f t="shared" si="666"/>
        <v>3.2296296296296295E-2</v>
      </c>
      <c r="CY217" s="188">
        <f t="shared" si="667"/>
        <v>6.4592592592592592E-3</v>
      </c>
      <c r="CZ217" s="188">
        <f t="shared" si="668"/>
        <v>6.7992202729044826E-2</v>
      </c>
      <c r="DA217" s="172">
        <f t="shared" si="669"/>
        <v>350</v>
      </c>
      <c r="DB217" s="379">
        <f t="shared" si="670"/>
        <v>350</v>
      </c>
      <c r="DD217" s="188">
        <f t="shared" si="671"/>
        <v>1.2393998695368558</v>
      </c>
      <c r="DE217" s="150">
        <f t="shared" si="672"/>
        <v>2.6092628832354858</v>
      </c>
      <c r="DF217" s="150">
        <f t="shared" si="673"/>
        <v>0.4244520101153616</v>
      </c>
      <c r="DG217" s="150"/>
      <c r="DH217" s="150">
        <f t="shared" si="674"/>
        <v>2.1052631578947367</v>
      </c>
      <c r="DI217" s="314">
        <f t="shared" si="675"/>
        <v>11.4</v>
      </c>
      <c r="DJ217" s="456">
        <f t="shared" si="676"/>
        <v>0.36842105263157893</v>
      </c>
      <c r="DL217" s="150">
        <f t="shared" si="677"/>
        <v>0.19518001458970663</v>
      </c>
      <c r="DM217" s="150">
        <f t="shared" si="678"/>
        <v>1</v>
      </c>
      <c r="DN217" s="150">
        <f t="shared" si="679"/>
        <v>1.0065142857142857</v>
      </c>
      <c r="DP217" s="314">
        <f t="shared" si="680"/>
        <v>12</v>
      </c>
      <c r="DQ217" s="144">
        <f t="shared" si="681"/>
        <v>11.4</v>
      </c>
      <c r="DS217">
        <f t="shared" si="682"/>
        <v>12</v>
      </c>
      <c r="DT217">
        <f t="shared" si="683"/>
        <v>11.4</v>
      </c>
      <c r="DV217" s="5">
        <f t="shared" si="684"/>
        <v>87.719298245614027</v>
      </c>
      <c r="DW217" s="5">
        <f t="shared" si="685"/>
        <v>0.2</v>
      </c>
      <c r="DX217" s="5">
        <f t="shared" si="686"/>
        <v>87.519298245614024</v>
      </c>
      <c r="DY217" s="150">
        <f t="shared" si="687"/>
        <v>2.2800000000000003E-3</v>
      </c>
      <c r="EA217" s="5">
        <f t="shared" ref="EA217:EA280" si="713">CJ217*DW217/Vout_ripple*1000</f>
        <v>4.8000000000000001E-2</v>
      </c>
      <c r="EB217" s="5">
        <f t="shared" ref="EB217:EB280" si="714">CK217*DW217/Vout_ripple2*1000</f>
        <v>6.2500000000000003E-3</v>
      </c>
      <c r="EC217" s="5">
        <f t="shared" ref="EC217:EC280" si="715">CL217/Efficiency/CN217*DX217/Vinripple1</f>
        <v>3.6466374269005841E-2</v>
      </c>
      <c r="ED217" s="5"/>
      <c r="EE217" s="150">
        <f t="shared" ref="EE217:EE280" si="716">DM217*SQRT(DY217/3)</f>
        <v>2.7568097504180447E-2</v>
      </c>
      <c r="EF217" s="150">
        <f t="shared" ref="EF217:EF280" si="717">DM217*Npri_sec1*SQRT((1-DY217)/3)*(Pout/Pout_total)</f>
        <v>0.5766917142922493</v>
      </c>
      <c r="EG217" s="150">
        <f t="shared" ref="EG217:EG280" si="718">DM217*Npri_sec2*SQRT((1-DY217)/3)*(Pout2/Pout_total)</f>
        <v>0.1289075596653263</v>
      </c>
      <c r="EH217" s="150"/>
      <c r="EI217" s="456">
        <f t="shared" ref="EI217:EI280" si="719">Rdson*EE217^2</f>
        <v>1.5200000000000004E-5</v>
      </c>
      <c r="EJ217" s="456">
        <f t="shared" ref="EJ217:EJ280" si="720">0.5*CP217*DM217*DQ217*1000*Trise</f>
        <v>1.4979600000000001E-2</v>
      </c>
      <c r="EK217" s="456">
        <f t="shared" ref="EK217:EK280" si="721">Qg*Vdd*DQ217*1000</f>
        <v>1.4249999999999998E-3</v>
      </c>
      <c r="EL217" s="456">
        <f t="shared" ref="EL217:EL280" si="722">0.5*(Coss+Csw)*CP217^2*DQ217*1000</f>
        <v>4.9207986000000016E-3</v>
      </c>
      <c r="EM217">
        <f t="shared" ref="EM217:EM280" si="723">CN217*IQ</f>
        <v>2.7E-2</v>
      </c>
      <c r="EN217" s="144">
        <f t="shared" ref="EN217:EN280" si="724">(EK217+EM217)*1000</f>
        <v>28.424999999999997</v>
      </c>
      <c r="EP217" s="144">
        <f t="shared" ref="EP217:EP280" si="725">SUM(EI217:EM217)*1000</f>
        <v>48.340598600000007</v>
      </c>
      <c r="EQ217" s="150">
        <f t="shared" ref="EQ217:EQ280" si="726">Vfwd2*CJ217</f>
        <v>8.3999999999999995E-3</v>
      </c>
      <c r="ER217" s="150">
        <f t="shared" si="688"/>
        <v>1.1093749999999999E-3</v>
      </c>
      <c r="ES217" s="456"/>
      <c r="EU217" s="144">
        <f t="shared" ref="EU217:EU280" si="727">SUM(EQ217:ET217)*1000</f>
        <v>9.5093749999999986</v>
      </c>
      <c r="EV217" s="456">
        <f t="shared" ref="EV217:EV280" si="728">Rdcr_pri*EE217^2</f>
        <v>2.2800000000000005E-5</v>
      </c>
      <c r="EW217" s="456">
        <f t="shared" ref="EW217:EW280" si="729">Rdcr_sec*EF217^2</f>
        <v>9.9771999999999986E-3</v>
      </c>
      <c r="EX217" s="456">
        <f t="shared" ref="EX217:EX280" si="730">Rdcr_sec2*EG217^2</f>
        <v>8.3085794694348299E-5</v>
      </c>
      <c r="EY217" s="456">
        <f t="shared" ref="EY217:EY280" si="731">DM217^2.5*DQ217^2.5*k_core</f>
        <v>2.1939773143767918E-5</v>
      </c>
      <c r="EZ217" s="456"/>
      <c r="FA217" s="538">
        <f t="shared" ref="FA217:FA280" si="732">0.5*Lleak*0.000000001*DM217^2*DQ217*1000</f>
        <v>1.1400000000000001E-5</v>
      </c>
      <c r="FB217" s="144">
        <f t="shared" ref="FB217:FB280" si="733">SUM(EV217:FA217)*1000</f>
        <v>10.116425567838116</v>
      </c>
      <c r="FC217" s="150">
        <f t="shared" ref="FC217:FC280" si="734">SUM(EI217:EM217,EQ217:ET217,EV217:FA217)</f>
        <v>6.7966399167838115E-2</v>
      </c>
      <c r="FD217" s="5">
        <f t="shared" ref="FD217:FD280" si="735">MIN(CL217+CM217,CS217+CT217)</f>
        <v>0.08</v>
      </c>
      <c r="FE217" s="150">
        <f t="shared" ref="FE217:FE280" si="736">FD217/(FD217+FC217)</f>
        <v>0.54066328875960612</v>
      </c>
      <c r="FF217" s="5">
        <f t="shared" ref="FF217:FF280" si="737">FE217*100</f>
        <v>54.066328875960615</v>
      </c>
      <c r="FG217">
        <f t="shared" ref="FG217:FG280" si="738">CJ217/Iout*100</f>
        <v>1</v>
      </c>
      <c r="FI217" s="59">
        <f t="shared" si="689"/>
        <v>-50</v>
      </c>
    </row>
    <row r="218" spans="1:169">
      <c r="E218" s="147">
        <v>2</v>
      </c>
      <c r="F218" s="188">
        <f t="shared" si="690"/>
        <v>2.4E-2</v>
      </c>
      <c r="G218" s="188">
        <f t="shared" si="617"/>
        <v>5.0000000000000001E-3</v>
      </c>
      <c r="H218" s="188">
        <f t="shared" si="618"/>
        <v>0.12</v>
      </c>
      <c r="I218" s="188">
        <f t="shared" si="619"/>
        <v>0.04</v>
      </c>
      <c r="J218" s="465">
        <f t="shared" si="620"/>
        <v>59.963066902949564</v>
      </c>
      <c r="K218" s="379">
        <f t="shared" si="621"/>
        <v>5.7140487871737253</v>
      </c>
      <c r="L218" s="149">
        <f t="shared" si="622"/>
        <v>65.677115690123287</v>
      </c>
      <c r="M218" s="379"/>
      <c r="N218" s="188">
        <f t="shared" si="623"/>
        <v>8.7002127409700189E-2</v>
      </c>
      <c r="O218" s="149">
        <f t="shared" si="624"/>
        <v>9.7817144748127411</v>
      </c>
      <c r="P218" s="149">
        <f t="shared" si="625"/>
        <v>4.3474286554723287</v>
      </c>
      <c r="Q218" s="188">
        <f t="shared" si="626"/>
        <v>1.9563428949625483</v>
      </c>
      <c r="R218" s="188">
        <f t="shared" si="627"/>
        <v>1.2227143093515926</v>
      </c>
      <c r="S218" s="188">
        <f t="shared" si="628"/>
        <v>5</v>
      </c>
      <c r="T218" s="188">
        <f t="shared" si="629"/>
        <v>6.1338940279330359E-2</v>
      </c>
      <c r="U218" s="188">
        <f t="shared" si="630"/>
        <v>1.2275344163821571E-2</v>
      </c>
      <c r="V218" s="188">
        <f t="shared" si="631"/>
        <v>0.12881711563335058</v>
      </c>
      <c r="W218" s="172">
        <f t="shared" si="632"/>
        <v>350</v>
      </c>
      <c r="X218" s="379">
        <f t="shared" si="691"/>
        <v>350</v>
      </c>
      <c r="Z218" s="188">
        <f t="shared" si="633"/>
        <v>1.2421224729920939</v>
      </c>
      <c r="AA218" s="150">
        <f t="shared" si="634"/>
        <v>2.6085653502579995</v>
      </c>
      <c r="AB218" s="150">
        <f t="shared" si="635"/>
        <v>0.42527069075189394</v>
      </c>
      <c r="AC218" s="150"/>
      <c r="AD218" s="150">
        <f t="shared" si="636"/>
        <v>2.1000870743239526</v>
      </c>
      <c r="AE218" s="314">
        <f t="shared" si="637"/>
        <v>22.856195148694905</v>
      </c>
      <c r="AF218" s="456">
        <f t="shared" si="638"/>
        <v>0.36751523800669172</v>
      </c>
      <c r="AH218" s="150">
        <f t="shared" si="639"/>
        <v>0.27602622373694169</v>
      </c>
      <c r="AI218" s="150">
        <f t="shared" si="640"/>
        <v>1</v>
      </c>
      <c r="AJ218" s="150">
        <f t="shared" si="641"/>
        <v>1.0130606829421114</v>
      </c>
      <c r="AL218" s="314">
        <f t="shared" si="642"/>
        <v>24</v>
      </c>
      <c r="AM218" s="144">
        <f t="shared" si="643"/>
        <v>22.856195148694905</v>
      </c>
      <c r="AO218">
        <f t="shared" si="644"/>
        <v>24</v>
      </c>
      <c r="AP218">
        <f t="shared" si="645"/>
        <v>22.856195148694905</v>
      </c>
      <c r="AR218" s="5">
        <f t="shared" si="616"/>
        <v>43.751814048415682</v>
      </c>
      <c r="AS218" s="5">
        <f t="shared" si="604"/>
        <v>0.20012318615093594</v>
      </c>
      <c r="AT218" s="5">
        <f t="shared" si="605"/>
        <v>43.551690862264749</v>
      </c>
      <c r="AU218" s="150">
        <f t="shared" si="606"/>
        <v>4.5740545964443888E-3</v>
      </c>
      <c r="BA218" s="150">
        <f t="shared" si="692"/>
        <v>3.9047213287012723E-2</v>
      </c>
      <c r="BB218" s="150">
        <f t="shared" si="693"/>
        <v>0.5760283399867161</v>
      </c>
      <c r="BC218" s="150">
        <f t="shared" si="694"/>
        <v>0.12875927599703066</v>
      </c>
      <c r="BD218" s="150"/>
      <c r="BE218" s="456">
        <f t="shared" si="695"/>
        <v>3.0493697309629259E-5</v>
      </c>
      <c r="BF218" s="456">
        <f t="shared" si="646"/>
        <v>2.8146168244066308E-2</v>
      </c>
      <c r="BG218" s="456">
        <f t="shared" si="647"/>
        <v>3.4263188971201598E-2</v>
      </c>
      <c r="BH218" s="456">
        <f t="shared" si="696"/>
        <v>9.8589821226624918E-3</v>
      </c>
      <c r="BI218">
        <f t="shared" si="697"/>
        <v>2.6983380106327302E-2</v>
      </c>
      <c r="BJ218" s="144">
        <f t="shared" si="698"/>
        <v>61.246569077528903</v>
      </c>
      <c r="BK218">
        <f t="shared" si="648"/>
        <v>3.804415300370817E-2</v>
      </c>
      <c r="BL218" s="144">
        <f t="shared" si="699"/>
        <v>99.282213141567325</v>
      </c>
      <c r="BM218" s="150">
        <f t="shared" si="649"/>
        <v>1.4909999999999998E-2</v>
      </c>
      <c r="BN218" s="150">
        <f t="shared" si="650"/>
        <v>2.2187499999999998E-3</v>
      </c>
      <c r="BQ218" s="144">
        <f t="shared" si="700"/>
        <v>17.128749999999997</v>
      </c>
      <c r="BR218" s="456">
        <f t="shared" si="701"/>
        <v>4.5740545964443887E-5</v>
      </c>
      <c r="BS218" s="456">
        <f t="shared" si="702"/>
        <v>9.954259454035554E-3</v>
      </c>
      <c r="BT218" s="456">
        <f t="shared" si="703"/>
        <v>8.2894755776397584E-5</v>
      </c>
      <c r="BU218" s="456">
        <f t="shared" si="704"/>
        <v>1.248762484019854E-4</v>
      </c>
      <c r="BV218" s="456"/>
      <c r="BW218" s="538">
        <f t="shared" si="705"/>
        <v>2.2856195148694905E-5</v>
      </c>
      <c r="BX218" s="144">
        <f t="shared" si="706"/>
        <v>10.230627199327078</v>
      </c>
      <c r="BY218" s="150">
        <f t="shared" si="707"/>
        <v>0.12664159034089439</v>
      </c>
      <c r="BZ218" s="5">
        <f t="shared" si="708"/>
        <v>0.16</v>
      </c>
      <c r="CA218" s="150">
        <f t="shared" si="709"/>
        <v>0.55818836272055528</v>
      </c>
      <c r="CB218" s="5">
        <f t="shared" si="710"/>
        <v>55.818836272055528</v>
      </c>
      <c r="CC218">
        <f t="shared" si="711"/>
        <v>2</v>
      </c>
      <c r="CE218" s="59">
        <f t="shared" si="651"/>
        <v>-50</v>
      </c>
      <c r="CG218" s="150">
        <f t="shared" si="652"/>
        <v>5.1249975609750295E-2</v>
      </c>
      <c r="CH218" s="150">
        <f t="shared" si="653"/>
        <v>2.757764159222963E-2</v>
      </c>
      <c r="CI218" s="147">
        <v>2</v>
      </c>
      <c r="CJ218" s="188">
        <f t="shared" si="712"/>
        <v>2.4E-2</v>
      </c>
      <c r="CK218" s="188">
        <f t="shared" si="654"/>
        <v>5.0000000000000001E-3</v>
      </c>
      <c r="CL218" s="188">
        <f t="shared" si="655"/>
        <v>0.12</v>
      </c>
      <c r="CM218" s="188">
        <f t="shared" si="656"/>
        <v>0.04</v>
      </c>
      <c r="CN218" s="465">
        <f t="shared" si="657"/>
        <v>60</v>
      </c>
      <c r="CO218" s="379">
        <f t="shared" si="658"/>
        <v>5.7</v>
      </c>
      <c r="CP218" s="379">
        <f t="shared" si="659"/>
        <v>65.7</v>
      </c>
      <c r="CQ218" s="379"/>
      <c r="CR218" s="188">
        <f t="shared" si="660"/>
        <v>8.2568807339449546E-2</v>
      </c>
      <c r="CS218" s="149">
        <f t="shared" si="661"/>
        <v>9.2889908256880744</v>
      </c>
      <c r="CT218" s="149">
        <f t="shared" si="662"/>
        <v>4.1284403669724767</v>
      </c>
      <c r="CU218" s="188">
        <f t="shared" si="663"/>
        <v>1.857798165137615</v>
      </c>
      <c r="CV218" s="188">
        <f t="shared" si="664"/>
        <v>1.1611238532110093</v>
      </c>
      <c r="CW218" s="188">
        <f t="shared" si="665"/>
        <v>5</v>
      </c>
      <c r="CX218" s="188">
        <f t="shared" si="666"/>
        <v>6.459259259259259E-2</v>
      </c>
      <c r="CY218" s="188">
        <f t="shared" si="667"/>
        <v>1.2918518518518518E-2</v>
      </c>
      <c r="CZ218" s="188">
        <f t="shared" si="668"/>
        <v>0.13598440545808965</v>
      </c>
      <c r="DA218" s="172">
        <f t="shared" si="669"/>
        <v>350</v>
      </c>
      <c r="DB218" s="379">
        <f t="shared" si="670"/>
        <v>350</v>
      </c>
      <c r="DD218" s="188">
        <f t="shared" si="671"/>
        <v>1.2393998695368558</v>
      </c>
      <c r="DE218" s="150">
        <f t="shared" si="672"/>
        <v>2.6092628832354858</v>
      </c>
      <c r="DF218" s="150">
        <f t="shared" si="673"/>
        <v>0.4244520101153616</v>
      </c>
      <c r="DG218" s="150"/>
      <c r="DH218" s="150">
        <f t="shared" si="674"/>
        <v>2.1052631578947367</v>
      </c>
      <c r="DI218" s="314">
        <f t="shared" si="675"/>
        <v>22.8</v>
      </c>
      <c r="DJ218" s="456">
        <f t="shared" si="676"/>
        <v>0.36842105263157893</v>
      </c>
      <c r="DL218" s="150">
        <f t="shared" si="677"/>
        <v>0.27602622373694169</v>
      </c>
      <c r="DM218" s="150">
        <f t="shared" si="678"/>
        <v>1</v>
      </c>
      <c r="DN218" s="150">
        <f t="shared" si="679"/>
        <v>1.0130285714285714</v>
      </c>
      <c r="DP218" s="314">
        <f t="shared" si="680"/>
        <v>24</v>
      </c>
      <c r="DQ218" s="144">
        <f t="shared" si="681"/>
        <v>22.8</v>
      </c>
      <c r="DS218">
        <f t="shared" si="682"/>
        <v>24</v>
      </c>
      <c r="DT218">
        <f t="shared" si="683"/>
        <v>22.8</v>
      </c>
      <c r="DV218" s="5">
        <f t="shared" si="684"/>
        <v>43.859649122807014</v>
      </c>
      <c r="DW218" s="5">
        <f t="shared" si="685"/>
        <v>0.2</v>
      </c>
      <c r="DX218" s="5">
        <f t="shared" si="686"/>
        <v>43.659649122807011</v>
      </c>
      <c r="DY218" s="150">
        <f t="shared" si="687"/>
        <v>4.5600000000000007E-3</v>
      </c>
      <c r="EA218" s="5">
        <f t="shared" si="713"/>
        <v>9.6000000000000002E-2</v>
      </c>
      <c r="EB218" s="5">
        <f t="shared" si="714"/>
        <v>1.2500000000000001E-2</v>
      </c>
      <c r="EC218" s="5">
        <f t="shared" si="715"/>
        <v>3.6383040935672503E-2</v>
      </c>
      <c r="ED218" s="5"/>
      <c r="EE218" s="150">
        <f t="shared" si="716"/>
        <v>3.8987177379235863E-2</v>
      </c>
      <c r="EF218" s="150">
        <f t="shared" si="717"/>
        <v>0.57603240649579202</v>
      </c>
      <c r="EG218" s="150">
        <f t="shared" si="718"/>
        <v>0.12876018498141234</v>
      </c>
      <c r="EH218" s="150"/>
      <c r="EI218" s="456">
        <f t="shared" si="719"/>
        <v>3.040000000000001E-5</v>
      </c>
      <c r="EJ218" s="456">
        <f t="shared" si="720"/>
        <v>2.9959200000000002E-2</v>
      </c>
      <c r="EK218" s="456">
        <f t="shared" si="721"/>
        <v>2.8499999999999997E-3</v>
      </c>
      <c r="EL218" s="456">
        <f t="shared" si="722"/>
        <v>9.8415972000000032E-3</v>
      </c>
      <c r="EM218">
        <f t="shared" si="723"/>
        <v>2.7E-2</v>
      </c>
      <c r="EN218" s="144">
        <f t="shared" si="724"/>
        <v>29.849999999999998</v>
      </c>
      <c r="EP218" s="144">
        <f t="shared" si="725"/>
        <v>69.6811972</v>
      </c>
      <c r="EQ218" s="150">
        <f t="shared" si="726"/>
        <v>1.6799999999999999E-2</v>
      </c>
      <c r="ER218" s="150">
        <f t="shared" si="688"/>
        <v>2.2187499999999998E-3</v>
      </c>
      <c r="ES218" s="456"/>
      <c r="EU218" s="144">
        <f t="shared" si="727"/>
        <v>19.018749999999997</v>
      </c>
      <c r="EV218" s="456">
        <f t="shared" si="728"/>
        <v>4.5600000000000011E-5</v>
      </c>
      <c r="EW218" s="456">
        <f t="shared" si="729"/>
        <v>9.9544000000000004E-3</v>
      </c>
      <c r="EX218" s="456">
        <f t="shared" si="730"/>
        <v>8.2895926182237619E-5</v>
      </c>
      <c r="EY218" s="456">
        <f t="shared" si="731"/>
        <v>1.2411009894122238E-4</v>
      </c>
      <c r="EZ218" s="456"/>
      <c r="FA218" s="538">
        <f t="shared" si="732"/>
        <v>2.2800000000000002E-5</v>
      </c>
      <c r="FB218" s="144">
        <f t="shared" si="733"/>
        <v>10.229806025123461</v>
      </c>
      <c r="FC218" s="150">
        <f t="shared" si="734"/>
        <v>9.8929753225123485E-2</v>
      </c>
      <c r="FD218" s="5">
        <f t="shared" si="735"/>
        <v>0.16</v>
      </c>
      <c r="FE218" s="150">
        <f t="shared" si="736"/>
        <v>0.61792821414729371</v>
      </c>
      <c r="FF218" s="5">
        <f t="shared" si="737"/>
        <v>61.792821414729374</v>
      </c>
      <c r="FG218">
        <f t="shared" si="738"/>
        <v>2</v>
      </c>
      <c r="FI218" s="59">
        <f t="shared" si="689"/>
        <v>-50</v>
      </c>
    </row>
    <row r="219" spans="1:169">
      <c r="E219" s="147">
        <v>3</v>
      </c>
      <c r="F219" s="188">
        <f t="shared" si="690"/>
        <v>3.5999999999999997E-2</v>
      </c>
      <c r="G219" s="188">
        <f t="shared" si="617"/>
        <v>7.4999999999999997E-3</v>
      </c>
      <c r="H219" s="188">
        <f t="shared" si="618"/>
        <v>0.18</v>
      </c>
      <c r="I219" s="188">
        <f t="shared" si="619"/>
        <v>0.06</v>
      </c>
      <c r="J219" s="465">
        <f t="shared" si="620"/>
        <v>59.963066902949564</v>
      </c>
      <c r="K219" s="379">
        <f t="shared" si="621"/>
        <v>5.7140487871737253</v>
      </c>
      <c r="L219" s="149">
        <f t="shared" si="622"/>
        <v>65.677115690123287</v>
      </c>
      <c r="M219" s="379"/>
      <c r="N219" s="188">
        <f t="shared" si="623"/>
        <v>8.7002127409700189E-2</v>
      </c>
      <c r="O219" s="149">
        <f t="shared" si="624"/>
        <v>9.7817144748127411</v>
      </c>
      <c r="P219" s="149">
        <f t="shared" si="625"/>
        <v>4.3474286554723287</v>
      </c>
      <c r="Q219" s="188">
        <f t="shared" si="626"/>
        <v>1.9563428949625483</v>
      </c>
      <c r="R219" s="188">
        <f t="shared" si="627"/>
        <v>1.2227143093515926</v>
      </c>
      <c r="S219" s="188">
        <f t="shared" si="628"/>
        <v>5</v>
      </c>
      <c r="T219" s="188">
        <f t="shared" si="629"/>
        <v>9.2008410418995532E-2</v>
      </c>
      <c r="U219" s="188">
        <f t="shared" si="630"/>
        <v>1.8413016245732355E-2</v>
      </c>
      <c r="V219" s="188">
        <f t="shared" si="631"/>
        <v>0.19322567345002581</v>
      </c>
      <c r="W219" s="172">
        <f t="shared" si="632"/>
        <v>350</v>
      </c>
      <c r="X219" s="379">
        <f t="shared" si="691"/>
        <v>350</v>
      </c>
      <c r="Z219" s="188">
        <f t="shared" si="633"/>
        <v>1.2421224729920939</v>
      </c>
      <c r="AA219" s="150">
        <f t="shared" si="634"/>
        <v>2.6085653502579995</v>
      </c>
      <c r="AB219" s="150">
        <f t="shared" si="635"/>
        <v>0.42527069075189394</v>
      </c>
      <c r="AC219" s="150"/>
      <c r="AD219" s="150">
        <f t="shared" si="636"/>
        <v>2.1000870743239526</v>
      </c>
      <c r="AE219" s="314">
        <f t="shared" si="637"/>
        <v>34.284292723042356</v>
      </c>
      <c r="AF219" s="456">
        <f t="shared" si="638"/>
        <v>0.36751523800669172</v>
      </c>
      <c r="AH219" s="150">
        <f t="shared" si="639"/>
        <v>0.33806170189140661</v>
      </c>
      <c r="AI219" s="150">
        <f t="shared" si="640"/>
        <v>1</v>
      </c>
      <c r="AJ219" s="150">
        <f t="shared" si="641"/>
        <v>1.019591024413167</v>
      </c>
      <c r="AL219" s="314">
        <f t="shared" si="642"/>
        <v>36</v>
      </c>
      <c r="AM219" s="144">
        <f t="shared" si="643"/>
        <v>34.284292723042356</v>
      </c>
      <c r="AO219">
        <f t="shared" si="644"/>
        <v>36</v>
      </c>
      <c r="AP219">
        <f t="shared" si="645"/>
        <v>34.284292723042356</v>
      </c>
      <c r="AR219" s="5">
        <f t="shared" si="616"/>
        <v>29.167876032277121</v>
      </c>
      <c r="AS219" s="5">
        <f t="shared" si="604"/>
        <v>0.20012318615093594</v>
      </c>
      <c r="AT219" s="5">
        <f t="shared" si="605"/>
        <v>28.967752846126185</v>
      </c>
      <c r="AU219" s="150">
        <f t="shared" si="606"/>
        <v>6.8610818946665836E-3</v>
      </c>
      <c r="BA219" s="150">
        <f t="shared" si="692"/>
        <v>4.7822874215402343E-2</v>
      </c>
      <c r="BB219" s="150">
        <f t="shared" si="693"/>
        <v>0.57536623643998364</v>
      </c>
      <c r="BC219" s="150">
        <f t="shared" si="694"/>
        <v>0.12861127638070224</v>
      </c>
      <c r="BD219" s="150"/>
      <c r="BE219" s="456">
        <f t="shared" si="695"/>
        <v>4.5740545964443887E-5</v>
      </c>
      <c r="BF219" s="456">
        <f t="shared" si="646"/>
        <v>4.2219252366099462E-2</v>
      </c>
      <c r="BG219" s="456">
        <f t="shared" si="647"/>
        <v>5.1394783456802394E-2</v>
      </c>
      <c r="BH219" s="456">
        <f t="shared" si="696"/>
        <v>1.4788473183993739E-2</v>
      </c>
      <c r="BI219">
        <f t="shared" si="697"/>
        <v>2.6983380106327302E-2</v>
      </c>
      <c r="BJ219" s="144">
        <f t="shared" si="698"/>
        <v>78.378163563129689</v>
      </c>
      <c r="BK219">
        <f t="shared" si="648"/>
        <v>5.7066436238856121E-2</v>
      </c>
      <c r="BL219" s="144">
        <f t="shared" si="699"/>
        <v>135.43162965918734</v>
      </c>
      <c r="BM219" s="150">
        <f t="shared" si="649"/>
        <v>2.2364999999999996E-2</v>
      </c>
      <c r="BN219" s="150">
        <f t="shared" si="650"/>
        <v>3.3281249999999999E-3</v>
      </c>
      <c r="BQ219" s="144">
        <f t="shared" si="700"/>
        <v>25.693124999999998</v>
      </c>
      <c r="BR219" s="456">
        <f t="shared" si="701"/>
        <v>6.8610818946665834E-5</v>
      </c>
      <c r="BS219" s="456">
        <f t="shared" si="702"/>
        <v>9.9313891810533343E-3</v>
      </c>
      <c r="BT219" s="456">
        <f t="shared" si="703"/>
        <v>8.2704302061366899E-5</v>
      </c>
      <c r="BU219" s="456">
        <f t="shared" si="704"/>
        <v>3.4411847577514587E-4</v>
      </c>
      <c r="BV219" s="456"/>
      <c r="BW219" s="538">
        <f t="shared" si="705"/>
        <v>3.4284292723042358E-5</v>
      </c>
      <c r="BX219" s="144">
        <f t="shared" si="706"/>
        <v>10.461107070559555</v>
      </c>
      <c r="BY219" s="150">
        <f t="shared" si="707"/>
        <v>0.17158586172974685</v>
      </c>
      <c r="BZ219" s="5">
        <f t="shared" si="708"/>
        <v>0.24</v>
      </c>
      <c r="CA219" s="150">
        <f t="shared" si="709"/>
        <v>0.58311040858246832</v>
      </c>
      <c r="CB219" s="5">
        <f t="shared" si="710"/>
        <v>58.311040858246834</v>
      </c>
      <c r="CC219">
        <f t="shared" si="711"/>
        <v>3</v>
      </c>
      <c r="CE219" s="59">
        <f t="shared" si="651"/>
        <v>-50</v>
      </c>
      <c r="CG219" s="150">
        <f t="shared" si="652"/>
        <v>7.6874963414625436E-2</v>
      </c>
      <c r="CH219" s="150">
        <f t="shared" si="653"/>
        <v>4.1366462388344447E-2</v>
      </c>
      <c r="CI219" s="147">
        <v>3</v>
      </c>
      <c r="CJ219" s="188">
        <f t="shared" si="712"/>
        <v>3.5999999999999997E-2</v>
      </c>
      <c r="CK219" s="188">
        <f t="shared" si="654"/>
        <v>7.4999999999999997E-3</v>
      </c>
      <c r="CL219" s="188">
        <f t="shared" si="655"/>
        <v>0.18</v>
      </c>
      <c r="CM219" s="188">
        <f t="shared" si="656"/>
        <v>0.06</v>
      </c>
      <c r="CN219" s="465">
        <f t="shared" si="657"/>
        <v>60</v>
      </c>
      <c r="CO219" s="379">
        <f t="shared" si="658"/>
        <v>5.7</v>
      </c>
      <c r="CP219" s="379">
        <f t="shared" si="659"/>
        <v>65.7</v>
      </c>
      <c r="CQ219" s="379"/>
      <c r="CR219" s="188">
        <f t="shared" si="660"/>
        <v>8.2568807339449546E-2</v>
      </c>
      <c r="CS219" s="149">
        <f t="shared" si="661"/>
        <v>9.2889908256880744</v>
      </c>
      <c r="CT219" s="149">
        <f t="shared" si="662"/>
        <v>4.1284403669724767</v>
      </c>
      <c r="CU219" s="188">
        <f t="shared" si="663"/>
        <v>1.857798165137615</v>
      </c>
      <c r="CV219" s="188">
        <f t="shared" si="664"/>
        <v>1.1611238532110093</v>
      </c>
      <c r="CW219" s="188">
        <f t="shared" si="665"/>
        <v>5</v>
      </c>
      <c r="CX219" s="188">
        <f t="shared" si="666"/>
        <v>9.6888888888888872E-2</v>
      </c>
      <c r="CY219" s="188">
        <f t="shared" si="667"/>
        <v>1.9377777777777775E-2</v>
      </c>
      <c r="CZ219" s="188">
        <f t="shared" si="668"/>
        <v>0.20397660818713448</v>
      </c>
      <c r="DA219" s="172">
        <f t="shared" si="669"/>
        <v>350</v>
      </c>
      <c r="DB219" s="379">
        <f t="shared" si="670"/>
        <v>350</v>
      </c>
      <c r="DD219" s="188">
        <f t="shared" si="671"/>
        <v>1.2393998695368558</v>
      </c>
      <c r="DE219" s="150">
        <f t="shared" si="672"/>
        <v>2.6092628832354858</v>
      </c>
      <c r="DF219" s="150">
        <f t="shared" si="673"/>
        <v>0.4244520101153616</v>
      </c>
      <c r="DG219" s="150"/>
      <c r="DH219" s="150">
        <f t="shared" si="674"/>
        <v>2.1052631578947367</v>
      </c>
      <c r="DI219" s="314">
        <f t="shared" si="675"/>
        <v>34.200000000000003</v>
      </c>
      <c r="DJ219" s="456">
        <f t="shared" si="676"/>
        <v>0.36842105263157893</v>
      </c>
      <c r="DL219" s="150">
        <f t="shared" si="677"/>
        <v>0.33806170189140661</v>
      </c>
      <c r="DM219" s="150">
        <f t="shared" si="678"/>
        <v>1</v>
      </c>
      <c r="DN219" s="150">
        <f t="shared" si="679"/>
        <v>1.0195428571428571</v>
      </c>
      <c r="DP219" s="314">
        <f t="shared" si="680"/>
        <v>36</v>
      </c>
      <c r="DQ219" s="144">
        <f t="shared" si="681"/>
        <v>34.200000000000003</v>
      </c>
      <c r="DS219">
        <f t="shared" si="682"/>
        <v>36</v>
      </c>
      <c r="DT219">
        <f t="shared" si="683"/>
        <v>34.200000000000003</v>
      </c>
      <c r="DV219" s="5">
        <f t="shared" si="684"/>
        <v>29.239766081871345</v>
      </c>
      <c r="DW219" s="5">
        <f t="shared" si="685"/>
        <v>0.2</v>
      </c>
      <c r="DX219" s="5">
        <f t="shared" si="686"/>
        <v>29.039766081871345</v>
      </c>
      <c r="DY219" s="150">
        <f t="shared" si="687"/>
        <v>6.8400000000000006E-3</v>
      </c>
      <c r="EA219" s="5">
        <f t="shared" si="713"/>
        <v>0.14400000000000002</v>
      </c>
      <c r="EB219" s="5">
        <f t="shared" si="714"/>
        <v>1.8750000000000003E-2</v>
      </c>
      <c r="EC219" s="5">
        <f t="shared" si="715"/>
        <v>3.6299707602339179E-2</v>
      </c>
      <c r="ED219" s="5"/>
      <c r="EE219" s="150">
        <f t="shared" si="716"/>
        <v>4.7749345545253292E-2</v>
      </c>
      <c r="EF219" s="150">
        <f t="shared" si="717"/>
        <v>0.57537234321205721</v>
      </c>
      <c r="EG219" s="150">
        <f t="shared" si="718"/>
        <v>0.12861264142387163</v>
      </c>
      <c r="EH219" s="150"/>
      <c r="EI219" s="456">
        <f t="shared" si="719"/>
        <v>4.5600000000000011E-5</v>
      </c>
      <c r="EJ219" s="456">
        <f t="shared" si="720"/>
        <v>4.4938800000000008E-2</v>
      </c>
      <c r="EK219" s="456">
        <f t="shared" si="721"/>
        <v>4.2750000000000002E-3</v>
      </c>
      <c r="EL219" s="456">
        <f t="shared" si="722"/>
        <v>1.4762395800000005E-2</v>
      </c>
      <c r="EM219">
        <f t="shared" si="723"/>
        <v>2.7E-2</v>
      </c>
      <c r="EN219" s="144">
        <f t="shared" si="724"/>
        <v>31.274999999999999</v>
      </c>
      <c r="EP219" s="144">
        <f t="shared" si="725"/>
        <v>91.021795800000007</v>
      </c>
      <c r="EQ219" s="150">
        <f t="shared" si="726"/>
        <v>2.5199999999999997E-2</v>
      </c>
      <c r="ER219" s="150">
        <f t="shared" si="688"/>
        <v>3.3281249999999999E-3</v>
      </c>
      <c r="ES219" s="456"/>
      <c r="EU219" s="144">
        <f t="shared" si="727"/>
        <v>28.528124999999999</v>
      </c>
      <c r="EV219" s="456">
        <f t="shared" si="728"/>
        <v>6.8400000000000009E-5</v>
      </c>
      <c r="EW219" s="456">
        <f t="shared" si="729"/>
        <v>9.9316000000000005E-3</v>
      </c>
      <c r="EX219" s="456">
        <f t="shared" si="730"/>
        <v>8.2706057670126897E-5</v>
      </c>
      <c r="EY219" s="456">
        <f t="shared" si="731"/>
        <v>3.420072161238711E-4</v>
      </c>
      <c r="EZ219" s="456"/>
      <c r="FA219" s="538">
        <f t="shared" si="732"/>
        <v>3.4200000000000005E-5</v>
      </c>
      <c r="FB219" s="144">
        <f t="shared" si="733"/>
        <v>10.458913273793998</v>
      </c>
      <c r="FC219" s="150">
        <f t="shared" si="734"/>
        <v>0.13000883407379404</v>
      </c>
      <c r="FD219" s="5">
        <f t="shared" si="735"/>
        <v>0.24</v>
      </c>
      <c r="FE219" s="150">
        <f t="shared" si="736"/>
        <v>0.64863316196427556</v>
      </c>
      <c r="FF219" s="5">
        <f t="shared" si="737"/>
        <v>64.863316196427562</v>
      </c>
      <c r="FG219">
        <f t="shared" si="738"/>
        <v>3</v>
      </c>
      <c r="FI219" s="59">
        <f t="shared" si="689"/>
        <v>-50</v>
      </c>
    </row>
    <row r="220" spans="1:169">
      <c r="E220" s="147">
        <v>4</v>
      </c>
      <c r="F220" s="188">
        <f t="shared" si="690"/>
        <v>4.8000000000000001E-2</v>
      </c>
      <c r="G220" s="188">
        <f t="shared" si="617"/>
        <v>0.01</v>
      </c>
      <c r="H220" s="188">
        <f t="shared" si="618"/>
        <v>0.24</v>
      </c>
      <c r="I220" s="188">
        <f t="shared" si="619"/>
        <v>0.08</v>
      </c>
      <c r="J220" s="465">
        <f t="shared" si="620"/>
        <v>59.963066902949564</v>
      </c>
      <c r="K220" s="379">
        <f t="shared" si="621"/>
        <v>5.7140487871737253</v>
      </c>
      <c r="L220" s="149">
        <f t="shared" si="622"/>
        <v>65.677115690123287</v>
      </c>
      <c r="M220" s="379"/>
      <c r="N220" s="188">
        <f t="shared" si="623"/>
        <v>8.7002127409700189E-2</v>
      </c>
      <c r="O220" s="149">
        <f t="shared" si="624"/>
        <v>9.7817144748127411</v>
      </c>
      <c r="P220" s="149">
        <f t="shared" si="625"/>
        <v>4.3474286554723287</v>
      </c>
      <c r="Q220" s="188">
        <f t="shared" si="626"/>
        <v>1.9563428949625483</v>
      </c>
      <c r="R220" s="188">
        <f t="shared" si="627"/>
        <v>1.2227143093515926</v>
      </c>
      <c r="S220" s="188">
        <f t="shared" si="628"/>
        <v>5</v>
      </c>
      <c r="T220" s="188">
        <f t="shared" si="629"/>
        <v>0.12267788055866072</v>
      </c>
      <c r="U220" s="188">
        <f t="shared" si="630"/>
        <v>2.4550688327643143E-2</v>
      </c>
      <c r="V220" s="188">
        <f t="shared" si="631"/>
        <v>0.25763423126670115</v>
      </c>
      <c r="W220" s="172">
        <f t="shared" si="632"/>
        <v>350</v>
      </c>
      <c r="X220" s="379">
        <f t="shared" si="691"/>
        <v>350</v>
      </c>
      <c r="Z220" s="188">
        <f t="shared" si="633"/>
        <v>1.2421224729920939</v>
      </c>
      <c r="AA220" s="150">
        <f t="shared" si="634"/>
        <v>2.6085653502579995</v>
      </c>
      <c r="AB220" s="150">
        <f t="shared" si="635"/>
        <v>0.42527069075189394</v>
      </c>
      <c r="AC220" s="150"/>
      <c r="AD220" s="150">
        <f t="shared" si="636"/>
        <v>2.1000870743239526</v>
      </c>
      <c r="AE220" s="314">
        <f t="shared" si="637"/>
        <v>45.71239029738981</v>
      </c>
      <c r="AF220" s="456">
        <f t="shared" si="638"/>
        <v>0.36751523800669172</v>
      </c>
      <c r="AH220" s="150">
        <f t="shared" si="639"/>
        <v>0.39036002917941326</v>
      </c>
      <c r="AI220" s="150">
        <f t="shared" si="640"/>
        <v>1</v>
      </c>
      <c r="AJ220" s="150">
        <f t="shared" si="641"/>
        <v>1.0261213658842228</v>
      </c>
      <c r="AL220" s="314">
        <f t="shared" si="642"/>
        <v>48</v>
      </c>
      <c r="AM220" s="144">
        <f t="shared" si="643"/>
        <v>45.71239029738981</v>
      </c>
      <c r="AO220">
        <f t="shared" si="644"/>
        <v>48</v>
      </c>
      <c r="AP220">
        <f t="shared" si="645"/>
        <v>45.71239029738981</v>
      </c>
      <c r="AR220" s="5">
        <f t="shared" si="616"/>
        <v>21.875907024207841</v>
      </c>
      <c r="AS220" s="5">
        <f t="shared" si="604"/>
        <v>0.20012318615093594</v>
      </c>
      <c r="AT220" s="5">
        <f t="shared" si="605"/>
        <v>21.675783838056905</v>
      </c>
      <c r="AU220" s="150">
        <f t="shared" si="606"/>
        <v>9.1481091928887776E-3</v>
      </c>
      <c r="BA220" s="150">
        <f t="shared" si="692"/>
        <v>5.522109860336831E-2</v>
      </c>
      <c r="BB220" s="150">
        <f t="shared" si="693"/>
        <v>0.57470337009832329</v>
      </c>
      <c r="BC220" s="150">
        <f t="shared" si="694"/>
        <v>0.12846310625727225</v>
      </c>
      <c r="BD220" s="150"/>
      <c r="BE220" s="456">
        <f t="shared" si="695"/>
        <v>6.0987394619258505E-5</v>
      </c>
      <c r="BF220" s="456">
        <f t="shared" si="646"/>
        <v>5.6292336488132616E-2</v>
      </c>
      <c r="BG220" s="456">
        <f t="shared" si="647"/>
        <v>6.8526377942403197E-2</v>
      </c>
      <c r="BH220" s="456">
        <f t="shared" si="696"/>
        <v>1.9717964245324984E-2</v>
      </c>
      <c r="BI220">
        <f t="shared" si="697"/>
        <v>2.6983380106327302E-2</v>
      </c>
      <c r="BJ220" s="144">
        <f t="shared" si="698"/>
        <v>95.50975804873049</v>
      </c>
      <c r="BK220">
        <f t="shared" si="648"/>
        <v>7.6088857298197143E-2</v>
      </c>
      <c r="BL220" s="144">
        <f t="shared" si="699"/>
        <v>171.58104617680735</v>
      </c>
      <c r="BM220" s="150">
        <f t="shared" si="649"/>
        <v>2.9819999999999996E-2</v>
      </c>
      <c r="BN220" s="150">
        <f t="shared" si="650"/>
        <v>4.4374999999999996E-3</v>
      </c>
      <c r="BQ220" s="144">
        <f t="shared" si="700"/>
        <v>34.257499999999993</v>
      </c>
      <c r="BR220" s="456">
        <f t="shared" si="701"/>
        <v>9.1481091928887761E-5</v>
      </c>
      <c r="BS220" s="456">
        <f t="shared" si="702"/>
        <v>9.9085189080711095E-3</v>
      </c>
      <c r="BT220" s="456">
        <f t="shared" si="703"/>
        <v>8.2513848346336106E-5</v>
      </c>
      <c r="BU220" s="456">
        <f t="shared" si="704"/>
        <v>7.0640673643343661E-4</v>
      </c>
      <c r="BV220" s="456"/>
      <c r="BW220" s="538">
        <f t="shared" si="705"/>
        <v>4.5712390297389811E-5</v>
      </c>
      <c r="BX220" s="144">
        <f t="shared" si="706"/>
        <v>10.83463297507716</v>
      </c>
      <c r="BY220" s="150">
        <f t="shared" si="707"/>
        <v>0.21667317915188453</v>
      </c>
      <c r="BZ220" s="5">
        <f t="shared" si="708"/>
        <v>0.32</v>
      </c>
      <c r="CA220" s="150">
        <f t="shared" si="709"/>
        <v>0.59626605619774498</v>
      </c>
      <c r="CB220" s="5">
        <f t="shared" si="710"/>
        <v>59.626605619774494</v>
      </c>
      <c r="CC220">
        <f t="shared" si="711"/>
        <v>4</v>
      </c>
      <c r="CE220" s="59">
        <f t="shared" si="651"/>
        <v>-50</v>
      </c>
      <c r="CG220" s="150">
        <f t="shared" si="652"/>
        <v>0.10249995121950059</v>
      </c>
      <c r="CH220" s="150">
        <f t="shared" si="653"/>
        <v>5.515528318445926E-2</v>
      </c>
      <c r="CI220" s="147">
        <v>4</v>
      </c>
      <c r="CJ220" s="188">
        <f t="shared" si="712"/>
        <v>4.8000000000000001E-2</v>
      </c>
      <c r="CK220" s="188">
        <f t="shared" si="654"/>
        <v>0.01</v>
      </c>
      <c r="CL220" s="188">
        <f t="shared" si="655"/>
        <v>0.24</v>
      </c>
      <c r="CM220" s="188">
        <f t="shared" si="656"/>
        <v>0.08</v>
      </c>
      <c r="CN220" s="465">
        <f t="shared" si="657"/>
        <v>60</v>
      </c>
      <c r="CO220" s="379">
        <f t="shared" si="658"/>
        <v>5.7</v>
      </c>
      <c r="CP220" s="379">
        <f t="shared" si="659"/>
        <v>65.7</v>
      </c>
      <c r="CQ220" s="379"/>
      <c r="CR220" s="188">
        <f t="shared" si="660"/>
        <v>8.2568807339449546E-2</v>
      </c>
      <c r="CS220" s="149">
        <f t="shared" si="661"/>
        <v>9.2889908256880744</v>
      </c>
      <c r="CT220" s="149">
        <f t="shared" si="662"/>
        <v>4.1284403669724767</v>
      </c>
      <c r="CU220" s="188">
        <f t="shared" si="663"/>
        <v>1.857798165137615</v>
      </c>
      <c r="CV220" s="188">
        <f t="shared" si="664"/>
        <v>1.1611238532110093</v>
      </c>
      <c r="CW220" s="188">
        <f t="shared" si="665"/>
        <v>5</v>
      </c>
      <c r="CX220" s="188">
        <f t="shared" si="666"/>
        <v>0.12918518518518518</v>
      </c>
      <c r="CY220" s="188">
        <f t="shared" si="667"/>
        <v>2.5837037037037037E-2</v>
      </c>
      <c r="CZ220" s="188">
        <f t="shared" si="668"/>
        <v>0.2719688109161793</v>
      </c>
      <c r="DA220" s="172">
        <f t="shared" si="669"/>
        <v>350</v>
      </c>
      <c r="DB220" s="379">
        <f t="shared" si="670"/>
        <v>350</v>
      </c>
      <c r="DD220" s="188">
        <f t="shared" si="671"/>
        <v>1.2393998695368558</v>
      </c>
      <c r="DE220" s="150">
        <f t="shared" si="672"/>
        <v>2.6092628832354858</v>
      </c>
      <c r="DF220" s="150">
        <f t="shared" si="673"/>
        <v>0.4244520101153616</v>
      </c>
      <c r="DG220" s="150"/>
      <c r="DH220" s="150">
        <f t="shared" si="674"/>
        <v>2.1052631578947367</v>
      </c>
      <c r="DI220" s="314">
        <f t="shared" si="675"/>
        <v>45.6</v>
      </c>
      <c r="DJ220" s="456">
        <f t="shared" si="676"/>
        <v>0.36842105263157893</v>
      </c>
      <c r="DL220" s="150">
        <f t="shared" si="677"/>
        <v>0.39036002917941326</v>
      </c>
      <c r="DM220" s="150">
        <f t="shared" si="678"/>
        <v>1</v>
      </c>
      <c r="DN220" s="150">
        <f t="shared" si="679"/>
        <v>1.0260571428571428</v>
      </c>
      <c r="DP220" s="314">
        <f t="shared" si="680"/>
        <v>48</v>
      </c>
      <c r="DQ220" s="144">
        <f t="shared" si="681"/>
        <v>45.6</v>
      </c>
      <c r="DS220">
        <f t="shared" si="682"/>
        <v>48</v>
      </c>
      <c r="DT220">
        <f t="shared" si="683"/>
        <v>45.6</v>
      </c>
      <c r="DV220" s="5">
        <f t="shared" si="684"/>
        <v>21.929824561403507</v>
      </c>
      <c r="DW220" s="5">
        <f t="shared" si="685"/>
        <v>0.2</v>
      </c>
      <c r="DX220" s="5">
        <f t="shared" si="686"/>
        <v>21.729824561403507</v>
      </c>
      <c r="DY220" s="150">
        <f t="shared" si="687"/>
        <v>9.1200000000000014E-3</v>
      </c>
      <c r="EA220" s="5">
        <f t="shared" si="713"/>
        <v>0.192</v>
      </c>
      <c r="EB220" s="5">
        <f t="shared" si="714"/>
        <v>2.5000000000000001E-2</v>
      </c>
      <c r="EC220" s="5">
        <f t="shared" si="715"/>
        <v>3.6216374269005841E-2</v>
      </c>
      <c r="ED220" s="5"/>
      <c r="EE220" s="150">
        <f t="shared" si="716"/>
        <v>5.5136195008360894E-2</v>
      </c>
      <c r="EF220" s="150">
        <f t="shared" si="717"/>
        <v>0.57471152183798557</v>
      </c>
      <c r="EG220" s="150">
        <f t="shared" si="718"/>
        <v>0.12846492841084384</v>
      </c>
      <c r="EH220" s="150"/>
      <c r="EI220" s="456">
        <f t="shared" si="719"/>
        <v>6.0800000000000014E-5</v>
      </c>
      <c r="EJ220" s="456">
        <f t="shared" si="720"/>
        <v>5.9918400000000004E-2</v>
      </c>
      <c r="EK220" s="456">
        <f t="shared" si="721"/>
        <v>5.6999999999999993E-3</v>
      </c>
      <c r="EL220" s="456">
        <f t="shared" si="722"/>
        <v>1.9683194400000006E-2</v>
      </c>
      <c r="EM220">
        <f t="shared" si="723"/>
        <v>2.7E-2</v>
      </c>
      <c r="EN220" s="144">
        <f t="shared" si="724"/>
        <v>32.700000000000003</v>
      </c>
      <c r="EP220" s="144">
        <f t="shared" si="725"/>
        <v>112.36239440000001</v>
      </c>
      <c r="EQ220" s="150">
        <f t="shared" si="726"/>
        <v>3.3599999999999998E-2</v>
      </c>
      <c r="ER220" s="150">
        <f t="shared" si="688"/>
        <v>4.4374999999999996E-3</v>
      </c>
      <c r="ES220" s="456"/>
      <c r="EU220" s="144">
        <f t="shared" si="727"/>
        <v>38.037499999999994</v>
      </c>
      <c r="EV220" s="456">
        <f t="shared" si="728"/>
        <v>9.1200000000000021E-5</v>
      </c>
      <c r="EW220" s="456">
        <f t="shared" si="729"/>
        <v>9.9088000000000006E-3</v>
      </c>
      <c r="EX220" s="456">
        <f t="shared" si="730"/>
        <v>8.2516189158016162E-5</v>
      </c>
      <c r="EY220" s="456">
        <f t="shared" si="731"/>
        <v>7.0207274060057369E-4</v>
      </c>
      <c r="EZ220" s="456"/>
      <c r="FA220" s="538">
        <f t="shared" si="732"/>
        <v>4.5600000000000004E-5</v>
      </c>
      <c r="FB220" s="144">
        <f t="shared" si="733"/>
        <v>10.83018892975859</v>
      </c>
      <c r="FC220" s="150">
        <f t="shared" si="734"/>
        <v>0.16123008332975863</v>
      </c>
      <c r="FD220" s="5">
        <f t="shared" si="735"/>
        <v>0.32</v>
      </c>
      <c r="FE220" s="150">
        <f t="shared" si="736"/>
        <v>0.66496258460367874</v>
      </c>
      <c r="FF220" s="5">
        <f t="shared" si="737"/>
        <v>66.496258460367869</v>
      </c>
      <c r="FG220">
        <f t="shared" si="738"/>
        <v>4</v>
      </c>
      <c r="FI220" s="59">
        <f t="shared" si="689"/>
        <v>-50</v>
      </c>
    </row>
    <row r="221" spans="1:169">
      <c r="E221" s="147">
        <v>5</v>
      </c>
      <c r="F221" s="188">
        <f t="shared" si="690"/>
        <v>0.06</v>
      </c>
      <c r="G221" s="188">
        <f t="shared" si="617"/>
        <v>1.2500000000000001E-2</v>
      </c>
      <c r="H221" s="188">
        <f t="shared" si="618"/>
        <v>0.3</v>
      </c>
      <c r="I221" s="188">
        <f t="shared" si="619"/>
        <v>0.1</v>
      </c>
      <c r="J221" s="465">
        <f t="shared" si="620"/>
        <v>59.963066902949564</v>
      </c>
      <c r="K221" s="379">
        <f t="shared" si="621"/>
        <v>5.7140487871737253</v>
      </c>
      <c r="L221" s="149">
        <f t="shared" si="622"/>
        <v>65.677115690123287</v>
      </c>
      <c r="M221" s="379"/>
      <c r="N221" s="188">
        <f t="shared" si="623"/>
        <v>8.7002127409700189E-2</v>
      </c>
      <c r="O221" s="149">
        <f t="shared" si="624"/>
        <v>9.7817144748127411</v>
      </c>
      <c r="P221" s="149">
        <f t="shared" si="625"/>
        <v>4.3474286554723287</v>
      </c>
      <c r="Q221" s="188">
        <f t="shared" si="626"/>
        <v>1.9563428949625483</v>
      </c>
      <c r="R221" s="188">
        <f t="shared" si="627"/>
        <v>1.2227143093515926</v>
      </c>
      <c r="S221" s="188">
        <f t="shared" si="628"/>
        <v>5</v>
      </c>
      <c r="T221" s="188">
        <f t="shared" si="629"/>
        <v>0.15334735069832592</v>
      </c>
      <c r="U221" s="188">
        <f t="shared" si="630"/>
        <v>3.0688360409553927E-2</v>
      </c>
      <c r="V221" s="188">
        <f t="shared" si="631"/>
        <v>0.32204278908337647</v>
      </c>
      <c r="W221" s="172">
        <f t="shared" si="632"/>
        <v>350</v>
      </c>
      <c r="X221" s="379">
        <f t="shared" si="691"/>
        <v>350</v>
      </c>
      <c r="Z221" s="188">
        <f t="shared" si="633"/>
        <v>1.2421224729920939</v>
      </c>
      <c r="AA221" s="150">
        <f t="shared" si="634"/>
        <v>2.6085653502579995</v>
      </c>
      <c r="AB221" s="150">
        <f t="shared" si="635"/>
        <v>0.42527069075189394</v>
      </c>
      <c r="AC221" s="150"/>
      <c r="AD221" s="150">
        <f t="shared" si="636"/>
        <v>2.1000870743239526</v>
      </c>
      <c r="AE221" s="314">
        <f t="shared" si="637"/>
        <v>57.140487871737257</v>
      </c>
      <c r="AF221" s="456">
        <f t="shared" si="638"/>
        <v>0.36751523800669172</v>
      </c>
      <c r="AH221" s="150">
        <f t="shared" si="639"/>
        <v>0.43643578047198472</v>
      </c>
      <c r="AI221" s="150">
        <f t="shared" si="640"/>
        <v>1</v>
      </c>
      <c r="AJ221" s="150">
        <f t="shared" si="641"/>
        <v>1.0326517073552783</v>
      </c>
      <c r="AL221" s="314">
        <f t="shared" si="642"/>
        <v>60</v>
      </c>
      <c r="AM221" s="144">
        <f t="shared" si="643"/>
        <v>57.140487871737257</v>
      </c>
      <c r="AO221">
        <f t="shared" si="644"/>
        <v>60</v>
      </c>
      <c r="AP221">
        <f t="shared" si="645"/>
        <v>57.140487871737257</v>
      </c>
      <c r="AR221" s="5">
        <f t="shared" si="616"/>
        <v>17.500725619366271</v>
      </c>
      <c r="AS221" s="5">
        <f t="shared" si="604"/>
        <v>0.20012318615093594</v>
      </c>
      <c r="AT221" s="5">
        <f t="shared" si="605"/>
        <v>17.300602433215335</v>
      </c>
      <c r="AU221" s="150">
        <f t="shared" si="606"/>
        <v>1.1435136491110973E-2</v>
      </c>
      <c r="BA221" s="150">
        <f t="shared" si="692"/>
        <v>6.1739065134675128E-2</v>
      </c>
      <c r="BB221" s="150">
        <f t="shared" si="693"/>
        <v>0.57403973831924715</v>
      </c>
      <c r="BC221" s="150">
        <f t="shared" si="694"/>
        <v>0.12831476503606701</v>
      </c>
      <c r="BD221" s="150"/>
      <c r="BE221" s="456">
        <f t="shared" si="695"/>
        <v>7.6234243274073157E-5</v>
      </c>
      <c r="BF221" s="456">
        <f t="shared" si="646"/>
        <v>7.0365420610165763E-2</v>
      </c>
      <c r="BG221" s="456">
        <f t="shared" si="647"/>
        <v>8.5657972428003978E-2</v>
      </c>
      <c r="BH221" s="456">
        <f t="shared" si="696"/>
        <v>2.4647455306656227E-2</v>
      </c>
      <c r="BI221">
        <f t="shared" si="697"/>
        <v>2.6983380106327302E-2</v>
      </c>
      <c r="BJ221" s="144">
        <f t="shared" si="698"/>
        <v>112.64135253433128</v>
      </c>
      <c r="BK221">
        <f t="shared" si="648"/>
        <v>9.5111416183229117E-2</v>
      </c>
      <c r="BL221" s="144">
        <f t="shared" si="699"/>
        <v>207.73046269442739</v>
      </c>
      <c r="BM221" s="150">
        <f t="shared" si="649"/>
        <v>3.7274999999999996E-2</v>
      </c>
      <c r="BN221" s="150">
        <f t="shared" si="650"/>
        <v>5.5468749999999997E-3</v>
      </c>
      <c r="BQ221" s="144">
        <f t="shared" si="700"/>
        <v>42.821874999999999</v>
      </c>
      <c r="BR221" s="456">
        <f t="shared" si="701"/>
        <v>1.1435136491110973E-4</v>
      </c>
      <c r="BS221" s="456">
        <f t="shared" si="702"/>
        <v>9.8856486350888916E-3</v>
      </c>
      <c r="BT221" s="456">
        <f t="shared" si="703"/>
        <v>8.2323394631305421E-5</v>
      </c>
      <c r="BU221" s="456">
        <f t="shared" si="704"/>
        <v>1.2340417831476099E-3</v>
      </c>
      <c r="BV221" s="456"/>
      <c r="BW221" s="538">
        <f t="shared" si="705"/>
        <v>5.7140487871737257E-5</v>
      </c>
      <c r="BX221" s="144">
        <f t="shared" si="706"/>
        <v>11.373505665650653</v>
      </c>
      <c r="BY221" s="150">
        <f t="shared" si="707"/>
        <v>0.26192584336007807</v>
      </c>
      <c r="BZ221" s="5">
        <f t="shared" si="708"/>
        <v>0.4</v>
      </c>
      <c r="CA221" s="150">
        <f t="shared" si="709"/>
        <v>0.60429730008653826</v>
      </c>
      <c r="CB221" s="5">
        <f t="shared" si="710"/>
        <v>60.429730008653827</v>
      </c>
      <c r="CC221">
        <f t="shared" si="711"/>
        <v>5</v>
      </c>
      <c r="CE221" s="59">
        <f t="shared" si="651"/>
        <v>-50</v>
      </c>
      <c r="CG221" s="150">
        <f t="shared" si="652"/>
        <v>0.12812493902437574</v>
      </c>
      <c r="CH221" s="150">
        <f t="shared" si="653"/>
        <v>6.8944103980574087E-2</v>
      </c>
      <c r="CI221" s="147">
        <v>5</v>
      </c>
      <c r="CJ221" s="188">
        <f t="shared" si="712"/>
        <v>0.06</v>
      </c>
      <c r="CK221" s="188">
        <f t="shared" si="654"/>
        <v>1.2500000000000001E-2</v>
      </c>
      <c r="CL221" s="188">
        <f t="shared" si="655"/>
        <v>0.3</v>
      </c>
      <c r="CM221" s="188">
        <f t="shared" si="656"/>
        <v>0.1</v>
      </c>
      <c r="CN221" s="465">
        <f t="shared" si="657"/>
        <v>60</v>
      </c>
      <c r="CO221" s="379">
        <f t="shared" si="658"/>
        <v>5.7</v>
      </c>
      <c r="CP221" s="379">
        <f t="shared" si="659"/>
        <v>65.7</v>
      </c>
      <c r="CQ221" s="379"/>
      <c r="CR221" s="188">
        <f t="shared" si="660"/>
        <v>8.2568807339449546E-2</v>
      </c>
      <c r="CS221" s="149">
        <f t="shared" si="661"/>
        <v>9.2889908256880744</v>
      </c>
      <c r="CT221" s="149">
        <f t="shared" si="662"/>
        <v>4.1284403669724767</v>
      </c>
      <c r="CU221" s="188">
        <f t="shared" si="663"/>
        <v>1.857798165137615</v>
      </c>
      <c r="CV221" s="188">
        <f t="shared" si="664"/>
        <v>1.1611238532110093</v>
      </c>
      <c r="CW221" s="188">
        <f t="shared" si="665"/>
        <v>5</v>
      </c>
      <c r="CX221" s="188">
        <f t="shared" si="666"/>
        <v>0.16148148148148148</v>
      </c>
      <c r="CY221" s="188">
        <f t="shared" si="667"/>
        <v>3.2296296296296295E-2</v>
      </c>
      <c r="CZ221" s="188">
        <f t="shared" si="668"/>
        <v>0.33996101364522419</v>
      </c>
      <c r="DA221" s="172">
        <f t="shared" si="669"/>
        <v>350</v>
      </c>
      <c r="DB221" s="379">
        <f t="shared" si="670"/>
        <v>350</v>
      </c>
      <c r="DD221" s="188">
        <f t="shared" si="671"/>
        <v>1.2393998695368558</v>
      </c>
      <c r="DE221" s="150">
        <f t="shared" si="672"/>
        <v>2.6092628832354858</v>
      </c>
      <c r="DF221" s="150">
        <f t="shared" si="673"/>
        <v>0.4244520101153616</v>
      </c>
      <c r="DG221" s="150"/>
      <c r="DH221" s="150">
        <f t="shared" si="674"/>
        <v>2.1052631578947367</v>
      </c>
      <c r="DI221" s="314">
        <f t="shared" si="675"/>
        <v>57</v>
      </c>
      <c r="DJ221" s="456">
        <f t="shared" si="676"/>
        <v>0.36842105263157893</v>
      </c>
      <c r="DL221" s="150">
        <f t="shared" si="677"/>
        <v>0.43643578047198472</v>
      </c>
      <c r="DM221" s="150">
        <f t="shared" si="678"/>
        <v>1</v>
      </c>
      <c r="DN221" s="150">
        <f t="shared" si="679"/>
        <v>1.0325714285714285</v>
      </c>
      <c r="DP221" s="314">
        <f t="shared" si="680"/>
        <v>60</v>
      </c>
      <c r="DQ221" s="144">
        <f t="shared" si="681"/>
        <v>57</v>
      </c>
      <c r="DS221">
        <f t="shared" si="682"/>
        <v>60</v>
      </c>
      <c r="DT221">
        <f t="shared" si="683"/>
        <v>57</v>
      </c>
      <c r="DV221" s="5">
        <f t="shared" si="684"/>
        <v>17.543859649122805</v>
      </c>
      <c r="DW221" s="5">
        <f t="shared" si="685"/>
        <v>0.2</v>
      </c>
      <c r="DX221" s="5">
        <f t="shared" si="686"/>
        <v>17.343859649122805</v>
      </c>
      <c r="DY221" s="150">
        <f t="shared" si="687"/>
        <v>1.1400000000000002E-2</v>
      </c>
      <c r="EA221" s="5">
        <f t="shared" si="713"/>
        <v>0.24000000000000002</v>
      </c>
      <c r="EB221" s="5">
        <f t="shared" si="714"/>
        <v>3.1250000000000007E-2</v>
      </c>
      <c r="EC221" s="5">
        <f t="shared" si="715"/>
        <v>3.613304093567251E-2</v>
      </c>
      <c r="ED221" s="5"/>
      <c r="EE221" s="150">
        <f t="shared" si="716"/>
        <v>6.1644140029689772E-2</v>
      </c>
      <c r="EF221" s="150">
        <f t="shared" si="717"/>
        <v>0.57404993975553498</v>
      </c>
      <c r="EG221" s="150">
        <f t="shared" si="718"/>
        <v>0.12831704535711957</v>
      </c>
      <c r="EH221" s="150"/>
      <c r="EI221" s="456">
        <f t="shared" si="719"/>
        <v>7.6000000000000018E-5</v>
      </c>
      <c r="EJ221" s="456">
        <f t="shared" si="720"/>
        <v>7.4898000000000006E-2</v>
      </c>
      <c r="EK221" s="456">
        <f t="shared" si="721"/>
        <v>7.1249999999999994E-3</v>
      </c>
      <c r="EL221" s="456">
        <f t="shared" si="722"/>
        <v>2.4603993000000005E-2</v>
      </c>
      <c r="EM221">
        <f t="shared" si="723"/>
        <v>2.7E-2</v>
      </c>
      <c r="EN221" s="144">
        <f t="shared" si="724"/>
        <v>34.125</v>
      </c>
      <c r="EP221" s="144">
        <f t="shared" si="725"/>
        <v>133.70299300000002</v>
      </c>
      <c r="EQ221" s="150">
        <f t="shared" si="726"/>
        <v>4.1999999999999996E-2</v>
      </c>
      <c r="ER221" s="150">
        <f t="shared" si="688"/>
        <v>5.5468749999999997E-3</v>
      </c>
      <c r="ES221" s="456"/>
      <c r="EU221" s="144">
        <f t="shared" si="727"/>
        <v>47.546874999999993</v>
      </c>
      <c r="EV221" s="456">
        <f t="shared" si="728"/>
        <v>1.1400000000000002E-4</v>
      </c>
      <c r="EW221" s="456">
        <f t="shared" si="729"/>
        <v>9.8860000000000007E-3</v>
      </c>
      <c r="EX221" s="456">
        <f t="shared" si="730"/>
        <v>8.2326320645905414E-5</v>
      </c>
      <c r="EY221" s="456">
        <f t="shared" si="731"/>
        <v>1.2264706040097332E-3</v>
      </c>
      <c r="EZ221" s="456"/>
      <c r="FA221" s="538">
        <f t="shared" si="732"/>
        <v>5.7000000000000003E-5</v>
      </c>
      <c r="FB221" s="144">
        <f t="shared" si="733"/>
        <v>11.365796924655637</v>
      </c>
      <c r="FC221" s="150">
        <f t="shared" si="734"/>
        <v>0.19261566492465568</v>
      </c>
      <c r="FD221" s="5">
        <f t="shared" si="735"/>
        <v>0.4</v>
      </c>
      <c r="FE221" s="150">
        <f t="shared" si="736"/>
        <v>0.67497372019495205</v>
      </c>
      <c r="FF221" s="5">
        <f t="shared" si="737"/>
        <v>67.497372019495202</v>
      </c>
      <c r="FG221">
        <f t="shared" si="738"/>
        <v>5</v>
      </c>
      <c r="FI221" s="59">
        <f t="shared" si="689"/>
        <v>-50</v>
      </c>
    </row>
    <row r="222" spans="1:169">
      <c r="E222" s="147">
        <v>6</v>
      </c>
      <c r="F222" s="188">
        <f t="shared" si="690"/>
        <v>7.1999999999999995E-2</v>
      </c>
      <c r="G222" s="188">
        <f t="shared" si="617"/>
        <v>1.4999999999999999E-2</v>
      </c>
      <c r="H222" s="188">
        <f t="shared" si="618"/>
        <v>0.36</v>
      </c>
      <c r="I222" s="188">
        <f t="shared" si="619"/>
        <v>0.12</v>
      </c>
      <c r="J222" s="465">
        <f t="shared" si="620"/>
        <v>59.963066902949564</v>
      </c>
      <c r="K222" s="379">
        <f t="shared" si="621"/>
        <v>5.7140487871737253</v>
      </c>
      <c r="L222" s="149">
        <f t="shared" si="622"/>
        <v>65.677115690123287</v>
      </c>
      <c r="M222" s="379"/>
      <c r="N222" s="188">
        <f t="shared" si="623"/>
        <v>8.7002127409700189E-2</v>
      </c>
      <c r="O222" s="149">
        <f t="shared" si="624"/>
        <v>9.7817144748127411</v>
      </c>
      <c r="P222" s="149">
        <f t="shared" si="625"/>
        <v>4.3474286554723287</v>
      </c>
      <c r="Q222" s="188">
        <f t="shared" si="626"/>
        <v>1.9563428949625483</v>
      </c>
      <c r="R222" s="188">
        <f t="shared" si="627"/>
        <v>1.2227143093515926</v>
      </c>
      <c r="S222" s="188">
        <f t="shared" si="628"/>
        <v>5</v>
      </c>
      <c r="T222" s="188">
        <f t="shared" si="629"/>
        <v>0.18401682083799106</v>
      </c>
      <c r="U222" s="188">
        <f t="shared" si="630"/>
        <v>3.6826032491464711E-2</v>
      </c>
      <c r="V222" s="188">
        <f t="shared" si="631"/>
        <v>0.38645134690005162</v>
      </c>
      <c r="W222" s="172">
        <f t="shared" si="632"/>
        <v>350</v>
      </c>
      <c r="X222" s="379">
        <f t="shared" si="691"/>
        <v>350</v>
      </c>
      <c r="Z222" s="188">
        <f t="shared" si="633"/>
        <v>1.2421224729920939</v>
      </c>
      <c r="AA222" s="150">
        <f t="shared" si="634"/>
        <v>2.6085653502579995</v>
      </c>
      <c r="AB222" s="150">
        <f t="shared" si="635"/>
        <v>0.42527069075189394</v>
      </c>
      <c r="AC222" s="150"/>
      <c r="AD222" s="150">
        <f t="shared" si="636"/>
        <v>2.1000870743239526</v>
      </c>
      <c r="AE222" s="314">
        <f t="shared" si="637"/>
        <v>68.568585446084711</v>
      </c>
      <c r="AF222" s="456">
        <f t="shared" si="638"/>
        <v>0.36751523800669172</v>
      </c>
      <c r="AH222" s="150">
        <f t="shared" si="639"/>
        <v>0.47809144373375745</v>
      </c>
      <c r="AI222" s="150">
        <f t="shared" si="640"/>
        <v>1</v>
      </c>
      <c r="AJ222" s="150">
        <f t="shared" si="641"/>
        <v>1.0391820488263341</v>
      </c>
      <c r="AL222" s="314">
        <f t="shared" si="642"/>
        <v>72</v>
      </c>
      <c r="AM222" s="144">
        <f t="shared" si="643"/>
        <v>68.568585446084711</v>
      </c>
      <c r="AO222">
        <f t="shared" si="644"/>
        <v>72</v>
      </c>
      <c r="AP222">
        <f t="shared" si="645"/>
        <v>68.568585446084711</v>
      </c>
      <c r="AR222" s="5">
        <f t="shared" si="616"/>
        <v>14.583938016138561</v>
      </c>
      <c r="AS222" s="5">
        <f t="shared" si="604"/>
        <v>0.20012318615093594</v>
      </c>
      <c r="AT222" s="5">
        <f t="shared" si="605"/>
        <v>14.383814829987625</v>
      </c>
      <c r="AU222" s="150">
        <f t="shared" si="606"/>
        <v>1.3722163789333167E-2</v>
      </c>
      <c r="BA222" s="150">
        <f t="shared" si="692"/>
        <v>6.7631757307084581E-2</v>
      </c>
      <c r="BB222" s="150">
        <f t="shared" si="693"/>
        <v>0.57337533844497435</v>
      </c>
      <c r="BC222" s="150">
        <f t="shared" si="694"/>
        <v>0.12816625212299426</v>
      </c>
      <c r="BD222" s="150"/>
      <c r="BE222" s="456">
        <f t="shared" si="695"/>
        <v>9.1481091928887775E-5</v>
      </c>
      <c r="BF222" s="456">
        <f t="shared" si="646"/>
        <v>8.4438504732198924E-2</v>
      </c>
      <c r="BG222" s="456">
        <f t="shared" si="647"/>
        <v>0.10278956691360479</v>
      </c>
      <c r="BH222" s="456">
        <f t="shared" si="696"/>
        <v>2.9576946367987477E-2</v>
      </c>
      <c r="BI222">
        <f t="shared" si="697"/>
        <v>2.6983380106327302E-2</v>
      </c>
      <c r="BJ222" s="144">
        <f t="shared" si="698"/>
        <v>129.77294701993208</v>
      </c>
      <c r="BK222">
        <f t="shared" si="648"/>
        <v>0.11413411289544999</v>
      </c>
      <c r="BL222" s="144">
        <f t="shared" si="699"/>
        <v>243.87987921204737</v>
      </c>
      <c r="BM222" s="150">
        <f t="shared" si="649"/>
        <v>4.4729999999999992E-2</v>
      </c>
      <c r="BN222" s="150">
        <f t="shared" si="650"/>
        <v>6.6562499999999998E-3</v>
      </c>
      <c r="BQ222" s="144">
        <f t="shared" si="700"/>
        <v>51.386249999999997</v>
      </c>
      <c r="BR222" s="456">
        <f t="shared" si="701"/>
        <v>1.3722163789333167E-4</v>
      </c>
      <c r="BS222" s="456">
        <f t="shared" si="702"/>
        <v>9.862778362106665E-3</v>
      </c>
      <c r="BT222" s="456">
        <f t="shared" si="703"/>
        <v>8.2132940916274655E-5</v>
      </c>
      <c r="BU222" s="456">
        <f t="shared" si="704"/>
        <v>1.9466280620174736E-3</v>
      </c>
      <c r="BV222" s="456"/>
      <c r="BW222" s="538">
        <f t="shared" si="705"/>
        <v>6.8568585446084716E-5</v>
      </c>
      <c r="BX222" s="144">
        <f t="shared" si="706"/>
        <v>12.09732958837983</v>
      </c>
      <c r="BY222" s="150">
        <f t="shared" si="707"/>
        <v>0.30736345880042715</v>
      </c>
      <c r="BZ222" s="5">
        <f t="shared" si="708"/>
        <v>0.48</v>
      </c>
      <c r="CA222" s="150">
        <f t="shared" si="709"/>
        <v>0.60962951053290559</v>
      </c>
      <c r="CB222" s="5">
        <f t="shared" si="710"/>
        <v>60.96295105329056</v>
      </c>
      <c r="CC222">
        <f t="shared" si="711"/>
        <v>6</v>
      </c>
      <c r="CE222" s="59">
        <f t="shared" si="651"/>
        <v>-50</v>
      </c>
      <c r="CG222" s="150">
        <f t="shared" si="652"/>
        <v>0.15374992682925087</v>
      </c>
      <c r="CH222" s="150">
        <f t="shared" si="653"/>
        <v>8.2732924776688893E-2</v>
      </c>
      <c r="CI222" s="147">
        <v>6</v>
      </c>
      <c r="CJ222" s="188">
        <f t="shared" si="712"/>
        <v>7.1999999999999995E-2</v>
      </c>
      <c r="CK222" s="188">
        <f t="shared" si="654"/>
        <v>1.4999999999999999E-2</v>
      </c>
      <c r="CL222" s="188">
        <f t="shared" si="655"/>
        <v>0.36</v>
      </c>
      <c r="CM222" s="188">
        <f t="shared" si="656"/>
        <v>0.12</v>
      </c>
      <c r="CN222" s="465">
        <f t="shared" si="657"/>
        <v>60</v>
      </c>
      <c r="CO222" s="379">
        <f t="shared" si="658"/>
        <v>5.7</v>
      </c>
      <c r="CP222" s="379">
        <f t="shared" si="659"/>
        <v>65.7</v>
      </c>
      <c r="CQ222" s="379"/>
      <c r="CR222" s="188">
        <f t="shared" si="660"/>
        <v>8.2568807339449546E-2</v>
      </c>
      <c r="CS222" s="149">
        <f t="shared" si="661"/>
        <v>9.2889908256880744</v>
      </c>
      <c r="CT222" s="149">
        <f t="shared" si="662"/>
        <v>4.1284403669724767</v>
      </c>
      <c r="CU222" s="188">
        <f t="shared" si="663"/>
        <v>1.857798165137615</v>
      </c>
      <c r="CV222" s="188">
        <f t="shared" si="664"/>
        <v>1.1611238532110093</v>
      </c>
      <c r="CW222" s="188">
        <f t="shared" si="665"/>
        <v>5</v>
      </c>
      <c r="CX222" s="188">
        <f t="shared" si="666"/>
        <v>0.19377777777777774</v>
      </c>
      <c r="CY222" s="188">
        <f t="shared" si="667"/>
        <v>3.875555555555555E-2</v>
      </c>
      <c r="CZ222" s="188">
        <f t="shared" si="668"/>
        <v>0.40795321637426896</v>
      </c>
      <c r="DA222" s="172">
        <f t="shared" si="669"/>
        <v>350</v>
      </c>
      <c r="DB222" s="379">
        <f t="shared" si="670"/>
        <v>350</v>
      </c>
      <c r="DD222" s="188">
        <f t="shared" si="671"/>
        <v>1.2393998695368558</v>
      </c>
      <c r="DE222" s="150">
        <f t="shared" si="672"/>
        <v>2.6092628832354858</v>
      </c>
      <c r="DF222" s="150">
        <f t="shared" si="673"/>
        <v>0.4244520101153616</v>
      </c>
      <c r="DG222" s="150"/>
      <c r="DH222" s="150">
        <f t="shared" si="674"/>
        <v>2.1052631578947367</v>
      </c>
      <c r="DI222" s="314">
        <f t="shared" si="675"/>
        <v>68.400000000000006</v>
      </c>
      <c r="DJ222" s="456">
        <f t="shared" si="676"/>
        <v>0.36842105263157893</v>
      </c>
      <c r="DL222" s="150">
        <f t="shared" si="677"/>
        <v>0.47809144373375745</v>
      </c>
      <c r="DM222" s="150">
        <f t="shared" si="678"/>
        <v>1</v>
      </c>
      <c r="DN222" s="150">
        <f t="shared" si="679"/>
        <v>1.0390857142857144</v>
      </c>
      <c r="DP222" s="314">
        <f t="shared" si="680"/>
        <v>72</v>
      </c>
      <c r="DQ222" s="144">
        <f t="shared" si="681"/>
        <v>68.400000000000006</v>
      </c>
      <c r="DS222">
        <f t="shared" si="682"/>
        <v>72</v>
      </c>
      <c r="DT222">
        <f t="shared" si="683"/>
        <v>68.400000000000006</v>
      </c>
      <c r="DV222" s="5">
        <f t="shared" si="684"/>
        <v>14.619883040935672</v>
      </c>
      <c r="DW222" s="5">
        <f t="shared" si="685"/>
        <v>0.2</v>
      </c>
      <c r="DX222" s="5">
        <f t="shared" si="686"/>
        <v>14.419883040935673</v>
      </c>
      <c r="DY222" s="150">
        <f t="shared" si="687"/>
        <v>1.3680000000000001E-2</v>
      </c>
      <c r="EA222" s="5">
        <f t="shared" si="713"/>
        <v>0.28800000000000003</v>
      </c>
      <c r="EB222" s="5">
        <f t="shared" si="714"/>
        <v>3.7500000000000006E-2</v>
      </c>
      <c r="EC222" s="5">
        <f t="shared" si="715"/>
        <v>3.6049707602339179E-2</v>
      </c>
      <c r="ED222" s="5"/>
      <c r="EE222" s="150">
        <f t="shared" si="716"/>
        <v>6.7527772064536529E-2</v>
      </c>
      <c r="EF222" s="150">
        <f t="shared" si="717"/>
        <v>0.57338759433155972</v>
      </c>
      <c r="EG222" s="150">
        <f t="shared" si="718"/>
        <v>0.12816899167411336</v>
      </c>
      <c r="EH222" s="150"/>
      <c r="EI222" s="456">
        <f t="shared" si="719"/>
        <v>9.1199999999999994E-5</v>
      </c>
      <c r="EJ222" s="456">
        <f t="shared" si="720"/>
        <v>8.9877600000000016E-2</v>
      </c>
      <c r="EK222" s="456">
        <f t="shared" si="721"/>
        <v>8.5500000000000003E-3</v>
      </c>
      <c r="EL222" s="456">
        <f t="shared" si="722"/>
        <v>2.952479160000001E-2</v>
      </c>
      <c r="EM222">
        <f t="shared" si="723"/>
        <v>2.7E-2</v>
      </c>
      <c r="EN222" s="144">
        <f t="shared" si="724"/>
        <v>35.549999999999997</v>
      </c>
      <c r="EP222" s="144">
        <f t="shared" si="725"/>
        <v>155.04359160000004</v>
      </c>
      <c r="EQ222" s="150">
        <f t="shared" si="726"/>
        <v>5.0399999999999993E-2</v>
      </c>
      <c r="ER222" s="150">
        <f t="shared" si="688"/>
        <v>6.6562499999999998E-3</v>
      </c>
      <c r="ES222" s="456"/>
      <c r="EU222" s="144">
        <f t="shared" si="727"/>
        <v>57.056249999999999</v>
      </c>
      <c r="EV222" s="456">
        <f t="shared" si="728"/>
        <v>1.3679999999999999E-4</v>
      </c>
      <c r="EW222" s="456">
        <f t="shared" si="729"/>
        <v>9.8631999999999991E-3</v>
      </c>
      <c r="EX222" s="456">
        <f t="shared" si="730"/>
        <v>8.2136452133794693E-5</v>
      </c>
      <c r="EY222" s="456">
        <f t="shared" si="731"/>
        <v>1.9346849738873777E-3</v>
      </c>
      <c r="EZ222" s="456"/>
      <c r="FA222" s="538">
        <f t="shared" si="732"/>
        <v>6.8400000000000009E-5</v>
      </c>
      <c r="FB222" s="144">
        <f t="shared" si="733"/>
        <v>12.085221426021169</v>
      </c>
      <c r="FC222" s="150">
        <f t="shared" si="734"/>
        <v>0.22418506302602118</v>
      </c>
      <c r="FD222" s="5">
        <f t="shared" si="735"/>
        <v>0.48</v>
      </c>
      <c r="FE222" s="150">
        <f t="shared" si="736"/>
        <v>0.6816389969099117</v>
      </c>
      <c r="FF222" s="5">
        <f t="shared" si="737"/>
        <v>68.163899690991173</v>
      </c>
      <c r="FG222">
        <f t="shared" si="738"/>
        <v>6</v>
      </c>
      <c r="FI222" s="59">
        <f t="shared" si="689"/>
        <v>-50</v>
      </c>
    </row>
    <row r="223" spans="1:169">
      <c r="E223" s="147">
        <v>7</v>
      </c>
      <c r="F223" s="188">
        <f t="shared" si="690"/>
        <v>8.4000000000000005E-2</v>
      </c>
      <c r="G223" s="188">
        <f t="shared" si="617"/>
        <v>1.7500000000000002E-2</v>
      </c>
      <c r="H223" s="188">
        <f t="shared" si="618"/>
        <v>0.42000000000000004</v>
      </c>
      <c r="I223" s="188">
        <f t="shared" si="619"/>
        <v>0.14000000000000001</v>
      </c>
      <c r="J223" s="465">
        <f t="shared" si="620"/>
        <v>59.963066902949564</v>
      </c>
      <c r="K223" s="379">
        <f t="shared" si="621"/>
        <v>5.7140487871737253</v>
      </c>
      <c r="L223" s="149">
        <f t="shared" si="622"/>
        <v>65.677115690123287</v>
      </c>
      <c r="M223" s="379"/>
      <c r="N223" s="188">
        <f t="shared" si="623"/>
        <v>8.7002127409700189E-2</v>
      </c>
      <c r="O223" s="149">
        <f t="shared" si="624"/>
        <v>9.7817144748127411</v>
      </c>
      <c r="P223" s="149">
        <f t="shared" si="625"/>
        <v>4.3474286554723287</v>
      </c>
      <c r="Q223" s="188">
        <f t="shared" si="626"/>
        <v>1.9563428949625483</v>
      </c>
      <c r="R223" s="188">
        <f t="shared" si="627"/>
        <v>1.2227143093515926</v>
      </c>
      <c r="S223" s="188">
        <f t="shared" si="628"/>
        <v>5</v>
      </c>
      <c r="T223" s="188">
        <f t="shared" si="629"/>
        <v>0.21468629097765629</v>
      </c>
      <c r="U223" s="188">
        <f t="shared" si="630"/>
        <v>4.2963704573375505E-2</v>
      </c>
      <c r="V223" s="188">
        <f t="shared" si="631"/>
        <v>0.45085990471672704</v>
      </c>
      <c r="W223" s="172">
        <f t="shared" si="632"/>
        <v>350</v>
      </c>
      <c r="X223" s="379">
        <f t="shared" si="691"/>
        <v>350</v>
      </c>
      <c r="Z223" s="188">
        <f t="shared" si="633"/>
        <v>1.2421224729920939</v>
      </c>
      <c r="AA223" s="150">
        <f t="shared" si="634"/>
        <v>2.6085653502579995</v>
      </c>
      <c r="AB223" s="150">
        <f t="shared" si="635"/>
        <v>0.42527069075189394</v>
      </c>
      <c r="AC223" s="150"/>
      <c r="AD223" s="150">
        <f t="shared" si="636"/>
        <v>2.1000870743239526</v>
      </c>
      <c r="AE223" s="314">
        <f t="shared" si="637"/>
        <v>79.996683020432158</v>
      </c>
      <c r="AF223" s="456">
        <f t="shared" si="638"/>
        <v>0.36751523800669172</v>
      </c>
      <c r="AH223" s="150">
        <f t="shared" si="639"/>
        <v>0.5163977794943222</v>
      </c>
      <c r="AI223" s="150">
        <f t="shared" si="640"/>
        <v>1</v>
      </c>
      <c r="AJ223" s="150">
        <f t="shared" si="641"/>
        <v>1.0457123902973897</v>
      </c>
      <c r="AL223" s="314">
        <f t="shared" si="642"/>
        <v>84</v>
      </c>
      <c r="AM223" s="144">
        <f t="shared" si="643"/>
        <v>79.996683020432158</v>
      </c>
      <c r="AO223">
        <f t="shared" si="644"/>
        <v>84</v>
      </c>
      <c r="AP223">
        <f t="shared" si="645"/>
        <v>79.996683020432158</v>
      </c>
      <c r="AR223" s="5">
        <f t="shared" si="616"/>
        <v>12.500518299547339</v>
      </c>
      <c r="AS223" s="5">
        <f t="shared" si="604"/>
        <v>0.20012318615093594</v>
      </c>
      <c r="AT223" s="5">
        <f t="shared" si="605"/>
        <v>12.300395113396403</v>
      </c>
      <c r="AU223" s="150">
        <f t="shared" si="606"/>
        <v>1.6009191087555358E-2</v>
      </c>
      <c r="BA223" s="150">
        <f t="shared" si="692"/>
        <v>7.3050647014144363E-2</v>
      </c>
      <c r="BB223" s="150">
        <f t="shared" si="693"/>
        <v>0.57271016780230843</v>
      </c>
      <c r="BC223" s="150">
        <f t="shared" si="694"/>
        <v>0.128017566920516</v>
      </c>
      <c r="BD223" s="150"/>
      <c r="BE223" s="456">
        <f t="shared" si="695"/>
        <v>1.0672794058370237E-4</v>
      </c>
      <c r="BF223" s="456">
        <f t="shared" si="646"/>
        <v>9.8511588854232071E-2</v>
      </c>
      <c r="BG223" s="456">
        <f t="shared" si="647"/>
        <v>0.11992116139920557</v>
      </c>
      <c r="BH223" s="456">
        <f t="shared" si="696"/>
        <v>3.4506437429318727E-2</v>
      </c>
      <c r="BI223">
        <f t="shared" si="697"/>
        <v>2.6983380106327302E-2</v>
      </c>
      <c r="BJ223" s="144">
        <f t="shared" si="698"/>
        <v>146.90454150553288</v>
      </c>
      <c r="BK223">
        <f t="shared" si="648"/>
        <v>0.1331569474363577</v>
      </c>
      <c r="BL223" s="144">
        <f t="shared" si="699"/>
        <v>280.02929572966741</v>
      </c>
      <c r="BM223" s="150">
        <f t="shared" si="649"/>
        <v>5.2184999999999995E-2</v>
      </c>
      <c r="BN223" s="150">
        <f t="shared" si="650"/>
        <v>7.765625E-3</v>
      </c>
      <c r="BQ223" s="144">
        <f t="shared" si="700"/>
        <v>59.950624999999995</v>
      </c>
      <c r="BR223" s="456">
        <f t="shared" si="701"/>
        <v>1.6009191087555354E-4</v>
      </c>
      <c r="BS223" s="456">
        <f t="shared" si="702"/>
        <v>9.8399080891244488E-3</v>
      </c>
      <c r="BT223" s="456">
        <f t="shared" si="703"/>
        <v>8.1942487201243957E-5</v>
      </c>
      <c r="BU223" s="456">
        <f t="shared" si="704"/>
        <v>2.861870340753676E-3</v>
      </c>
      <c r="BV223" s="456"/>
      <c r="BW223" s="538">
        <f t="shared" si="705"/>
        <v>7.9996683020432162E-5</v>
      </c>
      <c r="BX223" s="144">
        <f t="shared" si="706"/>
        <v>13.023809510975354</v>
      </c>
      <c r="BY223" s="150">
        <f t="shared" si="707"/>
        <v>0.35300373024064274</v>
      </c>
      <c r="BZ223" s="5">
        <f t="shared" si="708"/>
        <v>0.56000000000000005</v>
      </c>
      <c r="CA223" s="150">
        <f t="shared" si="709"/>
        <v>0.61336003507061176</v>
      </c>
      <c r="CB223" s="5">
        <f t="shared" si="710"/>
        <v>61.336003507061179</v>
      </c>
      <c r="CC223">
        <f t="shared" si="711"/>
        <v>7.0000000000000009</v>
      </c>
      <c r="CE223" s="59">
        <f t="shared" si="651"/>
        <v>-50</v>
      </c>
      <c r="CG223" s="150">
        <f t="shared" si="652"/>
        <v>0.17937491463412608</v>
      </c>
      <c r="CH223" s="150">
        <f t="shared" si="653"/>
        <v>9.6521745572803713E-2</v>
      </c>
      <c r="CI223" s="147">
        <v>7</v>
      </c>
      <c r="CJ223" s="188">
        <f t="shared" si="712"/>
        <v>8.4000000000000005E-2</v>
      </c>
      <c r="CK223" s="188">
        <f t="shared" si="654"/>
        <v>1.7500000000000002E-2</v>
      </c>
      <c r="CL223" s="188">
        <f t="shared" si="655"/>
        <v>0.42000000000000004</v>
      </c>
      <c r="CM223" s="188">
        <f t="shared" si="656"/>
        <v>0.14000000000000001</v>
      </c>
      <c r="CN223" s="465">
        <f t="shared" si="657"/>
        <v>60</v>
      </c>
      <c r="CO223" s="379">
        <f t="shared" si="658"/>
        <v>5.7</v>
      </c>
      <c r="CP223" s="379">
        <f t="shared" si="659"/>
        <v>65.7</v>
      </c>
      <c r="CQ223" s="379"/>
      <c r="CR223" s="188">
        <f t="shared" si="660"/>
        <v>8.2568807339449546E-2</v>
      </c>
      <c r="CS223" s="149">
        <f t="shared" si="661"/>
        <v>9.2889908256880744</v>
      </c>
      <c r="CT223" s="149">
        <f t="shared" si="662"/>
        <v>4.1284403669724767</v>
      </c>
      <c r="CU223" s="188">
        <f t="shared" si="663"/>
        <v>1.857798165137615</v>
      </c>
      <c r="CV223" s="188">
        <f t="shared" si="664"/>
        <v>1.1611238532110093</v>
      </c>
      <c r="CW223" s="188">
        <f t="shared" si="665"/>
        <v>5</v>
      </c>
      <c r="CX223" s="188">
        <f t="shared" si="666"/>
        <v>0.22607407407407407</v>
      </c>
      <c r="CY223" s="188">
        <f t="shared" si="667"/>
        <v>4.5214814814814819E-2</v>
      </c>
      <c r="CZ223" s="188">
        <f t="shared" si="668"/>
        <v>0.47594541910331378</v>
      </c>
      <c r="DA223" s="172">
        <f t="shared" si="669"/>
        <v>350</v>
      </c>
      <c r="DB223" s="379">
        <f t="shared" si="670"/>
        <v>350</v>
      </c>
      <c r="DD223" s="188">
        <f t="shared" si="671"/>
        <v>1.2393998695368558</v>
      </c>
      <c r="DE223" s="150">
        <f t="shared" si="672"/>
        <v>2.6092628832354858</v>
      </c>
      <c r="DF223" s="150">
        <f t="shared" si="673"/>
        <v>0.4244520101153616</v>
      </c>
      <c r="DG223" s="150"/>
      <c r="DH223" s="150">
        <f t="shared" si="674"/>
        <v>2.1052631578947367</v>
      </c>
      <c r="DI223" s="314">
        <f t="shared" si="675"/>
        <v>79.800000000000011</v>
      </c>
      <c r="DJ223" s="456">
        <f t="shared" si="676"/>
        <v>0.36842105263157893</v>
      </c>
      <c r="DL223" s="150">
        <f t="shared" si="677"/>
        <v>0.5163977794943222</v>
      </c>
      <c r="DM223" s="150">
        <f t="shared" si="678"/>
        <v>1</v>
      </c>
      <c r="DN223" s="150">
        <f t="shared" si="679"/>
        <v>1.0456000000000001</v>
      </c>
      <c r="DP223" s="314">
        <f t="shared" si="680"/>
        <v>84</v>
      </c>
      <c r="DQ223" s="144">
        <f t="shared" si="681"/>
        <v>79.800000000000011</v>
      </c>
      <c r="DS223">
        <f t="shared" si="682"/>
        <v>84</v>
      </c>
      <c r="DT223">
        <f t="shared" si="683"/>
        <v>79.800000000000011</v>
      </c>
      <c r="DV223" s="5">
        <f t="shared" si="684"/>
        <v>12.531328320802002</v>
      </c>
      <c r="DW223" s="5">
        <f t="shared" si="685"/>
        <v>0.2</v>
      </c>
      <c r="DX223" s="5">
        <f t="shared" si="686"/>
        <v>12.331328320802003</v>
      </c>
      <c r="DY223" s="150">
        <f t="shared" si="687"/>
        <v>1.5960000000000005E-2</v>
      </c>
      <c r="EA223" s="5">
        <f t="shared" si="713"/>
        <v>0.33600000000000002</v>
      </c>
      <c r="EB223" s="5">
        <f t="shared" si="714"/>
        <v>4.3750000000000004E-2</v>
      </c>
      <c r="EC223" s="5">
        <f t="shared" si="715"/>
        <v>3.5966374269005841E-2</v>
      </c>
      <c r="ED223" s="5"/>
      <c r="EE223" s="150">
        <f t="shared" si="716"/>
        <v>7.2938330115241895E-2</v>
      </c>
      <c r="EF223" s="150">
        <f t="shared" si="717"/>
        <v>0.57272448291768818</v>
      </c>
      <c r="EG223" s="150">
        <f t="shared" si="718"/>
        <v>0.12802076676983618</v>
      </c>
      <c r="EH223" s="150"/>
      <c r="EI223" s="456">
        <f t="shared" si="719"/>
        <v>1.0640000000000005E-4</v>
      </c>
      <c r="EJ223" s="456">
        <f t="shared" si="720"/>
        <v>0.10485720000000003</v>
      </c>
      <c r="EK223" s="456">
        <f t="shared" si="721"/>
        <v>9.9749999999999995E-3</v>
      </c>
      <c r="EL223" s="456">
        <f t="shared" si="722"/>
        <v>3.4445590200000008E-2</v>
      </c>
      <c r="EM223">
        <f t="shared" si="723"/>
        <v>2.7E-2</v>
      </c>
      <c r="EN223" s="144">
        <f t="shared" si="724"/>
        <v>36.975000000000001</v>
      </c>
      <c r="EP223" s="144">
        <f t="shared" si="725"/>
        <v>176.38419020000003</v>
      </c>
      <c r="EQ223" s="150">
        <f t="shared" si="726"/>
        <v>5.8799999999999998E-2</v>
      </c>
      <c r="ER223" s="150">
        <f t="shared" si="688"/>
        <v>7.765625E-3</v>
      </c>
      <c r="ES223" s="456"/>
      <c r="EU223" s="144">
        <f t="shared" si="727"/>
        <v>66.565624999999997</v>
      </c>
      <c r="EV223" s="456">
        <f t="shared" si="728"/>
        <v>1.5960000000000008E-4</v>
      </c>
      <c r="EW223" s="456">
        <f t="shared" si="729"/>
        <v>9.8403999999999991E-3</v>
      </c>
      <c r="EX223" s="456">
        <f t="shared" si="730"/>
        <v>8.1946583621683944E-5</v>
      </c>
      <c r="EY223" s="456">
        <f t="shared" si="731"/>
        <v>2.8443119944195979E-3</v>
      </c>
      <c r="EZ223" s="456"/>
      <c r="FA223" s="538">
        <f t="shared" si="732"/>
        <v>7.9800000000000015E-5</v>
      </c>
      <c r="FB223" s="144">
        <f t="shared" si="733"/>
        <v>13.006058578041278</v>
      </c>
      <c r="FC223" s="150">
        <f t="shared" si="734"/>
        <v>0.25595587377804135</v>
      </c>
      <c r="FD223" s="5">
        <f t="shared" si="735"/>
        <v>0.56000000000000005</v>
      </c>
      <c r="FE223" s="150">
        <f t="shared" si="736"/>
        <v>0.68631162296447024</v>
      </c>
      <c r="FF223" s="5">
        <f t="shared" si="737"/>
        <v>68.63116229644703</v>
      </c>
      <c r="FG223">
        <f t="shared" si="738"/>
        <v>7.0000000000000009</v>
      </c>
      <c r="FI223" s="59">
        <f t="shared" si="689"/>
        <v>-50</v>
      </c>
    </row>
    <row r="224" spans="1:169">
      <c r="E224" s="147">
        <v>8</v>
      </c>
      <c r="F224" s="188">
        <f t="shared" si="690"/>
        <v>9.6000000000000002E-2</v>
      </c>
      <c r="G224" s="188">
        <f t="shared" si="617"/>
        <v>0.02</v>
      </c>
      <c r="H224" s="188">
        <f t="shared" si="618"/>
        <v>0.48</v>
      </c>
      <c r="I224" s="188">
        <f t="shared" si="619"/>
        <v>0.16</v>
      </c>
      <c r="J224" s="465">
        <f t="shared" si="620"/>
        <v>59.963066902949564</v>
      </c>
      <c r="K224" s="379">
        <f t="shared" si="621"/>
        <v>5.7140487871737253</v>
      </c>
      <c r="L224" s="149">
        <f t="shared" si="622"/>
        <v>65.677115690123287</v>
      </c>
      <c r="M224" s="379"/>
      <c r="N224" s="188">
        <f t="shared" si="623"/>
        <v>8.7002127409700189E-2</v>
      </c>
      <c r="O224" s="149">
        <f t="shared" si="624"/>
        <v>9.7817144748127411</v>
      </c>
      <c r="P224" s="149">
        <f t="shared" si="625"/>
        <v>4.3474286554723287</v>
      </c>
      <c r="Q224" s="188">
        <f t="shared" si="626"/>
        <v>1.9563428949625483</v>
      </c>
      <c r="R224" s="188">
        <f t="shared" si="627"/>
        <v>1.2227143093515926</v>
      </c>
      <c r="S224" s="188">
        <f t="shared" si="628"/>
        <v>5</v>
      </c>
      <c r="T224" s="188">
        <f t="shared" si="629"/>
        <v>0.24535576111732144</v>
      </c>
      <c r="U224" s="188">
        <f t="shared" si="630"/>
        <v>4.9101376655286286E-2</v>
      </c>
      <c r="V224" s="188">
        <f t="shared" si="631"/>
        <v>0.5152684625334023</v>
      </c>
      <c r="W224" s="172">
        <f t="shared" si="632"/>
        <v>350</v>
      </c>
      <c r="X224" s="379">
        <f t="shared" si="691"/>
        <v>350</v>
      </c>
      <c r="Z224" s="188">
        <f t="shared" si="633"/>
        <v>1.2421224729920939</v>
      </c>
      <c r="AA224" s="150">
        <f t="shared" si="634"/>
        <v>2.6085653502579995</v>
      </c>
      <c r="AB224" s="150">
        <f t="shared" si="635"/>
        <v>0.42527069075189394</v>
      </c>
      <c r="AC224" s="150"/>
      <c r="AD224" s="150">
        <f t="shared" si="636"/>
        <v>2.1000870743239526</v>
      </c>
      <c r="AE224" s="314">
        <f t="shared" si="637"/>
        <v>91.424780594779619</v>
      </c>
      <c r="AF224" s="456">
        <f t="shared" si="638"/>
        <v>0.36751523800669172</v>
      </c>
      <c r="AH224" s="150">
        <f t="shared" si="639"/>
        <v>0.55205244747388338</v>
      </c>
      <c r="AI224" s="150">
        <f t="shared" si="640"/>
        <v>1</v>
      </c>
      <c r="AJ224" s="150">
        <f t="shared" si="641"/>
        <v>1.0522427317684455</v>
      </c>
      <c r="AL224" s="314">
        <f t="shared" si="642"/>
        <v>96</v>
      </c>
      <c r="AM224" s="144">
        <f t="shared" si="643"/>
        <v>91.424780594779619</v>
      </c>
      <c r="AO224">
        <f t="shared" si="644"/>
        <v>96</v>
      </c>
      <c r="AP224">
        <f t="shared" si="645"/>
        <v>91.424780594779619</v>
      </c>
      <c r="AR224" s="5">
        <f t="shared" si="616"/>
        <v>10.93795351210392</v>
      </c>
      <c r="AS224" s="5">
        <f t="shared" si="604"/>
        <v>0.20012318615093594</v>
      </c>
      <c r="AT224" s="5">
        <f t="shared" si="605"/>
        <v>10.737830325952984</v>
      </c>
      <c r="AU224" s="150">
        <f t="shared" si="606"/>
        <v>1.8296218385777555E-2</v>
      </c>
      <c r="BA224" s="150">
        <f t="shared" si="692"/>
        <v>7.8094426574025447E-2</v>
      </c>
      <c r="BB224" s="150">
        <f t="shared" si="693"/>
        <v>0.57204422370251018</v>
      </c>
      <c r="BC224" s="150">
        <f t="shared" si="694"/>
        <v>0.12786870882761991</v>
      </c>
      <c r="BD224" s="150"/>
      <c r="BE224" s="456">
        <f t="shared" si="695"/>
        <v>1.2197478923851704E-4</v>
      </c>
      <c r="BF224" s="456">
        <f t="shared" si="646"/>
        <v>0.11258467297626523</v>
      </c>
      <c r="BG224" s="456">
        <f t="shared" si="647"/>
        <v>0.13705275588480639</v>
      </c>
      <c r="BH224" s="456">
        <f t="shared" si="696"/>
        <v>3.9435928490649967E-2</v>
      </c>
      <c r="BI224">
        <f t="shared" si="697"/>
        <v>2.6983380106327302E-2</v>
      </c>
      <c r="BJ224" s="144">
        <f t="shared" si="698"/>
        <v>164.0361359911337</v>
      </c>
      <c r="BK224">
        <f t="shared" si="648"/>
        <v>0.15217991980745016</v>
      </c>
      <c r="BL224" s="144">
        <f t="shared" si="699"/>
        <v>316.17871224728736</v>
      </c>
      <c r="BM224" s="150">
        <f t="shared" si="649"/>
        <v>5.9639999999999992E-2</v>
      </c>
      <c r="BN224" s="150">
        <f t="shared" si="650"/>
        <v>8.8749999999999992E-3</v>
      </c>
      <c r="BQ224" s="144">
        <f t="shared" si="700"/>
        <v>68.514999999999986</v>
      </c>
      <c r="BR224" s="456">
        <f t="shared" si="701"/>
        <v>1.8296218385777555E-4</v>
      </c>
      <c r="BS224" s="456">
        <f t="shared" si="702"/>
        <v>9.8170378161422257E-3</v>
      </c>
      <c r="BT224" s="456">
        <f t="shared" si="703"/>
        <v>8.1752033486213218E-5</v>
      </c>
      <c r="BU224" s="456">
        <f t="shared" si="704"/>
        <v>3.9960399488635275E-3</v>
      </c>
      <c r="BV224" s="456"/>
      <c r="BW224" s="538">
        <f t="shared" si="705"/>
        <v>9.1424780594779622E-5</v>
      </c>
      <c r="BX224" s="144">
        <f t="shared" si="706"/>
        <v>14.169216762944522</v>
      </c>
      <c r="BY224" s="150">
        <f t="shared" si="707"/>
        <v>0.3988629290102319</v>
      </c>
      <c r="BZ224" s="5">
        <f t="shared" si="708"/>
        <v>0.64</v>
      </c>
      <c r="CA224" s="150">
        <f t="shared" si="709"/>
        <v>0.61605817488333592</v>
      </c>
      <c r="CB224" s="5">
        <f t="shared" si="710"/>
        <v>61.605817488333592</v>
      </c>
      <c r="CC224">
        <f t="shared" si="711"/>
        <v>8</v>
      </c>
      <c r="CE224" s="59">
        <f t="shared" si="651"/>
        <v>-50</v>
      </c>
      <c r="CG224" s="150">
        <f t="shared" si="652"/>
        <v>0.20499990243900118</v>
      </c>
      <c r="CH224" s="150">
        <f t="shared" si="653"/>
        <v>0.11031056636891852</v>
      </c>
      <c r="CI224" s="147">
        <v>8</v>
      </c>
      <c r="CJ224" s="188">
        <f t="shared" si="712"/>
        <v>9.6000000000000002E-2</v>
      </c>
      <c r="CK224" s="188">
        <f t="shared" si="654"/>
        <v>0.02</v>
      </c>
      <c r="CL224" s="188">
        <f t="shared" si="655"/>
        <v>0.48</v>
      </c>
      <c r="CM224" s="188">
        <f t="shared" si="656"/>
        <v>0.16</v>
      </c>
      <c r="CN224" s="465">
        <f t="shared" si="657"/>
        <v>60</v>
      </c>
      <c r="CO224" s="379">
        <f t="shared" si="658"/>
        <v>5.7</v>
      </c>
      <c r="CP224" s="379">
        <f t="shared" si="659"/>
        <v>65.7</v>
      </c>
      <c r="CQ224" s="379"/>
      <c r="CR224" s="188">
        <f t="shared" si="660"/>
        <v>8.2568807339449546E-2</v>
      </c>
      <c r="CS224" s="149">
        <f t="shared" si="661"/>
        <v>9.2889908256880744</v>
      </c>
      <c r="CT224" s="149">
        <f t="shared" si="662"/>
        <v>4.1284403669724767</v>
      </c>
      <c r="CU224" s="188">
        <f t="shared" si="663"/>
        <v>1.857798165137615</v>
      </c>
      <c r="CV224" s="188">
        <f t="shared" si="664"/>
        <v>1.1611238532110093</v>
      </c>
      <c r="CW224" s="188">
        <f t="shared" si="665"/>
        <v>5</v>
      </c>
      <c r="CX224" s="188">
        <f t="shared" si="666"/>
        <v>0.25837037037037036</v>
      </c>
      <c r="CY224" s="188">
        <f t="shared" si="667"/>
        <v>5.1674074074074074E-2</v>
      </c>
      <c r="CZ224" s="188">
        <f t="shared" si="668"/>
        <v>0.54393762183235861</v>
      </c>
      <c r="DA224" s="172">
        <f t="shared" si="669"/>
        <v>350</v>
      </c>
      <c r="DB224" s="379">
        <f t="shared" si="670"/>
        <v>350</v>
      </c>
      <c r="DD224" s="188">
        <f t="shared" si="671"/>
        <v>1.2393998695368558</v>
      </c>
      <c r="DE224" s="150">
        <f t="shared" si="672"/>
        <v>2.6092628832354858</v>
      </c>
      <c r="DF224" s="150">
        <f t="shared" si="673"/>
        <v>0.4244520101153616</v>
      </c>
      <c r="DG224" s="150"/>
      <c r="DH224" s="150">
        <f t="shared" si="674"/>
        <v>2.1052631578947367</v>
      </c>
      <c r="DI224" s="314">
        <f t="shared" si="675"/>
        <v>91.2</v>
      </c>
      <c r="DJ224" s="456">
        <f t="shared" si="676"/>
        <v>0.36842105263157893</v>
      </c>
      <c r="DL224" s="150">
        <f t="shared" si="677"/>
        <v>0.55205244747388338</v>
      </c>
      <c r="DM224" s="150">
        <f t="shared" si="678"/>
        <v>1</v>
      </c>
      <c r="DN224" s="150">
        <f t="shared" si="679"/>
        <v>1.0521142857142858</v>
      </c>
      <c r="DP224" s="314">
        <f t="shared" si="680"/>
        <v>96</v>
      </c>
      <c r="DQ224" s="144">
        <f t="shared" si="681"/>
        <v>91.2</v>
      </c>
      <c r="DS224">
        <f t="shared" si="682"/>
        <v>96</v>
      </c>
      <c r="DT224">
        <f t="shared" si="683"/>
        <v>91.2</v>
      </c>
      <c r="DV224" s="5">
        <f t="shared" si="684"/>
        <v>10.964912280701753</v>
      </c>
      <c r="DW224" s="5">
        <f t="shared" si="685"/>
        <v>0.2</v>
      </c>
      <c r="DX224" s="5">
        <f t="shared" si="686"/>
        <v>10.764912280701754</v>
      </c>
      <c r="DY224" s="150">
        <f t="shared" si="687"/>
        <v>1.8240000000000003E-2</v>
      </c>
      <c r="EA224" s="5">
        <f t="shared" si="713"/>
        <v>0.38400000000000001</v>
      </c>
      <c r="EB224" s="5">
        <f t="shared" si="714"/>
        <v>0.05</v>
      </c>
      <c r="EC224" s="5">
        <f t="shared" si="715"/>
        <v>3.588304093567251E-2</v>
      </c>
      <c r="ED224" s="5"/>
      <c r="EE224" s="150">
        <f t="shared" si="716"/>
        <v>7.7974354758471726E-2</v>
      </c>
      <c r="EF224" s="150">
        <f t="shared" si="717"/>
        <v>0.57206060285019922</v>
      </c>
      <c r="EG224" s="150">
        <f t="shared" si="718"/>
        <v>0.12787237004886806</v>
      </c>
      <c r="EH224" s="150"/>
      <c r="EI224" s="456">
        <f t="shared" si="719"/>
        <v>1.2160000000000004E-4</v>
      </c>
      <c r="EJ224" s="456">
        <f t="shared" si="720"/>
        <v>0.11983680000000001</v>
      </c>
      <c r="EK224" s="456">
        <f t="shared" si="721"/>
        <v>1.1399999999999999E-2</v>
      </c>
      <c r="EL224" s="456">
        <f t="shared" si="722"/>
        <v>3.9366388800000013E-2</v>
      </c>
      <c r="EM224">
        <f t="shared" si="723"/>
        <v>2.7E-2</v>
      </c>
      <c r="EN224" s="144">
        <f t="shared" si="724"/>
        <v>38.4</v>
      </c>
      <c r="EP224" s="144">
        <f t="shared" si="725"/>
        <v>197.72478880000003</v>
      </c>
      <c r="EQ224" s="150">
        <f t="shared" si="726"/>
        <v>6.7199999999999996E-2</v>
      </c>
      <c r="ER224" s="150">
        <f t="shared" si="688"/>
        <v>8.8749999999999992E-3</v>
      </c>
      <c r="ES224" s="456"/>
      <c r="EU224" s="144">
        <f t="shared" si="727"/>
        <v>76.074999999999989</v>
      </c>
      <c r="EV224" s="456">
        <f t="shared" si="728"/>
        <v>1.8240000000000004E-4</v>
      </c>
      <c r="EW224" s="456">
        <f t="shared" si="729"/>
        <v>9.8175999999999992E-3</v>
      </c>
      <c r="EX224" s="456">
        <f t="shared" si="730"/>
        <v>8.1756715109573236E-5</v>
      </c>
      <c r="EY224" s="456">
        <f t="shared" si="731"/>
        <v>3.9715231661191204E-3</v>
      </c>
      <c r="EZ224" s="456"/>
      <c r="FA224" s="538">
        <f t="shared" si="732"/>
        <v>9.1200000000000008E-5</v>
      </c>
      <c r="FB224" s="144">
        <f t="shared" si="733"/>
        <v>14.144479881228692</v>
      </c>
      <c r="FC224" s="150">
        <f t="shared" si="734"/>
        <v>0.28794426868122874</v>
      </c>
      <c r="FD224" s="5">
        <f t="shared" si="735"/>
        <v>0.64</v>
      </c>
      <c r="FE224" s="150">
        <f t="shared" si="736"/>
        <v>0.68969659234983161</v>
      </c>
      <c r="FF224" s="5">
        <f t="shared" si="737"/>
        <v>68.969659234983155</v>
      </c>
      <c r="FG224">
        <f t="shared" si="738"/>
        <v>8</v>
      </c>
      <c r="FI224" s="59">
        <f t="shared" si="689"/>
        <v>-50</v>
      </c>
    </row>
    <row r="225" spans="5:165">
      <c r="E225" s="147">
        <v>9</v>
      </c>
      <c r="F225" s="188">
        <f t="shared" si="690"/>
        <v>0.108</v>
      </c>
      <c r="G225" s="188">
        <f t="shared" si="617"/>
        <v>2.2499999999999999E-2</v>
      </c>
      <c r="H225" s="188">
        <f t="shared" si="618"/>
        <v>0.54</v>
      </c>
      <c r="I225" s="188">
        <f t="shared" si="619"/>
        <v>0.18</v>
      </c>
      <c r="J225" s="465">
        <f t="shared" si="620"/>
        <v>59.963066902949564</v>
      </c>
      <c r="K225" s="379">
        <f t="shared" si="621"/>
        <v>5.7140487871737253</v>
      </c>
      <c r="L225" s="149">
        <f t="shared" si="622"/>
        <v>65.677115690123287</v>
      </c>
      <c r="M225" s="379"/>
      <c r="N225" s="188">
        <f t="shared" si="623"/>
        <v>8.7002127409700189E-2</v>
      </c>
      <c r="O225" s="149">
        <f t="shared" si="624"/>
        <v>9.7817144748127411</v>
      </c>
      <c r="P225" s="149">
        <f t="shared" si="625"/>
        <v>4.3474286554723287</v>
      </c>
      <c r="Q225" s="188">
        <f t="shared" si="626"/>
        <v>1.9563428949625483</v>
      </c>
      <c r="R225" s="188">
        <f t="shared" si="627"/>
        <v>1.2227143093515926</v>
      </c>
      <c r="S225" s="188">
        <f t="shared" si="628"/>
        <v>5</v>
      </c>
      <c r="T225" s="188">
        <f t="shared" si="629"/>
        <v>0.27602523125698664</v>
      </c>
      <c r="U225" s="188">
        <f t="shared" si="630"/>
        <v>5.523904873719708E-2</v>
      </c>
      <c r="V225" s="188">
        <f t="shared" si="631"/>
        <v>0.57967702035007751</v>
      </c>
      <c r="W225" s="172">
        <f t="shared" si="632"/>
        <v>350</v>
      </c>
      <c r="X225" s="379">
        <f t="shared" si="691"/>
        <v>350</v>
      </c>
      <c r="Z225" s="188">
        <f t="shared" si="633"/>
        <v>1.2421224729920939</v>
      </c>
      <c r="AA225" s="150">
        <f t="shared" si="634"/>
        <v>2.6085653502579995</v>
      </c>
      <c r="AB225" s="150">
        <f t="shared" si="635"/>
        <v>0.42527069075189394</v>
      </c>
      <c r="AC225" s="150"/>
      <c r="AD225" s="150">
        <f t="shared" si="636"/>
        <v>2.1000870743239526</v>
      </c>
      <c r="AE225" s="314">
        <f t="shared" si="637"/>
        <v>102.85287816912705</v>
      </c>
      <c r="AF225" s="456">
        <f t="shared" si="638"/>
        <v>0.36751523800669172</v>
      </c>
      <c r="AH225" s="150">
        <f t="shared" si="639"/>
        <v>0.58554004376911983</v>
      </c>
      <c r="AI225" s="150">
        <f t="shared" si="640"/>
        <v>1</v>
      </c>
      <c r="AJ225" s="150">
        <f t="shared" si="641"/>
        <v>1.0587730732395011</v>
      </c>
      <c r="AL225" s="314">
        <f t="shared" si="642"/>
        <v>108</v>
      </c>
      <c r="AM225" s="144">
        <f t="shared" si="643"/>
        <v>102.85287816912705</v>
      </c>
      <c r="AO225">
        <f t="shared" si="644"/>
        <v>108</v>
      </c>
      <c r="AP225">
        <f t="shared" si="645"/>
        <v>102.85287816912705</v>
      </c>
      <c r="AR225" s="5">
        <f t="shared" si="616"/>
        <v>9.7226253440923749</v>
      </c>
      <c r="AS225" s="5">
        <f t="shared" si="604"/>
        <v>0.20012318615093594</v>
      </c>
      <c r="AT225" s="5">
        <f t="shared" si="605"/>
        <v>9.5225021579414388</v>
      </c>
      <c r="AU225" s="150">
        <f t="shared" si="606"/>
        <v>2.0583245683999749E-2</v>
      </c>
      <c r="BA225" s="150">
        <f t="shared" si="692"/>
        <v>8.2831647905052472E-2</v>
      </c>
      <c r="BB225" s="150">
        <f t="shared" si="693"/>
        <v>0.57137750344117222</v>
      </c>
      <c r="BC225" s="150">
        <f t="shared" si="694"/>
        <v>0.12771967723979144</v>
      </c>
      <c r="BD225" s="150"/>
      <c r="BE225" s="456">
        <f t="shared" si="695"/>
        <v>1.3722163789333167E-4</v>
      </c>
      <c r="BF225" s="456">
        <f t="shared" si="646"/>
        <v>0.12665775709829838</v>
      </c>
      <c r="BG225" s="456">
        <f t="shared" si="647"/>
        <v>0.15418435037040715</v>
      </c>
      <c r="BH225" s="456">
        <f t="shared" si="696"/>
        <v>4.4365419551981207E-2</v>
      </c>
      <c r="BI225">
        <f t="shared" si="697"/>
        <v>2.6983380106327302E-2</v>
      </c>
      <c r="BJ225" s="144">
        <f t="shared" si="698"/>
        <v>181.16773047673445</v>
      </c>
      <c r="BK225">
        <f t="shared" si="648"/>
        <v>0.17120303001022533</v>
      </c>
      <c r="BL225" s="144">
        <f t="shared" si="699"/>
        <v>352.32812876490732</v>
      </c>
      <c r="BM225" s="150">
        <f t="shared" si="649"/>
        <v>6.7095000000000002E-2</v>
      </c>
      <c r="BN225" s="150">
        <f t="shared" si="650"/>
        <v>9.9843749999999985E-3</v>
      </c>
      <c r="BQ225" s="144">
        <f t="shared" si="700"/>
        <v>77.079374999999999</v>
      </c>
      <c r="BR225" s="456">
        <f t="shared" si="701"/>
        <v>2.058324568399975E-4</v>
      </c>
      <c r="BS225" s="456">
        <f t="shared" si="702"/>
        <v>9.7941675431600025E-3</v>
      </c>
      <c r="BT225" s="456">
        <f t="shared" si="703"/>
        <v>8.1561579771182507E-5</v>
      </c>
      <c r="BU225" s="456">
        <f t="shared" si="704"/>
        <v>5.3642761547914013E-3</v>
      </c>
      <c r="BV225" s="456"/>
      <c r="BW225" s="538">
        <f t="shared" si="705"/>
        <v>1.0285287816912707E-4</v>
      </c>
      <c r="BX225" s="144">
        <f t="shared" si="706"/>
        <v>15.548690612731711</v>
      </c>
      <c r="BY225" s="150">
        <f t="shared" si="707"/>
        <v>0.444956194377639</v>
      </c>
      <c r="BZ225" s="5">
        <f t="shared" si="708"/>
        <v>0.72</v>
      </c>
      <c r="CA225" s="150">
        <f t="shared" si="709"/>
        <v>0.61804899057569251</v>
      </c>
      <c r="CB225" s="5">
        <f t="shared" si="710"/>
        <v>61.804899057569251</v>
      </c>
      <c r="CC225">
        <f t="shared" si="711"/>
        <v>9</v>
      </c>
      <c r="CE225" s="59">
        <f t="shared" si="651"/>
        <v>-50</v>
      </c>
      <c r="CG225" s="150">
        <f t="shared" si="652"/>
        <v>0.23062489024387639</v>
      </c>
      <c r="CH225" s="150">
        <f t="shared" si="653"/>
        <v>0.12409938716503334</v>
      </c>
      <c r="CI225" s="147">
        <v>9</v>
      </c>
      <c r="CJ225" s="188">
        <f t="shared" si="712"/>
        <v>0.108</v>
      </c>
      <c r="CK225" s="188">
        <f t="shared" si="654"/>
        <v>2.2499999999999999E-2</v>
      </c>
      <c r="CL225" s="188">
        <f t="shared" si="655"/>
        <v>0.54</v>
      </c>
      <c r="CM225" s="188">
        <f t="shared" si="656"/>
        <v>0.18</v>
      </c>
      <c r="CN225" s="465">
        <f t="shared" si="657"/>
        <v>60</v>
      </c>
      <c r="CO225" s="379">
        <f t="shared" si="658"/>
        <v>5.7</v>
      </c>
      <c r="CP225" s="379">
        <f t="shared" si="659"/>
        <v>65.7</v>
      </c>
      <c r="CQ225" s="379"/>
      <c r="CR225" s="188">
        <f t="shared" si="660"/>
        <v>8.2568807339449546E-2</v>
      </c>
      <c r="CS225" s="149">
        <f t="shared" si="661"/>
        <v>9.2889908256880744</v>
      </c>
      <c r="CT225" s="149">
        <f t="shared" si="662"/>
        <v>4.1284403669724767</v>
      </c>
      <c r="CU225" s="188">
        <f t="shared" si="663"/>
        <v>1.857798165137615</v>
      </c>
      <c r="CV225" s="188">
        <f t="shared" si="664"/>
        <v>1.1611238532110093</v>
      </c>
      <c r="CW225" s="188">
        <f t="shared" si="665"/>
        <v>5</v>
      </c>
      <c r="CX225" s="188">
        <f t="shared" si="666"/>
        <v>0.29066666666666663</v>
      </c>
      <c r="CY225" s="188">
        <f t="shared" si="667"/>
        <v>5.8133333333333322E-2</v>
      </c>
      <c r="CZ225" s="188">
        <f t="shared" si="668"/>
        <v>0.61192982456140332</v>
      </c>
      <c r="DA225" s="172">
        <f t="shared" si="669"/>
        <v>350</v>
      </c>
      <c r="DB225" s="379">
        <f t="shared" si="670"/>
        <v>350</v>
      </c>
      <c r="DD225" s="188">
        <f t="shared" si="671"/>
        <v>1.2393998695368558</v>
      </c>
      <c r="DE225" s="150">
        <f t="shared" si="672"/>
        <v>2.6092628832354858</v>
      </c>
      <c r="DF225" s="150">
        <f t="shared" si="673"/>
        <v>0.4244520101153616</v>
      </c>
      <c r="DG225" s="150"/>
      <c r="DH225" s="150">
        <f t="shared" si="674"/>
        <v>2.1052631578947367</v>
      </c>
      <c r="DI225" s="314">
        <f t="shared" si="675"/>
        <v>102.60000000000001</v>
      </c>
      <c r="DJ225" s="456">
        <f t="shared" si="676"/>
        <v>0.36842105263157893</v>
      </c>
      <c r="DL225" s="150">
        <f t="shared" si="677"/>
        <v>0.58554004376911983</v>
      </c>
      <c r="DM225" s="150">
        <f t="shared" si="678"/>
        <v>1</v>
      </c>
      <c r="DN225" s="150">
        <f t="shared" si="679"/>
        <v>1.0586285714285715</v>
      </c>
      <c r="DP225" s="314">
        <f t="shared" si="680"/>
        <v>108</v>
      </c>
      <c r="DQ225" s="144">
        <f t="shared" si="681"/>
        <v>102.60000000000001</v>
      </c>
      <c r="DS225">
        <f t="shared" si="682"/>
        <v>108</v>
      </c>
      <c r="DT225">
        <f t="shared" si="683"/>
        <v>102.60000000000001</v>
      </c>
      <c r="DV225" s="5">
        <f t="shared" si="684"/>
        <v>9.7465886939571149</v>
      </c>
      <c r="DW225" s="5">
        <f t="shared" si="685"/>
        <v>0.2</v>
      </c>
      <c r="DX225" s="5">
        <f t="shared" si="686"/>
        <v>9.5465886939571156</v>
      </c>
      <c r="DY225" s="150">
        <f t="shared" si="687"/>
        <v>2.052E-2</v>
      </c>
      <c r="EA225" s="5">
        <f t="shared" si="713"/>
        <v>0.43200000000000005</v>
      </c>
      <c r="EB225" s="5">
        <f t="shared" si="714"/>
        <v>5.6250000000000001E-2</v>
      </c>
      <c r="EC225" s="5">
        <f t="shared" si="715"/>
        <v>3.5799707602339179E-2</v>
      </c>
      <c r="ED225" s="5"/>
      <c r="EE225" s="150">
        <f t="shared" si="716"/>
        <v>8.2704292512541328E-2</v>
      </c>
      <c r="EF225" s="150">
        <f t="shared" si="717"/>
        <v>0.5713959514498973</v>
      </c>
      <c r="EG225" s="150">
        <f t="shared" si="718"/>
        <v>0.12772380091232999</v>
      </c>
      <c r="EH225" s="150"/>
      <c r="EI225" s="456">
        <f t="shared" si="719"/>
        <v>1.3679999999999999E-4</v>
      </c>
      <c r="EJ225" s="456">
        <f t="shared" si="720"/>
        <v>0.13481640000000003</v>
      </c>
      <c r="EK225" s="456">
        <f t="shared" si="721"/>
        <v>1.2825E-2</v>
      </c>
      <c r="EL225" s="456">
        <f t="shared" si="722"/>
        <v>4.4287187400000018E-2</v>
      </c>
      <c r="EM225">
        <f t="shared" si="723"/>
        <v>2.7E-2</v>
      </c>
      <c r="EN225" s="144">
        <f t="shared" si="724"/>
        <v>39.825000000000003</v>
      </c>
      <c r="EP225" s="144">
        <f t="shared" si="725"/>
        <v>219.06538740000002</v>
      </c>
      <c r="EQ225" s="150">
        <f t="shared" si="726"/>
        <v>7.5600000000000001E-2</v>
      </c>
      <c r="ER225" s="150">
        <f t="shared" si="688"/>
        <v>9.9843749999999985E-3</v>
      </c>
      <c r="ES225" s="456"/>
      <c r="EU225" s="144">
        <f t="shared" si="727"/>
        <v>85.584375000000009</v>
      </c>
      <c r="EV225" s="456">
        <f t="shared" si="728"/>
        <v>2.0519999999999997E-4</v>
      </c>
      <c r="EW225" s="456">
        <f t="shared" si="729"/>
        <v>9.7948000000000028E-3</v>
      </c>
      <c r="EX225" s="456">
        <f t="shared" si="730"/>
        <v>8.1566846597462528E-5</v>
      </c>
      <c r="EY225" s="456">
        <f t="shared" si="731"/>
        <v>5.3313648739355974E-3</v>
      </c>
      <c r="EZ225" s="456"/>
      <c r="FA225" s="538">
        <f t="shared" si="732"/>
        <v>1.0260000000000001E-4</v>
      </c>
      <c r="FB225" s="144">
        <f t="shared" si="733"/>
        <v>15.515531720533062</v>
      </c>
      <c r="FC225" s="150">
        <f t="shared" si="734"/>
        <v>0.32016529412053307</v>
      </c>
      <c r="FD225" s="5">
        <f t="shared" si="735"/>
        <v>0.72</v>
      </c>
      <c r="FE225" s="150">
        <f t="shared" si="736"/>
        <v>0.69219767672479882</v>
      </c>
      <c r="FF225" s="5">
        <f t="shared" si="737"/>
        <v>69.219767672479875</v>
      </c>
      <c r="FG225">
        <f t="shared" si="738"/>
        <v>9</v>
      </c>
      <c r="FI225" s="59">
        <f t="shared" si="689"/>
        <v>-50</v>
      </c>
    </row>
    <row r="226" spans="5:165">
      <c r="E226" s="147">
        <v>10</v>
      </c>
      <c r="F226" s="188">
        <f t="shared" si="690"/>
        <v>0.12</v>
      </c>
      <c r="G226" s="188">
        <f t="shared" si="617"/>
        <v>2.5000000000000001E-2</v>
      </c>
      <c r="H226" s="188">
        <f t="shared" si="618"/>
        <v>0.6</v>
      </c>
      <c r="I226" s="188">
        <f t="shared" si="619"/>
        <v>0.2</v>
      </c>
      <c r="J226" s="465">
        <f t="shared" si="620"/>
        <v>59.963066902949564</v>
      </c>
      <c r="K226" s="379">
        <f t="shared" si="621"/>
        <v>5.7140487871737253</v>
      </c>
      <c r="L226" s="149">
        <f t="shared" si="622"/>
        <v>65.677115690123287</v>
      </c>
      <c r="M226" s="379"/>
      <c r="N226" s="188">
        <f t="shared" si="623"/>
        <v>8.7002127409700189E-2</v>
      </c>
      <c r="O226" s="149">
        <f t="shared" si="624"/>
        <v>9.7817144748127411</v>
      </c>
      <c r="P226" s="149">
        <f t="shared" si="625"/>
        <v>4.3474286554723287</v>
      </c>
      <c r="Q226" s="188">
        <f t="shared" si="626"/>
        <v>1.9563428949625483</v>
      </c>
      <c r="R226" s="188">
        <f t="shared" si="627"/>
        <v>1.2227143093515926</v>
      </c>
      <c r="S226" s="188">
        <f t="shared" si="628"/>
        <v>5</v>
      </c>
      <c r="T226" s="188">
        <f t="shared" si="629"/>
        <v>0.30669470139665184</v>
      </c>
      <c r="U226" s="188">
        <f t="shared" si="630"/>
        <v>6.1376720819107854E-2</v>
      </c>
      <c r="V226" s="188">
        <f t="shared" si="631"/>
        <v>0.64408557816675294</v>
      </c>
      <c r="W226" s="172">
        <f t="shared" si="632"/>
        <v>350</v>
      </c>
      <c r="X226" s="379">
        <f t="shared" si="691"/>
        <v>350</v>
      </c>
      <c r="Z226" s="188">
        <f t="shared" si="633"/>
        <v>1.2421224729920939</v>
      </c>
      <c r="AA226" s="150">
        <f t="shared" si="634"/>
        <v>2.6085653502579995</v>
      </c>
      <c r="AB226" s="150">
        <f t="shared" si="635"/>
        <v>0.42527069075189394</v>
      </c>
      <c r="AC226" s="150"/>
      <c r="AD226" s="150">
        <f t="shared" si="636"/>
        <v>2.1000870743239526</v>
      </c>
      <c r="AE226" s="314">
        <f t="shared" si="637"/>
        <v>114.28097574347451</v>
      </c>
      <c r="AF226" s="456">
        <f t="shared" si="638"/>
        <v>0.36751523800669172</v>
      </c>
      <c r="AH226" s="150">
        <f t="shared" si="639"/>
        <v>0.61721339984836765</v>
      </c>
      <c r="AI226" s="150">
        <f t="shared" si="640"/>
        <v>1</v>
      </c>
      <c r="AJ226" s="150">
        <f t="shared" si="641"/>
        <v>1.0653034147105569</v>
      </c>
      <c r="AL226" s="314">
        <f t="shared" si="642"/>
        <v>120</v>
      </c>
      <c r="AM226" s="144">
        <f t="shared" si="643"/>
        <v>114.28097574347451</v>
      </c>
      <c r="AO226">
        <f t="shared" si="644"/>
        <v>120</v>
      </c>
      <c r="AP226">
        <f t="shared" si="645"/>
        <v>114.28097574347451</v>
      </c>
      <c r="AR226" s="5">
        <f t="shared" si="616"/>
        <v>8.7503628096831356</v>
      </c>
      <c r="AS226" s="5">
        <f t="shared" si="604"/>
        <v>0.20012318615093594</v>
      </c>
      <c r="AT226" s="5">
        <f t="shared" si="605"/>
        <v>8.5502396235321996</v>
      </c>
      <c r="AU226" s="150">
        <f t="shared" si="606"/>
        <v>2.2870272982221947E-2</v>
      </c>
      <c r="BA226" s="150">
        <f t="shared" si="692"/>
        <v>8.7312223241693465E-2</v>
      </c>
      <c r="BB226" s="150">
        <f t="shared" si="693"/>
        <v>0.57071000429809005</v>
      </c>
      <c r="BC226" s="150">
        <f t="shared" si="694"/>
        <v>0.12757047154898482</v>
      </c>
      <c r="BD226" s="150"/>
      <c r="BE226" s="456">
        <f t="shared" si="695"/>
        <v>1.5246848654814634E-4</v>
      </c>
      <c r="BF226" s="456">
        <f t="shared" si="646"/>
        <v>0.14073084122033153</v>
      </c>
      <c r="BG226" s="456">
        <f t="shared" si="647"/>
        <v>0.17131594485600796</v>
      </c>
      <c r="BH226" s="456">
        <f t="shared" si="696"/>
        <v>4.9294910613312454E-2</v>
      </c>
      <c r="BI226">
        <f t="shared" si="697"/>
        <v>2.6983380106327302E-2</v>
      </c>
      <c r="BJ226" s="144">
        <f t="shared" si="698"/>
        <v>198.29932496233528</v>
      </c>
      <c r="BK226">
        <f t="shared" si="648"/>
        <v>0.19022627804618131</v>
      </c>
      <c r="BL226" s="144">
        <f t="shared" si="699"/>
        <v>388.47754528252744</v>
      </c>
      <c r="BM226" s="150">
        <f t="shared" si="649"/>
        <v>7.4549999999999991E-2</v>
      </c>
      <c r="BN226" s="150">
        <f t="shared" si="650"/>
        <v>1.1093749999999999E-2</v>
      </c>
      <c r="BQ226" s="144">
        <f t="shared" si="700"/>
        <v>85.643749999999997</v>
      </c>
      <c r="BR226" s="456">
        <f t="shared" si="701"/>
        <v>2.2870272982221948E-4</v>
      </c>
      <c r="BS226" s="456">
        <f t="shared" si="702"/>
        <v>9.7712972701777777E-3</v>
      </c>
      <c r="BT226" s="456">
        <f t="shared" si="703"/>
        <v>8.1371126056151727E-5</v>
      </c>
      <c r="BU226" s="456">
        <f t="shared" si="704"/>
        <v>6.9807945050497184E-3</v>
      </c>
      <c r="BV226" s="456"/>
      <c r="BW226" s="538">
        <f t="shared" si="705"/>
        <v>1.1428097574347451E-4</v>
      </c>
      <c r="BX226" s="144">
        <f t="shared" si="706"/>
        <v>17.176446606849339</v>
      </c>
      <c r="BY226" s="150">
        <f t="shared" si="707"/>
        <v>0.4912977418893768</v>
      </c>
      <c r="BZ226" s="5">
        <f t="shared" si="708"/>
        <v>0.8</v>
      </c>
      <c r="CA226" s="150">
        <f t="shared" si="709"/>
        <v>0.61953178887269722</v>
      </c>
      <c r="CB226" s="5">
        <f t="shared" si="710"/>
        <v>61.953178887269722</v>
      </c>
      <c r="CC226">
        <f t="shared" si="711"/>
        <v>10</v>
      </c>
      <c r="CE226" s="59">
        <f t="shared" si="651"/>
        <v>-50</v>
      </c>
      <c r="CG226" s="150">
        <f t="shared" si="652"/>
        <v>0.25624987804875149</v>
      </c>
      <c r="CH226" s="150">
        <f t="shared" si="653"/>
        <v>0.13788820796114817</v>
      </c>
      <c r="CI226" s="147">
        <v>10</v>
      </c>
      <c r="CJ226" s="188">
        <f t="shared" si="712"/>
        <v>0.12</v>
      </c>
      <c r="CK226" s="188">
        <f t="shared" si="654"/>
        <v>2.5000000000000001E-2</v>
      </c>
      <c r="CL226" s="188">
        <f t="shared" si="655"/>
        <v>0.6</v>
      </c>
      <c r="CM226" s="188">
        <f t="shared" si="656"/>
        <v>0.2</v>
      </c>
      <c r="CN226" s="465">
        <f t="shared" si="657"/>
        <v>60</v>
      </c>
      <c r="CO226" s="379">
        <f t="shared" si="658"/>
        <v>5.7</v>
      </c>
      <c r="CP226" s="379">
        <f t="shared" si="659"/>
        <v>65.7</v>
      </c>
      <c r="CQ226" s="379"/>
      <c r="CR226" s="188">
        <f t="shared" si="660"/>
        <v>8.2568807339449546E-2</v>
      </c>
      <c r="CS226" s="149">
        <f t="shared" si="661"/>
        <v>9.2889908256880744</v>
      </c>
      <c r="CT226" s="149">
        <f t="shared" si="662"/>
        <v>4.1284403669724767</v>
      </c>
      <c r="CU226" s="188">
        <f t="shared" si="663"/>
        <v>1.857798165137615</v>
      </c>
      <c r="CV226" s="188">
        <f t="shared" si="664"/>
        <v>1.1611238532110093</v>
      </c>
      <c r="CW226" s="188">
        <f t="shared" si="665"/>
        <v>5</v>
      </c>
      <c r="CX226" s="188">
        <f t="shared" si="666"/>
        <v>0.32296296296296295</v>
      </c>
      <c r="CY226" s="188">
        <f t="shared" si="667"/>
        <v>6.459259259259259E-2</v>
      </c>
      <c r="CZ226" s="188">
        <f t="shared" si="668"/>
        <v>0.67992202729044837</v>
      </c>
      <c r="DA226" s="172">
        <f t="shared" si="669"/>
        <v>350</v>
      </c>
      <c r="DB226" s="379">
        <f t="shared" si="670"/>
        <v>350</v>
      </c>
      <c r="DD226" s="188">
        <f t="shared" si="671"/>
        <v>1.2393998695368558</v>
      </c>
      <c r="DE226" s="150">
        <f t="shared" si="672"/>
        <v>2.6092628832354858</v>
      </c>
      <c r="DF226" s="150">
        <f t="shared" si="673"/>
        <v>0.4244520101153616</v>
      </c>
      <c r="DG226" s="150"/>
      <c r="DH226" s="150">
        <f t="shared" si="674"/>
        <v>2.1052631578947367</v>
      </c>
      <c r="DI226" s="314">
        <f t="shared" si="675"/>
        <v>114</v>
      </c>
      <c r="DJ226" s="456">
        <f t="shared" si="676"/>
        <v>0.36842105263157893</v>
      </c>
      <c r="DL226" s="150">
        <f t="shared" si="677"/>
        <v>0.61721339984836765</v>
      </c>
      <c r="DM226" s="150">
        <f t="shared" si="678"/>
        <v>1</v>
      </c>
      <c r="DN226" s="150">
        <f t="shared" si="679"/>
        <v>1.0651428571428572</v>
      </c>
      <c r="DP226" s="314">
        <f t="shared" si="680"/>
        <v>120</v>
      </c>
      <c r="DQ226" s="144">
        <f t="shared" si="681"/>
        <v>114</v>
      </c>
      <c r="DS226">
        <f t="shared" si="682"/>
        <v>120</v>
      </c>
      <c r="DT226">
        <f t="shared" si="683"/>
        <v>114</v>
      </c>
      <c r="DV226" s="5">
        <f t="shared" si="684"/>
        <v>8.7719298245614024</v>
      </c>
      <c r="DW226" s="5">
        <f t="shared" si="685"/>
        <v>0.2</v>
      </c>
      <c r="DX226" s="5">
        <f t="shared" si="686"/>
        <v>8.5719298245614031</v>
      </c>
      <c r="DY226" s="150">
        <f t="shared" si="687"/>
        <v>2.2800000000000004E-2</v>
      </c>
      <c r="EA226" s="5">
        <f t="shared" si="713"/>
        <v>0.48000000000000004</v>
      </c>
      <c r="EB226" s="5">
        <f t="shared" si="714"/>
        <v>6.2500000000000014E-2</v>
      </c>
      <c r="EC226" s="5">
        <f t="shared" si="715"/>
        <v>3.5716374269005841E-2</v>
      </c>
      <c r="ED226" s="5"/>
      <c r="EE226" s="150">
        <f t="shared" si="716"/>
        <v>8.717797887081348E-2</v>
      </c>
      <c r="EF226" s="150">
        <f t="shared" si="717"/>
        <v>0.57073052602198637</v>
      </c>
      <c r="EG226" s="150">
        <f t="shared" si="718"/>
        <v>0.1275750587578558</v>
      </c>
      <c r="EH226" s="150"/>
      <c r="EI226" s="456">
        <f t="shared" si="719"/>
        <v>1.5200000000000004E-4</v>
      </c>
      <c r="EJ226" s="456">
        <f t="shared" si="720"/>
        <v>0.14979600000000001</v>
      </c>
      <c r="EK226" s="456">
        <f t="shared" si="721"/>
        <v>1.4249999999999999E-2</v>
      </c>
      <c r="EL226" s="456">
        <f t="shared" si="722"/>
        <v>4.9207986000000009E-2</v>
      </c>
      <c r="EM226">
        <f t="shared" si="723"/>
        <v>2.7E-2</v>
      </c>
      <c r="EN226" s="144">
        <f t="shared" si="724"/>
        <v>41.249999999999993</v>
      </c>
      <c r="EP226" s="144">
        <f t="shared" si="725"/>
        <v>240.40598600000001</v>
      </c>
      <c r="EQ226" s="150">
        <f t="shared" si="726"/>
        <v>8.3999999999999991E-2</v>
      </c>
      <c r="ER226" s="150">
        <f t="shared" si="688"/>
        <v>1.1093749999999999E-2</v>
      </c>
      <c r="ES226" s="456"/>
      <c r="EU226" s="144">
        <f t="shared" si="727"/>
        <v>95.093749999999986</v>
      </c>
      <c r="EV226" s="456">
        <f t="shared" si="728"/>
        <v>2.2800000000000004E-4</v>
      </c>
      <c r="EW226" s="456">
        <f t="shared" si="729"/>
        <v>9.7719999999999977E-3</v>
      </c>
      <c r="EX226" s="456">
        <f t="shared" si="730"/>
        <v>8.1376978085351793E-5</v>
      </c>
      <c r="EY226" s="456">
        <f t="shared" si="731"/>
        <v>6.9379654481699525E-3</v>
      </c>
      <c r="EZ226" s="456"/>
      <c r="FA226" s="538">
        <f t="shared" si="732"/>
        <v>1.1400000000000001E-4</v>
      </c>
      <c r="FB226" s="144">
        <f t="shared" si="733"/>
        <v>17.1333424262553</v>
      </c>
      <c r="FC226" s="150">
        <f t="shared" si="734"/>
        <v>0.35263307842625535</v>
      </c>
      <c r="FD226" s="5">
        <f t="shared" si="735"/>
        <v>0.8</v>
      </c>
      <c r="FE226" s="150">
        <f t="shared" si="736"/>
        <v>0.69406302402172759</v>
      </c>
      <c r="FF226" s="5">
        <f t="shared" si="737"/>
        <v>69.406302402172756</v>
      </c>
      <c r="FG226">
        <f t="shared" si="738"/>
        <v>10</v>
      </c>
      <c r="FI226" s="59">
        <f t="shared" si="689"/>
        <v>-50</v>
      </c>
    </row>
    <row r="227" spans="5:165">
      <c r="E227" s="147">
        <v>11</v>
      </c>
      <c r="F227" s="188">
        <f t="shared" si="690"/>
        <v>0.13200000000000001</v>
      </c>
      <c r="G227" s="188">
        <f t="shared" si="617"/>
        <v>2.75E-2</v>
      </c>
      <c r="H227" s="188">
        <f t="shared" si="618"/>
        <v>0.66</v>
      </c>
      <c r="I227" s="188">
        <f t="shared" si="619"/>
        <v>0.22</v>
      </c>
      <c r="J227" s="465">
        <f t="shared" si="620"/>
        <v>59.963066902949564</v>
      </c>
      <c r="K227" s="379">
        <f t="shared" si="621"/>
        <v>5.7140487871737253</v>
      </c>
      <c r="L227" s="149">
        <f t="shared" si="622"/>
        <v>65.677115690123287</v>
      </c>
      <c r="M227" s="379"/>
      <c r="N227" s="188">
        <f t="shared" si="623"/>
        <v>8.7002127409700189E-2</v>
      </c>
      <c r="O227" s="149">
        <f t="shared" si="624"/>
        <v>9.7817144748127411</v>
      </c>
      <c r="P227" s="149">
        <f t="shared" si="625"/>
        <v>4.3474286554723287</v>
      </c>
      <c r="Q227" s="188">
        <f t="shared" si="626"/>
        <v>1.9563428949625483</v>
      </c>
      <c r="R227" s="188">
        <f t="shared" si="627"/>
        <v>1.2227143093515926</v>
      </c>
      <c r="S227" s="188">
        <f t="shared" si="628"/>
        <v>5</v>
      </c>
      <c r="T227" s="188">
        <f t="shared" si="629"/>
        <v>0.33736417153631698</v>
      </c>
      <c r="U227" s="188">
        <f t="shared" si="630"/>
        <v>6.7514392901018641E-2</v>
      </c>
      <c r="V227" s="188">
        <f t="shared" si="631"/>
        <v>0.70849413598342814</v>
      </c>
      <c r="W227" s="172">
        <f t="shared" si="632"/>
        <v>350</v>
      </c>
      <c r="X227" s="379">
        <f t="shared" si="691"/>
        <v>350</v>
      </c>
      <c r="Z227" s="188">
        <f t="shared" si="633"/>
        <v>1.2421224729920939</v>
      </c>
      <c r="AA227" s="150">
        <f t="shared" si="634"/>
        <v>2.6085653502579995</v>
      </c>
      <c r="AB227" s="150">
        <f t="shared" si="635"/>
        <v>0.42527069075189394</v>
      </c>
      <c r="AC227" s="150"/>
      <c r="AD227" s="150">
        <f t="shared" si="636"/>
        <v>2.1000870743239526</v>
      </c>
      <c r="AE227" s="314">
        <f t="shared" si="637"/>
        <v>125.70907331782196</v>
      </c>
      <c r="AF227" s="456">
        <f t="shared" si="638"/>
        <v>0.36751523800669172</v>
      </c>
      <c r="AH227" s="150">
        <f t="shared" si="639"/>
        <v>0.64733887497014964</v>
      </c>
      <c r="AI227" s="150">
        <f t="shared" si="640"/>
        <v>1</v>
      </c>
      <c r="AJ227" s="150">
        <f t="shared" si="641"/>
        <v>1.0718337561816125</v>
      </c>
      <c r="AL227" s="314">
        <f t="shared" si="642"/>
        <v>132</v>
      </c>
      <c r="AM227" s="144">
        <f t="shared" si="643"/>
        <v>125.70907331782196</v>
      </c>
      <c r="AO227">
        <f t="shared" si="644"/>
        <v>132</v>
      </c>
      <c r="AP227">
        <f t="shared" si="645"/>
        <v>125.70907331782196</v>
      </c>
      <c r="AR227" s="5">
        <f t="shared" si="616"/>
        <v>7.954875281530124</v>
      </c>
      <c r="AS227" s="5">
        <f t="shared" si="604"/>
        <v>0.20012318615093594</v>
      </c>
      <c r="AT227" s="5">
        <f t="shared" si="605"/>
        <v>7.754752095379188</v>
      </c>
      <c r="AU227" s="150">
        <f t="shared" si="606"/>
        <v>2.5157300280444141E-2</v>
      </c>
      <c r="BA227" s="150">
        <f t="shared" si="692"/>
        <v>9.1573832289295651E-2</v>
      </c>
      <c r="BB227" s="150">
        <f t="shared" si="693"/>
        <v>0.57004172353713312</v>
      </c>
      <c r="BC227" s="150">
        <f t="shared" si="694"/>
        <v>0.12742109114359446</v>
      </c>
      <c r="BD227" s="150"/>
      <c r="BE227" s="456">
        <f t="shared" si="695"/>
        <v>1.6771533520296093E-4</v>
      </c>
      <c r="BF227" s="456">
        <f t="shared" si="646"/>
        <v>0.15480392534236467</v>
      </c>
      <c r="BG227" s="456">
        <f t="shared" si="647"/>
        <v>0.18844753934160877</v>
      </c>
      <c r="BH227" s="456">
        <f t="shared" si="696"/>
        <v>5.42244016746437E-2</v>
      </c>
      <c r="BI227">
        <f t="shared" si="697"/>
        <v>2.6983380106327302E-2</v>
      </c>
      <c r="BJ227" s="144">
        <f t="shared" si="698"/>
        <v>215.43091944793608</v>
      </c>
      <c r="BK227">
        <f t="shared" si="648"/>
        <v>0.20924966391681607</v>
      </c>
      <c r="BL227" s="144">
        <f t="shared" si="699"/>
        <v>424.62696180014734</v>
      </c>
      <c r="BM227" s="150">
        <f t="shared" si="649"/>
        <v>8.2004999999999995E-2</v>
      </c>
      <c r="BN227" s="150">
        <f t="shared" si="650"/>
        <v>1.2203124999999999E-2</v>
      </c>
      <c r="BQ227" s="144">
        <f t="shared" si="700"/>
        <v>94.208124999999995</v>
      </c>
      <c r="BR227" s="456">
        <f t="shared" si="701"/>
        <v>2.5157300280444136E-4</v>
      </c>
      <c r="BS227" s="456">
        <f t="shared" si="702"/>
        <v>9.748426997195558E-3</v>
      </c>
      <c r="BT227" s="456">
        <f t="shared" si="703"/>
        <v>8.1180672341121029E-5</v>
      </c>
      <c r="BU227" s="456">
        <f t="shared" si="704"/>
        <v>8.8590380434260037E-3</v>
      </c>
      <c r="BV227" s="456"/>
      <c r="BW227" s="538">
        <f t="shared" si="705"/>
        <v>1.2570907331782197E-4</v>
      </c>
      <c r="BX227" s="144">
        <f t="shared" si="706"/>
        <v>19.065927789084945</v>
      </c>
      <c r="BY227" s="150">
        <f t="shared" si="707"/>
        <v>0.53790101458923223</v>
      </c>
      <c r="BZ227" s="5">
        <f t="shared" si="708"/>
        <v>0.88</v>
      </c>
      <c r="CA227" s="150">
        <f t="shared" si="709"/>
        <v>0.62063570795521095</v>
      </c>
      <c r="CB227" s="5">
        <f t="shared" si="710"/>
        <v>62.063570795521095</v>
      </c>
      <c r="CC227">
        <f t="shared" si="711"/>
        <v>11.000000000000002</v>
      </c>
      <c r="CE227" s="59">
        <f t="shared" si="651"/>
        <v>-50</v>
      </c>
      <c r="CG227" s="150">
        <f t="shared" si="652"/>
        <v>0.28187486585362664</v>
      </c>
      <c r="CH227" s="150">
        <f t="shared" si="653"/>
        <v>0.15167702875726299</v>
      </c>
      <c r="CI227" s="147">
        <v>11</v>
      </c>
      <c r="CJ227" s="188">
        <f t="shared" si="712"/>
        <v>0.13200000000000001</v>
      </c>
      <c r="CK227" s="188">
        <f t="shared" si="654"/>
        <v>2.75E-2</v>
      </c>
      <c r="CL227" s="188">
        <f t="shared" si="655"/>
        <v>0.66</v>
      </c>
      <c r="CM227" s="188">
        <f t="shared" si="656"/>
        <v>0.22</v>
      </c>
      <c r="CN227" s="465">
        <f t="shared" si="657"/>
        <v>60</v>
      </c>
      <c r="CO227" s="379">
        <f t="shared" si="658"/>
        <v>5.7</v>
      </c>
      <c r="CP227" s="379">
        <f t="shared" si="659"/>
        <v>65.7</v>
      </c>
      <c r="CQ227" s="379"/>
      <c r="CR227" s="188">
        <f t="shared" si="660"/>
        <v>8.2568807339449546E-2</v>
      </c>
      <c r="CS227" s="149">
        <f t="shared" si="661"/>
        <v>9.2889908256880744</v>
      </c>
      <c r="CT227" s="149">
        <f t="shared" si="662"/>
        <v>4.1284403669724767</v>
      </c>
      <c r="CU227" s="188">
        <f t="shared" si="663"/>
        <v>1.857798165137615</v>
      </c>
      <c r="CV227" s="188">
        <f t="shared" si="664"/>
        <v>1.1611238532110093</v>
      </c>
      <c r="CW227" s="188">
        <f t="shared" si="665"/>
        <v>5</v>
      </c>
      <c r="CX227" s="188">
        <f t="shared" si="666"/>
        <v>0.35525925925925922</v>
      </c>
      <c r="CY227" s="188">
        <f t="shared" si="667"/>
        <v>7.1051851851851852E-2</v>
      </c>
      <c r="CZ227" s="188">
        <f t="shared" si="668"/>
        <v>0.74791423001949298</v>
      </c>
      <c r="DA227" s="172">
        <f t="shared" si="669"/>
        <v>350</v>
      </c>
      <c r="DB227" s="379">
        <f t="shared" si="670"/>
        <v>350</v>
      </c>
      <c r="DD227" s="188">
        <f t="shared" si="671"/>
        <v>1.2393998695368558</v>
      </c>
      <c r="DE227" s="150">
        <f t="shared" si="672"/>
        <v>2.6092628832354858</v>
      </c>
      <c r="DF227" s="150">
        <f t="shared" si="673"/>
        <v>0.4244520101153616</v>
      </c>
      <c r="DG227" s="150"/>
      <c r="DH227" s="150">
        <f t="shared" si="674"/>
        <v>2.1052631578947367</v>
      </c>
      <c r="DI227" s="314">
        <f t="shared" si="675"/>
        <v>125.40000000000002</v>
      </c>
      <c r="DJ227" s="456">
        <f t="shared" si="676"/>
        <v>0.36842105263157893</v>
      </c>
      <c r="DL227" s="150">
        <f t="shared" si="677"/>
        <v>0.64733887497014964</v>
      </c>
      <c r="DM227" s="150">
        <f t="shared" si="678"/>
        <v>1</v>
      </c>
      <c r="DN227" s="150">
        <f t="shared" si="679"/>
        <v>1.0716571428571429</v>
      </c>
      <c r="DP227" s="314">
        <f t="shared" si="680"/>
        <v>132</v>
      </c>
      <c r="DQ227" s="144">
        <f t="shared" si="681"/>
        <v>125.40000000000002</v>
      </c>
      <c r="DS227">
        <f t="shared" si="682"/>
        <v>132</v>
      </c>
      <c r="DT227">
        <f t="shared" si="683"/>
        <v>125.40000000000002</v>
      </c>
      <c r="DV227" s="5">
        <f t="shared" si="684"/>
        <v>7.9744816586921843</v>
      </c>
      <c r="DW227" s="5">
        <f t="shared" si="685"/>
        <v>0.2</v>
      </c>
      <c r="DX227" s="5">
        <f t="shared" si="686"/>
        <v>7.7744816586921841</v>
      </c>
      <c r="DY227" s="150">
        <f t="shared" si="687"/>
        <v>2.5080000000000005E-2</v>
      </c>
      <c r="EA227" s="5">
        <f t="shared" si="713"/>
        <v>0.52800000000000002</v>
      </c>
      <c r="EB227" s="5">
        <f t="shared" si="714"/>
        <v>6.8750000000000006E-2</v>
      </c>
      <c r="EC227" s="5">
        <f t="shared" si="715"/>
        <v>3.5633040935672509E-2</v>
      </c>
      <c r="ED227" s="5"/>
      <c r="EE227" s="150">
        <f t="shared" si="716"/>
        <v>9.1433035605299695E-2</v>
      </c>
      <c r="EF227" s="150">
        <f t="shared" si="717"/>
        <v>0.57006432385594286</v>
      </c>
      <c r="EG227" s="150">
        <f t="shared" si="718"/>
        <v>0.1274261429795637</v>
      </c>
      <c r="EH227" s="150"/>
      <c r="EI227" s="456">
        <f t="shared" si="719"/>
        <v>1.6720000000000003E-4</v>
      </c>
      <c r="EJ227" s="456">
        <f t="shared" si="720"/>
        <v>0.16477560000000005</v>
      </c>
      <c r="EK227" s="456">
        <f t="shared" si="721"/>
        <v>1.5675000000000001E-2</v>
      </c>
      <c r="EL227" s="456">
        <f t="shared" si="722"/>
        <v>5.4128784600000021E-2</v>
      </c>
      <c r="EM227">
        <f t="shared" si="723"/>
        <v>2.7E-2</v>
      </c>
      <c r="EN227" s="144">
        <f t="shared" si="724"/>
        <v>42.675000000000004</v>
      </c>
      <c r="EP227" s="144">
        <f t="shared" si="725"/>
        <v>261.74658460000012</v>
      </c>
      <c r="EQ227" s="150">
        <f t="shared" si="726"/>
        <v>9.2399999999999996E-2</v>
      </c>
      <c r="ER227" s="150">
        <f t="shared" si="688"/>
        <v>1.2203124999999999E-2</v>
      </c>
      <c r="ES227" s="456"/>
      <c r="EU227" s="144">
        <f t="shared" si="727"/>
        <v>104.60312499999999</v>
      </c>
      <c r="EV227" s="456">
        <f t="shared" si="728"/>
        <v>2.5080000000000002E-4</v>
      </c>
      <c r="EW227" s="456">
        <f t="shared" si="729"/>
        <v>9.7491999999999978E-3</v>
      </c>
      <c r="EX227" s="456">
        <f t="shared" si="730"/>
        <v>8.1187109573241045E-5</v>
      </c>
      <c r="EY227" s="456">
        <f t="shared" si="731"/>
        <v>8.8046854559107046E-3</v>
      </c>
      <c r="EZ227" s="456"/>
      <c r="FA227" s="538">
        <f t="shared" si="732"/>
        <v>1.2540000000000001E-4</v>
      </c>
      <c r="FB227" s="144">
        <f t="shared" si="733"/>
        <v>19.011272565483942</v>
      </c>
      <c r="FC227" s="150">
        <f t="shared" si="734"/>
        <v>0.38536098216548403</v>
      </c>
      <c r="FD227" s="5">
        <f t="shared" si="735"/>
        <v>0.88</v>
      </c>
      <c r="FE227" s="150">
        <f t="shared" si="736"/>
        <v>0.69545371826939539</v>
      </c>
      <c r="FF227" s="5">
        <f t="shared" si="737"/>
        <v>69.545371826939544</v>
      </c>
      <c r="FG227">
        <f t="shared" si="738"/>
        <v>11.000000000000002</v>
      </c>
      <c r="FI227" s="59">
        <f t="shared" si="689"/>
        <v>-50</v>
      </c>
    </row>
    <row r="228" spans="5:165">
      <c r="E228" s="147">
        <v>12</v>
      </c>
      <c r="F228" s="188">
        <f t="shared" si="690"/>
        <v>0.14399999999999999</v>
      </c>
      <c r="G228" s="188">
        <f t="shared" si="617"/>
        <v>0.03</v>
      </c>
      <c r="H228" s="188">
        <f t="shared" si="618"/>
        <v>0.72</v>
      </c>
      <c r="I228" s="188">
        <f t="shared" si="619"/>
        <v>0.24</v>
      </c>
      <c r="J228" s="465">
        <f t="shared" si="620"/>
        <v>59.963066902949564</v>
      </c>
      <c r="K228" s="379">
        <f t="shared" si="621"/>
        <v>5.7140487871737253</v>
      </c>
      <c r="L228" s="149">
        <f t="shared" si="622"/>
        <v>65.677115690123287</v>
      </c>
      <c r="M228" s="379"/>
      <c r="N228" s="188">
        <f t="shared" si="623"/>
        <v>8.7002127409700189E-2</v>
      </c>
      <c r="O228" s="149">
        <f t="shared" si="624"/>
        <v>9.7817144748127411</v>
      </c>
      <c r="P228" s="149">
        <f t="shared" si="625"/>
        <v>4.3474286554723287</v>
      </c>
      <c r="Q228" s="188">
        <f t="shared" si="626"/>
        <v>1.9563428949625483</v>
      </c>
      <c r="R228" s="188">
        <f t="shared" si="627"/>
        <v>1.2227143093515926</v>
      </c>
      <c r="S228" s="188">
        <f t="shared" si="628"/>
        <v>5</v>
      </c>
      <c r="T228" s="188">
        <f t="shared" si="629"/>
        <v>0.36803364167598213</v>
      </c>
      <c r="U228" s="188">
        <f t="shared" si="630"/>
        <v>7.3652064982929422E-2</v>
      </c>
      <c r="V228" s="188">
        <f t="shared" si="631"/>
        <v>0.77290269380010324</v>
      </c>
      <c r="W228" s="172">
        <f t="shared" si="632"/>
        <v>350</v>
      </c>
      <c r="X228" s="379">
        <f t="shared" si="691"/>
        <v>350</v>
      </c>
      <c r="Z228" s="188">
        <f t="shared" si="633"/>
        <v>1.2421224729920939</v>
      </c>
      <c r="AA228" s="150">
        <f t="shared" si="634"/>
        <v>2.6085653502579995</v>
      </c>
      <c r="AB228" s="150">
        <f t="shared" si="635"/>
        <v>0.42527069075189394</v>
      </c>
      <c r="AC228" s="150"/>
      <c r="AD228" s="150">
        <f t="shared" si="636"/>
        <v>2.1000870743239526</v>
      </c>
      <c r="AE228" s="314">
        <f t="shared" si="637"/>
        <v>137.13717089216942</v>
      </c>
      <c r="AF228" s="456">
        <f t="shared" si="638"/>
        <v>0.36751523800669172</v>
      </c>
      <c r="AH228" s="150">
        <f t="shared" si="639"/>
        <v>0.67612340378281321</v>
      </c>
      <c r="AI228" s="150">
        <f t="shared" si="640"/>
        <v>1</v>
      </c>
      <c r="AJ228" s="150">
        <f t="shared" si="641"/>
        <v>1.0783640976526683</v>
      </c>
      <c r="AL228" s="314">
        <f t="shared" si="642"/>
        <v>144</v>
      </c>
      <c r="AM228" s="144">
        <f t="shared" si="643"/>
        <v>137.13717089216942</v>
      </c>
      <c r="AO228">
        <f t="shared" si="644"/>
        <v>144</v>
      </c>
      <c r="AP228">
        <f t="shared" si="645"/>
        <v>137.13717089216942</v>
      </c>
      <c r="AR228" s="5">
        <f t="shared" si="616"/>
        <v>7.2919690080692803</v>
      </c>
      <c r="AS228" s="5">
        <f t="shared" si="604"/>
        <v>0.20012318615093594</v>
      </c>
      <c r="AT228" s="5">
        <f t="shared" si="605"/>
        <v>7.0918458219183442</v>
      </c>
      <c r="AU228" s="150">
        <f t="shared" si="606"/>
        <v>2.7444327578666335E-2</v>
      </c>
      <c r="BA228" s="150">
        <f t="shared" si="692"/>
        <v>9.5645748430804686E-2</v>
      </c>
      <c r="BB228" s="150">
        <f t="shared" si="693"/>
        <v>0.56937265840611329</v>
      </c>
      <c r="BC228" s="150">
        <f t="shared" si="694"/>
        <v>0.12727153540842534</v>
      </c>
      <c r="BD228" s="150"/>
      <c r="BE228" s="456">
        <f t="shared" si="695"/>
        <v>1.8296218385777555E-4</v>
      </c>
      <c r="BF228" s="456">
        <f t="shared" si="646"/>
        <v>0.16887700946439785</v>
      </c>
      <c r="BG228" s="456">
        <f t="shared" si="647"/>
        <v>0.20557913382720958</v>
      </c>
      <c r="BH228" s="456">
        <f t="shared" si="696"/>
        <v>5.9153892735974954E-2</v>
      </c>
      <c r="BI228">
        <f t="shared" si="697"/>
        <v>2.6983380106327302E-2</v>
      </c>
      <c r="BJ228" s="144">
        <f t="shared" si="698"/>
        <v>232.56251393353688</v>
      </c>
      <c r="BK228">
        <f t="shared" si="648"/>
        <v>0.22827318762362769</v>
      </c>
      <c r="BL228" s="144">
        <f t="shared" si="699"/>
        <v>460.77637831776741</v>
      </c>
      <c r="BM228" s="150">
        <f t="shared" si="649"/>
        <v>8.9459999999999984E-2</v>
      </c>
      <c r="BN228" s="150">
        <f t="shared" si="650"/>
        <v>1.33125E-2</v>
      </c>
      <c r="BQ228" s="144">
        <f t="shared" si="700"/>
        <v>102.77249999999999</v>
      </c>
      <c r="BR228" s="456">
        <f t="shared" si="701"/>
        <v>2.7444327578666334E-4</v>
      </c>
      <c r="BS228" s="456">
        <f t="shared" si="702"/>
        <v>9.7255567242133367E-3</v>
      </c>
      <c r="BT228" s="456">
        <f t="shared" si="703"/>
        <v>8.0990218626090331E-5</v>
      </c>
      <c r="BU228" s="456">
        <f t="shared" si="704"/>
        <v>1.1011791224804675E-2</v>
      </c>
      <c r="BV228" s="456"/>
      <c r="BW228" s="538">
        <f t="shared" si="705"/>
        <v>1.3713717089216943E-4</v>
      </c>
      <c r="BX228" s="144">
        <f t="shared" si="706"/>
        <v>21.229918614322937</v>
      </c>
      <c r="BY228" s="150">
        <f t="shared" si="707"/>
        <v>0.58477879693209023</v>
      </c>
      <c r="BZ228" s="5">
        <f t="shared" si="708"/>
        <v>0.96</v>
      </c>
      <c r="CA228" s="150">
        <f t="shared" si="709"/>
        <v>0.62144819821876573</v>
      </c>
      <c r="CB228" s="5">
        <f t="shared" si="710"/>
        <v>62.144819821876574</v>
      </c>
      <c r="CC228">
        <f t="shared" si="711"/>
        <v>12</v>
      </c>
      <c r="CE228" s="59">
        <f t="shared" si="651"/>
        <v>-50</v>
      </c>
      <c r="CG228" s="150">
        <f t="shared" si="652"/>
        <v>0.30749985365850174</v>
      </c>
      <c r="CH228" s="150">
        <f t="shared" si="653"/>
        <v>0.16546584955337779</v>
      </c>
      <c r="CI228" s="147">
        <v>12</v>
      </c>
      <c r="CJ228" s="188">
        <f t="shared" si="712"/>
        <v>0.14399999999999999</v>
      </c>
      <c r="CK228" s="188">
        <f t="shared" si="654"/>
        <v>0.03</v>
      </c>
      <c r="CL228" s="188">
        <f t="shared" si="655"/>
        <v>0.72</v>
      </c>
      <c r="CM228" s="188">
        <f t="shared" si="656"/>
        <v>0.24</v>
      </c>
      <c r="CN228" s="465">
        <f t="shared" si="657"/>
        <v>60</v>
      </c>
      <c r="CO228" s="379">
        <f t="shared" si="658"/>
        <v>5.7</v>
      </c>
      <c r="CP228" s="379">
        <f t="shared" si="659"/>
        <v>65.7</v>
      </c>
      <c r="CQ228" s="379"/>
      <c r="CR228" s="188">
        <f t="shared" si="660"/>
        <v>8.2568807339449546E-2</v>
      </c>
      <c r="CS228" s="149">
        <f t="shared" si="661"/>
        <v>9.2889908256880744</v>
      </c>
      <c r="CT228" s="149">
        <f t="shared" si="662"/>
        <v>4.1284403669724767</v>
      </c>
      <c r="CU228" s="188">
        <f t="shared" si="663"/>
        <v>1.857798165137615</v>
      </c>
      <c r="CV228" s="188">
        <f t="shared" si="664"/>
        <v>1.1611238532110093</v>
      </c>
      <c r="CW228" s="188">
        <f t="shared" si="665"/>
        <v>5</v>
      </c>
      <c r="CX228" s="188">
        <f t="shared" si="666"/>
        <v>0.38755555555555549</v>
      </c>
      <c r="CY228" s="188">
        <f t="shared" si="667"/>
        <v>7.75111111111111E-2</v>
      </c>
      <c r="CZ228" s="188">
        <f t="shared" si="668"/>
        <v>0.81590643274853791</v>
      </c>
      <c r="DA228" s="172">
        <f t="shared" si="669"/>
        <v>350</v>
      </c>
      <c r="DB228" s="379">
        <f t="shared" si="670"/>
        <v>350</v>
      </c>
      <c r="DD228" s="188">
        <f t="shared" si="671"/>
        <v>1.2393998695368558</v>
      </c>
      <c r="DE228" s="150">
        <f t="shared" si="672"/>
        <v>2.6092628832354858</v>
      </c>
      <c r="DF228" s="150">
        <f t="shared" si="673"/>
        <v>0.4244520101153616</v>
      </c>
      <c r="DG228" s="150"/>
      <c r="DH228" s="150">
        <f t="shared" si="674"/>
        <v>2.1052631578947367</v>
      </c>
      <c r="DI228" s="314">
        <f t="shared" si="675"/>
        <v>136.80000000000001</v>
      </c>
      <c r="DJ228" s="456">
        <f t="shared" si="676"/>
        <v>0.36842105263157893</v>
      </c>
      <c r="DL228" s="150">
        <f t="shared" si="677"/>
        <v>0.67612340378281321</v>
      </c>
      <c r="DM228" s="150">
        <f t="shared" si="678"/>
        <v>1</v>
      </c>
      <c r="DN228" s="150">
        <f t="shared" si="679"/>
        <v>1.0781714285714286</v>
      </c>
      <c r="DP228" s="314">
        <f t="shared" si="680"/>
        <v>144</v>
      </c>
      <c r="DQ228" s="144">
        <f t="shared" si="681"/>
        <v>136.80000000000001</v>
      </c>
      <c r="DS228">
        <f t="shared" si="682"/>
        <v>144</v>
      </c>
      <c r="DT228">
        <f t="shared" si="683"/>
        <v>136.80000000000001</v>
      </c>
      <c r="DV228" s="5">
        <f t="shared" si="684"/>
        <v>7.3099415204678362</v>
      </c>
      <c r="DW228" s="5">
        <f t="shared" si="685"/>
        <v>0.2</v>
      </c>
      <c r="DX228" s="5">
        <f t="shared" si="686"/>
        <v>7.109941520467836</v>
      </c>
      <c r="DY228" s="150">
        <f t="shared" si="687"/>
        <v>2.7360000000000002E-2</v>
      </c>
      <c r="EA228" s="5">
        <f t="shared" si="713"/>
        <v>0.57600000000000007</v>
      </c>
      <c r="EB228" s="5">
        <f t="shared" si="714"/>
        <v>7.5000000000000011E-2</v>
      </c>
      <c r="EC228" s="5">
        <f t="shared" si="715"/>
        <v>3.5549707602339171E-2</v>
      </c>
      <c r="ED228" s="5"/>
      <c r="EE228" s="150">
        <f t="shared" si="716"/>
        <v>9.5498691090506585E-2</v>
      </c>
      <c r="EF228" s="150">
        <f t="shared" si="717"/>
        <v>0.56939734222538596</v>
      </c>
      <c r="EG228" s="150">
        <f t="shared" si="718"/>
        <v>0.12727705296802744</v>
      </c>
      <c r="EH228" s="150"/>
      <c r="EI228" s="456">
        <f t="shared" si="719"/>
        <v>1.8240000000000004E-4</v>
      </c>
      <c r="EJ228" s="456">
        <f t="shared" si="720"/>
        <v>0.17975520000000003</v>
      </c>
      <c r="EK228" s="456">
        <f t="shared" si="721"/>
        <v>1.7100000000000001E-2</v>
      </c>
      <c r="EL228" s="456">
        <f t="shared" si="722"/>
        <v>5.9049583200000019E-2</v>
      </c>
      <c r="EM228">
        <f t="shared" si="723"/>
        <v>2.7E-2</v>
      </c>
      <c r="EN228" s="144">
        <f t="shared" si="724"/>
        <v>44.1</v>
      </c>
      <c r="EP228" s="144">
        <f t="shared" si="725"/>
        <v>283.08718320000008</v>
      </c>
      <c r="EQ228" s="150">
        <f t="shared" si="726"/>
        <v>0.10079999999999999</v>
      </c>
      <c r="ER228" s="150">
        <f t="shared" si="688"/>
        <v>1.33125E-2</v>
      </c>
      <c r="ES228" s="456"/>
      <c r="EU228" s="144">
        <f t="shared" si="727"/>
        <v>114.1125</v>
      </c>
      <c r="EV228" s="456">
        <f t="shared" si="728"/>
        <v>2.7360000000000004E-4</v>
      </c>
      <c r="EW228" s="456">
        <f t="shared" si="729"/>
        <v>9.7263999999999979E-3</v>
      </c>
      <c r="EX228" s="456">
        <f t="shared" si="730"/>
        <v>8.099724106113031E-5</v>
      </c>
      <c r="EY228" s="456">
        <f t="shared" si="731"/>
        <v>1.0944230915963879E-2</v>
      </c>
      <c r="EZ228" s="456"/>
      <c r="FA228" s="538">
        <f t="shared" si="732"/>
        <v>1.3680000000000002E-4</v>
      </c>
      <c r="FB228" s="144">
        <f t="shared" si="733"/>
        <v>21.162028157025006</v>
      </c>
      <c r="FC228" s="150">
        <f t="shared" si="734"/>
        <v>0.4183617113570251</v>
      </c>
      <c r="FD228" s="5">
        <f t="shared" si="735"/>
        <v>0.96</v>
      </c>
      <c r="FE228" s="150">
        <f t="shared" si="736"/>
        <v>0.69647900989273748</v>
      </c>
      <c r="FF228" s="5">
        <f t="shared" si="737"/>
        <v>69.647900989273751</v>
      </c>
      <c r="FG228">
        <f t="shared" si="738"/>
        <v>12</v>
      </c>
      <c r="FI228" s="59">
        <f t="shared" si="689"/>
        <v>-50</v>
      </c>
    </row>
    <row r="229" spans="5:165">
      <c r="E229" s="147">
        <v>13</v>
      </c>
      <c r="F229" s="188">
        <f t="shared" si="690"/>
        <v>0.156</v>
      </c>
      <c r="G229" s="188">
        <f t="shared" si="617"/>
        <v>3.2500000000000001E-2</v>
      </c>
      <c r="H229" s="188">
        <f t="shared" si="618"/>
        <v>0.78</v>
      </c>
      <c r="I229" s="188">
        <f t="shared" si="619"/>
        <v>0.26</v>
      </c>
      <c r="J229" s="465">
        <f t="shared" si="620"/>
        <v>59.963066902949564</v>
      </c>
      <c r="K229" s="379">
        <f t="shared" si="621"/>
        <v>5.7140487871737253</v>
      </c>
      <c r="L229" s="149">
        <f t="shared" si="622"/>
        <v>65.677115690123287</v>
      </c>
      <c r="M229" s="379"/>
      <c r="N229" s="188">
        <f t="shared" si="623"/>
        <v>8.7002127409700189E-2</v>
      </c>
      <c r="O229" s="149">
        <f t="shared" si="624"/>
        <v>9.7817144748127411</v>
      </c>
      <c r="P229" s="149">
        <f t="shared" si="625"/>
        <v>4.3474286554723287</v>
      </c>
      <c r="Q229" s="188">
        <f t="shared" si="626"/>
        <v>1.9563428949625483</v>
      </c>
      <c r="R229" s="188">
        <f t="shared" si="627"/>
        <v>1.2227143093515926</v>
      </c>
      <c r="S229" s="188">
        <f t="shared" si="628"/>
        <v>5</v>
      </c>
      <c r="T229" s="188">
        <f t="shared" si="629"/>
        <v>0.39870311181564738</v>
      </c>
      <c r="U229" s="188">
        <f t="shared" si="630"/>
        <v>7.978973706484023E-2</v>
      </c>
      <c r="V229" s="188">
        <f t="shared" si="631"/>
        <v>0.83731125161677877</v>
      </c>
      <c r="W229" s="172">
        <f t="shared" si="632"/>
        <v>350</v>
      </c>
      <c r="X229" s="379">
        <f t="shared" si="691"/>
        <v>350</v>
      </c>
      <c r="Z229" s="188">
        <f t="shared" si="633"/>
        <v>1.2421224729920939</v>
      </c>
      <c r="AA229" s="150">
        <f t="shared" si="634"/>
        <v>2.6085653502579995</v>
      </c>
      <c r="AB229" s="150">
        <f t="shared" si="635"/>
        <v>0.42527069075189394</v>
      </c>
      <c r="AC229" s="150"/>
      <c r="AD229" s="150">
        <f t="shared" si="636"/>
        <v>2.1000870743239526</v>
      </c>
      <c r="AE229" s="314">
        <f t="shared" si="637"/>
        <v>148.56526846651687</v>
      </c>
      <c r="AF229" s="456">
        <f t="shared" si="638"/>
        <v>0.36751523800669172</v>
      </c>
      <c r="AH229" s="150">
        <f t="shared" si="639"/>
        <v>0.70373155054899683</v>
      </c>
      <c r="AI229" s="150">
        <f t="shared" si="640"/>
        <v>1</v>
      </c>
      <c r="AJ229" s="150">
        <f t="shared" si="641"/>
        <v>1.0848944391237239</v>
      </c>
      <c r="AL229" s="314">
        <f t="shared" si="642"/>
        <v>156</v>
      </c>
      <c r="AM229" s="144">
        <f t="shared" si="643"/>
        <v>148.56526846651687</v>
      </c>
      <c r="AO229">
        <f t="shared" si="644"/>
        <v>156</v>
      </c>
      <c r="AP229">
        <f t="shared" si="645"/>
        <v>148.56526846651687</v>
      </c>
      <c r="AR229" s="5">
        <f t="shared" si="616"/>
        <v>6.7310483151408746</v>
      </c>
      <c r="AS229" s="5">
        <f t="shared" si="604"/>
        <v>0.20012318615093594</v>
      </c>
      <c r="AT229" s="5">
        <f t="shared" si="605"/>
        <v>6.5309251289899386</v>
      </c>
      <c r="AU229" s="150">
        <f t="shared" si="606"/>
        <v>2.9731354876888525E-2</v>
      </c>
      <c r="BA229" s="150">
        <f t="shared" si="692"/>
        <v>9.9551251250948672E-2</v>
      </c>
      <c r="BB229" s="150">
        <f t="shared" si="693"/>
        <v>0.56870280613665325</v>
      </c>
      <c r="BC229" s="150">
        <f t="shared" si="694"/>
        <v>0.12712180372466367</v>
      </c>
      <c r="BD229" s="150"/>
      <c r="BE229" s="456">
        <f t="shared" si="695"/>
        <v>1.9820903251259019E-4</v>
      </c>
      <c r="BF229" s="456">
        <f t="shared" si="646"/>
        <v>0.18295009358643097</v>
      </c>
      <c r="BG229" s="456">
        <f t="shared" si="647"/>
        <v>0.22271072831281036</v>
      </c>
      <c r="BH229" s="456">
        <f t="shared" si="696"/>
        <v>6.4083383797306201E-2</v>
      </c>
      <c r="BI229">
        <f t="shared" si="697"/>
        <v>2.6983380106327302E-2</v>
      </c>
      <c r="BJ229" s="144">
        <f t="shared" si="698"/>
        <v>249.69410841913768</v>
      </c>
      <c r="BK229">
        <f t="shared" si="648"/>
        <v>0.24729684916811409</v>
      </c>
      <c r="BL229" s="144">
        <f t="shared" si="699"/>
        <v>496.92579483538742</v>
      </c>
      <c r="BM229" s="150">
        <f t="shared" si="649"/>
        <v>9.6914999999999987E-2</v>
      </c>
      <c r="BN229" s="150">
        <f t="shared" si="650"/>
        <v>1.4421874999999999E-2</v>
      </c>
      <c r="BQ229" s="144">
        <f t="shared" si="700"/>
        <v>111.33687499999999</v>
      </c>
      <c r="BR229" s="456">
        <f t="shared" si="701"/>
        <v>2.9731354876888526E-4</v>
      </c>
      <c r="BS229" s="456">
        <f t="shared" si="702"/>
        <v>9.7026864512311153E-3</v>
      </c>
      <c r="BT229" s="456">
        <f t="shared" si="703"/>
        <v>8.0799764911059578E-5</v>
      </c>
      <c r="BU229" s="456">
        <f t="shared" si="704"/>
        <v>1.3451268278528892E-2</v>
      </c>
      <c r="BV229" s="456"/>
      <c r="BW229" s="538">
        <f t="shared" si="705"/>
        <v>1.4856526846651686E-4</v>
      </c>
      <c r="BX229" s="144">
        <f t="shared" si="706"/>
        <v>23.680633311906465</v>
      </c>
      <c r="BY229" s="150">
        <f t="shared" si="707"/>
        <v>0.63194330314729397</v>
      </c>
      <c r="BZ229" s="5">
        <f t="shared" si="708"/>
        <v>1.04</v>
      </c>
      <c r="CA229" s="150">
        <f t="shared" si="709"/>
        <v>0.62203066218949321</v>
      </c>
      <c r="CB229" s="5">
        <f t="shared" si="710"/>
        <v>62.203066218949324</v>
      </c>
      <c r="CC229">
        <f t="shared" si="711"/>
        <v>13</v>
      </c>
      <c r="CE229" s="59">
        <f t="shared" si="651"/>
        <v>-50</v>
      </c>
      <c r="CG229" s="150">
        <f t="shared" si="652"/>
        <v>0.3331248414633769</v>
      </c>
      <c r="CH229" s="150">
        <f t="shared" si="653"/>
        <v>0.17925467034949258</v>
      </c>
      <c r="CI229" s="147">
        <v>13</v>
      </c>
      <c r="CJ229" s="188">
        <f t="shared" si="712"/>
        <v>0.156</v>
      </c>
      <c r="CK229" s="188">
        <f t="shared" si="654"/>
        <v>3.2500000000000001E-2</v>
      </c>
      <c r="CL229" s="188">
        <f t="shared" si="655"/>
        <v>0.78</v>
      </c>
      <c r="CM229" s="188">
        <f t="shared" si="656"/>
        <v>0.26</v>
      </c>
      <c r="CN229" s="465">
        <f t="shared" si="657"/>
        <v>60</v>
      </c>
      <c r="CO229" s="379">
        <f t="shared" si="658"/>
        <v>5.7</v>
      </c>
      <c r="CP229" s="379">
        <f t="shared" si="659"/>
        <v>65.7</v>
      </c>
      <c r="CQ229" s="379"/>
      <c r="CR229" s="188">
        <f t="shared" si="660"/>
        <v>8.2568807339449546E-2</v>
      </c>
      <c r="CS229" s="149">
        <f t="shared" si="661"/>
        <v>9.2889908256880744</v>
      </c>
      <c r="CT229" s="149">
        <f t="shared" si="662"/>
        <v>4.1284403669724767</v>
      </c>
      <c r="CU229" s="188">
        <f t="shared" si="663"/>
        <v>1.857798165137615</v>
      </c>
      <c r="CV229" s="188">
        <f t="shared" si="664"/>
        <v>1.1611238532110093</v>
      </c>
      <c r="CW229" s="188">
        <f t="shared" si="665"/>
        <v>5</v>
      </c>
      <c r="CX229" s="188">
        <f t="shared" si="666"/>
        <v>0.41985185185185181</v>
      </c>
      <c r="CY229" s="188">
        <f t="shared" si="667"/>
        <v>8.3970370370370348E-2</v>
      </c>
      <c r="CZ229" s="188">
        <f t="shared" si="668"/>
        <v>0.88389863547758263</v>
      </c>
      <c r="DA229" s="172">
        <f t="shared" si="669"/>
        <v>350</v>
      </c>
      <c r="DB229" s="379">
        <f t="shared" si="670"/>
        <v>350</v>
      </c>
      <c r="DD229" s="188">
        <f t="shared" si="671"/>
        <v>1.2393998695368558</v>
      </c>
      <c r="DE229" s="150">
        <f t="shared" si="672"/>
        <v>2.6092628832354858</v>
      </c>
      <c r="DF229" s="150">
        <f t="shared" si="673"/>
        <v>0.4244520101153616</v>
      </c>
      <c r="DG229" s="150"/>
      <c r="DH229" s="150">
        <f t="shared" si="674"/>
        <v>2.1052631578947367</v>
      </c>
      <c r="DI229" s="314">
        <f t="shared" si="675"/>
        <v>148.19999999999999</v>
      </c>
      <c r="DJ229" s="456">
        <f t="shared" si="676"/>
        <v>0.36842105263157893</v>
      </c>
      <c r="DL229" s="150">
        <f t="shared" si="677"/>
        <v>0.70373155054899683</v>
      </c>
      <c r="DM229" s="150">
        <f t="shared" si="678"/>
        <v>1</v>
      </c>
      <c r="DN229" s="150">
        <f t="shared" si="679"/>
        <v>1.0846857142857143</v>
      </c>
      <c r="DP229" s="314">
        <f t="shared" si="680"/>
        <v>156</v>
      </c>
      <c r="DQ229" s="144">
        <f t="shared" si="681"/>
        <v>148.19999999999999</v>
      </c>
      <c r="DS229">
        <f t="shared" si="682"/>
        <v>156</v>
      </c>
      <c r="DT229">
        <f t="shared" si="683"/>
        <v>148.19999999999999</v>
      </c>
      <c r="DV229" s="5">
        <f t="shared" si="684"/>
        <v>6.7476383265856956</v>
      </c>
      <c r="DW229" s="5">
        <f t="shared" si="685"/>
        <v>0.2</v>
      </c>
      <c r="DX229" s="5">
        <f t="shared" si="686"/>
        <v>6.5476383265856954</v>
      </c>
      <c r="DY229" s="150">
        <f t="shared" si="687"/>
        <v>2.964E-2</v>
      </c>
      <c r="EA229" s="5">
        <f t="shared" si="713"/>
        <v>0.624</v>
      </c>
      <c r="EB229" s="5">
        <f t="shared" si="714"/>
        <v>8.1250000000000017E-2</v>
      </c>
      <c r="EC229" s="5">
        <f t="shared" si="715"/>
        <v>3.5466374269005847E-2</v>
      </c>
      <c r="ED229" s="5"/>
      <c r="EE229" s="150">
        <f t="shared" si="716"/>
        <v>9.9398189118313413E-2</v>
      </c>
      <c r="EF229" s="150">
        <f t="shared" si="717"/>
        <v>0.56872957838794824</v>
      </c>
      <c r="EG229" s="150">
        <f t="shared" si="718"/>
        <v>0.12712778811024725</v>
      </c>
      <c r="EH229" s="150"/>
      <c r="EI229" s="456">
        <f t="shared" si="719"/>
        <v>1.9759999999999998E-4</v>
      </c>
      <c r="EJ229" s="456">
        <f t="shared" si="720"/>
        <v>0.19473480000000001</v>
      </c>
      <c r="EK229" s="456">
        <f t="shared" si="721"/>
        <v>1.8524999999999996E-2</v>
      </c>
      <c r="EL229" s="456">
        <f t="shared" si="722"/>
        <v>6.3970381800000004E-2</v>
      </c>
      <c r="EM229">
        <f t="shared" si="723"/>
        <v>2.7E-2</v>
      </c>
      <c r="EN229" s="144">
        <f t="shared" si="724"/>
        <v>45.524999999999999</v>
      </c>
      <c r="EP229" s="144">
        <f t="shared" si="725"/>
        <v>304.42778179999999</v>
      </c>
      <c r="EQ229" s="150">
        <f t="shared" si="726"/>
        <v>0.10919999999999999</v>
      </c>
      <c r="ER229" s="150">
        <f t="shared" si="688"/>
        <v>1.4421874999999999E-2</v>
      </c>
      <c r="ES229" s="456"/>
      <c r="EU229" s="144">
        <f t="shared" si="727"/>
        <v>123.62187499999999</v>
      </c>
      <c r="EV229" s="456">
        <f t="shared" si="728"/>
        <v>2.9639999999999994E-4</v>
      </c>
      <c r="EW229" s="456">
        <f t="shared" si="729"/>
        <v>9.7036000000000015E-3</v>
      </c>
      <c r="EX229" s="456">
        <f t="shared" si="730"/>
        <v>8.0807372549019602E-5</v>
      </c>
      <c r="EY229" s="456">
        <f t="shared" si="731"/>
        <v>1.3368741120081589E-2</v>
      </c>
      <c r="EZ229" s="456"/>
      <c r="FA229" s="538">
        <f t="shared" si="732"/>
        <v>1.482E-4</v>
      </c>
      <c r="FB229" s="144">
        <f t="shared" si="733"/>
        <v>23.597748492630611</v>
      </c>
      <c r="FC229" s="150">
        <f t="shared" si="734"/>
        <v>0.45164740529263053</v>
      </c>
      <c r="FD229" s="5">
        <f t="shared" si="735"/>
        <v>1.04</v>
      </c>
      <c r="FE229" s="150">
        <f t="shared" si="736"/>
        <v>0.69721570681509248</v>
      </c>
      <c r="FF229" s="5">
        <f t="shared" si="737"/>
        <v>69.721570681509249</v>
      </c>
      <c r="FG229">
        <f t="shared" si="738"/>
        <v>13</v>
      </c>
      <c r="FI229" s="59">
        <f t="shared" si="689"/>
        <v>-50</v>
      </c>
    </row>
    <row r="230" spans="5:165">
      <c r="E230" s="147">
        <v>14</v>
      </c>
      <c r="F230" s="188">
        <f t="shared" si="690"/>
        <v>0.16800000000000001</v>
      </c>
      <c r="G230" s="188">
        <f t="shared" si="617"/>
        <v>3.5000000000000003E-2</v>
      </c>
      <c r="H230" s="188">
        <f t="shared" si="618"/>
        <v>0.84000000000000008</v>
      </c>
      <c r="I230" s="188">
        <f t="shared" si="619"/>
        <v>0.28000000000000003</v>
      </c>
      <c r="J230" s="465">
        <f t="shared" si="620"/>
        <v>59.963066902949564</v>
      </c>
      <c r="K230" s="379">
        <f t="shared" si="621"/>
        <v>5.7140487871737253</v>
      </c>
      <c r="L230" s="149">
        <f t="shared" si="622"/>
        <v>65.677115690123287</v>
      </c>
      <c r="M230" s="379"/>
      <c r="N230" s="188">
        <f t="shared" si="623"/>
        <v>8.7002127409700189E-2</v>
      </c>
      <c r="O230" s="149">
        <f t="shared" si="624"/>
        <v>9.7817144748127411</v>
      </c>
      <c r="P230" s="149">
        <f t="shared" si="625"/>
        <v>4.3474286554723287</v>
      </c>
      <c r="Q230" s="188">
        <f t="shared" si="626"/>
        <v>1.9563428949625483</v>
      </c>
      <c r="R230" s="188">
        <f t="shared" si="627"/>
        <v>1.2227143093515926</v>
      </c>
      <c r="S230" s="188">
        <f t="shared" si="628"/>
        <v>5</v>
      </c>
      <c r="T230" s="188">
        <f t="shared" si="629"/>
        <v>0.42937258195531258</v>
      </c>
      <c r="U230" s="188">
        <f t="shared" si="630"/>
        <v>8.592740914675101E-2</v>
      </c>
      <c r="V230" s="188">
        <f t="shared" si="631"/>
        <v>0.90171980943345409</v>
      </c>
      <c r="W230" s="172">
        <f t="shared" si="632"/>
        <v>350</v>
      </c>
      <c r="X230" s="379">
        <f t="shared" si="691"/>
        <v>350</v>
      </c>
      <c r="Z230" s="188">
        <f t="shared" si="633"/>
        <v>1.2421224729920939</v>
      </c>
      <c r="AA230" s="150">
        <f t="shared" si="634"/>
        <v>2.6085653502579995</v>
      </c>
      <c r="AB230" s="150">
        <f t="shared" si="635"/>
        <v>0.42527069075189394</v>
      </c>
      <c r="AC230" s="150"/>
      <c r="AD230" s="150">
        <f t="shared" si="636"/>
        <v>2.1000870743239526</v>
      </c>
      <c r="AE230" s="314">
        <f t="shared" si="637"/>
        <v>159.99336604086432</v>
      </c>
      <c r="AF230" s="456">
        <f t="shared" si="638"/>
        <v>0.36751523800669172</v>
      </c>
      <c r="AH230" s="150">
        <f t="shared" si="639"/>
        <v>0.73029674334022143</v>
      </c>
      <c r="AI230" s="150">
        <f t="shared" si="640"/>
        <v>1</v>
      </c>
      <c r="AJ230" s="150">
        <f t="shared" si="641"/>
        <v>1.0914247805947797</v>
      </c>
      <c r="AL230" s="314">
        <f t="shared" si="642"/>
        <v>168</v>
      </c>
      <c r="AM230" s="144">
        <f t="shared" si="643"/>
        <v>159.99336604086432</v>
      </c>
      <c r="AO230">
        <f t="shared" si="644"/>
        <v>168</v>
      </c>
      <c r="AP230">
        <f t="shared" si="645"/>
        <v>159.99336604086432</v>
      </c>
      <c r="AR230" s="5">
        <f t="shared" si="616"/>
        <v>6.2502591497736697</v>
      </c>
      <c r="AS230" s="5">
        <f t="shared" si="604"/>
        <v>0.20012318615093594</v>
      </c>
      <c r="AT230" s="5">
        <f t="shared" si="605"/>
        <v>6.0501359636227336</v>
      </c>
      <c r="AU230" s="150">
        <f t="shared" si="606"/>
        <v>3.2018382175110716E-2</v>
      </c>
      <c r="BA230" s="150">
        <f t="shared" si="692"/>
        <v>0.1033092157475326</v>
      </c>
      <c r="BB230" s="150">
        <f t="shared" si="693"/>
        <v>0.56803216394405265</v>
      </c>
      <c r="BC230" s="150">
        <f t="shared" si="694"/>
        <v>0.12697189546984705</v>
      </c>
      <c r="BD230" s="150"/>
      <c r="BE230" s="456">
        <f t="shared" si="695"/>
        <v>2.1345588116740478E-4</v>
      </c>
      <c r="BF230" s="456">
        <f t="shared" si="646"/>
        <v>0.19702317770846414</v>
      </c>
      <c r="BG230" s="456">
        <f t="shared" si="647"/>
        <v>0.23984232279841114</v>
      </c>
      <c r="BH230" s="456">
        <f t="shared" si="696"/>
        <v>6.9012874858637455E-2</v>
      </c>
      <c r="BI230">
        <f t="shared" si="697"/>
        <v>2.6983380106327302E-2</v>
      </c>
      <c r="BJ230" s="144">
        <f t="shared" si="698"/>
        <v>266.82570290473842</v>
      </c>
      <c r="BK230">
        <f t="shared" si="648"/>
        <v>0.26632064855177368</v>
      </c>
      <c r="BL230" s="144">
        <f t="shared" si="699"/>
        <v>533.07521135300749</v>
      </c>
      <c r="BM230" s="150">
        <f t="shared" si="649"/>
        <v>0.10436999999999999</v>
      </c>
      <c r="BN230" s="150">
        <f t="shared" si="650"/>
        <v>1.553125E-2</v>
      </c>
      <c r="BQ230" s="144">
        <f t="shared" si="700"/>
        <v>119.90124999999999</v>
      </c>
      <c r="BR230" s="456">
        <f t="shared" si="701"/>
        <v>3.2018382175110714E-4</v>
      </c>
      <c r="BS230" s="456">
        <f t="shared" si="702"/>
        <v>9.6798161782488939E-3</v>
      </c>
      <c r="BT230" s="456">
        <f t="shared" si="703"/>
        <v>8.0609311196028839E-5</v>
      </c>
      <c r="BU230" s="456">
        <f t="shared" si="704"/>
        <v>1.6189183398588627E-2</v>
      </c>
      <c r="BV230" s="456"/>
      <c r="BW230" s="538">
        <f t="shared" si="705"/>
        <v>1.5999336604086432E-4</v>
      </c>
      <c r="BX230" s="144">
        <f t="shared" si="706"/>
        <v>26.429786075825518</v>
      </c>
      <c r="BY230" s="150">
        <f t="shared" si="707"/>
        <v>0.67940624742883304</v>
      </c>
      <c r="BZ230" s="5">
        <f t="shared" si="708"/>
        <v>1.1200000000000001</v>
      </c>
      <c r="CA230" s="150">
        <f t="shared" si="709"/>
        <v>0.62242753775050252</v>
      </c>
      <c r="CB230" s="5">
        <f t="shared" si="710"/>
        <v>62.242753775050254</v>
      </c>
      <c r="CC230">
        <f t="shared" si="711"/>
        <v>14.000000000000002</v>
      </c>
      <c r="CE230" s="59">
        <f t="shared" si="651"/>
        <v>-50</v>
      </c>
      <c r="CG230" s="150">
        <f t="shared" si="652"/>
        <v>0.35874982926825216</v>
      </c>
      <c r="CH230" s="150">
        <f t="shared" si="653"/>
        <v>0.19304349114560743</v>
      </c>
      <c r="CI230" s="147">
        <v>14</v>
      </c>
      <c r="CJ230" s="188">
        <f t="shared" si="712"/>
        <v>0.16800000000000001</v>
      </c>
      <c r="CK230" s="188">
        <f t="shared" si="654"/>
        <v>3.5000000000000003E-2</v>
      </c>
      <c r="CL230" s="188">
        <f t="shared" si="655"/>
        <v>0.84000000000000008</v>
      </c>
      <c r="CM230" s="188">
        <f t="shared" si="656"/>
        <v>0.28000000000000003</v>
      </c>
      <c r="CN230" s="465">
        <f t="shared" si="657"/>
        <v>60</v>
      </c>
      <c r="CO230" s="379">
        <f t="shared" si="658"/>
        <v>5.7</v>
      </c>
      <c r="CP230" s="379">
        <f t="shared" si="659"/>
        <v>65.7</v>
      </c>
      <c r="CQ230" s="379"/>
      <c r="CR230" s="188">
        <f t="shared" si="660"/>
        <v>8.2568807339449546E-2</v>
      </c>
      <c r="CS230" s="149">
        <f t="shared" si="661"/>
        <v>9.2889908256880744</v>
      </c>
      <c r="CT230" s="149">
        <f t="shared" si="662"/>
        <v>4.1284403669724767</v>
      </c>
      <c r="CU230" s="188">
        <f t="shared" si="663"/>
        <v>1.857798165137615</v>
      </c>
      <c r="CV230" s="188">
        <f t="shared" si="664"/>
        <v>1.1611238532110093</v>
      </c>
      <c r="CW230" s="188">
        <f t="shared" si="665"/>
        <v>5</v>
      </c>
      <c r="CX230" s="188">
        <f t="shared" si="666"/>
        <v>0.45214814814814813</v>
      </c>
      <c r="CY230" s="188">
        <f t="shared" si="667"/>
        <v>9.0429629629629638E-2</v>
      </c>
      <c r="CZ230" s="188">
        <f t="shared" si="668"/>
        <v>0.95189083820662757</v>
      </c>
      <c r="DA230" s="172">
        <f t="shared" si="669"/>
        <v>350</v>
      </c>
      <c r="DB230" s="379">
        <f t="shared" si="670"/>
        <v>350</v>
      </c>
      <c r="DD230" s="188">
        <f t="shared" si="671"/>
        <v>1.2393998695368558</v>
      </c>
      <c r="DE230" s="150">
        <f t="shared" si="672"/>
        <v>2.6092628832354858</v>
      </c>
      <c r="DF230" s="150">
        <f t="shared" si="673"/>
        <v>0.4244520101153616</v>
      </c>
      <c r="DG230" s="150"/>
      <c r="DH230" s="150">
        <f t="shared" si="674"/>
        <v>2.1052631578947367</v>
      </c>
      <c r="DI230" s="314">
        <f t="shared" si="675"/>
        <v>159.60000000000002</v>
      </c>
      <c r="DJ230" s="456">
        <f t="shared" si="676"/>
        <v>0.36842105263157893</v>
      </c>
      <c r="DL230" s="150">
        <f t="shared" si="677"/>
        <v>0.73029674334022143</v>
      </c>
      <c r="DM230" s="150">
        <f t="shared" si="678"/>
        <v>1</v>
      </c>
      <c r="DN230" s="150">
        <f t="shared" si="679"/>
        <v>1.0911999999999999</v>
      </c>
      <c r="DP230" s="314">
        <f t="shared" si="680"/>
        <v>168</v>
      </c>
      <c r="DQ230" s="144">
        <f t="shared" si="681"/>
        <v>159.60000000000002</v>
      </c>
      <c r="DS230">
        <f t="shared" si="682"/>
        <v>168</v>
      </c>
      <c r="DT230">
        <f t="shared" si="683"/>
        <v>159.60000000000002</v>
      </c>
      <c r="DV230" s="5">
        <f t="shared" si="684"/>
        <v>6.265664160401001</v>
      </c>
      <c r="DW230" s="5">
        <f t="shared" si="685"/>
        <v>0.2</v>
      </c>
      <c r="DX230" s="5">
        <f t="shared" si="686"/>
        <v>6.0656641604010009</v>
      </c>
      <c r="DY230" s="150">
        <f t="shared" si="687"/>
        <v>3.1920000000000011E-2</v>
      </c>
      <c r="EA230" s="5">
        <f t="shared" si="713"/>
        <v>0.67200000000000004</v>
      </c>
      <c r="EB230" s="5">
        <f t="shared" si="714"/>
        <v>8.7500000000000008E-2</v>
      </c>
      <c r="EC230" s="5">
        <f t="shared" si="715"/>
        <v>3.5383040935672502E-2</v>
      </c>
      <c r="ED230" s="5"/>
      <c r="EE230" s="150">
        <f t="shared" si="716"/>
        <v>0.10315037566582103</v>
      </c>
      <c r="EF230" s="150">
        <f t="shared" si="717"/>
        <v>0.5680610295851436</v>
      </c>
      <c r="EG230" s="150">
        <f t="shared" si="718"/>
        <v>0.12697834778962033</v>
      </c>
      <c r="EH230" s="150"/>
      <c r="EI230" s="456">
        <f t="shared" si="719"/>
        <v>2.1280000000000005E-4</v>
      </c>
      <c r="EJ230" s="456">
        <f t="shared" si="720"/>
        <v>0.20971440000000005</v>
      </c>
      <c r="EK230" s="456">
        <f t="shared" si="721"/>
        <v>1.9949999999999999E-2</v>
      </c>
      <c r="EL230" s="456">
        <f t="shared" si="722"/>
        <v>6.8891180400000016E-2</v>
      </c>
      <c r="EM230">
        <f t="shared" si="723"/>
        <v>2.7E-2</v>
      </c>
      <c r="EN230" s="144">
        <f t="shared" si="724"/>
        <v>46.949999999999996</v>
      </c>
      <c r="EP230" s="144">
        <f t="shared" si="725"/>
        <v>325.76838040000013</v>
      </c>
      <c r="EQ230" s="150">
        <f t="shared" si="726"/>
        <v>0.1176</v>
      </c>
      <c r="ER230" s="150">
        <f t="shared" si="688"/>
        <v>1.553125E-2</v>
      </c>
      <c r="ES230" s="456"/>
      <c r="EU230" s="144">
        <f t="shared" si="727"/>
        <v>133.13124999999999</v>
      </c>
      <c r="EV230" s="456">
        <f t="shared" si="728"/>
        <v>3.1920000000000006E-4</v>
      </c>
      <c r="EW230" s="456">
        <f t="shared" si="729"/>
        <v>9.6808000000000016E-3</v>
      </c>
      <c r="EX230" s="456">
        <f t="shared" si="730"/>
        <v>8.0617504036908894E-5</v>
      </c>
      <c r="EY230" s="456">
        <f t="shared" si="731"/>
        <v>1.6089858392514665E-2</v>
      </c>
      <c r="EZ230" s="456"/>
      <c r="FA230" s="538">
        <f t="shared" si="732"/>
        <v>1.5960000000000003E-4</v>
      </c>
      <c r="FB230" s="144">
        <f t="shared" si="733"/>
        <v>26.330075896551573</v>
      </c>
      <c r="FC230" s="150">
        <f t="shared" si="734"/>
        <v>0.48522970629655165</v>
      </c>
      <c r="FD230" s="5">
        <f t="shared" si="735"/>
        <v>1.1200000000000001</v>
      </c>
      <c r="FE230" s="150">
        <f t="shared" si="736"/>
        <v>0.69771945759960297</v>
      </c>
      <c r="FF230" s="5">
        <f t="shared" si="737"/>
        <v>69.771945759960303</v>
      </c>
      <c r="FG230">
        <f t="shared" si="738"/>
        <v>14.000000000000002</v>
      </c>
      <c r="FI230" s="59">
        <f t="shared" si="689"/>
        <v>-50</v>
      </c>
    </row>
    <row r="231" spans="5:165">
      <c r="E231" s="147">
        <v>15</v>
      </c>
      <c r="F231" s="188">
        <f t="shared" si="690"/>
        <v>0.18</v>
      </c>
      <c r="G231" s="188">
        <f t="shared" si="617"/>
        <v>3.7499999999999999E-2</v>
      </c>
      <c r="H231" s="188">
        <f t="shared" si="618"/>
        <v>0.89999999999999991</v>
      </c>
      <c r="I231" s="188">
        <f t="shared" si="619"/>
        <v>0.3</v>
      </c>
      <c r="J231" s="465">
        <f t="shared" si="620"/>
        <v>59.963066902949564</v>
      </c>
      <c r="K231" s="379">
        <f t="shared" si="621"/>
        <v>5.7140487871737253</v>
      </c>
      <c r="L231" s="149">
        <f t="shared" si="622"/>
        <v>65.677115690123287</v>
      </c>
      <c r="M231" s="379"/>
      <c r="N231" s="188">
        <f t="shared" si="623"/>
        <v>8.7002127409700189E-2</v>
      </c>
      <c r="O231" s="149">
        <f t="shared" si="624"/>
        <v>9.7817144748127411</v>
      </c>
      <c r="P231" s="149">
        <f t="shared" si="625"/>
        <v>4.3474286554723287</v>
      </c>
      <c r="Q231" s="188">
        <f t="shared" si="626"/>
        <v>1.9563428949625483</v>
      </c>
      <c r="R231" s="188">
        <f t="shared" si="627"/>
        <v>1.2227143093515926</v>
      </c>
      <c r="S231" s="188">
        <f t="shared" si="628"/>
        <v>5</v>
      </c>
      <c r="T231" s="188">
        <f t="shared" si="629"/>
        <v>0.46004205209497767</v>
      </c>
      <c r="U231" s="188">
        <f t="shared" si="630"/>
        <v>9.2065081228661791E-2</v>
      </c>
      <c r="V231" s="188">
        <f t="shared" si="631"/>
        <v>0.96612836725012929</v>
      </c>
      <c r="W231" s="172">
        <f t="shared" si="632"/>
        <v>350</v>
      </c>
      <c r="X231" s="379">
        <f t="shared" si="691"/>
        <v>350</v>
      </c>
      <c r="Z231" s="188">
        <f t="shared" si="633"/>
        <v>1.2421224729920939</v>
      </c>
      <c r="AA231" s="150">
        <f t="shared" si="634"/>
        <v>2.6085653502579995</v>
      </c>
      <c r="AB231" s="150">
        <f t="shared" si="635"/>
        <v>0.42527069075189394</v>
      </c>
      <c r="AC231" s="150"/>
      <c r="AD231" s="150">
        <f t="shared" si="636"/>
        <v>2.1000870743239526</v>
      </c>
      <c r="AE231" s="314">
        <f t="shared" si="637"/>
        <v>171.42146361521176</v>
      </c>
      <c r="AF231" s="456">
        <f t="shared" si="638"/>
        <v>0.36751523800669172</v>
      </c>
      <c r="AH231" s="150">
        <f t="shared" si="639"/>
        <v>0.7559289460184544</v>
      </c>
      <c r="AI231" s="150">
        <f t="shared" si="640"/>
        <v>1</v>
      </c>
      <c r="AJ231" s="150">
        <f t="shared" si="641"/>
        <v>1.0979551220658352</v>
      </c>
      <c r="AL231" s="314">
        <f t="shared" si="642"/>
        <v>180</v>
      </c>
      <c r="AM231" s="144">
        <f t="shared" si="643"/>
        <v>171.42146361521176</v>
      </c>
      <c r="AO231">
        <f t="shared" si="644"/>
        <v>180</v>
      </c>
      <c r="AP231">
        <f t="shared" si="645"/>
        <v>171.42146361521176</v>
      </c>
      <c r="AR231" s="5">
        <f t="shared" si="616"/>
        <v>5.8335752064554249</v>
      </c>
      <c r="AS231" s="5">
        <f t="shared" si="604"/>
        <v>0.20012318615093594</v>
      </c>
      <c r="AT231" s="5">
        <f t="shared" si="605"/>
        <v>5.6334520203044889</v>
      </c>
      <c r="AU231" s="150">
        <f t="shared" si="606"/>
        <v>3.4305409473332917E-2</v>
      </c>
      <c r="BA231" s="150">
        <f t="shared" si="692"/>
        <v>0.10693519762506155</v>
      </c>
      <c r="BB231" s="150">
        <f t="shared" si="693"/>
        <v>0.56736072902715284</v>
      </c>
      <c r="BC231" s="150">
        <f t="shared" si="694"/>
        <v>0.12682181001783416</v>
      </c>
      <c r="BD231" s="150"/>
      <c r="BE231" s="456">
        <f t="shared" si="695"/>
        <v>2.287027298222194E-4</v>
      </c>
      <c r="BF231" s="456">
        <f t="shared" si="646"/>
        <v>0.21109626183049729</v>
      </c>
      <c r="BG231" s="456">
        <f t="shared" si="647"/>
        <v>0.25697391728401198</v>
      </c>
      <c r="BH231" s="456">
        <f t="shared" si="696"/>
        <v>7.3942365919968681E-2</v>
      </c>
      <c r="BI231">
        <f t="shared" si="697"/>
        <v>2.6983380106327302E-2</v>
      </c>
      <c r="BJ231" s="144">
        <f t="shared" si="698"/>
        <v>283.95729739033925</v>
      </c>
      <c r="BK231">
        <f t="shared" si="648"/>
        <v>0.28534458577610416</v>
      </c>
      <c r="BL231" s="144">
        <f t="shared" si="699"/>
        <v>569.22462787062739</v>
      </c>
      <c r="BM231" s="150">
        <f t="shared" si="649"/>
        <v>0.11182499999999999</v>
      </c>
      <c r="BN231" s="150">
        <f t="shared" si="650"/>
        <v>1.6640624999999999E-2</v>
      </c>
      <c r="BQ231" s="144">
        <f t="shared" si="700"/>
        <v>128.46562499999999</v>
      </c>
      <c r="BR231" s="456">
        <f t="shared" si="701"/>
        <v>3.4305409473332906E-4</v>
      </c>
      <c r="BS231" s="456">
        <f t="shared" si="702"/>
        <v>9.6569459052666708E-3</v>
      </c>
      <c r="BT231" s="456">
        <f t="shared" si="703"/>
        <v>8.04188574809981E-5</v>
      </c>
      <c r="BU231" s="456">
        <f t="shared" si="704"/>
        <v>1.9236807603671021E-2</v>
      </c>
      <c r="BV231" s="456"/>
      <c r="BW231" s="538">
        <f t="shared" si="705"/>
        <v>1.7142146361521178E-4</v>
      </c>
      <c r="BX231" s="144">
        <f t="shared" si="706"/>
        <v>29.488647924767232</v>
      </c>
      <c r="BY231" s="150">
        <f t="shared" si="707"/>
        <v>0.7271789007953946</v>
      </c>
      <c r="BZ231" s="5">
        <f t="shared" si="708"/>
        <v>1.2</v>
      </c>
      <c r="CA231" s="150">
        <f t="shared" si="709"/>
        <v>0.62267182330853155</v>
      </c>
      <c r="CB231" s="5">
        <f t="shared" si="710"/>
        <v>62.267182330853153</v>
      </c>
      <c r="CC231">
        <f t="shared" si="711"/>
        <v>15</v>
      </c>
      <c r="CE231" s="59">
        <f t="shared" si="651"/>
        <v>-50</v>
      </c>
      <c r="CG231" s="150">
        <f t="shared" si="652"/>
        <v>0.38437481707312721</v>
      </c>
      <c r="CH231" s="150">
        <f t="shared" si="653"/>
        <v>0.20683231194172222</v>
      </c>
      <c r="CI231" s="147">
        <v>15</v>
      </c>
      <c r="CJ231" s="188">
        <f t="shared" si="712"/>
        <v>0.18</v>
      </c>
      <c r="CK231" s="188">
        <f t="shared" si="654"/>
        <v>3.7499999999999999E-2</v>
      </c>
      <c r="CL231" s="188">
        <f t="shared" si="655"/>
        <v>0.89999999999999991</v>
      </c>
      <c r="CM231" s="188">
        <f t="shared" si="656"/>
        <v>0.3</v>
      </c>
      <c r="CN231" s="465">
        <f t="shared" si="657"/>
        <v>60</v>
      </c>
      <c r="CO231" s="379">
        <f t="shared" si="658"/>
        <v>5.7</v>
      </c>
      <c r="CP231" s="379">
        <f t="shared" si="659"/>
        <v>65.7</v>
      </c>
      <c r="CQ231" s="379"/>
      <c r="CR231" s="188">
        <f t="shared" si="660"/>
        <v>8.2568807339449546E-2</v>
      </c>
      <c r="CS231" s="149">
        <f t="shared" si="661"/>
        <v>9.2889908256880744</v>
      </c>
      <c r="CT231" s="149">
        <f t="shared" si="662"/>
        <v>4.1284403669724767</v>
      </c>
      <c r="CU231" s="188">
        <f t="shared" si="663"/>
        <v>1.857798165137615</v>
      </c>
      <c r="CV231" s="188">
        <f t="shared" si="664"/>
        <v>1.1611238532110093</v>
      </c>
      <c r="CW231" s="188">
        <f t="shared" si="665"/>
        <v>5</v>
      </c>
      <c r="CX231" s="188">
        <f t="shared" si="666"/>
        <v>0.4844444444444444</v>
      </c>
      <c r="CY231" s="188">
        <f t="shared" si="667"/>
        <v>9.6888888888888886E-2</v>
      </c>
      <c r="CZ231" s="188">
        <f t="shared" si="668"/>
        <v>1.0198830409356725</v>
      </c>
      <c r="DA231" s="172">
        <f t="shared" si="669"/>
        <v>350</v>
      </c>
      <c r="DB231" s="379">
        <f t="shared" si="670"/>
        <v>350</v>
      </c>
      <c r="DD231" s="188">
        <f t="shared" si="671"/>
        <v>1.2393998695368558</v>
      </c>
      <c r="DE231" s="150">
        <f t="shared" si="672"/>
        <v>2.6092628832354858</v>
      </c>
      <c r="DF231" s="150">
        <f t="shared" si="673"/>
        <v>0.4244520101153616</v>
      </c>
      <c r="DG231" s="150"/>
      <c r="DH231" s="150">
        <f t="shared" si="674"/>
        <v>2.1052631578947367</v>
      </c>
      <c r="DI231" s="314">
        <f t="shared" si="675"/>
        <v>171</v>
      </c>
      <c r="DJ231" s="456">
        <f t="shared" si="676"/>
        <v>0.36842105263157893</v>
      </c>
      <c r="DL231" s="150">
        <f t="shared" si="677"/>
        <v>0.7559289460184544</v>
      </c>
      <c r="DM231" s="150">
        <f t="shared" si="678"/>
        <v>1</v>
      </c>
      <c r="DN231" s="150">
        <f t="shared" si="679"/>
        <v>1.0977142857142856</v>
      </c>
      <c r="DP231" s="314">
        <f t="shared" si="680"/>
        <v>180</v>
      </c>
      <c r="DQ231" s="144">
        <f t="shared" si="681"/>
        <v>171</v>
      </c>
      <c r="DS231">
        <f t="shared" si="682"/>
        <v>180</v>
      </c>
      <c r="DT231">
        <f t="shared" si="683"/>
        <v>171</v>
      </c>
      <c r="DV231" s="5">
        <f t="shared" si="684"/>
        <v>5.8479532163742682</v>
      </c>
      <c r="DW231" s="5">
        <f t="shared" si="685"/>
        <v>0.2</v>
      </c>
      <c r="DX231" s="5">
        <f t="shared" si="686"/>
        <v>5.6479532163742681</v>
      </c>
      <c r="DY231" s="150">
        <f t="shared" si="687"/>
        <v>3.4200000000000008E-2</v>
      </c>
      <c r="EA231" s="5">
        <f t="shared" si="713"/>
        <v>0.72</v>
      </c>
      <c r="EB231" s="5">
        <f t="shared" si="714"/>
        <v>9.375E-2</v>
      </c>
      <c r="EC231" s="5">
        <f t="shared" si="715"/>
        <v>3.5299707602339164E-2</v>
      </c>
      <c r="ED231" s="5"/>
      <c r="EE231" s="150">
        <f t="shared" si="716"/>
        <v>0.10677078252031312</v>
      </c>
      <c r="EF231" s="150">
        <f t="shared" si="717"/>
        <v>0.56739169304223458</v>
      </c>
      <c r="EG231" s="150">
        <f t="shared" si="718"/>
        <v>0.12682873138591128</v>
      </c>
      <c r="EH231" s="150"/>
      <c r="EI231" s="456">
        <f t="shared" si="719"/>
        <v>2.2800000000000004E-4</v>
      </c>
      <c r="EJ231" s="456">
        <f t="shared" si="720"/>
        <v>0.224694</v>
      </c>
      <c r="EK231" s="456">
        <f t="shared" si="721"/>
        <v>2.1374999999999998E-2</v>
      </c>
      <c r="EL231" s="456">
        <f t="shared" si="722"/>
        <v>7.3811979000000014E-2</v>
      </c>
      <c r="EM231">
        <f t="shared" si="723"/>
        <v>2.7E-2</v>
      </c>
      <c r="EN231" s="144">
        <f t="shared" si="724"/>
        <v>48.375</v>
      </c>
      <c r="EP231" s="144">
        <f t="shared" si="725"/>
        <v>347.10897900000003</v>
      </c>
      <c r="EQ231" s="150">
        <f t="shared" si="726"/>
        <v>0.126</v>
      </c>
      <c r="ER231" s="150">
        <f t="shared" si="688"/>
        <v>1.6640624999999999E-2</v>
      </c>
      <c r="ES231" s="456"/>
      <c r="EU231" s="144">
        <f t="shared" si="727"/>
        <v>142.640625</v>
      </c>
      <c r="EV231" s="456">
        <f t="shared" si="728"/>
        <v>3.4200000000000007E-4</v>
      </c>
      <c r="EW231" s="456">
        <f t="shared" si="729"/>
        <v>9.6579999999999999E-3</v>
      </c>
      <c r="EX231" s="456">
        <f t="shared" si="730"/>
        <v>8.0427635524798186E-5</v>
      </c>
      <c r="EY231" s="456">
        <f t="shared" si="731"/>
        <v>1.9118784601210945E-2</v>
      </c>
      <c r="EZ231" s="456"/>
      <c r="FA231" s="538">
        <f t="shared" si="732"/>
        <v>1.7100000000000001E-4</v>
      </c>
      <c r="FB231" s="144">
        <f t="shared" si="733"/>
        <v>29.370212236735746</v>
      </c>
      <c r="FC231" s="150">
        <f t="shared" si="734"/>
        <v>0.51911981623673586</v>
      </c>
      <c r="FD231" s="5">
        <f t="shared" si="735"/>
        <v>1.2</v>
      </c>
      <c r="FE231" s="150">
        <f t="shared" si="736"/>
        <v>0.69803162564135723</v>
      </c>
      <c r="FF231" s="5">
        <f t="shared" si="737"/>
        <v>69.803162564135718</v>
      </c>
      <c r="FG231">
        <f t="shared" si="738"/>
        <v>15</v>
      </c>
      <c r="FI231" s="59">
        <f t="shared" si="689"/>
        <v>-50</v>
      </c>
    </row>
    <row r="232" spans="5:165">
      <c r="E232" s="147">
        <v>16</v>
      </c>
      <c r="F232" s="188">
        <f t="shared" si="690"/>
        <v>0.192</v>
      </c>
      <c r="G232" s="188">
        <f t="shared" si="617"/>
        <v>0.04</v>
      </c>
      <c r="H232" s="188">
        <f t="shared" si="618"/>
        <v>0.96</v>
      </c>
      <c r="I232" s="188">
        <f t="shared" si="619"/>
        <v>0.32</v>
      </c>
      <c r="J232" s="465">
        <f t="shared" si="620"/>
        <v>59.963066902949564</v>
      </c>
      <c r="K232" s="379">
        <f t="shared" si="621"/>
        <v>5.7140487871737253</v>
      </c>
      <c r="L232" s="149">
        <f t="shared" si="622"/>
        <v>65.677115690123287</v>
      </c>
      <c r="M232" s="379"/>
      <c r="N232" s="188">
        <f t="shared" si="623"/>
        <v>8.7002127409700189E-2</v>
      </c>
      <c r="O232" s="149">
        <f t="shared" si="624"/>
        <v>9.7817144748127411</v>
      </c>
      <c r="P232" s="149">
        <f t="shared" si="625"/>
        <v>4.3474286554723287</v>
      </c>
      <c r="Q232" s="188">
        <f t="shared" si="626"/>
        <v>1.9563428949625483</v>
      </c>
      <c r="R232" s="188">
        <f t="shared" si="627"/>
        <v>1.2227143093515926</v>
      </c>
      <c r="S232" s="188">
        <f t="shared" si="628"/>
        <v>5</v>
      </c>
      <c r="T232" s="188">
        <f t="shared" si="629"/>
        <v>0.49071152223464287</v>
      </c>
      <c r="U232" s="188">
        <f t="shared" si="630"/>
        <v>9.8202753310572571E-2</v>
      </c>
      <c r="V232" s="188">
        <f t="shared" si="631"/>
        <v>1.0305369250668046</v>
      </c>
      <c r="W232" s="172">
        <f t="shared" si="632"/>
        <v>350</v>
      </c>
      <c r="X232" s="379">
        <f t="shared" si="691"/>
        <v>350</v>
      </c>
      <c r="Z232" s="188">
        <f t="shared" si="633"/>
        <v>1.2421224729920939</v>
      </c>
      <c r="AA232" s="150">
        <f t="shared" si="634"/>
        <v>2.6085653502579995</v>
      </c>
      <c r="AB232" s="150">
        <f t="shared" si="635"/>
        <v>0.42527069075189394</v>
      </c>
      <c r="AC232" s="150"/>
      <c r="AD232" s="150">
        <f t="shared" si="636"/>
        <v>2.1000870743239526</v>
      </c>
      <c r="AE232" s="314">
        <f t="shared" si="637"/>
        <v>182.84956118955924</v>
      </c>
      <c r="AF232" s="456">
        <f t="shared" si="638"/>
        <v>0.36751523800669172</v>
      </c>
      <c r="AH232" s="150">
        <f t="shared" si="639"/>
        <v>0.78072005835882652</v>
      </c>
      <c r="AI232" s="150">
        <f t="shared" si="640"/>
        <v>1</v>
      </c>
      <c r="AJ232" s="150">
        <f t="shared" si="641"/>
        <v>1.104485463536891</v>
      </c>
      <c r="AL232" s="314">
        <f t="shared" si="642"/>
        <v>192</v>
      </c>
      <c r="AM232" s="144">
        <f t="shared" si="643"/>
        <v>182.84956118955924</v>
      </c>
      <c r="AO232">
        <f t="shared" si="644"/>
        <v>192</v>
      </c>
      <c r="AP232">
        <f t="shared" si="645"/>
        <v>182.84956118955924</v>
      </c>
      <c r="AR232" s="5">
        <f t="shared" si="616"/>
        <v>5.4689767560519602</v>
      </c>
      <c r="AS232" s="5">
        <f t="shared" si="604"/>
        <v>0.20012318615093594</v>
      </c>
      <c r="AT232" s="5">
        <f t="shared" si="605"/>
        <v>5.2688535699010242</v>
      </c>
      <c r="AU232" s="150">
        <f t="shared" si="606"/>
        <v>3.659243677155511E-2</v>
      </c>
      <c r="BA232" s="150">
        <f t="shared" si="692"/>
        <v>0.11044219720673662</v>
      </c>
      <c r="BB232" s="150">
        <f t="shared" si="693"/>
        <v>0.56668849856820069</v>
      </c>
      <c r="BC232" s="150">
        <f t="shared" si="694"/>
        <v>0.12667154673877429</v>
      </c>
      <c r="BD232" s="150"/>
      <c r="BE232" s="456">
        <f t="shared" si="695"/>
        <v>2.4394957847703402E-4</v>
      </c>
      <c r="BF232" s="456">
        <f t="shared" si="646"/>
        <v>0.22516934595253046</v>
      </c>
      <c r="BG232" s="456">
        <f t="shared" si="647"/>
        <v>0.27410551176961279</v>
      </c>
      <c r="BH232" s="456">
        <f t="shared" si="696"/>
        <v>7.8871856981299934E-2</v>
      </c>
      <c r="BI232">
        <f t="shared" si="697"/>
        <v>2.6983380106327302E-2</v>
      </c>
      <c r="BJ232" s="144">
        <f t="shared" si="698"/>
        <v>301.08889187594008</v>
      </c>
      <c r="BK232">
        <f t="shared" si="648"/>
        <v>0.304368660842604</v>
      </c>
      <c r="BL232" s="144">
        <f t="shared" si="699"/>
        <v>605.37404438824751</v>
      </c>
      <c r="BM232" s="150">
        <f t="shared" si="649"/>
        <v>0.11927999999999998</v>
      </c>
      <c r="BN232" s="150">
        <f t="shared" si="650"/>
        <v>1.7749999999999998E-2</v>
      </c>
      <c r="BQ232" s="144">
        <f t="shared" si="700"/>
        <v>137.02999999999997</v>
      </c>
      <c r="BR232" s="456">
        <f t="shared" si="701"/>
        <v>3.6592436771555104E-4</v>
      </c>
      <c r="BS232" s="456">
        <f t="shared" si="702"/>
        <v>9.6340756322844476E-3</v>
      </c>
      <c r="BT232" s="456">
        <f t="shared" si="703"/>
        <v>8.0228403765967402E-5</v>
      </c>
      <c r="BU232" s="456">
        <f t="shared" si="704"/>
        <v>2.2605015565869982E-2</v>
      </c>
      <c r="BV232" s="456"/>
      <c r="BW232" s="538">
        <f t="shared" si="705"/>
        <v>1.8284956118955924E-4</v>
      </c>
      <c r="BX232" s="144">
        <f t="shared" si="706"/>
        <v>32.868093530825504</v>
      </c>
      <c r="BY232" s="150">
        <f t="shared" si="707"/>
        <v>0.77527213791907301</v>
      </c>
      <c r="BZ232" s="5">
        <f t="shared" si="708"/>
        <v>1.28</v>
      </c>
      <c r="CA232" s="150">
        <f t="shared" si="709"/>
        <v>0.62278857207492611</v>
      </c>
      <c r="CB232" s="5">
        <f t="shared" si="710"/>
        <v>62.278857207492614</v>
      </c>
      <c r="CC232">
        <f t="shared" si="711"/>
        <v>16</v>
      </c>
      <c r="CE232" s="59">
        <f t="shared" si="651"/>
        <v>-50</v>
      </c>
      <c r="CG232" s="150">
        <f t="shared" si="652"/>
        <v>0.40999980487800236</v>
      </c>
      <c r="CH232" s="150">
        <f t="shared" si="653"/>
        <v>0.22062113273783704</v>
      </c>
      <c r="CI232" s="147">
        <v>16</v>
      </c>
      <c r="CJ232" s="188">
        <f t="shared" si="712"/>
        <v>0.192</v>
      </c>
      <c r="CK232" s="188">
        <f t="shared" si="654"/>
        <v>0.04</v>
      </c>
      <c r="CL232" s="188">
        <f t="shared" si="655"/>
        <v>0.96</v>
      </c>
      <c r="CM232" s="188">
        <f t="shared" si="656"/>
        <v>0.32</v>
      </c>
      <c r="CN232" s="465">
        <f t="shared" si="657"/>
        <v>60</v>
      </c>
      <c r="CO232" s="379">
        <f t="shared" si="658"/>
        <v>5.7</v>
      </c>
      <c r="CP232" s="379">
        <f t="shared" si="659"/>
        <v>65.7</v>
      </c>
      <c r="CQ232" s="379"/>
      <c r="CR232" s="188">
        <f t="shared" si="660"/>
        <v>8.2568807339449546E-2</v>
      </c>
      <c r="CS232" s="149">
        <f t="shared" si="661"/>
        <v>9.2889908256880744</v>
      </c>
      <c r="CT232" s="149">
        <f t="shared" si="662"/>
        <v>4.1284403669724767</v>
      </c>
      <c r="CU232" s="188">
        <f t="shared" si="663"/>
        <v>1.857798165137615</v>
      </c>
      <c r="CV232" s="188">
        <f t="shared" si="664"/>
        <v>1.1611238532110093</v>
      </c>
      <c r="CW232" s="188">
        <f t="shared" si="665"/>
        <v>5</v>
      </c>
      <c r="CX232" s="188">
        <f t="shared" si="666"/>
        <v>0.51674074074074072</v>
      </c>
      <c r="CY232" s="188">
        <f t="shared" si="667"/>
        <v>0.10334814814814815</v>
      </c>
      <c r="CZ232" s="188">
        <f t="shared" si="668"/>
        <v>1.0878752436647172</v>
      </c>
      <c r="DA232" s="172">
        <f t="shared" si="669"/>
        <v>350</v>
      </c>
      <c r="DB232" s="379">
        <f t="shared" si="670"/>
        <v>350</v>
      </c>
      <c r="DD232" s="188">
        <f t="shared" si="671"/>
        <v>1.2393998695368558</v>
      </c>
      <c r="DE232" s="150">
        <f t="shared" si="672"/>
        <v>2.6092628832354858</v>
      </c>
      <c r="DF232" s="150">
        <f t="shared" si="673"/>
        <v>0.4244520101153616</v>
      </c>
      <c r="DG232" s="150"/>
      <c r="DH232" s="150">
        <f t="shared" si="674"/>
        <v>2.1052631578947367</v>
      </c>
      <c r="DI232" s="314">
        <f t="shared" si="675"/>
        <v>182.4</v>
      </c>
      <c r="DJ232" s="456">
        <f t="shared" si="676"/>
        <v>0.36842105263157893</v>
      </c>
      <c r="DL232" s="150">
        <f t="shared" si="677"/>
        <v>0.78072005835882652</v>
      </c>
      <c r="DM232" s="150">
        <f t="shared" si="678"/>
        <v>1</v>
      </c>
      <c r="DN232" s="150">
        <f t="shared" si="679"/>
        <v>1.1042285714285713</v>
      </c>
      <c r="DP232" s="314">
        <f t="shared" si="680"/>
        <v>192</v>
      </c>
      <c r="DQ232" s="144">
        <f t="shared" si="681"/>
        <v>182.4</v>
      </c>
      <c r="DS232">
        <f t="shared" si="682"/>
        <v>192</v>
      </c>
      <c r="DT232">
        <f t="shared" si="683"/>
        <v>182.4</v>
      </c>
      <c r="DV232" s="5">
        <f t="shared" si="684"/>
        <v>5.4824561403508767</v>
      </c>
      <c r="DW232" s="5">
        <f t="shared" si="685"/>
        <v>0.2</v>
      </c>
      <c r="DX232" s="5">
        <f t="shared" si="686"/>
        <v>5.2824561403508765</v>
      </c>
      <c r="DY232" s="150">
        <f t="shared" si="687"/>
        <v>3.6480000000000005E-2</v>
      </c>
      <c r="EA232" s="5">
        <f t="shared" si="713"/>
        <v>0.76800000000000002</v>
      </c>
      <c r="EB232" s="5">
        <f t="shared" si="714"/>
        <v>0.1</v>
      </c>
      <c r="EC232" s="5">
        <f t="shared" si="715"/>
        <v>3.521637426900584E-2</v>
      </c>
      <c r="ED232" s="5"/>
      <c r="EE232" s="150">
        <f t="shared" si="716"/>
        <v>0.11027239001672179</v>
      </c>
      <c r="EF232" s="150">
        <f t="shared" si="717"/>
        <v>0.56672156596809808</v>
      </c>
      <c r="EG232" s="150">
        <f t="shared" si="718"/>
        <v>0.12667893827522192</v>
      </c>
      <c r="EH232" s="150"/>
      <c r="EI232" s="456">
        <f t="shared" si="719"/>
        <v>2.4320000000000006E-4</v>
      </c>
      <c r="EJ232" s="456">
        <f t="shared" si="720"/>
        <v>0.23967360000000001</v>
      </c>
      <c r="EK232" s="456">
        <f t="shared" si="721"/>
        <v>2.2799999999999997E-2</v>
      </c>
      <c r="EL232" s="456">
        <f t="shared" si="722"/>
        <v>7.8732777600000026E-2</v>
      </c>
      <c r="EM232">
        <f t="shared" si="723"/>
        <v>2.7E-2</v>
      </c>
      <c r="EN232" s="144">
        <f t="shared" si="724"/>
        <v>49.8</v>
      </c>
      <c r="EP232" s="144">
        <f t="shared" si="725"/>
        <v>368.44957760000005</v>
      </c>
      <c r="EQ232" s="150">
        <f t="shared" si="726"/>
        <v>0.13439999999999999</v>
      </c>
      <c r="ER232" s="150">
        <f t="shared" si="688"/>
        <v>1.7749999999999998E-2</v>
      </c>
      <c r="ES232" s="456"/>
      <c r="EU232" s="144">
        <f t="shared" si="727"/>
        <v>152.14999999999998</v>
      </c>
      <c r="EV232" s="456">
        <f t="shared" si="728"/>
        <v>3.6480000000000009E-4</v>
      </c>
      <c r="EW232" s="456">
        <f t="shared" si="729"/>
        <v>9.6352E-3</v>
      </c>
      <c r="EX232" s="456">
        <f t="shared" si="730"/>
        <v>8.0237767012687424E-5</v>
      </c>
      <c r="EY232" s="456">
        <f t="shared" si="731"/>
        <v>2.2466327699218365E-2</v>
      </c>
      <c r="EZ232" s="456"/>
      <c r="FA232" s="538">
        <f t="shared" si="732"/>
        <v>1.8240000000000002E-4</v>
      </c>
      <c r="FB232" s="144">
        <f t="shared" si="733"/>
        <v>32.728965466231053</v>
      </c>
      <c r="FC232" s="150">
        <f t="shared" si="734"/>
        <v>0.55332854306623125</v>
      </c>
      <c r="FD232" s="5">
        <f t="shared" si="735"/>
        <v>1.28</v>
      </c>
      <c r="FE232" s="150">
        <f t="shared" si="736"/>
        <v>0.69818364244698194</v>
      </c>
      <c r="FF232" s="5">
        <f t="shared" si="737"/>
        <v>69.818364244698188</v>
      </c>
      <c r="FG232">
        <f t="shared" si="738"/>
        <v>16</v>
      </c>
      <c r="FI232" s="59">
        <f t="shared" si="689"/>
        <v>-50</v>
      </c>
    </row>
    <row r="233" spans="5:165">
      <c r="E233" s="147">
        <v>17</v>
      </c>
      <c r="F233" s="188">
        <f t="shared" si="690"/>
        <v>0.20400000000000001</v>
      </c>
      <c r="G233" s="188">
        <f t="shared" si="617"/>
        <v>4.2500000000000003E-2</v>
      </c>
      <c r="H233" s="188">
        <f t="shared" si="618"/>
        <v>1.02</v>
      </c>
      <c r="I233" s="188">
        <f t="shared" si="619"/>
        <v>0.34</v>
      </c>
      <c r="J233" s="465">
        <f t="shared" si="620"/>
        <v>59.963066902949564</v>
      </c>
      <c r="K233" s="379">
        <f t="shared" si="621"/>
        <v>5.7140487871737253</v>
      </c>
      <c r="L233" s="149">
        <f t="shared" si="622"/>
        <v>65.677115690123287</v>
      </c>
      <c r="M233" s="379"/>
      <c r="N233" s="188">
        <f t="shared" si="623"/>
        <v>8.7002127409700189E-2</v>
      </c>
      <c r="O233" s="149">
        <f t="shared" si="624"/>
        <v>9.7817144748127411</v>
      </c>
      <c r="P233" s="149">
        <f t="shared" si="625"/>
        <v>4.3474286554723287</v>
      </c>
      <c r="Q233" s="188">
        <f t="shared" si="626"/>
        <v>1.9563428949625483</v>
      </c>
      <c r="R233" s="188">
        <f t="shared" si="627"/>
        <v>1.2227143093515926</v>
      </c>
      <c r="S233" s="188">
        <f t="shared" si="628"/>
        <v>5</v>
      </c>
      <c r="T233" s="188">
        <f t="shared" si="629"/>
        <v>0.52138099237430813</v>
      </c>
      <c r="U233" s="188">
        <f t="shared" si="630"/>
        <v>0.10434042539248337</v>
      </c>
      <c r="V233" s="188">
        <f t="shared" si="631"/>
        <v>1.0949454828834801</v>
      </c>
      <c r="W233" s="172">
        <f t="shared" si="632"/>
        <v>350</v>
      </c>
      <c r="X233" s="379">
        <f t="shared" si="691"/>
        <v>350</v>
      </c>
      <c r="Z233" s="188">
        <f t="shared" si="633"/>
        <v>1.2421224729920939</v>
      </c>
      <c r="AA233" s="150">
        <f t="shared" si="634"/>
        <v>2.6085653502579995</v>
      </c>
      <c r="AB233" s="150">
        <f t="shared" si="635"/>
        <v>0.42527069075189394</v>
      </c>
      <c r="AC233" s="150"/>
      <c r="AD233" s="150">
        <f t="shared" si="636"/>
        <v>2.1000870743239526</v>
      </c>
      <c r="AE233" s="314">
        <f t="shared" si="637"/>
        <v>194.27765876390671</v>
      </c>
      <c r="AF233" s="456">
        <f t="shared" si="638"/>
        <v>0.36751523800669172</v>
      </c>
      <c r="AH233" s="150">
        <f t="shared" si="639"/>
        <v>0.80474781616295654</v>
      </c>
      <c r="AI233" s="150">
        <f t="shared" si="640"/>
        <v>1</v>
      </c>
      <c r="AJ233" s="150">
        <f t="shared" si="641"/>
        <v>1.1110158050079466</v>
      </c>
      <c r="AL233" s="314">
        <f t="shared" si="642"/>
        <v>204.00000000000003</v>
      </c>
      <c r="AM233" s="144">
        <f t="shared" si="643"/>
        <v>194.27765876390671</v>
      </c>
      <c r="AO233">
        <f t="shared" si="644"/>
        <v>204.00000000000003</v>
      </c>
      <c r="AP233">
        <f t="shared" si="645"/>
        <v>194.27765876390671</v>
      </c>
      <c r="AR233" s="5">
        <f t="shared" si="616"/>
        <v>5.1472722409900786</v>
      </c>
      <c r="AS233" s="5">
        <f t="shared" si="604"/>
        <v>0.20012318615093594</v>
      </c>
      <c r="AT233" s="5">
        <f t="shared" si="605"/>
        <v>4.9471490548391426</v>
      </c>
      <c r="AU233" s="150">
        <f t="shared" si="606"/>
        <v>3.8879464069777318E-2</v>
      </c>
      <c r="BA233" s="150">
        <f t="shared" si="692"/>
        <v>0.11384121115216773</v>
      </c>
      <c r="BB233" s="150">
        <f t="shared" si="693"/>
        <v>0.56601546973271044</v>
      </c>
      <c r="BC233" s="150">
        <f t="shared" si="694"/>
        <v>0.12652110499907646</v>
      </c>
      <c r="BD233" s="150"/>
      <c r="BE233" s="456">
        <f t="shared" si="695"/>
        <v>2.5919642713184877E-4</v>
      </c>
      <c r="BF233" s="456">
        <f t="shared" si="646"/>
        <v>0.23924243007456364</v>
      </c>
      <c r="BG233" s="456">
        <f t="shared" si="647"/>
        <v>0.2912371062552136</v>
      </c>
      <c r="BH233" s="456">
        <f t="shared" si="696"/>
        <v>8.3801348042631188E-2</v>
      </c>
      <c r="BI233">
        <f t="shared" si="697"/>
        <v>2.6983380106327302E-2</v>
      </c>
      <c r="BJ233" s="144">
        <f t="shared" si="698"/>
        <v>318.22048636154085</v>
      </c>
      <c r="BK233">
        <f t="shared" si="648"/>
        <v>0.32339287375277126</v>
      </c>
      <c r="BL233" s="144">
        <f t="shared" si="699"/>
        <v>641.52346090586752</v>
      </c>
      <c r="BM233" s="150">
        <f t="shared" si="649"/>
        <v>0.12673500000000001</v>
      </c>
      <c r="BN233" s="150">
        <f t="shared" si="650"/>
        <v>1.8859375000000001E-2</v>
      </c>
      <c r="BQ233" s="144">
        <f t="shared" si="700"/>
        <v>145.59437500000001</v>
      </c>
      <c r="BR233" s="456">
        <f t="shared" si="701"/>
        <v>3.8879464069777319E-4</v>
      </c>
      <c r="BS233" s="456">
        <f t="shared" si="702"/>
        <v>9.6112053593022245E-3</v>
      </c>
      <c r="BT233" s="456">
        <f t="shared" si="703"/>
        <v>8.003795005093665E-5</v>
      </c>
      <c r="BU233" s="456">
        <f t="shared" si="704"/>
        <v>2.6304324725321307E-2</v>
      </c>
      <c r="BV233" s="456"/>
      <c r="BW233" s="538">
        <f t="shared" si="705"/>
        <v>1.9427765876390673E-4</v>
      </c>
      <c r="BX233" s="144">
        <f t="shared" si="706"/>
        <v>36.578640334136146</v>
      </c>
      <c r="BY233" s="150">
        <f t="shared" si="707"/>
        <v>0.82369647624000375</v>
      </c>
      <c r="BZ233" s="5">
        <f t="shared" si="708"/>
        <v>1.36</v>
      </c>
      <c r="CA233" s="150">
        <f t="shared" si="709"/>
        <v>0.62279717662122858</v>
      </c>
      <c r="CB233" s="5">
        <f t="shared" si="710"/>
        <v>62.279717662122856</v>
      </c>
      <c r="CC233">
        <f t="shared" si="711"/>
        <v>17</v>
      </c>
      <c r="CE233" s="59">
        <f t="shared" si="651"/>
        <v>-50</v>
      </c>
      <c r="CG233" s="150">
        <f t="shared" si="652"/>
        <v>0.43562479268287752</v>
      </c>
      <c r="CH233" s="150">
        <f t="shared" si="653"/>
        <v>0.23440995353395189</v>
      </c>
      <c r="CI233" s="147">
        <v>17</v>
      </c>
      <c r="CJ233" s="188">
        <f t="shared" si="712"/>
        <v>0.20400000000000001</v>
      </c>
      <c r="CK233" s="188">
        <f t="shared" si="654"/>
        <v>4.2500000000000003E-2</v>
      </c>
      <c r="CL233" s="188">
        <f t="shared" si="655"/>
        <v>1.02</v>
      </c>
      <c r="CM233" s="188">
        <f t="shared" si="656"/>
        <v>0.34</v>
      </c>
      <c r="CN233" s="465">
        <f t="shared" si="657"/>
        <v>60</v>
      </c>
      <c r="CO233" s="379">
        <f t="shared" si="658"/>
        <v>5.7</v>
      </c>
      <c r="CP233" s="379">
        <f t="shared" si="659"/>
        <v>65.7</v>
      </c>
      <c r="CQ233" s="379"/>
      <c r="CR233" s="188">
        <f t="shared" si="660"/>
        <v>8.2568807339449546E-2</v>
      </c>
      <c r="CS233" s="149">
        <f t="shared" si="661"/>
        <v>9.2889908256880744</v>
      </c>
      <c r="CT233" s="149">
        <f t="shared" si="662"/>
        <v>4.1284403669724767</v>
      </c>
      <c r="CU233" s="188">
        <f t="shared" si="663"/>
        <v>1.857798165137615</v>
      </c>
      <c r="CV233" s="188">
        <f t="shared" si="664"/>
        <v>1.1611238532110093</v>
      </c>
      <c r="CW233" s="188">
        <f t="shared" si="665"/>
        <v>5</v>
      </c>
      <c r="CX233" s="188">
        <f t="shared" si="666"/>
        <v>0.54903703703703699</v>
      </c>
      <c r="CY233" s="188">
        <f t="shared" si="667"/>
        <v>0.10980740740740741</v>
      </c>
      <c r="CZ233" s="188">
        <f t="shared" si="668"/>
        <v>1.1558674463937622</v>
      </c>
      <c r="DA233" s="172">
        <f t="shared" si="669"/>
        <v>350</v>
      </c>
      <c r="DB233" s="379">
        <f t="shared" si="670"/>
        <v>350</v>
      </c>
      <c r="DD233" s="188">
        <f t="shared" si="671"/>
        <v>1.2393998695368558</v>
      </c>
      <c r="DE233" s="150">
        <f t="shared" si="672"/>
        <v>2.6092628832354858</v>
      </c>
      <c r="DF233" s="150">
        <f t="shared" si="673"/>
        <v>0.4244520101153616</v>
      </c>
      <c r="DG233" s="150"/>
      <c r="DH233" s="150">
        <f t="shared" si="674"/>
        <v>2.1052631578947367</v>
      </c>
      <c r="DI233" s="314">
        <f t="shared" si="675"/>
        <v>193.80000000000004</v>
      </c>
      <c r="DJ233" s="456">
        <f t="shared" si="676"/>
        <v>0.36842105263157893</v>
      </c>
      <c r="DL233" s="150">
        <f t="shared" si="677"/>
        <v>0.80474781616295654</v>
      </c>
      <c r="DM233" s="150">
        <f t="shared" si="678"/>
        <v>1</v>
      </c>
      <c r="DN233" s="150">
        <f t="shared" si="679"/>
        <v>1.1107428571428573</v>
      </c>
      <c r="DP233" s="314">
        <f t="shared" si="680"/>
        <v>204.00000000000003</v>
      </c>
      <c r="DQ233" s="144">
        <f t="shared" si="681"/>
        <v>193.80000000000004</v>
      </c>
      <c r="DS233">
        <f t="shared" si="682"/>
        <v>204.00000000000003</v>
      </c>
      <c r="DT233">
        <f t="shared" si="683"/>
        <v>193.80000000000004</v>
      </c>
      <c r="DV233" s="5">
        <f t="shared" si="684"/>
        <v>5.1599587203302368</v>
      </c>
      <c r="DW233" s="5">
        <f t="shared" si="685"/>
        <v>0.2</v>
      </c>
      <c r="DX233" s="5">
        <f t="shared" si="686"/>
        <v>4.9599587203302367</v>
      </c>
      <c r="DY233" s="150">
        <f t="shared" si="687"/>
        <v>3.8760000000000003E-2</v>
      </c>
      <c r="EA233" s="5">
        <f t="shared" si="713"/>
        <v>0.81600000000000006</v>
      </c>
      <c r="EB233" s="5">
        <f t="shared" si="714"/>
        <v>0.10625000000000001</v>
      </c>
      <c r="EC233" s="5">
        <f t="shared" si="715"/>
        <v>3.5133040935672509E-2</v>
      </c>
      <c r="ED233" s="5"/>
      <c r="EE233" s="150">
        <f t="shared" si="716"/>
        <v>0.11366617790706258</v>
      </c>
      <c r="EF233" s="150">
        <f t="shared" si="717"/>
        <v>0.56605064555508933</v>
      </c>
      <c r="EG233" s="150">
        <f t="shared" si="718"/>
        <v>0.12652896782996115</v>
      </c>
      <c r="EH233" s="150"/>
      <c r="EI233" s="456">
        <f t="shared" si="719"/>
        <v>2.5840000000000005E-4</v>
      </c>
      <c r="EJ233" s="456">
        <f t="shared" si="720"/>
        <v>0.25465320000000008</v>
      </c>
      <c r="EK233" s="456">
        <f t="shared" si="721"/>
        <v>2.4225000000000003E-2</v>
      </c>
      <c r="EL233" s="456">
        <f t="shared" si="722"/>
        <v>8.3653576200000038E-2</v>
      </c>
      <c r="EM233">
        <f t="shared" si="723"/>
        <v>2.7E-2</v>
      </c>
      <c r="EN233" s="144">
        <f t="shared" si="724"/>
        <v>51.225000000000009</v>
      </c>
      <c r="EP233" s="144">
        <f t="shared" si="725"/>
        <v>389.79017620000013</v>
      </c>
      <c r="EQ233" s="150">
        <f t="shared" si="726"/>
        <v>0.14280000000000001</v>
      </c>
      <c r="ER233" s="150">
        <f t="shared" si="688"/>
        <v>1.8859375000000001E-2</v>
      </c>
      <c r="ES233" s="456"/>
      <c r="EU233" s="144">
        <f t="shared" si="727"/>
        <v>161.65937500000001</v>
      </c>
      <c r="EV233" s="456">
        <f t="shared" si="728"/>
        <v>3.8760000000000004E-4</v>
      </c>
      <c r="EW233" s="456">
        <f t="shared" si="729"/>
        <v>9.6124000000000018E-3</v>
      </c>
      <c r="EX233" s="456">
        <f t="shared" si="730"/>
        <v>8.0047898500576717E-5</v>
      </c>
      <c r="EY233" s="456">
        <f t="shared" si="731"/>
        <v>2.6142940599341132E-2</v>
      </c>
      <c r="EZ233" s="456"/>
      <c r="FA233" s="538">
        <f t="shared" si="732"/>
        <v>1.9380000000000005E-4</v>
      </c>
      <c r="FB233" s="144">
        <f t="shared" si="733"/>
        <v>36.416788497841708</v>
      </c>
      <c r="FC233" s="150">
        <f t="shared" si="734"/>
        <v>0.58786633969784186</v>
      </c>
      <c r="FD233" s="5">
        <f t="shared" si="735"/>
        <v>1.36</v>
      </c>
      <c r="FE233" s="150">
        <f t="shared" si="736"/>
        <v>0.69819985708617294</v>
      </c>
      <c r="FF233" s="5">
        <f t="shared" si="737"/>
        <v>69.819985708617295</v>
      </c>
      <c r="FG233">
        <f t="shared" si="738"/>
        <v>17</v>
      </c>
      <c r="FI233" s="59">
        <f t="shared" si="689"/>
        <v>-50</v>
      </c>
    </row>
    <row r="234" spans="5:165">
      <c r="E234" s="147">
        <v>18</v>
      </c>
      <c r="F234" s="188">
        <f t="shared" si="690"/>
        <v>0.216</v>
      </c>
      <c r="G234" s="188">
        <f t="shared" si="617"/>
        <v>4.4999999999999998E-2</v>
      </c>
      <c r="H234" s="188">
        <f t="shared" si="618"/>
        <v>1.08</v>
      </c>
      <c r="I234" s="188">
        <f t="shared" si="619"/>
        <v>0.36</v>
      </c>
      <c r="J234" s="465">
        <f t="shared" si="620"/>
        <v>59.963066902949564</v>
      </c>
      <c r="K234" s="379">
        <f t="shared" si="621"/>
        <v>5.7140487871737253</v>
      </c>
      <c r="L234" s="149">
        <f t="shared" si="622"/>
        <v>65.677115690123287</v>
      </c>
      <c r="M234" s="379"/>
      <c r="N234" s="188">
        <f t="shared" si="623"/>
        <v>8.7002127409700189E-2</v>
      </c>
      <c r="O234" s="149">
        <f t="shared" si="624"/>
        <v>9.7817144748127411</v>
      </c>
      <c r="P234" s="149">
        <f t="shared" si="625"/>
        <v>4.3474286554723287</v>
      </c>
      <c r="Q234" s="188">
        <f t="shared" si="626"/>
        <v>1.9563428949625483</v>
      </c>
      <c r="R234" s="188">
        <f t="shared" si="627"/>
        <v>1.2227143093515926</v>
      </c>
      <c r="S234" s="188">
        <f t="shared" si="628"/>
        <v>5</v>
      </c>
      <c r="T234" s="188">
        <f t="shared" si="629"/>
        <v>0.55205046251397327</v>
      </c>
      <c r="U234" s="188">
        <f t="shared" si="630"/>
        <v>0.11047809747439416</v>
      </c>
      <c r="V234" s="188">
        <f t="shared" si="631"/>
        <v>1.159354040700155</v>
      </c>
      <c r="W234" s="172">
        <f t="shared" si="632"/>
        <v>350</v>
      </c>
      <c r="X234" s="379">
        <f t="shared" si="691"/>
        <v>350</v>
      </c>
      <c r="Z234" s="188">
        <f t="shared" si="633"/>
        <v>1.2421224729920939</v>
      </c>
      <c r="AA234" s="150">
        <f t="shared" si="634"/>
        <v>2.6085653502579995</v>
      </c>
      <c r="AB234" s="150">
        <f t="shared" si="635"/>
        <v>0.42527069075189394</v>
      </c>
      <c r="AC234" s="150"/>
      <c r="AD234" s="150">
        <f t="shared" si="636"/>
        <v>2.1000870743239526</v>
      </c>
      <c r="AE234" s="314">
        <f t="shared" si="637"/>
        <v>205.7057563382541</v>
      </c>
      <c r="AF234" s="456">
        <f t="shared" si="638"/>
        <v>0.36751523800669172</v>
      </c>
      <c r="AH234" s="150">
        <f t="shared" si="639"/>
        <v>0.82807867121082501</v>
      </c>
      <c r="AI234" s="150">
        <f t="shared" si="640"/>
        <v>1</v>
      </c>
      <c r="AJ234" s="150">
        <f t="shared" si="641"/>
        <v>1.1175461464790024</v>
      </c>
      <c r="AL234" s="314">
        <f t="shared" si="642"/>
        <v>216</v>
      </c>
      <c r="AM234" s="144">
        <f t="shared" si="643"/>
        <v>205.7057563382541</v>
      </c>
      <c r="AO234">
        <f t="shared" si="644"/>
        <v>216</v>
      </c>
      <c r="AP234">
        <f t="shared" si="645"/>
        <v>205.7057563382541</v>
      </c>
      <c r="AR234" s="5">
        <f t="shared" si="616"/>
        <v>4.8613126720461874</v>
      </c>
      <c r="AS234" s="5">
        <f t="shared" si="604"/>
        <v>0.20012318615093594</v>
      </c>
      <c r="AT234" s="5">
        <f t="shared" si="605"/>
        <v>4.6611894858952514</v>
      </c>
      <c r="AU234" s="150">
        <f t="shared" si="606"/>
        <v>4.1166491367999498E-2</v>
      </c>
      <c r="BA234" s="150">
        <f t="shared" si="692"/>
        <v>0.11714163986103816</v>
      </c>
      <c r="BB234" s="150">
        <f t="shared" si="693"/>
        <v>0.56534163966932438</v>
      </c>
      <c r="BC234" s="150">
        <f t="shared" si="694"/>
        <v>0.12637048416137839</v>
      </c>
      <c r="BD234" s="150"/>
      <c r="BE234" s="456">
        <f t="shared" si="695"/>
        <v>2.7444327578666334E-4</v>
      </c>
      <c r="BF234" s="456">
        <f t="shared" si="646"/>
        <v>0.25331551419659676</v>
      </c>
      <c r="BG234" s="456">
        <f t="shared" si="647"/>
        <v>0.30836870074081429</v>
      </c>
      <c r="BH234" s="456">
        <f t="shared" si="696"/>
        <v>8.8730839103962414E-2</v>
      </c>
      <c r="BI234">
        <f t="shared" si="697"/>
        <v>2.6983380106327302E-2</v>
      </c>
      <c r="BJ234" s="144">
        <f t="shared" si="698"/>
        <v>335.35208084714156</v>
      </c>
      <c r="BK234">
        <f t="shared" si="648"/>
        <v>0.34241722450810386</v>
      </c>
      <c r="BL234" s="144">
        <f t="shared" si="699"/>
        <v>677.67287742348731</v>
      </c>
      <c r="BM234" s="150">
        <f t="shared" si="649"/>
        <v>0.13419</v>
      </c>
      <c r="BN234" s="150">
        <f t="shared" si="650"/>
        <v>1.9968749999999997E-2</v>
      </c>
      <c r="BQ234" s="144">
        <f t="shared" si="700"/>
        <v>154.15875</v>
      </c>
      <c r="BR234" s="456">
        <f t="shared" si="701"/>
        <v>4.1166491367999495E-4</v>
      </c>
      <c r="BS234" s="456">
        <f t="shared" si="702"/>
        <v>9.5883350863200066E-3</v>
      </c>
      <c r="BT234" s="456">
        <f t="shared" si="703"/>
        <v>7.9847496335905925E-5</v>
      </c>
      <c r="BU234" s="456">
        <f t="shared" si="704"/>
        <v>3.0344928361682417E-2</v>
      </c>
      <c r="BV234" s="456"/>
      <c r="BW234" s="538">
        <f t="shared" si="705"/>
        <v>2.0570575633825414E-4</v>
      </c>
      <c r="BX234" s="144">
        <f t="shared" si="706"/>
        <v>40.630481614356583</v>
      </c>
      <c r="BY234" s="150">
        <f t="shared" si="707"/>
        <v>0.87246210903784394</v>
      </c>
      <c r="BZ234" s="5">
        <f t="shared" si="708"/>
        <v>1.44</v>
      </c>
      <c r="CA234" s="150">
        <f t="shared" si="709"/>
        <v>0.62271290602860818</v>
      </c>
      <c r="CB234" s="5">
        <f t="shared" si="710"/>
        <v>62.271290602860816</v>
      </c>
      <c r="CC234">
        <f t="shared" si="711"/>
        <v>18</v>
      </c>
      <c r="CE234" s="59">
        <f t="shared" si="651"/>
        <v>-50</v>
      </c>
      <c r="CG234" s="150">
        <f t="shared" si="652"/>
        <v>0.46124978048775278</v>
      </c>
      <c r="CH234" s="150">
        <f t="shared" si="653"/>
        <v>0.24819877433006668</v>
      </c>
      <c r="CI234" s="147">
        <v>18</v>
      </c>
      <c r="CJ234" s="188">
        <f t="shared" si="712"/>
        <v>0.216</v>
      </c>
      <c r="CK234" s="188">
        <f t="shared" si="654"/>
        <v>4.4999999999999998E-2</v>
      </c>
      <c r="CL234" s="188">
        <f t="shared" si="655"/>
        <v>1.08</v>
      </c>
      <c r="CM234" s="188">
        <f t="shared" si="656"/>
        <v>0.36</v>
      </c>
      <c r="CN234" s="465">
        <f t="shared" si="657"/>
        <v>60</v>
      </c>
      <c r="CO234" s="379">
        <f t="shared" si="658"/>
        <v>5.7</v>
      </c>
      <c r="CP234" s="379">
        <f t="shared" si="659"/>
        <v>65.7</v>
      </c>
      <c r="CQ234" s="379"/>
      <c r="CR234" s="188">
        <f t="shared" si="660"/>
        <v>8.2568807339449546E-2</v>
      </c>
      <c r="CS234" s="149">
        <f t="shared" si="661"/>
        <v>9.2889908256880744</v>
      </c>
      <c r="CT234" s="149">
        <f t="shared" si="662"/>
        <v>4.1284403669724767</v>
      </c>
      <c r="CU234" s="188">
        <f t="shared" si="663"/>
        <v>1.857798165137615</v>
      </c>
      <c r="CV234" s="188">
        <f t="shared" si="664"/>
        <v>1.1611238532110093</v>
      </c>
      <c r="CW234" s="188">
        <f t="shared" si="665"/>
        <v>5</v>
      </c>
      <c r="CX234" s="188">
        <f t="shared" si="666"/>
        <v>0.58133333333333326</v>
      </c>
      <c r="CY234" s="188">
        <f t="shared" si="667"/>
        <v>0.11626666666666664</v>
      </c>
      <c r="CZ234" s="188">
        <f t="shared" si="668"/>
        <v>1.2238596491228066</v>
      </c>
      <c r="DA234" s="172">
        <f t="shared" si="669"/>
        <v>350</v>
      </c>
      <c r="DB234" s="379">
        <f t="shared" si="670"/>
        <v>350</v>
      </c>
      <c r="DD234" s="188">
        <f t="shared" si="671"/>
        <v>1.2393998695368558</v>
      </c>
      <c r="DE234" s="150">
        <f t="shared" si="672"/>
        <v>2.6092628832354858</v>
      </c>
      <c r="DF234" s="150">
        <f t="shared" si="673"/>
        <v>0.4244520101153616</v>
      </c>
      <c r="DG234" s="150"/>
      <c r="DH234" s="150">
        <f t="shared" si="674"/>
        <v>2.1052631578947367</v>
      </c>
      <c r="DI234" s="314">
        <f t="shared" si="675"/>
        <v>205.20000000000002</v>
      </c>
      <c r="DJ234" s="456">
        <f t="shared" si="676"/>
        <v>0.36842105263157893</v>
      </c>
      <c r="DL234" s="150">
        <f t="shared" si="677"/>
        <v>0.82807867121082501</v>
      </c>
      <c r="DM234" s="150">
        <f t="shared" si="678"/>
        <v>1</v>
      </c>
      <c r="DN234" s="150">
        <f t="shared" si="679"/>
        <v>1.1172571428571429</v>
      </c>
      <c r="DP234" s="314">
        <f t="shared" si="680"/>
        <v>216</v>
      </c>
      <c r="DQ234" s="144">
        <f t="shared" si="681"/>
        <v>205.20000000000002</v>
      </c>
      <c r="DS234">
        <f t="shared" si="682"/>
        <v>216</v>
      </c>
      <c r="DT234">
        <f t="shared" si="683"/>
        <v>205.20000000000002</v>
      </c>
      <c r="DV234" s="5">
        <f t="shared" si="684"/>
        <v>4.8732943469785575</v>
      </c>
      <c r="DW234" s="5">
        <f t="shared" si="685"/>
        <v>0.2</v>
      </c>
      <c r="DX234" s="5">
        <f t="shared" si="686"/>
        <v>4.6732943469785573</v>
      </c>
      <c r="DY234" s="150">
        <f t="shared" si="687"/>
        <v>4.104E-2</v>
      </c>
      <c r="EA234" s="5">
        <f t="shared" si="713"/>
        <v>0.8640000000000001</v>
      </c>
      <c r="EB234" s="5">
        <f t="shared" si="714"/>
        <v>0.1125</v>
      </c>
      <c r="EC234" s="5">
        <f t="shared" si="715"/>
        <v>3.5049707602339178E-2</v>
      </c>
      <c r="ED234" s="5"/>
      <c r="EE234" s="150">
        <f t="shared" si="716"/>
        <v>0.11696153213770756</v>
      </c>
      <c r="EF234" s="150">
        <f t="shared" si="717"/>
        <v>0.56537892897890474</v>
      </c>
      <c r="EG234" s="150">
        <f t="shared" si="718"/>
        <v>0.12637881941881401</v>
      </c>
      <c r="EH234" s="150"/>
      <c r="EI234" s="456">
        <f t="shared" si="719"/>
        <v>2.7359999999999998E-4</v>
      </c>
      <c r="EJ234" s="456">
        <f t="shared" si="720"/>
        <v>0.26963280000000006</v>
      </c>
      <c r="EK234" s="456">
        <f t="shared" si="721"/>
        <v>2.5649999999999999E-2</v>
      </c>
      <c r="EL234" s="456">
        <f t="shared" si="722"/>
        <v>8.8574374800000036E-2</v>
      </c>
      <c r="EM234">
        <f t="shared" si="723"/>
        <v>2.7E-2</v>
      </c>
      <c r="EN234" s="144">
        <f t="shared" si="724"/>
        <v>52.650000000000006</v>
      </c>
      <c r="EP234" s="144">
        <f t="shared" si="725"/>
        <v>411.1307748000001</v>
      </c>
      <c r="EQ234" s="150">
        <f t="shared" si="726"/>
        <v>0.1512</v>
      </c>
      <c r="ER234" s="150">
        <f t="shared" si="688"/>
        <v>1.9968749999999997E-2</v>
      </c>
      <c r="ES234" s="456"/>
      <c r="EU234" s="144">
        <f t="shared" si="727"/>
        <v>171.16875000000002</v>
      </c>
      <c r="EV234" s="456">
        <f t="shared" si="728"/>
        <v>4.1039999999999989E-4</v>
      </c>
      <c r="EW234" s="456">
        <f t="shared" si="729"/>
        <v>9.5896000000000019E-3</v>
      </c>
      <c r="EX234" s="456">
        <f t="shared" si="730"/>
        <v>7.9858029988466009E-5</v>
      </c>
      <c r="EY234" s="456">
        <f t="shared" si="731"/>
        <v>3.0158754042717027E-2</v>
      </c>
      <c r="EZ234" s="456"/>
      <c r="FA234" s="538">
        <f t="shared" si="732"/>
        <v>2.0520000000000003E-4</v>
      </c>
      <c r="FB234" s="144">
        <f t="shared" si="733"/>
        <v>40.443812072705498</v>
      </c>
      <c r="FC234" s="150">
        <f t="shared" si="734"/>
        <v>0.62274333687270567</v>
      </c>
      <c r="FD234" s="5">
        <f t="shared" si="735"/>
        <v>1.44</v>
      </c>
      <c r="FE234" s="150">
        <f t="shared" si="736"/>
        <v>0.69809945535112605</v>
      </c>
      <c r="FF234" s="5">
        <f t="shared" si="737"/>
        <v>69.809945535112604</v>
      </c>
      <c r="FG234">
        <f t="shared" si="738"/>
        <v>18</v>
      </c>
      <c r="FI234" s="59">
        <f t="shared" si="689"/>
        <v>-50</v>
      </c>
    </row>
    <row r="235" spans="5:165">
      <c r="E235" s="147">
        <v>19</v>
      </c>
      <c r="F235" s="188">
        <f t="shared" si="690"/>
        <v>0.22799999999999998</v>
      </c>
      <c r="G235" s="188">
        <f t="shared" si="617"/>
        <v>4.7500000000000001E-2</v>
      </c>
      <c r="H235" s="188">
        <f t="shared" si="618"/>
        <v>1.1399999999999999</v>
      </c>
      <c r="I235" s="188">
        <f t="shared" si="619"/>
        <v>0.38</v>
      </c>
      <c r="J235" s="465">
        <f t="shared" si="620"/>
        <v>59.963066902949564</v>
      </c>
      <c r="K235" s="379">
        <f t="shared" si="621"/>
        <v>5.7140487871737253</v>
      </c>
      <c r="L235" s="149">
        <f t="shared" si="622"/>
        <v>65.677115690123287</v>
      </c>
      <c r="M235" s="379"/>
      <c r="N235" s="188">
        <f t="shared" si="623"/>
        <v>8.7002127409700189E-2</v>
      </c>
      <c r="O235" s="149">
        <f t="shared" si="624"/>
        <v>9.7817144748127411</v>
      </c>
      <c r="P235" s="149">
        <f t="shared" si="625"/>
        <v>4.3474286554723287</v>
      </c>
      <c r="Q235" s="188">
        <f t="shared" si="626"/>
        <v>1.9563428949625483</v>
      </c>
      <c r="R235" s="188">
        <f t="shared" si="627"/>
        <v>1.2227143093515926</v>
      </c>
      <c r="S235" s="188">
        <f t="shared" si="628"/>
        <v>5</v>
      </c>
      <c r="T235" s="188">
        <f t="shared" si="629"/>
        <v>0.58271993265363842</v>
      </c>
      <c r="U235" s="188">
        <f t="shared" si="630"/>
        <v>0.11661576955630493</v>
      </c>
      <c r="V235" s="188">
        <f t="shared" si="631"/>
        <v>1.2237625985168303</v>
      </c>
      <c r="W235" s="172">
        <f t="shared" si="632"/>
        <v>350</v>
      </c>
      <c r="X235" s="379">
        <f t="shared" si="691"/>
        <v>350</v>
      </c>
      <c r="Z235" s="188">
        <f t="shared" si="633"/>
        <v>1.2421224729920939</v>
      </c>
      <c r="AA235" s="150">
        <f t="shared" si="634"/>
        <v>2.6085653502579995</v>
      </c>
      <c r="AB235" s="150">
        <f t="shared" si="635"/>
        <v>0.42527069075189394</v>
      </c>
      <c r="AC235" s="150"/>
      <c r="AD235" s="150">
        <f t="shared" si="636"/>
        <v>2.1000870743239526</v>
      </c>
      <c r="AE235" s="314">
        <f t="shared" si="637"/>
        <v>217.13385391260158</v>
      </c>
      <c r="AF235" s="456">
        <f t="shared" si="638"/>
        <v>0.36751523800669172</v>
      </c>
      <c r="AH235" s="150">
        <f t="shared" si="639"/>
        <v>0.85076995939532551</v>
      </c>
      <c r="AI235" s="150">
        <f t="shared" si="640"/>
        <v>1</v>
      </c>
      <c r="AJ235" s="150">
        <f t="shared" si="641"/>
        <v>1.124076487950058</v>
      </c>
      <c r="AL235" s="314">
        <f t="shared" si="642"/>
        <v>227.99999999999997</v>
      </c>
      <c r="AM235" s="144">
        <f t="shared" si="643"/>
        <v>217.13385391260158</v>
      </c>
      <c r="AO235">
        <f t="shared" si="644"/>
        <v>227.99999999999997</v>
      </c>
      <c r="AP235">
        <f t="shared" si="645"/>
        <v>217.13385391260158</v>
      </c>
      <c r="AR235" s="5">
        <f t="shared" si="616"/>
        <v>4.6054541103595454</v>
      </c>
      <c r="AS235" s="5">
        <f t="shared" si="604"/>
        <v>0.20012318615093594</v>
      </c>
      <c r="AT235" s="5">
        <f t="shared" si="605"/>
        <v>4.4053309242086094</v>
      </c>
      <c r="AU235" s="150">
        <f t="shared" si="606"/>
        <v>4.3453518666221692E-2</v>
      </c>
      <c r="BA235" s="150">
        <f t="shared" si="692"/>
        <v>0.12035159418168875</v>
      </c>
      <c r="BB235" s="150">
        <f t="shared" si="693"/>
        <v>0.56466700550967153</v>
      </c>
      <c r="BC235" s="150">
        <f t="shared" si="694"/>
        <v>0.1262196835845148</v>
      </c>
      <c r="BD235" s="150"/>
      <c r="BE235" s="456">
        <f t="shared" si="695"/>
        <v>2.8969012444147796E-4</v>
      </c>
      <c r="BF235" s="456">
        <f t="shared" si="646"/>
        <v>0.26738859831862993</v>
      </c>
      <c r="BG235" s="456">
        <f t="shared" si="647"/>
        <v>0.32550029522641516</v>
      </c>
      <c r="BH235" s="456">
        <f t="shared" si="696"/>
        <v>9.3660330165293668E-2</v>
      </c>
      <c r="BI235">
        <f t="shared" si="697"/>
        <v>2.6983380106327302E-2</v>
      </c>
      <c r="BJ235" s="144">
        <f t="shared" si="698"/>
        <v>352.48367533274245</v>
      </c>
      <c r="BK235">
        <f t="shared" si="648"/>
        <v>0.36144171311010048</v>
      </c>
      <c r="BL235" s="144">
        <f t="shared" si="699"/>
        <v>713.82229394110743</v>
      </c>
      <c r="BM235" s="150">
        <f t="shared" si="649"/>
        <v>0.14164499999999997</v>
      </c>
      <c r="BN235" s="150">
        <f t="shared" si="650"/>
        <v>2.1078125E-2</v>
      </c>
      <c r="BQ235" s="144">
        <f t="shared" si="700"/>
        <v>162.72312499999998</v>
      </c>
      <c r="BR235" s="456">
        <f t="shared" si="701"/>
        <v>4.3453518666221693E-4</v>
      </c>
      <c r="BS235" s="456">
        <f t="shared" si="702"/>
        <v>9.5654648133377818E-3</v>
      </c>
      <c r="BT235" s="456">
        <f t="shared" si="703"/>
        <v>7.9657042620875172E-5</v>
      </c>
      <c r="BU235" s="456">
        <f t="shared" si="704"/>
        <v>3.4736723854720299E-2</v>
      </c>
      <c r="BV235" s="456"/>
      <c r="BW235" s="538">
        <f t="shared" si="705"/>
        <v>2.1713385391260159E-4</v>
      </c>
      <c r="BX235" s="144">
        <f t="shared" si="706"/>
        <v>45.033514751253776</v>
      </c>
      <c r="BY235" s="150">
        <f t="shared" si="707"/>
        <v>0.92157893369236121</v>
      </c>
      <c r="BZ235" s="5">
        <f t="shared" si="708"/>
        <v>1.52</v>
      </c>
      <c r="CA235" s="150">
        <f t="shared" si="709"/>
        <v>0.62254796641013277</v>
      </c>
      <c r="CB235" s="5">
        <f t="shared" si="710"/>
        <v>62.254796641013279</v>
      </c>
      <c r="CC235">
        <f t="shared" si="711"/>
        <v>19</v>
      </c>
      <c r="CE235" s="59">
        <f t="shared" si="651"/>
        <v>-50</v>
      </c>
      <c r="CG235" s="150">
        <f t="shared" si="652"/>
        <v>0.48687476829262782</v>
      </c>
      <c r="CH235" s="150">
        <f t="shared" si="653"/>
        <v>0.26198759512618147</v>
      </c>
      <c r="CI235" s="147">
        <v>19</v>
      </c>
      <c r="CJ235" s="188">
        <f t="shared" si="712"/>
        <v>0.22799999999999998</v>
      </c>
      <c r="CK235" s="188">
        <f t="shared" si="654"/>
        <v>4.7500000000000001E-2</v>
      </c>
      <c r="CL235" s="188">
        <f t="shared" si="655"/>
        <v>1.1399999999999999</v>
      </c>
      <c r="CM235" s="188">
        <f t="shared" si="656"/>
        <v>0.38</v>
      </c>
      <c r="CN235" s="465">
        <f t="shared" si="657"/>
        <v>60</v>
      </c>
      <c r="CO235" s="379">
        <f t="shared" si="658"/>
        <v>5.7</v>
      </c>
      <c r="CP235" s="379">
        <f t="shared" si="659"/>
        <v>65.7</v>
      </c>
      <c r="CQ235" s="379"/>
      <c r="CR235" s="188">
        <f t="shared" si="660"/>
        <v>8.2568807339449546E-2</v>
      </c>
      <c r="CS235" s="149">
        <f t="shared" si="661"/>
        <v>9.2889908256880744</v>
      </c>
      <c r="CT235" s="149">
        <f t="shared" si="662"/>
        <v>4.1284403669724767</v>
      </c>
      <c r="CU235" s="188">
        <f t="shared" si="663"/>
        <v>1.857798165137615</v>
      </c>
      <c r="CV235" s="188">
        <f t="shared" si="664"/>
        <v>1.1611238532110093</v>
      </c>
      <c r="CW235" s="188">
        <f t="shared" si="665"/>
        <v>5</v>
      </c>
      <c r="CX235" s="188">
        <f t="shared" si="666"/>
        <v>0.61362962962962952</v>
      </c>
      <c r="CY235" s="188">
        <f t="shared" si="667"/>
        <v>0.12272592592592592</v>
      </c>
      <c r="CZ235" s="188">
        <f t="shared" si="668"/>
        <v>1.2918518518518516</v>
      </c>
      <c r="DA235" s="172">
        <f t="shared" si="669"/>
        <v>350</v>
      </c>
      <c r="DB235" s="379">
        <f t="shared" si="670"/>
        <v>350</v>
      </c>
      <c r="DD235" s="188">
        <f t="shared" si="671"/>
        <v>1.2393998695368558</v>
      </c>
      <c r="DE235" s="150">
        <f t="shared" si="672"/>
        <v>2.6092628832354858</v>
      </c>
      <c r="DF235" s="150">
        <f t="shared" si="673"/>
        <v>0.4244520101153616</v>
      </c>
      <c r="DG235" s="150"/>
      <c r="DH235" s="150">
        <f t="shared" si="674"/>
        <v>2.1052631578947367</v>
      </c>
      <c r="DI235" s="314">
        <f t="shared" si="675"/>
        <v>216.6</v>
      </c>
      <c r="DJ235" s="456">
        <f t="shared" si="676"/>
        <v>0.36842105263157893</v>
      </c>
      <c r="DL235" s="150">
        <f t="shared" si="677"/>
        <v>0.85076995939532551</v>
      </c>
      <c r="DM235" s="150">
        <f t="shared" si="678"/>
        <v>1</v>
      </c>
      <c r="DN235" s="150">
        <f t="shared" si="679"/>
        <v>1.1237714285714286</v>
      </c>
      <c r="DP235" s="314">
        <f t="shared" si="680"/>
        <v>227.99999999999997</v>
      </c>
      <c r="DQ235" s="144">
        <f t="shared" si="681"/>
        <v>216.6</v>
      </c>
      <c r="DS235">
        <f t="shared" si="682"/>
        <v>227.99999999999997</v>
      </c>
      <c r="DT235">
        <f t="shared" si="683"/>
        <v>216.6</v>
      </c>
      <c r="DV235" s="5">
        <f t="shared" si="684"/>
        <v>4.6168051708217916</v>
      </c>
      <c r="DW235" s="5">
        <f t="shared" si="685"/>
        <v>0.2</v>
      </c>
      <c r="DX235" s="5">
        <f t="shared" si="686"/>
        <v>4.4168051708217915</v>
      </c>
      <c r="DY235" s="150">
        <f t="shared" si="687"/>
        <v>4.3319999999999997E-2</v>
      </c>
      <c r="EA235" s="5">
        <f t="shared" si="713"/>
        <v>0.91200000000000003</v>
      </c>
      <c r="EB235" s="5">
        <f t="shared" si="714"/>
        <v>0.11875000000000001</v>
      </c>
      <c r="EC235" s="5">
        <f t="shared" si="715"/>
        <v>3.496637426900584E-2</v>
      </c>
      <c r="ED235" s="5"/>
      <c r="EE235" s="150">
        <f t="shared" si="716"/>
        <v>0.12016655108639841</v>
      </c>
      <c r="EF235" s="150">
        <f t="shared" si="717"/>
        <v>0.56470641339844307</v>
      </c>
      <c r="EG235" s="150">
        <f t="shared" si="718"/>
        <v>0.1262284924067108</v>
      </c>
      <c r="EH235" s="150"/>
      <c r="EI235" s="456">
        <f t="shared" si="719"/>
        <v>2.8880000000000003E-4</v>
      </c>
      <c r="EJ235" s="456">
        <f t="shared" si="720"/>
        <v>0.28461239999999999</v>
      </c>
      <c r="EK235" s="456">
        <f t="shared" si="721"/>
        <v>2.7074999999999998E-2</v>
      </c>
      <c r="EL235" s="456">
        <f t="shared" si="722"/>
        <v>9.349517340000002E-2</v>
      </c>
      <c r="EM235">
        <f t="shared" si="723"/>
        <v>2.7E-2</v>
      </c>
      <c r="EN235" s="144">
        <f t="shared" si="724"/>
        <v>54.074999999999996</v>
      </c>
      <c r="EP235" s="144">
        <f t="shared" si="725"/>
        <v>432.4713734</v>
      </c>
      <c r="EQ235" s="150">
        <f t="shared" si="726"/>
        <v>0.15959999999999996</v>
      </c>
      <c r="ER235" s="150">
        <f t="shared" si="688"/>
        <v>2.1078125E-2</v>
      </c>
      <c r="ES235" s="456"/>
      <c r="EU235" s="144">
        <f t="shared" si="727"/>
        <v>180.67812499999997</v>
      </c>
      <c r="EV235" s="456">
        <f t="shared" si="728"/>
        <v>4.3319999999999996E-4</v>
      </c>
      <c r="EW235" s="456">
        <f t="shared" si="729"/>
        <v>9.5667999999999986E-3</v>
      </c>
      <c r="EX235" s="456">
        <f t="shared" si="730"/>
        <v>7.9668161476355233E-5</v>
      </c>
      <c r="EY235" s="456">
        <f t="shared" si="731"/>
        <v>3.452360468601897E-2</v>
      </c>
      <c r="EZ235" s="456"/>
      <c r="FA235" s="538">
        <f t="shared" si="732"/>
        <v>2.1660000000000003E-4</v>
      </c>
      <c r="FB235" s="144">
        <f t="shared" si="733"/>
        <v>44.819872847495319</v>
      </c>
      <c r="FC235" s="150">
        <f t="shared" si="734"/>
        <v>0.65796937124749533</v>
      </c>
      <c r="FD235" s="5">
        <f t="shared" si="735"/>
        <v>1.52</v>
      </c>
      <c r="FE235" s="150">
        <f t="shared" si="736"/>
        <v>0.69789778500391664</v>
      </c>
      <c r="FF235" s="5">
        <f t="shared" si="737"/>
        <v>69.789778500391662</v>
      </c>
      <c r="FG235">
        <f t="shared" si="738"/>
        <v>19</v>
      </c>
      <c r="FI235" s="59">
        <f t="shared" si="689"/>
        <v>-50</v>
      </c>
    </row>
    <row r="236" spans="5:165">
      <c r="E236" s="147">
        <v>20</v>
      </c>
      <c r="F236" s="188">
        <f t="shared" si="690"/>
        <v>0.24</v>
      </c>
      <c r="G236" s="188">
        <f t="shared" si="617"/>
        <v>0.05</v>
      </c>
      <c r="H236" s="188">
        <f t="shared" si="618"/>
        <v>1.2</v>
      </c>
      <c r="I236" s="188">
        <f t="shared" si="619"/>
        <v>0.4</v>
      </c>
      <c r="J236" s="465">
        <f t="shared" si="620"/>
        <v>59.963066902949564</v>
      </c>
      <c r="K236" s="379">
        <f t="shared" si="621"/>
        <v>5.7140487871737253</v>
      </c>
      <c r="L236" s="149">
        <f t="shared" si="622"/>
        <v>65.677115690123287</v>
      </c>
      <c r="M236" s="379"/>
      <c r="N236" s="188">
        <f t="shared" si="623"/>
        <v>8.7002127409700189E-2</v>
      </c>
      <c r="O236" s="149">
        <f t="shared" si="624"/>
        <v>9.7817144748127411</v>
      </c>
      <c r="P236" s="149">
        <f t="shared" si="625"/>
        <v>4.3474286554723287</v>
      </c>
      <c r="Q236" s="188">
        <f t="shared" si="626"/>
        <v>1.9563428949625483</v>
      </c>
      <c r="R236" s="188">
        <f t="shared" si="627"/>
        <v>1.2227143093515926</v>
      </c>
      <c r="S236" s="188">
        <f t="shared" si="628"/>
        <v>5</v>
      </c>
      <c r="T236" s="188">
        <f t="shared" si="629"/>
        <v>0.61338940279330367</v>
      </c>
      <c r="U236" s="188">
        <f t="shared" si="630"/>
        <v>0.12275344163821571</v>
      </c>
      <c r="V236" s="188">
        <f t="shared" si="631"/>
        <v>1.2881711563335059</v>
      </c>
      <c r="W236" s="172">
        <f t="shared" si="632"/>
        <v>350</v>
      </c>
      <c r="X236" s="379">
        <f t="shared" si="691"/>
        <v>350</v>
      </c>
      <c r="Z236" s="188">
        <f t="shared" si="633"/>
        <v>1.2421224729920939</v>
      </c>
      <c r="AA236" s="150">
        <f t="shared" si="634"/>
        <v>2.6085653502579995</v>
      </c>
      <c r="AB236" s="150">
        <f t="shared" si="635"/>
        <v>0.42527069075189394</v>
      </c>
      <c r="AC236" s="150"/>
      <c r="AD236" s="150">
        <f t="shared" si="636"/>
        <v>2.1000870743239526</v>
      </c>
      <c r="AE236" s="314">
        <f t="shared" si="637"/>
        <v>228.56195148694903</v>
      </c>
      <c r="AF236" s="456">
        <f t="shared" si="638"/>
        <v>0.36751523800669172</v>
      </c>
      <c r="AH236" s="150">
        <f t="shared" si="639"/>
        <v>0.87287156094396945</v>
      </c>
      <c r="AI236" s="150">
        <f t="shared" si="640"/>
        <v>1</v>
      </c>
      <c r="AJ236" s="150">
        <f t="shared" si="641"/>
        <v>1.1306068294211138</v>
      </c>
      <c r="AL236" s="314">
        <f t="shared" si="642"/>
        <v>240</v>
      </c>
      <c r="AM236" s="144">
        <f t="shared" si="643"/>
        <v>228.56195148694903</v>
      </c>
      <c r="AO236">
        <f t="shared" si="644"/>
        <v>240</v>
      </c>
      <c r="AP236">
        <f t="shared" si="645"/>
        <v>228.56195148694903</v>
      </c>
      <c r="AR236" s="5">
        <f t="shared" si="616"/>
        <v>4.3751814048415678</v>
      </c>
      <c r="AS236" s="5">
        <f t="shared" si="604"/>
        <v>0.20012318615093594</v>
      </c>
      <c r="AT236" s="5">
        <f t="shared" si="605"/>
        <v>4.1750582186906318</v>
      </c>
      <c r="AU236" s="150">
        <f t="shared" si="606"/>
        <v>4.5740545964443893E-2</v>
      </c>
      <c r="BA236" s="150">
        <f t="shared" si="692"/>
        <v>0.12347813026935026</v>
      </c>
      <c r="BB236" s="150">
        <f t="shared" si="693"/>
        <v>0.56399156436822584</v>
      </c>
      <c r="BC236" s="150">
        <f t="shared" si="694"/>
        <v>0.1260687026234858</v>
      </c>
      <c r="BD236" s="150"/>
      <c r="BE236" s="456">
        <f t="shared" si="695"/>
        <v>3.0493697309629263E-4</v>
      </c>
      <c r="BF236" s="456">
        <f t="shared" si="646"/>
        <v>0.28146168244066305</v>
      </c>
      <c r="BG236" s="456">
        <f t="shared" si="647"/>
        <v>0.34263188971201591</v>
      </c>
      <c r="BH236" s="456">
        <f t="shared" si="696"/>
        <v>9.8589821226624907E-2</v>
      </c>
      <c r="BI236">
        <f t="shared" si="697"/>
        <v>2.6983380106327302E-2</v>
      </c>
      <c r="BJ236" s="144">
        <f t="shared" si="698"/>
        <v>369.61526981834322</v>
      </c>
      <c r="BK236">
        <f t="shared" si="648"/>
        <v>0.38046633956025888</v>
      </c>
      <c r="BL236" s="144">
        <f t="shared" si="699"/>
        <v>749.97171045872756</v>
      </c>
      <c r="BM236" s="150">
        <f t="shared" si="649"/>
        <v>0.14909999999999998</v>
      </c>
      <c r="BN236" s="150">
        <f t="shared" si="650"/>
        <v>2.2187499999999999E-2</v>
      </c>
      <c r="BQ236" s="144">
        <f t="shared" si="700"/>
        <v>171.28749999999999</v>
      </c>
      <c r="BR236" s="456">
        <f t="shared" si="701"/>
        <v>4.5740545964443891E-4</v>
      </c>
      <c r="BS236" s="456">
        <f t="shared" si="702"/>
        <v>9.5425945403555586E-3</v>
      </c>
      <c r="BT236" s="456">
        <f t="shared" si="703"/>
        <v>7.9466588905844474E-5</v>
      </c>
      <c r="BU236" s="456">
        <f t="shared" si="704"/>
        <v>3.9489337060723537E-2</v>
      </c>
      <c r="BV236" s="456"/>
      <c r="BW236" s="538">
        <f t="shared" si="705"/>
        <v>2.2856195148694903E-4</v>
      </c>
      <c r="BX236" s="144">
        <f t="shared" si="706"/>
        <v>49.797365601116326</v>
      </c>
      <c r="BY236" s="150">
        <f t="shared" si="707"/>
        <v>0.97105657605984397</v>
      </c>
      <c r="BZ236" s="5">
        <f t="shared" si="708"/>
        <v>1.6</v>
      </c>
      <c r="CA236" s="150">
        <f t="shared" si="709"/>
        <v>0.62231224894008652</v>
      </c>
      <c r="CB236" s="5">
        <f t="shared" si="710"/>
        <v>62.231224894008655</v>
      </c>
      <c r="CC236">
        <f t="shared" si="711"/>
        <v>20</v>
      </c>
      <c r="CE236" s="59">
        <f t="shared" si="651"/>
        <v>-50</v>
      </c>
      <c r="CG236" s="150">
        <f t="shared" si="652"/>
        <v>0.51249975609750298</v>
      </c>
      <c r="CH236" s="150">
        <f t="shared" si="653"/>
        <v>0.27577641592229635</v>
      </c>
      <c r="CI236" s="147">
        <v>20</v>
      </c>
      <c r="CJ236" s="188">
        <f t="shared" si="712"/>
        <v>0.24</v>
      </c>
      <c r="CK236" s="188">
        <f t="shared" si="654"/>
        <v>0.05</v>
      </c>
      <c r="CL236" s="188">
        <f t="shared" si="655"/>
        <v>1.2</v>
      </c>
      <c r="CM236" s="188">
        <f t="shared" si="656"/>
        <v>0.4</v>
      </c>
      <c r="CN236" s="465">
        <f t="shared" si="657"/>
        <v>60</v>
      </c>
      <c r="CO236" s="379">
        <f t="shared" si="658"/>
        <v>5.7</v>
      </c>
      <c r="CP236" s="379">
        <f t="shared" si="659"/>
        <v>65.7</v>
      </c>
      <c r="CQ236" s="379"/>
      <c r="CR236" s="188">
        <f t="shared" si="660"/>
        <v>8.2568807339449546E-2</v>
      </c>
      <c r="CS236" s="149">
        <f t="shared" si="661"/>
        <v>9.2889908256880744</v>
      </c>
      <c r="CT236" s="149">
        <f t="shared" si="662"/>
        <v>4.1284403669724767</v>
      </c>
      <c r="CU236" s="188">
        <f t="shared" si="663"/>
        <v>1.857798165137615</v>
      </c>
      <c r="CV236" s="188">
        <f t="shared" si="664"/>
        <v>1.1611238532110093</v>
      </c>
      <c r="CW236" s="188">
        <f t="shared" si="665"/>
        <v>5</v>
      </c>
      <c r="CX236" s="188">
        <f t="shared" si="666"/>
        <v>0.6459259259259259</v>
      </c>
      <c r="CY236" s="188">
        <f t="shared" si="667"/>
        <v>0.12918518518518518</v>
      </c>
      <c r="CZ236" s="188">
        <f t="shared" si="668"/>
        <v>1.3598440545808967</v>
      </c>
      <c r="DA236" s="172">
        <f t="shared" si="669"/>
        <v>350</v>
      </c>
      <c r="DB236" s="379">
        <f t="shared" si="670"/>
        <v>350</v>
      </c>
      <c r="DD236" s="188">
        <f t="shared" si="671"/>
        <v>1.2393998695368558</v>
      </c>
      <c r="DE236" s="150">
        <f t="shared" si="672"/>
        <v>2.6092628832354858</v>
      </c>
      <c r="DF236" s="150">
        <f t="shared" si="673"/>
        <v>0.4244520101153616</v>
      </c>
      <c r="DG236" s="150"/>
      <c r="DH236" s="150">
        <f t="shared" si="674"/>
        <v>2.1052631578947367</v>
      </c>
      <c r="DI236" s="314">
        <f t="shared" si="675"/>
        <v>228</v>
      </c>
      <c r="DJ236" s="456">
        <f t="shared" si="676"/>
        <v>0.36842105263157893</v>
      </c>
      <c r="DL236" s="150">
        <f t="shared" si="677"/>
        <v>0.87287156094396945</v>
      </c>
      <c r="DM236" s="150">
        <f t="shared" si="678"/>
        <v>1</v>
      </c>
      <c r="DN236" s="150">
        <f t="shared" si="679"/>
        <v>1.1302857142857143</v>
      </c>
      <c r="DP236" s="314">
        <f t="shared" si="680"/>
        <v>240</v>
      </c>
      <c r="DQ236" s="144">
        <f t="shared" si="681"/>
        <v>228</v>
      </c>
      <c r="DS236">
        <f t="shared" si="682"/>
        <v>240</v>
      </c>
      <c r="DT236">
        <f t="shared" si="683"/>
        <v>228</v>
      </c>
      <c r="DV236" s="5">
        <f t="shared" si="684"/>
        <v>4.3859649122807012</v>
      </c>
      <c r="DW236" s="5">
        <f t="shared" si="685"/>
        <v>0.2</v>
      </c>
      <c r="DX236" s="5">
        <f t="shared" si="686"/>
        <v>4.185964912280701</v>
      </c>
      <c r="DY236" s="150">
        <f t="shared" si="687"/>
        <v>4.5600000000000009E-2</v>
      </c>
      <c r="EA236" s="5">
        <f t="shared" si="713"/>
        <v>0.96000000000000008</v>
      </c>
      <c r="EB236" s="5">
        <f t="shared" si="714"/>
        <v>0.12500000000000003</v>
      </c>
      <c r="EC236" s="5">
        <f t="shared" si="715"/>
        <v>3.4883040935672509E-2</v>
      </c>
      <c r="ED236" s="5"/>
      <c r="EE236" s="150">
        <f t="shared" si="716"/>
        <v>0.12328828005937954</v>
      </c>
      <c r="EF236" s="150">
        <f t="shared" si="717"/>
        <v>0.56403309595566586</v>
      </c>
      <c r="EG236" s="150">
        <f t="shared" si="718"/>
        <v>0.1260779861547959</v>
      </c>
      <c r="EH236" s="150"/>
      <c r="EI236" s="456">
        <f t="shared" si="719"/>
        <v>3.0400000000000007E-4</v>
      </c>
      <c r="EJ236" s="456">
        <f t="shared" si="720"/>
        <v>0.29959200000000002</v>
      </c>
      <c r="EK236" s="456">
        <f t="shared" si="721"/>
        <v>2.8499999999999998E-2</v>
      </c>
      <c r="EL236" s="456">
        <f t="shared" si="722"/>
        <v>9.8415972000000018E-2</v>
      </c>
      <c r="EM236">
        <f t="shared" si="723"/>
        <v>2.7E-2</v>
      </c>
      <c r="EN236" s="144">
        <f t="shared" si="724"/>
        <v>55.499999999999993</v>
      </c>
      <c r="EP236" s="144">
        <f t="shared" si="725"/>
        <v>453.81197200000008</v>
      </c>
      <c r="EQ236" s="150">
        <f t="shared" si="726"/>
        <v>0.16799999999999998</v>
      </c>
      <c r="ER236" s="150">
        <f t="shared" si="688"/>
        <v>2.2187499999999999E-2</v>
      </c>
      <c r="ES236" s="456"/>
      <c r="EU236" s="144">
        <f t="shared" si="727"/>
        <v>190.18749999999997</v>
      </c>
      <c r="EV236" s="456">
        <f t="shared" si="728"/>
        <v>4.5600000000000008E-4</v>
      </c>
      <c r="EW236" s="456">
        <f t="shared" si="729"/>
        <v>9.5440000000000004E-3</v>
      </c>
      <c r="EX236" s="456">
        <f t="shared" si="730"/>
        <v>7.9478292964244525E-5</v>
      </c>
      <c r="EY236" s="456">
        <f t="shared" si="731"/>
        <v>3.9247059328311476E-2</v>
      </c>
      <c r="EZ236" s="456"/>
      <c r="FA236" s="538">
        <f t="shared" si="732"/>
        <v>2.2800000000000001E-4</v>
      </c>
      <c r="FB236" s="144">
        <f t="shared" si="733"/>
        <v>49.55453762127572</v>
      </c>
      <c r="FC236" s="150">
        <f t="shared" si="734"/>
        <v>0.69355400962127589</v>
      </c>
      <c r="FD236" s="5">
        <f t="shared" si="735"/>
        <v>1.6</v>
      </c>
      <c r="FE236" s="150">
        <f t="shared" si="736"/>
        <v>0.69760729125546106</v>
      </c>
      <c r="FF236" s="5">
        <f t="shared" si="737"/>
        <v>69.760729125546106</v>
      </c>
      <c r="FG236">
        <f t="shared" si="738"/>
        <v>20</v>
      </c>
      <c r="FI236" s="59">
        <f t="shared" si="689"/>
        <v>-50</v>
      </c>
    </row>
    <row r="237" spans="5:165">
      <c r="E237" s="147">
        <v>21</v>
      </c>
      <c r="F237" s="188">
        <f t="shared" si="690"/>
        <v>0.252</v>
      </c>
      <c r="G237" s="188">
        <f t="shared" si="617"/>
        <v>5.2499999999999998E-2</v>
      </c>
      <c r="H237" s="188">
        <f t="shared" si="618"/>
        <v>1.26</v>
      </c>
      <c r="I237" s="188">
        <f t="shared" si="619"/>
        <v>0.42</v>
      </c>
      <c r="J237" s="465">
        <f t="shared" si="620"/>
        <v>59.963066902949564</v>
      </c>
      <c r="K237" s="379">
        <f t="shared" si="621"/>
        <v>5.7140487871737253</v>
      </c>
      <c r="L237" s="149">
        <f t="shared" si="622"/>
        <v>65.677115690123287</v>
      </c>
      <c r="M237" s="379"/>
      <c r="N237" s="188">
        <f t="shared" si="623"/>
        <v>8.7002127409700189E-2</v>
      </c>
      <c r="O237" s="149">
        <f t="shared" si="624"/>
        <v>9.7817144748127411</v>
      </c>
      <c r="P237" s="149">
        <f t="shared" si="625"/>
        <v>4.3474286554723287</v>
      </c>
      <c r="Q237" s="188">
        <f t="shared" si="626"/>
        <v>1.9563428949625483</v>
      </c>
      <c r="R237" s="188">
        <f t="shared" si="627"/>
        <v>1.2227143093515926</v>
      </c>
      <c r="S237" s="188">
        <f t="shared" si="628"/>
        <v>5</v>
      </c>
      <c r="T237" s="188">
        <f t="shared" si="629"/>
        <v>0.64405887293296882</v>
      </c>
      <c r="U237" s="188">
        <f t="shared" si="630"/>
        <v>0.12889111372012652</v>
      </c>
      <c r="V237" s="188">
        <f t="shared" si="631"/>
        <v>1.3525797141501812</v>
      </c>
      <c r="W237" s="172">
        <f t="shared" si="632"/>
        <v>350</v>
      </c>
      <c r="X237" s="379">
        <f t="shared" si="691"/>
        <v>350</v>
      </c>
      <c r="Z237" s="188">
        <f t="shared" si="633"/>
        <v>1.2421224729920939</v>
      </c>
      <c r="AA237" s="150">
        <f t="shared" si="634"/>
        <v>2.6085653502579995</v>
      </c>
      <c r="AB237" s="150">
        <f t="shared" si="635"/>
        <v>0.42527069075189394</v>
      </c>
      <c r="AC237" s="150"/>
      <c r="AD237" s="150">
        <f t="shared" si="636"/>
        <v>2.1000870743239526</v>
      </c>
      <c r="AE237" s="314">
        <f t="shared" si="637"/>
        <v>239.99004906129645</v>
      </c>
      <c r="AF237" s="456">
        <f t="shared" si="638"/>
        <v>0.36751523800669172</v>
      </c>
      <c r="AH237" s="150">
        <f t="shared" si="639"/>
        <v>0.89442719099991586</v>
      </c>
      <c r="AI237" s="150">
        <f t="shared" si="640"/>
        <v>1</v>
      </c>
      <c r="AJ237" s="150">
        <f t="shared" si="641"/>
        <v>1.1371371708921694</v>
      </c>
      <c r="AL237" s="314">
        <f t="shared" si="642"/>
        <v>252</v>
      </c>
      <c r="AM237" s="144">
        <f t="shared" si="643"/>
        <v>239.99004906129645</v>
      </c>
      <c r="AO237">
        <f t="shared" si="644"/>
        <v>252</v>
      </c>
      <c r="AP237">
        <f t="shared" si="645"/>
        <v>239.99004906129645</v>
      </c>
      <c r="AR237" s="5">
        <f t="shared" si="616"/>
        <v>4.1668394331824468</v>
      </c>
      <c r="AS237" s="5">
        <f t="shared" si="604"/>
        <v>0.20012318615093594</v>
      </c>
      <c r="AT237" s="5">
        <f t="shared" si="605"/>
        <v>3.9667162470315107</v>
      </c>
      <c r="AU237" s="150">
        <f t="shared" si="606"/>
        <v>4.8027573262666073E-2</v>
      </c>
      <c r="BA237" s="150">
        <f t="shared" si="692"/>
        <v>0.12652743215427775</v>
      </c>
      <c r="BB237" s="150">
        <f t="shared" si="693"/>
        <v>0.56331531334216189</v>
      </c>
      <c r="BC237" s="150">
        <f t="shared" si="694"/>
        <v>0.12591754062942442</v>
      </c>
      <c r="BD237" s="150"/>
      <c r="BE237" s="456">
        <f t="shared" si="695"/>
        <v>3.2018382175110724E-4</v>
      </c>
      <c r="BF237" s="456">
        <f t="shared" si="646"/>
        <v>0.29553476656269617</v>
      </c>
      <c r="BG237" s="456">
        <f t="shared" si="647"/>
        <v>0.35976348419761667</v>
      </c>
      <c r="BH237" s="456">
        <f t="shared" si="696"/>
        <v>0.10351931228795615</v>
      </c>
      <c r="BI237">
        <f t="shared" si="697"/>
        <v>2.6983380106327302E-2</v>
      </c>
      <c r="BJ237" s="144">
        <f t="shared" si="698"/>
        <v>386.74686430394394</v>
      </c>
      <c r="BK237">
        <f t="shared" si="648"/>
        <v>0.39949110386007758</v>
      </c>
      <c r="BL237" s="144">
        <f t="shared" si="699"/>
        <v>786.12112697634734</v>
      </c>
      <c r="BM237" s="150">
        <f t="shared" si="649"/>
        <v>0.156555</v>
      </c>
      <c r="BN237" s="150">
        <f t="shared" si="650"/>
        <v>2.3296874999999998E-2</v>
      </c>
      <c r="BQ237" s="144">
        <f t="shared" si="700"/>
        <v>179.85187500000001</v>
      </c>
      <c r="BR237" s="456">
        <f t="shared" si="701"/>
        <v>4.8027573262666084E-4</v>
      </c>
      <c r="BS237" s="456">
        <f t="shared" si="702"/>
        <v>9.5197242673733407E-3</v>
      </c>
      <c r="BT237" s="456">
        <f t="shared" si="703"/>
        <v>7.9276135190813749E-5</v>
      </c>
      <c r="BU237" s="456">
        <f t="shared" si="704"/>
        <v>4.4612143513738378E-2</v>
      </c>
      <c r="BV237" s="456"/>
      <c r="BW237" s="538">
        <f t="shared" si="705"/>
        <v>2.3999004906129649E-4</v>
      </c>
      <c r="BX237" s="144">
        <f t="shared" si="706"/>
        <v>54.931409697990489</v>
      </c>
      <c r="BY237" s="150">
        <f t="shared" si="707"/>
        <v>1.0209044116743378</v>
      </c>
      <c r="BZ237" s="5">
        <f t="shared" si="708"/>
        <v>1.68</v>
      </c>
      <c r="CA237" s="150">
        <f t="shared" si="709"/>
        <v>0.62201386792453672</v>
      </c>
      <c r="CB237" s="5">
        <f t="shared" si="710"/>
        <v>62.201386792453675</v>
      </c>
      <c r="CC237">
        <f t="shared" si="711"/>
        <v>21.000000000000004</v>
      </c>
      <c r="CE237" s="59">
        <f t="shared" si="651"/>
        <v>-50</v>
      </c>
      <c r="CG237" s="150">
        <f t="shared" si="652"/>
        <v>0.53812474390237808</v>
      </c>
      <c r="CH237" s="150">
        <f t="shared" si="653"/>
        <v>0.28956523671841111</v>
      </c>
      <c r="CI237" s="147">
        <v>21</v>
      </c>
      <c r="CJ237" s="188">
        <f t="shared" si="712"/>
        <v>0.252</v>
      </c>
      <c r="CK237" s="188">
        <f t="shared" si="654"/>
        <v>5.2499999999999998E-2</v>
      </c>
      <c r="CL237" s="188">
        <f t="shared" si="655"/>
        <v>1.26</v>
      </c>
      <c r="CM237" s="188">
        <f t="shared" si="656"/>
        <v>0.42</v>
      </c>
      <c r="CN237" s="465">
        <f t="shared" si="657"/>
        <v>60</v>
      </c>
      <c r="CO237" s="379">
        <f t="shared" si="658"/>
        <v>5.7</v>
      </c>
      <c r="CP237" s="379">
        <f t="shared" si="659"/>
        <v>65.7</v>
      </c>
      <c r="CQ237" s="379"/>
      <c r="CR237" s="188">
        <f t="shared" si="660"/>
        <v>8.2568807339449546E-2</v>
      </c>
      <c r="CS237" s="149">
        <f t="shared" si="661"/>
        <v>9.2889908256880744</v>
      </c>
      <c r="CT237" s="149">
        <f t="shared" si="662"/>
        <v>4.1284403669724767</v>
      </c>
      <c r="CU237" s="188">
        <f t="shared" si="663"/>
        <v>1.857798165137615</v>
      </c>
      <c r="CV237" s="188">
        <f t="shared" si="664"/>
        <v>1.1611238532110093</v>
      </c>
      <c r="CW237" s="188">
        <f t="shared" si="665"/>
        <v>5</v>
      </c>
      <c r="CX237" s="188">
        <f t="shared" si="666"/>
        <v>0.67822222222222217</v>
      </c>
      <c r="CY237" s="188">
        <f t="shared" si="667"/>
        <v>0.13564444444444443</v>
      </c>
      <c r="CZ237" s="188">
        <f t="shared" si="668"/>
        <v>1.4278362573099412</v>
      </c>
      <c r="DA237" s="172">
        <f t="shared" si="669"/>
        <v>350</v>
      </c>
      <c r="DB237" s="379">
        <f t="shared" si="670"/>
        <v>350</v>
      </c>
      <c r="DD237" s="188">
        <f t="shared" si="671"/>
        <v>1.2393998695368558</v>
      </c>
      <c r="DE237" s="150">
        <f t="shared" si="672"/>
        <v>2.6092628832354858</v>
      </c>
      <c r="DF237" s="150">
        <f t="shared" si="673"/>
        <v>0.4244520101153616</v>
      </c>
      <c r="DG237" s="150"/>
      <c r="DH237" s="150">
        <f t="shared" si="674"/>
        <v>2.1052631578947367</v>
      </c>
      <c r="DI237" s="314">
        <f t="shared" si="675"/>
        <v>239.4</v>
      </c>
      <c r="DJ237" s="456">
        <f t="shared" si="676"/>
        <v>0.36842105263157893</v>
      </c>
      <c r="DL237" s="150">
        <f t="shared" si="677"/>
        <v>0.89442719099991586</v>
      </c>
      <c r="DM237" s="150">
        <f t="shared" si="678"/>
        <v>1</v>
      </c>
      <c r="DN237" s="150">
        <f t="shared" si="679"/>
        <v>1.1368</v>
      </c>
      <c r="DP237" s="314">
        <f t="shared" si="680"/>
        <v>252</v>
      </c>
      <c r="DQ237" s="144">
        <f t="shared" si="681"/>
        <v>239.4</v>
      </c>
      <c r="DS237">
        <f t="shared" si="682"/>
        <v>252</v>
      </c>
      <c r="DT237">
        <f t="shared" si="683"/>
        <v>239.4</v>
      </c>
      <c r="DV237" s="5">
        <f t="shared" si="684"/>
        <v>4.1771094402673352</v>
      </c>
      <c r="DW237" s="5">
        <f t="shared" si="685"/>
        <v>0.2</v>
      </c>
      <c r="DX237" s="5">
        <f t="shared" si="686"/>
        <v>3.977109440267335</v>
      </c>
      <c r="DY237" s="150">
        <f t="shared" si="687"/>
        <v>4.7879999999999999E-2</v>
      </c>
      <c r="EA237" s="5">
        <f t="shared" si="713"/>
        <v>1.008</v>
      </c>
      <c r="EB237" s="5">
        <f t="shared" si="714"/>
        <v>0.13125000000000001</v>
      </c>
      <c r="EC237" s="5">
        <f t="shared" si="715"/>
        <v>3.4799707602339178E-2</v>
      </c>
      <c r="ED237" s="5"/>
      <c r="EE237" s="150">
        <f t="shared" si="716"/>
        <v>0.12633289357883004</v>
      </c>
      <c r="EF237" s="150">
        <f t="shared" si="717"/>
        <v>0.56335897377545463</v>
      </c>
      <c r="EG237" s="150">
        <f t="shared" si="718"/>
        <v>0.12592730002039576</v>
      </c>
      <c r="EH237" s="150"/>
      <c r="EI237" s="456">
        <f t="shared" si="719"/>
        <v>3.191999999999999E-4</v>
      </c>
      <c r="EJ237" s="456">
        <f t="shared" si="720"/>
        <v>0.31457160000000006</v>
      </c>
      <c r="EK237" s="456">
        <f t="shared" si="721"/>
        <v>2.9925E-2</v>
      </c>
      <c r="EL237" s="456">
        <f t="shared" si="722"/>
        <v>0.10333677060000003</v>
      </c>
      <c r="EM237">
        <f t="shared" si="723"/>
        <v>2.7E-2</v>
      </c>
      <c r="EN237" s="144">
        <f t="shared" si="724"/>
        <v>56.925000000000004</v>
      </c>
      <c r="EP237" s="144">
        <f t="shared" si="725"/>
        <v>475.1525706000001</v>
      </c>
      <c r="EQ237" s="150">
        <f t="shared" si="726"/>
        <v>0.1764</v>
      </c>
      <c r="ER237" s="150">
        <f t="shared" si="688"/>
        <v>2.3296874999999998E-2</v>
      </c>
      <c r="ES237" s="456"/>
      <c r="EU237" s="144">
        <f t="shared" si="727"/>
        <v>199.69687500000001</v>
      </c>
      <c r="EV237" s="456">
        <f t="shared" si="728"/>
        <v>4.7879999999999982E-4</v>
      </c>
      <c r="EW237" s="456">
        <f t="shared" si="729"/>
        <v>9.5212000000000022E-3</v>
      </c>
      <c r="EX237" s="456">
        <f t="shared" si="730"/>
        <v>7.9288424452133845E-5</v>
      </c>
      <c r="EY237" s="456">
        <f t="shared" si="731"/>
        <v>4.4338435982210829E-2</v>
      </c>
      <c r="EZ237" s="456"/>
      <c r="FA237" s="538">
        <f t="shared" si="732"/>
        <v>2.3940000000000005E-4</v>
      </c>
      <c r="FB237" s="144">
        <f t="shared" si="733"/>
        <v>54.657124406662966</v>
      </c>
      <c r="FC237" s="150">
        <f t="shared" si="734"/>
        <v>0.72950657000666308</v>
      </c>
      <c r="FD237" s="5">
        <f t="shared" si="735"/>
        <v>1.68</v>
      </c>
      <c r="FE237" s="150">
        <f t="shared" si="736"/>
        <v>0.69723819013921762</v>
      </c>
      <c r="FF237" s="5">
        <f t="shared" si="737"/>
        <v>69.723819013921755</v>
      </c>
      <c r="FG237">
        <f t="shared" si="738"/>
        <v>21.000000000000004</v>
      </c>
      <c r="FI237" s="59">
        <f t="shared" si="689"/>
        <v>-50</v>
      </c>
    </row>
    <row r="238" spans="5:165">
      <c r="E238" s="147">
        <v>22</v>
      </c>
      <c r="F238" s="188">
        <f t="shared" si="690"/>
        <v>0.26400000000000001</v>
      </c>
      <c r="G238" s="188">
        <f t="shared" si="617"/>
        <v>5.5E-2</v>
      </c>
      <c r="H238" s="188">
        <f t="shared" si="618"/>
        <v>1.32</v>
      </c>
      <c r="I238" s="188">
        <f t="shared" si="619"/>
        <v>0.44</v>
      </c>
      <c r="J238" s="465">
        <f t="shared" si="620"/>
        <v>59.963066902949564</v>
      </c>
      <c r="K238" s="379">
        <f t="shared" si="621"/>
        <v>5.7140487871737253</v>
      </c>
      <c r="L238" s="149">
        <f t="shared" si="622"/>
        <v>65.677115690123287</v>
      </c>
      <c r="M238" s="379"/>
      <c r="N238" s="188">
        <f t="shared" si="623"/>
        <v>8.7002127409700189E-2</v>
      </c>
      <c r="O238" s="149">
        <f t="shared" si="624"/>
        <v>9.7817144748127411</v>
      </c>
      <c r="P238" s="149">
        <f t="shared" si="625"/>
        <v>4.3474286554723287</v>
      </c>
      <c r="Q238" s="188">
        <f t="shared" si="626"/>
        <v>1.9563428949625483</v>
      </c>
      <c r="R238" s="188">
        <f t="shared" si="627"/>
        <v>1.2227143093515926</v>
      </c>
      <c r="S238" s="188">
        <f t="shared" si="628"/>
        <v>5</v>
      </c>
      <c r="T238" s="188">
        <f t="shared" si="629"/>
        <v>0.67472834307263396</v>
      </c>
      <c r="U238" s="188">
        <f t="shared" si="630"/>
        <v>0.13502878580203728</v>
      </c>
      <c r="V238" s="188">
        <f t="shared" si="631"/>
        <v>1.4169882719668563</v>
      </c>
      <c r="W238" s="172">
        <f t="shared" si="632"/>
        <v>350</v>
      </c>
      <c r="X238" s="379">
        <f t="shared" si="691"/>
        <v>350</v>
      </c>
      <c r="Z238" s="188">
        <f t="shared" si="633"/>
        <v>1.2421224729920939</v>
      </c>
      <c r="AA238" s="150">
        <f t="shared" si="634"/>
        <v>2.6085653502579995</v>
      </c>
      <c r="AB238" s="150">
        <f t="shared" si="635"/>
        <v>0.42527069075189394</v>
      </c>
      <c r="AC238" s="150"/>
      <c r="AD238" s="150">
        <f t="shared" si="636"/>
        <v>2.1000870743239526</v>
      </c>
      <c r="AE238" s="314">
        <f t="shared" si="637"/>
        <v>251.41814663564392</v>
      </c>
      <c r="AF238" s="456">
        <f t="shared" si="638"/>
        <v>0.36751523800669172</v>
      </c>
      <c r="AH238" s="150">
        <f t="shared" si="639"/>
        <v>0.91547541643412689</v>
      </c>
      <c r="AI238" s="150">
        <f t="shared" si="640"/>
        <v>1</v>
      </c>
      <c r="AJ238" s="150">
        <f t="shared" si="641"/>
        <v>1.1436675123632252</v>
      </c>
      <c r="AL238" s="314">
        <f t="shared" si="642"/>
        <v>264</v>
      </c>
      <c r="AM238" s="144">
        <f t="shared" si="643"/>
        <v>251.41814663564392</v>
      </c>
      <c r="AO238">
        <f t="shared" si="644"/>
        <v>264</v>
      </c>
      <c r="AP238">
        <f t="shared" si="645"/>
        <v>251.41814663564392</v>
      </c>
      <c r="AR238" s="5">
        <f t="shared" si="616"/>
        <v>3.977437640765062</v>
      </c>
      <c r="AS238" s="5">
        <f t="shared" si="604"/>
        <v>0.20012318615093594</v>
      </c>
      <c r="AT238" s="5">
        <f t="shared" si="605"/>
        <v>3.777314454614126</v>
      </c>
      <c r="AU238" s="150">
        <f t="shared" si="606"/>
        <v>5.0314600560888281E-2</v>
      </c>
      <c r="BA238" s="150">
        <f t="shared" si="692"/>
        <v>0.12950495558200115</v>
      </c>
      <c r="BB238" s="150">
        <f t="shared" si="693"/>
        <v>0.56263824951120878</v>
      </c>
      <c r="BC238" s="150">
        <f t="shared" si="694"/>
        <v>0.12576619694956431</v>
      </c>
      <c r="BD238" s="150"/>
      <c r="BE238" s="456">
        <f t="shared" si="695"/>
        <v>3.3543067040592181E-4</v>
      </c>
      <c r="BF238" s="456">
        <f t="shared" si="646"/>
        <v>0.30960785068472935</v>
      </c>
      <c r="BG238" s="456">
        <f t="shared" si="647"/>
        <v>0.37689507868321753</v>
      </c>
      <c r="BH238" s="456">
        <f t="shared" si="696"/>
        <v>0.1084488033492874</v>
      </c>
      <c r="BI238">
        <f t="shared" si="697"/>
        <v>2.6983380106327302E-2</v>
      </c>
      <c r="BJ238" s="144">
        <f t="shared" si="698"/>
        <v>403.87845878954482</v>
      </c>
      <c r="BK238">
        <f t="shared" si="648"/>
        <v>0.41851600601105482</v>
      </c>
      <c r="BL238" s="144">
        <f t="shared" si="699"/>
        <v>822.27054349396747</v>
      </c>
      <c r="BM238" s="150">
        <f t="shared" si="649"/>
        <v>0.16400999999999999</v>
      </c>
      <c r="BN238" s="150">
        <f t="shared" si="650"/>
        <v>2.4406249999999997E-2</v>
      </c>
      <c r="BQ238" s="144">
        <f t="shared" si="700"/>
        <v>188.41624999999999</v>
      </c>
      <c r="BR238" s="456">
        <f t="shared" si="701"/>
        <v>5.031460056088826E-4</v>
      </c>
      <c r="BS238" s="456">
        <f t="shared" si="702"/>
        <v>9.4968539943911159E-3</v>
      </c>
      <c r="BT238" s="456">
        <f t="shared" si="703"/>
        <v>7.9085681475782996E-5</v>
      </c>
      <c r="BU238" s="456">
        <f t="shared" si="704"/>
        <v>5.0114287002369008E-2</v>
      </c>
      <c r="BV238" s="456"/>
      <c r="BW238" s="538">
        <f t="shared" si="705"/>
        <v>2.5141814663564395E-4</v>
      </c>
      <c r="BX238" s="144">
        <f t="shared" si="706"/>
        <v>60.444790830480436</v>
      </c>
      <c r="BY238" s="150">
        <f t="shared" si="707"/>
        <v>1.0711315843244478</v>
      </c>
      <c r="BZ238" s="5">
        <f t="shared" si="708"/>
        <v>1.76</v>
      </c>
      <c r="CA238" s="150">
        <f t="shared" si="709"/>
        <v>0.621659554697089</v>
      </c>
      <c r="CB238" s="5">
        <f t="shared" si="710"/>
        <v>62.165955469708898</v>
      </c>
      <c r="CC238">
        <f t="shared" si="711"/>
        <v>22.000000000000004</v>
      </c>
      <c r="CE238" s="59">
        <f t="shared" si="651"/>
        <v>-50</v>
      </c>
      <c r="CG238" s="150">
        <f t="shared" si="652"/>
        <v>0.56374973170725329</v>
      </c>
      <c r="CH238" s="150">
        <f t="shared" si="653"/>
        <v>0.30335405751452599</v>
      </c>
      <c r="CI238" s="147">
        <v>22</v>
      </c>
      <c r="CJ238" s="188">
        <f t="shared" si="712"/>
        <v>0.26400000000000001</v>
      </c>
      <c r="CK238" s="188">
        <f t="shared" si="654"/>
        <v>5.5E-2</v>
      </c>
      <c r="CL238" s="188">
        <f t="shared" si="655"/>
        <v>1.32</v>
      </c>
      <c r="CM238" s="188">
        <f t="shared" si="656"/>
        <v>0.44</v>
      </c>
      <c r="CN238" s="465">
        <f t="shared" si="657"/>
        <v>60</v>
      </c>
      <c r="CO238" s="379">
        <f t="shared" si="658"/>
        <v>5.7</v>
      </c>
      <c r="CP238" s="379">
        <f t="shared" si="659"/>
        <v>65.7</v>
      </c>
      <c r="CQ238" s="379"/>
      <c r="CR238" s="188">
        <f t="shared" si="660"/>
        <v>8.2568807339449546E-2</v>
      </c>
      <c r="CS238" s="149">
        <f t="shared" si="661"/>
        <v>9.2889908256880744</v>
      </c>
      <c r="CT238" s="149">
        <f t="shared" si="662"/>
        <v>4.1284403669724767</v>
      </c>
      <c r="CU238" s="188">
        <f t="shared" si="663"/>
        <v>1.857798165137615</v>
      </c>
      <c r="CV238" s="188">
        <f t="shared" si="664"/>
        <v>1.1611238532110093</v>
      </c>
      <c r="CW238" s="188">
        <f t="shared" si="665"/>
        <v>5</v>
      </c>
      <c r="CX238" s="188">
        <f t="shared" si="666"/>
        <v>0.71051851851851844</v>
      </c>
      <c r="CY238" s="188">
        <f t="shared" si="667"/>
        <v>0.1421037037037037</v>
      </c>
      <c r="CZ238" s="188">
        <f t="shared" si="668"/>
        <v>1.495828460038986</v>
      </c>
      <c r="DA238" s="172">
        <f t="shared" si="669"/>
        <v>350</v>
      </c>
      <c r="DB238" s="379">
        <f t="shared" si="670"/>
        <v>350</v>
      </c>
      <c r="DD238" s="188">
        <f t="shared" si="671"/>
        <v>1.2393998695368558</v>
      </c>
      <c r="DE238" s="150">
        <f t="shared" si="672"/>
        <v>2.6092628832354858</v>
      </c>
      <c r="DF238" s="150">
        <f t="shared" si="673"/>
        <v>0.4244520101153616</v>
      </c>
      <c r="DG238" s="150"/>
      <c r="DH238" s="150">
        <f t="shared" si="674"/>
        <v>2.1052631578947367</v>
      </c>
      <c r="DI238" s="314">
        <f t="shared" si="675"/>
        <v>250.80000000000004</v>
      </c>
      <c r="DJ238" s="456">
        <f t="shared" si="676"/>
        <v>0.36842105263157893</v>
      </c>
      <c r="DL238" s="150">
        <f t="shared" si="677"/>
        <v>0.91547541643412689</v>
      </c>
      <c r="DM238" s="150">
        <f t="shared" si="678"/>
        <v>1</v>
      </c>
      <c r="DN238" s="150">
        <f t="shared" si="679"/>
        <v>1.1433142857142857</v>
      </c>
      <c r="DP238" s="314">
        <f t="shared" si="680"/>
        <v>264</v>
      </c>
      <c r="DQ238" s="144">
        <f t="shared" si="681"/>
        <v>250.80000000000004</v>
      </c>
      <c r="DS238">
        <f t="shared" si="682"/>
        <v>264</v>
      </c>
      <c r="DT238">
        <f t="shared" si="683"/>
        <v>250.80000000000004</v>
      </c>
      <c r="DV238" s="5">
        <f t="shared" si="684"/>
        <v>3.9872408293460921</v>
      </c>
      <c r="DW238" s="5">
        <f t="shared" si="685"/>
        <v>0.2</v>
      </c>
      <c r="DX238" s="5">
        <f t="shared" si="686"/>
        <v>3.787240829346092</v>
      </c>
      <c r="DY238" s="150">
        <f t="shared" si="687"/>
        <v>5.016000000000001E-2</v>
      </c>
      <c r="EA238" s="5">
        <f t="shared" si="713"/>
        <v>1.056</v>
      </c>
      <c r="EB238" s="5">
        <f t="shared" si="714"/>
        <v>0.13750000000000001</v>
      </c>
      <c r="EC238" s="5">
        <f t="shared" si="715"/>
        <v>3.471637426900584E-2</v>
      </c>
      <c r="ED238" s="5"/>
      <c r="EE238" s="150">
        <f t="shared" si="716"/>
        <v>0.12930583900195691</v>
      </c>
      <c r="EF238" s="150">
        <f t="shared" si="717"/>
        <v>0.56268404396546856</v>
      </c>
      <c r="EG238" s="150">
        <f t="shared" si="718"/>
        <v>0.1257764333569871</v>
      </c>
      <c r="EH238" s="150"/>
      <c r="EI238" s="456">
        <f t="shared" si="719"/>
        <v>3.3440000000000005E-4</v>
      </c>
      <c r="EJ238" s="456">
        <f t="shared" si="720"/>
        <v>0.3295512000000001</v>
      </c>
      <c r="EK238" s="456">
        <f t="shared" si="721"/>
        <v>3.1350000000000003E-2</v>
      </c>
      <c r="EL238" s="456">
        <f t="shared" si="722"/>
        <v>0.10825756920000004</v>
      </c>
      <c r="EM238">
        <f t="shared" si="723"/>
        <v>2.7E-2</v>
      </c>
      <c r="EN238" s="144">
        <f t="shared" si="724"/>
        <v>58.35</v>
      </c>
      <c r="EP238" s="144">
        <f t="shared" si="725"/>
        <v>496.49316920000018</v>
      </c>
      <c r="EQ238" s="150">
        <f t="shared" si="726"/>
        <v>0.18479999999999999</v>
      </c>
      <c r="ER238" s="150">
        <f t="shared" si="688"/>
        <v>2.4406249999999997E-2</v>
      </c>
      <c r="ES238" s="456"/>
      <c r="EU238" s="144">
        <f t="shared" si="727"/>
        <v>209.20624999999998</v>
      </c>
      <c r="EV238" s="456">
        <f t="shared" si="728"/>
        <v>5.0160000000000005E-4</v>
      </c>
      <c r="EW238" s="456">
        <f t="shared" si="729"/>
        <v>9.4984000000000006E-3</v>
      </c>
      <c r="EX238" s="456">
        <f t="shared" si="730"/>
        <v>7.9098555940023083E-5</v>
      </c>
      <c r="EY238" s="456">
        <f t="shared" si="731"/>
        <v>4.9806822336712277E-2</v>
      </c>
      <c r="EZ238" s="456"/>
      <c r="FA238" s="538">
        <f t="shared" si="732"/>
        <v>2.5080000000000002E-4</v>
      </c>
      <c r="FB238" s="144">
        <f t="shared" si="733"/>
        <v>60.136720892652306</v>
      </c>
      <c r="FC238" s="150">
        <f t="shared" si="734"/>
        <v>0.76583614009265244</v>
      </c>
      <c r="FD238" s="5">
        <f t="shared" si="735"/>
        <v>1.76</v>
      </c>
      <c r="FE238" s="150">
        <f t="shared" si="736"/>
        <v>0.69679896176299061</v>
      </c>
      <c r="FF238" s="5">
        <f t="shared" si="737"/>
        <v>69.679896176299067</v>
      </c>
      <c r="FG238">
        <f t="shared" si="738"/>
        <v>22.000000000000004</v>
      </c>
      <c r="FI238" s="59">
        <f t="shared" si="689"/>
        <v>-50</v>
      </c>
    </row>
    <row r="239" spans="5:165">
      <c r="E239" s="147">
        <v>23</v>
      </c>
      <c r="F239" s="188">
        <f t="shared" si="690"/>
        <v>0.27600000000000002</v>
      </c>
      <c r="G239" s="188">
        <f t="shared" si="617"/>
        <v>5.7500000000000002E-2</v>
      </c>
      <c r="H239" s="188">
        <f t="shared" si="618"/>
        <v>1.3800000000000001</v>
      </c>
      <c r="I239" s="188">
        <f t="shared" si="619"/>
        <v>0.46</v>
      </c>
      <c r="J239" s="465">
        <f t="shared" si="620"/>
        <v>59.963066902949564</v>
      </c>
      <c r="K239" s="379">
        <f t="shared" si="621"/>
        <v>5.7140487871737253</v>
      </c>
      <c r="L239" s="149">
        <f t="shared" si="622"/>
        <v>65.677115690123287</v>
      </c>
      <c r="M239" s="379"/>
      <c r="N239" s="188">
        <f t="shared" si="623"/>
        <v>8.7002127409700189E-2</v>
      </c>
      <c r="O239" s="149">
        <f t="shared" si="624"/>
        <v>9.7817144748127411</v>
      </c>
      <c r="P239" s="149">
        <f t="shared" si="625"/>
        <v>4.3474286554723287</v>
      </c>
      <c r="Q239" s="188">
        <f t="shared" si="626"/>
        <v>1.9563428949625483</v>
      </c>
      <c r="R239" s="188">
        <f t="shared" si="627"/>
        <v>1.2227143093515926</v>
      </c>
      <c r="S239" s="188">
        <f t="shared" si="628"/>
        <v>5</v>
      </c>
      <c r="T239" s="188">
        <f t="shared" si="629"/>
        <v>0.70539781321229922</v>
      </c>
      <c r="U239" s="188">
        <f t="shared" si="630"/>
        <v>0.1411664578839481</v>
      </c>
      <c r="V239" s="188">
        <f t="shared" si="631"/>
        <v>1.4813968297835316</v>
      </c>
      <c r="W239" s="172">
        <f t="shared" si="632"/>
        <v>350</v>
      </c>
      <c r="X239" s="379">
        <f t="shared" si="691"/>
        <v>350</v>
      </c>
      <c r="Z239" s="188">
        <f t="shared" si="633"/>
        <v>1.2421224729920939</v>
      </c>
      <c r="AA239" s="150">
        <f t="shared" si="634"/>
        <v>2.6085653502579995</v>
      </c>
      <c r="AB239" s="150">
        <f t="shared" si="635"/>
        <v>0.42527069075189394</v>
      </c>
      <c r="AC239" s="150"/>
      <c r="AD239" s="150">
        <f t="shared" si="636"/>
        <v>2.1000870743239526</v>
      </c>
      <c r="AE239" s="314">
        <f t="shared" si="637"/>
        <v>262.84624420999143</v>
      </c>
      <c r="AF239" s="456">
        <f t="shared" si="638"/>
        <v>0.36751523800669172</v>
      </c>
      <c r="AH239" s="150">
        <f t="shared" si="639"/>
        <v>0.93605046668995162</v>
      </c>
      <c r="AI239" s="150">
        <f t="shared" si="640"/>
        <v>1</v>
      </c>
      <c r="AJ239" s="150">
        <f t="shared" si="641"/>
        <v>1.1501978538342807</v>
      </c>
      <c r="AL239" s="314">
        <f t="shared" si="642"/>
        <v>276</v>
      </c>
      <c r="AM239" s="144">
        <f t="shared" si="643"/>
        <v>262.84624420999143</v>
      </c>
      <c r="AO239">
        <f t="shared" si="644"/>
        <v>276</v>
      </c>
      <c r="AP239">
        <f t="shared" si="645"/>
        <v>262.84624420999143</v>
      </c>
      <c r="AR239" s="5">
        <f t="shared" si="616"/>
        <v>3.8045055694274499</v>
      </c>
      <c r="AS239" s="5">
        <f t="shared" si="604"/>
        <v>0.20012318615093594</v>
      </c>
      <c r="AT239" s="5">
        <f t="shared" si="605"/>
        <v>3.6043823832765138</v>
      </c>
      <c r="AU239" s="150">
        <f t="shared" si="606"/>
        <v>5.2601627859110482E-2</v>
      </c>
      <c r="BA239" s="150">
        <f t="shared" si="692"/>
        <v>0.13241554271699688</v>
      </c>
      <c r="BB239" s="150">
        <f t="shared" si="693"/>
        <v>0.5619603699375042</v>
      </c>
      <c r="BC239" s="150">
        <f t="shared" si="694"/>
        <v>0.12561467092720682</v>
      </c>
      <c r="BD239" s="150"/>
      <c r="BE239" s="456">
        <f t="shared" si="695"/>
        <v>3.5067751906073648E-4</v>
      </c>
      <c r="BF239" s="456">
        <f t="shared" si="646"/>
        <v>0.32368093480676258</v>
      </c>
      <c r="BG239" s="456">
        <f t="shared" si="647"/>
        <v>0.3940266731688184</v>
      </c>
      <c r="BH239" s="456">
        <f t="shared" si="696"/>
        <v>0.11337829441061867</v>
      </c>
      <c r="BI239">
        <f t="shared" si="697"/>
        <v>2.6983380106327302E-2</v>
      </c>
      <c r="BJ239" s="144">
        <f t="shared" si="698"/>
        <v>421.01005327514565</v>
      </c>
      <c r="BK239">
        <f t="shared" si="648"/>
        <v>0.43754104601468885</v>
      </c>
      <c r="BL239" s="144">
        <f t="shared" si="699"/>
        <v>858.4199600115877</v>
      </c>
      <c r="BM239" s="150">
        <f t="shared" si="649"/>
        <v>0.17146500000000001</v>
      </c>
      <c r="BN239" s="150">
        <f t="shared" si="650"/>
        <v>2.5515625E-2</v>
      </c>
      <c r="BQ239" s="144">
        <f t="shared" si="700"/>
        <v>196.98062500000003</v>
      </c>
      <c r="BR239" s="456">
        <f t="shared" si="701"/>
        <v>5.2601627859110475E-4</v>
      </c>
      <c r="BS239" s="456">
        <f t="shared" si="702"/>
        <v>9.4739837214088962E-3</v>
      </c>
      <c r="BT239" s="456">
        <f t="shared" si="703"/>
        <v>7.8895227760752298E-5</v>
      </c>
      <c r="BU239" s="456">
        <f t="shared" si="704"/>
        <v>5.6004695955785527E-2</v>
      </c>
      <c r="BV239" s="456"/>
      <c r="BW239" s="538">
        <f t="shared" si="705"/>
        <v>2.6284624420999149E-4</v>
      </c>
      <c r="BX239" s="144">
        <f t="shared" si="706"/>
        <v>66.346437427756285</v>
      </c>
      <c r="BY239" s="150">
        <f t="shared" si="707"/>
        <v>1.1217470224393442</v>
      </c>
      <c r="BZ239" s="5">
        <f t="shared" si="708"/>
        <v>1.84</v>
      </c>
      <c r="CA239" s="150">
        <f t="shared" si="709"/>
        <v>0.62125495056108648</v>
      </c>
      <c r="CB239" s="5">
        <f t="shared" si="710"/>
        <v>62.125495056108647</v>
      </c>
      <c r="CC239">
        <f t="shared" si="711"/>
        <v>23.000000000000004</v>
      </c>
      <c r="CE239" s="59">
        <f t="shared" si="651"/>
        <v>-50</v>
      </c>
      <c r="CG239" s="150">
        <f t="shared" si="652"/>
        <v>0.5893747195121285</v>
      </c>
      <c r="CH239" s="150">
        <f t="shared" si="653"/>
        <v>0.31714287831064075</v>
      </c>
      <c r="CI239" s="147">
        <v>23</v>
      </c>
      <c r="CJ239" s="188">
        <f t="shared" si="712"/>
        <v>0.27600000000000002</v>
      </c>
      <c r="CK239" s="188">
        <f t="shared" si="654"/>
        <v>5.7500000000000002E-2</v>
      </c>
      <c r="CL239" s="188">
        <f t="shared" si="655"/>
        <v>1.3800000000000001</v>
      </c>
      <c r="CM239" s="188">
        <f t="shared" si="656"/>
        <v>0.46</v>
      </c>
      <c r="CN239" s="465">
        <f t="shared" si="657"/>
        <v>60</v>
      </c>
      <c r="CO239" s="379">
        <f t="shared" si="658"/>
        <v>5.7</v>
      </c>
      <c r="CP239" s="379">
        <f t="shared" si="659"/>
        <v>65.7</v>
      </c>
      <c r="CQ239" s="379"/>
      <c r="CR239" s="188">
        <f t="shared" si="660"/>
        <v>8.2568807339449546E-2</v>
      </c>
      <c r="CS239" s="149">
        <f t="shared" si="661"/>
        <v>9.2889908256880744</v>
      </c>
      <c r="CT239" s="149">
        <f t="shared" si="662"/>
        <v>4.1284403669724767</v>
      </c>
      <c r="CU239" s="188">
        <f t="shared" si="663"/>
        <v>1.857798165137615</v>
      </c>
      <c r="CV239" s="188">
        <f t="shared" si="664"/>
        <v>1.1611238532110093</v>
      </c>
      <c r="CW239" s="188">
        <f t="shared" si="665"/>
        <v>5</v>
      </c>
      <c r="CX239" s="188">
        <f t="shared" si="666"/>
        <v>0.74281481481481482</v>
      </c>
      <c r="CY239" s="188">
        <f t="shared" si="667"/>
        <v>0.14856296296296295</v>
      </c>
      <c r="CZ239" s="188">
        <f t="shared" si="668"/>
        <v>1.5638206627680311</v>
      </c>
      <c r="DA239" s="172">
        <f t="shared" si="669"/>
        <v>350</v>
      </c>
      <c r="DB239" s="379">
        <f t="shared" si="670"/>
        <v>350</v>
      </c>
      <c r="DD239" s="188">
        <f t="shared" si="671"/>
        <v>1.2393998695368558</v>
      </c>
      <c r="DE239" s="150">
        <f t="shared" si="672"/>
        <v>2.6092628832354858</v>
      </c>
      <c r="DF239" s="150">
        <f t="shared" si="673"/>
        <v>0.4244520101153616</v>
      </c>
      <c r="DG239" s="150"/>
      <c r="DH239" s="150">
        <f t="shared" si="674"/>
        <v>2.1052631578947367</v>
      </c>
      <c r="DI239" s="314">
        <f t="shared" si="675"/>
        <v>262.20000000000005</v>
      </c>
      <c r="DJ239" s="456">
        <f t="shared" si="676"/>
        <v>0.36842105263157893</v>
      </c>
      <c r="DL239" s="150">
        <f t="shared" si="677"/>
        <v>0.93605046668995162</v>
      </c>
      <c r="DM239" s="150">
        <f t="shared" si="678"/>
        <v>1</v>
      </c>
      <c r="DN239" s="150">
        <f t="shared" si="679"/>
        <v>1.1498285714285714</v>
      </c>
      <c r="DP239" s="314">
        <f t="shared" si="680"/>
        <v>276</v>
      </c>
      <c r="DQ239" s="144">
        <f t="shared" si="681"/>
        <v>262.20000000000005</v>
      </c>
      <c r="DS239">
        <f t="shared" si="682"/>
        <v>276</v>
      </c>
      <c r="DT239">
        <f t="shared" si="683"/>
        <v>262.20000000000005</v>
      </c>
      <c r="DV239" s="5">
        <f t="shared" si="684"/>
        <v>3.8138825324180008</v>
      </c>
      <c r="DW239" s="5">
        <f t="shared" si="685"/>
        <v>0.2</v>
      </c>
      <c r="DX239" s="5">
        <f t="shared" si="686"/>
        <v>3.6138825324180006</v>
      </c>
      <c r="DY239" s="150">
        <f t="shared" si="687"/>
        <v>5.2440000000000014E-2</v>
      </c>
      <c r="EA239" s="5">
        <f t="shared" si="713"/>
        <v>1.1040000000000001</v>
      </c>
      <c r="EB239" s="5">
        <f t="shared" si="714"/>
        <v>0.14375000000000002</v>
      </c>
      <c r="EC239" s="5">
        <f t="shared" si="715"/>
        <v>3.4633040935672502E-2</v>
      </c>
      <c r="ED239" s="5"/>
      <c r="EE239" s="150">
        <f t="shared" si="716"/>
        <v>0.1322119510483073</v>
      </c>
      <c r="EF239" s="150">
        <f t="shared" si="717"/>
        <v>0.5620083036159994</v>
      </c>
      <c r="EG239" s="150">
        <f t="shared" si="718"/>
        <v>0.12562538551416458</v>
      </c>
      <c r="EH239" s="150"/>
      <c r="EI239" s="456">
        <f t="shared" si="719"/>
        <v>3.4960000000000015E-4</v>
      </c>
      <c r="EJ239" s="456">
        <f t="shared" si="720"/>
        <v>0.34453080000000008</v>
      </c>
      <c r="EK239" s="456">
        <f t="shared" si="721"/>
        <v>3.2775000000000006E-2</v>
      </c>
      <c r="EL239" s="456">
        <f t="shared" si="722"/>
        <v>0.11317836780000004</v>
      </c>
      <c r="EM239">
        <f t="shared" si="723"/>
        <v>2.7E-2</v>
      </c>
      <c r="EN239" s="144">
        <f t="shared" si="724"/>
        <v>59.775000000000006</v>
      </c>
      <c r="EP239" s="144">
        <f t="shared" si="725"/>
        <v>517.83376780000015</v>
      </c>
      <c r="EQ239" s="150">
        <f t="shared" si="726"/>
        <v>0.19320000000000001</v>
      </c>
      <c r="ER239" s="150">
        <f t="shared" si="688"/>
        <v>2.5515625E-2</v>
      </c>
      <c r="ES239" s="456"/>
      <c r="EU239" s="144">
        <f t="shared" si="727"/>
        <v>218.71562500000002</v>
      </c>
      <c r="EV239" s="456">
        <f t="shared" si="728"/>
        <v>5.2440000000000017E-4</v>
      </c>
      <c r="EW239" s="456">
        <f t="shared" si="729"/>
        <v>9.4756000000000007E-3</v>
      </c>
      <c r="EX239" s="456">
        <f t="shared" si="730"/>
        <v>7.8908687427912361E-5</v>
      </c>
      <c r="EY239" s="456">
        <f t="shared" si="731"/>
        <v>5.5661092042665138E-2</v>
      </c>
      <c r="EZ239" s="456"/>
      <c r="FA239" s="538">
        <f t="shared" si="732"/>
        <v>2.6220000000000008E-4</v>
      </c>
      <c r="FB239" s="144">
        <f t="shared" si="733"/>
        <v>66.002200730093051</v>
      </c>
      <c r="FC239" s="150">
        <f t="shared" si="734"/>
        <v>0.8025515935300932</v>
      </c>
      <c r="FD239" s="5">
        <f t="shared" si="735"/>
        <v>1.84</v>
      </c>
      <c r="FE239" s="150">
        <f t="shared" si="736"/>
        <v>0.6962967173488589</v>
      </c>
      <c r="FF239" s="5">
        <f t="shared" si="737"/>
        <v>69.629671734885889</v>
      </c>
      <c r="FG239">
        <f t="shared" si="738"/>
        <v>23.000000000000004</v>
      </c>
      <c r="FI239" s="59">
        <f t="shared" si="689"/>
        <v>-50</v>
      </c>
    </row>
    <row r="240" spans="5:165">
      <c r="E240" s="147">
        <v>24</v>
      </c>
      <c r="F240" s="188">
        <f t="shared" si="690"/>
        <v>0.28799999999999998</v>
      </c>
      <c r="G240" s="188">
        <f t="shared" si="617"/>
        <v>0.06</v>
      </c>
      <c r="H240" s="188">
        <f t="shared" si="618"/>
        <v>1.44</v>
      </c>
      <c r="I240" s="188">
        <f t="shared" si="619"/>
        <v>0.48</v>
      </c>
      <c r="J240" s="465">
        <f t="shared" si="620"/>
        <v>59.963066902949564</v>
      </c>
      <c r="K240" s="379">
        <f t="shared" si="621"/>
        <v>5.7140487871737253</v>
      </c>
      <c r="L240" s="149">
        <f t="shared" si="622"/>
        <v>65.677115690123287</v>
      </c>
      <c r="M240" s="379"/>
      <c r="N240" s="188">
        <f t="shared" si="623"/>
        <v>8.7002127409700189E-2</v>
      </c>
      <c r="O240" s="149">
        <f t="shared" si="624"/>
        <v>9.7817144748127411</v>
      </c>
      <c r="P240" s="149">
        <f t="shared" si="625"/>
        <v>4.3474286554723287</v>
      </c>
      <c r="Q240" s="188">
        <f t="shared" si="626"/>
        <v>1.9563428949625483</v>
      </c>
      <c r="R240" s="188">
        <f t="shared" si="627"/>
        <v>1.2227143093515926</v>
      </c>
      <c r="S240" s="188">
        <f t="shared" si="628"/>
        <v>5</v>
      </c>
      <c r="T240" s="188">
        <f t="shared" si="629"/>
        <v>0.73606728335196425</v>
      </c>
      <c r="U240" s="188">
        <f t="shared" si="630"/>
        <v>0.14730412996585884</v>
      </c>
      <c r="V240" s="188">
        <f t="shared" si="631"/>
        <v>1.5458053876002065</v>
      </c>
      <c r="W240" s="172">
        <f t="shared" si="632"/>
        <v>350</v>
      </c>
      <c r="X240" s="379">
        <f t="shared" si="691"/>
        <v>350</v>
      </c>
      <c r="Z240" s="188">
        <f t="shared" si="633"/>
        <v>1.2421224729920939</v>
      </c>
      <c r="AA240" s="150">
        <f t="shared" si="634"/>
        <v>2.6085653502579995</v>
      </c>
      <c r="AB240" s="150">
        <f t="shared" si="635"/>
        <v>0.42527069075189394</v>
      </c>
      <c r="AC240" s="150"/>
      <c r="AD240" s="150">
        <f t="shared" si="636"/>
        <v>2.1000870743239526</v>
      </c>
      <c r="AE240" s="314">
        <f t="shared" si="637"/>
        <v>274.27434178433884</v>
      </c>
      <c r="AF240" s="456">
        <f t="shared" si="638"/>
        <v>0.36751523800669172</v>
      </c>
      <c r="AH240" s="150">
        <f t="shared" si="639"/>
        <v>0.9561828874675149</v>
      </c>
      <c r="AI240" s="150">
        <f t="shared" si="640"/>
        <v>1</v>
      </c>
      <c r="AJ240" s="150">
        <f t="shared" si="641"/>
        <v>1.1567281953053365</v>
      </c>
      <c r="AL240" s="314">
        <f t="shared" si="642"/>
        <v>288</v>
      </c>
      <c r="AM240" s="144">
        <f t="shared" si="643"/>
        <v>274.27434178433884</v>
      </c>
      <c r="AO240">
        <f t="shared" si="644"/>
        <v>288</v>
      </c>
      <c r="AP240">
        <f t="shared" si="645"/>
        <v>274.27434178433884</v>
      </c>
      <c r="AR240" s="5">
        <f t="shared" si="616"/>
        <v>3.6459845040346401</v>
      </c>
      <c r="AS240" s="5">
        <f t="shared" si="604"/>
        <v>0.20012318615093594</v>
      </c>
      <c r="AT240" s="5">
        <f t="shared" si="605"/>
        <v>3.4458613178837041</v>
      </c>
      <c r="AU240" s="150">
        <f t="shared" si="606"/>
        <v>5.4888655157332669E-2</v>
      </c>
      <c r="BA240" s="150">
        <f t="shared" si="692"/>
        <v>0.13526351461416916</v>
      </c>
      <c r="BB240" s="150">
        <f t="shared" si="693"/>
        <v>0.5612816716654444</v>
      </c>
      <c r="BC240" s="150">
        <f t="shared" si="694"/>
        <v>0.12546296190168757</v>
      </c>
      <c r="BD240" s="150"/>
      <c r="BE240" s="456">
        <f t="shared" si="695"/>
        <v>3.659243677155511E-4</v>
      </c>
      <c r="BF240" s="456">
        <f t="shared" si="646"/>
        <v>0.3377540189287957</v>
      </c>
      <c r="BG240" s="456">
        <f t="shared" si="647"/>
        <v>0.41115826765441915</v>
      </c>
      <c r="BH240" s="456">
        <f t="shared" si="696"/>
        <v>0.11830778547194991</v>
      </c>
      <c r="BI240">
        <f t="shared" si="697"/>
        <v>2.6983380106327302E-2</v>
      </c>
      <c r="BJ240" s="144">
        <f t="shared" si="698"/>
        <v>438.14164776074642</v>
      </c>
      <c r="BK240">
        <f t="shared" si="648"/>
        <v>0.45656622387247786</v>
      </c>
      <c r="BL240" s="144">
        <f t="shared" si="699"/>
        <v>894.56937652920749</v>
      </c>
      <c r="BM240" s="150">
        <f t="shared" si="649"/>
        <v>0.17891999999999997</v>
      </c>
      <c r="BN240" s="150">
        <f t="shared" si="650"/>
        <v>2.6624999999999999E-2</v>
      </c>
      <c r="BQ240" s="144">
        <f t="shared" si="700"/>
        <v>205.54499999999999</v>
      </c>
      <c r="BR240" s="456">
        <f t="shared" si="701"/>
        <v>5.4888655157332667E-4</v>
      </c>
      <c r="BS240" s="456">
        <f t="shared" si="702"/>
        <v>9.4511134484266714E-3</v>
      </c>
      <c r="BT240" s="456">
        <f t="shared" si="703"/>
        <v>7.8704774045721532E-5</v>
      </c>
      <c r="BU240" s="456">
        <f t="shared" si="704"/>
        <v>6.2292097984559182E-2</v>
      </c>
      <c r="BV240" s="456"/>
      <c r="BW240" s="538">
        <f t="shared" si="705"/>
        <v>2.7427434178433886E-4</v>
      </c>
      <c r="BX240" s="144">
        <f t="shared" si="706"/>
        <v>72.645077100389244</v>
      </c>
      <c r="BY240" s="150">
        <f t="shared" si="707"/>
        <v>1.1727594536295967</v>
      </c>
      <c r="BZ240" s="5">
        <f t="shared" si="708"/>
        <v>1.92</v>
      </c>
      <c r="CA240" s="150">
        <f t="shared" si="709"/>
        <v>0.62080482778792534</v>
      </c>
      <c r="CB240" s="5">
        <f t="shared" si="710"/>
        <v>62.080482778792536</v>
      </c>
      <c r="CC240">
        <f t="shared" si="711"/>
        <v>24</v>
      </c>
      <c r="CE240" s="59">
        <f t="shared" si="651"/>
        <v>-50</v>
      </c>
      <c r="CG240" s="150">
        <f t="shared" si="652"/>
        <v>0.61499970731700349</v>
      </c>
      <c r="CH240" s="150">
        <f t="shared" si="653"/>
        <v>0.33093169910675557</v>
      </c>
      <c r="CI240" s="147">
        <v>24</v>
      </c>
      <c r="CJ240" s="188">
        <f t="shared" si="712"/>
        <v>0.28799999999999998</v>
      </c>
      <c r="CK240" s="188">
        <f t="shared" si="654"/>
        <v>0.06</v>
      </c>
      <c r="CL240" s="188">
        <f t="shared" si="655"/>
        <v>1.44</v>
      </c>
      <c r="CM240" s="188">
        <f t="shared" si="656"/>
        <v>0.48</v>
      </c>
      <c r="CN240" s="465">
        <f t="shared" si="657"/>
        <v>60</v>
      </c>
      <c r="CO240" s="379">
        <f t="shared" si="658"/>
        <v>5.7</v>
      </c>
      <c r="CP240" s="379">
        <f t="shared" si="659"/>
        <v>65.7</v>
      </c>
      <c r="CQ240" s="379"/>
      <c r="CR240" s="188">
        <f t="shared" si="660"/>
        <v>8.2568807339449546E-2</v>
      </c>
      <c r="CS240" s="149">
        <f t="shared" si="661"/>
        <v>9.2889908256880744</v>
      </c>
      <c r="CT240" s="149">
        <f t="shared" si="662"/>
        <v>4.1284403669724767</v>
      </c>
      <c r="CU240" s="188">
        <f t="shared" si="663"/>
        <v>1.857798165137615</v>
      </c>
      <c r="CV240" s="188">
        <f t="shared" si="664"/>
        <v>1.1611238532110093</v>
      </c>
      <c r="CW240" s="188">
        <f t="shared" si="665"/>
        <v>5</v>
      </c>
      <c r="CX240" s="188">
        <f t="shared" si="666"/>
        <v>0.77511111111111097</v>
      </c>
      <c r="CY240" s="188">
        <f t="shared" si="667"/>
        <v>0.1550222222222222</v>
      </c>
      <c r="CZ240" s="188">
        <f t="shared" si="668"/>
        <v>1.6318128654970758</v>
      </c>
      <c r="DA240" s="172">
        <f t="shared" si="669"/>
        <v>350</v>
      </c>
      <c r="DB240" s="379">
        <f t="shared" si="670"/>
        <v>350</v>
      </c>
      <c r="DD240" s="188">
        <f t="shared" si="671"/>
        <v>1.2393998695368558</v>
      </c>
      <c r="DE240" s="150">
        <f t="shared" si="672"/>
        <v>2.6092628832354858</v>
      </c>
      <c r="DF240" s="150">
        <f t="shared" si="673"/>
        <v>0.4244520101153616</v>
      </c>
      <c r="DG240" s="150"/>
      <c r="DH240" s="150">
        <f t="shared" si="674"/>
        <v>2.1052631578947367</v>
      </c>
      <c r="DI240" s="314">
        <f t="shared" si="675"/>
        <v>273.60000000000002</v>
      </c>
      <c r="DJ240" s="456">
        <f t="shared" si="676"/>
        <v>0.36842105263157893</v>
      </c>
      <c r="DL240" s="150">
        <f t="shared" si="677"/>
        <v>0.9561828874675149</v>
      </c>
      <c r="DM240" s="150">
        <f t="shared" si="678"/>
        <v>1</v>
      </c>
      <c r="DN240" s="150">
        <f t="shared" si="679"/>
        <v>1.1563428571428571</v>
      </c>
      <c r="DP240" s="314">
        <f t="shared" si="680"/>
        <v>288</v>
      </c>
      <c r="DQ240" s="144">
        <f t="shared" si="681"/>
        <v>273.60000000000002</v>
      </c>
      <c r="DS240">
        <f t="shared" si="682"/>
        <v>288</v>
      </c>
      <c r="DT240">
        <f t="shared" si="683"/>
        <v>273.60000000000002</v>
      </c>
      <c r="DV240" s="5">
        <f t="shared" si="684"/>
        <v>3.6549707602339181</v>
      </c>
      <c r="DW240" s="5">
        <f t="shared" si="685"/>
        <v>0.2</v>
      </c>
      <c r="DX240" s="5">
        <f t="shared" si="686"/>
        <v>3.4549707602339179</v>
      </c>
      <c r="DY240" s="150">
        <f t="shared" si="687"/>
        <v>5.4720000000000005E-2</v>
      </c>
      <c r="EA240" s="5">
        <f t="shared" si="713"/>
        <v>1.1520000000000001</v>
      </c>
      <c r="EB240" s="5">
        <f t="shared" si="714"/>
        <v>0.15000000000000002</v>
      </c>
      <c r="EC240" s="5">
        <f t="shared" si="715"/>
        <v>3.4549707602339177E-2</v>
      </c>
      <c r="ED240" s="5"/>
      <c r="EE240" s="150">
        <f t="shared" si="716"/>
        <v>0.13505554412907306</v>
      </c>
      <c r="EF240" s="150">
        <f t="shared" si="717"/>
        <v>0.56133174979982503</v>
      </c>
      <c r="EG240" s="150">
        <f t="shared" si="718"/>
        <v>0.12547415583760796</v>
      </c>
      <c r="EH240" s="150"/>
      <c r="EI240" s="456">
        <f t="shared" si="719"/>
        <v>3.6479999999999998E-4</v>
      </c>
      <c r="EJ240" s="456">
        <f t="shared" si="720"/>
        <v>0.35951040000000006</v>
      </c>
      <c r="EK240" s="456">
        <f t="shared" si="721"/>
        <v>3.4200000000000001E-2</v>
      </c>
      <c r="EL240" s="456">
        <f t="shared" si="722"/>
        <v>0.11809916640000004</v>
      </c>
      <c r="EM240">
        <f t="shared" si="723"/>
        <v>2.7E-2</v>
      </c>
      <c r="EN240" s="144">
        <f t="shared" si="724"/>
        <v>61.2</v>
      </c>
      <c r="EP240" s="144">
        <f t="shared" si="725"/>
        <v>539.17436640000017</v>
      </c>
      <c r="EQ240" s="150">
        <f t="shared" si="726"/>
        <v>0.20159999999999997</v>
      </c>
      <c r="ER240" s="150">
        <f t="shared" si="688"/>
        <v>2.6624999999999999E-2</v>
      </c>
      <c r="ES240" s="456"/>
      <c r="EU240" s="144">
        <f t="shared" si="727"/>
        <v>228.22499999999999</v>
      </c>
      <c r="EV240" s="456">
        <f t="shared" si="728"/>
        <v>5.4719999999999997E-4</v>
      </c>
      <c r="EW240" s="456">
        <f t="shared" si="729"/>
        <v>9.4528000000000008E-3</v>
      </c>
      <c r="EX240" s="456">
        <f t="shared" si="730"/>
        <v>7.8718818915801653E-5</v>
      </c>
      <c r="EY240" s="456">
        <f t="shared" si="731"/>
        <v>6.1909919164396005E-2</v>
      </c>
      <c r="EZ240" s="456"/>
      <c r="FA240" s="538">
        <f t="shared" si="732"/>
        <v>2.7360000000000004E-4</v>
      </c>
      <c r="FB240" s="144">
        <f t="shared" si="733"/>
        <v>72.262237983311806</v>
      </c>
      <c r="FC240" s="150">
        <f t="shared" si="734"/>
        <v>0.83966160438331205</v>
      </c>
      <c r="FD240" s="5">
        <f t="shared" si="735"/>
        <v>1.92</v>
      </c>
      <c r="FE240" s="150">
        <f t="shared" si="736"/>
        <v>0.69573747627258564</v>
      </c>
      <c r="FF240" s="5">
        <f t="shared" si="737"/>
        <v>69.57374762725857</v>
      </c>
      <c r="FG240">
        <f t="shared" si="738"/>
        <v>24</v>
      </c>
      <c r="FI240" s="59">
        <f t="shared" si="689"/>
        <v>-50</v>
      </c>
    </row>
    <row r="241" spans="5:165">
      <c r="E241" s="147">
        <v>25</v>
      </c>
      <c r="F241" s="188">
        <f t="shared" si="690"/>
        <v>0.3</v>
      </c>
      <c r="G241" s="188">
        <f t="shared" si="617"/>
        <v>6.25E-2</v>
      </c>
      <c r="H241" s="188">
        <f t="shared" si="618"/>
        <v>1.5</v>
      </c>
      <c r="I241" s="188">
        <f t="shared" si="619"/>
        <v>0.5</v>
      </c>
      <c r="J241" s="465">
        <f t="shared" si="620"/>
        <v>59.963066902949564</v>
      </c>
      <c r="K241" s="379">
        <f t="shared" si="621"/>
        <v>5.7140487871737253</v>
      </c>
      <c r="L241" s="149">
        <f t="shared" si="622"/>
        <v>65.677115690123287</v>
      </c>
      <c r="M241" s="379"/>
      <c r="N241" s="188">
        <f t="shared" si="623"/>
        <v>8.7002127409700189E-2</v>
      </c>
      <c r="O241" s="149">
        <f t="shared" si="624"/>
        <v>9.7817144748127411</v>
      </c>
      <c r="P241" s="149">
        <f t="shared" si="625"/>
        <v>4.3474286554723287</v>
      </c>
      <c r="Q241" s="188">
        <f t="shared" si="626"/>
        <v>1.9563428949625483</v>
      </c>
      <c r="R241" s="188">
        <f t="shared" si="627"/>
        <v>1.2227143093515926</v>
      </c>
      <c r="S241" s="188">
        <f t="shared" si="628"/>
        <v>5</v>
      </c>
      <c r="T241" s="188">
        <f t="shared" si="629"/>
        <v>0.76673675349162951</v>
      </c>
      <c r="U241" s="188">
        <f t="shared" si="630"/>
        <v>0.15344180204776964</v>
      </c>
      <c r="V241" s="188">
        <f t="shared" si="631"/>
        <v>1.610213945416882</v>
      </c>
      <c r="W241" s="172">
        <f t="shared" si="632"/>
        <v>350</v>
      </c>
      <c r="X241" s="379">
        <f t="shared" si="691"/>
        <v>350</v>
      </c>
      <c r="Z241" s="188">
        <f t="shared" si="633"/>
        <v>1.2421224729920939</v>
      </c>
      <c r="AA241" s="150">
        <f t="shared" si="634"/>
        <v>2.6085653502579995</v>
      </c>
      <c r="AB241" s="150">
        <f t="shared" si="635"/>
        <v>0.42527069075189394</v>
      </c>
      <c r="AC241" s="150"/>
      <c r="AD241" s="150">
        <f t="shared" si="636"/>
        <v>2.1000870743239526</v>
      </c>
      <c r="AE241" s="314">
        <f t="shared" si="637"/>
        <v>285.70243935868626</v>
      </c>
      <c r="AF241" s="456">
        <f t="shared" si="638"/>
        <v>0.36751523800669172</v>
      </c>
      <c r="AH241" s="150">
        <f t="shared" si="639"/>
        <v>0.9759000729485332</v>
      </c>
      <c r="AI241" s="150">
        <f t="shared" si="640"/>
        <v>1</v>
      </c>
      <c r="AJ241" s="150">
        <f t="shared" si="641"/>
        <v>1.1632585367763921</v>
      </c>
      <c r="AL241" s="314">
        <f t="shared" si="642"/>
        <v>300</v>
      </c>
      <c r="AM241" s="144">
        <f t="shared" si="643"/>
        <v>285.70243935868626</v>
      </c>
      <c r="AO241">
        <f t="shared" si="644"/>
        <v>300</v>
      </c>
      <c r="AP241">
        <f t="shared" si="645"/>
        <v>285.70243935868626</v>
      </c>
      <c r="AR241" s="5">
        <f t="shared" si="616"/>
        <v>3.5001451238732546</v>
      </c>
      <c r="AS241" s="5">
        <f t="shared" si="604"/>
        <v>0.20012318615093594</v>
      </c>
      <c r="AT241" s="5">
        <f t="shared" si="605"/>
        <v>3.3000219377223186</v>
      </c>
      <c r="AU241" s="150">
        <f t="shared" si="606"/>
        <v>5.7175682455554863E-2</v>
      </c>
      <c r="BA241" s="150">
        <f t="shared" si="692"/>
        <v>0.13805274650842078</v>
      </c>
      <c r="BB241" s="150">
        <f t="shared" si="693"/>
        <v>0.56060215172153505</v>
      </c>
      <c r="BC241" s="150">
        <f t="shared" si="694"/>
        <v>0.12531106920834312</v>
      </c>
      <c r="BD241" s="150"/>
      <c r="BE241" s="456">
        <f t="shared" si="695"/>
        <v>3.8117121637036572E-4</v>
      </c>
      <c r="BF241" s="456">
        <f t="shared" si="646"/>
        <v>0.35182710305082876</v>
      </c>
      <c r="BG241" s="456">
        <f t="shared" si="647"/>
        <v>0.42828986214001985</v>
      </c>
      <c r="BH241" s="456">
        <f t="shared" si="696"/>
        <v>0.12323727653328113</v>
      </c>
      <c r="BI241">
        <f t="shared" si="697"/>
        <v>2.6983380106327302E-2</v>
      </c>
      <c r="BJ241" s="144">
        <f t="shared" si="698"/>
        <v>455.27324224634714</v>
      </c>
      <c r="BK241">
        <f t="shared" si="648"/>
        <v>0.47559153958592015</v>
      </c>
      <c r="BL241" s="144">
        <f t="shared" si="699"/>
        <v>930.71879304682739</v>
      </c>
      <c r="BM241" s="150">
        <f t="shared" si="649"/>
        <v>0.18637499999999999</v>
      </c>
      <c r="BN241" s="150">
        <f t="shared" si="650"/>
        <v>2.7734374999999999E-2</v>
      </c>
      <c r="BQ241" s="144">
        <f t="shared" si="700"/>
        <v>214.109375</v>
      </c>
      <c r="BR241" s="456">
        <f t="shared" si="701"/>
        <v>5.717568245555486E-4</v>
      </c>
      <c r="BS241" s="456">
        <f t="shared" si="702"/>
        <v>9.42824317544445E-3</v>
      </c>
      <c r="BT241" s="456">
        <f t="shared" si="703"/>
        <v>7.8514320330690793E-5</v>
      </c>
      <c r="BU241" s="456">
        <f t="shared" si="704"/>
        <v>6.8985032854827752E-2</v>
      </c>
      <c r="BV241" s="456"/>
      <c r="BW241" s="538">
        <f t="shared" si="705"/>
        <v>2.857024393586863E-4</v>
      </c>
      <c r="BX241" s="144">
        <f t="shared" si="706"/>
        <v>79.349249614517134</v>
      </c>
      <c r="BY241" s="150">
        <f t="shared" si="707"/>
        <v>1.2241774176613449</v>
      </c>
      <c r="BZ241" s="5">
        <f t="shared" si="708"/>
        <v>2</v>
      </c>
      <c r="CA241" s="150">
        <f t="shared" si="709"/>
        <v>0.62031325852120722</v>
      </c>
      <c r="CB241" s="5">
        <f t="shared" si="710"/>
        <v>62.031325852120723</v>
      </c>
      <c r="CC241">
        <f t="shared" si="711"/>
        <v>25</v>
      </c>
      <c r="CE241" s="59">
        <f t="shared" si="651"/>
        <v>-50</v>
      </c>
      <c r="CG241" s="150">
        <f t="shared" si="652"/>
        <v>0.6406246951218787</v>
      </c>
      <c r="CH241" s="150">
        <f t="shared" si="653"/>
        <v>0.34472051990287034</v>
      </c>
      <c r="CI241" s="147">
        <v>25</v>
      </c>
      <c r="CJ241" s="188">
        <f t="shared" si="712"/>
        <v>0.3</v>
      </c>
      <c r="CK241" s="188">
        <f t="shared" si="654"/>
        <v>6.25E-2</v>
      </c>
      <c r="CL241" s="188">
        <f t="shared" si="655"/>
        <v>1.5</v>
      </c>
      <c r="CM241" s="188">
        <f t="shared" si="656"/>
        <v>0.5</v>
      </c>
      <c r="CN241" s="465">
        <f t="shared" si="657"/>
        <v>60</v>
      </c>
      <c r="CO241" s="379">
        <f t="shared" si="658"/>
        <v>5.7</v>
      </c>
      <c r="CP241" s="379">
        <f t="shared" si="659"/>
        <v>65.7</v>
      </c>
      <c r="CQ241" s="379"/>
      <c r="CR241" s="188">
        <f t="shared" si="660"/>
        <v>8.2568807339449546E-2</v>
      </c>
      <c r="CS241" s="149">
        <f t="shared" si="661"/>
        <v>9.2889908256880744</v>
      </c>
      <c r="CT241" s="149">
        <f t="shared" si="662"/>
        <v>4.1284403669724767</v>
      </c>
      <c r="CU241" s="188">
        <f t="shared" si="663"/>
        <v>1.857798165137615</v>
      </c>
      <c r="CV241" s="188">
        <f t="shared" si="664"/>
        <v>1.1611238532110093</v>
      </c>
      <c r="CW241" s="188">
        <f t="shared" si="665"/>
        <v>5</v>
      </c>
      <c r="CX241" s="188">
        <f t="shared" si="666"/>
        <v>0.80740740740740735</v>
      </c>
      <c r="CY241" s="188">
        <f t="shared" si="667"/>
        <v>0.1614814814814815</v>
      </c>
      <c r="CZ241" s="188">
        <f t="shared" si="668"/>
        <v>1.699805068226121</v>
      </c>
      <c r="DA241" s="172">
        <f t="shared" si="669"/>
        <v>350</v>
      </c>
      <c r="DB241" s="379">
        <f t="shared" si="670"/>
        <v>350</v>
      </c>
      <c r="DD241" s="188">
        <f t="shared" si="671"/>
        <v>1.2393998695368558</v>
      </c>
      <c r="DE241" s="150">
        <f t="shared" si="672"/>
        <v>2.6092628832354858</v>
      </c>
      <c r="DF241" s="150">
        <f t="shared" si="673"/>
        <v>0.4244520101153616</v>
      </c>
      <c r="DG241" s="150"/>
      <c r="DH241" s="150">
        <f t="shared" si="674"/>
        <v>2.1052631578947367</v>
      </c>
      <c r="DI241" s="314">
        <f t="shared" si="675"/>
        <v>285</v>
      </c>
      <c r="DJ241" s="456">
        <f t="shared" si="676"/>
        <v>0.36842105263157893</v>
      </c>
      <c r="DL241" s="150">
        <f t="shared" si="677"/>
        <v>0.9759000729485332</v>
      </c>
      <c r="DM241" s="150">
        <f t="shared" si="678"/>
        <v>1</v>
      </c>
      <c r="DN241" s="150">
        <f t="shared" si="679"/>
        <v>1.1628571428571428</v>
      </c>
      <c r="DP241" s="314">
        <f t="shared" si="680"/>
        <v>300</v>
      </c>
      <c r="DQ241" s="144">
        <f t="shared" si="681"/>
        <v>285</v>
      </c>
      <c r="DS241">
        <f t="shared" si="682"/>
        <v>300</v>
      </c>
      <c r="DT241">
        <f t="shared" si="683"/>
        <v>285</v>
      </c>
      <c r="DV241" s="5">
        <f t="shared" si="684"/>
        <v>3.5087719298245617</v>
      </c>
      <c r="DW241" s="5">
        <f t="shared" si="685"/>
        <v>0.2</v>
      </c>
      <c r="DX241" s="5">
        <f t="shared" si="686"/>
        <v>3.3087719298245615</v>
      </c>
      <c r="DY241" s="150">
        <f t="shared" si="687"/>
        <v>5.7000000000000002E-2</v>
      </c>
      <c r="EA241" s="5">
        <f t="shared" si="713"/>
        <v>1.2</v>
      </c>
      <c r="EB241" s="5">
        <f t="shared" si="714"/>
        <v>0.15625</v>
      </c>
      <c r="EC241" s="5">
        <f t="shared" si="715"/>
        <v>3.4466374269005846E-2</v>
      </c>
      <c r="ED241" s="5"/>
      <c r="EE241" s="150">
        <f t="shared" si="716"/>
        <v>0.13784048752090222</v>
      </c>
      <c r="EF241" s="150">
        <f t="shared" si="717"/>
        <v>0.56065437957206155</v>
      </c>
      <c r="EG241" s="150">
        <f t="shared" si="718"/>
        <v>0.12532274366904905</v>
      </c>
      <c r="EH241" s="150"/>
      <c r="EI241" s="456">
        <f t="shared" si="719"/>
        <v>3.8000000000000002E-4</v>
      </c>
      <c r="EJ241" s="456">
        <f t="shared" si="720"/>
        <v>0.37448999999999999</v>
      </c>
      <c r="EK241" s="456">
        <f t="shared" si="721"/>
        <v>3.5624999999999997E-2</v>
      </c>
      <c r="EL241" s="456">
        <f t="shared" si="722"/>
        <v>0.12301996500000002</v>
      </c>
      <c r="EM241">
        <f t="shared" si="723"/>
        <v>2.7E-2</v>
      </c>
      <c r="EN241" s="144">
        <f t="shared" si="724"/>
        <v>62.625</v>
      </c>
      <c r="EP241" s="144">
        <f t="shared" si="725"/>
        <v>560.51496500000007</v>
      </c>
      <c r="EQ241" s="150">
        <f t="shared" si="726"/>
        <v>0.21</v>
      </c>
      <c r="ER241" s="150">
        <f t="shared" si="688"/>
        <v>2.7734374999999999E-2</v>
      </c>
      <c r="ES241" s="456"/>
      <c r="EU241" s="144">
        <f t="shared" si="727"/>
        <v>237.734375</v>
      </c>
      <c r="EV241" s="456">
        <f t="shared" si="728"/>
        <v>5.6999999999999998E-4</v>
      </c>
      <c r="EW241" s="456">
        <f t="shared" si="729"/>
        <v>9.4299999999999974E-3</v>
      </c>
      <c r="EX241" s="456">
        <f t="shared" si="730"/>
        <v>7.8528950403690864E-5</v>
      </c>
      <c r="EY241" s="456">
        <f t="shared" si="731"/>
        <v>6.8561791074274847E-2</v>
      </c>
      <c r="EZ241" s="456"/>
      <c r="FA241" s="538">
        <f t="shared" si="732"/>
        <v>2.8500000000000004E-4</v>
      </c>
      <c r="FB241" s="144">
        <f t="shared" si="733"/>
        <v>78.925320024678527</v>
      </c>
      <c r="FC241" s="150">
        <f t="shared" si="734"/>
        <v>0.87717466002467859</v>
      </c>
      <c r="FD241" s="5">
        <f t="shared" si="735"/>
        <v>2</v>
      </c>
      <c r="FE241" s="150">
        <f t="shared" si="736"/>
        <v>0.69512637789700449</v>
      </c>
      <c r="FF241" s="5">
        <f t="shared" si="737"/>
        <v>69.512637789700449</v>
      </c>
      <c r="FG241">
        <f t="shared" si="738"/>
        <v>25</v>
      </c>
      <c r="FI241" s="59">
        <f t="shared" si="689"/>
        <v>-50</v>
      </c>
    </row>
    <row r="242" spans="5:165">
      <c r="E242" s="147">
        <v>26</v>
      </c>
      <c r="F242" s="188">
        <f t="shared" si="690"/>
        <v>0.312</v>
      </c>
      <c r="G242" s="188">
        <f t="shared" si="617"/>
        <v>6.5000000000000002E-2</v>
      </c>
      <c r="H242" s="188">
        <f t="shared" si="618"/>
        <v>1.56</v>
      </c>
      <c r="I242" s="188">
        <f t="shared" si="619"/>
        <v>0.52</v>
      </c>
      <c r="J242" s="465">
        <f t="shared" si="620"/>
        <v>59.963066902949564</v>
      </c>
      <c r="K242" s="379">
        <f t="shared" si="621"/>
        <v>5.7140487871737253</v>
      </c>
      <c r="L242" s="149">
        <f t="shared" si="622"/>
        <v>65.677115690123287</v>
      </c>
      <c r="M242" s="379"/>
      <c r="N242" s="188">
        <f t="shared" si="623"/>
        <v>8.7002127409700189E-2</v>
      </c>
      <c r="O242" s="149">
        <f t="shared" si="624"/>
        <v>9.7817144748127411</v>
      </c>
      <c r="P242" s="149">
        <f t="shared" si="625"/>
        <v>4.3474286554723287</v>
      </c>
      <c r="Q242" s="188">
        <f t="shared" si="626"/>
        <v>1.9563428949625483</v>
      </c>
      <c r="R242" s="188">
        <f t="shared" si="627"/>
        <v>1.2227143093515926</v>
      </c>
      <c r="S242" s="188">
        <f t="shared" si="628"/>
        <v>5</v>
      </c>
      <c r="T242" s="188">
        <f t="shared" si="629"/>
        <v>0.79740622363129476</v>
      </c>
      <c r="U242" s="188">
        <f t="shared" si="630"/>
        <v>0.15957947412968046</v>
      </c>
      <c r="V242" s="188">
        <f t="shared" si="631"/>
        <v>1.6746225032335575</v>
      </c>
      <c r="W242" s="172">
        <f t="shared" si="632"/>
        <v>350</v>
      </c>
      <c r="X242" s="379">
        <f t="shared" si="691"/>
        <v>350</v>
      </c>
      <c r="Z242" s="188">
        <f t="shared" si="633"/>
        <v>1.2421224729920939</v>
      </c>
      <c r="AA242" s="150">
        <f t="shared" si="634"/>
        <v>2.6085653502579995</v>
      </c>
      <c r="AB242" s="150">
        <f t="shared" si="635"/>
        <v>0.42527069075189394</v>
      </c>
      <c r="AC242" s="150"/>
      <c r="AD242" s="150">
        <f t="shared" si="636"/>
        <v>2.1000870743239526</v>
      </c>
      <c r="AE242" s="314">
        <f t="shared" si="637"/>
        <v>297.13053693303374</v>
      </c>
      <c r="AF242" s="456">
        <f t="shared" si="638"/>
        <v>0.36751523800669172</v>
      </c>
      <c r="AH242" s="150">
        <f t="shared" si="639"/>
        <v>0.99522670305623862</v>
      </c>
      <c r="AI242" s="150">
        <f t="shared" si="640"/>
        <v>1</v>
      </c>
      <c r="AJ242" s="150">
        <f t="shared" si="641"/>
        <v>1.1697888782474479</v>
      </c>
      <c r="AL242" s="314">
        <f t="shared" si="642"/>
        <v>312</v>
      </c>
      <c r="AM242" s="144">
        <f t="shared" si="643"/>
        <v>297.13053693303374</v>
      </c>
      <c r="AO242">
        <f t="shared" si="644"/>
        <v>312</v>
      </c>
      <c r="AP242">
        <f t="shared" si="645"/>
        <v>297.13053693303374</v>
      </c>
      <c r="AR242" s="5">
        <f t="shared" si="616"/>
        <v>3.3655241575704373</v>
      </c>
      <c r="AS242" s="5">
        <f t="shared" si="604"/>
        <v>0.20012318615093594</v>
      </c>
      <c r="AT242" s="5">
        <f t="shared" si="605"/>
        <v>3.1654009714195013</v>
      </c>
      <c r="AU242" s="150">
        <f t="shared" si="606"/>
        <v>5.946270975377705E-2</v>
      </c>
      <c r="BA242" s="150">
        <f t="shared" si="692"/>
        <v>0.14078672967030315</v>
      </c>
      <c r="BB242" s="150">
        <f t="shared" si="693"/>
        <v>0.55992180711423833</v>
      </c>
      <c r="BC242" s="150">
        <f t="shared" si="694"/>
        <v>0.12515899217847681</v>
      </c>
      <c r="BD242" s="150"/>
      <c r="BE242" s="456">
        <f t="shared" si="695"/>
        <v>3.9641806502518028E-4</v>
      </c>
      <c r="BF242" s="456">
        <f t="shared" si="646"/>
        <v>0.36590018717286193</v>
      </c>
      <c r="BG242" s="456">
        <f t="shared" si="647"/>
        <v>0.44542145662562072</v>
      </c>
      <c r="BH242" s="456">
        <f t="shared" si="696"/>
        <v>0.1281667675946124</v>
      </c>
      <c r="BI242">
        <f t="shared" si="697"/>
        <v>2.6983380106327302E-2</v>
      </c>
      <c r="BJ242" s="144">
        <f t="shared" si="698"/>
        <v>472.40483673194802</v>
      </c>
      <c r="BK242">
        <f t="shared" si="648"/>
        <v>0.49461699315651442</v>
      </c>
      <c r="BL242" s="144">
        <f t="shared" si="699"/>
        <v>966.86820956444751</v>
      </c>
      <c r="BM242" s="150">
        <f t="shared" si="649"/>
        <v>0.19382999999999997</v>
      </c>
      <c r="BN242" s="150">
        <f t="shared" si="650"/>
        <v>2.8843749999999998E-2</v>
      </c>
      <c r="BQ242" s="144">
        <f t="shared" si="700"/>
        <v>222.67374999999998</v>
      </c>
      <c r="BR242" s="456">
        <f t="shared" si="701"/>
        <v>5.9462709753777042E-4</v>
      </c>
      <c r="BS242" s="456">
        <f t="shared" si="702"/>
        <v>9.4053729024622286E-3</v>
      </c>
      <c r="BT242" s="456">
        <f t="shared" si="703"/>
        <v>7.8323866615660108E-5</v>
      </c>
      <c r="BU242" s="456">
        <f t="shared" si="704"/>
        <v>7.6091864122458303E-2</v>
      </c>
      <c r="BV242" s="456"/>
      <c r="BW242" s="538">
        <f t="shared" si="705"/>
        <v>2.9713053693303373E-4</v>
      </c>
      <c r="BX242" s="144">
        <f t="shared" si="706"/>
        <v>86.467318526006991</v>
      </c>
      <c r="BY242" s="150">
        <f t="shared" si="707"/>
        <v>1.2760092780904548</v>
      </c>
      <c r="BZ242" s="5">
        <f t="shared" si="708"/>
        <v>2.08</v>
      </c>
      <c r="CA242" s="150">
        <f t="shared" si="709"/>
        <v>0.6197837454083277</v>
      </c>
      <c r="CB242" s="5">
        <f t="shared" si="710"/>
        <v>61.978374540832768</v>
      </c>
      <c r="CC242">
        <f t="shared" si="711"/>
        <v>26</v>
      </c>
      <c r="CE242" s="59">
        <f t="shared" si="651"/>
        <v>-50</v>
      </c>
      <c r="CG242" s="150">
        <f t="shared" si="652"/>
        <v>0.66624968292675379</v>
      </c>
      <c r="CH242" s="150">
        <f t="shared" si="653"/>
        <v>0.35850934069898516</v>
      </c>
      <c r="CI242" s="147">
        <v>26</v>
      </c>
      <c r="CJ242" s="188">
        <f t="shared" si="712"/>
        <v>0.312</v>
      </c>
      <c r="CK242" s="188">
        <f t="shared" si="654"/>
        <v>6.5000000000000002E-2</v>
      </c>
      <c r="CL242" s="188">
        <f t="shared" si="655"/>
        <v>1.56</v>
      </c>
      <c r="CM242" s="188">
        <f t="shared" si="656"/>
        <v>0.52</v>
      </c>
      <c r="CN242" s="465">
        <f t="shared" si="657"/>
        <v>60</v>
      </c>
      <c r="CO242" s="379">
        <f t="shared" si="658"/>
        <v>5.7</v>
      </c>
      <c r="CP242" s="379">
        <f t="shared" si="659"/>
        <v>65.7</v>
      </c>
      <c r="CQ242" s="379"/>
      <c r="CR242" s="188">
        <f t="shared" si="660"/>
        <v>8.2568807339449546E-2</v>
      </c>
      <c r="CS242" s="149">
        <f t="shared" si="661"/>
        <v>9.2889908256880744</v>
      </c>
      <c r="CT242" s="149">
        <f t="shared" si="662"/>
        <v>4.1284403669724767</v>
      </c>
      <c r="CU242" s="188">
        <f t="shared" si="663"/>
        <v>1.857798165137615</v>
      </c>
      <c r="CV242" s="188">
        <f t="shared" si="664"/>
        <v>1.1611238532110093</v>
      </c>
      <c r="CW242" s="188">
        <f t="shared" si="665"/>
        <v>5</v>
      </c>
      <c r="CX242" s="188">
        <f t="shared" si="666"/>
        <v>0.83970370370370362</v>
      </c>
      <c r="CY242" s="188">
        <f t="shared" si="667"/>
        <v>0.1679407407407407</v>
      </c>
      <c r="CZ242" s="188">
        <f t="shared" si="668"/>
        <v>1.7677972709551653</v>
      </c>
      <c r="DA242" s="172">
        <f t="shared" si="669"/>
        <v>350</v>
      </c>
      <c r="DB242" s="379">
        <f t="shared" si="670"/>
        <v>350</v>
      </c>
      <c r="DD242" s="188">
        <f t="shared" si="671"/>
        <v>1.2393998695368558</v>
      </c>
      <c r="DE242" s="150">
        <f t="shared" si="672"/>
        <v>2.6092628832354858</v>
      </c>
      <c r="DF242" s="150">
        <f t="shared" si="673"/>
        <v>0.4244520101153616</v>
      </c>
      <c r="DG242" s="150"/>
      <c r="DH242" s="150">
        <f t="shared" si="674"/>
        <v>2.1052631578947367</v>
      </c>
      <c r="DI242" s="314">
        <f t="shared" si="675"/>
        <v>296.39999999999998</v>
      </c>
      <c r="DJ242" s="456">
        <f t="shared" si="676"/>
        <v>0.36842105263157893</v>
      </c>
      <c r="DL242" s="150">
        <f t="shared" si="677"/>
        <v>0.99522670305623862</v>
      </c>
      <c r="DM242" s="150">
        <f t="shared" si="678"/>
        <v>1</v>
      </c>
      <c r="DN242" s="150">
        <f t="shared" si="679"/>
        <v>1.1693714285714285</v>
      </c>
      <c r="DP242" s="314">
        <f t="shared" si="680"/>
        <v>312</v>
      </c>
      <c r="DQ242" s="144">
        <f t="shared" si="681"/>
        <v>296.39999999999998</v>
      </c>
      <c r="DS242">
        <f t="shared" si="682"/>
        <v>312</v>
      </c>
      <c r="DT242">
        <f t="shared" si="683"/>
        <v>296.39999999999998</v>
      </c>
      <c r="DV242" s="5">
        <f t="shared" si="684"/>
        <v>3.3738191632928478</v>
      </c>
      <c r="DW242" s="5">
        <f t="shared" si="685"/>
        <v>0.2</v>
      </c>
      <c r="DX242" s="5">
        <f t="shared" si="686"/>
        <v>3.1738191632928476</v>
      </c>
      <c r="DY242" s="150">
        <f t="shared" si="687"/>
        <v>5.9279999999999999E-2</v>
      </c>
      <c r="EA242" s="5">
        <f t="shared" si="713"/>
        <v>1.248</v>
      </c>
      <c r="EB242" s="5">
        <f t="shared" si="714"/>
        <v>0.16250000000000003</v>
      </c>
      <c r="EC242" s="5">
        <f t="shared" si="715"/>
        <v>3.4383040935672515E-2</v>
      </c>
      <c r="ED242" s="5"/>
      <c r="EE242" s="150">
        <f t="shared" si="716"/>
        <v>0.14057026712644463</v>
      </c>
      <c r="EF242" s="150">
        <f t="shared" si="717"/>
        <v>0.55997618997001408</v>
      </c>
      <c r="EG242" s="150">
        <f t="shared" si="718"/>
        <v>0.12517114834623844</v>
      </c>
      <c r="EH242" s="150"/>
      <c r="EI242" s="456">
        <f t="shared" si="719"/>
        <v>3.9520000000000001E-4</v>
      </c>
      <c r="EJ242" s="456">
        <f t="shared" si="720"/>
        <v>0.38946960000000003</v>
      </c>
      <c r="EK242" s="456">
        <f t="shared" si="721"/>
        <v>3.7049999999999993E-2</v>
      </c>
      <c r="EL242" s="456">
        <f t="shared" si="722"/>
        <v>0.12794076360000001</v>
      </c>
      <c r="EM242">
        <f t="shared" si="723"/>
        <v>2.7E-2</v>
      </c>
      <c r="EN242" s="144">
        <f t="shared" si="724"/>
        <v>64.05</v>
      </c>
      <c r="EP242" s="144">
        <f t="shared" si="725"/>
        <v>581.85556359999998</v>
      </c>
      <c r="EQ242" s="150">
        <f t="shared" si="726"/>
        <v>0.21839999999999998</v>
      </c>
      <c r="ER242" s="150">
        <f t="shared" si="688"/>
        <v>2.8843749999999998E-2</v>
      </c>
      <c r="ES242" s="456"/>
      <c r="EU242" s="144">
        <f t="shared" si="727"/>
        <v>247.24374999999998</v>
      </c>
      <c r="EV242" s="456">
        <f t="shared" si="728"/>
        <v>5.9279999999999999E-4</v>
      </c>
      <c r="EW242" s="456">
        <f t="shared" si="729"/>
        <v>9.4071999999999992E-3</v>
      </c>
      <c r="EX242" s="456">
        <f t="shared" si="730"/>
        <v>7.8339081891580143E-5</v>
      </c>
      <c r="EY242" s="456">
        <f t="shared" si="731"/>
        <v>7.5625020015497008E-2</v>
      </c>
      <c r="EZ242" s="456"/>
      <c r="FA242" s="538">
        <f t="shared" si="732"/>
        <v>2.9639999999999999E-4</v>
      </c>
      <c r="FB242" s="144">
        <f t="shared" si="733"/>
        <v>85.999759097388591</v>
      </c>
      <c r="FC242" s="150">
        <f t="shared" si="734"/>
        <v>0.91509907269738833</v>
      </c>
      <c r="FD242" s="5">
        <f t="shared" si="735"/>
        <v>2.08</v>
      </c>
      <c r="FE242" s="150">
        <f t="shared" si="736"/>
        <v>0.69446784547489127</v>
      </c>
      <c r="FF242" s="5">
        <f t="shared" si="737"/>
        <v>69.446784547489131</v>
      </c>
      <c r="FG242">
        <f t="shared" si="738"/>
        <v>26</v>
      </c>
      <c r="FI242" s="59">
        <f t="shared" si="689"/>
        <v>-50</v>
      </c>
    </row>
    <row r="243" spans="5:165">
      <c r="E243" s="147">
        <v>27</v>
      </c>
      <c r="F243" s="188">
        <f t="shared" si="690"/>
        <v>0.32400000000000001</v>
      </c>
      <c r="G243" s="188">
        <f t="shared" si="617"/>
        <v>6.7500000000000004E-2</v>
      </c>
      <c r="H243" s="188">
        <f t="shared" si="618"/>
        <v>1.62</v>
      </c>
      <c r="I243" s="188">
        <f t="shared" si="619"/>
        <v>0.54</v>
      </c>
      <c r="J243" s="465">
        <f t="shared" si="620"/>
        <v>59.963066902949564</v>
      </c>
      <c r="K243" s="379">
        <f t="shared" si="621"/>
        <v>5.7140487871737253</v>
      </c>
      <c r="L243" s="149">
        <f t="shared" si="622"/>
        <v>65.677115690123287</v>
      </c>
      <c r="M243" s="379"/>
      <c r="N243" s="188">
        <f t="shared" si="623"/>
        <v>8.7002127409700189E-2</v>
      </c>
      <c r="O243" s="149">
        <f t="shared" si="624"/>
        <v>9.7817144748127411</v>
      </c>
      <c r="P243" s="149">
        <f t="shared" si="625"/>
        <v>4.3474286554723287</v>
      </c>
      <c r="Q243" s="188">
        <f t="shared" si="626"/>
        <v>1.9563428949625483</v>
      </c>
      <c r="R243" s="188">
        <f t="shared" si="627"/>
        <v>1.2227143093515926</v>
      </c>
      <c r="S243" s="188">
        <f t="shared" si="628"/>
        <v>5</v>
      </c>
      <c r="T243" s="188">
        <f t="shared" si="629"/>
        <v>0.82807569377095991</v>
      </c>
      <c r="U243" s="188">
        <f t="shared" si="630"/>
        <v>0.16571714621159123</v>
      </c>
      <c r="V243" s="188">
        <f t="shared" si="631"/>
        <v>1.7390310610502329</v>
      </c>
      <c r="W243" s="172">
        <f t="shared" si="632"/>
        <v>350</v>
      </c>
      <c r="X243" s="379">
        <f t="shared" si="691"/>
        <v>350</v>
      </c>
      <c r="Z243" s="188">
        <f t="shared" si="633"/>
        <v>1.2421224729920939</v>
      </c>
      <c r="AA243" s="150">
        <f t="shared" si="634"/>
        <v>2.6085653502579995</v>
      </c>
      <c r="AB243" s="150">
        <f t="shared" si="635"/>
        <v>0.42527069075189394</v>
      </c>
      <c r="AC243" s="150"/>
      <c r="AD243" s="150">
        <f t="shared" si="636"/>
        <v>2.1000870743239526</v>
      </c>
      <c r="AE243" s="314">
        <f t="shared" si="637"/>
        <v>308.55863450738116</v>
      </c>
      <c r="AF243" s="456">
        <f t="shared" si="638"/>
        <v>0.36751523800669172</v>
      </c>
      <c r="AH243" s="150">
        <f t="shared" si="639"/>
        <v>1.0141851056742199</v>
      </c>
      <c r="AI243" s="150">
        <f t="shared" si="640"/>
        <v>1.0141851056742199</v>
      </c>
      <c r="AJ243" s="150">
        <f t="shared" si="641"/>
        <v>1.1763192197185035</v>
      </c>
      <c r="AL243" s="314">
        <f t="shared" si="642"/>
        <v>324</v>
      </c>
      <c r="AM243" s="144">
        <f t="shared" si="643"/>
        <v>308.55863450738116</v>
      </c>
      <c r="AO243">
        <f t="shared" si="644"/>
        <v>324</v>
      </c>
      <c r="AP243">
        <f t="shared" si="645"/>
        <v>308.55863450738116</v>
      </c>
      <c r="AR243" s="5">
        <f t="shared" si="616"/>
        <v>3.2408751146974586</v>
      </c>
      <c r="AS243" s="5">
        <f t="shared" ref="AS243:AS306" si="739">L*AI243/J243*1000000</f>
        <v>0.20296195469434852</v>
      </c>
      <c r="AT243" s="5">
        <f t="shared" ref="AT243:AT306" si="740">AR243-AS243</f>
        <v>3.03791316000311</v>
      </c>
      <c r="AU243" s="150">
        <f t="shared" ref="AU243:AU306" si="741">AS243/AR243</f>
        <v>6.2625663597437126E-2</v>
      </c>
      <c r="BA243" s="150">
        <f t="shared" si="692"/>
        <v>0.14653209918154408</v>
      </c>
      <c r="BB243" s="150">
        <f t="shared" si="693"/>
        <v>0.56690871114015617</v>
      </c>
      <c r="BC243" s="150">
        <f t="shared" si="694"/>
        <v>0.12672077072544669</v>
      </c>
      <c r="BD243" s="150"/>
      <c r="BE243" s="456">
        <f t="shared" si="695"/>
        <v>4.2943312181099744E-4</v>
      </c>
      <c r="BF243" s="456">
        <f t="shared" si="646"/>
        <v>0.38536323230159225</v>
      </c>
      <c r="BG243" s="456">
        <f t="shared" si="647"/>
        <v>0.46255305111122147</v>
      </c>
      <c r="BH243" s="456">
        <f t="shared" si="696"/>
        <v>0.13309625865594363</v>
      </c>
      <c r="BI243">
        <f t="shared" si="697"/>
        <v>2.6983380106327302E-2</v>
      </c>
      <c r="BJ243" s="144">
        <f t="shared" si="698"/>
        <v>489.53643121754874</v>
      </c>
      <c r="BK243">
        <f t="shared" si="648"/>
        <v>0.51905783221080393</v>
      </c>
      <c r="BL243" s="144">
        <f t="shared" si="699"/>
        <v>1008.4253552968955</v>
      </c>
      <c r="BM243" s="150">
        <f t="shared" si="649"/>
        <v>0.20128499999999999</v>
      </c>
      <c r="BN243" s="150">
        <f t="shared" si="650"/>
        <v>2.9953125000000001E-2</v>
      </c>
      <c r="BQ243" s="144">
        <f t="shared" si="700"/>
        <v>231.238125</v>
      </c>
      <c r="BR243" s="456">
        <f t="shared" si="701"/>
        <v>6.4414968271649608E-4</v>
      </c>
      <c r="BS243" s="456">
        <f t="shared" si="702"/>
        <v>9.6415646029977906E-3</v>
      </c>
      <c r="BT243" s="456">
        <f t="shared" si="703"/>
        <v>8.0290768666256126E-5</v>
      </c>
      <c r="BU243" s="456">
        <f t="shared" si="704"/>
        <v>8.6617837054798114E-2</v>
      </c>
      <c r="BV243" s="456"/>
      <c r="BW243" s="538">
        <f t="shared" si="705"/>
        <v>3.173745954933064E-4</v>
      </c>
      <c r="BX243" s="144">
        <f t="shared" si="706"/>
        <v>97.301216704671958</v>
      </c>
      <c r="BY243" s="150">
        <f t="shared" si="707"/>
        <v>1.3369646970015676</v>
      </c>
      <c r="BZ243" s="5">
        <f t="shared" si="708"/>
        <v>2.16</v>
      </c>
      <c r="CA243" s="150">
        <f t="shared" si="709"/>
        <v>0.61767852613784391</v>
      </c>
      <c r="CB243" s="5">
        <f t="shared" si="710"/>
        <v>61.767852613784392</v>
      </c>
      <c r="CC243">
        <f t="shared" si="711"/>
        <v>27</v>
      </c>
      <c r="CE243" s="59">
        <f t="shared" si="651"/>
        <v>-50</v>
      </c>
      <c r="CG243" s="150">
        <f t="shared" si="652"/>
        <v>0.691874670731629</v>
      </c>
      <c r="CH243" s="150">
        <f t="shared" si="653"/>
        <v>0.37229816149510009</v>
      </c>
      <c r="CI243" s="147">
        <v>27</v>
      </c>
      <c r="CJ243" s="188">
        <f t="shared" si="712"/>
        <v>0.32400000000000001</v>
      </c>
      <c r="CK243" s="188">
        <f t="shared" si="654"/>
        <v>6.7500000000000004E-2</v>
      </c>
      <c r="CL243" s="188">
        <f t="shared" si="655"/>
        <v>1.62</v>
      </c>
      <c r="CM243" s="188">
        <f t="shared" si="656"/>
        <v>0.54</v>
      </c>
      <c r="CN243" s="465">
        <f t="shared" si="657"/>
        <v>60</v>
      </c>
      <c r="CO243" s="379">
        <f t="shared" si="658"/>
        <v>5.7</v>
      </c>
      <c r="CP243" s="379">
        <f t="shared" si="659"/>
        <v>65.7</v>
      </c>
      <c r="CQ243" s="379"/>
      <c r="CR243" s="188">
        <f t="shared" si="660"/>
        <v>8.2568807339449546E-2</v>
      </c>
      <c r="CS243" s="149">
        <f t="shared" si="661"/>
        <v>9.2889908256880744</v>
      </c>
      <c r="CT243" s="149">
        <f t="shared" si="662"/>
        <v>4.1284403669724767</v>
      </c>
      <c r="CU243" s="188">
        <f t="shared" si="663"/>
        <v>1.857798165137615</v>
      </c>
      <c r="CV243" s="188">
        <f t="shared" si="664"/>
        <v>1.1611238532110093</v>
      </c>
      <c r="CW243" s="188">
        <f t="shared" si="665"/>
        <v>5</v>
      </c>
      <c r="CX243" s="188">
        <f t="shared" si="666"/>
        <v>0.872</v>
      </c>
      <c r="CY243" s="188">
        <f t="shared" si="667"/>
        <v>0.1744</v>
      </c>
      <c r="CZ243" s="188">
        <f t="shared" si="668"/>
        <v>1.8357894736842104</v>
      </c>
      <c r="DA243" s="172">
        <f t="shared" si="669"/>
        <v>350</v>
      </c>
      <c r="DB243" s="379">
        <f t="shared" si="670"/>
        <v>350</v>
      </c>
      <c r="DD243" s="188">
        <f t="shared" si="671"/>
        <v>1.2393998695368558</v>
      </c>
      <c r="DE243" s="150">
        <f t="shared" si="672"/>
        <v>2.6092628832354858</v>
      </c>
      <c r="DF243" s="150">
        <f t="shared" si="673"/>
        <v>0.4244520101153616</v>
      </c>
      <c r="DG243" s="150"/>
      <c r="DH243" s="150">
        <f t="shared" si="674"/>
        <v>2.1052631578947367</v>
      </c>
      <c r="DI243" s="314">
        <f t="shared" si="675"/>
        <v>307.80000000000007</v>
      </c>
      <c r="DJ243" s="456">
        <f t="shared" si="676"/>
        <v>0.36842105263157893</v>
      </c>
      <c r="DL243" s="150">
        <f t="shared" si="677"/>
        <v>1.0141851056742199</v>
      </c>
      <c r="DM243" s="150">
        <f t="shared" si="678"/>
        <v>1.0141851056742199</v>
      </c>
      <c r="DN243" s="150">
        <f t="shared" si="679"/>
        <v>1.1758857142857144</v>
      </c>
      <c r="DP243" s="314">
        <f t="shared" si="680"/>
        <v>324</v>
      </c>
      <c r="DQ243" s="144">
        <f t="shared" si="681"/>
        <v>307.80000000000007</v>
      </c>
      <c r="DS243">
        <f t="shared" si="682"/>
        <v>324</v>
      </c>
      <c r="DT243">
        <f t="shared" si="683"/>
        <v>307.80000000000007</v>
      </c>
      <c r="DV243" s="5">
        <f t="shared" si="684"/>
        <v>3.2488628979857044</v>
      </c>
      <c r="DW243" s="5">
        <f t="shared" si="685"/>
        <v>0.202837021134844</v>
      </c>
      <c r="DX243" s="5">
        <f t="shared" si="686"/>
        <v>3.0460258768508606</v>
      </c>
      <c r="DY243" s="150">
        <f t="shared" si="687"/>
        <v>6.2433235105304997E-2</v>
      </c>
      <c r="EA243" s="5">
        <f t="shared" si="713"/>
        <v>1.3143838969537891</v>
      </c>
      <c r="EB243" s="5">
        <f t="shared" si="714"/>
        <v>0.17114373658252463</v>
      </c>
      <c r="EC243" s="5">
        <f t="shared" si="715"/>
        <v>3.4267791114572184E-2</v>
      </c>
      <c r="ED243" s="5"/>
      <c r="EE243" s="150">
        <f t="shared" si="716"/>
        <v>0.14630680301179827</v>
      </c>
      <c r="EF243" s="150">
        <f t="shared" si="717"/>
        <v>0.56696689696102165</v>
      </c>
      <c r="EG243" s="150">
        <f t="shared" si="718"/>
        <v>0.12673377696775778</v>
      </c>
      <c r="EH243" s="150"/>
      <c r="EI243" s="456">
        <f t="shared" si="719"/>
        <v>4.2811361215066283E-4</v>
      </c>
      <c r="EJ243" s="456">
        <f t="shared" si="720"/>
        <v>0.41018635464185388</v>
      </c>
      <c r="EK243" s="456">
        <f t="shared" si="721"/>
        <v>3.8475000000000009E-2</v>
      </c>
      <c r="EL243" s="456">
        <f t="shared" si="722"/>
        <v>0.13286156220000006</v>
      </c>
      <c r="EM243">
        <f t="shared" si="723"/>
        <v>2.7E-2</v>
      </c>
      <c r="EN243" s="144">
        <f t="shared" si="724"/>
        <v>65.475000000000009</v>
      </c>
      <c r="EP243" s="144">
        <f t="shared" si="725"/>
        <v>608.95103045400458</v>
      </c>
      <c r="EQ243" s="150">
        <f t="shared" si="726"/>
        <v>0.2268</v>
      </c>
      <c r="ER243" s="150">
        <f t="shared" si="688"/>
        <v>2.9953125000000001E-2</v>
      </c>
      <c r="ES243" s="456"/>
      <c r="EU243" s="144">
        <f t="shared" si="727"/>
        <v>256.75312500000001</v>
      </c>
      <c r="EV243" s="456">
        <f t="shared" si="728"/>
        <v>6.4217041822599427E-4</v>
      </c>
      <c r="EW243" s="456">
        <f t="shared" si="729"/>
        <v>9.6435438674882922E-3</v>
      </c>
      <c r="EX243" s="456">
        <f t="shared" si="730"/>
        <v>8.0307251122566876E-5</v>
      </c>
      <c r="EY243" s="456">
        <f t="shared" si="731"/>
        <v>8.6086413265236819E-2</v>
      </c>
      <c r="EZ243" s="456"/>
      <c r="FA243" s="538">
        <f t="shared" si="732"/>
        <v>3.1659428571428585E-4</v>
      </c>
      <c r="FB243" s="144">
        <f t="shared" si="733"/>
        <v>96.76902908778797</v>
      </c>
      <c r="FC243" s="150">
        <f t="shared" si="734"/>
        <v>0.96247318454179254</v>
      </c>
      <c r="FD243" s="5">
        <f t="shared" si="735"/>
        <v>2.16</v>
      </c>
      <c r="FE243" s="150">
        <f t="shared" si="736"/>
        <v>0.69175934342474399</v>
      </c>
      <c r="FF243" s="5">
        <f t="shared" si="737"/>
        <v>69.175934342474392</v>
      </c>
      <c r="FG243">
        <f t="shared" si="738"/>
        <v>27</v>
      </c>
      <c r="FI243" s="59">
        <f t="shared" si="689"/>
        <v>-50</v>
      </c>
    </row>
    <row r="244" spans="5:165">
      <c r="E244" s="147">
        <v>28</v>
      </c>
      <c r="F244" s="188">
        <f t="shared" si="690"/>
        <v>0.33600000000000002</v>
      </c>
      <c r="G244" s="188">
        <f t="shared" si="617"/>
        <v>7.0000000000000007E-2</v>
      </c>
      <c r="H244" s="188">
        <f t="shared" si="618"/>
        <v>1.6800000000000002</v>
      </c>
      <c r="I244" s="188">
        <f t="shared" si="619"/>
        <v>0.56000000000000005</v>
      </c>
      <c r="J244" s="465">
        <f t="shared" si="620"/>
        <v>59.963066902949564</v>
      </c>
      <c r="K244" s="379">
        <f t="shared" si="621"/>
        <v>5.7140487871737253</v>
      </c>
      <c r="L244" s="149">
        <f t="shared" si="622"/>
        <v>65.677115690123287</v>
      </c>
      <c r="M244" s="379"/>
      <c r="N244" s="188">
        <f t="shared" si="623"/>
        <v>8.7002127409700189E-2</v>
      </c>
      <c r="O244" s="149">
        <f t="shared" si="624"/>
        <v>9.7817144748127411</v>
      </c>
      <c r="P244" s="149">
        <f t="shared" si="625"/>
        <v>4.3474286554723287</v>
      </c>
      <c r="Q244" s="188">
        <f t="shared" si="626"/>
        <v>1.9563428949625483</v>
      </c>
      <c r="R244" s="188">
        <f t="shared" si="627"/>
        <v>1.2227143093515926</v>
      </c>
      <c r="S244" s="188">
        <f t="shared" si="628"/>
        <v>5</v>
      </c>
      <c r="T244" s="188">
        <f t="shared" si="629"/>
        <v>0.85874516391062516</v>
      </c>
      <c r="U244" s="188">
        <f t="shared" si="630"/>
        <v>0.17185481829350202</v>
      </c>
      <c r="V244" s="188">
        <f t="shared" si="631"/>
        <v>1.8034396188669082</v>
      </c>
      <c r="W244" s="172">
        <f t="shared" si="632"/>
        <v>350</v>
      </c>
      <c r="X244" s="379">
        <f t="shared" si="691"/>
        <v>350</v>
      </c>
      <c r="Z244" s="188">
        <f t="shared" si="633"/>
        <v>1.2421224729920939</v>
      </c>
      <c r="AA244" s="150">
        <f t="shared" si="634"/>
        <v>2.6085653502579995</v>
      </c>
      <c r="AB244" s="150">
        <f t="shared" si="635"/>
        <v>0.42527069075189394</v>
      </c>
      <c r="AC244" s="150"/>
      <c r="AD244" s="150">
        <f t="shared" si="636"/>
        <v>2.1000870743239526</v>
      </c>
      <c r="AE244" s="314">
        <f t="shared" si="637"/>
        <v>319.98673208172863</v>
      </c>
      <c r="AF244" s="456">
        <f t="shared" si="638"/>
        <v>0.36751523800669172</v>
      </c>
      <c r="AH244" s="150">
        <f t="shared" si="639"/>
        <v>1.0327955589886444</v>
      </c>
      <c r="AI244" s="150">
        <f t="shared" si="640"/>
        <v>1.0327955589886444</v>
      </c>
      <c r="AJ244" s="150">
        <f t="shared" si="641"/>
        <v>1.1828495611895593</v>
      </c>
      <c r="AL244" s="314">
        <f t="shared" si="642"/>
        <v>336</v>
      </c>
      <c r="AM244" s="144">
        <f t="shared" si="643"/>
        <v>319.98673208172863</v>
      </c>
      <c r="AO244">
        <f t="shared" si="644"/>
        <v>336</v>
      </c>
      <c r="AP244">
        <f t="shared" si="645"/>
        <v>319.98673208172863</v>
      </c>
      <c r="AR244" s="5">
        <f t="shared" si="616"/>
        <v>3.1251295748868348</v>
      </c>
      <c r="AS244" s="5">
        <f t="shared" si="739"/>
        <v>0.20668633790734439</v>
      </c>
      <c r="AT244" s="5">
        <f t="shared" si="740"/>
        <v>2.9184432369794906</v>
      </c>
      <c r="AU244" s="150">
        <f t="shared" si="741"/>
        <v>6.6136885832911038E-2</v>
      </c>
      <c r="BA244" s="150">
        <f t="shared" si="692"/>
        <v>0.15334711338996579</v>
      </c>
      <c r="BB244" s="150">
        <f t="shared" si="693"/>
        <v>0.57622931057914817</v>
      </c>
      <c r="BC244" s="150">
        <f t="shared" si="694"/>
        <v>0.128804198835339</v>
      </c>
      <c r="BD244" s="150"/>
      <c r="BE244" s="456">
        <f t="shared" si="695"/>
        <v>4.7030674370070056E-4</v>
      </c>
      <c r="BF244" s="456">
        <f t="shared" si="646"/>
        <v>0.40696932591026447</v>
      </c>
      <c r="BG244" s="456">
        <f t="shared" si="647"/>
        <v>0.47968464559682228</v>
      </c>
      <c r="BH244" s="456">
        <f t="shared" si="696"/>
        <v>0.13802574971727491</v>
      </c>
      <c r="BI244">
        <f t="shared" si="697"/>
        <v>2.6983380106327302E-2</v>
      </c>
      <c r="BJ244" s="144">
        <f t="shared" si="698"/>
        <v>506.66802570314962</v>
      </c>
      <c r="BK244">
        <f t="shared" si="648"/>
        <v>0.54565333916020209</v>
      </c>
      <c r="BL244" s="144">
        <f t="shared" si="699"/>
        <v>1052.1334080743895</v>
      </c>
      <c r="BM244" s="150">
        <f t="shared" si="649"/>
        <v>0.20873999999999998</v>
      </c>
      <c r="BN244" s="150">
        <f t="shared" si="650"/>
        <v>3.10625E-2</v>
      </c>
      <c r="BQ244" s="144">
        <f t="shared" si="700"/>
        <v>239.80249999999998</v>
      </c>
      <c r="BR244" s="456">
        <f t="shared" si="701"/>
        <v>7.0546011555105081E-4</v>
      </c>
      <c r="BS244" s="456">
        <f t="shared" si="702"/>
        <v>9.9612065511156117E-3</v>
      </c>
      <c r="BT244" s="456">
        <f t="shared" si="703"/>
        <v>8.2952608188067726E-5</v>
      </c>
      <c r="BU244" s="456">
        <f t="shared" si="704"/>
        <v>9.9274072139731412E-2</v>
      </c>
      <c r="BV244" s="456"/>
      <c r="BW244" s="538">
        <f t="shared" si="705"/>
        <v>3.4131918088717717E-4</v>
      </c>
      <c r="BX244" s="144">
        <f t="shared" si="706"/>
        <v>110.36501059547332</v>
      </c>
      <c r="BY244" s="150">
        <f t="shared" si="707"/>
        <v>1.4023009186698627</v>
      </c>
      <c r="BZ244" s="5">
        <f t="shared" si="708"/>
        <v>2.2400000000000002</v>
      </c>
      <c r="CA244" s="150">
        <f t="shared" si="709"/>
        <v>0.61499586388321503</v>
      </c>
      <c r="CB244" s="5">
        <f t="shared" si="710"/>
        <v>61.499586388321504</v>
      </c>
      <c r="CC244">
        <f t="shared" si="711"/>
        <v>28.000000000000004</v>
      </c>
      <c r="CE244" s="59">
        <f t="shared" si="651"/>
        <v>-50</v>
      </c>
      <c r="CG244" s="150">
        <f t="shared" si="652"/>
        <v>0.71749965853650433</v>
      </c>
      <c r="CH244" s="150">
        <f t="shared" si="653"/>
        <v>0.38608698229121485</v>
      </c>
      <c r="CI244" s="147">
        <v>28</v>
      </c>
      <c r="CJ244" s="188">
        <f t="shared" si="712"/>
        <v>0.33600000000000002</v>
      </c>
      <c r="CK244" s="188">
        <f t="shared" si="654"/>
        <v>7.0000000000000007E-2</v>
      </c>
      <c r="CL244" s="188">
        <f t="shared" si="655"/>
        <v>1.6800000000000002</v>
      </c>
      <c r="CM244" s="188">
        <f t="shared" si="656"/>
        <v>0.56000000000000005</v>
      </c>
      <c r="CN244" s="465">
        <f t="shared" si="657"/>
        <v>60</v>
      </c>
      <c r="CO244" s="379">
        <f t="shared" si="658"/>
        <v>5.7</v>
      </c>
      <c r="CP244" s="379">
        <f t="shared" si="659"/>
        <v>65.7</v>
      </c>
      <c r="CQ244" s="379"/>
      <c r="CR244" s="188">
        <f t="shared" si="660"/>
        <v>8.2568807339449546E-2</v>
      </c>
      <c r="CS244" s="149">
        <f t="shared" si="661"/>
        <v>9.2889908256880744</v>
      </c>
      <c r="CT244" s="149">
        <f t="shared" si="662"/>
        <v>4.1284403669724767</v>
      </c>
      <c r="CU244" s="188">
        <f t="shared" si="663"/>
        <v>1.857798165137615</v>
      </c>
      <c r="CV244" s="188">
        <f t="shared" si="664"/>
        <v>1.1611238532110093</v>
      </c>
      <c r="CW244" s="188">
        <f t="shared" si="665"/>
        <v>5</v>
      </c>
      <c r="CX244" s="188">
        <f t="shared" si="666"/>
        <v>0.90429629629629626</v>
      </c>
      <c r="CY244" s="188">
        <f t="shared" si="667"/>
        <v>0.18085925925925928</v>
      </c>
      <c r="CZ244" s="188">
        <f t="shared" si="668"/>
        <v>1.9037816764132551</v>
      </c>
      <c r="DA244" s="172">
        <f t="shared" si="669"/>
        <v>350</v>
      </c>
      <c r="DB244" s="379">
        <f t="shared" si="670"/>
        <v>350</v>
      </c>
      <c r="DD244" s="188">
        <f t="shared" si="671"/>
        <v>1.2393998695368558</v>
      </c>
      <c r="DE244" s="150">
        <f t="shared" si="672"/>
        <v>2.6092628832354858</v>
      </c>
      <c r="DF244" s="150">
        <f t="shared" si="673"/>
        <v>0.4244520101153616</v>
      </c>
      <c r="DG244" s="150"/>
      <c r="DH244" s="150">
        <f t="shared" si="674"/>
        <v>2.1052631578947367</v>
      </c>
      <c r="DI244" s="314">
        <f t="shared" si="675"/>
        <v>319.20000000000005</v>
      </c>
      <c r="DJ244" s="456">
        <f t="shared" si="676"/>
        <v>0.36842105263157893</v>
      </c>
      <c r="DL244" s="150">
        <f t="shared" si="677"/>
        <v>1.0327955589886444</v>
      </c>
      <c r="DM244" s="150">
        <f t="shared" si="678"/>
        <v>1.0327955589886444</v>
      </c>
      <c r="DN244" s="150">
        <f t="shared" si="679"/>
        <v>1.1824000000000001</v>
      </c>
      <c r="DP244" s="314">
        <f t="shared" si="680"/>
        <v>336</v>
      </c>
      <c r="DQ244" s="144">
        <f t="shared" si="681"/>
        <v>319.20000000000005</v>
      </c>
      <c r="DS244">
        <f t="shared" si="682"/>
        <v>336</v>
      </c>
      <c r="DT244">
        <f t="shared" si="683"/>
        <v>319.20000000000005</v>
      </c>
      <c r="DV244" s="5">
        <f t="shared" si="684"/>
        <v>3.1328320802005005</v>
      </c>
      <c r="DW244" s="5">
        <f t="shared" si="685"/>
        <v>0.20655911179772887</v>
      </c>
      <c r="DX244" s="5">
        <f t="shared" si="686"/>
        <v>2.9262729684027717</v>
      </c>
      <c r="DY244" s="150">
        <f t="shared" si="687"/>
        <v>6.5933668485835067E-2</v>
      </c>
      <c r="EA244" s="5">
        <f t="shared" si="713"/>
        <v>1.3880772312807381</v>
      </c>
      <c r="EB244" s="5">
        <f t="shared" si="714"/>
        <v>0.18073922282301277</v>
      </c>
      <c r="EC244" s="5">
        <f t="shared" si="715"/>
        <v>3.4139851298032341E-2</v>
      </c>
      <c r="ED244" s="5"/>
      <c r="EE244" s="150">
        <f t="shared" si="716"/>
        <v>0.1531113389932206</v>
      </c>
      <c r="EF244" s="150">
        <f t="shared" si="717"/>
        <v>0.57629200361210853</v>
      </c>
      <c r="EG244" s="150">
        <f t="shared" si="718"/>
        <v>0.1288182125721184</v>
      </c>
      <c r="EH244" s="150"/>
      <c r="EI244" s="456">
        <f t="shared" si="719"/>
        <v>4.6886164256593833E-4</v>
      </c>
      <c r="EJ244" s="456">
        <f t="shared" si="720"/>
        <v>0.43318420195193641</v>
      </c>
      <c r="EK244" s="456">
        <f t="shared" si="721"/>
        <v>3.9899999999999998E-2</v>
      </c>
      <c r="EL244" s="456">
        <f t="shared" si="722"/>
        <v>0.13778236080000003</v>
      </c>
      <c r="EM244">
        <f t="shared" si="723"/>
        <v>2.7E-2</v>
      </c>
      <c r="EN244" s="144">
        <f t="shared" si="724"/>
        <v>66.900000000000006</v>
      </c>
      <c r="EP244" s="144">
        <f t="shared" si="725"/>
        <v>638.33542439450241</v>
      </c>
      <c r="EQ244" s="150">
        <f t="shared" si="726"/>
        <v>0.23519999999999999</v>
      </c>
      <c r="ER244" s="150">
        <f t="shared" si="688"/>
        <v>3.10625E-2</v>
      </c>
      <c r="ES244" s="456"/>
      <c r="EU244" s="144">
        <f t="shared" si="727"/>
        <v>266.26249999999999</v>
      </c>
      <c r="EV244" s="456">
        <f t="shared" si="728"/>
        <v>7.0329246384890742E-4</v>
      </c>
      <c r="EW244" s="456">
        <f t="shared" si="729"/>
        <v>9.9633742028177562E-3</v>
      </c>
      <c r="EX244" s="456">
        <f t="shared" si="730"/>
        <v>8.2970659451377416E-5</v>
      </c>
      <c r="EY244" s="456">
        <f t="shared" si="731"/>
        <v>9.8664998934771458E-2</v>
      </c>
      <c r="EZ244" s="456"/>
      <c r="FA244" s="538">
        <f t="shared" si="732"/>
        <v>3.4047999999999999E-4</v>
      </c>
      <c r="FB244" s="144">
        <f t="shared" si="733"/>
        <v>109.75511626088951</v>
      </c>
      <c r="FC244" s="150">
        <f t="shared" si="734"/>
        <v>1.014353040655392</v>
      </c>
      <c r="FD244" s="5">
        <f t="shared" si="735"/>
        <v>2.2400000000000002</v>
      </c>
      <c r="FE244" s="150">
        <f t="shared" si="736"/>
        <v>0.68830885033569933</v>
      </c>
      <c r="FF244" s="5">
        <f t="shared" si="737"/>
        <v>68.830885033569928</v>
      </c>
      <c r="FG244">
        <f t="shared" si="738"/>
        <v>28.000000000000004</v>
      </c>
      <c r="FI244" s="59">
        <f t="shared" si="689"/>
        <v>-50</v>
      </c>
    </row>
    <row r="245" spans="5:165">
      <c r="E245" s="147">
        <v>29</v>
      </c>
      <c r="F245" s="188">
        <f t="shared" si="690"/>
        <v>0.34799999999999998</v>
      </c>
      <c r="G245" s="188">
        <f t="shared" si="617"/>
        <v>7.2499999999999995E-2</v>
      </c>
      <c r="H245" s="188">
        <f t="shared" si="618"/>
        <v>1.7399999999999998</v>
      </c>
      <c r="I245" s="188">
        <f t="shared" si="619"/>
        <v>0.57999999999999996</v>
      </c>
      <c r="J245" s="465">
        <f t="shared" si="620"/>
        <v>59.963066902949564</v>
      </c>
      <c r="K245" s="379">
        <f t="shared" si="621"/>
        <v>5.7140487871737253</v>
      </c>
      <c r="L245" s="149">
        <f t="shared" si="622"/>
        <v>65.677115690123287</v>
      </c>
      <c r="M245" s="379"/>
      <c r="N245" s="188">
        <f t="shared" si="623"/>
        <v>8.7002127409700189E-2</v>
      </c>
      <c r="O245" s="149">
        <f t="shared" si="624"/>
        <v>9.7817144748127411</v>
      </c>
      <c r="P245" s="149">
        <f t="shared" si="625"/>
        <v>4.3474286554723287</v>
      </c>
      <c r="Q245" s="188">
        <f t="shared" si="626"/>
        <v>1.9563428949625483</v>
      </c>
      <c r="R245" s="188">
        <f t="shared" si="627"/>
        <v>1.2227143093515926</v>
      </c>
      <c r="S245" s="188">
        <f t="shared" si="628"/>
        <v>5</v>
      </c>
      <c r="T245" s="188">
        <f t="shared" si="629"/>
        <v>0.8894146340502902</v>
      </c>
      <c r="U245" s="188">
        <f t="shared" si="630"/>
        <v>0.17799249037541276</v>
      </c>
      <c r="V245" s="188">
        <f t="shared" si="631"/>
        <v>1.8678481766835831</v>
      </c>
      <c r="W245" s="172">
        <f t="shared" si="632"/>
        <v>350</v>
      </c>
      <c r="X245" s="379">
        <f t="shared" si="691"/>
        <v>350</v>
      </c>
      <c r="Z245" s="188">
        <f t="shared" si="633"/>
        <v>1.2421224729920939</v>
      </c>
      <c r="AA245" s="150">
        <f t="shared" si="634"/>
        <v>2.6085653502579995</v>
      </c>
      <c r="AB245" s="150">
        <f t="shared" si="635"/>
        <v>0.42527069075189394</v>
      </c>
      <c r="AC245" s="150"/>
      <c r="AD245" s="150">
        <f t="shared" si="636"/>
        <v>2.1000870743239526</v>
      </c>
      <c r="AE245" s="314">
        <f t="shared" si="637"/>
        <v>331.41482965607605</v>
      </c>
      <c r="AF245" s="456">
        <f t="shared" si="638"/>
        <v>0.36751523800669172</v>
      </c>
      <c r="AH245" s="150">
        <f t="shared" si="639"/>
        <v>1.051076545624487</v>
      </c>
      <c r="AI245" s="150">
        <f t="shared" si="640"/>
        <v>1.051076545624487</v>
      </c>
      <c r="AJ245" s="150">
        <f t="shared" si="641"/>
        <v>1.1893799026606149</v>
      </c>
      <c r="AL245" s="314">
        <f t="shared" si="642"/>
        <v>348</v>
      </c>
      <c r="AM245" s="144">
        <f t="shared" si="643"/>
        <v>331.41482965607605</v>
      </c>
      <c r="AO245">
        <f t="shared" si="644"/>
        <v>348</v>
      </c>
      <c r="AP245">
        <f t="shared" si="645"/>
        <v>331.41482965607605</v>
      </c>
      <c r="AR245" s="5">
        <f t="shared" si="616"/>
        <v>3.0173664860976337</v>
      </c>
      <c r="AS245" s="5">
        <f t="shared" si="739"/>
        <v>0.21034478719889194</v>
      </c>
      <c r="AT245" s="5">
        <f t="shared" si="740"/>
        <v>2.8070216988987418</v>
      </c>
      <c r="AU245" s="150">
        <f t="shared" si="741"/>
        <v>6.971138181856433E-2</v>
      </c>
      <c r="BA245" s="150">
        <f t="shared" si="692"/>
        <v>0.1602232598193965</v>
      </c>
      <c r="BB245" s="150">
        <f t="shared" si="693"/>
        <v>0.58530545467030659</v>
      </c>
      <c r="BC245" s="150">
        <f t="shared" si="694"/>
        <v>0.13083298398512733</v>
      </c>
      <c r="BD245" s="150"/>
      <c r="BE245" s="456">
        <f t="shared" si="695"/>
        <v>5.1342985974307679E-4</v>
      </c>
      <c r="BF245" s="456">
        <f t="shared" si="646"/>
        <v>0.42896477071281325</v>
      </c>
      <c r="BG245" s="456">
        <f t="shared" si="647"/>
        <v>0.49681624008242298</v>
      </c>
      <c r="BH245" s="456">
        <f t="shared" si="696"/>
        <v>0.14295524077860614</v>
      </c>
      <c r="BI245">
        <f t="shared" si="697"/>
        <v>2.6983380106327302E-2</v>
      </c>
      <c r="BJ245" s="144">
        <f t="shared" si="698"/>
        <v>523.79962018875028</v>
      </c>
      <c r="BK245">
        <f t="shared" si="648"/>
        <v>0.57264192453690133</v>
      </c>
      <c r="BL245" s="144">
        <f t="shared" si="699"/>
        <v>1096.2330615399128</v>
      </c>
      <c r="BM245" s="150">
        <f t="shared" si="649"/>
        <v>0.21619499999999994</v>
      </c>
      <c r="BN245" s="150">
        <f t="shared" si="650"/>
        <v>3.2171874999999996E-2</v>
      </c>
      <c r="BQ245" s="144">
        <f t="shared" si="700"/>
        <v>248.36687499999994</v>
      </c>
      <c r="BR245" s="456">
        <f t="shared" si="701"/>
        <v>7.7014478961461507E-4</v>
      </c>
      <c r="BS245" s="456">
        <f t="shared" si="702"/>
        <v>1.027747425800443E-2</v>
      </c>
      <c r="BT245" s="456">
        <f t="shared" si="703"/>
        <v>8.5586348492262923E-5</v>
      </c>
      <c r="BU245" s="456">
        <f t="shared" si="704"/>
        <v>0.11323631066221494</v>
      </c>
      <c r="BV245" s="456"/>
      <c r="BW245" s="538">
        <f t="shared" si="705"/>
        <v>3.6613447847718864E-4</v>
      </c>
      <c r="BX245" s="144">
        <f t="shared" si="706"/>
        <v>124.73565053680343</v>
      </c>
      <c r="BY245" s="150">
        <f t="shared" si="707"/>
        <v>1.4693355870767162</v>
      </c>
      <c r="BZ245" s="5">
        <f t="shared" si="708"/>
        <v>2.3199999999999998</v>
      </c>
      <c r="CA245" s="150">
        <f t="shared" si="709"/>
        <v>0.6122445338207072</v>
      </c>
      <c r="CB245" s="5">
        <f t="shared" si="710"/>
        <v>61.22445338207072</v>
      </c>
      <c r="CC245">
        <f t="shared" si="711"/>
        <v>28.999999999999996</v>
      </c>
      <c r="CE245" s="59">
        <f t="shared" si="651"/>
        <v>-50</v>
      </c>
      <c r="CG245" s="150">
        <f t="shared" si="652"/>
        <v>0.7431246463413792</v>
      </c>
      <c r="CH245" s="150">
        <f t="shared" si="653"/>
        <v>0.39987580308732962</v>
      </c>
      <c r="CI245" s="147">
        <v>29</v>
      </c>
      <c r="CJ245" s="188">
        <f t="shared" si="712"/>
        <v>0.34799999999999998</v>
      </c>
      <c r="CK245" s="188">
        <f t="shared" si="654"/>
        <v>7.2499999999999995E-2</v>
      </c>
      <c r="CL245" s="188">
        <f t="shared" si="655"/>
        <v>1.7399999999999998</v>
      </c>
      <c r="CM245" s="188">
        <f t="shared" si="656"/>
        <v>0.57999999999999996</v>
      </c>
      <c r="CN245" s="465">
        <f t="shared" si="657"/>
        <v>60</v>
      </c>
      <c r="CO245" s="379">
        <f t="shared" si="658"/>
        <v>5.7</v>
      </c>
      <c r="CP245" s="379">
        <f t="shared" si="659"/>
        <v>65.7</v>
      </c>
      <c r="CQ245" s="379"/>
      <c r="CR245" s="188">
        <f t="shared" si="660"/>
        <v>8.2568807339449546E-2</v>
      </c>
      <c r="CS245" s="149">
        <f t="shared" si="661"/>
        <v>9.2889908256880744</v>
      </c>
      <c r="CT245" s="149">
        <f t="shared" si="662"/>
        <v>4.1284403669724767</v>
      </c>
      <c r="CU245" s="188">
        <f t="shared" si="663"/>
        <v>1.857798165137615</v>
      </c>
      <c r="CV245" s="188">
        <f t="shared" si="664"/>
        <v>1.1611238532110093</v>
      </c>
      <c r="CW245" s="188">
        <f t="shared" si="665"/>
        <v>5</v>
      </c>
      <c r="CX245" s="188">
        <f t="shared" si="666"/>
        <v>0.93659259259259242</v>
      </c>
      <c r="CY245" s="188">
        <f t="shared" si="667"/>
        <v>0.18731851851851847</v>
      </c>
      <c r="CZ245" s="188">
        <f t="shared" si="668"/>
        <v>1.9717738791423001</v>
      </c>
      <c r="DA245" s="172">
        <f t="shared" si="669"/>
        <v>350</v>
      </c>
      <c r="DB245" s="379">
        <f t="shared" si="670"/>
        <v>350</v>
      </c>
      <c r="DD245" s="188">
        <f t="shared" si="671"/>
        <v>1.2393998695368558</v>
      </c>
      <c r="DE245" s="150">
        <f t="shared" si="672"/>
        <v>2.6092628832354858</v>
      </c>
      <c r="DF245" s="150">
        <f t="shared" si="673"/>
        <v>0.4244520101153616</v>
      </c>
      <c r="DG245" s="150"/>
      <c r="DH245" s="150">
        <f t="shared" si="674"/>
        <v>2.1052631578947367</v>
      </c>
      <c r="DI245" s="314">
        <f t="shared" si="675"/>
        <v>330.6</v>
      </c>
      <c r="DJ245" s="456">
        <f t="shared" si="676"/>
        <v>0.36842105263157893</v>
      </c>
      <c r="DL245" s="150">
        <f t="shared" si="677"/>
        <v>1.051076545624487</v>
      </c>
      <c r="DM245" s="150">
        <f t="shared" si="678"/>
        <v>1.051076545624487</v>
      </c>
      <c r="DN245" s="150">
        <f t="shared" si="679"/>
        <v>1.1889142857142858</v>
      </c>
      <c r="DP245" s="314">
        <f t="shared" si="680"/>
        <v>348</v>
      </c>
      <c r="DQ245" s="144">
        <f t="shared" si="681"/>
        <v>330.6</v>
      </c>
      <c r="DS245">
        <f t="shared" si="682"/>
        <v>348</v>
      </c>
      <c r="DT245">
        <f t="shared" si="683"/>
        <v>330.6</v>
      </c>
      <c r="DV245" s="5">
        <f t="shared" si="684"/>
        <v>3.024803387779794</v>
      </c>
      <c r="DW245" s="5">
        <f t="shared" si="685"/>
        <v>0.21021530912489744</v>
      </c>
      <c r="DX245" s="5">
        <f t="shared" si="686"/>
        <v>2.8145880786548965</v>
      </c>
      <c r="DY245" s="150">
        <f t="shared" si="687"/>
        <v>6.9497181196691099E-2</v>
      </c>
      <c r="EA245" s="5">
        <f t="shared" si="713"/>
        <v>1.4630985515092862</v>
      </c>
      <c r="EB245" s="5">
        <f t="shared" si="714"/>
        <v>0.19050762389443829</v>
      </c>
      <c r="EC245" s="5">
        <f t="shared" si="715"/>
        <v>3.4009605950413323E-2</v>
      </c>
      <c r="ED245" s="5"/>
      <c r="EE245" s="150">
        <f t="shared" si="716"/>
        <v>0.15997691320358245</v>
      </c>
      <c r="EF245" s="150">
        <f t="shared" si="717"/>
        <v>0.5853728346069893</v>
      </c>
      <c r="EG245" s="150">
        <f t="shared" si="718"/>
        <v>0.13084804538273875</v>
      </c>
      <c r="EH245" s="150"/>
      <c r="EI245" s="456">
        <f t="shared" si="719"/>
        <v>5.1185225516293107E-4</v>
      </c>
      <c r="EJ245" s="456">
        <f t="shared" si="720"/>
        <v>0.45659648046226048</v>
      </c>
      <c r="EK245" s="456">
        <f t="shared" si="721"/>
        <v>4.1325000000000001E-2</v>
      </c>
      <c r="EL245" s="456">
        <f t="shared" si="722"/>
        <v>0.14270315940000006</v>
      </c>
      <c r="EM245">
        <f t="shared" si="723"/>
        <v>2.7E-2</v>
      </c>
      <c r="EN245" s="144">
        <f t="shared" si="724"/>
        <v>68.325000000000003</v>
      </c>
      <c r="EP245" s="144">
        <f t="shared" si="725"/>
        <v>668.13649211742347</v>
      </c>
      <c r="EQ245" s="150">
        <f t="shared" si="726"/>
        <v>0.24359999999999996</v>
      </c>
      <c r="ER245" s="150">
        <f t="shared" si="688"/>
        <v>3.2171874999999996E-2</v>
      </c>
      <c r="ES245" s="456"/>
      <c r="EU245" s="144">
        <f t="shared" si="727"/>
        <v>275.77187499999997</v>
      </c>
      <c r="EV245" s="456">
        <f t="shared" si="728"/>
        <v>7.6777838274439661E-4</v>
      </c>
      <c r="EW245" s="456">
        <f t="shared" si="729"/>
        <v>1.027984066487465E-2</v>
      </c>
      <c r="EX245" s="456">
        <f t="shared" si="730"/>
        <v>8.5606054902416306E-5</v>
      </c>
      <c r="EY245" s="456">
        <f t="shared" si="731"/>
        <v>0.11254157535856166</v>
      </c>
      <c r="EZ245" s="456"/>
      <c r="FA245" s="538">
        <f t="shared" si="732"/>
        <v>3.6523428571428565E-4</v>
      </c>
      <c r="FB245" s="144">
        <f t="shared" si="733"/>
        <v>124.0400347467974</v>
      </c>
      <c r="FC245" s="150">
        <f t="shared" si="734"/>
        <v>1.0679484018642207</v>
      </c>
      <c r="FD245" s="5">
        <f t="shared" si="735"/>
        <v>2.3199999999999998</v>
      </c>
      <c r="FE245" s="150">
        <f t="shared" si="736"/>
        <v>0.68478020465819911</v>
      </c>
      <c r="FF245" s="5">
        <f t="shared" si="737"/>
        <v>68.47802046581991</v>
      </c>
      <c r="FG245">
        <f t="shared" si="738"/>
        <v>28.999999999999996</v>
      </c>
      <c r="FI245" s="59">
        <f t="shared" si="689"/>
        <v>-50</v>
      </c>
    </row>
    <row r="246" spans="5:165">
      <c r="E246" s="147">
        <v>30</v>
      </c>
      <c r="F246" s="188">
        <f t="shared" si="690"/>
        <v>0.36</v>
      </c>
      <c r="G246" s="188">
        <f t="shared" si="617"/>
        <v>7.4999999999999997E-2</v>
      </c>
      <c r="H246" s="188">
        <f t="shared" si="618"/>
        <v>1.7999999999999998</v>
      </c>
      <c r="I246" s="188">
        <f t="shared" si="619"/>
        <v>0.6</v>
      </c>
      <c r="J246" s="465">
        <f t="shared" si="620"/>
        <v>59.963066902949564</v>
      </c>
      <c r="K246" s="379">
        <f t="shared" si="621"/>
        <v>5.7140487871737253</v>
      </c>
      <c r="L246" s="149">
        <f t="shared" si="622"/>
        <v>65.677115690123287</v>
      </c>
      <c r="M246" s="379"/>
      <c r="N246" s="188">
        <f t="shared" si="623"/>
        <v>8.7002127409700189E-2</v>
      </c>
      <c r="O246" s="149">
        <f t="shared" si="624"/>
        <v>9.7817144748127411</v>
      </c>
      <c r="P246" s="149">
        <f t="shared" si="625"/>
        <v>4.3474286554723287</v>
      </c>
      <c r="Q246" s="188">
        <f t="shared" si="626"/>
        <v>1.9563428949625483</v>
      </c>
      <c r="R246" s="188">
        <f t="shared" si="627"/>
        <v>1.2227143093515926</v>
      </c>
      <c r="S246" s="188">
        <f t="shared" si="628"/>
        <v>5</v>
      </c>
      <c r="T246" s="188">
        <f t="shared" si="629"/>
        <v>0.92008410418995534</v>
      </c>
      <c r="U246" s="188">
        <f t="shared" si="630"/>
        <v>0.18413016245732358</v>
      </c>
      <c r="V246" s="188">
        <f t="shared" si="631"/>
        <v>1.9322567345002586</v>
      </c>
      <c r="W246" s="172">
        <f t="shared" si="632"/>
        <v>350</v>
      </c>
      <c r="X246" s="379">
        <f t="shared" si="691"/>
        <v>350</v>
      </c>
      <c r="Z246" s="188">
        <f t="shared" si="633"/>
        <v>1.2421224729920939</v>
      </c>
      <c r="AA246" s="150">
        <f t="shared" si="634"/>
        <v>2.6085653502579995</v>
      </c>
      <c r="AB246" s="150">
        <f t="shared" si="635"/>
        <v>0.42527069075189394</v>
      </c>
      <c r="AC246" s="150"/>
      <c r="AD246" s="150">
        <f t="shared" si="636"/>
        <v>2.1000870743239526</v>
      </c>
      <c r="AE246" s="314">
        <f t="shared" si="637"/>
        <v>342.84292723042353</v>
      </c>
      <c r="AF246" s="456">
        <f t="shared" si="638"/>
        <v>0.36751523800669172</v>
      </c>
      <c r="AH246" s="150">
        <f t="shared" si="639"/>
        <v>1.0690449676496976</v>
      </c>
      <c r="AI246" s="150">
        <f t="shared" si="640"/>
        <v>1.0690449676496976</v>
      </c>
      <c r="AJ246" s="150">
        <f t="shared" si="641"/>
        <v>1.1959102441316707</v>
      </c>
      <c r="AL246" s="314">
        <f t="shared" si="642"/>
        <v>360</v>
      </c>
      <c r="AM246" s="144">
        <f t="shared" si="643"/>
        <v>342.84292723042353</v>
      </c>
      <c r="AO246">
        <f t="shared" si="644"/>
        <v>360</v>
      </c>
      <c r="AP246">
        <f t="shared" si="645"/>
        <v>342.84292723042353</v>
      </c>
      <c r="AR246" s="5">
        <f t="shared" si="616"/>
        <v>2.9167876032277125</v>
      </c>
      <c r="AS246" s="5">
        <f t="shared" si="739"/>
        <v>0.2139406850646817</v>
      </c>
      <c r="AT246" s="5">
        <f t="shared" si="740"/>
        <v>2.7028469181630306</v>
      </c>
      <c r="AU246" s="150">
        <f t="shared" si="741"/>
        <v>7.3348050721257621E-2</v>
      </c>
      <c r="BA246" s="150">
        <f t="shared" si="692"/>
        <v>0.16715894998617062</v>
      </c>
      <c r="BB246" s="150">
        <f t="shared" si="693"/>
        <v>0.59414667077406225</v>
      </c>
      <c r="BC246" s="150">
        <f t="shared" si="694"/>
        <v>0.13280925582008452</v>
      </c>
      <c r="BD246" s="150"/>
      <c r="BE246" s="456">
        <f t="shared" si="695"/>
        <v>5.5884229120958188E-4</v>
      </c>
      <c r="BF246" s="456">
        <f t="shared" si="646"/>
        <v>0.45134279279911216</v>
      </c>
      <c r="BG246" s="456">
        <f t="shared" si="647"/>
        <v>0.51394783456802395</v>
      </c>
      <c r="BH246" s="456">
        <f t="shared" si="696"/>
        <v>0.14788473183993736</v>
      </c>
      <c r="BI246">
        <f t="shared" si="697"/>
        <v>2.6983380106327302E-2</v>
      </c>
      <c r="BJ246" s="144">
        <f t="shared" si="698"/>
        <v>540.93121467435128</v>
      </c>
      <c r="BK246">
        <f t="shared" si="648"/>
        <v>0.60001692515325811</v>
      </c>
      <c r="BL246" s="144">
        <f t="shared" si="699"/>
        <v>1140.7175816046104</v>
      </c>
      <c r="BM246" s="150">
        <f t="shared" si="649"/>
        <v>0.22364999999999999</v>
      </c>
      <c r="BN246" s="150">
        <f t="shared" si="650"/>
        <v>3.3281249999999998E-2</v>
      </c>
      <c r="BQ246" s="144">
        <f t="shared" si="700"/>
        <v>256.93124999999998</v>
      </c>
      <c r="BR246" s="456">
        <f t="shared" si="701"/>
        <v>8.3826343681437266E-4</v>
      </c>
      <c r="BS246" s="456">
        <f t="shared" si="702"/>
        <v>1.0590307991757057E-2</v>
      </c>
      <c r="BT246" s="456">
        <f t="shared" si="703"/>
        <v>8.8191492157423264E-5</v>
      </c>
      <c r="BU246" s="456">
        <f t="shared" si="704"/>
        <v>0.12858725468469659</v>
      </c>
      <c r="BV246" s="456"/>
      <c r="BW246" s="538">
        <f t="shared" si="705"/>
        <v>3.9182048826334119E-4</v>
      </c>
      <c r="BX246" s="144">
        <f t="shared" si="706"/>
        <v>140.4958380936888</v>
      </c>
      <c r="BY246" s="150">
        <f t="shared" si="707"/>
        <v>1.5381446696982992</v>
      </c>
      <c r="BZ246" s="5">
        <f t="shared" si="708"/>
        <v>2.4</v>
      </c>
      <c r="CA246" s="150">
        <f t="shared" si="709"/>
        <v>0.60942403118569632</v>
      </c>
      <c r="CB246" s="5">
        <f t="shared" si="710"/>
        <v>60.942403118569629</v>
      </c>
      <c r="CC246">
        <f t="shared" si="711"/>
        <v>30</v>
      </c>
      <c r="CE246" s="59">
        <f t="shared" si="651"/>
        <v>-50</v>
      </c>
      <c r="CG246" s="150">
        <f t="shared" si="652"/>
        <v>0.76874963414625441</v>
      </c>
      <c r="CH246" s="150">
        <f t="shared" si="653"/>
        <v>0.41366462388344444</v>
      </c>
      <c r="CI246" s="147">
        <v>30</v>
      </c>
      <c r="CJ246" s="188">
        <f t="shared" si="712"/>
        <v>0.36</v>
      </c>
      <c r="CK246" s="188">
        <f t="shared" si="654"/>
        <v>7.4999999999999997E-2</v>
      </c>
      <c r="CL246" s="188">
        <f t="shared" si="655"/>
        <v>1.7999999999999998</v>
      </c>
      <c r="CM246" s="188">
        <f t="shared" si="656"/>
        <v>0.6</v>
      </c>
      <c r="CN246" s="465">
        <f t="shared" si="657"/>
        <v>60</v>
      </c>
      <c r="CO246" s="379">
        <f t="shared" si="658"/>
        <v>5.7</v>
      </c>
      <c r="CP246" s="379">
        <f t="shared" si="659"/>
        <v>65.7</v>
      </c>
      <c r="CQ246" s="379"/>
      <c r="CR246" s="188">
        <f t="shared" si="660"/>
        <v>8.2568807339449546E-2</v>
      </c>
      <c r="CS246" s="149">
        <f t="shared" si="661"/>
        <v>9.2889908256880744</v>
      </c>
      <c r="CT246" s="149">
        <f t="shared" si="662"/>
        <v>4.1284403669724767</v>
      </c>
      <c r="CU246" s="188">
        <f t="shared" si="663"/>
        <v>1.857798165137615</v>
      </c>
      <c r="CV246" s="188">
        <f t="shared" si="664"/>
        <v>1.1611238532110093</v>
      </c>
      <c r="CW246" s="188">
        <f t="shared" si="665"/>
        <v>5</v>
      </c>
      <c r="CX246" s="188">
        <f t="shared" si="666"/>
        <v>0.9688888888888888</v>
      </c>
      <c r="CY246" s="188">
        <f t="shared" si="667"/>
        <v>0.19377777777777777</v>
      </c>
      <c r="CZ246" s="188">
        <f t="shared" si="668"/>
        <v>2.039766081871345</v>
      </c>
      <c r="DA246" s="172">
        <f t="shared" si="669"/>
        <v>350</v>
      </c>
      <c r="DB246" s="379">
        <f t="shared" si="670"/>
        <v>350</v>
      </c>
      <c r="DD246" s="188">
        <f t="shared" si="671"/>
        <v>1.2393998695368558</v>
      </c>
      <c r="DE246" s="150">
        <f t="shared" si="672"/>
        <v>2.6092628832354858</v>
      </c>
      <c r="DF246" s="150">
        <f t="shared" si="673"/>
        <v>0.4244520101153616</v>
      </c>
      <c r="DG246" s="150"/>
      <c r="DH246" s="150">
        <f t="shared" si="674"/>
        <v>2.1052631578947367</v>
      </c>
      <c r="DI246" s="314">
        <f t="shared" si="675"/>
        <v>342</v>
      </c>
      <c r="DJ246" s="456">
        <f t="shared" si="676"/>
        <v>0.36842105263157893</v>
      </c>
      <c r="DL246" s="150">
        <f t="shared" si="677"/>
        <v>1.0690449676496976</v>
      </c>
      <c r="DM246" s="150">
        <f t="shared" si="678"/>
        <v>1.0690449676496976</v>
      </c>
      <c r="DN246" s="150">
        <f t="shared" si="679"/>
        <v>1.1954285714285715</v>
      </c>
      <c r="DP246" s="314">
        <f t="shared" si="680"/>
        <v>360</v>
      </c>
      <c r="DQ246" s="144">
        <f t="shared" si="681"/>
        <v>342</v>
      </c>
      <c r="DS246">
        <f t="shared" si="682"/>
        <v>360</v>
      </c>
      <c r="DT246">
        <f t="shared" si="683"/>
        <v>342</v>
      </c>
      <c r="DV246" s="5">
        <f t="shared" si="684"/>
        <v>2.9239766081871341</v>
      </c>
      <c r="DW246" s="5">
        <f t="shared" si="685"/>
        <v>0.21380899352993954</v>
      </c>
      <c r="DX246" s="5">
        <f t="shared" si="686"/>
        <v>2.7101676146571947</v>
      </c>
      <c r="DY246" s="150">
        <f t="shared" si="687"/>
        <v>7.3122675787239327E-2</v>
      </c>
      <c r="EA246" s="5">
        <f t="shared" si="713"/>
        <v>1.5394247534155647</v>
      </c>
      <c r="EB246" s="5">
        <f t="shared" si="714"/>
        <v>0.20044593143431833</v>
      </c>
      <c r="EC246" s="5">
        <f t="shared" si="715"/>
        <v>3.3877095183214925E-2</v>
      </c>
      <c r="ED246" s="5"/>
      <c r="EE246" s="150">
        <f t="shared" si="716"/>
        <v>0.1669019396015452</v>
      </c>
      <c r="EF246" s="150">
        <f t="shared" si="717"/>
        <v>0.59421891884188882</v>
      </c>
      <c r="EG246" s="150">
        <f t="shared" si="718"/>
        <v>0.13282540538818691</v>
      </c>
      <c r="EH246" s="150"/>
      <c r="EI246" s="456">
        <f t="shared" si="719"/>
        <v>5.5712514885515683E-4</v>
      </c>
      <c r="EJ246" s="456">
        <f t="shared" si="720"/>
        <v>0.48041597992216228</v>
      </c>
      <c r="EK246" s="456">
        <f t="shared" si="721"/>
        <v>4.2749999999999996E-2</v>
      </c>
      <c r="EL246" s="456">
        <f t="shared" si="722"/>
        <v>0.14762395800000003</v>
      </c>
      <c r="EM246">
        <f t="shared" si="723"/>
        <v>2.7E-2</v>
      </c>
      <c r="EN246" s="144">
        <f t="shared" si="724"/>
        <v>69.749999999999986</v>
      </c>
      <c r="EP246" s="144">
        <f t="shared" si="725"/>
        <v>698.34706307101749</v>
      </c>
      <c r="EQ246" s="150">
        <f t="shared" si="726"/>
        <v>0.252</v>
      </c>
      <c r="ER246" s="150">
        <f t="shared" si="688"/>
        <v>3.3281249999999998E-2</v>
      </c>
      <c r="ES246" s="456"/>
      <c r="EU246" s="144">
        <f t="shared" si="727"/>
        <v>285.28125</v>
      </c>
      <c r="EV246" s="456">
        <f t="shared" si="728"/>
        <v>8.3568772328273524E-4</v>
      </c>
      <c r="EW246" s="456">
        <f t="shared" si="729"/>
        <v>1.0592883705288698E-2</v>
      </c>
      <c r="EX246" s="456">
        <f t="shared" si="730"/>
        <v>8.8212941582680953E-5</v>
      </c>
      <c r="EY246" s="456">
        <f t="shared" si="731"/>
        <v>0.12779833719959899</v>
      </c>
      <c r="EZ246" s="456"/>
      <c r="FA246" s="538">
        <f t="shared" si="732"/>
        <v>3.9085714285714293E-4</v>
      </c>
      <c r="FB246" s="144">
        <f t="shared" si="733"/>
        <v>139.70597871261023</v>
      </c>
      <c r="FC246" s="150">
        <f t="shared" si="734"/>
        <v>1.1233342917836278</v>
      </c>
      <c r="FD246" s="5">
        <f t="shared" si="735"/>
        <v>2.4</v>
      </c>
      <c r="FE246" s="150">
        <f t="shared" si="736"/>
        <v>0.68117294620518143</v>
      </c>
      <c r="FF246" s="5">
        <f t="shared" si="737"/>
        <v>68.117294620518138</v>
      </c>
      <c r="FG246">
        <f t="shared" si="738"/>
        <v>30</v>
      </c>
      <c r="FI246" s="59">
        <f t="shared" si="689"/>
        <v>-50</v>
      </c>
    </row>
    <row r="247" spans="5:165">
      <c r="E247" s="147">
        <v>31</v>
      </c>
      <c r="F247" s="188">
        <f t="shared" si="690"/>
        <v>0.372</v>
      </c>
      <c r="G247" s="188">
        <f t="shared" si="617"/>
        <v>7.7499999999999999E-2</v>
      </c>
      <c r="H247" s="188">
        <f t="shared" si="618"/>
        <v>1.8599999999999999</v>
      </c>
      <c r="I247" s="188">
        <f t="shared" si="619"/>
        <v>0.62</v>
      </c>
      <c r="J247" s="465">
        <f t="shared" si="620"/>
        <v>59.962887947177528</v>
      </c>
      <c r="K247" s="379">
        <f t="shared" si="621"/>
        <v>5.7141168592217149</v>
      </c>
      <c r="L247" s="149">
        <f t="shared" si="622"/>
        <v>65.677004806399239</v>
      </c>
      <c r="M247" s="379"/>
      <c r="N247" s="188">
        <f t="shared" si="623"/>
        <v>8.7003310764028022E-2</v>
      </c>
      <c r="O247" s="149">
        <f t="shared" si="624"/>
        <v>9.7818183269566443</v>
      </c>
      <c r="P247" s="149">
        <f t="shared" si="625"/>
        <v>4.3474748119807307</v>
      </c>
      <c r="Q247" s="188">
        <f t="shared" si="626"/>
        <v>1.9563636653913288</v>
      </c>
      <c r="R247" s="188">
        <f t="shared" si="627"/>
        <v>1.2227272908695805</v>
      </c>
      <c r="S247" s="188">
        <f t="shared" si="628"/>
        <v>5</v>
      </c>
      <c r="T247" s="188">
        <f t="shared" si="629"/>
        <v>0.9507434803170639</v>
      </c>
      <c r="U247" s="188">
        <f t="shared" si="630"/>
        <v>0.19026638233060267</v>
      </c>
      <c r="V247" s="188">
        <f t="shared" si="631"/>
        <v>1.9966203080695668</v>
      </c>
      <c r="W247" s="172">
        <f t="shared" si="632"/>
        <v>350</v>
      </c>
      <c r="X247" s="379">
        <f t="shared" si="691"/>
        <v>350</v>
      </c>
      <c r="Z247" s="188">
        <f t="shared" si="633"/>
        <v>1.2421356605659231</v>
      </c>
      <c r="AA247" s="150">
        <f t="shared" si="634"/>
        <v>2.6085619692456348</v>
      </c>
      <c r="AB247" s="150">
        <f t="shared" si="635"/>
        <v>0.42527465462948433</v>
      </c>
      <c r="AC247" s="150"/>
      <c r="AD247" s="150">
        <f t="shared" si="636"/>
        <v>2.100062056069754</v>
      </c>
      <c r="AE247" s="314">
        <f t="shared" si="637"/>
        <v>354.27524527174631</v>
      </c>
      <c r="AF247" s="456">
        <f t="shared" si="638"/>
        <v>0.36751085981220694</v>
      </c>
      <c r="AH247" s="150">
        <f t="shared" si="639"/>
        <v>1.0867163295692124</v>
      </c>
      <c r="AI247" s="150">
        <f t="shared" si="640"/>
        <v>1.0867163295692124</v>
      </c>
      <c r="AJ247" s="150">
        <f t="shared" si="641"/>
        <v>1.2642343181994165</v>
      </c>
      <c r="AL247" s="314">
        <f t="shared" si="642"/>
        <v>372</v>
      </c>
      <c r="AM247" s="144">
        <f t="shared" si="643"/>
        <v>350</v>
      </c>
      <c r="AO247">
        <f t="shared" si="644"/>
        <v>372</v>
      </c>
      <c r="AP247">
        <f t="shared" si="645"/>
        <v>350</v>
      </c>
      <c r="AR247" s="5">
        <f t="shared" si="616"/>
        <v>2.8571428571428572</v>
      </c>
      <c r="AS247" s="5">
        <f t="shared" si="739"/>
        <v>0.21747778336357421</v>
      </c>
      <c r="AT247" s="5">
        <f t="shared" si="740"/>
        <v>2.6396650737792831</v>
      </c>
      <c r="AU247" s="150">
        <f t="shared" si="741"/>
        <v>7.6117224177250975E-2</v>
      </c>
      <c r="BA247" s="150">
        <f t="shared" si="692"/>
        <v>0.17309998760216658</v>
      </c>
      <c r="BB247" s="150">
        <f t="shared" si="693"/>
        <v>0.60306482897191371</v>
      </c>
      <c r="BC247" s="150">
        <f t="shared" si="694"/>
        <v>0.13480272647607483</v>
      </c>
      <c r="BD247" s="150"/>
      <c r="BE247" s="456">
        <f t="shared" si="695"/>
        <v>5.9927211415740443E-4</v>
      </c>
      <c r="BF247" s="456">
        <f t="shared" si="646"/>
        <v>0.46838054550203234</v>
      </c>
      <c r="BG247" s="456">
        <f t="shared" si="647"/>
        <v>0.52467526953780341</v>
      </c>
      <c r="BH247" s="456">
        <f t="shared" si="696"/>
        <v>0.15097141361189262</v>
      </c>
      <c r="BI247">
        <f t="shared" si="697"/>
        <v>2.6983299576229886E-2</v>
      </c>
      <c r="BJ247" s="144">
        <f t="shared" si="698"/>
        <v>551.6585691140333</v>
      </c>
      <c r="BK247">
        <f t="shared" si="648"/>
        <v>0.62020134334127086</v>
      </c>
      <c r="BL247" s="144">
        <f t="shared" si="699"/>
        <v>1171.6098003421157</v>
      </c>
      <c r="BM247" s="150">
        <f t="shared" si="649"/>
        <v>0.23110499999999995</v>
      </c>
      <c r="BN247" s="150">
        <f t="shared" si="650"/>
        <v>3.4390625000000001E-2</v>
      </c>
      <c r="BQ247" s="144">
        <f t="shared" si="700"/>
        <v>265.49562499999996</v>
      </c>
      <c r="BR247" s="456">
        <f t="shared" si="701"/>
        <v>8.9890817123610659E-4</v>
      </c>
      <c r="BS247" s="456">
        <f t="shared" si="702"/>
        <v>1.0910615638287706E-2</v>
      </c>
      <c r="BT247" s="456">
        <f t="shared" si="703"/>
        <v>9.0858875326917235E-5</v>
      </c>
      <c r="BU247" s="456">
        <f t="shared" si="704"/>
        <v>0.14106867844768839</v>
      </c>
      <c r="BV247" s="456"/>
      <c r="BW247" s="538">
        <f t="shared" si="705"/>
        <v>4.1333333333333332E-4</v>
      </c>
      <c r="BX247" s="144">
        <f t="shared" si="706"/>
        <v>153.38239446587244</v>
      </c>
      <c r="BY247" s="150">
        <f t="shared" si="707"/>
        <v>1.5904878198079879</v>
      </c>
      <c r="BZ247" s="5">
        <f t="shared" si="708"/>
        <v>2.48</v>
      </c>
      <c r="CA247" s="150">
        <f t="shared" si="709"/>
        <v>0.60926358455900897</v>
      </c>
      <c r="CB247" s="5">
        <f t="shared" si="710"/>
        <v>60.926358455900896</v>
      </c>
      <c r="CC247">
        <f t="shared" si="711"/>
        <v>31</v>
      </c>
      <c r="CE247" s="59">
        <f t="shared" si="651"/>
        <v>-50</v>
      </c>
      <c r="CG247" s="150">
        <f t="shared" si="652"/>
        <v>0.79054411641602895</v>
      </c>
      <c r="CH247" s="150">
        <f t="shared" si="653"/>
        <v>0.42539224743005349</v>
      </c>
      <c r="CI247" s="147">
        <v>31</v>
      </c>
      <c r="CJ247" s="188">
        <f t="shared" si="712"/>
        <v>0.372</v>
      </c>
      <c r="CK247" s="188">
        <f t="shared" si="654"/>
        <v>7.7499999999999999E-2</v>
      </c>
      <c r="CL247" s="188">
        <f t="shared" si="655"/>
        <v>1.8599999999999999</v>
      </c>
      <c r="CM247" s="188">
        <f t="shared" si="656"/>
        <v>0.62</v>
      </c>
      <c r="CN247" s="465">
        <f t="shared" si="657"/>
        <v>60</v>
      </c>
      <c r="CO247" s="379">
        <f t="shared" si="658"/>
        <v>5.7</v>
      </c>
      <c r="CP247" s="379">
        <f t="shared" si="659"/>
        <v>65.7</v>
      </c>
      <c r="CQ247" s="379"/>
      <c r="CR247" s="188">
        <f t="shared" si="660"/>
        <v>8.2568807339449546E-2</v>
      </c>
      <c r="CS247" s="149">
        <f t="shared" si="661"/>
        <v>9.2889908256880744</v>
      </c>
      <c r="CT247" s="149">
        <f t="shared" si="662"/>
        <v>4.1284403669724767</v>
      </c>
      <c r="CU247" s="188">
        <f t="shared" si="663"/>
        <v>1.857798165137615</v>
      </c>
      <c r="CV247" s="188">
        <f t="shared" si="664"/>
        <v>1.1611238532110093</v>
      </c>
      <c r="CW247" s="188">
        <f t="shared" si="665"/>
        <v>5</v>
      </c>
      <c r="CX247" s="188">
        <f t="shared" si="666"/>
        <v>1.0011851851851852</v>
      </c>
      <c r="CY247" s="188">
        <f t="shared" si="667"/>
        <v>0.20023703703703705</v>
      </c>
      <c r="CZ247" s="188">
        <f t="shared" si="668"/>
        <v>2.1077582846003899</v>
      </c>
      <c r="DA247" s="172">
        <f t="shared" si="669"/>
        <v>350</v>
      </c>
      <c r="DB247" s="379">
        <f t="shared" si="670"/>
        <v>350</v>
      </c>
      <c r="DD247" s="188">
        <f t="shared" si="671"/>
        <v>1.2393998695368558</v>
      </c>
      <c r="DE247" s="150">
        <f t="shared" si="672"/>
        <v>2.6092628832354858</v>
      </c>
      <c r="DF247" s="150">
        <f t="shared" si="673"/>
        <v>0.4244520101153616</v>
      </c>
      <c r="DG247" s="150"/>
      <c r="DH247" s="150">
        <f t="shared" si="674"/>
        <v>2.1052631578947367</v>
      </c>
      <c r="DI247" s="314">
        <f t="shared" si="675"/>
        <v>353.40000000000003</v>
      </c>
      <c r="DJ247" s="456">
        <f t="shared" si="676"/>
        <v>0.36842105263157893</v>
      </c>
      <c r="DL247" s="150">
        <f t="shared" si="677"/>
        <v>1.0867163295692124</v>
      </c>
      <c r="DM247" s="150">
        <f t="shared" si="678"/>
        <v>1.0867163295692124</v>
      </c>
      <c r="DN247" s="150">
        <f t="shared" si="679"/>
        <v>1.2642343181994165</v>
      </c>
      <c r="DP247" s="314">
        <f t="shared" si="680"/>
        <v>372</v>
      </c>
      <c r="DQ247" s="144">
        <f t="shared" si="681"/>
        <v>350</v>
      </c>
      <c r="DS247">
        <f t="shared" si="682"/>
        <v>372</v>
      </c>
      <c r="DT247">
        <f t="shared" si="683"/>
        <v>350</v>
      </c>
      <c r="DV247" s="5">
        <f t="shared" si="684"/>
        <v>2.8571428571428572</v>
      </c>
      <c r="DW247" s="5">
        <f t="shared" si="685"/>
        <v>0.21734326591384248</v>
      </c>
      <c r="DX247" s="5">
        <f t="shared" si="686"/>
        <v>2.6397995912290146</v>
      </c>
      <c r="DY247" s="150">
        <f t="shared" si="687"/>
        <v>7.6070143069844873E-2</v>
      </c>
      <c r="EA247" s="5">
        <f t="shared" si="713"/>
        <v>1.617033898398988</v>
      </c>
      <c r="EB247" s="5">
        <f t="shared" si="714"/>
        <v>0.21055128885403487</v>
      </c>
      <c r="EC247" s="5">
        <f t="shared" si="715"/>
        <v>3.4097411386708097E-2</v>
      </c>
      <c r="ED247" s="5"/>
      <c r="EE247" s="150">
        <f t="shared" si="716"/>
        <v>0.17304644518907014</v>
      </c>
      <c r="EF247" s="150">
        <f t="shared" si="717"/>
        <v>0.60308019488142695</v>
      </c>
      <c r="EG247" s="150">
        <f t="shared" si="718"/>
        <v>0.13480616120878958</v>
      </c>
      <c r="EH247" s="150"/>
      <c r="EI247" s="456">
        <f t="shared" si="719"/>
        <v>5.9890144385147716E-4</v>
      </c>
      <c r="EJ247" s="456">
        <f t="shared" si="720"/>
        <v>0.49978083996888079</v>
      </c>
      <c r="EK247" s="456">
        <f t="shared" si="721"/>
        <v>4.3749999999999997E-2</v>
      </c>
      <c r="EL247" s="456">
        <f t="shared" si="722"/>
        <v>0.15107715000000002</v>
      </c>
      <c r="EM247">
        <f t="shared" si="723"/>
        <v>2.7E-2</v>
      </c>
      <c r="EN247" s="144">
        <f t="shared" si="724"/>
        <v>70.75</v>
      </c>
      <c r="EP247" s="144">
        <f t="shared" si="725"/>
        <v>722.20689141273215</v>
      </c>
      <c r="EQ247" s="150">
        <f t="shared" si="726"/>
        <v>0.26039999999999996</v>
      </c>
      <c r="ER247" s="150">
        <f t="shared" si="688"/>
        <v>3.4390625000000001E-2</v>
      </c>
      <c r="ES247" s="456"/>
      <c r="EU247" s="144">
        <f t="shared" si="727"/>
        <v>294.79062499999998</v>
      </c>
      <c r="EV247" s="456">
        <f t="shared" si="728"/>
        <v>8.9835216577721568E-4</v>
      </c>
      <c r="EW247" s="456">
        <f t="shared" si="729"/>
        <v>1.0911171643746597E-2</v>
      </c>
      <c r="EX247" s="456">
        <f t="shared" si="730"/>
        <v>9.0863505499250816E-5</v>
      </c>
      <c r="EY247" s="456">
        <f t="shared" si="731"/>
        <v>0.14106867844768839</v>
      </c>
      <c r="EZ247" s="456"/>
      <c r="FA247" s="538">
        <f t="shared" si="732"/>
        <v>4.1333333333333332E-4</v>
      </c>
      <c r="FB247" s="144">
        <f t="shared" si="733"/>
        <v>153.38239909604479</v>
      </c>
      <c r="FC247" s="150">
        <f t="shared" si="734"/>
        <v>1.1703799155087771</v>
      </c>
      <c r="FD247" s="5">
        <f t="shared" si="735"/>
        <v>2.48</v>
      </c>
      <c r="FE247" s="150">
        <f t="shared" si="736"/>
        <v>0.67938134040887799</v>
      </c>
      <c r="FF247" s="5">
        <f t="shared" si="737"/>
        <v>67.938134040887803</v>
      </c>
      <c r="FG247">
        <f t="shared" si="738"/>
        <v>31</v>
      </c>
      <c r="FI247" s="59">
        <f t="shared" si="689"/>
        <v>-50</v>
      </c>
    </row>
    <row r="248" spans="5:165">
      <c r="E248" s="147">
        <v>32</v>
      </c>
      <c r="F248" s="188">
        <f t="shared" si="690"/>
        <v>0.38400000000000001</v>
      </c>
      <c r="G248" s="188">
        <f t="shared" ref="G248:G279" si="742">IF(PLOT_TYPE=1, E248/100*Iout2, min_I*EXP(Q248*rr/100))</f>
        <v>0.08</v>
      </c>
      <c r="H248" s="188">
        <f t="shared" ref="H248:H279" si="743">F248*Vout</f>
        <v>1.92</v>
      </c>
      <c r="I248" s="188">
        <f t="shared" ref="I248:I279" si="744">Vout2*G248</f>
        <v>0.64</v>
      </c>
      <c r="J248" s="465">
        <f t="shared" ref="J248:J279" si="745">VIN_max-(F248/CG248/Nps+G248/CH248/(Nps/Nsec1sec2))*(Rdcr_pri+RON/1000)</f>
        <v>59.962294116626467</v>
      </c>
      <c r="K248" s="379">
        <f t="shared" ref="K248:K279" si="746">MAX((S248+Vfwd2+Rdcr_sec*F248/CG248)*Nps,(Vout2+Vfwd22+Rdcr_sec2*G248/CH248)*Nps/Nsec1sec2)</f>
        <v>5.7143427433120131</v>
      </c>
      <c r="L248" s="149">
        <f t="shared" ref="L248:L279" si="747">MAX((Vout+Vfwd2+F248/CG248*Rdcr_sec)*Nps+J248, (Vout2+Vfwd22+G248/CH248*Rdcr_sec2)*Nps/Nsec1sec2+J248)</f>
        <v>65.676636859938483</v>
      </c>
      <c r="M248" s="379"/>
      <c r="N248" s="188">
        <f t="shared" ref="N248:N279" si="748">MAX((Vout+Vfwd2+F248/CG248*Rdcr_sec)*Nps/((Vout+Vfwd2+F248/CG248*Rdcr_sec)*Nps+J248), (Vout2+Vfwd22+G248/CH248*Rdcr_sec2)*Nps/Nsec1sec2/((Vout2+Vfwd22+G248/CH248*Rdcr_sec2)*Nps/Nsec1sec2+J248))</f>
        <v>8.7007237527986989E-2</v>
      </c>
      <c r="O248" s="149">
        <f t="shared" ref="O248:O279" si="749">N248*J248*Isw_max*0.5*Efficiency*Pout/(Pout+Pout2)</f>
        <v>9.7821629379906305</v>
      </c>
      <c r="P248" s="149">
        <f t="shared" ref="P248:P279" si="750">N248*J248*Isw_max*0.5*Efficiency*(Pout2/Pout_total)</f>
        <v>4.3476279724402795</v>
      </c>
      <c r="Q248" s="188">
        <f t="shared" si="626"/>
        <v>1.9564325875981261</v>
      </c>
      <c r="R248" s="188">
        <f t="shared" ref="R248:R279" si="751">O248/Vout2</f>
        <v>1.2227703672488288</v>
      </c>
      <c r="S248" s="188">
        <f t="shared" ref="S248:S279" si="752">MIN(Vout,O248/F248)</f>
        <v>5</v>
      </c>
      <c r="T248" s="188">
        <f t="shared" ref="T248:T279" si="753">MIN(2*(Vout*F248+Vout2*G248)/(Efficiency*J248*N248), Isw_max)</f>
        <v>0.98137805113803922</v>
      </c>
      <c r="U248" s="188">
        <f t="shared" si="630"/>
        <v>0.19639903354516666</v>
      </c>
      <c r="V248" s="188">
        <f t="shared" si="631"/>
        <v>2.0608733397099019</v>
      </c>
      <c r="W248" s="172">
        <f t="shared" si="632"/>
        <v>350</v>
      </c>
      <c r="X248" s="379">
        <f t="shared" si="691"/>
        <v>350</v>
      </c>
      <c r="Z248" s="188">
        <f t="shared" si="633"/>
        <v>1.242179420697223</v>
      </c>
      <c r="AA248" s="150">
        <f t="shared" si="634"/>
        <v>2.6085507499200378</v>
      </c>
      <c r="AB248" s="150">
        <f t="shared" ref="AB248:AB279" si="754">0.5*AA248*Z248*Nps*W248/1000*(Pout/(Pout+Pout2))</f>
        <v>0.42528780779559106</v>
      </c>
      <c r="AC248" s="150"/>
      <c r="AD248" s="150">
        <f t="shared" si="636"/>
        <v>2.0999790420419973</v>
      </c>
      <c r="AE248" s="314">
        <f t="shared" ref="AE248:AE279" si="755">MAX(10, F248/(0.5*AD248/1000000*Isw_min*Nps)/1000*Pout_total/Pout)</f>
        <v>365.71793557196884</v>
      </c>
      <c r="AF248" s="456">
        <f t="shared" ref="AF248:AF279" si="756">0.5*AD248/1000000*Isw_min*Nps*W248*1000*(Pout/Pout_total)</f>
        <v>0.36749633235734952</v>
      </c>
      <c r="AH248" s="150">
        <f t="shared" ref="AH248:AH279" si="757">SQRT((H248+I248)/(0.5*L*Fsw_DCM))</f>
        <v>1.1041048949477668</v>
      </c>
      <c r="AI248" s="150">
        <f t="shared" ref="AI248:AI279" si="758">MAX(IF(F248&gt;AB248,T248,AH248),Isw_min)</f>
        <v>1.1041048949477668</v>
      </c>
      <c r="AJ248" s="150">
        <f t="shared" ref="AJ248:AJ279" si="759">IF(F248&gt;AF248, (AI248-Isw_min)/1.08*0.8+1.2, AE248*0.2/350+1)</f>
        <v>1.2771147369983458</v>
      </c>
      <c r="AL248" s="314">
        <f t="shared" ref="AL248:AL279" si="760">F248*1000</f>
        <v>384</v>
      </c>
      <c r="AM248" s="144">
        <f t="shared" ref="AM248:AM279" si="761">IF(F248&gt;AF248, X248, AE248)</f>
        <v>350</v>
      </c>
      <c r="AO248">
        <f t="shared" si="644"/>
        <v>384</v>
      </c>
      <c r="AP248">
        <f t="shared" si="645"/>
        <v>350</v>
      </c>
      <c r="AR248" s="5">
        <f t="shared" si="616"/>
        <v>2.8571428571428572</v>
      </c>
      <c r="AS248" s="5">
        <f t="shared" si="739"/>
        <v>0.22095983708701067</v>
      </c>
      <c r="AT248" s="5">
        <f t="shared" si="740"/>
        <v>2.6361830200558467</v>
      </c>
      <c r="AU248" s="150">
        <f t="shared" si="741"/>
        <v>7.7335942980453737E-2</v>
      </c>
      <c r="BA248" s="150">
        <f t="shared" si="692"/>
        <v>0.17727210455222459</v>
      </c>
      <c r="BB248" s="150">
        <f t="shared" si="693"/>
        <v>0.6123102214538243</v>
      </c>
      <c r="BC248" s="150">
        <f t="shared" si="694"/>
        <v>0.13686934361909014</v>
      </c>
      <c r="BD248" s="150"/>
      <c r="BE248" s="456">
        <f t="shared" si="695"/>
        <v>6.2850798104749697E-4</v>
      </c>
      <c r="BF248" s="456">
        <f t="shared" ref="BF248:BF279" si="762">0.5*L248*AI248*AM248*1000*Tfall</f>
        <v>0.47587244408002033</v>
      </c>
      <c r="BG248" s="456">
        <f t="shared" ref="BG248:BG279" si="763">Qg*Vdd*AM248*1000*0+Qg*J248*AM248*1000</f>
        <v>0.52467007352048156</v>
      </c>
      <c r="BH248" s="456">
        <f t="shared" si="696"/>
        <v>0.15096972202312808</v>
      </c>
      <c r="BI248">
        <f t="shared" si="697"/>
        <v>2.6983032352481909E-2</v>
      </c>
      <c r="BJ248" s="144">
        <f t="shared" si="698"/>
        <v>551.65310587296347</v>
      </c>
      <c r="BK248">
        <f t="shared" ref="BK248:BK279" si="764">(BF248+BG248*0+BH248+BI248*0+BE248*(1+RdsonTC*(Ta-25)))/(1-BE248*RdsonTC*ThetaJA)</f>
        <v>0.62773411296891324</v>
      </c>
      <c r="BL248" s="144">
        <f t="shared" si="699"/>
        <v>1179.1237799571595</v>
      </c>
      <c r="BM248" s="150">
        <f t="shared" ref="BM248:BM279" si="765">Vfwd2*F248*(1+Diode_TC/1000*(Ta-25))</f>
        <v>0.23855999999999997</v>
      </c>
      <c r="BN248" s="150">
        <f t="shared" ref="BN248:BN279" si="766">Vfwd22*G248*(1+Diode_TC/1000*(Ta-25))</f>
        <v>3.5499999999999997E-2</v>
      </c>
      <c r="BQ248" s="144">
        <f t="shared" si="700"/>
        <v>274.05999999999995</v>
      </c>
      <c r="BR248" s="456">
        <f t="shared" si="701"/>
        <v>9.4276197157124541E-4</v>
      </c>
      <c r="BS248" s="456">
        <f t="shared" si="702"/>
        <v>1.124771421890494E-2</v>
      </c>
      <c r="BT248" s="456">
        <f t="shared" si="703"/>
        <v>9.3666086113602855E-5</v>
      </c>
      <c r="BU248" s="456">
        <f t="shared" si="704"/>
        <v>0.1467796857088679</v>
      </c>
      <c r="BV248" s="456"/>
      <c r="BW248" s="538">
        <f t="shared" si="705"/>
        <v>4.2666666666666672E-4</v>
      </c>
      <c r="BX248" s="144">
        <f t="shared" si="706"/>
        <v>159.49049465212434</v>
      </c>
      <c r="BY248" s="150">
        <f t="shared" si="707"/>
        <v>1.6126742746092835</v>
      </c>
      <c r="BZ248" s="5">
        <f t="shared" si="708"/>
        <v>2.56</v>
      </c>
      <c r="CA248" s="150">
        <f t="shared" si="709"/>
        <v>0.61351541757706707</v>
      </c>
      <c r="CB248" s="5">
        <f t="shared" si="710"/>
        <v>61.351541757706705</v>
      </c>
      <c r="CC248">
        <f t="shared" si="711"/>
        <v>32</v>
      </c>
      <c r="CE248" s="59">
        <f t="shared" ref="CE248:CE279" si="767">IF(ABS(F248-Ioutmax_Vinmax)&lt;Iout/200, AM248, -50)</f>
        <v>-50</v>
      </c>
      <c r="CG248" s="150">
        <f t="shared" ref="CG248:CG279" si="768">MIN(SQRT(2*DT248*1000*Ls1_*CL248)/CW248, 1-DY248)</f>
        <v>0.80319362547271245</v>
      </c>
      <c r="CH248" s="150">
        <f t="shared" ref="CH248:CH279" si="769">MIN(SQRT(2*DT248*1000*Ls2_*CM248)/Vout2, 1-DY248)</f>
        <v>0.43219895558810606</v>
      </c>
      <c r="CI248" s="147">
        <v>32</v>
      </c>
      <c r="CJ248" s="188">
        <f t="shared" si="712"/>
        <v>0.38400000000000001</v>
      </c>
      <c r="CK248" s="188">
        <f t="shared" si="654"/>
        <v>0.08</v>
      </c>
      <c r="CL248" s="188">
        <f t="shared" si="655"/>
        <v>1.92</v>
      </c>
      <c r="CM248" s="188">
        <f t="shared" si="656"/>
        <v>0.64</v>
      </c>
      <c r="CN248" s="465">
        <f t="shared" si="657"/>
        <v>60</v>
      </c>
      <c r="CO248" s="379">
        <f t="shared" ref="CO248:CO279" si="770">(CW248+Vfwd2)*Nps</f>
        <v>5.7</v>
      </c>
      <c r="CP248" s="379">
        <f t="shared" ref="CP248:CP279" si="771">(Vout+Vfwd2)*Nps+CN248</f>
        <v>65.7</v>
      </c>
      <c r="CQ248" s="379"/>
      <c r="CR248" s="188">
        <f t="shared" si="660"/>
        <v>8.2568807339449546E-2</v>
      </c>
      <c r="CS248" s="149">
        <f t="shared" si="661"/>
        <v>9.2889908256880744</v>
      </c>
      <c r="CT248" s="149">
        <f t="shared" si="662"/>
        <v>4.1284403669724767</v>
      </c>
      <c r="CU248" s="188">
        <f t="shared" si="663"/>
        <v>1.857798165137615</v>
      </c>
      <c r="CV248" s="188">
        <f t="shared" si="664"/>
        <v>1.1611238532110093</v>
      </c>
      <c r="CW248" s="188">
        <f t="shared" si="665"/>
        <v>5</v>
      </c>
      <c r="CX248" s="188">
        <f t="shared" si="666"/>
        <v>1.0334814814814814</v>
      </c>
      <c r="CY248" s="188">
        <f t="shared" si="667"/>
        <v>0.20669629629629629</v>
      </c>
      <c r="CZ248" s="188">
        <f t="shared" si="668"/>
        <v>2.1757504873294344</v>
      </c>
      <c r="DA248" s="172">
        <f t="shared" si="669"/>
        <v>350</v>
      </c>
      <c r="DB248" s="379">
        <f t="shared" si="670"/>
        <v>350</v>
      </c>
      <c r="DD248" s="188">
        <f t="shared" si="671"/>
        <v>1.2393998695368558</v>
      </c>
      <c r="DE248" s="150">
        <f t="shared" si="672"/>
        <v>2.6092628832354858</v>
      </c>
      <c r="DF248" s="150">
        <f t="shared" si="673"/>
        <v>0.4244520101153616</v>
      </c>
      <c r="DG248" s="150"/>
      <c r="DH248" s="150">
        <f t="shared" si="674"/>
        <v>2.1052631578947367</v>
      </c>
      <c r="DI248" s="314">
        <f t="shared" si="675"/>
        <v>364.8</v>
      </c>
      <c r="DJ248" s="456">
        <f t="shared" si="676"/>
        <v>0.36842105263157893</v>
      </c>
      <c r="DL248" s="150">
        <f t="shared" si="677"/>
        <v>1.1041048949477668</v>
      </c>
      <c r="DM248" s="150">
        <f t="shared" si="678"/>
        <v>1.1041048949477668</v>
      </c>
      <c r="DN248" s="150">
        <f t="shared" si="679"/>
        <v>1.2771147369983458</v>
      </c>
      <c r="DP248" s="314">
        <f t="shared" si="680"/>
        <v>384</v>
      </c>
      <c r="DQ248" s="144">
        <f t="shared" si="681"/>
        <v>350</v>
      </c>
      <c r="DS248">
        <f t="shared" si="682"/>
        <v>384</v>
      </c>
      <c r="DT248">
        <f t="shared" si="683"/>
        <v>350</v>
      </c>
      <c r="DV248" s="5">
        <f t="shared" si="684"/>
        <v>2.8571428571428572</v>
      </c>
      <c r="DW248" s="5">
        <f t="shared" si="685"/>
        <v>0.22082097898955336</v>
      </c>
      <c r="DX248" s="5">
        <f t="shared" si="686"/>
        <v>2.636321878153304</v>
      </c>
      <c r="DY248" s="150">
        <f t="shared" si="687"/>
        <v>7.7287342646343668E-2</v>
      </c>
      <c r="EA248" s="5">
        <f t="shared" si="713"/>
        <v>1.6959051186397698</v>
      </c>
      <c r="EB248" s="5">
        <f t="shared" si="714"/>
        <v>0.22082097898955336</v>
      </c>
      <c r="EC248" s="5">
        <f t="shared" si="715"/>
        <v>3.5150958375377385E-2</v>
      </c>
      <c r="ED248" s="5"/>
      <c r="EE248" s="150">
        <f t="shared" si="716"/>
        <v>0.17721639412080623</v>
      </c>
      <c r="EF248" s="150">
        <f t="shared" si="717"/>
        <v>0.6123263476317391</v>
      </c>
      <c r="EG248" s="150">
        <f t="shared" si="718"/>
        <v>0.13687294829415347</v>
      </c>
      <c r="EH248" s="150"/>
      <c r="EI248" s="456">
        <f t="shared" si="719"/>
        <v>6.2811300690361854E-4</v>
      </c>
      <c r="EJ248" s="456">
        <f t="shared" si="720"/>
        <v>0.50777784118647795</v>
      </c>
      <c r="EK248" s="456">
        <f t="shared" si="721"/>
        <v>4.3749999999999997E-2</v>
      </c>
      <c r="EL248" s="456">
        <f t="shared" si="722"/>
        <v>0.15107715000000002</v>
      </c>
      <c r="EM248">
        <f t="shared" si="723"/>
        <v>2.7E-2</v>
      </c>
      <c r="EN248" s="144">
        <f t="shared" si="724"/>
        <v>70.75</v>
      </c>
      <c r="EP248" s="144">
        <f t="shared" si="725"/>
        <v>730.23310419338145</v>
      </c>
      <c r="EQ248" s="150">
        <f t="shared" si="726"/>
        <v>0.26879999999999998</v>
      </c>
      <c r="ER248" s="150">
        <f t="shared" ref="ER248:ER279" si="772">Vfwd22*CK248*(1+Diode_TC/1000*(Ta-25))</f>
        <v>3.5499999999999997E-2</v>
      </c>
      <c r="ES248" s="456"/>
      <c r="EU248" s="144">
        <f t="shared" si="727"/>
        <v>304.29999999999995</v>
      </c>
      <c r="EV248" s="456">
        <f t="shared" si="728"/>
        <v>9.421695103554277E-4</v>
      </c>
      <c r="EW248" s="456">
        <f t="shared" si="729"/>
        <v>1.1248306680120761E-2</v>
      </c>
      <c r="EX248" s="456">
        <f t="shared" si="730"/>
        <v>9.3671019873670057E-5</v>
      </c>
      <c r="EY248" s="456">
        <f t="shared" si="731"/>
        <v>0.1467796857088679</v>
      </c>
      <c r="EZ248" s="456"/>
      <c r="FA248" s="538">
        <f t="shared" si="732"/>
        <v>4.2666666666666672E-4</v>
      </c>
      <c r="FB248" s="144">
        <f t="shared" si="733"/>
        <v>159.49049958588444</v>
      </c>
      <c r="FC248" s="150">
        <f t="shared" si="734"/>
        <v>1.194023603779266</v>
      </c>
      <c r="FD248" s="5">
        <f t="shared" si="735"/>
        <v>2.56</v>
      </c>
      <c r="FE248" s="150">
        <f t="shared" si="736"/>
        <v>0.68193497702645944</v>
      </c>
      <c r="FF248" s="5">
        <f t="shared" si="737"/>
        <v>68.193497702645942</v>
      </c>
      <c r="FG248">
        <f t="shared" si="738"/>
        <v>32</v>
      </c>
      <c r="FI248" s="59">
        <f t="shared" si="689"/>
        <v>-50</v>
      </c>
    </row>
    <row r="249" spans="5:165">
      <c r="E249" s="147">
        <v>33</v>
      </c>
      <c r="F249" s="188">
        <f t="shared" ref="F249:F280" si="773">IF(PLOT_TYPE=1, E249/100*Iout_max, min_I*EXP(O249*rr/100))</f>
        <v>0.39600000000000002</v>
      </c>
      <c r="G249" s="188">
        <f t="shared" si="742"/>
        <v>8.2500000000000004E-2</v>
      </c>
      <c r="H249" s="188">
        <f t="shared" si="743"/>
        <v>1.98</v>
      </c>
      <c r="I249" s="188">
        <f t="shared" si="744"/>
        <v>0.66</v>
      </c>
      <c r="J249" s="465">
        <f t="shared" si="745"/>
        <v>59.961709494424085</v>
      </c>
      <c r="K249" s="379">
        <f t="shared" si="746"/>
        <v>5.7145651246868283</v>
      </c>
      <c r="L249" s="149">
        <f t="shared" si="747"/>
        <v>65.676274619110913</v>
      </c>
      <c r="M249" s="379"/>
      <c r="N249" s="188">
        <f t="shared" si="748"/>
        <v>8.7011103443799268E-2</v>
      </c>
      <c r="O249" s="149">
        <f t="shared" si="749"/>
        <v>9.7825022015369534</v>
      </c>
      <c r="P249" s="149">
        <f t="shared" si="750"/>
        <v>4.347778756238645</v>
      </c>
      <c r="Q249" s="188">
        <f t="shared" si="626"/>
        <v>1.9565004403073907</v>
      </c>
      <c r="R249" s="188">
        <f t="shared" si="751"/>
        <v>1.2228127751921192</v>
      </c>
      <c r="S249" s="188">
        <f t="shared" si="752"/>
        <v>5</v>
      </c>
      <c r="T249" s="188">
        <f t="shared" si="753"/>
        <v>1.0120110168178227</v>
      </c>
      <c r="U249" s="188">
        <f t="shared" si="630"/>
        <v>0.20253145389297433</v>
      </c>
      <c r="V249" s="188">
        <f t="shared" si="631"/>
        <v>2.1251192237448513</v>
      </c>
      <c r="W249" s="172">
        <f t="shared" si="632"/>
        <v>350</v>
      </c>
      <c r="X249" s="379">
        <f t="shared" si="691"/>
        <v>350</v>
      </c>
      <c r="Z249" s="188">
        <f t="shared" si="633"/>
        <v>1.24222250178247</v>
      </c>
      <c r="AA249" s="150">
        <f t="shared" si="634"/>
        <v>2.6085397044462875</v>
      </c>
      <c r="AB249" s="150">
        <f t="shared" si="754"/>
        <v>0.42530075669237255</v>
      </c>
      <c r="AC249" s="150"/>
      <c r="AD249" s="150">
        <f t="shared" si="636"/>
        <v>2.0998973216982333</v>
      </c>
      <c r="AE249" s="314">
        <f t="shared" si="755"/>
        <v>377.16129822933061</v>
      </c>
      <c r="AF249" s="456">
        <f t="shared" si="756"/>
        <v>0.36748203129719081</v>
      </c>
      <c r="AH249" s="150">
        <f t="shared" si="757"/>
        <v>1.1212238211627761</v>
      </c>
      <c r="AI249" s="150">
        <f t="shared" si="758"/>
        <v>1.1212238211627761</v>
      </c>
      <c r="AJ249" s="150">
        <f t="shared" si="759"/>
        <v>1.2897954230835378</v>
      </c>
      <c r="AL249" s="314">
        <f t="shared" si="760"/>
        <v>396</v>
      </c>
      <c r="AM249" s="144">
        <f t="shared" si="761"/>
        <v>350</v>
      </c>
      <c r="AO249">
        <f t="shared" si="644"/>
        <v>396</v>
      </c>
      <c r="AP249">
        <f t="shared" si="645"/>
        <v>350</v>
      </c>
      <c r="AR249" s="5">
        <f t="shared" si="616"/>
        <v>2.8571428571428572</v>
      </c>
      <c r="AS249" s="5">
        <f t="shared" si="739"/>
        <v>0.22438796304172218</v>
      </c>
      <c r="AT249" s="5">
        <f t="shared" si="740"/>
        <v>2.6327548941011352</v>
      </c>
      <c r="AU249" s="150">
        <f t="shared" si="741"/>
        <v>7.8535787064602763E-2</v>
      </c>
      <c r="BA249" s="150">
        <f t="shared" si="692"/>
        <v>0.18141178180992706</v>
      </c>
      <c r="BB249" s="150">
        <f t="shared" si="693"/>
        <v>0.62139953690694549</v>
      </c>
      <c r="BC249" s="150">
        <f t="shared" si="694"/>
        <v>0.13890107295567017</v>
      </c>
      <c r="BD249" s="150"/>
      <c r="BE249" s="456">
        <f t="shared" si="695"/>
        <v>6.5820469158905178E-4</v>
      </c>
      <c r="BF249" s="456">
        <f t="shared" si="762"/>
        <v>0.48324808604740099</v>
      </c>
      <c r="BG249" s="456">
        <f t="shared" si="763"/>
        <v>0.52466495807621072</v>
      </c>
      <c r="BH249" s="456">
        <f t="shared" si="696"/>
        <v>0.15096805667457056</v>
      </c>
      <c r="BI249">
        <f t="shared" si="697"/>
        <v>2.6982769272490836E-2</v>
      </c>
      <c r="BJ249" s="144">
        <f t="shared" si="698"/>
        <v>551.64772734870155</v>
      </c>
      <c r="BK249">
        <f t="shared" si="764"/>
        <v>0.63515139364770479</v>
      </c>
      <c r="BL249" s="144">
        <f t="shared" si="699"/>
        <v>1186.5220747622623</v>
      </c>
      <c r="BM249" s="150">
        <f t="shared" si="765"/>
        <v>0.24601499999999998</v>
      </c>
      <c r="BN249" s="150">
        <f t="shared" si="766"/>
        <v>3.6609375E-2</v>
      </c>
      <c r="BQ249" s="144">
        <f t="shared" si="700"/>
        <v>282.62437499999999</v>
      </c>
      <c r="BR249" s="456">
        <f t="shared" si="701"/>
        <v>9.8730703738357756E-4</v>
      </c>
      <c r="BS249" s="456">
        <f t="shared" si="702"/>
        <v>1.1584121534044988E-2</v>
      </c>
      <c r="BT249" s="456">
        <f t="shared" si="703"/>
        <v>9.6467540341182032E-5</v>
      </c>
      <c r="BU249" s="456">
        <f t="shared" si="704"/>
        <v>0.15253549136138536</v>
      </c>
      <c r="BV249" s="456"/>
      <c r="BW249" s="538">
        <f t="shared" si="705"/>
        <v>4.3999999999999991E-4</v>
      </c>
      <c r="BX249" s="144">
        <f t="shared" si="706"/>
        <v>165.64338747315509</v>
      </c>
      <c r="BY249" s="150">
        <f t="shared" si="707"/>
        <v>1.6347898372354175</v>
      </c>
      <c r="BZ249" s="5">
        <f t="shared" si="708"/>
        <v>2.64</v>
      </c>
      <c r="CA249" s="150">
        <f t="shared" si="709"/>
        <v>0.61757422014162344</v>
      </c>
      <c r="CB249" s="5">
        <f t="shared" si="710"/>
        <v>61.757422014162344</v>
      </c>
      <c r="CC249">
        <f t="shared" si="711"/>
        <v>33</v>
      </c>
      <c r="CE249" s="59">
        <f t="shared" si="767"/>
        <v>-50</v>
      </c>
      <c r="CG249" s="150">
        <f t="shared" si="768"/>
        <v>0.81564698246238854</v>
      </c>
      <c r="CH249" s="150">
        <f t="shared" si="769"/>
        <v>0.43890011420516567</v>
      </c>
      <c r="CI249" s="147">
        <v>33</v>
      </c>
      <c r="CJ249" s="188">
        <f t="shared" si="712"/>
        <v>0.39600000000000002</v>
      </c>
      <c r="CK249" s="188">
        <f t="shared" si="654"/>
        <v>8.2500000000000004E-2</v>
      </c>
      <c r="CL249" s="188">
        <f t="shared" si="655"/>
        <v>1.98</v>
      </c>
      <c r="CM249" s="188">
        <f t="shared" si="656"/>
        <v>0.66</v>
      </c>
      <c r="CN249" s="465">
        <f t="shared" si="657"/>
        <v>60</v>
      </c>
      <c r="CO249" s="379">
        <f t="shared" si="770"/>
        <v>5.7</v>
      </c>
      <c r="CP249" s="379">
        <f t="shared" si="771"/>
        <v>65.7</v>
      </c>
      <c r="CQ249" s="379"/>
      <c r="CR249" s="188">
        <f t="shared" si="660"/>
        <v>8.2568807339449546E-2</v>
      </c>
      <c r="CS249" s="149">
        <f t="shared" si="661"/>
        <v>9.2889908256880744</v>
      </c>
      <c r="CT249" s="149">
        <f t="shared" si="662"/>
        <v>4.1284403669724767</v>
      </c>
      <c r="CU249" s="188">
        <f t="shared" si="663"/>
        <v>1.857798165137615</v>
      </c>
      <c r="CV249" s="188">
        <f t="shared" si="664"/>
        <v>1.1611238532110093</v>
      </c>
      <c r="CW249" s="188">
        <f t="shared" si="665"/>
        <v>5</v>
      </c>
      <c r="CX249" s="188">
        <f t="shared" si="666"/>
        <v>1.0657777777777777</v>
      </c>
      <c r="CY249" s="188">
        <f t="shared" si="667"/>
        <v>0.21315555555555554</v>
      </c>
      <c r="CZ249" s="188">
        <f t="shared" si="668"/>
        <v>2.2437426900584794</v>
      </c>
      <c r="DA249" s="172">
        <f t="shared" si="669"/>
        <v>350</v>
      </c>
      <c r="DB249" s="379">
        <f t="shared" si="670"/>
        <v>350</v>
      </c>
      <c r="DD249" s="188">
        <f t="shared" si="671"/>
        <v>1.2393998695368558</v>
      </c>
      <c r="DE249" s="150">
        <f t="shared" si="672"/>
        <v>2.6092628832354858</v>
      </c>
      <c r="DF249" s="150">
        <f t="shared" si="673"/>
        <v>0.4244520101153616</v>
      </c>
      <c r="DG249" s="150"/>
      <c r="DH249" s="150">
        <f t="shared" si="674"/>
        <v>2.1052631578947367</v>
      </c>
      <c r="DI249" s="314">
        <f t="shared" si="675"/>
        <v>376.20000000000005</v>
      </c>
      <c r="DJ249" s="456">
        <f t="shared" si="676"/>
        <v>0.36842105263157893</v>
      </c>
      <c r="DL249" s="150">
        <f t="shared" si="677"/>
        <v>1.1212238211627761</v>
      </c>
      <c r="DM249" s="150">
        <f t="shared" si="678"/>
        <v>1.1212238211627761</v>
      </c>
      <c r="DN249" s="150">
        <f t="shared" si="679"/>
        <v>1.2897954230835378</v>
      </c>
      <c r="DP249" s="314">
        <f t="shared" si="680"/>
        <v>396</v>
      </c>
      <c r="DQ249" s="144">
        <f t="shared" si="681"/>
        <v>350</v>
      </c>
      <c r="DS249">
        <f t="shared" si="682"/>
        <v>396</v>
      </c>
      <c r="DT249">
        <f t="shared" si="683"/>
        <v>350</v>
      </c>
      <c r="DV249" s="5">
        <f t="shared" si="684"/>
        <v>2.8571428571428572</v>
      </c>
      <c r="DW249" s="5">
        <f t="shared" si="685"/>
        <v>0.22424476423255521</v>
      </c>
      <c r="DX249" s="5">
        <f t="shared" si="686"/>
        <v>2.6328980929103021</v>
      </c>
      <c r="DY249" s="150">
        <f t="shared" si="687"/>
        <v>7.8485667481394322E-2</v>
      </c>
      <c r="EA249" s="5">
        <f t="shared" si="713"/>
        <v>1.7760185327218372</v>
      </c>
      <c r="EB249" s="5">
        <f t="shared" si="714"/>
        <v>0.23125241311482259</v>
      </c>
      <c r="EC249" s="5">
        <f t="shared" si="715"/>
        <v>3.6202348777516651E-2</v>
      </c>
      <c r="ED249" s="5"/>
      <c r="EE249" s="150">
        <f t="shared" si="716"/>
        <v>0.18135388633123203</v>
      </c>
      <c r="EF249" s="150">
        <f t="shared" si="717"/>
        <v>0.62141643602352326</v>
      </c>
      <c r="EG249" s="150">
        <f t="shared" si="718"/>
        <v>0.13890485040525816</v>
      </c>
      <c r="EH249" s="150"/>
      <c r="EI249" s="456">
        <f t="shared" si="719"/>
        <v>6.5778464174882857E-4</v>
      </c>
      <c r="EJ249" s="456">
        <f t="shared" si="720"/>
        <v>0.51565083535276079</v>
      </c>
      <c r="EK249" s="456">
        <f t="shared" si="721"/>
        <v>4.3749999999999997E-2</v>
      </c>
      <c r="EL249" s="456">
        <f t="shared" si="722"/>
        <v>0.15107715000000002</v>
      </c>
      <c r="EM249">
        <f t="shared" si="723"/>
        <v>2.7E-2</v>
      </c>
      <c r="EN249" s="144">
        <f t="shared" si="724"/>
        <v>70.75</v>
      </c>
      <c r="EP249" s="144">
        <f t="shared" si="725"/>
        <v>738.13576999450959</v>
      </c>
      <c r="EQ249" s="150">
        <f t="shared" si="726"/>
        <v>0.2772</v>
      </c>
      <c r="ER249" s="150">
        <f t="shared" si="772"/>
        <v>3.6609375E-2</v>
      </c>
      <c r="ES249" s="456"/>
      <c r="EU249" s="144">
        <f t="shared" si="727"/>
        <v>313.80937499999999</v>
      </c>
      <c r="EV249" s="456">
        <f t="shared" si="728"/>
        <v>9.8667696262324275E-4</v>
      </c>
      <c r="EW249" s="456">
        <f t="shared" si="729"/>
        <v>1.1584751608805326E-2</v>
      </c>
      <c r="EX249" s="456">
        <f t="shared" si="730"/>
        <v>9.6472787330535736E-5</v>
      </c>
      <c r="EY249" s="456">
        <f t="shared" si="731"/>
        <v>0.15253549136138536</v>
      </c>
      <c r="EZ249" s="456"/>
      <c r="FA249" s="538">
        <f t="shared" si="732"/>
        <v>4.3999999999999991E-4</v>
      </c>
      <c r="FB249" s="144">
        <f t="shared" si="733"/>
        <v>165.64339272014448</v>
      </c>
      <c r="FC249" s="150">
        <f t="shared" si="734"/>
        <v>1.217588537714654</v>
      </c>
      <c r="FD249" s="5">
        <f t="shared" si="735"/>
        <v>2.64</v>
      </c>
      <c r="FE249" s="150">
        <f t="shared" si="736"/>
        <v>0.68436536820591343</v>
      </c>
      <c r="FF249" s="5">
        <f t="shared" si="737"/>
        <v>68.436536820591343</v>
      </c>
      <c r="FG249">
        <f t="shared" si="738"/>
        <v>33</v>
      </c>
      <c r="FI249" s="59">
        <f t="shared" si="689"/>
        <v>-50</v>
      </c>
    </row>
    <row r="250" spans="5:165">
      <c r="E250" s="147">
        <v>34</v>
      </c>
      <c r="F250" s="188">
        <f t="shared" si="773"/>
        <v>0.40800000000000003</v>
      </c>
      <c r="G250" s="188">
        <f t="shared" si="742"/>
        <v>8.5000000000000006E-2</v>
      </c>
      <c r="H250" s="188">
        <f t="shared" si="743"/>
        <v>2.04</v>
      </c>
      <c r="I250" s="188">
        <f t="shared" si="744"/>
        <v>0.68</v>
      </c>
      <c r="J250" s="465">
        <f t="shared" si="745"/>
        <v>59.961133665035923</v>
      </c>
      <c r="K250" s="379">
        <f t="shared" si="746"/>
        <v>5.7147841614091375</v>
      </c>
      <c r="L250" s="149">
        <f t="shared" si="747"/>
        <v>65.675917826445058</v>
      </c>
      <c r="M250" s="379"/>
      <c r="N250" s="188">
        <f t="shared" si="748"/>
        <v>8.7014911257289246E-2</v>
      </c>
      <c r="O250" s="149">
        <f t="shared" si="749"/>
        <v>9.7828363589054241</v>
      </c>
      <c r="P250" s="149">
        <f t="shared" si="750"/>
        <v>4.3479272706246324</v>
      </c>
      <c r="Q250" s="188">
        <f t="shared" si="626"/>
        <v>1.9565672717810849</v>
      </c>
      <c r="R250" s="188">
        <f t="shared" si="751"/>
        <v>1.222854544863178</v>
      </c>
      <c r="S250" s="188">
        <f t="shared" si="752"/>
        <v>5</v>
      </c>
      <c r="T250" s="188">
        <f t="shared" si="753"/>
        <v>1.0426424020386305</v>
      </c>
      <c r="U250" s="188">
        <f t="shared" si="630"/>
        <v>0.2086636469276647</v>
      </c>
      <c r="V250" s="188">
        <f t="shared" si="631"/>
        <v>2.189358070415464</v>
      </c>
      <c r="W250" s="172">
        <f t="shared" si="632"/>
        <v>350</v>
      </c>
      <c r="X250" s="379">
        <f t="shared" si="691"/>
        <v>350</v>
      </c>
      <c r="Z250" s="188">
        <f t="shared" si="633"/>
        <v>1.2422649344641807</v>
      </c>
      <c r="AA250" s="150">
        <f t="shared" si="634"/>
        <v>2.6085288249791736</v>
      </c>
      <c r="AB250" s="150">
        <f t="shared" si="754"/>
        <v>0.42531351053765165</v>
      </c>
      <c r="AC250" s="150"/>
      <c r="AD250" s="150">
        <f t="shared" si="636"/>
        <v>2.0998168366591594</v>
      </c>
      <c r="AE250" s="314">
        <f t="shared" si="755"/>
        <v>388.60532297582131</v>
      </c>
      <c r="AF250" s="456">
        <f t="shared" si="756"/>
        <v>0.36746794641535285</v>
      </c>
      <c r="AH250" s="150">
        <f t="shared" si="757"/>
        <v>1.1380852759077833</v>
      </c>
      <c r="AI250" s="150">
        <f t="shared" si="758"/>
        <v>1.1380852759077833</v>
      </c>
      <c r="AJ250" s="150">
        <f t="shared" si="759"/>
        <v>1.3022853895613209</v>
      </c>
      <c r="AL250" s="314">
        <f t="shared" si="760"/>
        <v>408.00000000000006</v>
      </c>
      <c r="AM250" s="144">
        <f t="shared" si="761"/>
        <v>350</v>
      </c>
      <c r="AO250">
        <f t="shared" si="644"/>
        <v>408.00000000000006</v>
      </c>
      <c r="AP250">
        <f t="shared" si="645"/>
        <v>350</v>
      </c>
      <c r="AR250" s="5">
        <f t="shared" si="616"/>
        <v>2.8571428571428572</v>
      </c>
      <c r="AS250" s="5">
        <f t="shared" si="739"/>
        <v>0.22776459476544184</v>
      </c>
      <c r="AT250" s="5">
        <f t="shared" si="740"/>
        <v>2.6293782623774153</v>
      </c>
      <c r="AU250" s="150">
        <f t="shared" si="741"/>
        <v>7.9717608167904644E-2</v>
      </c>
      <c r="BA250" s="150">
        <f t="shared" si="692"/>
        <v>0.18552024414272927</v>
      </c>
      <c r="BB250" s="150">
        <f t="shared" si="693"/>
        <v>0.6303398057867311</v>
      </c>
      <c r="BC250" s="150">
        <f t="shared" si="694"/>
        <v>0.14089948599938695</v>
      </c>
      <c r="BD250" s="150"/>
      <c r="BE250" s="456">
        <f t="shared" si="695"/>
        <v>6.8835521973555753E-4</v>
      </c>
      <c r="BF250" s="456">
        <f t="shared" si="762"/>
        <v>0.49051271758129344</v>
      </c>
      <c r="BG250" s="456">
        <f t="shared" si="763"/>
        <v>0.52465991956906421</v>
      </c>
      <c r="BH250" s="456">
        <f t="shared" si="696"/>
        <v>0.15096641638210875</v>
      </c>
      <c r="BI250">
        <f t="shared" si="697"/>
        <v>2.6982510149266163E-2</v>
      </c>
      <c r="BJ250" s="144">
        <f t="shared" si="698"/>
        <v>551.64242971833028</v>
      </c>
      <c r="BK250">
        <f t="shared" si="764"/>
        <v>0.6424584212232588</v>
      </c>
      <c r="BL250" s="144">
        <f t="shared" si="699"/>
        <v>1193.8099189014681</v>
      </c>
      <c r="BM250" s="150">
        <f t="shared" si="765"/>
        <v>0.25347000000000003</v>
      </c>
      <c r="BN250" s="150">
        <f t="shared" si="766"/>
        <v>3.7718750000000002E-2</v>
      </c>
      <c r="BQ250" s="144">
        <f t="shared" si="700"/>
        <v>291.18875000000003</v>
      </c>
      <c r="BR250" s="456">
        <f t="shared" si="701"/>
        <v>1.0325328296033362E-3</v>
      </c>
      <c r="BS250" s="456">
        <f t="shared" si="702"/>
        <v>1.1919848122777615E-2</v>
      </c>
      <c r="BT250" s="456">
        <f t="shared" si="703"/>
        <v>9.926332577445719E-5</v>
      </c>
      <c r="BU250" s="456">
        <f t="shared" si="704"/>
        <v>0.15833507307458972</v>
      </c>
      <c r="BV250" s="456"/>
      <c r="BW250" s="538">
        <f t="shared" si="705"/>
        <v>4.5333333333333337E-4</v>
      </c>
      <c r="BX250" s="144">
        <f t="shared" si="706"/>
        <v>171.84005068607846</v>
      </c>
      <c r="BY250" s="150">
        <f t="shared" si="707"/>
        <v>1.6568387195875467</v>
      </c>
      <c r="BZ250" s="5">
        <f t="shared" si="708"/>
        <v>2.72</v>
      </c>
      <c r="CA250" s="150">
        <f t="shared" si="709"/>
        <v>0.62145310217332395</v>
      </c>
      <c r="CB250" s="5">
        <f t="shared" si="710"/>
        <v>62.145310217332394</v>
      </c>
      <c r="CC250">
        <f t="shared" si="711"/>
        <v>34</v>
      </c>
      <c r="CE250" s="59">
        <f t="shared" si="767"/>
        <v>-50</v>
      </c>
      <c r="CG250" s="150">
        <f t="shared" si="768"/>
        <v>0.82791303891169643</v>
      </c>
      <c r="CH250" s="150">
        <f t="shared" si="769"/>
        <v>0.44550048629284938</v>
      </c>
      <c r="CI250" s="147">
        <v>34</v>
      </c>
      <c r="CJ250" s="188">
        <f t="shared" si="712"/>
        <v>0.40800000000000003</v>
      </c>
      <c r="CK250" s="188">
        <f t="shared" si="654"/>
        <v>8.5000000000000006E-2</v>
      </c>
      <c r="CL250" s="188">
        <f t="shared" si="655"/>
        <v>2.04</v>
      </c>
      <c r="CM250" s="188">
        <f t="shared" si="656"/>
        <v>0.68</v>
      </c>
      <c r="CN250" s="465">
        <f t="shared" si="657"/>
        <v>60</v>
      </c>
      <c r="CO250" s="379">
        <f t="shared" si="770"/>
        <v>5.7</v>
      </c>
      <c r="CP250" s="379">
        <f t="shared" si="771"/>
        <v>65.7</v>
      </c>
      <c r="CQ250" s="379"/>
      <c r="CR250" s="188">
        <f t="shared" si="660"/>
        <v>8.2568807339449546E-2</v>
      </c>
      <c r="CS250" s="149">
        <f t="shared" si="661"/>
        <v>9.2889908256880744</v>
      </c>
      <c r="CT250" s="149">
        <f t="shared" si="662"/>
        <v>4.1284403669724767</v>
      </c>
      <c r="CU250" s="188">
        <f t="shared" si="663"/>
        <v>1.857798165137615</v>
      </c>
      <c r="CV250" s="188">
        <f t="shared" si="664"/>
        <v>1.1611238532110093</v>
      </c>
      <c r="CW250" s="188">
        <f t="shared" si="665"/>
        <v>5</v>
      </c>
      <c r="CX250" s="188">
        <f t="shared" si="666"/>
        <v>1.098074074074074</v>
      </c>
      <c r="CY250" s="188">
        <f t="shared" si="667"/>
        <v>0.21961481481481482</v>
      </c>
      <c r="CZ250" s="188">
        <f t="shared" si="668"/>
        <v>2.3117348927875243</v>
      </c>
      <c r="DA250" s="172">
        <f t="shared" si="669"/>
        <v>350</v>
      </c>
      <c r="DB250" s="379">
        <f t="shared" si="670"/>
        <v>350</v>
      </c>
      <c r="DD250" s="188">
        <f t="shared" si="671"/>
        <v>1.2393998695368558</v>
      </c>
      <c r="DE250" s="150">
        <f t="shared" si="672"/>
        <v>2.6092628832354858</v>
      </c>
      <c r="DF250" s="150">
        <f t="shared" si="673"/>
        <v>0.4244520101153616</v>
      </c>
      <c r="DG250" s="150"/>
      <c r="DH250" s="150">
        <f t="shared" si="674"/>
        <v>2.1052631578947367</v>
      </c>
      <c r="DI250" s="314">
        <f t="shared" si="675"/>
        <v>387.60000000000008</v>
      </c>
      <c r="DJ250" s="456">
        <f t="shared" si="676"/>
        <v>0.36842105263157893</v>
      </c>
      <c r="DL250" s="150">
        <f t="shared" si="677"/>
        <v>1.1380852759077833</v>
      </c>
      <c r="DM250" s="150">
        <f t="shared" si="678"/>
        <v>1.1380852759077833</v>
      </c>
      <c r="DN250" s="150">
        <f t="shared" si="679"/>
        <v>1.3022853895613209</v>
      </c>
      <c r="DP250" s="314">
        <f t="shared" si="680"/>
        <v>408.00000000000006</v>
      </c>
      <c r="DQ250" s="144">
        <f t="shared" si="681"/>
        <v>350</v>
      </c>
      <c r="DS250">
        <f t="shared" si="682"/>
        <v>408.00000000000006</v>
      </c>
      <c r="DT250">
        <f t="shared" si="683"/>
        <v>350</v>
      </c>
      <c r="DV250" s="5">
        <f t="shared" si="684"/>
        <v>2.8571428571428572</v>
      </c>
      <c r="DW250" s="5">
        <f t="shared" si="685"/>
        <v>0.22761705518155667</v>
      </c>
      <c r="DX250" s="5">
        <f t="shared" si="686"/>
        <v>2.6295258019613006</v>
      </c>
      <c r="DY250" s="150">
        <f t="shared" si="687"/>
        <v>7.9665969313544832E-2</v>
      </c>
      <c r="EA250" s="5">
        <f t="shared" si="713"/>
        <v>1.8573551702815023</v>
      </c>
      <c r="EB250" s="5">
        <f t="shared" si="714"/>
        <v>0.24184312113040399</v>
      </c>
      <c r="EC250" s="5">
        <f t="shared" si="715"/>
        <v>3.7251615527785088E-2</v>
      </c>
      <c r="ED250" s="5"/>
      <c r="EE250" s="150">
        <f t="shared" si="716"/>
        <v>0.18546014697590454</v>
      </c>
      <c r="EF250" s="150">
        <f t="shared" si="717"/>
        <v>0.63035749034155819</v>
      </c>
      <c r="EG250" s="150">
        <f t="shared" si="718"/>
        <v>0.14090343901752478</v>
      </c>
      <c r="EH250" s="150"/>
      <c r="EI250" s="456">
        <f t="shared" si="719"/>
        <v>6.8790932232648235E-4</v>
      </c>
      <c r="EJ250" s="456">
        <f t="shared" si="720"/>
        <v>0.52340541838998955</v>
      </c>
      <c r="EK250" s="456">
        <f t="shared" si="721"/>
        <v>4.3749999999999997E-2</v>
      </c>
      <c r="EL250" s="456">
        <f t="shared" si="722"/>
        <v>0.15107715000000002</v>
      </c>
      <c r="EM250">
        <f t="shared" si="723"/>
        <v>2.7E-2</v>
      </c>
      <c r="EN250" s="144">
        <f t="shared" si="724"/>
        <v>70.75</v>
      </c>
      <c r="EP250" s="144">
        <f t="shared" si="725"/>
        <v>745.92047771231591</v>
      </c>
      <c r="EQ250" s="150">
        <f t="shared" si="726"/>
        <v>0.28560000000000002</v>
      </c>
      <c r="ER250" s="150">
        <f t="shared" si="772"/>
        <v>3.7718750000000002E-2</v>
      </c>
      <c r="ES250" s="456"/>
      <c r="EU250" s="144">
        <f t="shared" si="727"/>
        <v>323.31875000000002</v>
      </c>
      <c r="EV250" s="456">
        <f t="shared" si="728"/>
        <v>1.0318639834897235E-3</v>
      </c>
      <c r="EW250" s="456">
        <f t="shared" si="729"/>
        <v>1.1920516968891228E-2</v>
      </c>
      <c r="EX250" s="456">
        <f t="shared" si="730"/>
        <v>9.9268895634826624E-5</v>
      </c>
      <c r="EY250" s="456">
        <f t="shared" si="731"/>
        <v>0.15833507307458972</v>
      </c>
      <c r="EZ250" s="456"/>
      <c r="FA250" s="538">
        <f t="shared" si="732"/>
        <v>4.5333333333333337E-4</v>
      </c>
      <c r="FB250" s="144">
        <f t="shared" si="733"/>
        <v>171.8400562559388</v>
      </c>
      <c r="FC250" s="150">
        <f t="shared" si="734"/>
        <v>1.2410792839682545</v>
      </c>
      <c r="FD250" s="5">
        <f t="shared" si="735"/>
        <v>2.72</v>
      </c>
      <c r="FE250" s="150">
        <f t="shared" si="736"/>
        <v>0.68668153424969391</v>
      </c>
      <c r="FF250" s="5">
        <f t="shared" si="737"/>
        <v>68.66815342496939</v>
      </c>
      <c r="FG250">
        <f t="shared" si="738"/>
        <v>34</v>
      </c>
      <c r="FI250" s="59">
        <f t="shared" si="689"/>
        <v>-50</v>
      </c>
    </row>
    <row r="251" spans="5:165">
      <c r="E251" s="147">
        <v>35</v>
      </c>
      <c r="F251" s="188">
        <f t="shared" si="773"/>
        <v>0.42</v>
      </c>
      <c r="G251" s="188">
        <f t="shared" si="742"/>
        <v>8.7499999999999994E-2</v>
      </c>
      <c r="H251" s="188">
        <f t="shared" si="743"/>
        <v>2.1</v>
      </c>
      <c r="I251" s="188">
        <f t="shared" si="744"/>
        <v>0.7</v>
      </c>
      <c r="J251" s="465">
        <f t="shared" si="745"/>
        <v>59.960566243270257</v>
      </c>
      <c r="K251" s="379">
        <f t="shared" si="746"/>
        <v>5.7149999999999999</v>
      </c>
      <c r="L251" s="149">
        <f t="shared" si="747"/>
        <v>65.675566243270254</v>
      </c>
      <c r="M251" s="379"/>
      <c r="N251" s="188">
        <f t="shared" si="748"/>
        <v>8.7018663513778433E-2</v>
      </c>
      <c r="O251" s="149">
        <f t="shared" si="749"/>
        <v>9.7831656337851669</v>
      </c>
      <c r="P251" s="149">
        <f t="shared" si="750"/>
        <v>4.3480736150156298</v>
      </c>
      <c r="Q251" s="188">
        <f t="shared" si="626"/>
        <v>1.9566331267570334</v>
      </c>
      <c r="R251" s="188">
        <f t="shared" si="751"/>
        <v>1.2228957042231459</v>
      </c>
      <c r="S251" s="188">
        <f t="shared" si="752"/>
        <v>5</v>
      </c>
      <c r="T251" s="188">
        <f t="shared" si="753"/>
        <v>1.0732722303851545</v>
      </c>
      <c r="U251" s="188">
        <f t="shared" si="630"/>
        <v>0.21479561604485972</v>
      </c>
      <c r="V251" s="188">
        <f t="shared" si="631"/>
        <v>2.253589985060692</v>
      </c>
      <c r="W251" s="172">
        <f t="shared" si="632"/>
        <v>350</v>
      </c>
      <c r="X251" s="379">
        <f t="shared" si="691"/>
        <v>350</v>
      </c>
      <c r="Z251" s="188">
        <f t="shared" si="633"/>
        <v>1.2423067471473228</v>
      </c>
      <c r="AA251" s="150">
        <f t="shared" si="634"/>
        <v>2.6085181042463472</v>
      </c>
      <c r="AB251" s="150">
        <f t="shared" si="754"/>
        <v>0.42532607787615495</v>
      </c>
      <c r="AC251" s="150"/>
      <c r="AD251" s="150">
        <f t="shared" si="636"/>
        <v>2.0997375328083989</v>
      </c>
      <c r="AE251" s="314">
        <f t="shared" si="755"/>
        <v>400.04999999999995</v>
      </c>
      <c r="AF251" s="456">
        <f t="shared" si="756"/>
        <v>0.36745406824146987</v>
      </c>
      <c r="AH251" s="150">
        <f t="shared" si="757"/>
        <v>1.1547005383792515</v>
      </c>
      <c r="AI251" s="150">
        <f t="shared" si="758"/>
        <v>1.1547005383792515</v>
      </c>
      <c r="AJ251" s="150">
        <f t="shared" si="759"/>
        <v>1.314592991392038</v>
      </c>
      <c r="AL251" s="314">
        <f t="shared" si="760"/>
        <v>420</v>
      </c>
      <c r="AM251" s="144">
        <f t="shared" si="761"/>
        <v>350</v>
      </c>
      <c r="AO251">
        <f t="shared" si="644"/>
        <v>420</v>
      </c>
      <c r="AP251">
        <f t="shared" si="645"/>
        <v>350</v>
      </c>
      <c r="AR251" s="5">
        <f t="shared" si="616"/>
        <v>2.8571428571428572</v>
      </c>
      <c r="AS251" s="5">
        <f t="shared" si="739"/>
        <v>0.23109198809653014</v>
      </c>
      <c r="AT251" s="5">
        <f t="shared" si="740"/>
        <v>2.6260508690463271</v>
      </c>
      <c r="AU251" s="150">
        <f t="shared" si="741"/>
        <v>8.0882195833785545E-2</v>
      </c>
      <c r="BA251" s="150">
        <f t="shared" si="692"/>
        <v>0.18959863552460912</v>
      </c>
      <c r="BB251" s="150">
        <f t="shared" si="693"/>
        <v>0.63913754533093337</v>
      </c>
      <c r="BC251" s="150">
        <f t="shared" si="694"/>
        <v>0.14286603954456156</v>
      </c>
      <c r="BD251" s="150"/>
      <c r="BE251" s="456">
        <f t="shared" si="695"/>
        <v>7.1895285185587146E-4</v>
      </c>
      <c r="BF251" s="456">
        <f t="shared" si="762"/>
        <v>0.49767120177774793</v>
      </c>
      <c r="BG251" s="456">
        <f t="shared" si="763"/>
        <v>0.52465495462861467</v>
      </c>
      <c r="BH251" s="456">
        <f t="shared" si="696"/>
        <v>0.15096480004809626</v>
      </c>
      <c r="BI251">
        <f t="shared" si="697"/>
        <v>2.6982254809471615E-2</v>
      </c>
      <c r="BJ251" s="144">
        <f t="shared" si="698"/>
        <v>551.6372094380863</v>
      </c>
      <c r="BK251">
        <f t="shared" si="764"/>
        <v>0.64966004895461715</v>
      </c>
      <c r="BL251" s="144">
        <f t="shared" si="699"/>
        <v>1200.9921641157864</v>
      </c>
      <c r="BM251" s="150">
        <f t="shared" si="765"/>
        <v>0.26092499999999996</v>
      </c>
      <c r="BN251" s="150">
        <f t="shared" si="766"/>
        <v>3.8828124999999998E-2</v>
      </c>
      <c r="BQ251" s="144">
        <f t="shared" si="700"/>
        <v>299.75312499999995</v>
      </c>
      <c r="BR251" s="456">
        <f t="shared" si="701"/>
        <v>1.0784292777838071E-3</v>
      </c>
      <c r="BS251" s="456">
        <f t="shared" si="702"/>
        <v>1.2254904055549526E-2</v>
      </c>
      <c r="BT251" s="456">
        <f t="shared" si="703"/>
        <v>1.0205352627574113E-4</v>
      </c>
      <c r="BU251" s="456">
        <f t="shared" si="704"/>
        <v>0.16417746135635269</v>
      </c>
      <c r="BV251" s="456"/>
      <c r="BW251" s="538">
        <f t="shared" si="705"/>
        <v>4.6666666666666666E-4</v>
      </c>
      <c r="BX251" s="144">
        <f t="shared" si="706"/>
        <v>178.07951488262844</v>
      </c>
      <c r="BY251" s="150">
        <f t="shared" si="707"/>
        <v>1.6788248039984148</v>
      </c>
      <c r="BZ251" s="5">
        <f t="shared" si="708"/>
        <v>2.8</v>
      </c>
      <c r="CA251" s="150">
        <f t="shared" si="709"/>
        <v>0.62516399335386708</v>
      </c>
      <c r="CB251" s="5">
        <f t="shared" si="710"/>
        <v>62.516399335386708</v>
      </c>
      <c r="CC251">
        <f t="shared" si="711"/>
        <v>35</v>
      </c>
      <c r="CE251" s="59">
        <f t="shared" si="767"/>
        <v>-50</v>
      </c>
      <c r="CG251" s="150">
        <f t="shared" si="768"/>
        <v>0.84000000000000008</v>
      </c>
      <c r="CH251" s="150">
        <f t="shared" si="769"/>
        <v>0.45200448706293067</v>
      </c>
      <c r="CI251" s="147">
        <v>35</v>
      </c>
      <c r="CJ251" s="188">
        <f t="shared" si="712"/>
        <v>0.42</v>
      </c>
      <c r="CK251" s="188">
        <f t="shared" si="654"/>
        <v>8.7499999999999994E-2</v>
      </c>
      <c r="CL251" s="188">
        <f t="shared" si="655"/>
        <v>2.1</v>
      </c>
      <c r="CM251" s="188">
        <f t="shared" si="656"/>
        <v>0.7</v>
      </c>
      <c r="CN251" s="465">
        <f t="shared" si="657"/>
        <v>60</v>
      </c>
      <c r="CO251" s="379">
        <f t="shared" si="770"/>
        <v>5.7</v>
      </c>
      <c r="CP251" s="379">
        <f t="shared" si="771"/>
        <v>65.7</v>
      </c>
      <c r="CQ251" s="379"/>
      <c r="CR251" s="188">
        <f t="shared" si="660"/>
        <v>8.2568807339449546E-2</v>
      </c>
      <c r="CS251" s="149">
        <f t="shared" si="661"/>
        <v>9.2889908256880744</v>
      </c>
      <c r="CT251" s="149">
        <f t="shared" si="662"/>
        <v>4.1284403669724767</v>
      </c>
      <c r="CU251" s="188">
        <f t="shared" si="663"/>
        <v>1.857798165137615</v>
      </c>
      <c r="CV251" s="188">
        <f t="shared" si="664"/>
        <v>1.1611238532110093</v>
      </c>
      <c r="CW251" s="188">
        <f t="shared" si="665"/>
        <v>5</v>
      </c>
      <c r="CX251" s="188">
        <f t="shared" si="666"/>
        <v>1.1303703703703702</v>
      </c>
      <c r="CY251" s="188">
        <f t="shared" si="667"/>
        <v>0.22607407407407407</v>
      </c>
      <c r="CZ251" s="188">
        <f t="shared" si="668"/>
        <v>2.3797270955165688</v>
      </c>
      <c r="DA251" s="172">
        <f t="shared" si="669"/>
        <v>350</v>
      </c>
      <c r="DB251" s="379">
        <f t="shared" si="670"/>
        <v>350</v>
      </c>
      <c r="DD251" s="188">
        <f t="shared" si="671"/>
        <v>1.2393998695368558</v>
      </c>
      <c r="DE251" s="150">
        <f t="shared" si="672"/>
        <v>2.6092628832354858</v>
      </c>
      <c r="DF251" s="150">
        <f t="shared" si="673"/>
        <v>0.4244520101153616</v>
      </c>
      <c r="DG251" s="150"/>
      <c r="DH251" s="150">
        <f t="shared" si="674"/>
        <v>2.1052631578947367</v>
      </c>
      <c r="DI251" s="314">
        <f t="shared" si="675"/>
        <v>399</v>
      </c>
      <c r="DJ251" s="456">
        <f t="shared" si="676"/>
        <v>0.36842105263157893</v>
      </c>
      <c r="DL251" s="150">
        <f t="shared" si="677"/>
        <v>1.1547005383792515</v>
      </c>
      <c r="DM251" s="150">
        <f t="shared" si="678"/>
        <v>1.1547005383792515</v>
      </c>
      <c r="DN251" s="150">
        <f t="shared" si="679"/>
        <v>1.314592991392038</v>
      </c>
      <c r="DP251" s="314">
        <f t="shared" si="680"/>
        <v>420</v>
      </c>
      <c r="DQ251" s="144">
        <f t="shared" si="681"/>
        <v>350</v>
      </c>
      <c r="DS251">
        <f t="shared" si="682"/>
        <v>420</v>
      </c>
      <c r="DT251">
        <f t="shared" si="683"/>
        <v>350</v>
      </c>
      <c r="DV251" s="5">
        <f t="shared" si="684"/>
        <v>2.8571428571428572</v>
      </c>
      <c r="DW251" s="5">
        <f t="shared" si="685"/>
        <v>0.23094010767585027</v>
      </c>
      <c r="DX251" s="5">
        <f t="shared" si="686"/>
        <v>2.6262027494670068</v>
      </c>
      <c r="DY251" s="150">
        <f t="shared" si="687"/>
        <v>8.0829037686547589E-2</v>
      </c>
      <c r="EA251" s="5">
        <f t="shared" si="713"/>
        <v>1.9398969044771424</v>
      </c>
      <c r="EB251" s="5">
        <f t="shared" si="714"/>
        <v>0.25259074277046123</v>
      </c>
      <c r="EC251" s="5">
        <f t="shared" si="715"/>
        <v>3.829879009639385E-2</v>
      </c>
      <c r="ED251" s="5"/>
      <c r="EE251" s="150">
        <f t="shared" si="716"/>
        <v>0.1895363203968482</v>
      </c>
      <c r="EF251" s="150">
        <f t="shared" si="717"/>
        <v>0.63915602766059221</v>
      </c>
      <c r="EG251" s="150">
        <f t="shared" si="718"/>
        <v>0.14287017088883827</v>
      </c>
      <c r="EH251" s="150"/>
      <c r="EI251" s="456">
        <f t="shared" si="719"/>
        <v>7.1848033499153393E-4</v>
      </c>
      <c r="EJ251" s="456">
        <f t="shared" si="720"/>
        <v>0.5310467776006178</v>
      </c>
      <c r="EK251" s="456">
        <f t="shared" si="721"/>
        <v>4.3749999999999997E-2</v>
      </c>
      <c r="EL251" s="456">
        <f t="shared" si="722"/>
        <v>0.15107715000000002</v>
      </c>
      <c r="EM251">
        <f t="shared" si="723"/>
        <v>2.7E-2</v>
      </c>
      <c r="EN251" s="144">
        <f t="shared" si="724"/>
        <v>70.75</v>
      </c>
      <c r="EP251" s="144">
        <f t="shared" si="725"/>
        <v>753.59240793560934</v>
      </c>
      <c r="EQ251" s="150">
        <f t="shared" si="726"/>
        <v>0.29399999999999998</v>
      </c>
      <c r="ER251" s="150">
        <f t="shared" si="772"/>
        <v>3.8828124999999998E-2</v>
      </c>
      <c r="ES251" s="456"/>
      <c r="EU251" s="144">
        <f t="shared" si="727"/>
        <v>332.828125</v>
      </c>
      <c r="EV251" s="456">
        <f t="shared" si="728"/>
        <v>1.0777205024873008E-3</v>
      </c>
      <c r="EW251" s="456">
        <f t="shared" si="729"/>
        <v>1.2255612830846032E-2</v>
      </c>
      <c r="EX251" s="456">
        <f t="shared" si="730"/>
        <v>1.0205942864902927E-4</v>
      </c>
      <c r="EY251" s="456">
        <f t="shared" si="731"/>
        <v>0.16417746135635269</v>
      </c>
      <c r="EZ251" s="456"/>
      <c r="FA251" s="538">
        <f t="shared" si="732"/>
        <v>4.6666666666666666E-4</v>
      </c>
      <c r="FB251" s="144">
        <f t="shared" si="733"/>
        <v>178.07952078500173</v>
      </c>
      <c r="FC251" s="150">
        <f t="shared" si="734"/>
        <v>1.2645000537206108</v>
      </c>
      <c r="FD251" s="5">
        <f t="shared" si="735"/>
        <v>2.8</v>
      </c>
      <c r="FE251" s="150">
        <f t="shared" si="736"/>
        <v>0.68889161348070405</v>
      </c>
      <c r="FF251" s="5">
        <f t="shared" si="737"/>
        <v>68.889161348070402</v>
      </c>
      <c r="FG251">
        <f t="shared" si="738"/>
        <v>35</v>
      </c>
      <c r="FI251" s="59">
        <f t="shared" si="689"/>
        <v>-50</v>
      </c>
    </row>
    <row r="252" spans="5:165">
      <c r="E252" s="147">
        <v>36</v>
      </c>
      <c r="F252" s="188">
        <f t="shared" si="773"/>
        <v>0.432</v>
      </c>
      <c r="G252" s="188">
        <f t="shared" si="742"/>
        <v>0.09</v>
      </c>
      <c r="H252" s="188">
        <f t="shared" si="743"/>
        <v>2.16</v>
      </c>
      <c r="I252" s="188">
        <f t="shared" si="744"/>
        <v>0.72</v>
      </c>
      <c r="J252" s="465">
        <f t="shared" si="745"/>
        <v>59.960006871263914</v>
      </c>
      <c r="K252" s="379">
        <f t="shared" si="746"/>
        <v>5.7152127765851137</v>
      </c>
      <c r="L252" s="149">
        <f t="shared" si="747"/>
        <v>65.675219647849033</v>
      </c>
      <c r="M252" s="379"/>
      <c r="N252" s="188">
        <f t="shared" si="748"/>
        <v>8.7022362578003137E-2</v>
      </c>
      <c r="O252" s="149">
        <f t="shared" si="749"/>
        <v>9.7834902339950407</v>
      </c>
      <c r="P252" s="149">
        <f t="shared" si="750"/>
        <v>4.3482178817755734</v>
      </c>
      <c r="Q252" s="188">
        <f t="shared" si="626"/>
        <v>1.9566980467990081</v>
      </c>
      <c r="R252" s="188">
        <f t="shared" si="751"/>
        <v>1.2229362792493801</v>
      </c>
      <c r="S252" s="188">
        <f t="shared" si="752"/>
        <v>5</v>
      </c>
      <c r="T252" s="188">
        <f t="shared" si="753"/>
        <v>1.10390052442357</v>
      </c>
      <c r="U252" s="188">
        <f t="shared" si="630"/>
        <v>0.22092736449353925</v>
      </c>
      <c r="V252" s="188">
        <f t="shared" si="631"/>
        <v>2.3178150684702792</v>
      </c>
      <c r="W252" s="172">
        <f t="shared" si="632"/>
        <v>350</v>
      </c>
      <c r="X252" s="379">
        <f t="shared" si="691"/>
        <v>350</v>
      </c>
      <c r="Z252" s="188">
        <f t="shared" si="633"/>
        <v>1.2423479662215922</v>
      </c>
      <c r="AA252" s="150">
        <f t="shared" si="634"/>
        <v>2.6085075354914191</v>
      </c>
      <c r="AB252" s="150">
        <f t="shared" si="754"/>
        <v>0.42533846664637942</v>
      </c>
      <c r="AC252" s="150"/>
      <c r="AD252" s="150">
        <f t="shared" si="636"/>
        <v>2.0996593598690296</v>
      </c>
      <c r="AE252" s="314">
        <f t="shared" si="755"/>
        <v>411.49531991412823</v>
      </c>
      <c r="AF252" s="456">
        <f t="shared" si="756"/>
        <v>0.36744038797708017</v>
      </c>
      <c r="AH252" s="150">
        <f t="shared" si="757"/>
        <v>1.1710800875382397</v>
      </c>
      <c r="AI252" s="150">
        <f t="shared" si="758"/>
        <v>1.10390052442357</v>
      </c>
      <c r="AJ252" s="150">
        <f t="shared" si="759"/>
        <v>1.2769633514248666</v>
      </c>
      <c r="AL252" s="314">
        <f t="shared" si="760"/>
        <v>432</v>
      </c>
      <c r="AM252" s="144">
        <f t="shared" si="761"/>
        <v>350</v>
      </c>
      <c r="AO252">
        <f t="shared" si="644"/>
        <v>432</v>
      </c>
      <c r="AP252">
        <f t="shared" si="645"/>
        <v>350</v>
      </c>
      <c r="AR252" s="5">
        <f t="shared" si="616"/>
        <v>2.8571428571428572</v>
      </c>
      <c r="AS252" s="5">
        <f t="shared" si="739"/>
        <v>0.22092736449353925</v>
      </c>
      <c r="AT252" s="5">
        <f t="shared" si="740"/>
        <v>2.6362154926493178</v>
      </c>
      <c r="AU252" s="150">
        <f t="shared" si="741"/>
        <v>7.7324577572738737E-2</v>
      </c>
      <c r="BA252" s="150">
        <f t="shared" si="692"/>
        <v>0.17722626721563112</v>
      </c>
      <c r="BB252" s="150">
        <f t="shared" si="693"/>
        <v>0.61220065295867221</v>
      </c>
      <c r="BC252" s="150">
        <f t="shared" si="694"/>
        <v>0.13684485183782086</v>
      </c>
      <c r="BD252" s="150"/>
      <c r="BE252" s="456">
        <f t="shared" si="695"/>
        <v>6.281829958237258E-4</v>
      </c>
      <c r="BF252" s="456">
        <f t="shared" si="762"/>
        <v>0.47577409300898993</v>
      </c>
      <c r="BG252" s="456">
        <f t="shared" si="763"/>
        <v>0.52465006012355919</v>
      </c>
      <c r="BH252" s="456">
        <f t="shared" si="696"/>
        <v>0.15096320665276255</v>
      </c>
      <c r="BI252">
        <f t="shared" si="697"/>
        <v>2.698200309206876E-2</v>
      </c>
      <c r="BJ252" s="144">
        <f t="shared" si="698"/>
        <v>551.63206321562802</v>
      </c>
      <c r="BK252">
        <f t="shared" si="764"/>
        <v>0.62762876960169967</v>
      </c>
      <c r="BL252" s="144">
        <f t="shared" si="699"/>
        <v>1178.997545873204</v>
      </c>
      <c r="BM252" s="150">
        <f t="shared" si="765"/>
        <v>0.26838000000000001</v>
      </c>
      <c r="BN252" s="150">
        <f t="shared" si="766"/>
        <v>3.9937499999999994E-2</v>
      </c>
      <c r="BQ252" s="144">
        <f t="shared" si="700"/>
        <v>308.3175</v>
      </c>
      <c r="BR252" s="456">
        <f t="shared" si="701"/>
        <v>9.4227449373558854E-4</v>
      </c>
      <c r="BS252" s="456">
        <f t="shared" si="702"/>
        <v>1.1243689184490738E-2</v>
      </c>
      <c r="BT252" s="456">
        <f t="shared" si="703"/>
        <v>9.3632567372575721E-5</v>
      </c>
      <c r="BU252" s="456">
        <f t="shared" si="704"/>
        <v>0.14671177260304288</v>
      </c>
      <c r="BV252" s="456"/>
      <c r="BW252" s="538">
        <f t="shared" si="705"/>
        <v>4.2650872873792144E-4</v>
      </c>
      <c r="BX252" s="144">
        <f t="shared" si="706"/>
        <v>159.41787757737973</v>
      </c>
      <c r="BY252" s="150">
        <f t="shared" si="707"/>
        <v>1.6467329234505836</v>
      </c>
      <c r="BZ252" s="5">
        <f t="shared" si="708"/>
        <v>2.88</v>
      </c>
      <c r="CA252" s="150">
        <f t="shared" si="709"/>
        <v>0.63622043727834243</v>
      </c>
      <c r="CB252" s="5">
        <f t="shared" si="710"/>
        <v>63.622043727834246</v>
      </c>
      <c r="CC252">
        <f t="shared" si="711"/>
        <v>36</v>
      </c>
      <c r="CE252" s="59">
        <f t="shared" si="767"/>
        <v>-50</v>
      </c>
      <c r="CG252" s="150">
        <f t="shared" si="768"/>
        <v>0.85191548876634471</v>
      </c>
      <c r="CH252" s="150">
        <f t="shared" si="769"/>
        <v>0.45841621847713993</v>
      </c>
      <c r="CI252" s="147">
        <v>36</v>
      </c>
      <c r="CJ252" s="188">
        <f t="shared" si="712"/>
        <v>0.432</v>
      </c>
      <c r="CK252" s="188">
        <f t="shared" si="654"/>
        <v>0.09</v>
      </c>
      <c r="CL252" s="188">
        <f t="shared" si="655"/>
        <v>2.16</v>
      </c>
      <c r="CM252" s="188">
        <f t="shared" si="656"/>
        <v>0.72</v>
      </c>
      <c r="CN252" s="465">
        <f t="shared" si="657"/>
        <v>60</v>
      </c>
      <c r="CO252" s="379">
        <f t="shared" si="770"/>
        <v>5.7</v>
      </c>
      <c r="CP252" s="379">
        <f t="shared" si="771"/>
        <v>65.7</v>
      </c>
      <c r="CQ252" s="379"/>
      <c r="CR252" s="188">
        <f t="shared" si="660"/>
        <v>8.2568807339449546E-2</v>
      </c>
      <c r="CS252" s="149">
        <f t="shared" si="661"/>
        <v>9.2889908256880744</v>
      </c>
      <c r="CT252" s="149">
        <f t="shared" si="662"/>
        <v>4.1284403669724767</v>
      </c>
      <c r="CU252" s="188">
        <f t="shared" si="663"/>
        <v>1.857798165137615</v>
      </c>
      <c r="CV252" s="188">
        <f t="shared" si="664"/>
        <v>1.1611238532110093</v>
      </c>
      <c r="CW252" s="188">
        <f t="shared" si="665"/>
        <v>5</v>
      </c>
      <c r="CX252" s="188">
        <f t="shared" si="666"/>
        <v>1.1626666666666665</v>
      </c>
      <c r="CY252" s="188">
        <f t="shared" si="667"/>
        <v>0.23253333333333329</v>
      </c>
      <c r="CZ252" s="188">
        <f t="shared" si="668"/>
        <v>2.4477192982456133</v>
      </c>
      <c r="DA252" s="172">
        <f t="shared" si="669"/>
        <v>350</v>
      </c>
      <c r="DB252" s="379">
        <f t="shared" si="670"/>
        <v>350</v>
      </c>
      <c r="DD252" s="188">
        <f t="shared" si="671"/>
        <v>1.2393998695368558</v>
      </c>
      <c r="DE252" s="150">
        <f t="shared" si="672"/>
        <v>2.6092628832354858</v>
      </c>
      <c r="DF252" s="150">
        <f t="shared" si="673"/>
        <v>0.4244520101153616</v>
      </c>
      <c r="DG252" s="150"/>
      <c r="DH252" s="150">
        <f t="shared" si="674"/>
        <v>2.1052631578947367</v>
      </c>
      <c r="DI252" s="314">
        <f t="shared" si="675"/>
        <v>410.40000000000003</v>
      </c>
      <c r="DJ252" s="456">
        <f t="shared" si="676"/>
        <v>0.36842105263157893</v>
      </c>
      <c r="DL252" s="150">
        <f t="shared" si="677"/>
        <v>1.1710800875382397</v>
      </c>
      <c r="DM252" s="150">
        <f t="shared" si="678"/>
        <v>1.1626666666666665</v>
      </c>
      <c r="DN252" s="150">
        <f t="shared" si="679"/>
        <v>1.3204938271604936</v>
      </c>
      <c r="DP252" s="314">
        <f t="shared" si="680"/>
        <v>432</v>
      </c>
      <c r="DQ252" s="144">
        <f t="shared" si="681"/>
        <v>350</v>
      </c>
      <c r="DS252">
        <f t="shared" si="682"/>
        <v>432</v>
      </c>
      <c r="DT252">
        <f t="shared" si="683"/>
        <v>350</v>
      </c>
      <c r="DV252" s="5">
        <f t="shared" si="684"/>
        <v>2.8571428571428572</v>
      </c>
      <c r="DW252" s="5">
        <f t="shared" si="685"/>
        <v>0.23253333333333329</v>
      </c>
      <c r="DX252" s="5">
        <f t="shared" si="686"/>
        <v>2.6246095238095237</v>
      </c>
      <c r="DY252" s="150">
        <f t="shared" si="687"/>
        <v>8.1386666666666649E-2</v>
      </c>
      <c r="EA252" s="5">
        <f t="shared" si="713"/>
        <v>2.0090879999999998</v>
      </c>
      <c r="EB252" s="5">
        <f t="shared" si="714"/>
        <v>0.26159999999999994</v>
      </c>
      <c r="EC252" s="5">
        <f t="shared" si="715"/>
        <v>3.9369142857142853E-2</v>
      </c>
      <c r="ED252" s="5"/>
      <c r="EE252" s="150">
        <f t="shared" si="716"/>
        <v>0.19150107884297851</v>
      </c>
      <c r="EF252" s="150">
        <f t="shared" si="717"/>
        <v>0.64337023767648838</v>
      </c>
      <c r="EG252" s="150">
        <f t="shared" si="718"/>
        <v>0.14381217077474448</v>
      </c>
      <c r="EH252" s="150"/>
      <c r="EI252" s="456">
        <f t="shared" si="719"/>
        <v>7.3345326396049345E-4</v>
      </c>
      <c r="EJ252" s="456">
        <f t="shared" si="720"/>
        <v>0.53471039999999992</v>
      </c>
      <c r="EK252" s="456">
        <f t="shared" si="721"/>
        <v>4.3749999999999997E-2</v>
      </c>
      <c r="EL252" s="456">
        <f t="shared" si="722"/>
        <v>0.15107715000000002</v>
      </c>
      <c r="EM252">
        <f t="shared" si="723"/>
        <v>2.7E-2</v>
      </c>
      <c r="EN252" s="144">
        <f t="shared" si="724"/>
        <v>70.75</v>
      </c>
      <c r="EP252" s="144">
        <f t="shared" si="725"/>
        <v>757.27100326396032</v>
      </c>
      <c r="EQ252" s="150">
        <f t="shared" si="726"/>
        <v>0.3024</v>
      </c>
      <c r="ER252" s="150">
        <f t="shared" si="772"/>
        <v>3.9937499999999994E-2</v>
      </c>
      <c r="ES252" s="456"/>
      <c r="EU252" s="144">
        <f t="shared" si="727"/>
        <v>342.33750000000003</v>
      </c>
      <c r="EV252" s="456">
        <f t="shared" si="728"/>
        <v>1.1001798959407402E-3</v>
      </c>
      <c r="EW252" s="456">
        <f t="shared" si="729"/>
        <v>1.2417757881837034E-2</v>
      </c>
      <c r="EX252" s="456">
        <f t="shared" si="730"/>
        <v>1.0340970231472135E-4</v>
      </c>
      <c r="EY252" s="456">
        <f t="shared" si="731"/>
        <v>0.1670237264905963</v>
      </c>
      <c r="EZ252" s="456"/>
      <c r="FA252" s="538">
        <f t="shared" si="732"/>
        <v>4.7312782222222211E-4</v>
      </c>
      <c r="FB252" s="144">
        <f t="shared" si="733"/>
        <v>181.11820179291101</v>
      </c>
      <c r="FC252" s="150">
        <f t="shared" si="734"/>
        <v>1.2807267050568714</v>
      </c>
      <c r="FD252" s="5">
        <f t="shared" si="735"/>
        <v>2.88</v>
      </c>
      <c r="FE252" s="150">
        <f t="shared" si="736"/>
        <v>0.69218677508900084</v>
      </c>
      <c r="FF252" s="5">
        <f t="shared" si="737"/>
        <v>69.218677508900086</v>
      </c>
      <c r="FG252">
        <f t="shared" si="738"/>
        <v>36</v>
      </c>
      <c r="FI252" s="59">
        <f t="shared" si="689"/>
        <v>-50</v>
      </c>
    </row>
    <row r="253" spans="5:165">
      <c r="E253" s="147">
        <v>37</v>
      </c>
      <c r="F253" s="188">
        <f t="shared" si="773"/>
        <v>0.44400000000000001</v>
      </c>
      <c r="G253" s="188">
        <f t="shared" si="742"/>
        <v>9.2499999999999999E-2</v>
      </c>
      <c r="H253" s="188">
        <f t="shared" si="743"/>
        <v>2.2200000000000002</v>
      </c>
      <c r="I253" s="188">
        <f t="shared" si="744"/>
        <v>0.74</v>
      </c>
      <c r="J253" s="465">
        <f t="shared" si="745"/>
        <v>59.959455215842461</v>
      </c>
      <c r="K253" s="379">
        <f t="shared" si="746"/>
        <v>5.7154226178989544</v>
      </c>
      <c r="L253" s="149">
        <f t="shared" si="747"/>
        <v>65.674877833741419</v>
      </c>
      <c r="M253" s="379"/>
      <c r="N253" s="188">
        <f t="shared" si="748"/>
        <v>8.7026010651558044E-2</v>
      </c>
      <c r="O253" s="149">
        <f t="shared" si="749"/>
        <v>9.7838103530166052</v>
      </c>
      <c r="P253" s="149">
        <f t="shared" si="750"/>
        <v>4.3483601568962689</v>
      </c>
      <c r="Q253" s="188">
        <f t="shared" si="626"/>
        <v>1.9567620706033211</v>
      </c>
      <c r="R253" s="188">
        <f t="shared" si="751"/>
        <v>1.2229762941270756</v>
      </c>
      <c r="S253" s="188">
        <f t="shared" si="752"/>
        <v>5</v>
      </c>
      <c r="T253" s="188">
        <f t="shared" si="753"/>
        <v>1.1345273057728043</v>
      </c>
      <c r="U253" s="188">
        <f t="shared" si="630"/>
        <v>0.22705889538630231</v>
      </c>
      <c r="V253" s="188">
        <f t="shared" si="631"/>
        <v>2.3820334172030853</v>
      </c>
      <c r="W253" s="172">
        <f t="shared" si="632"/>
        <v>350</v>
      </c>
      <c r="X253" s="379">
        <f t="shared" si="691"/>
        <v>350</v>
      </c>
      <c r="Z253" s="188">
        <f t="shared" si="633"/>
        <v>1.2423886162560771</v>
      </c>
      <c r="AA253" s="150">
        <f t="shared" si="634"/>
        <v>2.6084971124241196</v>
      </c>
      <c r="AB253" s="150">
        <f t="shared" si="754"/>
        <v>0.42535068423915035</v>
      </c>
      <c r="AC253" s="150"/>
      <c r="AD253" s="150">
        <f t="shared" si="636"/>
        <v>2.0995822710327094</v>
      </c>
      <c r="AE253" s="314">
        <f t="shared" si="755"/>
        <v>422.94127372452266</v>
      </c>
      <c r="AF253" s="456">
        <f t="shared" si="756"/>
        <v>0.36742689743072415</v>
      </c>
      <c r="AH253" s="150">
        <f t="shared" si="757"/>
        <v>1.1872336794093272</v>
      </c>
      <c r="AI253" s="150">
        <f t="shared" si="758"/>
        <v>1.1345273057728043</v>
      </c>
      <c r="AJ253" s="150">
        <f t="shared" si="759"/>
        <v>1.2996498561280032</v>
      </c>
      <c r="AL253" s="314">
        <f t="shared" si="760"/>
        <v>444</v>
      </c>
      <c r="AM253" s="144">
        <f t="shared" si="761"/>
        <v>350</v>
      </c>
      <c r="AO253">
        <f t="shared" si="644"/>
        <v>444</v>
      </c>
      <c r="AP253">
        <f t="shared" si="645"/>
        <v>350</v>
      </c>
      <c r="AR253" s="5">
        <f t="shared" si="616"/>
        <v>2.8571428571428572</v>
      </c>
      <c r="AS253" s="5">
        <f t="shared" si="739"/>
        <v>0.22705889538630231</v>
      </c>
      <c r="AT253" s="5">
        <f t="shared" si="740"/>
        <v>2.6300839617565548</v>
      </c>
      <c r="AU253" s="150">
        <f t="shared" si="741"/>
        <v>7.9470613385205807E-2</v>
      </c>
      <c r="BA253" s="150">
        <f t="shared" si="692"/>
        <v>0.1846535273186436</v>
      </c>
      <c r="BB253" s="150">
        <f t="shared" si="693"/>
        <v>0.6284535071879348</v>
      </c>
      <c r="BC253" s="150">
        <f t="shared" si="694"/>
        <v>0.14047784278318545</v>
      </c>
      <c r="BD253" s="150"/>
      <c r="BE253" s="456">
        <f t="shared" si="695"/>
        <v>6.8193850302434124E-4</v>
      </c>
      <c r="BF253" s="456">
        <f t="shared" si="762"/>
        <v>0.48897149572472715</v>
      </c>
      <c r="BG253" s="456">
        <f t="shared" si="763"/>
        <v>0.52464523313862144</v>
      </c>
      <c r="BH253" s="456">
        <f t="shared" si="696"/>
        <v>0.15096163524669012</v>
      </c>
      <c r="BI253">
        <f t="shared" si="697"/>
        <v>2.6981754847129107E-2</v>
      </c>
      <c r="BJ253" s="144">
        <f t="shared" si="698"/>
        <v>551.62698798575047</v>
      </c>
      <c r="BK253">
        <f t="shared" si="764"/>
        <v>0.64090303748467081</v>
      </c>
      <c r="BL253" s="144">
        <f t="shared" si="699"/>
        <v>1192.2420574601922</v>
      </c>
      <c r="BM253" s="150">
        <f t="shared" si="765"/>
        <v>0.27583499999999994</v>
      </c>
      <c r="BN253" s="150">
        <f t="shared" si="766"/>
        <v>4.1046874999999997E-2</v>
      </c>
      <c r="BQ253" s="144">
        <f t="shared" si="700"/>
        <v>316.88187499999992</v>
      </c>
      <c r="BR253" s="456">
        <f t="shared" si="701"/>
        <v>1.0229077545365118E-3</v>
      </c>
      <c r="BS253" s="456">
        <f t="shared" si="702"/>
        <v>1.1848614320904468E-2</v>
      </c>
      <c r="BT253" s="456">
        <f t="shared" si="703"/>
        <v>9.8670121565086843E-5</v>
      </c>
      <c r="BU253" s="456">
        <f t="shared" si="704"/>
        <v>0.15710047478244132</v>
      </c>
      <c r="BV253" s="456"/>
      <c r="BW253" s="538">
        <f t="shared" si="705"/>
        <v>4.5050327264043431E-4</v>
      </c>
      <c r="BX253" s="144">
        <f t="shared" si="706"/>
        <v>170.52117025208781</v>
      </c>
      <c r="BY253" s="150">
        <f t="shared" si="707"/>
        <v>1.6796451027122801</v>
      </c>
      <c r="BZ253" s="5">
        <f t="shared" si="708"/>
        <v>2.96</v>
      </c>
      <c r="CA253" s="150">
        <f t="shared" si="709"/>
        <v>0.63797983131718838</v>
      </c>
      <c r="CB253" s="5">
        <f t="shared" si="710"/>
        <v>63.797983131718837</v>
      </c>
      <c r="CC253">
        <f t="shared" si="711"/>
        <v>37</v>
      </c>
      <c r="CE253" s="59">
        <f t="shared" si="767"/>
        <v>-50</v>
      </c>
      <c r="CG253" s="150">
        <f t="shared" si="768"/>
        <v>0.863666602341436</v>
      </c>
      <c r="CH253" s="150">
        <f t="shared" si="769"/>
        <v>0.46473949950562482</v>
      </c>
      <c r="CI253" s="147">
        <v>37</v>
      </c>
      <c r="CJ253" s="188">
        <f t="shared" si="712"/>
        <v>0.44400000000000001</v>
      </c>
      <c r="CK253" s="188">
        <f t="shared" si="654"/>
        <v>9.2499999999999999E-2</v>
      </c>
      <c r="CL253" s="188">
        <f t="shared" si="655"/>
        <v>2.2200000000000002</v>
      </c>
      <c r="CM253" s="188">
        <f t="shared" si="656"/>
        <v>0.74</v>
      </c>
      <c r="CN253" s="465">
        <f t="shared" si="657"/>
        <v>60</v>
      </c>
      <c r="CO253" s="379">
        <f t="shared" si="770"/>
        <v>5.7</v>
      </c>
      <c r="CP253" s="379">
        <f t="shared" si="771"/>
        <v>65.7</v>
      </c>
      <c r="CQ253" s="379"/>
      <c r="CR253" s="188">
        <f t="shared" si="660"/>
        <v>8.2568807339449546E-2</v>
      </c>
      <c r="CS253" s="149">
        <f t="shared" si="661"/>
        <v>9.2889908256880744</v>
      </c>
      <c r="CT253" s="149">
        <f t="shared" si="662"/>
        <v>4.1284403669724767</v>
      </c>
      <c r="CU253" s="188">
        <f t="shared" si="663"/>
        <v>1.857798165137615</v>
      </c>
      <c r="CV253" s="188">
        <f t="shared" si="664"/>
        <v>1.1611238532110093</v>
      </c>
      <c r="CW253" s="188">
        <f t="shared" si="665"/>
        <v>5</v>
      </c>
      <c r="CX253" s="188">
        <f t="shared" si="666"/>
        <v>1.1949629629629628</v>
      </c>
      <c r="CY253" s="188">
        <f t="shared" si="667"/>
        <v>0.23899259259259253</v>
      </c>
      <c r="CZ253" s="188">
        <f t="shared" si="668"/>
        <v>2.5157115009746587</v>
      </c>
      <c r="DA253" s="172">
        <f t="shared" si="669"/>
        <v>350</v>
      </c>
      <c r="DB253" s="379">
        <f t="shared" si="670"/>
        <v>350</v>
      </c>
      <c r="DD253" s="188">
        <f t="shared" si="671"/>
        <v>1.2393998695368558</v>
      </c>
      <c r="DE253" s="150">
        <f t="shared" si="672"/>
        <v>2.6092628832354858</v>
      </c>
      <c r="DF253" s="150">
        <f t="shared" si="673"/>
        <v>0.4244520101153616</v>
      </c>
      <c r="DG253" s="150"/>
      <c r="DH253" s="150">
        <f t="shared" si="674"/>
        <v>2.1052631578947367</v>
      </c>
      <c r="DI253" s="314">
        <f t="shared" si="675"/>
        <v>421.8</v>
      </c>
      <c r="DJ253" s="456">
        <f t="shared" si="676"/>
        <v>0.36842105263157893</v>
      </c>
      <c r="DL253" s="150">
        <f t="shared" si="677"/>
        <v>1.1872336794093272</v>
      </c>
      <c r="DM253" s="150">
        <f t="shared" si="678"/>
        <v>1.1949629629629628</v>
      </c>
      <c r="DN253" s="150">
        <f t="shared" si="679"/>
        <v>1.3444170096021946</v>
      </c>
      <c r="DP253" s="314">
        <f t="shared" si="680"/>
        <v>444</v>
      </c>
      <c r="DQ253" s="144">
        <f t="shared" si="681"/>
        <v>350</v>
      </c>
      <c r="DS253">
        <f t="shared" si="682"/>
        <v>444</v>
      </c>
      <c r="DT253">
        <f t="shared" si="683"/>
        <v>350</v>
      </c>
      <c r="DV253" s="5">
        <f t="shared" si="684"/>
        <v>2.8571428571428572</v>
      </c>
      <c r="DW253" s="5">
        <f t="shared" si="685"/>
        <v>0.23899259259259253</v>
      </c>
      <c r="DX253" s="5">
        <f t="shared" si="686"/>
        <v>2.6181502645502648</v>
      </c>
      <c r="DY253" s="150">
        <f t="shared" si="687"/>
        <v>8.3647407407407379E-2</v>
      </c>
      <c r="EA253" s="5">
        <f t="shared" si="713"/>
        <v>2.1222542222222218</v>
      </c>
      <c r="EB253" s="5">
        <f t="shared" si="714"/>
        <v>0.27633518518518513</v>
      </c>
      <c r="EC253" s="5">
        <f t="shared" si="715"/>
        <v>4.0363149911816582E-2</v>
      </c>
      <c r="ED253" s="5"/>
      <c r="EE253" s="150">
        <f t="shared" si="716"/>
        <v>0.19953544775563392</v>
      </c>
      <c r="EF253" s="150">
        <f t="shared" si="717"/>
        <v>0.66042746210821646</v>
      </c>
      <c r="EG253" s="150">
        <f t="shared" si="718"/>
        <v>0.14762496211830722</v>
      </c>
      <c r="EH253" s="150"/>
      <c r="EI253" s="456">
        <f t="shared" si="719"/>
        <v>7.9628789822082629E-4</v>
      </c>
      <c r="EJ253" s="456">
        <f t="shared" si="720"/>
        <v>0.54956346666666656</v>
      </c>
      <c r="EK253" s="456">
        <f t="shared" si="721"/>
        <v>4.3749999999999997E-2</v>
      </c>
      <c r="EL253" s="456">
        <f t="shared" si="722"/>
        <v>0.15107715000000002</v>
      </c>
      <c r="EM253">
        <f t="shared" si="723"/>
        <v>2.7E-2</v>
      </c>
      <c r="EN253" s="144">
        <f t="shared" si="724"/>
        <v>70.75</v>
      </c>
      <c r="EP253" s="144">
        <f t="shared" si="725"/>
        <v>772.18690456488741</v>
      </c>
      <c r="EQ253" s="150">
        <f t="shared" si="726"/>
        <v>0.31079999999999997</v>
      </c>
      <c r="ER253" s="150">
        <f t="shared" si="772"/>
        <v>4.1046874999999997E-2</v>
      </c>
      <c r="ES253" s="456"/>
      <c r="EU253" s="144">
        <f t="shared" si="727"/>
        <v>351.84687499999995</v>
      </c>
      <c r="EV253" s="456">
        <f t="shared" si="728"/>
        <v>1.1944318473312394E-3</v>
      </c>
      <c r="EW253" s="456">
        <f t="shared" si="729"/>
        <v>1.3084932981200991E-2</v>
      </c>
      <c r="EX253" s="456">
        <f t="shared" si="730"/>
        <v>1.0896564720215822E-4</v>
      </c>
      <c r="EY253" s="456">
        <f t="shared" si="731"/>
        <v>0.17886535437431675</v>
      </c>
      <c r="EZ253" s="456"/>
      <c r="FA253" s="538">
        <f t="shared" si="732"/>
        <v>4.9977776899862809E-4</v>
      </c>
      <c r="FB253" s="144">
        <f t="shared" si="733"/>
        <v>193.75346261904977</v>
      </c>
      <c r="FC253" s="150">
        <f t="shared" si="734"/>
        <v>1.3177872421839372</v>
      </c>
      <c r="FD253" s="5">
        <f t="shared" si="735"/>
        <v>2.96</v>
      </c>
      <c r="FE253" s="150">
        <f t="shared" si="736"/>
        <v>0.69194652104503274</v>
      </c>
      <c r="FF253" s="5">
        <f t="shared" si="737"/>
        <v>69.194652104503277</v>
      </c>
      <c r="FG253">
        <f t="shared" si="738"/>
        <v>37</v>
      </c>
      <c r="FI253" s="59">
        <f t="shared" si="689"/>
        <v>-50</v>
      </c>
    </row>
    <row r="254" spans="5:165">
      <c r="E254" s="147">
        <v>38</v>
      </c>
      <c r="F254" s="188">
        <f t="shared" si="773"/>
        <v>0.45599999999999996</v>
      </c>
      <c r="G254" s="188">
        <f t="shared" si="742"/>
        <v>9.5000000000000001E-2</v>
      </c>
      <c r="H254" s="188">
        <f t="shared" si="743"/>
        <v>2.2799999999999998</v>
      </c>
      <c r="I254" s="188">
        <f t="shared" si="744"/>
        <v>0.76</v>
      </c>
      <c r="J254" s="465">
        <f t="shared" si="745"/>
        <v>59.958910966199454</v>
      </c>
      <c r="K254" s="379">
        <f t="shared" si="746"/>
        <v>5.7156296421675519</v>
      </c>
      <c r="L254" s="149">
        <f t="shared" si="747"/>
        <v>65.67454060836701</v>
      </c>
      <c r="M254" s="379"/>
      <c r="N254" s="188">
        <f t="shared" si="748"/>
        <v>8.7029609788231613E-2</v>
      </c>
      <c r="O254" s="149">
        <f t="shared" si="749"/>
        <v>9.7841261713418621</v>
      </c>
      <c r="P254" s="149">
        <f t="shared" si="750"/>
        <v>4.3485005205963834</v>
      </c>
      <c r="Q254" s="188">
        <f t="shared" si="626"/>
        <v>1.9568252342683725</v>
      </c>
      <c r="R254" s="188">
        <f t="shared" si="751"/>
        <v>1.2230157714177328</v>
      </c>
      <c r="S254" s="188">
        <f t="shared" si="752"/>
        <v>5</v>
      </c>
      <c r="T254" s="188">
        <f t="shared" si="753"/>
        <v>1.1651525951690098</v>
      </c>
      <c r="U254" s="188">
        <f t="shared" si="630"/>
        <v>0.23319021170864954</v>
      </c>
      <c r="V254" s="188">
        <f t="shared" si="631"/>
        <v>2.446245123875058</v>
      </c>
      <c r="W254" s="172">
        <f t="shared" si="632"/>
        <v>350</v>
      </c>
      <c r="X254" s="379">
        <f t="shared" si="691"/>
        <v>347.29031336183277</v>
      </c>
      <c r="Z254" s="188">
        <f t="shared" si="633"/>
        <v>1.2424287201703952</v>
      </c>
      <c r="AA254" s="150">
        <f t="shared" si="634"/>
        <v>2.6084868291764809</v>
      </c>
      <c r="AB254" s="150">
        <f t="shared" si="754"/>
        <v>0.4253627375491027</v>
      </c>
      <c r="AC254" s="150"/>
      <c r="AD254" s="150">
        <f t="shared" si="636"/>
        <v>2.0995062226336296</v>
      </c>
      <c r="AE254" s="314">
        <f t="shared" si="755"/>
        <v>434.38785280473377</v>
      </c>
      <c r="AF254" s="456">
        <f t="shared" si="756"/>
        <v>0.36741358896088516</v>
      </c>
      <c r="AH254" s="150">
        <f t="shared" si="757"/>
        <v>1.2031704150364766</v>
      </c>
      <c r="AI254" s="150">
        <f t="shared" si="758"/>
        <v>1.1651525951690098</v>
      </c>
      <c r="AJ254" s="150">
        <f t="shared" si="759"/>
        <v>1.3223352556807479</v>
      </c>
      <c r="AL254" s="314">
        <f t="shared" si="760"/>
        <v>455.99999999999994</v>
      </c>
      <c r="AM254" s="144">
        <f t="shared" si="761"/>
        <v>347.29031336183277</v>
      </c>
      <c r="AO254">
        <f t="shared" si="644"/>
        <v>455.99999999999994</v>
      </c>
      <c r="AP254">
        <f t="shared" si="645"/>
        <v>347.29031336183277</v>
      </c>
      <c r="AR254" s="5">
        <f t="shared" si="616"/>
        <v>2.8794353355837079</v>
      </c>
      <c r="AS254" s="5">
        <f t="shared" si="739"/>
        <v>0.23319021170864954</v>
      </c>
      <c r="AT254" s="5">
        <f t="shared" si="740"/>
        <v>2.6462451238750582</v>
      </c>
      <c r="AU254" s="150">
        <f t="shared" si="741"/>
        <v>8.0984701697209019E-2</v>
      </c>
      <c r="BA254" s="150">
        <f t="shared" si="692"/>
        <v>0.19143602716811334</v>
      </c>
      <c r="BB254" s="150">
        <f t="shared" si="693"/>
        <v>0.64488689254663012</v>
      </c>
      <c r="BC254" s="150">
        <f t="shared" si="694"/>
        <v>0.14415118774571734</v>
      </c>
      <c r="BD254" s="150"/>
      <c r="BE254" s="456">
        <f t="shared" si="695"/>
        <v>7.3295504995821257E-4</v>
      </c>
      <c r="BF254" s="456">
        <f t="shared" si="762"/>
        <v>0.49828038644028533</v>
      </c>
      <c r="BG254" s="456">
        <f t="shared" si="763"/>
        <v>0.52057872445714104</v>
      </c>
      <c r="BH254" s="456">
        <f t="shared" si="696"/>
        <v>0.14979135772971625</v>
      </c>
      <c r="BI254">
        <f t="shared" si="697"/>
        <v>2.6981509934789753E-2</v>
      </c>
      <c r="BJ254" s="144">
        <f t="shared" si="698"/>
        <v>547.56023439193075</v>
      </c>
      <c r="BK254">
        <f t="shared" si="764"/>
        <v>0.64911564065007732</v>
      </c>
      <c r="BL254" s="144">
        <f t="shared" si="699"/>
        <v>1196.3649336118906</v>
      </c>
      <c r="BM254" s="150">
        <f t="shared" si="765"/>
        <v>0.28328999999999993</v>
      </c>
      <c r="BN254" s="150">
        <f t="shared" si="766"/>
        <v>4.2156249999999999E-2</v>
      </c>
      <c r="BQ254" s="144">
        <f t="shared" si="700"/>
        <v>325.44624999999996</v>
      </c>
      <c r="BR254" s="456">
        <f t="shared" si="701"/>
        <v>1.0994325749373189E-3</v>
      </c>
      <c r="BS254" s="456">
        <f t="shared" si="702"/>
        <v>1.2476373125353466E-2</v>
      </c>
      <c r="BT254" s="456">
        <f t="shared" si="703"/>
        <v>1.0389782464250524E-4</v>
      </c>
      <c r="BU254" s="456">
        <f t="shared" si="704"/>
        <v>0.16468676426019307</v>
      </c>
      <c r="BV254" s="456"/>
      <c r="BW254" s="538">
        <f t="shared" si="705"/>
        <v>4.7147458157933422E-4</v>
      </c>
      <c r="BX254" s="144">
        <f t="shared" si="706"/>
        <v>178.8379423667057</v>
      </c>
      <c r="BY254" s="150">
        <f t="shared" si="707"/>
        <v>1.7006491259785961</v>
      </c>
      <c r="BZ254" s="5">
        <f t="shared" si="708"/>
        <v>3.04</v>
      </c>
      <c r="CA254" s="150">
        <f t="shared" si="709"/>
        <v>0.64126239238860849</v>
      </c>
      <c r="CB254" s="5">
        <f t="shared" si="710"/>
        <v>64.126239238860848</v>
      </c>
      <c r="CC254">
        <f t="shared" si="711"/>
        <v>38</v>
      </c>
      <c r="CE254" s="59">
        <f t="shared" si="767"/>
        <v>-50</v>
      </c>
      <c r="CG254" s="150">
        <f t="shared" si="768"/>
        <v>0.87525996138290252</v>
      </c>
      <c r="CH254" s="150">
        <f t="shared" si="769"/>
        <v>0.47097789272809443</v>
      </c>
      <c r="CI254" s="147">
        <v>38</v>
      </c>
      <c r="CJ254" s="188">
        <f t="shared" si="712"/>
        <v>0.45599999999999996</v>
      </c>
      <c r="CK254" s="188">
        <f t="shared" si="654"/>
        <v>9.5000000000000001E-2</v>
      </c>
      <c r="CL254" s="188">
        <f t="shared" si="655"/>
        <v>2.2799999999999998</v>
      </c>
      <c r="CM254" s="188">
        <f t="shared" si="656"/>
        <v>0.76</v>
      </c>
      <c r="CN254" s="465">
        <f t="shared" si="657"/>
        <v>60</v>
      </c>
      <c r="CO254" s="379">
        <f t="shared" si="770"/>
        <v>5.7</v>
      </c>
      <c r="CP254" s="379">
        <f t="shared" si="771"/>
        <v>65.7</v>
      </c>
      <c r="CQ254" s="379"/>
      <c r="CR254" s="188">
        <f t="shared" si="660"/>
        <v>8.2568807339449546E-2</v>
      </c>
      <c r="CS254" s="149">
        <f t="shared" si="661"/>
        <v>9.2889908256880744</v>
      </c>
      <c r="CT254" s="149">
        <f t="shared" si="662"/>
        <v>4.1284403669724767</v>
      </c>
      <c r="CU254" s="188">
        <f t="shared" si="663"/>
        <v>1.857798165137615</v>
      </c>
      <c r="CV254" s="188">
        <f t="shared" si="664"/>
        <v>1.1611238532110093</v>
      </c>
      <c r="CW254" s="188">
        <f t="shared" si="665"/>
        <v>5</v>
      </c>
      <c r="CX254" s="188">
        <f t="shared" si="666"/>
        <v>1.227259259259259</v>
      </c>
      <c r="CY254" s="188">
        <f t="shared" si="667"/>
        <v>0.24545185185185184</v>
      </c>
      <c r="CZ254" s="188">
        <f t="shared" si="668"/>
        <v>2.5837037037037032</v>
      </c>
      <c r="DA254" s="172">
        <f t="shared" si="669"/>
        <v>350</v>
      </c>
      <c r="DB254" s="379">
        <f t="shared" si="670"/>
        <v>350</v>
      </c>
      <c r="DD254" s="188">
        <f t="shared" si="671"/>
        <v>1.2393998695368558</v>
      </c>
      <c r="DE254" s="150">
        <f t="shared" si="672"/>
        <v>2.6092628832354858</v>
      </c>
      <c r="DF254" s="150">
        <f t="shared" si="673"/>
        <v>0.4244520101153616</v>
      </c>
      <c r="DG254" s="150"/>
      <c r="DH254" s="150">
        <f t="shared" si="674"/>
        <v>2.1052631578947367</v>
      </c>
      <c r="DI254" s="314">
        <f t="shared" si="675"/>
        <v>433.2</v>
      </c>
      <c r="DJ254" s="456">
        <f t="shared" si="676"/>
        <v>0.36842105263157893</v>
      </c>
      <c r="DL254" s="150">
        <f t="shared" si="677"/>
        <v>1.2031704150364766</v>
      </c>
      <c r="DM254" s="150">
        <f t="shared" si="678"/>
        <v>1.227259259259259</v>
      </c>
      <c r="DN254" s="150">
        <f t="shared" si="679"/>
        <v>1.3683401920438956</v>
      </c>
      <c r="DP254" s="314">
        <f t="shared" si="680"/>
        <v>455.99999999999994</v>
      </c>
      <c r="DQ254" s="144">
        <f t="shared" si="681"/>
        <v>350</v>
      </c>
      <c r="DS254">
        <f t="shared" si="682"/>
        <v>455.99999999999994</v>
      </c>
      <c r="DT254">
        <f t="shared" si="683"/>
        <v>350</v>
      </c>
      <c r="DV254" s="5">
        <f t="shared" si="684"/>
        <v>2.8571428571428572</v>
      </c>
      <c r="DW254" s="5">
        <f t="shared" si="685"/>
        <v>0.24545185185185184</v>
      </c>
      <c r="DX254" s="5">
        <f t="shared" si="686"/>
        <v>2.6116910052910054</v>
      </c>
      <c r="DY254" s="150">
        <f t="shared" si="687"/>
        <v>8.5908148148148136E-2</v>
      </c>
      <c r="EA254" s="5">
        <f t="shared" si="713"/>
        <v>2.2385208888888886</v>
      </c>
      <c r="EB254" s="5">
        <f t="shared" si="714"/>
        <v>0.29147407407407411</v>
      </c>
      <c r="EC254" s="5">
        <f t="shared" si="715"/>
        <v>4.1351774250440912E-2</v>
      </c>
      <c r="ED254" s="5"/>
      <c r="EE254" s="150">
        <f t="shared" si="716"/>
        <v>0.20767913618576977</v>
      </c>
      <c r="EF254" s="150">
        <f t="shared" si="717"/>
        <v>0.67743964518791466</v>
      </c>
      <c r="EG254" s="150">
        <f t="shared" si="718"/>
        <v>0.15142768539494561</v>
      </c>
      <c r="EH254" s="150"/>
      <c r="EI254" s="456">
        <f t="shared" si="719"/>
        <v>8.6261247213735017E-4</v>
      </c>
      <c r="EJ254" s="456">
        <f t="shared" si="720"/>
        <v>0.56441653333333319</v>
      </c>
      <c r="EK254" s="456">
        <f t="shared" si="721"/>
        <v>4.3749999999999997E-2</v>
      </c>
      <c r="EL254" s="456">
        <f t="shared" si="722"/>
        <v>0.15107715000000002</v>
      </c>
      <c r="EM254">
        <f t="shared" si="723"/>
        <v>2.7E-2</v>
      </c>
      <c r="EN254" s="144">
        <f t="shared" si="724"/>
        <v>70.75</v>
      </c>
      <c r="EP254" s="144">
        <f t="shared" si="725"/>
        <v>787.10629580547049</v>
      </c>
      <c r="EQ254" s="150">
        <f t="shared" si="726"/>
        <v>0.31919999999999993</v>
      </c>
      <c r="ER254" s="150">
        <f t="shared" si="772"/>
        <v>4.2156249999999999E-2</v>
      </c>
      <c r="ES254" s="456"/>
      <c r="EU254" s="144">
        <f t="shared" si="727"/>
        <v>361.35624999999993</v>
      </c>
      <c r="EV254" s="456">
        <f t="shared" si="728"/>
        <v>1.2939187082060251E-3</v>
      </c>
      <c r="EW254" s="456">
        <f t="shared" si="729"/>
        <v>1.3767734186169832E-2</v>
      </c>
      <c r="EX254" s="456">
        <f t="shared" si="730"/>
        <v>1.1465171952035311E-4</v>
      </c>
      <c r="EY254" s="456">
        <f t="shared" si="731"/>
        <v>0.19119692737902047</v>
      </c>
      <c r="EZ254" s="456"/>
      <c r="FA254" s="538">
        <f t="shared" si="732"/>
        <v>5.2715785130315492E-4</v>
      </c>
      <c r="FB254" s="144">
        <f t="shared" si="733"/>
        <v>206.90038984421986</v>
      </c>
      <c r="FC254" s="150">
        <f t="shared" si="734"/>
        <v>1.3553629356496897</v>
      </c>
      <c r="FD254" s="5">
        <f t="shared" si="735"/>
        <v>3.04</v>
      </c>
      <c r="FE254" s="150">
        <f t="shared" si="736"/>
        <v>0.69163799315485874</v>
      </c>
      <c r="FF254" s="5">
        <f t="shared" si="737"/>
        <v>69.163799315485875</v>
      </c>
      <c r="FG254">
        <f t="shared" si="738"/>
        <v>38</v>
      </c>
      <c r="FI254" s="59">
        <f t="shared" si="689"/>
        <v>-50</v>
      </c>
    </row>
    <row r="255" spans="5:165">
      <c r="E255" s="147">
        <v>39</v>
      </c>
      <c r="F255" s="188">
        <f t="shared" si="773"/>
        <v>0.46799999999999997</v>
      </c>
      <c r="G255" s="188">
        <f t="shared" si="742"/>
        <v>9.7500000000000003E-2</v>
      </c>
      <c r="H255" s="188">
        <f t="shared" si="743"/>
        <v>2.34</v>
      </c>
      <c r="I255" s="188">
        <f t="shared" si="744"/>
        <v>0.78</v>
      </c>
      <c r="J255" s="465">
        <f t="shared" si="745"/>
        <v>59.958036725001058</v>
      </c>
      <c r="K255" s="379">
        <f t="shared" si="746"/>
        <v>5.7159621901940012</v>
      </c>
      <c r="L255" s="149">
        <f t="shared" si="747"/>
        <v>65.673998915195057</v>
      </c>
      <c r="M255" s="379"/>
      <c r="N255" s="188">
        <f t="shared" si="748"/>
        <v>8.7035391244791302E-2</v>
      </c>
      <c r="O255" s="149">
        <f t="shared" si="749"/>
        <v>9.7846334711813103</v>
      </c>
      <c r="P255" s="149">
        <f t="shared" si="750"/>
        <v>4.3487259871916937</v>
      </c>
      <c r="Q255" s="188">
        <f t="shared" si="626"/>
        <v>1.956926694236262</v>
      </c>
      <c r="R255" s="188">
        <f t="shared" si="751"/>
        <v>1.2230791838976638</v>
      </c>
      <c r="S255" s="188">
        <f t="shared" si="752"/>
        <v>5</v>
      </c>
      <c r="T255" s="188">
        <f t="shared" si="753"/>
        <v>1.1957525066687495</v>
      </c>
      <c r="U255" s="188">
        <f t="shared" si="630"/>
        <v>0.23931787736541735</v>
      </c>
      <c r="V255" s="188">
        <f t="shared" si="631"/>
        <v>2.5103437711049637</v>
      </c>
      <c r="W255" s="172">
        <f t="shared" si="632"/>
        <v>350</v>
      </c>
      <c r="X255" s="379">
        <f t="shared" si="691"/>
        <v>339.02193511536296</v>
      </c>
      <c r="Z255" s="188">
        <f t="shared" si="633"/>
        <v>1.2424931391976266</v>
      </c>
      <c r="AA255" s="150">
        <f t="shared" si="634"/>
        <v>2.6084703107291678</v>
      </c>
      <c r="AB255" s="150">
        <f t="shared" si="754"/>
        <v>0.42538209851572206</v>
      </c>
      <c r="AC255" s="150"/>
      <c r="AD255" s="150">
        <f t="shared" si="636"/>
        <v>2.0993840758055673</v>
      </c>
      <c r="AE255" s="314">
        <f t="shared" si="755"/>
        <v>445.8450508351321</v>
      </c>
      <c r="AF255" s="456">
        <f t="shared" si="756"/>
        <v>0.36739221326597427</v>
      </c>
      <c r="AH255" s="150">
        <f t="shared" si="757"/>
        <v>1.218898800440088</v>
      </c>
      <c r="AI255" s="150">
        <f t="shared" si="758"/>
        <v>1.1957525066687495</v>
      </c>
      <c r="AJ255" s="150">
        <f t="shared" si="759"/>
        <v>1.3450018567916664</v>
      </c>
      <c r="AL255" s="314">
        <f t="shared" si="760"/>
        <v>468</v>
      </c>
      <c r="AM255" s="144">
        <f t="shared" si="761"/>
        <v>339.02193511536296</v>
      </c>
      <c r="AO255">
        <f t="shared" si="644"/>
        <v>468</v>
      </c>
      <c r="AP255">
        <f t="shared" si="645"/>
        <v>339.02193511536296</v>
      </c>
      <c r="AR255" s="5">
        <f t="shared" si="616"/>
        <v>2.9496616484703808</v>
      </c>
      <c r="AS255" s="5">
        <f t="shared" si="739"/>
        <v>0.23931787736541735</v>
      </c>
      <c r="AT255" s="5">
        <f t="shared" si="740"/>
        <v>2.7103437711049634</v>
      </c>
      <c r="AU255" s="150">
        <f t="shared" si="741"/>
        <v>8.1134009892124909E-2</v>
      </c>
      <c r="BA255" s="150">
        <f t="shared" si="692"/>
        <v>0.19664465345832655</v>
      </c>
      <c r="BB255" s="150">
        <f t="shared" si="693"/>
        <v>0.66176952130968825</v>
      </c>
      <c r="BC255" s="150">
        <f t="shared" si="694"/>
        <v>0.14792495182216561</v>
      </c>
      <c r="BD255" s="150"/>
      <c r="BE255" s="456">
        <f t="shared" si="695"/>
        <v>7.7338239467490677E-4</v>
      </c>
      <c r="BF255" s="456">
        <f t="shared" si="762"/>
        <v>0.49918764962327627</v>
      </c>
      <c r="BG255" s="456">
        <f t="shared" si="763"/>
        <v>0.50817724090569638</v>
      </c>
      <c r="BH255" s="456">
        <f t="shared" si="696"/>
        <v>0.14622267390396088</v>
      </c>
      <c r="BI255">
        <f t="shared" si="697"/>
        <v>2.6981116526250477E-2</v>
      </c>
      <c r="BJ255" s="144">
        <f t="shared" si="698"/>
        <v>535.1583574319468</v>
      </c>
      <c r="BK255">
        <f t="shared" si="764"/>
        <v>0.64651131928069028</v>
      </c>
      <c r="BL255" s="144">
        <f t="shared" si="699"/>
        <v>1181.342063353859</v>
      </c>
      <c r="BM255" s="150">
        <f t="shared" si="765"/>
        <v>0.29074499999999992</v>
      </c>
      <c r="BN255" s="150">
        <f t="shared" si="766"/>
        <v>4.3265625000000002E-2</v>
      </c>
      <c r="BQ255" s="144">
        <f t="shared" si="700"/>
        <v>334.01062499999989</v>
      </c>
      <c r="BR255" s="456">
        <f t="shared" si="701"/>
        <v>1.1600735920123601E-3</v>
      </c>
      <c r="BS255" s="456">
        <f t="shared" si="702"/>
        <v>1.3138166980033616E-2</v>
      </c>
      <c r="BT255" s="456">
        <f t="shared" si="703"/>
        <v>1.0940895685795009E-4</v>
      </c>
      <c r="BU255" s="456">
        <f t="shared" si="704"/>
        <v>0.16544084911920315</v>
      </c>
      <c r="BV255" s="456"/>
      <c r="BW255" s="538">
        <f t="shared" si="705"/>
        <v>4.8474171874800221E-4</v>
      </c>
      <c r="BX255" s="144">
        <f t="shared" si="706"/>
        <v>180.33324036685505</v>
      </c>
      <c r="BY255" s="150">
        <f t="shared" si="707"/>
        <v>1.6956859287207138</v>
      </c>
      <c r="BZ255" s="5">
        <f t="shared" si="708"/>
        <v>3.12</v>
      </c>
      <c r="CA255" s="150">
        <f t="shared" si="709"/>
        <v>0.64788278267740507</v>
      </c>
      <c r="CB255" s="5">
        <f t="shared" si="710"/>
        <v>64.788278267740509</v>
      </c>
      <c r="CC255">
        <f t="shared" si="711"/>
        <v>39</v>
      </c>
      <c r="CE255" s="59">
        <f t="shared" si="767"/>
        <v>-50</v>
      </c>
      <c r="CG255" s="150">
        <f t="shared" si="768"/>
        <v>0.87957854338036034</v>
      </c>
      <c r="CH255" s="150">
        <f t="shared" si="769"/>
        <v>0.47330172420499939</v>
      </c>
      <c r="CI255" s="147">
        <v>39</v>
      </c>
      <c r="CJ255" s="188">
        <f t="shared" si="712"/>
        <v>0.46799999999999997</v>
      </c>
      <c r="CK255" s="188">
        <f t="shared" si="654"/>
        <v>9.7500000000000003E-2</v>
      </c>
      <c r="CL255" s="188">
        <f t="shared" si="655"/>
        <v>2.34</v>
      </c>
      <c r="CM255" s="188">
        <f t="shared" si="656"/>
        <v>0.78</v>
      </c>
      <c r="CN255" s="465">
        <f t="shared" si="657"/>
        <v>60</v>
      </c>
      <c r="CO255" s="379">
        <f t="shared" si="770"/>
        <v>5.7</v>
      </c>
      <c r="CP255" s="379">
        <f t="shared" si="771"/>
        <v>65.7</v>
      </c>
      <c r="CQ255" s="379"/>
      <c r="CR255" s="188">
        <f t="shared" si="660"/>
        <v>8.2568807339449546E-2</v>
      </c>
      <c r="CS255" s="149">
        <f t="shared" si="661"/>
        <v>9.2889908256880744</v>
      </c>
      <c r="CT255" s="149">
        <f t="shared" si="662"/>
        <v>4.1284403669724767</v>
      </c>
      <c r="CU255" s="188">
        <f t="shared" si="663"/>
        <v>1.857798165137615</v>
      </c>
      <c r="CV255" s="188">
        <f t="shared" si="664"/>
        <v>1.1611238532110093</v>
      </c>
      <c r="CW255" s="188">
        <f t="shared" si="665"/>
        <v>5</v>
      </c>
      <c r="CX255" s="188">
        <f t="shared" si="666"/>
        <v>1.2595555555555555</v>
      </c>
      <c r="CY255" s="188">
        <f t="shared" si="667"/>
        <v>0.25191111111111114</v>
      </c>
      <c r="CZ255" s="188">
        <f t="shared" si="668"/>
        <v>2.6516959064327486</v>
      </c>
      <c r="DA255" s="172">
        <f t="shared" si="669"/>
        <v>350</v>
      </c>
      <c r="DB255" s="379">
        <f t="shared" si="670"/>
        <v>344.39922274533308</v>
      </c>
      <c r="DD255" s="188">
        <f t="shared" si="671"/>
        <v>1.2393998695368558</v>
      </c>
      <c r="DE255" s="150">
        <f t="shared" si="672"/>
        <v>2.6092628832354858</v>
      </c>
      <c r="DF255" s="150">
        <f t="shared" si="673"/>
        <v>0.4244520101153616</v>
      </c>
      <c r="DG255" s="150"/>
      <c r="DH255" s="150">
        <f t="shared" si="674"/>
        <v>2.1052631578947367</v>
      </c>
      <c r="DI255" s="314">
        <f t="shared" si="675"/>
        <v>444.60000000000008</v>
      </c>
      <c r="DJ255" s="456">
        <f t="shared" si="676"/>
        <v>0.36842105263157893</v>
      </c>
      <c r="DL255" s="150">
        <f t="shared" si="677"/>
        <v>1.218898800440088</v>
      </c>
      <c r="DM255" s="150">
        <f t="shared" si="678"/>
        <v>1.2595555555555555</v>
      </c>
      <c r="DN255" s="150">
        <f t="shared" si="679"/>
        <v>1.3922633744855966</v>
      </c>
      <c r="DP255" s="314">
        <f t="shared" si="680"/>
        <v>468</v>
      </c>
      <c r="DQ255" s="144">
        <f t="shared" si="681"/>
        <v>344.39922274533308</v>
      </c>
      <c r="DS255">
        <f t="shared" si="682"/>
        <v>468</v>
      </c>
      <c r="DT255">
        <f t="shared" si="683"/>
        <v>344.39922274533308</v>
      </c>
      <c r="DV255" s="5">
        <f t="shared" si="684"/>
        <v>2.9036070175438597</v>
      </c>
      <c r="DW255" s="5">
        <f t="shared" si="685"/>
        <v>0.25191111111111114</v>
      </c>
      <c r="DX255" s="5">
        <f t="shared" si="686"/>
        <v>2.6516959064327486</v>
      </c>
      <c r="DY255" s="150">
        <f t="shared" si="687"/>
        <v>8.6757990867579918E-2</v>
      </c>
      <c r="EA255" s="5">
        <f t="shared" si="713"/>
        <v>2.3578880000000004</v>
      </c>
      <c r="EB255" s="5">
        <f t="shared" si="714"/>
        <v>0.30701666666666672</v>
      </c>
      <c r="EC255" s="5">
        <f t="shared" si="715"/>
        <v>4.3090058479532158E-2</v>
      </c>
      <c r="ED255" s="5"/>
      <c r="EE255" s="150">
        <f t="shared" si="716"/>
        <v>0.21419604298319728</v>
      </c>
      <c r="EF255" s="150">
        <f t="shared" si="717"/>
        <v>0.69494372986640318</v>
      </c>
      <c r="EG255" s="150">
        <f t="shared" si="718"/>
        <v>0.15534036314660779</v>
      </c>
      <c r="EH255" s="150"/>
      <c r="EI255" s="456">
        <f t="shared" si="719"/>
        <v>9.1759889659319394E-4</v>
      </c>
      <c r="EJ255" s="456">
        <f t="shared" si="720"/>
        <v>0.57000000000000006</v>
      </c>
      <c r="EK255" s="456">
        <f t="shared" si="721"/>
        <v>4.3049902843166628E-2</v>
      </c>
      <c r="EL255" s="456">
        <f t="shared" si="722"/>
        <v>0.14865958009880031</v>
      </c>
      <c r="EM255">
        <f t="shared" si="723"/>
        <v>2.7E-2</v>
      </c>
      <c r="EN255" s="144">
        <f t="shared" si="724"/>
        <v>70.049902843166635</v>
      </c>
      <c r="EP255" s="144">
        <f t="shared" si="725"/>
        <v>789.62708183856023</v>
      </c>
      <c r="EQ255" s="150">
        <f t="shared" si="726"/>
        <v>0.32759999999999995</v>
      </c>
      <c r="ER255" s="150">
        <f t="shared" si="772"/>
        <v>4.3265625000000002E-2</v>
      </c>
      <c r="ES255" s="456"/>
      <c r="EU255" s="144">
        <f t="shared" si="727"/>
        <v>370.86562499999997</v>
      </c>
      <c r="EV255" s="456">
        <f t="shared" si="728"/>
        <v>1.3763983448897908E-3</v>
      </c>
      <c r="EW255" s="456">
        <f t="shared" si="729"/>
        <v>1.4488403630418851E-2</v>
      </c>
      <c r="EX255" s="456">
        <f t="shared" si="730"/>
        <v>1.2065314211259993E-4</v>
      </c>
      <c r="EY255" s="456">
        <f t="shared" si="731"/>
        <v>0.19596058643252567</v>
      </c>
      <c r="EZ255" s="456"/>
      <c r="FA255" s="538">
        <f t="shared" si="732"/>
        <v>5.4638254693049209E-4</v>
      </c>
      <c r="FB255" s="144">
        <f t="shared" si="733"/>
        <v>212.49242409687741</v>
      </c>
      <c r="FC255" s="150">
        <f t="shared" si="734"/>
        <v>1.3729851309354375</v>
      </c>
      <c r="FD255" s="5">
        <f t="shared" si="735"/>
        <v>3.12</v>
      </c>
      <c r="FE255" s="150">
        <f t="shared" si="736"/>
        <v>0.69441583025012532</v>
      </c>
      <c r="FF255" s="5">
        <f t="shared" si="737"/>
        <v>69.441583025012534</v>
      </c>
      <c r="FG255">
        <f t="shared" si="738"/>
        <v>39</v>
      </c>
      <c r="FI255" s="59">
        <f t="shared" si="689"/>
        <v>-50</v>
      </c>
    </row>
    <row r="256" spans="5:165">
      <c r="E256" s="147">
        <v>40</v>
      </c>
      <c r="F256" s="188">
        <f t="shared" si="773"/>
        <v>0.48</v>
      </c>
      <c r="G256" s="188">
        <f t="shared" si="742"/>
        <v>0.1</v>
      </c>
      <c r="H256" s="188">
        <f t="shared" si="743"/>
        <v>2.4</v>
      </c>
      <c r="I256" s="188">
        <f t="shared" si="744"/>
        <v>0.8</v>
      </c>
      <c r="J256" s="465">
        <f t="shared" si="745"/>
        <v>59.956960743590834</v>
      </c>
      <c r="K256" s="379">
        <f t="shared" si="746"/>
        <v>5.7163714771220526</v>
      </c>
      <c r="L256" s="149">
        <f t="shared" si="747"/>
        <v>65.673332220712894</v>
      </c>
      <c r="M256" s="379"/>
      <c r="N256" s="188">
        <f t="shared" si="748"/>
        <v>8.7042506963262489E-2</v>
      </c>
      <c r="O256" s="149">
        <f t="shared" si="749"/>
        <v>9.7852578244126143</v>
      </c>
      <c r="P256" s="149">
        <f t="shared" si="750"/>
        <v>4.3490034775167175</v>
      </c>
      <c r="Q256" s="188">
        <f t="shared" si="626"/>
        <v>1.9570515648825229</v>
      </c>
      <c r="R256" s="188">
        <f t="shared" si="751"/>
        <v>1.2231572280515768</v>
      </c>
      <c r="S256" s="188">
        <f t="shared" si="752"/>
        <v>5</v>
      </c>
      <c r="T256" s="188">
        <f t="shared" si="753"/>
        <v>1.2263345754735218</v>
      </c>
      <c r="U256" s="188">
        <f t="shared" si="630"/>
        <v>0.24544297648134786</v>
      </c>
      <c r="V256" s="188">
        <f t="shared" si="631"/>
        <v>2.5743629441470697</v>
      </c>
      <c r="W256" s="172">
        <f t="shared" si="632"/>
        <v>350</v>
      </c>
      <c r="X256" s="379">
        <f t="shared" si="691"/>
        <v>331.14710888171953</v>
      </c>
      <c r="Z256" s="188">
        <f t="shared" si="633"/>
        <v>1.2425724221476337</v>
      </c>
      <c r="AA256" s="150">
        <f t="shared" si="634"/>
        <v>2.6084499801049645</v>
      </c>
      <c r="AB256" s="150">
        <f t="shared" si="754"/>
        <v>0.42540592629018403</v>
      </c>
      <c r="AC256" s="150"/>
      <c r="AD256" s="150">
        <f t="shared" si="636"/>
        <v>2.0992337618410839</v>
      </c>
      <c r="AE256" s="314">
        <f t="shared" si="755"/>
        <v>457.30971816976421</v>
      </c>
      <c r="AF256" s="456">
        <f t="shared" si="756"/>
        <v>0.36736590832218968</v>
      </c>
      <c r="AH256" s="150">
        <f t="shared" si="757"/>
        <v>1.2344267996967353</v>
      </c>
      <c r="AI256" s="150">
        <f t="shared" si="758"/>
        <v>1.2263345754735218</v>
      </c>
      <c r="AJ256" s="150">
        <f t="shared" si="759"/>
        <v>1.3676552410914975</v>
      </c>
      <c r="AL256" s="314">
        <f t="shared" si="760"/>
        <v>480</v>
      </c>
      <c r="AM256" s="144">
        <f t="shared" si="761"/>
        <v>331.14710888171953</v>
      </c>
      <c r="AO256">
        <f t="shared" si="644"/>
        <v>480</v>
      </c>
      <c r="AP256">
        <f t="shared" si="645"/>
        <v>331.14710888171953</v>
      </c>
      <c r="AR256" s="5">
        <f t="shared" si="616"/>
        <v>3.0198059206284182</v>
      </c>
      <c r="AS256" s="5">
        <f t="shared" si="739"/>
        <v>0.24544297648134786</v>
      </c>
      <c r="AT256" s="5">
        <f t="shared" si="740"/>
        <v>2.7743629441470703</v>
      </c>
      <c r="AU256" s="150">
        <f t="shared" si="741"/>
        <v>8.1277732057122215E-2</v>
      </c>
      <c r="BA256" s="150">
        <f t="shared" si="692"/>
        <v>0.2018525006345743</v>
      </c>
      <c r="BB256" s="150">
        <f t="shared" si="693"/>
        <v>0.67864158310665734</v>
      </c>
      <c r="BC256" s="150">
        <f t="shared" si="694"/>
        <v>0.15169635387089989</v>
      </c>
      <c r="BD256" s="150"/>
      <c r="BE256" s="456">
        <f t="shared" si="695"/>
        <v>8.1488864024861633E-4</v>
      </c>
      <c r="BF256" s="456">
        <f t="shared" si="762"/>
        <v>0.50005786861167567</v>
      </c>
      <c r="BG256" s="456">
        <f t="shared" si="763"/>
        <v>0.49636435518937139</v>
      </c>
      <c r="BH256" s="456">
        <f t="shared" si="696"/>
        <v>0.14282330316362182</v>
      </c>
      <c r="BI256">
        <f t="shared" si="697"/>
        <v>2.6980632334615874E-2</v>
      </c>
      <c r="BJ256" s="144">
        <f t="shared" si="698"/>
        <v>523.34498752398724</v>
      </c>
      <c r="BK256">
        <f t="shared" si="764"/>
        <v>0.64404077794009218</v>
      </c>
      <c r="BL256" s="144">
        <f t="shared" si="699"/>
        <v>1167.0410479395332</v>
      </c>
      <c r="BM256" s="150">
        <f t="shared" si="765"/>
        <v>0.29819999999999997</v>
      </c>
      <c r="BN256" s="150">
        <f t="shared" si="766"/>
        <v>4.4374999999999998E-2</v>
      </c>
      <c r="BQ256" s="144">
        <f t="shared" si="700"/>
        <v>342.57499999999999</v>
      </c>
      <c r="BR256" s="456">
        <f t="shared" si="701"/>
        <v>1.2223329603729244E-3</v>
      </c>
      <c r="BS256" s="456">
        <f t="shared" si="702"/>
        <v>1.3816631949645303E-2</v>
      </c>
      <c r="BT256" s="456">
        <f t="shared" si="703"/>
        <v>1.1505891888862643E-4</v>
      </c>
      <c r="BU256" s="456">
        <f t="shared" si="704"/>
        <v>0.16616702948723372</v>
      </c>
      <c r="BV256" s="456"/>
      <c r="BW256" s="538">
        <f t="shared" si="705"/>
        <v>4.9801097505261657E-4</v>
      </c>
      <c r="BX256" s="144">
        <f t="shared" si="706"/>
        <v>181.81906429119317</v>
      </c>
      <c r="BY256" s="150">
        <f t="shared" si="707"/>
        <v>1.6914351122307263</v>
      </c>
      <c r="BZ256" s="5">
        <f t="shared" si="708"/>
        <v>3.2</v>
      </c>
      <c r="CA256" s="150">
        <f t="shared" si="709"/>
        <v>0.65420473267622437</v>
      </c>
      <c r="CB256" s="5">
        <f t="shared" si="710"/>
        <v>65.420473267622441</v>
      </c>
      <c r="CC256">
        <f t="shared" si="711"/>
        <v>40</v>
      </c>
      <c r="CE256" s="59">
        <f t="shared" si="767"/>
        <v>-50</v>
      </c>
      <c r="CG256" s="150">
        <f t="shared" si="768"/>
        <v>0.87957854338036012</v>
      </c>
      <c r="CH256" s="150">
        <f t="shared" si="769"/>
        <v>0.47330172420499927</v>
      </c>
      <c r="CI256" s="147">
        <v>40</v>
      </c>
      <c r="CJ256" s="188">
        <f t="shared" si="712"/>
        <v>0.48</v>
      </c>
      <c r="CK256" s="188">
        <f t="shared" si="654"/>
        <v>0.1</v>
      </c>
      <c r="CL256" s="188">
        <f t="shared" si="655"/>
        <v>2.4</v>
      </c>
      <c r="CM256" s="188">
        <f t="shared" si="656"/>
        <v>0.8</v>
      </c>
      <c r="CN256" s="465">
        <f t="shared" si="657"/>
        <v>60</v>
      </c>
      <c r="CO256" s="379">
        <f t="shared" si="770"/>
        <v>5.7</v>
      </c>
      <c r="CP256" s="379">
        <f t="shared" si="771"/>
        <v>65.7</v>
      </c>
      <c r="CQ256" s="379"/>
      <c r="CR256" s="188">
        <f t="shared" si="660"/>
        <v>8.2568807339449546E-2</v>
      </c>
      <c r="CS256" s="149">
        <f t="shared" si="661"/>
        <v>9.2889908256880744</v>
      </c>
      <c r="CT256" s="149">
        <f t="shared" si="662"/>
        <v>4.1284403669724767</v>
      </c>
      <c r="CU256" s="188">
        <f t="shared" si="663"/>
        <v>1.857798165137615</v>
      </c>
      <c r="CV256" s="188">
        <f t="shared" si="664"/>
        <v>1.1611238532110093</v>
      </c>
      <c r="CW256" s="188">
        <f t="shared" si="665"/>
        <v>5</v>
      </c>
      <c r="CX256" s="188">
        <f t="shared" si="666"/>
        <v>1.2918518518518518</v>
      </c>
      <c r="CY256" s="188">
        <f t="shared" si="667"/>
        <v>0.25837037037037036</v>
      </c>
      <c r="CZ256" s="188">
        <f t="shared" si="668"/>
        <v>2.7196881091617935</v>
      </c>
      <c r="DA256" s="172">
        <f t="shared" si="669"/>
        <v>350</v>
      </c>
      <c r="DB256" s="379">
        <f t="shared" si="670"/>
        <v>335.7892421766997</v>
      </c>
      <c r="DD256" s="188">
        <f t="shared" si="671"/>
        <v>1.2393998695368558</v>
      </c>
      <c r="DE256" s="150">
        <f t="shared" si="672"/>
        <v>2.6092628832354858</v>
      </c>
      <c r="DF256" s="150">
        <f t="shared" si="673"/>
        <v>0.4244520101153616</v>
      </c>
      <c r="DG256" s="150"/>
      <c r="DH256" s="150">
        <f t="shared" si="674"/>
        <v>2.1052631578947367</v>
      </c>
      <c r="DI256" s="314">
        <f t="shared" si="675"/>
        <v>456</v>
      </c>
      <c r="DJ256" s="456">
        <f t="shared" si="676"/>
        <v>0.36842105263157893</v>
      </c>
      <c r="DL256" s="150">
        <f t="shared" si="677"/>
        <v>1.2344267996967353</v>
      </c>
      <c r="DM256" s="150">
        <f t="shared" si="678"/>
        <v>1.2918518518518518</v>
      </c>
      <c r="DN256" s="150">
        <f t="shared" si="679"/>
        <v>1.4161865569272976</v>
      </c>
      <c r="DP256" s="314">
        <f t="shared" si="680"/>
        <v>480</v>
      </c>
      <c r="DQ256" s="144">
        <f t="shared" si="681"/>
        <v>335.7892421766997</v>
      </c>
      <c r="DS256">
        <f t="shared" si="682"/>
        <v>480</v>
      </c>
      <c r="DT256">
        <f t="shared" si="683"/>
        <v>335.7892421766997</v>
      </c>
      <c r="DV256" s="5">
        <f t="shared" si="684"/>
        <v>2.9780584795321645</v>
      </c>
      <c r="DW256" s="5">
        <f t="shared" si="685"/>
        <v>0.25837037037037036</v>
      </c>
      <c r="DX256" s="5">
        <f t="shared" si="686"/>
        <v>2.7196881091617939</v>
      </c>
      <c r="DY256" s="150">
        <f t="shared" si="687"/>
        <v>8.675799086757989E-2</v>
      </c>
      <c r="EA256" s="5">
        <f t="shared" si="713"/>
        <v>2.4803555555555552</v>
      </c>
      <c r="EB256" s="5">
        <f t="shared" si="714"/>
        <v>0.32296296296296295</v>
      </c>
      <c r="EC256" s="5">
        <f t="shared" si="715"/>
        <v>4.5328135152696562E-2</v>
      </c>
      <c r="ED256" s="5"/>
      <c r="EE256" s="150">
        <f t="shared" si="716"/>
        <v>0.21968824921353564</v>
      </c>
      <c r="EF256" s="150">
        <f t="shared" si="717"/>
        <v>0.71276279986297764</v>
      </c>
      <c r="EG256" s="150">
        <f t="shared" si="718"/>
        <v>0.15932344938113618</v>
      </c>
      <c r="EH256" s="150"/>
      <c r="EI256" s="456">
        <f t="shared" si="719"/>
        <v>9.6525853685017085E-4</v>
      </c>
      <c r="EJ256" s="456">
        <f t="shared" si="720"/>
        <v>0.56999999999999995</v>
      </c>
      <c r="EK256" s="456">
        <f t="shared" si="721"/>
        <v>4.1973655272087455E-2</v>
      </c>
      <c r="EL256" s="456">
        <f t="shared" si="722"/>
        <v>0.14494309059633029</v>
      </c>
      <c r="EM256">
        <f t="shared" si="723"/>
        <v>2.7E-2</v>
      </c>
      <c r="EN256" s="144">
        <f t="shared" si="724"/>
        <v>68.973655272087456</v>
      </c>
      <c r="EP256" s="144">
        <f t="shared" si="725"/>
        <v>784.88200440526782</v>
      </c>
      <c r="EQ256" s="150">
        <f t="shared" si="726"/>
        <v>0.33599999999999997</v>
      </c>
      <c r="ER256" s="150">
        <f t="shared" si="772"/>
        <v>4.4374999999999998E-2</v>
      </c>
      <c r="ES256" s="456"/>
      <c r="EU256" s="144">
        <f t="shared" si="727"/>
        <v>380.37499999999994</v>
      </c>
      <c r="EV256" s="456">
        <f t="shared" si="728"/>
        <v>1.4478878052752561E-3</v>
      </c>
      <c r="EW256" s="456">
        <f t="shared" si="729"/>
        <v>1.5240924266055333E-2</v>
      </c>
      <c r="EX256" s="456">
        <f t="shared" si="730"/>
        <v>1.2691980761351732E-4</v>
      </c>
      <c r="EY256" s="456">
        <f t="shared" si="731"/>
        <v>0.1959605864325254</v>
      </c>
      <c r="EZ256" s="456"/>
      <c r="FA256" s="538">
        <f t="shared" si="732"/>
        <v>5.6039235582614562E-4</v>
      </c>
      <c r="FB256" s="144">
        <f t="shared" si="733"/>
        <v>213.33671066729565</v>
      </c>
      <c r="FC256" s="150">
        <f t="shared" si="734"/>
        <v>1.3785937150725633</v>
      </c>
      <c r="FD256" s="5">
        <f t="shared" si="735"/>
        <v>3.2</v>
      </c>
      <c r="FE256" s="150">
        <f t="shared" si="736"/>
        <v>0.69890455435382193</v>
      </c>
      <c r="FF256" s="5">
        <f t="shared" si="737"/>
        <v>69.890455435382194</v>
      </c>
      <c r="FG256">
        <f t="shared" si="738"/>
        <v>40</v>
      </c>
      <c r="FI256" s="59">
        <f t="shared" si="689"/>
        <v>-50</v>
      </c>
    </row>
    <row r="257" spans="5:165">
      <c r="E257" s="147">
        <v>41</v>
      </c>
      <c r="F257" s="188">
        <f t="shared" si="773"/>
        <v>0.49199999999999994</v>
      </c>
      <c r="G257" s="188">
        <f t="shared" si="742"/>
        <v>0.10249999999999999</v>
      </c>
      <c r="H257" s="188">
        <f t="shared" si="743"/>
        <v>2.4599999999999995</v>
      </c>
      <c r="I257" s="188">
        <f t="shared" si="744"/>
        <v>0.82</v>
      </c>
      <c r="J257" s="465">
        <f t="shared" si="745"/>
        <v>59.955884762180602</v>
      </c>
      <c r="K257" s="379">
        <f t="shared" si="746"/>
        <v>5.716780764050104</v>
      </c>
      <c r="L257" s="149">
        <f t="shared" si="747"/>
        <v>65.672665526230702</v>
      </c>
      <c r="M257" s="379"/>
      <c r="N257" s="188">
        <f t="shared" si="748"/>
        <v>8.7049622826208137E-2</v>
      </c>
      <c r="O257" s="149">
        <f t="shared" si="749"/>
        <v>9.7858821651739163</v>
      </c>
      <c r="P257" s="149">
        <f t="shared" si="750"/>
        <v>4.3492809622995177</v>
      </c>
      <c r="Q257" s="188">
        <f t="shared" si="626"/>
        <v>1.9571764330347832</v>
      </c>
      <c r="R257" s="188">
        <f t="shared" si="751"/>
        <v>1.2232352706467395</v>
      </c>
      <c r="S257" s="188">
        <f t="shared" si="752"/>
        <v>5</v>
      </c>
      <c r="T257" s="188">
        <f t="shared" si="753"/>
        <v>1.2569127435207985</v>
      </c>
      <c r="U257" s="188">
        <f t="shared" si="630"/>
        <v>0.25156751471648225</v>
      </c>
      <c r="V257" s="188">
        <f t="shared" si="631"/>
        <v>2.6383647624023858</v>
      </c>
      <c r="W257" s="172">
        <f t="shared" si="632"/>
        <v>350</v>
      </c>
      <c r="X257" s="379">
        <f t="shared" si="691"/>
        <v>323.6316884370118</v>
      </c>
      <c r="Z257" s="188">
        <f t="shared" si="633"/>
        <v>1.2426517035141476</v>
      </c>
      <c r="AA257" s="150">
        <f t="shared" si="634"/>
        <v>2.6084296490679764</v>
      </c>
      <c r="AB257" s="150">
        <f t="shared" si="754"/>
        <v>0.42542975303208597</v>
      </c>
      <c r="AC257" s="150"/>
      <c r="AD257" s="150">
        <f t="shared" si="636"/>
        <v>2.099083469399742</v>
      </c>
      <c r="AE257" s="314">
        <f t="shared" si="755"/>
        <v>468.77602265210845</v>
      </c>
      <c r="AF257" s="456">
        <f t="shared" si="756"/>
        <v>0.36733960714495484</v>
      </c>
      <c r="AH257" s="150">
        <f t="shared" si="757"/>
        <v>1.2497618820818475</v>
      </c>
      <c r="AI257" s="150">
        <f t="shared" si="758"/>
        <v>1.2569127435207985</v>
      </c>
      <c r="AJ257" s="150">
        <f t="shared" si="759"/>
        <v>1.3903057359413322</v>
      </c>
      <c r="AL257" s="314">
        <f t="shared" si="760"/>
        <v>491.99999999999994</v>
      </c>
      <c r="AM257" s="144">
        <f t="shared" si="761"/>
        <v>323.6316884370118</v>
      </c>
      <c r="AO257">
        <f t="shared" si="644"/>
        <v>491.99999999999994</v>
      </c>
      <c r="AP257">
        <f t="shared" si="645"/>
        <v>323.6316884370118</v>
      </c>
      <c r="AR257" s="5">
        <f t="shared" si="616"/>
        <v>3.0899322771188684</v>
      </c>
      <c r="AS257" s="5">
        <f t="shared" si="739"/>
        <v>0.25156751471648225</v>
      </c>
      <c r="AT257" s="5">
        <f t="shared" si="740"/>
        <v>2.838364762402386</v>
      </c>
      <c r="AU257" s="150">
        <f t="shared" si="741"/>
        <v>8.1415219543597969E-2</v>
      </c>
      <c r="BA257" s="150">
        <f t="shared" si="692"/>
        <v>0.20706052044020867</v>
      </c>
      <c r="BB257" s="150">
        <f t="shared" si="693"/>
        <v>0.69551119508125581</v>
      </c>
      <c r="BC257" s="150">
        <f t="shared" si="694"/>
        <v>0.15546720831228072</v>
      </c>
      <c r="BD257" s="150"/>
      <c r="BE257" s="456">
        <f t="shared" si="695"/>
        <v>8.5748118249940155E-4</v>
      </c>
      <c r="BF257" s="456">
        <f t="shared" si="762"/>
        <v>0.50088968056930172</v>
      </c>
      <c r="BG257" s="456">
        <f t="shared" si="763"/>
        <v>0.48509060543298543</v>
      </c>
      <c r="BH257" s="456">
        <f t="shared" si="696"/>
        <v>0.13957907845610221</v>
      </c>
      <c r="BI257">
        <f t="shared" si="697"/>
        <v>2.6980148142981272E-2</v>
      </c>
      <c r="BJ257" s="144">
        <f t="shared" si="698"/>
        <v>512.07075357596671</v>
      </c>
      <c r="BK257">
        <f t="shared" si="764"/>
        <v>0.64168849615574819</v>
      </c>
      <c r="BL257" s="144">
        <f t="shared" si="699"/>
        <v>1153.3969937838699</v>
      </c>
      <c r="BM257" s="150">
        <f t="shared" si="765"/>
        <v>0.3056549999999999</v>
      </c>
      <c r="BN257" s="150">
        <f t="shared" si="766"/>
        <v>4.5484374999999994E-2</v>
      </c>
      <c r="BQ257" s="144">
        <f t="shared" si="700"/>
        <v>351.13937499999992</v>
      </c>
      <c r="BR257" s="456">
        <f t="shared" si="701"/>
        <v>1.2862217737491023E-3</v>
      </c>
      <c r="BS257" s="456">
        <f t="shared" si="702"/>
        <v>1.45120746745007E-2</v>
      </c>
      <c r="BT257" s="456">
        <f t="shared" si="703"/>
        <v>1.2085026430207045E-4</v>
      </c>
      <c r="BU257" s="456">
        <f t="shared" si="704"/>
        <v>0.16686314527643992</v>
      </c>
      <c r="BV257" s="456"/>
      <c r="BW257" s="538">
        <f t="shared" si="705"/>
        <v>5.112829353975532E-4</v>
      </c>
      <c r="BX257" s="144">
        <f t="shared" si="706"/>
        <v>183.29357492438936</v>
      </c>
      <c r="BY257" s="150">
        <f t="shared" si="707"/>
        <v>1.6878299437082591</v>
      </c>
      <c r="BZ257" s="5">
        <f t="shared" si="708"/>
        <v>3.2799999999999994</v>
      </c>
      <c r="CA257" s="150">
        <f t="shared" si="709"/>
        <v>0.66024804334417875</v>
      </c>
      <c r="CB257" s="5">
        <f t="shared" si="710"/>
        <v>66.02480433441788</v>
      </c>
      <c r="CC257">
        <f t="shared" si="711"/>
        <v>41</v>
      </c>
      <c r="CE257" s="59">
        <f t="shared" si="767"/>
        <v>-50</v>
      </c>
      <c r="CG257" s="150">
        <f t="shared" si="768"/>
        <v>0.87957854338036034</v>
      </c>
      <c r="CH257" s="150">
        <f t="shared" si="769"/>
        <v>0.47330172420499939</v>
      </c>
      <c r="CI257" s="147">
        <v>41</v>
      </c>
      <c r="CJ257" s="188">
        <f t="shared" si="712"/>
        <v>0.49199999999999994</v>
      </c>
      <c r="CK257" s="188">
        <f t="shared" si="654"/>
        <v>0.10249999999999999</v>
      </c>
      <c r="CL257" s="188">
        <f t="shared" si="655"/>
        <v>2.4599999999999995</v>
      </c>
      <c r="CM257" s="188">
        <f t="shared" si="656"/>
        <v>0.82</v>
      </c>
      <c r="CN257" s="465">
        <f t="shared" si="657"/>
        <v>60</v>
      </c>
      <c r="CO257" s="379">
        <f t="shared" si="770"/>
        <v>5.7</v>
      </c>
      <c r="CP257" s="379">
        <f t="shared" si="771"/>
        <v>65.7</v>
      </c>
      <c r="CQ257" s="379"/>
      <c r="CR257" s="188">
        <f t="shared" si="660"/>
        <v>8.2568807339449546E-2</v>
      </c>
      <c r="CS257" s="149">
        <f t="shared" si="661"/>
        <v>9.2889908256880744</v>
      </c>
      <c r="CT257" s="149">
        <f t="shared" si="662"/>
        <v>4.1284403669724767</v>
      </c>
      <c r="CU257" s="188">
        <f t="shared" si="663"/>
        <v>1.857798165137615</v>
      </c>
      <c r="CV257" s="188">
        <f t="shared" si="664"/>
        <v>1.1611238532110093</v>
      </c>
      <c r="CW257" s="188">
        <f t="shared" si="665"/>
        <v>5</v>
      </c>
      <c r="CX257" s="188">
        <f t="shared" si="666"/>
        <v>1.3241481481481479</v>
      </c>
      <c r="CY257" s="188">
        <f t="shared" si="667"/>
        <v>0.26482962962962958</v>
      </c>
      <c r="CZ257" s="188">
        <f t="shared" si="668"/>
        <v>2.7876803118908375</v>
      </c>
      <c r="DA257" s="172">
        <f t="shared" si="669"/>
        <v>350</v>
      </c>
      <c r="DB257" s="379">
        <f t="shared" si="670"/>
        <v>327.59926066019494</v>
      </c>
      <c r="DD257" s="188">
        <f t="shared" si="671"/>
        <v>1.2393998695368558</v>
      </c>
      <c r="DE257" s="150">
        <f t="shared" si="672"/>
        <v>2.6092628832354858</v>
      </c>
      <c r="DF257" s="150">
        <f t="shared" si="673"/>
        <v>0.4244520101153616</v>
      </c>
      <c r="DG257" s="150"/>
      <c r="DH257" s="150">
        <f t="shared" si="674"/>
        <v>2.1052631578947367</v>
      </c>
      <c r="DI257" s="314">
        <f t="shared" si="675"/>
        <v>467.39999999999992</v>
      </c>
      <c r="DJ257" s="456">
        <f t="shared" si="676"/>
        <v>0.36842105263157893</v>
      </c>
      <c r="DL257" s="150">
        <f t="shared" si="677"/>
        <v>1.2497618820818475</v>
      </c>
      <c r="DM257" s="150">
        <f t="shared" si="678"/>
        <v>1.3241481481481479</v>
      </c>
      <c r="DN257" s="150">
        <f t="shared" si="679"/>
        <v>1.4401097393689983</v>
      </c>
      <c r="DP257" s="314">
        <f t="shared" si="680"/>
        <v>491.99999999999994</v>
      </c>
      <c r="DQ257" s="144">
        <f t="shared" si="681"/>
        <v>327.59926066019494</v>
      </c>
      <c r="DS257">
        <f t="shared" si="682"/>
        <v>491.99999999999994</v>
      </c>
      <c r="DT257">
        <f t="shared" si="683"/>
        <v>327.59926066019494</v>
      </c>
      <c r="DV257" s="5">
        <f t="shared" si="684"/>
        <v>3.0525099415204671</v>
      </c>
      <c r="DW257" s="5">
        <f t="shared" si="685"/>
        <v>0.26482962962962958</v>
      </c>
      <c r="DX257" s="5">
        <f t="shared" si="686"/>
        <v>2.7876803118908375</v>
      </c>
      <c r="DY257" s="150">
        <f t="shared" si="687"/>
        <v>8.6757990867579918E-2</v>
      </c>
      <c r="EA257" s="5">
        <f t="shared" si="713"/>
        <v>2.6059235555555547</v>
      </c>
      <c r="EB257" s="5">
        <f t="shared" si="714"/>
        <v>0.33931296296296287</v>
      </c>
      <c r="EC257" s="5">
        <f t="shared" si="715"/>
        <v>4.7622871994801794E-2</v>
      </c>
      <c r="ED257" s="5"/>
      <c r="EE257" s="150">
        <f t="shared" si="716"/>
        <v>0.22518045544387402</v>
      </c>
      <c r="EF257" s="150">
        <f t="shared" si="717"/>
        <v>0.73058186985955198</v>
      </c>
      <c r="EG257" s="150">
        <f t="shared" si="718"/>
        <v>0.16330653561566455</v>
      </c>
      <c r="EH257" s="150"/>
      <c r="EI257" s="456">
        <f t="shared" si="719"/>
        <v>1.0141247502782106E-3</v>
      </c>
      <c r="EJ257" s="456">
        <f t="shared" si="720"/>
        <v>0.57000000000000006</v>
      </c>
      <c r="EK257" s="456">
        <f t="shared" si="721"/>
        <v>4.0949907582524363E-2</v>
      </c>
      <c r="EL257" s="456">
        <f t="shared" si="722"/>
        <v>0.14140789326471251</v>
      </c>
      <c r="EM257">
        <f t="shared" si="723"/>
        <v>2.7E-2</v>
      </c>
      <c r="EN257" s="144">
        <f t="shared" si="724"/>
        <v>67.949907582524361</v>
      </c>
      <c r="EP257" s="144">
        <f t="shared" si="725"/>
        <v>780.37192559751509</v>
      </c>
      <c r="EQ257" s="150">
        <f t="shared" si="726"/>
        <v>0.34439999999999993</v>
      </c>
      <c r="ER257" s="150">
        <f t="shared" si="772"/>
        <v>4.5484374999999994E-2</v>
      </c>
      <c r="ES257" s="456"/>
      <c r="EU257" s="144">
        <f t="shared" si="727"/>
        <v>389.88437499999998</v>
      </c>
      <c r="EV257" s="456">
        <f t="shared" si="728"/>
        <v>1.5211871254173159E-3</v>
      </c>
      <c r="EW257" s="456">
        <f t="shared" si="729"/>
        <v>1.6012496057024379E-2</v>
      </c>
      <c r="EX257" s="456">
        <f t="shared" si="730"/>
        <v>1.3334512287395159E-4</v>
      </c>
      <c r="EY257" s="456">
        <f t="shared" si="731"/>
        <v>0.19596058643252542</v>
      </c>
      <c r="EZ257" s="456"/>
      <c r="FA257" s="538">
        <f t="shared" si="732"/>
        <v>5.7440216472179936E-4</v>
      </c>
      <c r="FB257" s="144">
        <f t="shared" si="733"/>
        <v>214.20201690256286</v>
      </c>
      <c r="FC257" s="150">
        <f t="shared" si="734"/>
        <v>1.384458317500078</v>
      </c>
      <c r="FD257" s="5">
        <f t="shared" si="735"/>
        <v>3.2799999999999994</v>
      </c>
      <c r="FE257" s="150">
        <f t="shared" si="736"/>
        <v>0.70318990475145238</v>
      </c>
      <c r="FF257" s="5">
        <f t="shared" si="737"/>
        <v>70.318990475145242</v>
      </c>
      <c r="FG257">
        <f t="shared" si="738"/>
        <v>41</v>
      </c>
      <c r="FI257" s="59">
        <f t="shared" si="689"/>
        <v>-50</v>
      </c>
    </row>
    <row r="258" spans="5:165">
      <c r="E258" s="147">
        <v>42</v>
      </c>
      <c r="F258" s="188">
        <f t="shared" si="773"/>
        <v>0.504</v>
      </c>
      <c r="G258" s="188">
        <f t="shared" si="742"/>
        <v>0.105</v>
      </c>
      <c r="H258" s="188">
        <f t="shared" si="743"/>
        <v>2.52</v>
      </c>
      <c r="I258" s="188">
        <f t="shared" si="744"/>
        <v>0.84</v>
      </c>
      <c r="J258" s="465">
        <f t="shared" si="745"/>
        <v>59.954808780770371</v>
      </c>
      <c r="K258" s="379">
        <f t="shared" si="746"/>
        <v>5.7171900509781555</v>
      </c>
      <c r="L258" s="149">
        <f t="shared" si="747"/>
        <v>65.671998831748525</v>
      </c>
      <c r="M258" s="379"/>
      <c r="N258" s="188">
        <f t="shared" si="748"/>
        <v>8.7056738833632588E-2</v>
      </c>
      <c r="O258" s="149">
        <f t="shared" si="749"/>
        <v>9.7865064934648274</v>
      </c>
      <c r="P258" s="149">
        <f t="shared" si="750"/>
        <v>4.3495584415399229</v>
      </c>
      <c r="Q258" s="188">
        <f t="shared" si="626"/>
        <v>1.9573012986929654</v>
      </c>
      <c r="R258" s="188">
        <f t="shared" si="751"/>
        <v>1.2233133116831034</v>
      </c>
      <c r="S258" s="188">
        <f t="shared" si="752"/>
        <v>5</v>
      </c>
      <c r="T258" s="188">
        <f t="shared" si="753"/>
        <v>1.2874870116740789</v>
      </c>
      <c r="U258" s="188">
        <f t="shared" si="630"/>
        <v>0.25769149221345294</v>
      </c>
      <c r="V258" s="188">
        <f t="shared" si="631"/>
        <v>2.7023492314105648</v>
      </c>
      <c r="W258" s="172">
        <f t="shared" si="632"/>
        <v>350</v>
      </c>
      <c r="X258" s="379">
        <f t="shared" si="691"/>
        <v>316.45161802002781</v>
      </c>
      <c r="Z258" s="188">
        <f t="shared" si="633"/>
        <v>1.2427309832971207</v>
      </c>
      <c r="AA258" s="150">
        <f t="shared" si="634"/>
        <v>2.6084093176181922</v>
      </c>
      <c r="AB258" s="150">
        <f t="shared" si="754"/>
        <v>0.42545357874140988</v>
      </c>
      <c r="AC258" s="150"/>
      <c r="AD258" s="150">
        <f t="shared" si="636"/>
        <v>2.0989331984769191</v>
      </c>
      <c r="AE258" s="314">
        <f t="shared" si="755"/>
        <v>480.24396428216505</v>
      </c>
      <c r="AF258" s="456">
        <f t="shared" si="756"/>
        <v>0.36731330973346088</v>
      </c>
      <c r="AH258" s="150">
        <f t="shared" si="757"/>
        <v>1.2649110640673518</v>
      </c>
      <c r="AI258" s="150">
        <f t="shared" si="758"/>
        <v>1.2874870116740789</v>
      </c>
      <c r="AJ258" s="150">
        <f t="shared" si="759"/>
        <v>1.4129533419807991</v>
      </c>
      <c r="AL258" s="314">
        <f t="shared" si="760"/>
        <v>504</v>
      </c>
      <c r="AM258" s="144">
        <f t="shared" si="761"/>
        <v>316.45161802002781</v>
      </c>
      <c r="AO258">
        <f t="shared" si="644"/>
        <v>504</v>
      </c>
      <c r="AP258">
        <f t="shared" si="645"/>
        <v>316.45161802002781</v>
      </c>
      <c r="AR258" s="5">
        <f t="shared" si="616"/>
        <v>3.160040723624018</v>
      </c>
      <c r="AS258" s="5">
        <f t="shared" si="739"/>
        <v>0.25769149221345294</v>
      </c>
      <c r="AT258" s="5">
        <f t="shared" si="740"/>
        <v>2.902349231410565</v>
      </c>
      <c r="AU258" s="150">
        <f t="shared" si="741"/>
        <v>8.1546889660942576E-2</v>
      </c>
      <c r="BA258" s="150">
        <f t="shared" si="692"/>
        <v>0.21226868508057425</v>
      </c>
      <c r="BB258" s="150">
        <f t="shared" si="693"/>
        <v>0.71237836885369221</v>
      </c>
      <c r="BC258" s="150">
        <f t="shared" si="694"/>
        <v>0.15923751774376652</v>
      </c>
      <c r="BD258" s="150"/>
      <c r="BE258" s="456">
        <f t="shared" si="695"/>
        <v>9.0115989331672019E-4</v>
      </c>
      <c r="BF258" s="456">
        <f t="shared" si="762"/>
        <v>0.50168565606481264</v>
      </c>
      <c r="BG258" s="456">
        <f t="shared" si="763"/>
        <v>0.47431990616890379</v>
      </c>
      <c r="BH258" s="456">
        <f t="shared" si="696"/>
        <v>0.13647961554150906</v>
      </c>
      <c r="BI258">
        <f t="shared" si="697"/>
        <v>2.6979663951346666E-2</v>
      </c>
      <c r="BJ258" s="144">
        <f t="shared" si="698"/>
        <v>501.29957012025051</v>
      </c>
      <c r="BK258">
        <f t="shared" si="764"/>
        <v>0.63944666017016683</v>
      </c>
      <c r="BL258" s="144">
        <f t="shared" si="699"/>
        <v>1140.3660016198889</v>
      </c>
      <c r="BM258" s="150">
        <f t="shared" si="765"/>
        <v>0.31311</v>
      </c>
      <c r="BN258" s="150">
        <f t="shared" si="766"/>
        <v>4.6593749999999996E-2</v>
      </c>
      <c r="BQ258" s="144">
        <f t="shared" si="700"/>
        <v>359.70375000000001</v>
      </c>
      <c r="BR258" s="456">
        <f t="shared" si="701"/>
        <v>1.3517398399750802E-3</v>
      </c>
      <c r="BS258" s="456">
        <f t="shared" si="702"/>
        <v>1.5224488212319413E-2</v>
      </c>
      <c r="BT258" s="456">
        <f t="shared" si="703"/>
        <v>1.2678293528598178E-4</v>
      </c>
      <c r="BU258" s="456">
        <f t="shared" si="704"/>
        <v>0.16753110269935498</v>
      </c>
      <c r="BV258" s="456"/>
      <c r="BW258" s="538">
        <f t="shared" si="705"/>
        <v>5.2455741878175682E-4</v>
      </c>
      <c r="BX258" s="144">
        <f t="shared" si="706"/>
        <v>184.75867110571721</v>
      </c>
      <c r="BY258" s="150">
        <f t="shared" si="707"/>
        <v>1.6848284227256061</v>
      </c>
      <c r="BZ258" s="5">
        <f t="shared" si="708"/>
        <v>3.36</v>
      </c>
      <c r="CA258" s="150">
        <f t="shared" si="709"/>
        <v>0.66602859769503675</v>
      </c>
      <c r="CB258" s="5">
        <f t="shared" si="710"/>
        <v>66.602859769503681</v>
      </c>
      <c r="CC258">
        <f t="shared" si="711"/>
        <v>42.000000000000007</v>
      </c>
      <c r="CE258" s="59">
        <f t="shared" si="767"/>
        <v>-50</v>
      </c>
      <c r="CG258" s="150">
        <f t="shared" si="768"/>
        <v>0.87957854338036034</v>
      </c>
      <c r="CH258" s="150">
        <f t="shared" si="769"/>
        <v>0.47330172420499933</v>
      </c>
      <c r="CI258" s="147">
        <v>42</v>
      </c>
      <c r="CJ258" s="188">
        <f t="shared" si="712"/>
        <v>0.504</v>
      </c>
      <c r="CK258" s="188">
        <f t="shared" si="654"/>
        <v>0.105</v>
      </c>
      <c r="CL258" s="188">
        <f t="shared" si="655"/>
        <v>2.52</v>
      </c>
      <c r="CM258" s="188">
        <f t="shared" si="656"/>
        <v>0.84</v>
      </c>
      <c r="CN258" s="465">
        <f t="shared" si="657"/>
        <v>60</v>
      </c>
      <c r="CO258" s="379">
        <f t="shared" si="770"/>
        <v>5.7</v>
      </c>
      <c r="CP258" s="379">
        <f t="shared" si="771"/>
        <v>65.7</v>
      </c>
      <c r="CQ258" s="379"/>
      <c r="CR258" s="188">
        <f t="shared" si="660"/>
        <v>8.2568807339449546E-2</v>
      </c>
      <c r="CS258" s="149">
        <f t="shared" si="661"/>
        <v>9.2889908256880744</v>
      </c>
      <c r="CT258" s="149">
        <f t="shared" si="662"/>
        <v>4.1284403669724767</v>
      </c>
      <c r="CU258" s="188">
        <f t="shared" si="663"/>
        <v>1.857798165137615</v>
      </c>
      <c r="CV258" s="188">
        <f t="shared" si="664"/>
        <v>1.1611238532110093</v>
      </c>
      <c r="CW258" s="188">
        <f t="shared" si="665"/>
        <v>5</v>
      </c>
      <c r="CX258" s="188">
        <f t="shared" si="666"/>
        <v>1.3564444444444443</v>
      </c>
      <c r="CY258" s="188">
        <f t="shared" si="667"/>
        <v>0.27128888888888886</v>
      </c>
      <c r="CZ258" s="188">
        <f t="shared" si="668"/>
        <v>2.8556725146198825</v>
      </c>
      <c r="DA258" s="172">
        <f t="shared" si="669"/>
        <v>350</v>
      </c>
      <c r="DB258" s="379">
        <f t="shared" si="670"/>
        <v>319.7992782635236</v>
      </c>
      <c r="DD258" s="188">
        <f t="shared" si="671"/>
        <v>1.2393998695368558</v>
      </c>
      <c r="DE258" s="150">
        <f t="shared" si="672"/>
        <v>2.6092628832354858</v>
      </c>
      <c r="DF258" s="150">
        <f t="shared" si="673"/>
        <v>0.4244520101153616</v>
      </c>
      <c r="DG258" s="150"/>
      <c r="DH258" s="150">
        <f t="shared" si="674"/>
        <v>2.1052631578947367</v>
      </c>
      <c r="DI258" s="314">
        <f t="shared" si="675"/>
        <v>478.8</v>
      </c>
      <c r="DJ258" s="456">
        <f t="shared" si="676"/>
        <v>0.36842105263157893</v>
      </c>
      <c r="DL258" s="150">
        <f t="shared" si="677"/>
        <v>1.2649110640673518</v>
      </c>
      <c r="DM258" s="150">
        <f t="shared" si="678"/>
        <v>1.3564444444444443</v>
      </c>
      <c r="DN258" s="150">
        <f t="shared" si="679"/>
        <v>1.4640329218106996</v>
      </c>
      <c r="DP258" s="314">
        <f t="shared" si="680"/>
        <v>504</v>
      </c>
      <c r="DQ258" s="144">
        <f t="shared" si="681"/>
        <v>319.7992782635236</v>
      </c>
      <c r="DS258">
        <f t="shared" si="682"/>
        <v>504</v>
      </c>
      <c r="DT258">
        <f t="shared" si="683"/>
        <v>319.7992782635236</v>
      </c>
      <c r="DV258" s="5">
        <f t="shared" si="684"/>
        <v>3.1269614035087718</v>
      </c>
      <c r="DW258" s="5">
        <f t="shared" si="685"/>
        <v>0.27128888888888886</v>
      </c>
      <c r="DX258" s="5">
        <f t="shared" si="686"/>
        <v>2.8556725146198829</v>
      </c>
      <c r="DY258" s="150">
        <f t="shared" si="687"/>
        <v>8.6757990867579904E-2</v>
      </c>
      <c r="EA258" s="5">
        <f t="shared" si="713"/>
        <v>2.7345919999999997</v>
      </c>
      <c r="EB258" s="5">
        <f t="shared" si="714"/>
        <v>0.35606666666666659</v>
      </c>
      <c r="EC258" s="5">
        <f t="shared" si="715"/>
        <v>4.9974269005847942E-2</v>
      </c>
      <c r="ED258" s="5"/>
      <c r="EE258" s="150">
        <f t="shared" si="716"/>
        <v>0.23067266167421244</v>
      </c>
      <c r="EF258" s="150">
        <f t="shared" si="717"/>
        <v>0.74840093985612655</v>
      </c>
      <c r="EG258" s="150">
        <f t="shared" si="718"/>
        <v>0.16728962185019297</v>
      </c>
      <c r="EH258" s="150"/>
      <c r="EI258" s="456">
        <f t="shared" si="719"/>
        <v>1.0641975368773135E-3</v>
      </c>
      <c r="EJ258" s="456">
        <f t="shared" si="720"/>
        <v>0.57000000000000006</v>
      </c>
      <c r="EK258" s="456">
        <f t="shared" si="721"/>
        <v>3.9974909782940451E-2</v>
      </c>
      <c r="EL258" s="456">
        <f t="shared" si="722"/>
        <v>0.13804103866317174</v>
      </c>
      <c r="EM258">
        <f t="shared" si="723"/>
        <v>2.7E-2</v>
      </c>
      <c r="EN258" s="144">
        <f t="shared" si="724"/>
        <v>66.974909782940443</v>
      </c>
      <c r="EP258" s="144">
        <f t="shared" si="725"/>
        <v>776.08014598298973</v>
      </c>
      <c r="EQ258" s="150">
        <f t="shared" si="726"/>
        <v>0.3528</v>
      </c>
      <c r="ER258" s="150">
        <f t="shared" si="772"/>
        <v>4.6593749999999996E-2</v>
      </c>
      <c r="ES258" s="456"/>
      <c r="EU258" s="144">
        <f t="shared" si="727"/>
        <v>399.39375000000001</v>
      </c>
      <c r="EV258" s="456">
        <f t="shared" si="728"/>
        <v>1.5962963053159703E-3</v>
      </c>
      <c r="EW258" s="456">
        <f t="shared" si="729"/>
        <v>1.6803119003326004E-2</v>
      </c>
      <c r="EX258" s="456">
        <f t="shared" si="730"/>
        <v>1.399290878939028E-4</v>
      </c>
      <c r="EY258" s="456">
        <f t="shared" si="731"/>
        <v>0.19596058643252526</v>
      </c>
      <c r="EZ258" s="456"/>
      <c r="FA258" s="538">
        <f t="shared" si="732"/>
        <v>5.884119736174531E-4</v>
      </c>
      <c r="FB258" s="144">
        <f t="shared" si="733"/>
        <v>215.08834280267857</v>
      </c>
      <c r="FC258" s="150">
        <f t="shared" si="734"/>
        <v>1.3905622387856684</v>
      </c>
      <c r="FD258" s="5">
        <f t="shared" si="735"/>
        <v>3.36</v>
      </c>
      <c r="FE258" s="150">
        <f t="shared" si="736"/>
        <v>0.70728470254899312</v>
      </c>
      <c r="FF258" s="5">
        <f t="shared" si="737"/>
        <v>70.728470254899307</v>
      </c>
      <c r="FG258">
        <f t="shared" si="738"/>
        <v>42.000000000000007</v>
      </c>
      <c r="FI258" s="59">
        <f t="shared" si="689"/>
        <v>-50</v>
      </c>
    </row>
    <row r="259" spans="5:165">
      <c r="E259" s="147">
        <v>43</v>
      </c>
      <c r="F259" s="188">
        <f t="shared" si="773"/>
        <v>0.51600000000000001</v>
      </c>
      <c r="G259" s="188">
        <f t="shared" si="742"/>
        <v>0.1075</v>
      </c>
      <c r="H259" s="188">
        <f t="shared" si="743"/>
        <v>2.58</v>
      </c>
      <c r="I259" s="188">
        <f t="shared" si="744"/>
        <v>0.86</v>
      </c>
      <c r="J259" s="465">
        <f t="shared" si="745"/>
        <v>59.953732799360139</v>
      </c>
      <c r="K259" s="379">
        <f t="shared" si="746"/>
        <v>5.7175993379062069</v>
      </c>
      <c r="L259" s="149">
        <f t="shared" si="747"/>
        <v>65.671332137266347</v>
      </c>
      <c r="M259" s="379"/>
      <c r="N259" s="188">
        <f t="shared" si="748"/>
        <v>8.7063854985540257E-2</v>
      </c>
      <c r="O259" s="149">
        <f t="shared" si="749"/>
        <v>9.7871308092849745</v>
      </c>
      <c r="P259" s="149">
        <f t="shared" si="750"/>
        <v>4.3498359152377661</v>
      </c>
      <c r="Q259" s="188">
        <f t="shared" si="626"/>
        <v>1.9574261618569948</v>
      </c>
      <c r="R259" s="188">
        <f t="shared" si="751"/>
        <v>1.2233913511606218</v>
      </c>
      <c r="S259" s="188">
        <f t="shared" si="752"/>
        <v>5</v>
      </c>
      <c r="T259" s="188">
        <f t="shared" si="753"/>
        <v>1.3180573807966141</v>
      </c>
      <c r="U259" s="188">
        <f t="shared" si="630"/>
        <v>0.26381490911485284</v>
      </c>
      <c r="V259" s="188">
        <f t="shared" si="631"/>
        <v>2.766316356709154</v>
      </c>
      <c r="W259" s="172">
        <f t="shared" si="632"/>
        <v>350</v>
      </c>
      <c r="X259" s="379">
        <f t="shared" si="691"/>
        <v>309.58494181966313</v>
      </c>
      <c r="Z259" s="188">
        <f t="shared" si="633"/>
        <v>1.2428102614965046</v>
      </c>
      <c r="AA259" s="150">
        <f t="shared" si="634"/>
        <v>2.6083889857555991</v>
      </c>
      <c r="AB259" s="150">
        <f t="shared" si="754"/>
        <v>0.42547740341813678</v>
      </c>
      <c r="AC259" s="150"/>
      <c r="AD259" s="150">
        <f t="shared" si="636"/>
        <v>2.0987829490679943</v>
      </c>
      <c r="AE259" s="314">
        <f t="shared" si="755"/>
        <v>491.71354305993378</v>
      </c>
      <c r="AF259" s="456">
        <f t="shared" si="756"/>
        <v>0.36728701608689901</v>
      </c>
      <c r="AH259" s="150">
        <f t="shared" si="757"/>
        <v>1.2798809468443688</v>
      </c>
      <c r="AI259" s="150">
        <f t="shared" si="758"/>
        <v>1.3180573807966141</v>
      </c>
      <c r="AJ259" s="150">
        <f t="shared" si="759"/>
        <v>1.4355980598493436</v>
      </c>
      <c r="AL259" s="314">
        <f t="shared" si="760"/>
        <v>516</v>
      </c>
      <c r="AM259" s="144">
        <f t="shared" si="761"/>
        <v>309.58494181966313</v>
      </c>
      <c r="AO259">
        <f t="shared" si="644"/>
        <v>516</v>
      </c>
      <c r="AP259">
        <f t="shared" si="645"/>
        <v>309.58494181966313</v>
      </c>
      <c r="AR259" s="5">
        <f t="shared" si="616"/>
        <v>3.2301312658240073</v>
      </c>
      <c r="AS259" s="5">
        <f t="shared" si="739"/>
        <v>0.26381490911485284</v>
      </c>
      <c r="AT259" s="5">
        <f t="shared" si="740"/>
        <v>2.9663163567091546</v>
      </c>
      <c r="AU259" s="150">
        <f t="shared" si="741"/>
        <v>8.1673123289481425E-2</v>
      </c>
      <c r="BA259" s="150">
        <f t="shared" si="692"/>
        <v>0.21747696921895615</v>
      </c>
      <c r="BB259" s="150">
        <f t="shared" si="693"/>
        <v>0.72924311507444528</v>
      </c>
      <c r="BC259" s="150">
        <f t="shared" si="694"/>
        <v>0.16300728454605248</v>
      </c>
      <c r="BD259" s="150"/>
      <c r="BE259" s="456">
        <f t="shared" si="695"/>
        <v>9.4592464281325608E-4</v>
      </c>
      <c r="BF259" s="456">
        <f t="shared" si="762"/>
        <v>0.50244814126881543</v>
      </c>
      <c r="BG259" s="456">
        <f t="shared" si="763"/>
        <v>0.46401932201403839</v>
      </c>
      <c r="BH259" s="456">
        <f t="shared" si="696"/>
        <v>0.13351543667322063</v>
      </c>
      <c r="BI259">
        <f t="shared" si="697"/>
        <v>2.6979179759712063E-2</v>
      </c>
      <c r="BJ259" s="144">
        <f t="shared" si="698"/>
        <v>490.99850177375049</v>
      </c>
      <c r="BK259">
        <f t="shared" si="764"/>
        <v>0.63730813832281874</v>
      </c>
      <c r="BL259" s="144">
        <f t="shared" si="699"/>
        <v>1127.9080043585998</v>
      </c>
      <c r="BM259" s="150">
        <f t="shared" si="765"/>
        <v>0.32056499999999993</v>
      </c>
      <c r="BN259" s="150">
        <f t="shared" si="766"/>
        <v>4.7703124999999999E-2</v>
      </c>
      <c r="BQ259" s="144">
        <f t="shared" si="700"/>
        <v>368.26812499999994</v>
      </c>
      <c r="BR259" s="456">
        <f t="shared" si="701"/>
        <v>1.4188869642198839E-3</v>
      </c>
      <c r="BS259" s="456">
        <f t="shared" si="702"/>
        <v>1.5953865626504415E-2</v>
      </c>
      <c r="BT259" s="456">
        <f t="shared" si="703"/>
        <v>1.3285687407538861E-4</v>
      </c>
      <c r="BU259" s="456">
        <f t="shared" si="704"/>
        <v>0.16817265053487457</v>
      </c>
      <c r="BV259" s="456"/>
      <c r="BW259" s="538">
        <f t="shared" si="705"/>
        <v>5.3783426000467865E-4</v>
      </c>
      <c r="BX259" s="144">
        <f t="shared" si="706"/>
        <v>186.21609425967893</v>
      </c>
      <c r="BY259" s="150">
        <f t="shared" si="707"/>
        <v>1.6823922236182789</v>
      </c>
      <c r="BZ259" s="5">
        <f t="shared" si="708"/>
        <v>3.44</v>
      </c>
      <c r="CA259" s="150">
        <f t="shared" si="709"/>
        <v>0.67156122565915188</v>
      </c>
      <c r="CB259" s="5">
        <f t="shared" si="710"/>
        <v>67.156122565915183</v>
      </c>
      <c r="CC259">
        <f t="shared" si="711"/>
        <v>43.000000000000007</v>
      </c>
      <c r="CE259" s="59">
        <f t="shared" si="767"/>
        <v>-50</v>
      </c>
      <c r="CG259" s="150">
        <f t="shared" si="768"/>
        <v>0.87957854338036034</v>
      </c>
      <c r="CH259" s="150">
        <f t="shared" si="769"/>
        <v>0.47330172420499939</v>
      </c>
      <c r="CI259" s="147">
        <v>43</v>
      </c>
      <c r="CJ259" s="188">
        <f t="shared" si="712"/>
        <v>0.51600000000000001</v>
      </c>
      <c r="CK259" s="188">
        <f t="shared" si="654"/>
        <v>0.1075</v>
      </c>
      <c r="CL259" s="188">
        <f t="shared" si="655"/>
        <v>2.58</v>
      </c>
      <c r="CM259" s="188">
        <f t="shared" si="656"/>
        <v>0.86</v>
      </c>
      <c r="CN259" s="465">
        <f t="shared" si="657"/>
        <v>60</v>
      </c>
      <c r="CO259" s="379">
        <f t="shared" si="770"/>
        <v>5.7</v>
      </c>
      <c r="CP259" s="379">
        <f t="shared" si="771"/>
        <v>65.7</v>
      </c>
      <c r="CQ259" s="379"/>
      <c r="CR259" s="188">
        <f t="shared" si="660"/>
        <v>8.2568807339449546E-2</v>
      </c>
      <c r="CS259" s="149">
        <f t="shared" si="661"/>
        <v>9.2889908256880744</v>
      </c>
      <c r="CT259" s="149">
        <f t="shared" si="662"/>
        <v>4.1284403669724767</v>
      </c>
      <c r="CU259" s="188">
        <f t="shared" si="663"/>
        <v>1.857798165137615</v>
      </c>
      <c r="CV259" s="188">
        <f t="shared" si="664"/>
        <v>1.1611238532110093</v>
      </c>
      <c r="CW259" s="188">
        <f t="shared" si="665"/>
        <v>5</v>
      </c>
      <c r="CX259" s="188">
        <f t="shared" si="666"/>
        <v>1.3887407407407406</v>
      </c>
      <c r="CY259" s="188">
        <f t="shared" si="667"/>
        <v>0.27774814814814813</v>
      </c>
      <c r="CZ259" s="188">
        <f t="shared" si="668"/>
        <v>2.9236647173489274</v>
      </c>
      <c r="DA259" s="172">
        <f t="shared" si="669"/>
        <v>350</v>
      </c>
      <c r="DB259" s="379">
        <f t="shared" si="670"/>
        <v>312.36208574576722</v>
      </c>
      <c r="DD259" s="188">
        <f t="shared" si="671"/>
        <v>1.2393998695368558</v>
      </c>
      <c r="DE259" s="150">
        <f t="shared" si="672"/>
        <v>2.6092628832354858</v>
      </c>
      <c r="DF259" s="150">
        <f t="shared" si="673"/>
        <v>0.4244520101153616</v>
      </c>
      <c r="DG259" s="150"/>
      <c r="DH259" s="150">
        <f t="shared" si="674"/>
        <v>2.1052631578947367</v>
      </c>
      <c r="DI259" s="314">
        <f t="shared" si="675"/>
        <v>490.20000000000005</v>
      </c>
      <c r="DJ259" s="456">
        <f t="shared" si="676"/>
        <v>0.36842105263157893</v>
      </c>
      <c r="DL259" s="150">
        <f t="shared" si="677"/>
        <v>1.2798809468443688</v>
      </c>
      <c r="DM259" s="150">
        <f t="shared" si="678"/>
        <v>1.3887407407407406</v>
      </c>
      <c r="DN259" s="150">
        <f t="shared" si="679"/>
        <v>1.4879561042524003</v>
      </c>
      <c r="DP259" s="314">
        <f t="shared" si="680"/>
        <v>516</v>
      </c>
      <c r="DQ259" s="144">
        <f t="shared" si="681"/>
        <v>312.36208574576722</v>
      </c>
      <c r="DS259">
        <f t="shared" si="682"/>
        <v>516</v>
      </c>
      <c r="DT259">
        <f t="shared" si="683"/>
        <v>312.36208574576722</v>
      </c>
      <c r="DV259" s="5">
        <f t="shared" si="684"/>
        <v>3.2014128654970762</v>
      </c>
      <c r="DW259" s="5">
        <f t="shared" si="685"/>
        <v>0.27774814814814813</v>
      </c>
      <c r="DX259" s="5">
        <f t="shared" si="686"/>
        <v>2.9236647173489279</v>
      </c>
      <c r="DY259" s="150">
        <f t="shared" si="687"/>
        <v>8.6757990867579904E-2</v>
      </c>
      <c r="EA259" s="5">
        <f t="shared" si="713"/>
        <v>2.866360888888889</v>
      </c>
      <c r="EB259" s="5">
        <f t="shared" si="714"/>
        <v>0.37322407407407404</v>
      </c>
      <c r="EC259" s="5">
        <f t="shared" si="715"/>
        <v>5.2382326185834951E-2</v>
      </c>
      <c r="ED259" s="5"/>
      <c r="EE259" s="150">
        <f t="shared" si="716"/>
        <v>0.23616486790455082</v>
      </c>
      <c r="EF259" s="150">
        <f t="shared" si="717"/>
        <v>0.76622000985270089</v>
      </c>
      <c r="EG259" s="150">
        <f t="shared" si="718"/>
        <v>0.17127270808472139</v>
      </c>
      <c r="EH259" s="150"/>
      <c r="EI259" s="456">
        <f t="shared" si="719"/>
        <v>1.1154768966474787E-3</v>
      </c>
      <c r="EJ259" s="456">
        <f t="shared" si="720"/>
        <v>0.56999999999999995</v>
      </c>
      <c r="EK259" s="456">
        <f t="shared" si="721"/>
        <v>3.9045260718220898E-2</v>
      </c>
      <c r="EL259" s="456">
        <f t="shared" si="722"/>
        <v>0.13483078195007472</v>
      </c>
      <c r="EM259">
        <f t="shared" si="723"/>
        <v>2.7E-2</v>
      </c>
      <c r="EN259" s="144">
        <f t="shared" si="724"/>
        <v>66.045260718220888</v>
      </c>
      <c r="EP259" s="144">
        <f t="shared" si="725"/>
        <v>771.99151956494302</v>
      </c>
      <c r="EQ259" s="150">
        <f t="shared" si="726"/>
        <v>0.36119999999999997</v>
      </c>
      <c r="ER259" s="150">
        <f t="shared" si="772"/>
        <v>4.7703124999999999E-2</v>
      </c>
      <c r="ES259" s="456"/>
      <c r="EU259" s="144">
        <f t="shared" si="727"/>
        <v>408.90312499999999</v>
      </c>
      <c r="EV259" s="456">
        <f t="shared" si="728"/>
        <v>1.6732153449712181E-3</v>
      </c>
      <c r="EW259" s="456">
        <f t="shared" si="729"/>
        <v>1.7612793104960191E-2</v>
      </c>
      <c r="EX259" s="456">
        <f t="shared" si="730"/>
        <v>1.4667170267337095E-4</v>
      </c>
      <c r="EY259" s="456">
        <f t="shared" si="731"/>
        <v>0.19596058643252517</v>
      </c>
      <c r="EZ259" s="456"/>
      <c r="FA259" s="538">
        <f t="shared" si="732"/>
        <v>6.0242178251310673E-4</v>
      </c>
      <c r="FB259" s="144">
        <f t="shared" si="733"/>
        <v>215.99568836764306</v>
      </c>
      <c r="FC259" s="150">
        <f t="shared" si="734"/>
        <v>1.3968903329325861</v>
      </c>
      <c r="FD259" s="5">
        <f t="shared" si="735"/>
        <v>3.44</v>
      </c>
      <c r="FE259" s="150">
        <f t="shared" si="736"/>
        <v>0.71120074329126726</v>
      </c>
      <c r="FF259" s="5">
        <f t="shared" si="737"/>
        <v>71.120074329126723</v>
      </c>
      <c r="FG259">
        <f t="shared" si="738"/>
        <v>43.000000000000007</v>
      </c>
      <c r="FI259" s="59">
        <f t="shared" si="689"/>
        <v>-50</v>
      </c>
    </row>
    <row r="260" spans="5:165">
      <c r="E260" s="147">
        <v>44</v>
      </c>
      <c r="F260" s="188">
        <f t="shared" si="773"/>
        <v>0.52800000000000002</v>
      </c>
      <c r="G260" s="188">
        <f t="shared" si="742"/>
        <v>0.11</v>
      </c>
      <c r="H260" s="188">
        <f t="shared" si="743"/>
        <v>2.64</v>
      </c>
      <c r="I260" s="188">
        <f t="shared" si="744"/>
        <v>0.88</v>
      </c>
      <c r="J260" s="465">
        <f t="shared" si="745"/>
        <v>59.952656817949915</v>
      </c>
      <c r="K260" s="379">
        <f t="shared" si="746"/>
        <v>5.7180086248342583</v>
      </c>
      <c r="L260" s="149">
        <f t="shared" si="747"/>
        <v>65.67066544278417</v>
      </c>
      <c r="M260" s="379"/>
      <c r="N260" s="188">
        <f t="shared" si="748"/>
        <v>8.7070971281935555E-2</v>
      </c>
      <c r="O260" s="149">
        <f t="shared" si="749"/>
        <v>9.7877551126339775</v>
      </c>
      <c r="P260" s="149">
        <f t="shared" si="750"/>
        <v>4.3501133833928787</v>
      </c>
      <c r="Q260" s="188">
        <f t="shared" si="626"/>
        <v>1.9575510225267956</v>
      </c>
      <c r="R260" s="188">
        <f t="shared" si="751"/>
        <v>1.2234693890792472</v>
      </c>
      <c r="S260" s="188">
        <f t="shared" si="752"/>
        <v>5</v>
      </c>
      <c r="T260" s="188">
        <f t="shared" si="753"/>
        <v>1.3486238517514111</v>
      </c>
      <c r="U260" s="188">
        <f t="shared" si="630"/>
        <v>0.26993776556323645</v>
      </c>
      <c r="V260" s="188">
        <f t="shared" si="631"/>
        <v>2.8302661438336019</v>
      </c>
      <c r="W260" s="172">
        <f t="shared" si="632"/>
        <v>350</v>
      </c>
      <c r="X260" s="379">
        <f t="shared" si="691"/>
        <v>303.01157972471009</v>
      </c>
      <c r="Z260" s="188">
        <f t="shared" si="633"/>
        <v>1.2428895381122509</v>
      </c>
      <c r="AA260" s="150">
        <f t="shared" si="634"/>
        <v>2.6083686534801833</v>
      </c>
      <c r="AB260" s="150">
        <f t="shared" si="754"/>
        <v>0.42550122706224774</v>
      </c>
      <c r="AC260" s="150"/>
      <c r="AD260" s="150">
        <f t="shared" si="636"/>
        <v>2.0986327211683475</v>
      </c>
      <c r="AE260" s="314">
        <f t="shared" si="755"/>
        <v>503.18475898541482</v>
      </c>
      <c r="AF260" s="456">
        <f t="shared" si="756"/>
        <v>0.36726072620446082</v>
      </c>
      <c r="AH260" s="150">
        <f t="shared" si="757"/>
        <v>1.2946777499402993</v>
      </c>
      <c r="AI260" s="150">
        <f t="shared" si="758"/>
        <v>1.3486238517514111</v>
      </c>
      <c r="AJ260" s="150">
        <f t="shared" si="759"/>
        <v>1.4582398901862303</v>
      </c>
      <c r="AL260" s="314">
        <f t="shared" si="760"/>
        <v>528</v>
      </c>
      <c r="AM260" s="144">
        <f t="shared" si="761"/>
        <v>303.01157972471009</v>
      </c>
      <c r="AO260">
        <f t="shared" si="644"/>
        <v>528</v>
      </c>
      <c r="AP260">
        <f t="shared" si="645"/>
        <v>303.01157972471009</v>
      </c>
      <c r="AR260" s="5">
        <f t="shared" si="616"/>
        <v>3.3002039093968385</v>
      </c>
      <c r="AS260" s="5">
        <f t="shared" si="739"/>
        <v>0.26993776556323645</v>
      </c>
      <c r="AT260" s="5">
        <f t="shared" si="740"/>
        <v>3.030266143833602</v>
      </c>
      <c r="AU260" s="150">
        <f t="shared" si="741"/>
        <v>8.1794268770674722E-2</v>
      </c>
      <c r="BA260" s="150">
        <f t="shared" si="692"/>
        <v>0.2226853497112059</v>
      </c>
      <c r="BB260" s="150">
        <f t="shared" si="693"/>
        <v>0.74610544352765706</v>
      </c>
      <c r="BC260" s="150">
        <f t="shared" si="694"/>
        <v>0.16677651090618217</v>
      </c>
      <c r="BD260" s="150"/>
      <c r="BE260" s="456">
        <f t="shared" si="695"/>
        <v>9.9177529952004144E-4</v>
      </c>
      <c r="BF260" s="456">
        <f t="shared" si="762"/>
        <v>0.50317928191696448</v>
      </c>
      <c r="BG260" s="456">
        <f t="shared" si="763"/>
        <v>0.45415873127751039</v>
      </c>
      <c r="BH260" s="456">
        <f t="shared" si="696"/>
        <v>0.13067787379496457</v>
      </c>
      <c r="BI260">
        <f t="shared" si="697"/>
        <v>2.6978695568077461E-2</v>
      </c>
      <c r="BJ260" s="144">
        <f t="shared" si="698"/>
        <v>481.13742684558787</v>
      </c>
      <c r="BK260">
        <f t="shared" si="764"/>
        <v>0.63526640821038871</v>
      </c>
      <c r="BL260" s="144">
        <f t="shared" si="699"/>
        <v>1115.9863578570371</v>
      </c>
      <c r="BM260" s="150">
        <f t="shared" si="765"/>
        <v>0.32801999999999998</v>
      </c>
      <c r="BN260" s="150">
        <f t="shared" si="766"/>
        <v>4.8812499999999995E-2</v>
      </c>
      <c r="BQ260" s="144">
        <f t="shared" si="700"/>
        <v>376.83249999999998</v>
      </c>
      <c r="BR260" s="456">
        <f t="shared" si="701"/>
        <v>1.4876629492800622E-3</v>
      </c>
      <c r="BS260" s="456">
        <f t="shared" si="702"/>
        <v>1.6700199985848055E-2</v>
      </c>
      <c r="BT260" s="456">
        <f t="shared" si="703"/>
        <v>1.3907202295019951E-4</v>
      </c>
      <c r="BU260" s="456">
        <f t="shared" si="704"/>
        <v>0.16878939601344153</v>
      </c>
      <c r="BV260" s="456"/>
      <c r="BW260" s="538">
        <f t="shared" si="705"/>
        <v>5.5111330797896741E-4</v>
      </c>
      <c r="BX260" s="144">
        <f t="shared" si="706"/>
        <v>187.66744427949882</v>
      </c>
      <c r="BY260" s="150">
        <f t="shared" si="707"/>
        <v>1.6804863021365357</v>
      </c>
      <c r="BZ260" s="5">
        <f t="shared" si="708"/>
        <v>3.52</v>
      </c>
      <c r="CA260" s="150">
        <f t="shared" si="709"/>
        <v>0.67685977723926793</v>
      </c>
      <c r="CB260" s="5">
        <f t="shared" si="710"/>
        <v>67.685977723926797</v>
      </c>
      <c r="CC260">
        <f t="shared" si="711"/>
        <v>44.000000000000007</v>
      </c>
      <c r="CE260" s="59">
        <f t="shared" si="767"/>
        <v>-50</v>
      </c>
      <c r="CG260" s="150">
        <f t="shared" si="768"/>
        <v>0.87957854338036046</v>
      </c>
      <c r="CH260" s="150">
        <f t="shared" si="769"/>
        <v>0.47330172420499944</v>
      </c>
      <c r="CI260" s="147">
        <v>44</v>
      </c>
      <c r="CJ260" s="188">
        <f t="shared" si="712"/>
        <v>0.52800000000000002</v>
      </c>
      <c r="CK260" s="188">
        <f t="shared" si="654"/>
        <v>0.11</v>
      </c>
      <c r="CL260" s="188">
        <f t="shared" si="655"/>
        <v>2.64</v>
      </c>
      <c r="CM260" s="188">
        <f t="shared" si="656"/>
        <v>0.88</v>
      </c>
      <c r="CN260" s="465">
        <f t="shared" si="657"/>
        <v>60</v>
      </c>
      <c r="CO260" s="379">
        <f t="shared" si="770"/>
        <v>5.7</v>
      </c>
      <c r="CP260" s="379">
        <f t="shared" si="771"/>
        <v>65.7</v>
      </c>
      <c r="CQ260" s="379"/>
      <c r="CR260" s="188">
        <f t="shared" si="660"/>
        <v>8.2568807339449546E-2</v>
      </c>
      <c r="CS260" s="149">
        <f t="shared" si="661"/>
        <v>9.2889908256880744</v>
      </c>
      <c r="CT260" s="149">
        <f t="shared" si="662"/>
        <v>4.1284403669724767</v>
      </c>
      <c r="CU260" s="188">
        <f t="shared" si="663"/>
        <v>1.857798165137615</v>
      </c>
      <c r="CV260" s="188">
        <f t="shared" si="664"/>
        <v>1.1611238532110093</v>
      </c>
      <c r="CW260" s="188">
        <f t="shared" si="665"/>
        <v>5</v>
      </c>
      <c r="CX260" s="188">
        <f t="shared" si="666"/>
        <v>1.4210370370370369</v>
      </c>
      <c r="CY260" s="188">
        <f t="shared" si="667"/>
        <v>0.28420740740740741</v>
      </c>
      <c r="CZ260" s="188">
        <f t="shared" si="668"/>
        <v>2.9916569200779719</v>
      </c>
      <c r="DA260" s="172">
        <f t="shared" si="669"/>
        <v>350</v>
      </c>
      <c r="DB260" s="379">
        <f t="shared" si="670"/>
        <v>305.26294743336354</v>
      </c>
      <c r="DD260" s="188">
        <f t="shared" si="671"/>
        <v>1.2393998695368558</v>
      </c>
      <c r="DE260" s="150">
        <f t="shared" si="672"/>
        <v>2.6092628832354858</v>
      </c>
      <c r="DF260" s="150">
        <f t="shared" si="673"/>
        <v>0.4244520101153616</v>
      </c>
      <c r="DG260" s="150"/>
      <c r="DH260" s="150">
        <f t="shared" si="674"/>
        <v>2.1052631578947367</v>
      </c>
      <c r="DI260" s="314">
        <f t="shared" si="675"/>
        <v>501.60000000000008</v>
      </c>
      <c r="DJ260" s="456">
        <f t="shared" si="676"/>
        <v>0.36842105263157893</v>
      </c>
      <c r="DL260" s="150">
        <f t="shared" si="677"/>
        <v>1.2946777499402993</v>
      </c>
      <c r="DM260" s="150">
        <f t="shared" si="678"/>
        <v>1.4210370370370369</v>
      </c>
      <c r="DN260" s="150">
        <f t="shared" si="679"/>
        <v>1.5118792866941013</v>
      </c>
      <c r="DP260" s="314">
        <f t="shared" si="680"/>
        <v>528</v>
      </c>
      <c r="DQ260" s="144">
        <f t="shared" si="681"/>
        <v>305.26294743336354</v>
      </c>
      <c r="DS260">
        <f t="shared" si="682"/>
        <v>528</v>
      </c>
      <c r="DT260">
        <f t="shared" si="683"/>
        <v>305.26294743336354</v>
      </c>
      <c r="DV260" s="5">
        <f t="shared" si="684"/>
        <v>3.2758643274853791</v>
      </c>
      <c r="DW260" s="5">
        <f t="shared" si="685"/>
        <v>0.28420740740740741</v>
      </c>
      <c r="DX260" s="5">
        <f t="shared" si="686"/>
        <v>2.9916569200779719</v>
      </c>
      <c r="DY260" s="150">
        <f t="shared" si="687"/>
        <v>8.6757990867579932E-2</v>
      </c>
      <c r="EA260" s="5">
        <f t="shared" si="713"/>
        <v>3.0012302222222225</v>
      </c>
      <c r="EB260" s="5">
        <f t="shared" si="714"/>
        <v>0.39078518518518518</v>
      </c>
      <c r="EC260" s="5">
        <f t="shared" si="715"/>
        <v>5.4847043534762822E-2</v>
      </c>
      <c r="ED260" s="5"/>
      <c r="EE260" s="150">
        <f t="shared" si="716"/>
        <v>0.24165707413488924</v>
      </c>
      <c r="EF260" s="150">
        <f t="shared" si="717"/>
        <v>0.78403907984927534</v>
      </c>
      <c r="EG260" s="150">
        <f t="shared" si="718"/>
        <v>0.17525579431924979</v>
      </c>
      <c r="EH260" s="150"/>
      <c r="EI260" s="456">
        <f t="shared" si="719"/>
        <v>1.167962829588707E-3</v>
      </c>
      <c r="EJ260" s="456">
        <f t="shared" si="720"/>
        <v>0.57000000000000028</v>
      </c>
      <c r="EK260" s="456">
        <f t="shared" si="721"/>
        <v>3.815786842917044E-2</v>
      </c>
      <c r="EL260" s="456">
        <f t="shared" si="722"/>
        <v>0.13176644599666398</v>
      </c>
      <c r="EM260">
        <f t="shared" si="723"/>
        <v>2.7E-2</v>
      </c>
      <c r="EN260" s="144">
        <f t="shared" si="724"/>
        <v>65.157868429170449</v>
      </c>
      <c r="EP260" s="144">
        <f t="shared" si="725"/>
        <v>768.09227725542348</v>
      </c>
      <c r="EQ260" s="150">
        <f t="shared" si="726"/>
        <v>0.36959999999999998</v>
      </c>
      <c r="ER260" s="150">
        <f t="shared" si="772"/>
        <v>4.8812499999999995E-2</v>
      </c>
      <c r="ES260" s="456"/>
      <c r="EU260" s="144">
        <f t="shared" si="727"/>
        <v>418.41249999999997</v>
      </c>
      <c r="EV260" s="456">
        <f t="shared" si="728"/>
        <v>1.7519442443830605E-3</v>
      </c>
      <c r="EW260" s="456">
        <f t="shared" si="729"/>
        <v>1.8441518361926947E-2</v>
      </c>
      <c r="EX260" s="456">
        <f t="shared" si="730"/>
        <v>1.5357296721235593E-4</v>
      </c>
      <c r="EY260" s="456">
        <f t="shared" si="731"/>
        <v>0.19596058643252529</v>
      </c>
      <c r="EZ260" s="456"/>
      <c r="FA260" s="538">
        <f t="shared" si="732"/>
        <v>6.1643159140876047E-4</v>
      </c>
      <c r="FB260" s="144">
        <f t="shared" si="733"/>
        <v>216.92405359745641</v>
      </c>
      <c r="FC260" s="150">
        <f t="shared" si="734"/>
        <v>1.4034288308528797</v>
      </c>
      <c r="FD260" s="5">
        <f t="shared" si="735"/>
        <v>3.52</v>
      </c>
      <c r="FE260" s="150">
        <f t="shared" si="736"/>
        <v>0.71494889454718391</v>
      </c>
      <c r="FF260" s="5">
        <f t="shared" si="737"/>
        <v>71.49488945471839</v>
      </c>
      <c r="FG260">
        <f t="shared" si="738"/>
        <v>44.000000000000007</v>
      </c>
      <c r="FI260" s="59">
        <f t="shared" si="689"/>
        <v>-50</v>
      </c>
    </row>
    <row r="261" spans="5:165">
      <c r="E261" s="147">
        <v>45</v>
      </c>
      <c r="F261" s="188">
        <f t="shared" si="773"/>
        <v>0.54</v>
      </c>
      <c r="G261" s="188">
        <f t="shared" si="742"/>
        <v>0.1125</v>
      </c>
      <c r="H261" s="188">
        <f t="shared" si="743"/>
        <v>2.7</v>
      </c>
      <c r="I261" s="188">
        <f t="shared" si="744"/>
        <v>0.9</v>
      </c>
      <c r="J261" s="465">
        <f t="shared" si="745"/>
        <v>59.951580836539684</v>
      </c>
      <c r="K261" s="379">
        <f t="shared" si="746"/>
        <v>5.7184179117623097</v>
      </c>
      <c r="L261" s="149">
        <f t="shared" si="747"/>
        <v>65.669998748301992</v>
      </c>
      <c r="M261" s="379"/>
      <c r="N261" s="188">
        <f t="shared" si="748"/>
        <v>8.7078087722822883E-2</v>
      </c>
      <c r="O261" s="149">
        <f t="shared" si="749"/>
        <v>9.7883794035114562</v>
      </c>
      <c r="P261" s="149">
        <f t="shared" si="750"/>
        <v>4.3503908460050909</v>
      </c>
      <c r="Q261" s="188">
        <f t="shared" si="626"/>
        <v>1.9576758807022911</v>
      </c>
      <c r="R261" s="188">
        <f t="shared" si="751"/>
        <v>1.223547425438932</v>
      </c>
      <c r="S261" s="188">
        <f t="shared" si="752"/>
        <v>5</v>
      </c>
      <c r="T261" s="188">
        <f t="shared" si="753"/>
        <v>1.3791864254012312</v>
      </c>
      <c r="U261" s="188">
        <f t="shared" si="630"/>
        <v>0.27606006170111907</v>
      </c>
      <c r="V261" s="188">
        <f t="shared" si="631"/>
        <v>2.8941985983172573</v>
      </c>
      <c r="W261" s="172">
        <f t="shared" si="632"/>
        <v>350</v>
      </c>
      <c r="X261" s="379">
        <f t="shared" si="691"/>
        <v>296.71313120950413</v>
      </c>
      <c r="Z261" s="188">
        <f t="shared" si="633"/>
        <v>1.2429688131443117</v>
      </c>
      <c r="AA261" s="150">
        <f t="shared" si="634"/>
        <v>2.6083483207919342</v>
      </c>
      <c r="AB261" s="150">
        <f t="shared" si="754"/>
        <v>0.42552504967372429</v>
      </c>
      <c r="AC261" s="150"/>
      <c r="AD261" s="150">
        <f t="shared" si="636"/>
        <v>2.0984825147733606</v>
      </c>
      <c r="AE261" s="314">
        <f t="shared" si="755"/>
        <v>514.65761205860781</v>
      </c>
      <c r="AF261" s="456">
        <f t="shared" si="756"/>
        <v>0.36723444008533818</v>
      </c>
      <c r="AH261" s="150">
        <f t="shared" si="757"/>
        <v>1.3093073414159542</v>
      </c>
      <c r="AI261" s="150">
        <f t="shared" si="758"/>
        <v>1.3791864254012312</v>
      </c>
      <c r="AJ261" s="150">
        <f t="shared" si="759"/>
        <v>1.4808788336305416</v>
      </c>
      <c r="AL261" s="314">
        <f t="shared" si="760"/>
        <v>540</v>
      </c>
      <c r="AM261" s="144">
        <f t="shared" si="761"/>
        <v>296.71313120950413</v>
      </c>
      <c r="AO261">
        <f t="shared" si="644"/>
        <v>540</v>
      </c>
      <c r="AP261">
        <f t="shared" si="645"/>
        <v>296.71313120950413</v>
      </c>
      <c r="AR261" s="5">
        <f t="shared" si="616"/>
        <v>3.3702586600183762</v>
      </c>
      <c r="AS261" s="5">
        <f t="shared" si="739"/>
        <v>0.27606006170111907</v>
      </c>
      <c r="AT261" s="5">
        <f t="shared" si="740"/>
        <v>3.0941985983172571</v>
      </c>
      <c r="AU261" s="150">
        <f t="shared" si="741"/>
        <v>8.1910645309227953E-2</v>
      </c>
      <c r="BA261" s="150">
        <f t="shared" si="692"/>
        <v>0.22789380537402659</v>
      </c>
      <c r="BB261" s="150">
        <f t="shared" si="693"/>
        <v>0.76296536322156883</v>
      </c>
      <c r="BC261" s="150">
        <f t="shared" si="694"/>
        <v>0.17054519883776245</v>
      </c>
      <c r="BD261" s="150"/>
      <c r="BE261" s="456">
        <f t="shared" si="695"/>
        <v>1.0387117305570943E-3</v>
      </c>
      <c r="BF261" s="456">
        <f t="shared" si="762"/>
        <v>0.50388104426649616</v>
      </c>
      <c r="BG261" s="456">
        <f t="shared" si="763"/>
        <v>0.44471053177423481</v>
      </c>
      <c r="BH261" s="456">
        <f t="shared" si="696"/>
        <v>0.12795898388340529</v>
      </c>
      <c r="BI261">
        <f t="shared" si="697"/>
        <v>2.6978211376442858E-2</v>
      </c>
      <c r="BJ261" s="144">
        <f t="shared" si="698"/>
        <v>471.68874315067768</v>
      </c>
      <c r="BK261">
        <f t="shared" si="764"/>
        <v>0.6333154929859629</v>
      </c>
      <c r="BL261" s="144">
        <f t="shared" si="699"/>
        <v>1104.5674830311364</v>
      </c>
      <c r="BM261" s="150">
        <f t="shared" si="765"/>
        <v>0.33547499999999997</v>
      </c>
      <c r="BN261" s="150">
        <f t="shared" si="766"/>
        <v>4.9921874999999998E-2</v>
      </c>
      <c r="BQ261" s="144">
        <f t="shared" si="700"/>
        <v>385.39687499999997</v>
      </c>
      <c r="BR261" s="456">
        <f t="shared" si="701"/>
        <v>1.5580675958356412E-3</v>
      </c>
      <c r="BS261" s="456">
        <f t="shared" si="702"/>
        <v>1.7463484364274612E-2</v>
      </c>
      <c r="BT261" s="456">
        <f t="shared" si="703"/>
        <v>1.4542832423305966E-4</v>
      </c>
      <c r="BU261" s="456">
        <f t="shared" si="704"/>
        <v>0.16938281882176831</v>
      </c>
      <c r="BV261" s="456"/>
      <c r="BW261" s="538">
        <f t="shared" si="705"/>
        <v>5.6439442425485951E-4</v>
      </c>
      <c r="BX261" s="144">
        <f t="shared" si="706"/>
        <v>189.11419353036649</v>
      </c>
      <c r="BY261" s="150">
        <f t="shared" si="707"/>
        <v>1.6790785515615025</v>
      </c>
      <c r="BZ261" s="5">
        <f t="shared" si="708"/>
        <v>3.6</v>
      </c>
      <c r="CA261" s="150">
        <f t="shared" si="709"/>
        <v>0.68193719128031416</v>
      </c>
      <c r="CB261" s="5">
        <f t="shared" si="710"/>
        <v>68.193719128031418</v>
      </c>
      <c r="CC261">
        <f t="shared" si="711"/>
        <v>45.000000000000007</v>
      </c>
      <c r="CE261" s="59">
        <f t="shared" si="767"/>
        <v>-50</v>
      </c>
      <c r="CG261" s="150">
        <f t="shared" si="768"/>
        <v>0.87957854338036034</v>
      </c>
      <c r="CH261" s="150">
        <f t="shared" si="769"/>
        <v>0.47330172420499933</v>
      </c>
      <c r="CI261" s="147">
        <v>45</v>
      </c>
      <c r="CJ261" s="188">
        <f t="shared" si="712"/>
        <v>0.54</v>
      </c>
      <c r="CK261" s="188">
        <f t="shared" si="654"/>
        <v>0.1125</v>
      </c>
      <c r="CL261" s="188">
        <f t="shared" si="655"/>
        <v>2.7</v>
      </c>
      <c r="CM261" s="188">
        <f t="shared" si="656"/>
        <v>0.9</v>
      </c>
      <c r="CN261" s="465">
        <f t="shared" si="657"/>
        <v>60</v>
      </c>
      <c r="CO261" s="379">
        <f t="shared" si="770"/>
        <v>5.7</v>
      </c>
      <c r="CP261" s="379">
        <f t="shared" si="771"/>
        <v>65.7</v>
      </c>
      <c r="CQ261" s="379"/>
      <c r="CR261" s="188">
        <f t="shared" si="660"/>
        <v>8.2568807339449546E-2</v>
      </c>
      <c r="CS261" s="149">
        <f t="shared" si="661"/>
        <v>9.2889908256880744</v>
      </c>
      <c r="CT261" s="149">
        <f t="shared" si="662"/>
        <v>4.1284403669724767</v>
      </c>
      <c r="CU261" s="188">
        <f t="shared" si="663"/>
        <v>1.857798165137615</v>
      </c>
      <c r="CV261" s="188">
        <f t="shared" si="664"/>
        <v>1.1611238532110093</v>
      </c>
      <c r="CW261" s="188">
        <f t="shared" si="665"/>
        <v>5</v>
      </c>
      <c r="CX261" s="188">
        <f t="shared" si="666"/>
        <v>1.4533333333333331</v>
      </c>
      <c r="CY261" s="188">
        <f t="shared" si="667"/>
        <v>0.29066666666666668</v>
      </c>
      <c r="CZ261" s="188">
        <f t="shared" si="668"/>
        <v>3.0596491228070173</v>
      </c>
      <c r="DA261" s="172">
        <f t="shared" si="669"/>
        <v>350</v>
      </c>
      <c r="DB261" s="379">
        <f t="shared" si="670"/>
        <v>298.47932637928869</v>
      </c>
      <c r="DD261" s="188">
        <f t="shared" si="671"/>
        <v>1.2393998695368558</v>
      </c>
      <c r="DE261" s="150">
        <f t="shared" si="672"/>
        <v>2.6092628832354858</v>
      </c>
      <c r="DF261" s="150">
        <f t="shared" si="673"/>
        <v>0.4244520101153616</v>
      </c>
      <c r="DG261" s="150"/>
      <c r="DH261" s="150">
        <f t="shared" si="674"/>
        <v>2.1052631578947367</v>
      </c>
      <c r="DI261" s="314">
        <f t="shared" si="675"/>
        <v>513.00000000000011</v>
      </c>
      <c r="DJ261" s="456">
        <f t="shared" si="676"/>
        <v>0.36842105263157893</v>
      </c>
      <c r="DL261" s="150">
        <f t="shared" si="677"/>
        <v>1.3093073414159542</v>
      </c>
      <c r="DM261" s="150">
        <f t="shared" si="678"/>
        <v>1.4533333333333331</v>
      </c>
      <c r="DN261" s="150">
        <f t="shared" si="679"/>
        <v>1.5358024691358023</v>
      </c>
      <c r="DP261" s="314">
        <f t="shared" si="680"/>
        <v>540</v>
      </c>
      <c r="DQ261" s="144">
        <f t="shared" si="681"/>
        <v>298.47932637928869</v>
      </c>
      <c r="DS261">
        <f t="shared" si="682"/>
        <v>540</v>
      </c>
      <c r="DT261">
        <f t="shared" si="683"/>
        <v>298.47932637928869</v>
      </c>
      <c r="DV261" s="5">
        <f t="shared" si="684"/>
        <v>3.3503157894736839</v>
      </c>
      <c r="DW261" s="5">
        <f t="shared" si="685"/>
        <v>0.29066666666666668</v>
      </c>
      <c r="DX261" s="5">
        <f t="shared" si="686"/>
        <v>3.0596491228070173</v>
      </c>
      <c r="DY261" s="150">
        <f t="shared" si="687"/>
        <v>8.6757990867579918E-2</v>
      </c>
      <c r="EA261" s="5">
        <f t="shared" si="713"/>
        <v>3.1392000000000002</v>
      </c>
      <c r="EB261" s="5">
        <f t="shared" si="714"/>
        <v>0.40875</v>
      </c>
      <c r="EC261" s="5">
        <f t="shared" si="715"/>
        <v>5.7368421052631575E-2</v>
      </c>
      <c r="ED261" s="5"/>
      <c r="EE261" s="150">
        <f t="shared" si="716"/>
        <v>0.2471492803652276</v>
      </c>
      <c r="EF261" s="150">
        <f t="shared" si="717"/>
        <v>0.8018581498458498</v>
      </c>
      <c r="EG261" s="150">
        <f t="shared" si="718"/>
        <v>0.17923888055377818</v>
      </c>
      <c r="EH261" s="150"/>
      <c r="EI261" s="456">
        <f t="shared" si="719"/>
        <v>1.2216553357009975E-3</v>
      </c>
      <c r="EJ261" s="456">
        <f t="shared" si="720"/>
        <v>0.57000000000000006</v>
      </c>
      <c r="EK261" s="456">
        <f t="shared" si="721"/>
        <v>3.7309915797411081E-2</v>
      </c>
      <c r="EL261" s="456">
        <f t="shared" si="722"/>
        <v>0.12883830275229363</v>
      </c>
      <c r="EM261">
        <f t="shared" si="723"/>
        <v>2.7E-2</v>
      </c>
      <c r="EN261" s="144">
        <f t="shared" si="724"/>
        <v>64.30991579741108</v>
      </c>
      <c r="EP261" s="144">
        <f t="shared" si="725"/>
        <v>764.36987388540581</v>
      </c>
      <c r="EQ261" s="150">
        <f t="shared" si="726"/>
        <v>0.378</v>
      </c>
      <c r="ER261" s="150">
        <f t="shared" si="772"/>
        <v>4.9921874999999998E-2</v>
      </c>
      <c r="ES261" s="456"/>
      <c r="EU261" s="144">
        <f t="shared" si="727"/>
        <v>427.921875</v>
      </c>
      <c r="EV261" s="456">
        <f t="shared" si="728"/>
        <v>1.8324830035514961E-3</v>
      </c>
      <c r="EW261" s="456">
        <f t="shared" si="729"/>
        <v>1.9289294774226279E-2</v>
      </c>
      <c r="EX261" s="456">
        <f t="shared" si="730"/>
        <v>1.6063288151085781E-4</v>
      </c>
      <c r="EY261" s="456">
        <f t="shared" si="731"/>
        <v>0.19596058643252548</v>
      </c>
      <c r="EZ261" s="456"/>
      <c r="FA261" s="538">
        <f t="shared" si="732"/>
        <v>6.3044140030441389E-4</v>
      </c>
      <c r="FB261" s="144">
        <f t="shared" si="733"/>
        <v>217.87343849211851</v>
      </c>
      <c r="FC261" s="150">
        <f t="shared" si="734"/>
        <v>1.4101651873775243</v>
      </c>
      <c r="FD261" s="5">
        <f t="shared" si="735"/>
        <v>3.6</v>
      </c>
      <c r="FE261" s="150">
        <f t="shared" si="736"/>
        <v>0.71853918291351826</v>
      </c>
      <c r="FF261" s="5">
        <f t="shared" si="737"/>
        <v>71.853918291351832</v>
      </c>
      <c r="FG261">
        <f t="shared" si="738"/>
        <v>45.000000000000007</v>
      </c>
      <c r="FI261" s="59">
        <f t="shared" si="689"/>
        <v>-50</v>
      </c>
    </row>
    <row r="262" spans="5:165">
      <c r="E262" s="147">
        <v>46</v>
      </c>
      <c r="F262" s="188">
        <f t="shared" si="773"/>
        <v>0.55200000000000005</v>
      </c>
      <c r="G262" s="188">
        <f t="shared" si="742"/>
        <v>0.115</v>
      </c>
      <c r="H262" s="188">
        <f t="shared" si="743"/>
        <v>2.7600000000000002</v>
      </c>
      <c r="I262" s="188">
        <f t="shared" si="744"/>
        <v>0.92</v>
      </c>
      <c r="J262" s="465">
        <f t="shared" si="745"/>
        <v>59.950504855129452</v>
      </c>
      <c r="K262" s="379">
        <f t="shared" si="746"/>
        <v>5.7188271986903612</v>
      </c>
      <c r="L262" s="149">
        <f t="shared" si="747"/>
        <v>65.669332053819815</v>
      </c>
      <c r="M262" s="379"/>
      <c r="N262" s="188">
        <f t="shared" si="748"/>
        <v>8.7085204308206626E-2</v>
      </c>
      <c r="O262" s="149">
        <f t="shared" si="749"/>
        <v>9.789003681917027</v>
      </c>
      <c r="P262" s="149">
        <f t="shared" si="750"/>
        <v>4.3506683030742339</v>
      </c>
      <c r="Q262" s="188">
        <f t="shared" si="626"/>
        <v>1.9578007363834053</v>
      </c>
      <c r="R262" s="188">
        <f t="shared" si="751"/>
        <v>1.2236254602396284</v>
      </c>
      <c r="S262" s="188">
        <f t="shared" si="752"/>
        <v>5</v>
      </c>
      <c r="T262" s="188">
        <f t="shared" si="753"/>
        <v>1.4097451026085916</v>
      </c>
      <c r="U262" s="188">
        <f t="shared" si="630"/>
        <v>0.28218179767097762</v>
      </c>
      <c r="V262" s="188">
        <f t="shared" si="631"/>
        <v>2.9581137256913728</v>
      </c>
      <c r="W262" s="172">
        <f t="shared" si="632"/>
        <v>350</v>
      </c>
      <c r="X262" s="379">
        <f t="shared" si="691"/>
        <v>290.67270332132875</v>
      </c>
      <c r="Z262" s="188">
        <f t="shared" si="633"/>
        <v>1.2430480865926385</v>
      </c>
      <c r="AA262" s="150">
        <f t="shared" si="634"/>
        <v>2.6083279876908381</v>
      </c>
      <c r="AB262" s="150">
        <f t="shared" si="754"/>
        <v>0.42554887125254748</v>
      </c>
      <c r="AC262" s="150"/>
      <c r="AD262" s="150">
        <f t="shared" si="636"/>
        <v>2.0983323298784162</v>
      </c>
      <c r="AE262" s="314">
        <f t="shared" si="755"/>
        <v>526.13210227951322</v>
      </c>
      <c r="AF262" s="456">
        <f t="shared" si="756"/>
        <v>0.36720815772872284</v>
      </c>
      <c r="AH262" s="150">
        <f t="shared" si="757"/>
        <v>1.3237752650585946</v>
      </c>
      <c r="AI262" s="150">
        <f t="shared" si="758"/>
        <v>1.4097451026085916</v>
      </c>
      <c r="AJ262" s="150">
        <f t="shared" si="759"/>
        <v>1.5035148908211791</v>
      </c>
      <c r="AL262" s="314">
        <f t="shared" si="760"/>
        <v>552</v>
      </c>
      <c r="AM262" s="144">
        <f t="shared" si="761"/>
        <v>290.67270332132875</v>
      </c>
      <c r="AO262">
        <f t="shared" si="644"/>
        <v>552</v>
      </c>
      <c r="AP262">
        <f t="shared" si="645"/>
        <v>290.67270332132875</v>
      </c>
      <c r="AR262" s="5">
        <f t="shared" si="616"/>
        <v>3.4402955233623507</v>
      </c>
      <c r="AS262" s="5">
        <f t="shared" si="739"/>
        <v>0.28218179767097762</v>
      </c>
      <c r="AT262" s="5">
        <f t="shared" si="740"/>
        <v>3.1581137256913729</v>
      </c>
      <c r="AU262" s="150">
        <f t="shared" si="741"/>
        <v>8.2022545957095294E-2</v>
      </c>
      <c r="BA262" s="150">
        <f t="shared" si="692"/>
        <v>0.2331023167820393</v>
      </c>
      <c r="BB262" s="150">
        <f t="shared" si="693"/>
        <v>0.77982288246786013</v>
      </c>
      <c r="BC262" s="150">
        <f t="shared" si="694"/>
        <v>0.17431335019869815</v>
      </c>
      <c r="BD262" s="150"/>
      <c r="BE262" s="456">
        <f t="shared" si="695"/>
        <v>1.086733801783084E-3</v>
      </c>
      <c r="BF262" s="456">
        <f t="shared" si="762"/>
        <v>0.50455523347728104</v>
      </c>
      <c r="BG262" s="456">
        <f t="shared" si="763"/>
        <v>0.43564938279297299</v>
      </c>
      <c r="BH262" s="456">
        <f t="shared" si="696"/>
        <v>0.12535147469482769</v>
      </c>
      <c r="BI262">
        <f t="shared" si="697"/>
        <v>2.6977727184808252E-2</v>
      </c>
      <c r="BJ262" s="144">
        <f t="shared" si="698"/>
        <v>462.62710997778123</v>
      </c>
      <c r="BK262">
        <f t="shared" si="764"/>
        <v>0.63144990548681978</v>
      </c>
      <c r="BL262" s="144">
        <f t="shared" si="699"/>
        <v>1093.620551951673</v>
      </c>
      <c r="BM262" s="150">
        <f t="shared" si="765"/>
        <v>0.34293000000000001</v>
      </c>
      <c r="BN262" s="150">
        <f t="shared" si="766"/>
        <v>5.103125E-2</v>
      </c>
      <c r="BQ262" s="144">
        <f t="shared" si="700"/>
        <v>393.96125000000006</v>
      </c>
      <c r="BR262" s="456">
        <f t="shared" si="701"/>
        <v>1.6301007026746259E-3</v>
      </c>
      <c r="BS262" s="456">
        <f t="shared" si="702"/>
        <v>1.8243711840614459E-2</v>
      </c>
      <c r="BT262" s="456">
        <f t="shared" si="703"/>
        <v>1.5192572028746988E-4</v>
      </c>
      <c r="BU262" s="456">
        <f t="shared" si="704"/>
        <v>0.16995428348107419</v>
      </c>
      <c r="BV262" s="456"/>
      <c r="BW262" s="538">
        <f t="shared" si="705"/>
        <v>5.7767748172591715E-4</v>
      </c>
      <c r="BX262" s="144">
        <f t="shared" si="706"/>
        <v>190.55769922637666</v>
      </c>
      <c r="BY262" s="150">
        <f t="shared" si="707"/>
        <v>1.6781395011780496</v>
      </c>
      <c r="BZ262" s="5">
        <f t="shared" si="708"/>
        <v>3.68</v>
      </c>
      <c r="CA262" s="150">
        <f t="shared" si="709"/>
        <v>0.68680555987594372</v>
      </c>
      <c r="CB262" s="5">
        <f t="shared" si="710"/>
        <v>68.680555987594374</v>
      </c>
      <c r="CC262">
        <f t="shared" si="711"/>
        <v>46.000000000000007</v>
      </c>
      <c r="CE262" s="59">
        <f t="shared" si="767"/>
        <v>-50</v>
      </c>
      <c r="CG262" s="150">
        <f t="shared" si="768"/>
        <v>0.87957854338036034</v>
      </c>
      <c r="CH262" s="150">
        <f t="shared" si="769"/>
        <v>0.47330172420499939</v>
      </c>
      <c r="CI262" s="147">
        <v>46</v>
      </c>
      <c r="CJ262" s="188">
        <f t="shared" si="712"/>
        <v>0.55200000000000005</v>
      </c>
      <c r="CK262" s="188">
        <f t="shared" si="654"/>
        <v>0.115</v>
      </c>
      <c r="CL262" s="188">
        <f t="shared" si="655"/>
        <v>2.7600000000000002</v>
      </c>
      <c r="CM262" s="188">
        <f t="shared" si="656"/>
        <v>0.92</v>
      </c>
      <c r="CN262" s="465">
        <f t="shared" si="657"/>
        <v>60</v>
      </c>
      <c r="CO262" s="379">
        <f t="shared" si="770"/>
        <v>5.7</v>
      </c>
      <c r="CP262" s="379">
        <f t="shared" si="771"/>
        <v>65.7</v>
      </c>
      <c r="CQ262" s="379"/>
      <c r="CR262" s="188">
        <f t="shared" si="660"/>
        <v>8.2568807339449546E-2</v>
      </c>
      <c r="CS262" s="149">
        <f t="shared" si="661"/>
        <v>9.2889908256880744</v>
      </c>
      <c r="CT262" s="149">
        <f t="shared" si="662"/>
        <v>4.1284403669724767</v>
      </c>
      <c r="CU262" s="188">
        <f t="shared" si="663"/>
        <v>1.857798165137615</v>
      </c>
      <c r="CV262" s="188">
        <f t="shared" si="664"/>
        <v>1.1611238532110093</v>
      </c>
      <c r="CW262" s="188">
        <f t="shared" si="665"/>
        <v>5</v>
      </c>
      <c r="CX262" s="188">
        <f t="shared" si="666"/>
        <v>1.4856296296296296</v>
      </c>
      <c r="CY262" s="188">
        <f t="shared" si="667"/>
        <v>0.2971259259259259</v>
      </c>
      <c r="CZ262" s="188">
        <f t="shared" si="668"/>
        <v>3.1276413255360622</v>
      </c>
      <c r="DA262" s="172">
        <f t="shared" si="669"/>
        <v>350</v>
      </c>
      <c r="DB262" s="379">
        <f t="shared" si="670"/>
        <v>291.99064537104329</v>
      </c>
      <c r="DD262" s="188">
        <f t="shared" si="671"/>
        <v>1.2393998695368558</v>
      </c>
      <c r="DE262" s="150">
        <f t="shared" si="672"/>
        <v>2.6092628832354858</v>
      </c>
      <c r="DF262" s="150">
        <f t="shared" si="673"/>
        <v>0.4244520101153616</v>
      </c>
      <c r="DG262" s="150"/>
      <c r="DH262" s="150">
        <f t="shared" si="674"/>
        <v>2.1052631578947367</v>
      </c>
      <c r="DI262" s="314">
        <f t="shared" si="675"/>
        <v>524.40000000000009</v>
      </c>
      <c r="DJ262" s="456">
        <f t="shared" si="676"/>
        <v>0.36842105263157893</v>
      </c>
      <c r="DL262" s="150">
        <f t="shared" si="677"/>
        <v>1.3237752650585946</v>
      </c>
      <c r="DM262" s="150">
        <f t="shared" si="678"/>
        <v>1.4856296296296296</v>
      </c>
      <c r="DN262" s="150">
        <f t="shared" si="679"/>
        <v>1.5597256515775033</v>
      </c>
      <c r="DP262" s="314">
        <f t="shared" si="680"/>
        <v>552</v>
      </c>
      <c r="DQ262" s="144">
        <f t="shared" si="681"/>
        <v>291.99064537104329</v>
      </c>
      <c r="DS262">
        <f t="shared" si="682"/>
        <v>552</v>
      </c>
      <c r="DT262">
        <f t="shared" si="683"/>
        <v>291.99064537104329</v>
      </c>
      <c r="DV262" s="5">
        <f t="shared" si="684"/>
        <v>3.4247672514619878</v>
      </c>
      <c r="DW262" s="5">
        <f t="shared" si="685"/>
        <v>0.2971259259259259</v>
      </c>
      <c r="DX262" s="5">
        <f t="shared" si="686"/>
        <v>3.1276413255360618</v>
      </c>
      <c r="DY262" s="150">
        <f t="shared" si="687"/>
        <v>8.6757990867579918E-2</v>
      </c>
      <c r="EA262" s="5">
        <f t="shared" si="713"/>
        <v>3.2802702222222226</v>
      </c>
      <c r="EB262" s="5">
        <f t="shared" si="714"/>
        <v>0.42711851851851851</v>
      </c>
      <c r="EC262" s="5">
        <f t="shared" si="715"/>
        <v>5.9946458739441183E-2</v>
      </c>
      <c r="ED262" s="5"/>
      <c r="EE262" s="150">
        <f t="shared" si="716"/>
        <v>0.25264148659556601</v>
      </c>
      <c r="EF262" s="150">
        <f t="shared" si="717"/>
        <v>0.81967721984242436</v>
      </c>
      <c r="EG262" s="150">
        <f t="shared" si="718"/>
        <v>0.18322196678830663</v>
      </c>
      <c r="EH262" s="150"/>
      <c r="EI262" s="456">
        <f t="shared" si="719"/>
        <v>1.2765544149843514E-3</v>
      </c>
      <c r="EJ262" s="456">
        <f t="shared" si="720"/>
        <v>0.57000000000000006</v>
      </c>
      <c r="EK262" s="456">
        <f t="shared" si="721"/>
        <v>3.6498830671380413E-2</v>
      </c>
      <c r="EL262" s="456">
        <f t="shared" si="722"/>
        <v>0.12603747008376548</v>
      </c>
      <c r="EM262">
        <f t="shared" si="723"/>
        <v>2.7E-2</v>
      </c>
      <c r="EN262" s="144">
        <f t="shared" si="724"/>
        <v>63.498830671380418</v>
      </c>
      <c r="EP262" s="144">
        <f t="shared" si="725"/>
        <v>760.81285517013021</v>
      </c>
      <c r="EQ262" s="150">
        <f t="shared" si="726"/>
        <v>0.38640000000000002</v>
      </c>
      <c r="ER262" s="150">
        <f t="shared" si="772"/>
        <v>5.103125E-2</v>
      </c>
      <c r="ES262" s="456"/>
      <c r="EU262" s="144">
        <f t="shared" si="727"/>
        <v>437.43125000000003</v>
      </c>
      <c r="EV262" s="456">
        <f t="shared" si="728"/>
        <v>1.914831622476527E-3</v>
      </c>
      <c r="EW262" s="456">
        <f t="shared" si="729"/>
        <v>2.0156122341858183E-2</v>
      </c>
      <c r="EX262" s="456">
        <f t="shared" si="730"/>
        <v>1.6785144556887669E-4</v>
      </c>
      <c r="EY262" s="456">
        <f t="shared" si="731"/>
        <v>0.19596058643252548</v>
      </c>
      <c r="EZ262" s="456"/>
      <c r="FA262" s="538">
        <f t="shared" si="732"/>
        <v>6.4445120920006763E-4</v>
      </c>
      <c r="FB262" s="144">
        <f t="shared" si="733"/>
        <v>218.84384305162914</v>
      </c>
      <c r="FC262" s="150">
        <f t="shared" si="734"/>
        <v>1.4170879482217598</v>
      </c>
      <c r="FD262" s="5">
        <f t="shared" si="735"/>
        <v>3.68</v>
      </c>
      <c r="FE262" s="150">
        <f t="shared" si="736"/>
        <v>0.72198087170221492</v>
      </c>
      <c r="FF262" s="5">
        <f t="shared" si="737"/>
        <v>72.198087170221498</v>
      </c>
      <c r="FG262">
        <f t="shared" si="738"/>
        <v>46.000000000000007</v>
      </c>
      <c r="FI262" s="59">
        <f t="shared" si="689"/>
        <v>-50</v>
      </c>
    </row>
    <row r="263" spans="5:165">
      <c r="E263" s="147">
        <v>47</v>
      </c>
      <c r="F263" s="188">
        <f t="shared" si="773"/>
        <v>0.56399999999999995</v>
      </c>
      <c r="G263" s="188">
        <f t="shared" si="742"/>
        <v>0.11749999999999999</v>
      </c>
      <c r="H263" s="188">
        <f t="shared" si="743"/>
        <v>2.82</v>
      </c>
      <c r="I263" s="188">
        <f t="shared" si="744"/>
        <v>0.94</v>
      </c>
      <c r="J263" s="465">
        <f t="shared" si="745"/>
        <v>59.949428873719228</v>
      </c>
      <c r="K263" s="379">
        <f t="shared" si="746"/>
        <v>5.7192364856184117</v>
      </c>
      <c r="L263" s="149">
        <f t="shared" si="747"/>
        <v>65.668665359337638</v>
      </c>
      <c r="M263" s="379"/>
      <c r="N263" s="188">
        <f t="shared" si="748"/>
        <v>8.7092321038091197E-2</v>
      </c>
      <c r="O263" s="149">
        <f t="shared" si="749"/>
        <v>9.7896279478503168</v>
      </c>
      <c r="P263" s="149">
        <f t="shared" si="750"/>
        <v>4.3509457546001409</v>
      </c>
      <c r="Q263" s="188">
        <f t="shared" si="626"/>
        <v>1.9579255895700634</v>
      </c>
      <c r="R263" s="188">
        <f t="shared" si="751"/>
        <v>1.2237034934812896</v>
      </c>
      <c r="S263" s="188">
        <f t="shared" si="752"/>
        <v>5</v>
      </c>
      <c r="T263" s="188">
        <f t="shared" si="753"/>
        <v>1.4402998842357626</v>
      </c>
      <c r="U263" s="188">
        <f t="shared" si="630"/>
        <v>0.28830297361524954</v>
      </c>
      <c r="V263" s="188">
        <f t="shared" si="631"/>
        <v>3.022011531485099</v>
      </c>
      <c r="W263" s="172">
        <f t="shared" si="632"/>
        <v>350</v>
      </c>
      <c r="X263" s="379">
        <f t="shared" si="691"/>
        <v>284.87475938325167</v>
      </c>
      <c r="Z263" s="188">
        <f t="shared" si="633"/>
        <v>1.2431273584571827</v>
      </c>
      <c r="AA263" s="150">
        <f t="shared" si="634"/>
        <v>2.6083076541768819</v>
      </c>
      <c r="AB263" s="150">
        <f t="shared" si="754"/>
        <v>0.42557269179869828</v>
      </c>
      <c r="AC263" s="150"/>
      <c r="AD263" s="150">
        <f t="shared" si="636"/>
        <v>2.0981821664788982</v>
      </c>
      <c r="AE263" s="314">
        <f t="shared" si="755"/>
        <v>537.60822964813076</v>
      </c>
      <c r="AF263" s="456">
        <f t="shared" si="756"/>
        <v>0.36718187913380718</v>
      </c>
      <c r="AH263" s="150">
        <f t="shared" si="757"/>
        <v>1.3380867649282651</v>
      </c>
      <c r="AI263" s="150">
        <f t="shared" si="758"/>
        <v>1.4402998842357626</v>
      </c>
      <c r="AJ263" s="150">
        <f t="shared" si="759"/>
        <v>1.5261480623968611</v>
      </c>
      <c r="AL263" s="314">
        <f t="shared" si="760"/>
        <v>564</v>
      </c>
      <c r="AM263" s="144">
        <f t="shared" si="761"/>
        <v>284.87475938325167</v>
      </c>
      <c r="AO263">
        <f t="shared" si="644"/>
        <v>564</v>
      </c>
      <c r="AP263">
        <f t="shared" si="645"/>
        <v>284.87475938325167</v>
      </c>
      <c r="AR263" s="5">
        <f t="shared" ref="AR263:AR316" si="774">1/AM263*1000</f>
        <v>3.5103145051003488</v>
      </c>
      <c r="AS263" s="5">
        <f t="shared" si="739"/>
        <v>0.28830297361524954</v>
      </c>
      <c r="AT263" s="5">
        <f t="shared" si="740"/>
        <v>3.2220115314850992</v>
      </c>
      <c r="AU263" s="150">
        <f t="shared" si="741"/>
        <v>8.213024023812017E-2</v>
      </c>
      <c r="BA263" s="150">
        <f t="shared" si="692"/>
        <v>0.23831086608954369</v>
      </c>
      <c r="BB263" s="150">
        <f t="shared" si="693"/>
        <v>0.79667800895144281</v>
      </c>
      <c r="BC263" s="150">
        <f t="shared" si="694"/>
        <v>0.1780809667067931</v>
      </c>
      <c r="BD263" s="150"/>
      <c r="BE263" s="456">
        <f t="shared" si="695"/>
        <v>1.1358413779269686E-3</v>
      </c>
      <c r="BF263" s="456">
        <f t="shared" si="762"/>
        <v>0.50520350977924988</v>
      </c>
      <c r="BG263" s="456">
        <f t="shared" si="763"/>
        <v>0.42695197813910307</v>
      </c>
      <c r="BH263" s="456">
        <f t="shared" si="696"/>
        <v>0.12284863945412762</v>
      </c>
      <c r="BI263">
        <f t="shared" si="697"/>
        <v>2.6977242993173653E-2</v>
      </c>
      <c r="BJ263" s="144">
        <f t="shared" si="698"/>
        <v>453.92922113227672</v>
      </c>
      <c r="BK263">
        <f t="shared" si="764"/>
        <v>0.62966459909089789</v>
      </c>
      <c r="BL263" s="144">
        <f t="shared" si="699"/>
        <v>1083.1172117435813</v>
      </c>
      <c r="BM263" s="150">
        <f t="shared" si="765"/>
        <v>0.35038499999999995</v>
      </c>
      <c r="BN263" s="150">
        <f t="shared" si="766"/>
        <v>5.2140624999999996E-2</v>
      </c>
      <c r="BQ263" s="144">
        <f t="shared" si="700"/>
        <v>402.52562499999993</v>
      </c>
      <c r="BR263" s="456">
        <f t="shared" si="701"/>
        <v>1.7037620668904528E-3</v>
      </c>
      <c r="BS263" s="456">
        <f t="shared" si="702"/>
        <v>1.9040875498405052E-2</v>
      </c>
      <c r="BT263" s="456">
        <f t="shared" si="703"/>
        <v>1.5856415351612978E-4</v>
      </c>
      <c r="BU263" s="456">
        <f t="shared" si="704"/>
        <v>0.17050505031447968</v>
      </c>
      <c r="BV263" s="456"/>
      <c r="BW263" s="538">
        <f t="shared" si="705"/>
        <v>5.9096236349063234E-4</v>
      </c>
      <c r="BX263" s="144">
        <f t="shared" si="706"/>
        <v>191.99921439678195</v>
      </c>
      <c r="BY263" s="150">
        <f t="shared" si="707"/>
        <v>1.6776420511403631</v>
      </c>
      <c r="BZ263" s="5">
        <f t="shared" si="708"/>
        <v>3.76</v>
      </c>
      <c r="CA263" s="150">
        <f t="shared" si="709"/>
        <v>0.69147618850922077</v>
      </c>
      <c r="CB263" s="5">
        <f t="shared" si="710"/>
        <v>69.147618850922072</v>
      </c>
      <c r="CC263">
        <f t="shared" si="711"/>
        <v>47</v>
      </c>
      <c r="CE263" s="59">
        <f t="shared" si="767"/>
        <v>-50</v>
      </c>
      <c r="CG263" s="150">
        <f t="shared" si="768"/>
        <v>0.87957854338036034</v>
      </c>
      <c r="CH263" s="150">
        <f t="shared" si="769"/>
        <v>0.47330172420499939</v>
      </c>
      <c r="CI263" s="147">
        <v>47</v>
      </c>
      <c r="CJ263" s="188">
        <f t="shared" si="712"/>
        <v>0.56399999999999995</v>
      </c>
      <c r="CK263" s="188">
        <f t="shared" si="654"/>
        <v>0.11749999999999999</v>
      </c>
      <c r="CL263" s="188">
        <f t="shared" si="655"/>
        <v>2.82</v>
      </c>
      <c r="CM263" s="188">
        <f t="shared" si="656"/>
        <v>0.94</v>
      </c>
      <c r="CN263" s="465">
        <f t="shared" si="657"/>
        <v>60</v>
      </c>
      <c r="CO263" s="379">
        <f t="shared" si="770"/>
        <v>5.7</v>
      </c>
      <c r="CP263" s="379">
        <f t="shared" si="771"/>
        <v>65.7</v>
      </c>
      <c r="CQ263" s="379"/>
      <c r="CR263" s="188">
        <f t="shared" si="660"/>
        <v>8.2568807339449546E-2</v>
      </c>
      <c r="CS263" s="149">
        <f t="shared" si="661"/>
        <v>9.2889908256880744</v>
      </c>
      <c r="CT263" s="149">
        <f t="shared" si="662"/>
        <v>4.1284403669724767</v>
      </c>
      <c r="CU263" s="188">
        <f t="shared" si="663"/>
        <v>1.857798165137615</v>
      </c>
      <c r="CV263" s="188">
        <f t="shared" si="664"/>
        <v>1.1611238532110093</v>
      </c>
      <c r="CW263" s="188">
        <f t="shared" si="665"/>
        <v>5</v>
      </c>
      <c r="CX263" s="188">
        <f t="shared" si="666"/>
        <v>1.5179259259259257</v>
      </c>
      <c r="CY263" s="188">
        <f t="shared" si="667"/>
        <v>0.30358518518518518</v>
      </c>
      <c r="CZ263" s="188">
        <f t="shared" si="668"/>
        <v>3.1956335282651067</v>
      </c>
      <c r="DA263" s="172">
        <f t="shared" si="669"/>
        <v>350</v>
      </c>
      <c r="DB263" s="379">
        <f t="shared" si="670"/>
        <v>285.7780784482552</v>
      </c>
      <c r="DD263" s="188">
        <f t="shared" si="671"/>
        <v>1.2393998695368558</v>
      </c>
      <c r="DE263" s="150">
        <f t="shared" si="672"/>
        <v>2.6092628832354858</v>
      </c>
      <c r="DF263" s="150">
        <f t="shared" si="673"/>
        <v>0.4244520101153616</v>
      </c>
      <c r="DG263" s="150"/>
      <c r="DH263" s="150">
        <f t="shared" si="674"/>
        <v>2.1052631578947367</v>
      </c>
      <c r="DI263" s="314">
        <f t="shared" si="675"/>
        <v>535.79999999999995</v>
      </c>
      <c r="DJ263" s="456">
        <f t="shared" si="676"/>
        <v>0.36842105263157893</v>
      </c>
      <c r="DL263" s="150">
        <f t="shared" si="677"/>
        <v>1.3380867649282651</v>
      </c>
      <c r="DM263" s="150">
        <f t="shared" si="678"/>
        <v>1.5179259259259257</v>
      </c>
      <c r="DN263" s="150">
        <f t="shared" si="679"/>
        <v>1.5836488340192041</v>
      </c>
      <c r="DP263" s="314">
        <f t="shared" si="680"/>
        <v>564</v>
      </c>
      <c r="DQ263" s="144">
        <f t="shared" si="681"/>
        <v>285.7780784482552</v>
      </c>
      <c r="DS263">
        <f t="shared" si="682"/>
        <v>564</v>
      </c>
      <c r="DT263">
        <f t="shared" si="683"/>
        <v>285.7780784482552</v>
      </c>
      <c r="DV263" s="5">
        <f t="shared" si="684"/>
        <v>3.4992187134502912</v>
      </c>
      <c r="DW263" s="5">
        <f t="shared" si="685"/>
        <v>0.30358518518518518</v>
      </c>
      <c r="DX263" s="5">
        <f t="shared" si="686"/>
        <v>3.1956335282651063</v>
      </c>
      <c r="DY263" s="150">
        <f t="shared" si="687"/>
        <v>8.6757990867579932E-2</v>
      </c>
      <c r="EA263" s="5">
        <f t="shared" si="713"/>
        <v>3.4244408888888884</v>
      </c>
      <c r="EB263" s="5">
        <f t="shared" si="714"/>
        <v>0.4458907407407407</v>
      </c>
      <c r="EC263" s="5">
        <f t="shared" si="715"/>
        <v>6.2581156595191659E-2</v>
      </c>
      <c r="ED263" s="5"/>
      <c r="EE263" s="150">
        <f t="shared" si="716"/>
        <v>0.25813369282590443</v>
      </c>
      <c r="EF263" s="150">
        <f t="shared" si="717"/>
        <v>0.8374962898389986</v>
      </c>
      <c r="EG263" s="150">
        <f t="shared" si="718"/>
        <v>0.18720505302283499</v>
      </c>
      <c r="EH263" s="150"/>
      <c r="EI263" s="456">
        <f t="shared" si="719"/>
        <v>1.3326600674387675E-3</v>
      </c>
      <c r="EJ263" s="456">
        <f t="shared" si="720"/>
        <v>0.57000000000000006</v>
      </c>
      <c r="EK263" s="456">
        <f t="shared" si="721"/>
        <v>3.57222598060319E-2</v>
      </c>
      <c r="EL263" s="456">
        <f t="shared" si="722"/>
        <v>0.12335582178411093</v>
      </c>
      <c r="EM263">
        <f t="shared" si="723"/>
        <v>2.7E-2</v>
      </c>
      <c r="EN263" s="144">
        <f t="shared" si="724"/>
        <v>62.722259806031893</v>
      </c>
      <c r="EP263" s="144">
        <f t="shared" si="725"/>
        <v>757.41074165758187</v>
      </c>
      <c r="EQ263" s="150">
        <f t="shared" si="726"/>
        <v>0.39479999999999993</v>
      </c>
      <c r="ER263" s="150">
        <f t="shared" si="772"/>
        <v>5.2140624999999996E-2</v>
      </c>
      <c r="ES263" s="456"/>
      <c r="EU263" s="144">
        <f t="shared" si="727"/>
        <v>446.9406249999999</v>
      </c>
      <c r="EV263" s="456">
        <f t="shared" si="728"/>
        <v>1.9989901011581513E-3</v>
      </c>
      <c r="EW263" s="456">
        <f t="shared" si="729"/>
        <v>2.1042001064822638E-2</v>
      </c>
      <c r="EX263" s="456">
        <f t="shared" si="730"/>
        <v>1.7522865938641229E-4</v>
      </c>
      <c r="EY263" s="456">
        <f t="shared" si="731"/>
        <v>0.19596058643252562</v>
      </c>
      <c r="EZ263" s="456"/>
      <c r="FA263" s="538">
        <f t="shared" si="732"/>
        <v>6.5846101809572126E-4</v>
      </c>
      <c r="FB263" s="144">
        <f t="shared" si="733"/>
        <v>219.83526727598854</v>
      </c>
      <c r="FC263" s="150">
        <f t="shared" si="734"/>
        <v>1.4241866339335703</v>
      </c>
      <c r="FD263" s="5">
        <f t="shared" si="735"/>
        <v>3.76</v>
      </c>
      <c r="FE263" s="150">
        <f t="shared" si="736"/>
        <v>0.72528253041442881</v>
      </c>
      <c r="FF263" s="5">
        <f t="shared" si="737"/>
        <v>72.528253041442881</v>
      </c>
      <c r="FG263">
        <f t="shared" si="738"/>
        <v>47</v>
      </c>
      <c r="FI263" s="59">
        <f t="shared" si="689"/>
        <v>-50</v>
      </c>
    </row>
    <row r="264" spans="5:165">
      <c r="E264" s="147">
        <v>48</v>
      </c>
      <c r="F264" s="188">
        <f t="shared" si="773"/>
        <v>0.57599999999999996</v>
      </c>
      <c r="G264" s="188">
        <f t="shared" si="742"/>
        <v>0.12</v>
      </c>
      <c r="H264" s="188">
        <f t="shared" si="743"/>
        <v>2.88</v>
      </c>
      <c r="I264" s="188">
        <f t="shared" si="744"/>
        <v>0.96</v>
      </c>
      <c r="J264" s="465">
        <f t="shared" si="745"/>
        <v>59.948352892308996</v>
      </c>
      <c r="K264" s="379">
        <f t="shared" si="746"/>
        <v>5.7196457725464631</v>
      </c>
      <c r="L264" s="149">
        <f t="shared" si="747"/>
        <v>65.66799866485546</v>
      </c>
      <c r="M264" s="379"/>
      <c r="N264" s="188">
        <f t="shared" si="748"/>
        <v>8.7099437912480995E-2</v>
      </c>
      <c r="O264" s="149">
        <f t="shared" si="749"/>
        <v>9.7902522013109401</v>
      </c>
      <c r="P264" s="149">
        <f t="shared" si="750"/>
        <v>4.3512232005826394</v>
      </c>
      <c r="Q264" s="188">
        <f t="shared" si="626"/>
        <v>1.9580504402621881</v>
      </c>
      <c r="R264" s="188">
        <f t="shared" si="751"/>
        <v>1.2237815251638675</v>
      </c>
      <c r="S264" s="188">
        <f t="shared" si="752"/>
        <v>5</v>
      </c>
      <c r="T264" s="188">
        <f t="shared" si="753"/>
        <v>1.4708507711447723</v>
      </c>
      <c r="U264" s="188">
        <f t="shared" si="630"/>
        <v>0.2944235896763342</v>
      </c>
      <c r="V264" s="188">
        <f t="shared" si="631"/>
        <v>3.0858920212254959</v>
      </c>
      <c r="W264" s="172">
        <f t="shared" si="632"/>
        <v>350</v>
      </c>
      <c r="X264" s="379">
        <f t="shared" si="691"/>
        <v>279.30498555911231</v>
      </c>
      <c r="Z264" s="188">
        <f t="shared" si="633"/>
        <v>1.2432066287378971</v>
      </c>
      <c r="AA264" s="150">
        <f t="shared" si="634"/>
        <v>2.6082873202500543</v>
      </c>
      <c r="AB264" s="150">
        <f t="shared" si="754"/>
        <v>0.42559651131215837</v>
      </c>
      <c r="AC264" s="150"/>
      <c r="AD264" s="150">
        <f t="shared" si="636"/>
        <v>2.0980320245701929</v>
      </c>
      <c r="AE264" s="314">
        <f t="shared" si="755"/>
        <v>549.08599416446043</v>
      </c>
      <c r="AF264" s="456">
        <f t="shared" si="756"/>
        <v>0.36715560429978372</v>
      </c>
      <c r="AH264" s="150">
        <f t="shared" si="757"/>
        <v>1.3522468075656264</v>
      </c>
      <c r="AI264" s="150">
        <f t="shared" si="758"/>
        <v>1.4708507711447723</v>
      </c>
      <c r="AJ264" s="150">
        <f t="shared" si="759"/>
        <v>1.5487783489961275</v>
      </c>
      <c r="AL264" s="314">
        <f t="shared" si="760"/>
        <v>576</v>
      </c>
      <c r="AM264" s="144">
        <f t="shared" si="761"/>
        <v>279.30498555911231</v>
      </c>
      <c r="AO264">
        <f t="shared" si="644"/>
        <v>576</v>
      </c>
      <c r="AP264">
        <f t="shared" si="645"/>
        <v>279.30498555911231</v>
      </c>
      <c r="AR264" s="5">
        <f t="shared" si="774"/>
        <v>3.5803156109018301</v>
      </c>
      <c r="AS264" s="5">
        <f t="shared" si="739"/>
        <v>0.2944235896763342</v>
      </c>
      <c r="AT264" s="5">
        <f t="shared" si="740"/>
        <v>3.2858920212254961</v>
      </c>
      <c r="AU264" s="150">
        <f t="shared" si="741"/>
        <v>8.2233976462810526E-2</v>
      </c>
      <c r="BA264" s="150">
        <f t="shared" si="692"/>
        <v>0.2435194368735373</v>
      </c>
      <c r="BB264" s="150">
        <f t="shared" si="693"/>
        <v>0.81353074979203199</v>
      </c>
      <c r="BC264" s="150">
        <f t="shared" si="694"/>
        <v>0.18184804995351306</v>
      </c>
      <c r="BD264" s="150"/>
      <c r="BE264" s="456">
        <f t="shared" si="695"/>
        <v>1.1860343227040944E-3</v>
      </c>
      <c r="BF264" s="456">
        <f t="shared" si="762"/>
        <v>0.50582740273109317</v>
      </c>
      <c r="BG264" s="456">
        <f t="shared" si="763"/>
        <v>0.41859684597197333</v>
      </c>
      <c r="BH264" s="456">
        <f t="shared" si="696"/>
        <v>0.12044429925442399</v>
      </c>
      <c r="BI264">
        <f t="shared" si="697"/>
        <v>2.6976758801539047E-2</v>
      </c>
      <c r="BJ264" s="144">
        <f t="shared" si="698"/>
        <v>445.57360477351239</v>
      </c>
      <c r="BK264">
        <f t="shared" si="764"/>
        <v>0.62795492437514799</v>
      </c>
      <c r="BL264" s="144">
        <f t="shared" si="699"/>
        <v>1073.0313410817337</v>
      </c>
      <c r="BM264" s="150">
        <f t="shared" si="765"/>
        <v>0.35783999999999994</v>
      </c>
      <c r="BN264" s="150">
        <f t="shared" si="766"/>
        <v>5.3249999999999999E-2</v>
      </c>
      <c r="BQ264" s="144">
        <f t="shared" si="700"/>
        <v>411.09</v>
      </c>
      <c r="BR264" s="456">
        <f t="shared" si="701"/>
        <v>1.7790514840561416E-3</v>
      </c>
      <c r="BS264" s="456">
        <f t="shared" si="702"/>
        <v>1.9854968425715575E-2</v>
      </c>
      <c r="BT264" s="456">
        <f t="shared" si="703"/>
        <v>1.653435663594769E-4</v>
      </c>
      <c r="BU264" s="456">
        <f t="shared" si="704"/>
        <v>0.17103628518720393</v>
      </c>
      <c r="BV264" s="456"/>
      <c r="BW264" s="538">
        <f t="shared" si="705"/>
        <v>6.0424896184843363E-4</v>
      </c>
      <c r="BX264" s="144">
        <f t="shared" si="706"/>
        <v>193.43989762518356</v>
      </c>
      <c r="BY264" s="150">
        <f t="shared" si="707"/>
        <v>1.6775612387069172</v>
      </c>
      <c r="BZ264" s="5">
        <f t="shared" si="708"/>
        <v>3.84</v>
      </c>
      <c r="CA264" s="150">
        <f t="shared" si="709"/>
        <v>0.69595965207627375</v>
      </c>
      <c r="CB264" s="5">
        <f t="shared" si="710"/>
        <v>69.595965207627373</v>
      </c>
      <c r="CC264">
        <f t="shared" si="711"/>
        <v>48</v>
      </c>
      <c r="CE264" s="59">
        <f t="shared" si="767"/>
        <v>-50</v>
      </c>
      <c r="CG264" s="150">
        <f t="shared" si="768"/>
        <v>0.87957854338036034</v>
      </c>
      <c r="CH264" s="150">
        <f t="shared" si="769"/>
        <v>0.47330172420499939</v>
      </c>
      <c r="CI264" s="147">
        <v>48</v>
      </c>
      <c r="CJ264" s="188">
        <f t="shared" si="712"/>
        <v>0.57599999999999996</v>
      </c>
      <c r="CK264" s="188">
        <f t="shared" si="654"/>
        <v>0.12</v>
      </c>
      <c r="CL264" s="188">
        <f t="shared" si="655"/>
        <v>2.88</v>
      </c>
      <c r="CM264" s="188">
        <f t="shared" si="656"/>
        <v>0.96</v>
      </c>
      <c r="CN264" s="465">
        <f t="shared" si="657"/>
        <v>60</v>
      </c>
      <c r="CO264" s="379">
        <f t="shared" si="770"/>
        <v>5.7</v>
      </c>
      <c r="CP264" s="379">
        <f t="shared" si="771"/>
        <v>65.7</v>
      </c>
      <c r="CQ264" s="379"/>
      <c r="CR264" s="188">
        <f t="shared" si="660"/>
        <v>8.2568807339449546E-2</v>
      </c>
      <c r="CS264" s="149">
        <f t="shared" si="661"/>
        <v>9.2889908256880744</v>
      </c>
      <c r="CT264" s="149">
        <f t="shared" si="662"/>
        <v>4.1284403669724767</v>
      </c>
      <c r="CU264" s="188">
        <f t="shared" si="663"/>
        <v>1.857798165137615</v>
      </c>
      <c r="CV264" s="188">
        <f t="shared" si="664"/>
        <v>1.1611238532110093</v>
      </c>
      <c r="CW264" s="188">
        <f t="shared" si="665"/>
        <v>5</v>
      </c>
      <c r="CX264" s="188">
        <f t="shared" si="666"/>
        <v>1.5502222222222219</v>
      </c>
      <c r="CY264" s="188">
        <f t="shared" si="667"/>
        <v>0.3100444444444444</v>
      </c>
      <c r="CZ264" s="188">
        <f t="shared" si="668"/>
        <v>3.2636257309941517</v>
      </c>
      <c r="DA264" s="172">
        <f t="shared" si="669"/>
        <v>350</v>
      </c>
      <c r="DB264" s="379">
        <f t="shared" si="670"/>
        <v>279.82436848058319</v>
      </c>
      <c r="DD264" s="188">
        <f t="shared" si="671"/>
        <v>1.2393998695368558</v>
      </c>
      <c r="DE264" s="150">
        <f t="shared" si="672"/>
        <v>2.6092628832354858</v>
      </c>
      <c r="DF264" s="150">
        <f t="shared" si="673"/>
        <v>0.4244520101153616</v>
      </c>
      <c r="DG264" s="150"/>
      <c r="DH264" s="150">
        <f t="shared" si="674"/>
        <v>2.1052631578947367</v>
      </c>
      <c r="DI264" s="314">
        <f t="shared" si="675"/>
        <v>547.20000000000005</v>
      </c>
      <c r="DJ264" s="456">
        <f t="shared" si="676"/>
        <v>0.36842105263157893</v>
      </c>
      <c r="DL264" s="150">
        <f t="shared" si="677"/>
        <v>1.3522468075656264</v>
      </c>
      <c r="DM264" s="150">
        <f t="shared" si="678"/>
        <v>1.5502222222222219</v>
      </c>
      <c r="DN264" s="150">
        <f t="shared" si="679"/>
        <v>1.6075720164609051</v>
      </c>
      <c r="DP264" s="314">
        <f t="shared" si="680"/>
        <v>576</v>
      </c>
      <c r="DQ264" s="144">
        <f t="shared" si="681"/>
        <v>279.82436848058319</v>
      </c>
      <c r="DS264">
        <f t="shared" si="682"/>
        <v>576</v>
      </c>
      <c r="DT264">
        <f t="shared" si="683"/>
        <v>279.82436848058319</v>
      </c>
      <c r="DV264" s="5">
        <f t="shared" si="684"/>
        <v>3.5736701754385956</v>
      </c>
      <c r="DW264" s="5">
        <f t="shared" si="685"/>
        <v>0.3100444444444444</v>
      </c>
      <c r="DX264" s="5">
        <f t="shared" si="686"/>
        <v>3.2636257309941512</v>
      </c>
      <c r="DY264" s="150">
        <f t="shared" si="687"/>
        <v>8.6757990867579918E-2</v>
      </c>
      <c r="EA264" s="5">
        <f t="shared" si="713"/>
        <v>3.5717119999999989</v>
      </c>
      <c r="EB264" s="5">
        <f t="shared" si="714"/>
        <v>0.46506666666666657</v>
      </c>
      <c r="EC264" s="5">
        <f t="shared" si="715"/>
        <v>6.5272514619883024E-2</v>
      </c>
      <c r="ED264" s="5"/>
      <c r="EE264" s="150">
        <f t="shared" si="716"/>
        <v>0.26362589905624279</v>
      </c>
      <c r="EF264" s="150">
        <f t="shared" si="717"/>
        <v>0.85531535983557305</v>
      </c>
      <c r="EG264" s="150">
        <f t="shared" si="718"/>
        <v>0.19118813925736339</v>
      </c>
      <c r="EH264" s="150"/>
      <c r="EI264" s="456">
        <f t="shared" si="719"/>
        <v>1.389972293064246E-3</v>
      </c>
      <c r="EJ264" s="456">
        <f t="shared" si="720"/>
        <v>0.57000000000000006</v>
      </c>
      <c r="EK264" s="456">
        <f t="shared" si="721"/>
        <v>3.4978046060072897E-2</v>
      </c>
      <c r="EL264" s="456">
        <f t="shared" si="722"/>
        <v>0.12078590883027528</v>
      </c>
      <c r="EM264">
        <f t="shared" si="723"/>
        <v>2.7E-2</v>
      </c>
      <c r="EN264" s="144">
        <f t="shared" si="724"/>
        <v>61.978046060072899</v>
      </c>
      <c r="EP264" s="144">
        <f t="shared" si="725"/>
        <v>754.15392718341252</v>
      </c>
      <c r="EQ264" s="150">
        <f t="shared" si="726"/>
        <v>0.40319999999999995</v>
      </c>
      <c r="ER264" s="150">
        <f t="shared" si="772"/>
        <v>5.3249999999999999E-2</v>
      </c>
      <c r="ES264" s="456"/>
      <c r="EU264" s="144">
        <f t="shared" si="727"/>
        <v>456.45</v>
      </c>
      <c r="EV264" s="456">
        <f t="shared" si="728"/>
        <v>2.0849584395963689E-3</v>
      </c>
      <c r="EW264" s="456">
        <f t="shared" si="729"/>
        <v>2.1946930943119673E-2</v>
      </c>
      <c r="EX264" s="456">
        <f t="shared" si="730"/>
        <v>1.8276452296346488E-4</v>
      </c>
      <c r="EY264" s="456">
        <f t="shared" si="731"/>
        <v>0.19596058643252554</v>
      </c>
      <c r="EZ264" s="456"/>
      <c r="FA264" s="538">
        <f t="shared" si="732"/>
        <v>6.7247082699137489E-4</v>
      </c>
      <c r="FB264" s="144">
        <f t="shared" si="733"/>
        <v>220.84771116519642</v>
      </c>
      <c r="FC264" s="150">
        <f t="shared" si="734"/>
        <v>1.4314516383486091</v>
      </c>
      <c r="FD264" s="5">
        <f t="shared" si="735"/>
        <v>3.84</v>
      </c>
      <c r="FE264" s="150">
        <f t="shared" si="736"/>
        <v>0.72845209696412194</v>
      </c>
      <c r="FF264" s="5">
        <f t="shared" si="737"/>
        <v>72.845209696412198</v>
      </c>
      <c r="FG264">
        <f t="shared" si="738"/>
        <v>48</v>
      </c>
      <c r="FI264" s="59">
        <f t="shared" si="689"/>
        <v>-50</v>
      </c>
    </row>
    <row r="265" spans="5:165">
      <c r="E265" s="147">
        <v>49</v>
      </c>
      <c r="F265" s="188">
        <f t="shared" si="773"/>
        <v>0.58799999999999997</v>
      </c>
      <c r="G265" s="188">
        <f t="shared" si="742"/>
        <v>0.1225</v>
      </c>
      <c r="H265" s="188">
        <f t="shared" si="743"/>
        <v>2.94</v>
      </c>
      <c r="I265" s="188">
        <f t="shared" si="744"/>
        <v>0.98</v>
      </c>
      <c r="J265" s="465">
        <f t="shared" si="745"/>
        <v>59.947276910898765</v>
      </c>
      <c r="K265" s="379">
        <f t="shared" si="746"/>
        <v>5.7200550594745145</v>
      </c>
      <c r="L265" s="149">
        <f t="shared" si="747"/>
        <v>65.667331970373283</v>
      </c>
      <c r="M265" s="379"/>
      <c r="N265" s="188">
        <f t="shared" si="748"/>
        <v>8.7106554931380434E-2</v>
      </c>
      <c r="O265" s="149">
        <f t="shared" si="749"/>
        <v>9.7908764422985222</v>
      </c>
      <c r="P265" s="149">
        <f t="shared" si="750"/>
        <v>4.3515006410215644</v>
      </c>
      <c r="Q265" s="188">
        <f t="shared" si="626"/>
        <v>1.9581752884597043</v>
      </c>
      <c r="R265" s="188">
        <f t="shared" si="751"/>
        <v>1.2238595552873153</v>
      </c>
      <c r="S265" s="188">
        <f t="shared" si="752"/>
        <v>5</v>
      </c>
      <c r="T265" s="188">
        <f t="shared" si="753"/>
        <v>1.5013977641974008</v>
      </c>
      <c r="U265" s="188">
        <f t="shared" si="630"/>
        <v>0.30054364599659161</v>
      </c>
      <c r="V265" s="188">
        <f t="shared" si="631"/>
        <v>3.1497552004375216</v>
      </c>
      <c r="W265" s="172">
        <f t="shared" si="632"/>
        <v>350</v>
      </c>
      <c r="X265" s="379">
        <f t="shared" si="691"/>
        <v>273.9501728678668</v>
      </c>
      <c r="Z265" s="188">
        <f t="shared" si="633"/>
        <v>1.2432858974347325</v>
      </c>
      <c r="AA265" s="150">
        <f t="shared" si="634"/>
        <v>2.6082669859103409</v>
      </c>
      <c r="AB265" s="150">
        <f t="shared" si="754"/>
        <v>0.42562032979290865</v>
      </c>
      <c r="AC265" s="150"/>
      <c r="AD265" s="150">
        <f t="shared" si="636"/>
        <v>2.0978819041476862</v>
      </c>
      <c r="AE265" s="314">
        <f t="shared" si="755"/>
        <v>560.56539582850235</v>
      </c>
      <c r="AF265" s="456">
        <f t="shared" si="756"/>
        <v>0.36712933322584501</v>
      </c>
      <c r="AH265" s="150">
        <f t="shared" si="757"/>
        <v>1.3662601021279464</v>
      </c>
      <c r="AI265" s="150">
        <f t="shared" si="758"/>
        <v>1.5013977641974008</v>
      </c>
      <c r="AJ265" s="150">
        <f t="shared" si="759"/>
        <v>1.5714057512573338</v>
      </c>
      <c r="AL265" s="314">
        <f t="shared" si="760"/>
        <v>588</v>
      </c>
      <c r="AM265" s="144">
        <f t="shared" si="761"/>
        <v>273.9501728678668</v>
      </c>
      <c r="AO265">
        <f t="shared" si="644"/>
        <v>588</v>
      </c>
      <c r="AP265">
        <f t="shared" si="645"/>
        <v>273.9501728678668</v>
      </c>
      <c r="AR265" s="5">
        <f t="shared" si="774"/>
        <v>3.6502988464341133</v>
      </c>
      <c r="AS265" s="5">
        <f t="shared" si="739"/>
        <v>0.30054364599659161</v>
      </c>
      <c r="AT265" s="5">
        <f t="shared" si="740"/>
        <v>3.3497552004375217</v>
      </c>
      <c r="AU265" s="150">
        <f t="shared" si="741"/>
        <v>8.2333983775105229E-2</v>
      </c>
      <c r="BA265" s="150">
        <f t="shared" si="692"/>
        <v>0.2487280139950907</v>
      </c>
      <c r="BB265" s="150">
        <f t="shared" si="693"/>
        <v>0.83038111159858952</v>
      </c>
      <c r="BC265" s="150">
        <f t="shared" si="694"/>
        <v>0.18561460141615532</v>
      </c>
      <c r="BD265" s="150"/>
      <c r="BE265" s="456">
        <f t="shared" si="695"/>
        <v>1.2373124989188407E-3</v>
      </c>
      <c r="BF265" s="456">
        <f t="shared" si="762"/>
        <v>0.50642832382806036</v>
      </c>
      <c r="BG265" s="456">
        <f t="shared" si="763"/>
        <v>0.41056417181746491</v>
      </c>
      <c r="BH265" s="456">
        <f t="shared" si="696"/>
        <v>0.11813275212575239</v>
      </c>
      <c r="BI265">
        <f t="shared" si="697"/>
        <v>2.6976274609904444E-2</v>
      </c>
      <c r="BJ265" s="144">
        <f t="shared" si="698"/>
        <v>437.54044642736932</v>
      </c>
      <c r="BK265">
        <f t="shared" si="764"/>
        <v>0.62631659079206525</v>
      </c>
      <c r="BL265" s="144">
        <f t="shared" si="699"/>
        <v>1063.3388348801009</v>
      </c>
      <c r="BM265" s="150">
        <f t="shared" si="765"/>
        <v>0.36529499999999993</v>
      </c>
      <c r="BN265" s="150">
        <f t="shared" si="766"/>
        <v>5.4359374999999995E-2</v>
      </c>
      <c r="BQ265" s="144">
        <f t="shared" si="700"/>
        <v>419.6543749999999</v>
      </c>
      <c r="BR265" s="456">
        <f t="shared" si="701"/>
        <v>1.855968748378261E-3</v>
      </c>
      <c r="BS265" s="456">
        <f t="shared" si="702"/>
        <v>2.0685983714991273E-2</v>
      </c>
      <c r="BT265" s="456">
        <f t="shared" si="703"/>
        <v>1.7226390129439106E-4</v>
      </c>
      <c r="BU265" s="456">
        <f t="shared" si="704"/>
        <v>0.17154906817647869</v>
      </c>
      <c r="BV265" s="456"/>
      <c r="BW265" s="538">
        <f t="shared" si="705"/>
        <v>6.1753717741193208E-4</v>
      </c>
      <c r="BX265" s="144">
        <f t="shared" si="706"/>
        <v>194.88082171855453</v>
      </c>
      <c r="BY265" s="150">
        <f t="shared" si="707"/>
        <v>1.6778740315986556</v>
      </c>
      <c r="BZ265" s="5">
        <f t="shared" si="708"/>
        <v>3.92</v>
      </c>
      <c r="CA265" s="150">
        <f t="shared" si="709"/>
        <v>0.70026584697557337</v>
      </c>
      <c r="CB265" s="5">
        <f t="shared" si="710"/>
        <v>70.02658469755734</v>
      </c>
      <c r="CC265">
        <f t="shared" si="711"/>
        <v>49</v>
      </c>
      <c r="CE265" s="59">
        <f t="shared" si="767"/>
        <v>-50</v>
      </c>
      <c r="CG265" s="150">
        <f t="shared" si="768"/>
        <v>0.87957854338036012</v>
      </c>
      <c r="CH265" s="150">
        <f t="shared" si="769"/>
        <v>0.47330172420499933</v>
      </c>
      <c r="CI265" s="147">
        <v>49</v>
      </c>
      <c r="CJ265" s="188">
        <f t="shared" si="712"/>
        <v>0.58799999999999997</v>
      </c>
      <c r="CK265" s="188">
        <f t="shared" si="654"/>
        <v>0.1225</v>
      </c>
      <c r="CL265" s="188">
        <f t="shared" si="655"/>
        <v>2.94</v>
      </c>
      <c r="CM265" s="188">
        <f t="shared" si="656"/>
        <v>0.98</v>
      </c>
      <c r="CN265" s="465">
        <f t="shared" si="657"/>
        <v>60</v>
      </c>
      <c r="CO265" s="379">
        <f t="shared" si="770"/>
        <v>5.7</v>
      </c>
      <c r="CP265" s="379">
        <f t="shared" si="771"/>
        <v>65.7</v>
      </c>
      <c r="CQ265" s="379"/>
      <c r="CR265" s="188">
        <f t="shared" si="660"/>
        <v>8.2568807339449546E-2</v>
      </c>
      <c r="CS265" s="149">
        <f t="shared" si="661"/>
        <v>9.2889908256880744</v>
      </c>
      <c r="CT265" s="149">
        <f t="shared" si="662"/>
        <v>4.1284403669724767</v>
      </c>
      <c r="CU265" s="188">
        <f t="shared" si="663"/>
        <v>1.857798165137615</v>
      </c>
      <c r="CV265" s="188">
        <f t="shared" si="664"/>
        <v>1.1611238532110093</v>
      </c>
      <c r="CW265" s="188">
        <f t="shared" si="665"/>
        <v>5</v>
      </c>
      <c r="CX265" s="188">
        <f t="shared" si="666"/>
        <v>1.5825185185185184</v>
      </c>
      <c r="CY265" s="188">
        <f t="shared" si="667"/>
        <v>0.31650370370370368</v>
      </c>
      <c r="CZ265" s="188">
        <f t="shared" si="668"/>
        <v>3.3316179337231966</v>
      </c>
      <c r="DA265" s="172">
        <f t="shared" si="669"/>
        <v>350</v>
      </c>
      <c r="DB265" s="379">
        <f t="shared" si="670"/>
        <v>274.11366708302023</v>
      </c>
      <c r="DD265" s="188">
        <f t="shared" si="671"/>
        <v>1.2393998695368558</v>
      </c>
      <c r="DE265" s="150">
        <f t="shared" si="672"/>
        <v>2.6092628832354858</v>
      </c>
      <c r="DF265" s="150">
        <f t="shared" si="673"/>
        <v>0.4244520101153616</v>
      </c>
      <c r="DG265" s="150"/>
      <c r="DH265" s="150">
        <f t="shared" si="674"/>
        <v>2.1052631578947367</v>
      </c>
      <c r="DI265" s="314">
        <f t="shared" si="675"/>
        <v>558.6</v>
      </c>
      <c r="DJ265" s="456">
        <f t="shared" si="676"/>
        <v>0.36842105263157893</v>
      </c>
      <c r="DL265" s="150">
        <f t="shared" si="677"/>
        <v>1.3662601021279464</v>
      </c>
      <c r="DM265" s="150">
        <f t="shared" si="678"/>
        <v>1.5825185185185184</v>
      </c>
      <c r="DN265" s="150">
        <f t="shared" si="679"/>
        <v>1.6314951989026063</v>
      </c>
      <c r="DP265" s="314">
        <f t="shared" si="680"/>
        <v>588</v>
      </c>
      <c r="DQ265" s="144">
        <f t="shared" si="681"/>
        <v>274.11366708302023</v>
      </c>
      <c r="DS265">
        <f t="shared" si="682"/>
        <v>588</v>
      </c>
      <c r="DT265">
        <f t="shared" si="683"/>
        <v>274.11366708302023</v>
      </c>
      <c r="DV265" s="5">
        <f t="shared" si="684"/>
        <v>3.6481216374269003</v>
      </c>
      <c r="DW265" s="5">
        <f t="shared" si="685"/>
        <v>0.31650370370370368</v>
      </c>
      <c r="DX265" s="5">
        <f t="shared" si="686"/>
        <v>3.3316179337231966</v>
      </c>
      <c r="DY265" s="150">
        <f t="shared" si="687"/>
        <v>8.6757990867579904E-2</v>
      </c>
      <c r="EA265" s="5">
        <f t="shared" si="713"/>
        <v>3.7220835555555549</v>
      </c>
      <c r="EB265" s="5">
        <f t="shared" si="714"/>
        <v>0.48464629629629624</v>
      </c>
      <c r="EC265" s="5">
        <f t="shared" si="715"/>
        <v>6.802053281351525E-2</v>
      </c>
      <c r="ED265" s="5"/>
      <c r="EE265" s="150">
        <f t="shared" si="716"/>
        <v>0.2691181052865812</v>
      </c>
      <c r="EF265" s="150">
        <f t="shared" si="717"/>
        <v>0.87313442983214762</v>
      </c>
      <c r="EG265" s="150">
        <f t="shared" si="718"/>
        <v>0.19517122549189184</v>
      </c>
      <c r="EH265" s="150"/>
      <c r="EI265" s="456">
        <f t="shared" si="719"/>
        <v>1.448491091860788E-3</v>
      </c>
      <c r="EJ265" s="456">
        <f t="shared" si="720"/>
        <v>0.57000000000000006</v>
      </c>
      <c r="EK265" s="456">
        <f t="shared" si="721"/>
        <v>3.4264208385377526E-2</v>
      </c>
      <c r="EL265" s="456">
        <f t="shared" si="722"/>
        <v>0.11832089028271864</v>
      </c>
      <c r="EM265">
        <f t="shared" si="723"/>
        <v>2.7E-2</v>
      </c>
      <c r="EN265" s="144">
        <f t="shared" si="724"/>
        <v>61.264208385377522</v>
      </c>
      <c r="EP265" s="144">
        <f t="shared" si="725"/>
        <v>751.03358975995707</v>
      </c>
      <c r="EQ265" s="150">
        <f t="shared" si="726"/>
        <v>0.41159999999999997</v>
      </c>
      <c r="ER265" s="150">
        <f t="shared" si="772"/>
        <v>5.4359374999999995E-2</v>
      </c>
      <c r="ES265" s="456"/>
      <c r="EU265" s="144">
        <f t="shared" si="727"/>
        <v>465.95937499999997</v>
      </c>
      <c r="EV265" s="456">
        <f t="shared" si="728"/>
        <v>2.172736637791182E-3</v>
      </c>
      <c r="EW265" s="456">
        <f t="shared" si="729"/>
        <v>2.2870911976749283E-2</v>
      </c>
      <c r="EX265" s="456">
        <f t="shared" si="730"/>
        <v>1.9045903630003446E-4</v>
      </c>
      <c r="EY265" s="456">
        <f t="shared" si="731"/>
        <v>0.19596058643252548</v>
      </c>
      <c r="EZ265" s="456"/>
      <c r="FA265" s="538">
        <f t="shared" si="732"/>
        <v>6.8648063588702863E-4</v>
      </c>
      <c r="FB265" s="144">
        <f t="shared" si="733"/>
        <v>221.88117471925301</v>
      </c>
      <c r="FC265" s="150">
        <f t="shared" si="734"/>
        <v>1.4388741394792099</v>
      </c>
      <c r="FD265" s="5">
        <f t="shared" si="735"/>
        <v>3.92</v>
      </c>
      <c r="FE265" s="150">
        <f t="shared" si="736"/>
        <v>0.73149693349225708</v>
      </c>
      <c r="FF265" s="5">
        <f t="shared" si="737"/>
        <v>73.149693349225714</v>
      </c>
      <c r="FG265">
        <f t="shared" si="738"/>
        <v>49</v>
      </c>
      <c r="FI265" s="59">
        <f t="shared" si="689"/>
        <v>-50</v>
      </c>
    </row>
    <row r="266" spans="5:165">
      <c r="E266" s="147">
        <v>50</v>
      </c>
      <c r="F266" s="188">
        <f t="shared" si="773"/>
        <v>0.6</v>
      </c>
      <c r="G266" s="188">
        <f t="shared" si="742"/>
        <v>0.125</v>
      </c>
      <c r="H266" s="188">
        <f t="shared" si="743"/>
        <v>3</v>
      </c>
      <c r="I266" s="188">
        <f t="shared" si="744"/>
        <v>1</v>
      </c>
      <c r="J266" s="465">
        <f t="shared" si="745"/>
        <v>59.946200929488541</v>
      </c>
      <c r="K266" s="379">
        <f t="shared" si="746"/>
        <v>5.720464346402566</v>
      </c>
      <c r="L266" s="149">
        <f t="shared" si="747"/>
        <v>65.666665275891106</v>
      </c>
      <c r="M266" s="379"/>
      <c r="N266" s="188">
        <f t="shared" si="748"/>
        <v>8.7113672094793884E-2</v>
      </c>
      <c r="O266" s="149">
        <f t="shared" si="749"/>
        <v>9.7915006708126739</v>
      </c>
      <c r="P266" s="149">
        <f t="shared" si="750"/>
        <v>4.3517780759167444</v>
      </c>
      <c r="Q266" s="188">
        <f t="shared" si="626"/>
        <v>1.9583001341625348</v>
      </c>
      <c r="R266" s="188">
        <f t="shared" si="751"/>
        <v>1.2239375838515842</v>
      </c>
      <c r="S266" s="188">
        <f t="shared" si="752"/>
        <v>5</v>
      </c>
      <c r="T266" s="188">
        <f t="shared" si="753"/>
        <v>1.5319408642551857</v>
      </c>
      <c r="U266" s="188">
        <f t="shared" si="630"/>
        <v>0.30666314271834333</v>
      </c>
      <c r="V266" s="188">
        <f t="shared" si="631"/>
        <v>3.2136010746440449</v>
      </c>
      <c r="W266" s="172">
        <f t="shared" si="632"/>
        <v>350</v>
      </c>
      <c r="X266" s="379">
        <f t="shared" si="691"/>
        <v>268.79811259991232</v>
      </c>
      <c r="Z266" s="188">
        <f t="shared" si="633"/>
        <v>1.2433651645476411</v>
      </c>
      <c r="AA266" s="150">
        <f t="shared" si="634"/>
        <v>2.6082466511577316</v>
      </c>
      <c r="AB266" s="150">
        <f t="shared" si="754"/>
        <v>0.42564414724093058</v>
      </c>
      <c r="AC266" s="150"/>
      <c r="AD266" s="150">
        <f t="shared" si="636"/>
        <v>2.0977318052067666</v>
      </c>
      <c r="AE266" s="314">
        <f t="shared" si="755"/>
        <v>572.04643464025662</v>
      </c>
      <c r="AF266" s="456">
        <f t="shared" si="756"/>
        <v>0.36710306591118413</v>
      </c>
      <c r="AH266" s="150">
        <f t="shared" si="757"/>
        <v>1.3801311186847085</v>
      </c>
      <c r="AI266" s="150">
        <f t="shared" si="758"/>
        <v>1.5319408642551857</v>
      </c>
      <c r="AJ266" s="150">
        <f t="shared" si="759"/>
        <v>1.5940302698186559</v>
      </c>
      <c r="AL266" s="314">
        <f t="shared" si="760"/>
        <v>600</v>
      </c>
      <c r="AM266" s="144">
        <f t="shared" si="761"/>
        <v>268.79811259991232</v>
      </c>
      <c r="AO266">
        <f t="shared" si="644"/>
        <v>600</v>
      </c>
      <c r="AP266">
        <f t="shared" si="645"/>
        <v>268.79811259991232</v>
      </c>
      <c r="AR266" s="5">
        <f t="shared" si="774"/>
        <v>3.7202642173623883</v>
      </c>
      <c r="AS266" s="5">
        <f t="shared" si="739"/>
        <v>0.30666314271834333</v>
      </c>
      <c r="AT266" s="5">
        <f t="shared" si="740"/>
        <v>3.4136010746440451</v>
      </c>
      <c r="AU266" s="150">
        <f t="shared" si="741"/>
        <v>8.2430473966648238E-2</v>
      </c>
      <c r="BA266" s="150">
        <f t="shared" si="692"/>
        <v>0.25393658347662479</v>
      </c>
      <c r="BB266" s="150">
        <f t="shared" si="693"/>
        <v>0.8472291005175997</v>
      </c>
      <c r="BC266" s="150">
        <f t="shared" si="694"/>
        <v>0.18938062246863996</v>
      </c>
      <c r="BD266" s="150"/>
      <c r="BE266" s="456">
        <f t="shared" si="695"/>
        <v>1.2896757685556166E-3</v>
      </c>
      <c r="BF266" s="456">
        <f t="shared" si="762"/>
        <v>0.5070075776776416</v>
      </c>
      <c r="BG266" s="456">
        <f t="shared" si="763"/>
        <v>0.40283564168454072</v>
      </c>
      <c r="BH266" s="456">
        <f t="shared" si="696"/>
        <v>0.11590872788904075</v>
      </c>
      <c r="BI266">
        <f t="shared" si="697"/>
        <v>2.6975790418269842E-2</v>
      </c>
      <c r="BJ266" s="144">
        <f t="shared" si="698"/>
        <v>429.81143210281061</v>
      </c>
      <c r="BK266">
        <f t="shared" si="764"/>
        <v>0.62474563269937911</v>
      </c>
      <c r="BL266" s="144">
        <f t="shared" si="699"/>
        <v>1054.0174134380486</v>
      </c>
      <c r="BM266" s="150">
        <f t="shared" si="765"/>
        <v>0.37274999999999997</v>
      </c>
      <c r="BN266" s="150">
        <f t="shared" si="766"/>
        <v>5.5468749999999997E-2</v>
      </c>
      <c r="BQ266" s="144">
        <f t="shared" si="700"/>
        <v>428.21875</v>
      </c>
      <c r="BR266" s="456">
        <f t="shared" si="701"/>
        <v>1.9345136528334246E-3</v>
      </c>
      <c r="BS266" s="456">
        <f t="shared" si="702"/>
        <v>2.1533914462915828E-2</v>
      </c>
      <c r="BT266" s="456">
        <f t="shared" si="703"/>
        <v>1.7932510083304768E-4</v>
      </c>
      <c r="BU266" s="456">
        <f t="shared" si="704"/>
        <v>0.17204440130561283</v>
      </c>
      <c r="BV266" s="456"/>
      <c r="BW266" s="538">
        <f t="shared" si="705"/>
        <v>6.3082691832001153E-4</v>
      </c>
      <c r="BX266" s="144">
        <f t="shared" si="706"/>
        <v>196.32298144051512</v>
      </c>
      <c r="BY266" s="150">
        <f t="shared" si="707"/>
        <v>1.6785591448785637</v>
      </c>
      <c r="BZ266" s="5">
        <f t="shared" si="708"/>
        <v>4</v>
      </c>
      <c r="CA266" s="150">
        <f t="shared" si="709"/>
        <v>0.70440403946616637</v>
      </c>
      <c r="CB266" s="5">
        <f t="shared" si="710"/>
        <v>70.440403946616641</v>
      </c>
      <c r="CC266">
        <f t="shared" si="711"/>
        <v>50</v>
      </c>
      <c r="CE266" s="59">
        <f t="shared" si="767"/>
        <v>-50</v>
      </c>
      <c r="CG266" s="150">
        <f t="shared" si="768"/>
        <v>0.87957854338036034</v>
      </c>
      <c r="CH266" s="150">
        <f t="shared" si="769"/>
        <v>0.47330172420499933</v>
      </c>
      <c r="CI266" s="147">
        <v>50</v>
      </c>
      <c r="CJ266" s="188">
        <f t="shared" si="712"/>
        <v>0.6</v>
      </c>
      <c r="CK266" s="188">
        <f t="shared" si="654"/>
        <v>0.125</v>
      </c>
      <c r="CL266" s="188">
        <f t="shared" si="655"/>
        <v>3</v>
      </c>
      <c r="CM266" s="188">
        <f t="shared" si="656"/>
        <v>1</v>
      </c>
      <c r="CN266" s="465">
        <f t="shared" si="657"/>
        <v>60</v>
      </c>
      <c r="CO266" s="379">
        <f t="shared" si="770"/>
        <v>5.7</v>
      </c>
      <c r="CP266" s="379">
        <f t="shared" si="771"/>
        <v>65.7</v>
      </c>
      <c r="CQ266" s="379"/>
      <c r="CR266" s="188">
        <f t="shared" si="660"/>
        <v>8.2568807339449546E-2</v>
      </c>
      <c r="CS266" s="149">
        <f t="shared" si="661"/>
        <v>9.2889908256880744</v>
      </c>
      <c r="CT266" s="149">
        <f t="shared" si="662"/>
        <v>4.1284403669724767</v>
      </c>
      <c r="CU266" s="188">
        <f t="shared" si="663"/>
        <v>1.857798165137615</v>
      </c>
      <c r="CV266" s="188">
        <f t="shared" si="664"/>
        <v>1.1611238532110093</v>
      </c>
      <c r="CW266" s="188">
        <f t="shared" si="665"/>
        <v>5</v>
      </c>
      <c r="CX266" s="188">
        <f t="shared" si="666"/>
        <v>1.6148148148148147</v>
      </c>
      <c r="CY266" s="188">
        <f t="shared" si="667"/>
        <v>0.32296296296296301</v>
      </c>
      <c r="CZ266" s="188">
        <f t="shared" si="668"/>
        <v>3.399610136452242</v>
      </c>
      <c r="DA266" s="172">
        <f t="shared" si="669"/>
        <v>350</v>
      </c>
      <c r="DB266" s="379">
        <f t="shared" si="670"/>
        <v>268.63139374135983</v>
      </c>
      <c r="DD266" s="188">
        <f t="shared" si="671"/>
        <v>1.2393998695368558</v>
      </c>
      <c r="DE266" s="150">
        <f t="shared" si="672"/>
        <v>2.6092628832354858</v>
      </c>
      <c r="DF266" s="150">
        <f t="shared" si="673"/>
        <v>0.4244520101153616</v>
      </c>
      <c r="DG266" s="150"/>
      <c r="DH266" s="150">
        <f t="shared" si="674"/>
        <v>2.1052631578947367</v>
      </c>
      <c r="DI266" s="314">
        <f t="shared" si="675"/>
        <v>570</v>
      </c>
      <c r="DJ266" s="456">
        <f t="shared" si="676"/>
        <v>0.36842105263157893</v>
      </c>
      <c r="DL266" s="150">
        <f t="shared" si="677"/>
        <v>1.3801311186847085</v>
      </c>
      <c r="DM266" s="150">
        <f t="shared" si="678"/>
        <v>1.6148148148148147</v>
      </c>
      <c r="DN266" s="150">
        <f t="shared" si="679"/>
        <v>1.6554183813443071</v>
      </c>
      <c r="DP266" s="314">
        <f t="shared" si="680"/>
        <v>600</v>
      </c>
      <c r="DQ266" s="144">
        <f t="shared" si="681"/>
        <v>268.63139374135983</v>
      </c>
      <c r="DS266">
        <f t="shared" si="682"/>
        <v>600</v>
      </c>
      <c r="DT266">
        <f t="shared" si="683"/>
        <v>268.63139374135983</v>
      </c>
      <c r="DV266" s="5">
        <f t="shared" si="684"/>
        <v>3.7225730994152042</v>
      </c>
      <c r="DW266" s="5">
        <f t="shared" si="685"/>
        <v>0.32296296296296301</v>
      </c>
      <c r="DX266" s="5">
        <f t="shared" si="686"/>
        <v>3.3996101364522411</v>
      </c>
      <c r="DY266" s="150">
        <f t="shared" si="687"/>
        <v>8.6757990867579932E-2</v>
      </c>
      <c r="EA266" s="5">
        <f t="shared" si="713"/>
        <v>3.8755555555555561</v>
      </c>
      <c r="EB266" s="5">
        <f t="shared" si="714"/>
        <v>0.50462962962962976</v>
      </c>
      <c r="EC266" s="5">
        <f t="shared" si="715"/>
        <v>7.0825211176088351E-2</v>
      </c>
      <c r="ED266" s="5"/>
      <c r="EE266" s="150">
        <f t="shared" si="716"/>
        <v>0.27461031151691961</v>
      </c>
      <c r="EF266" s="150">
        <f t="shared" si="717"/>
        <v>0.89095349982872207</v>
      </c>
      <c r="EG266" s="150">
        <f t="shared" si="718"/>
        <v>0.1991543117264202</v>
      </c>
      <c r="EH266" s="150"/>
      <c r="EI266" s="456">
        <f t="shared" si="719"/>
        <v>1.5082164638283927E-3</v>
      </c>
      <c r="EJ266" s="456">
        <f t="shared" si="720"/>
        <v>0.57000000000000006</v>
      </c>
      <c r="EK266" s="456">
        <f t="shared" si="721"/>
        <v>3.3578924217669975E-2</v>
      </c>
      <c r="EL266" s="456">
        <f t="shared" si="722"/>
        <v>0.11595447247706427</v>
      </c>
      <c r="EM266">
        <f t="shared" si="723"/>
        <v>2.7E-2</v>
      </c>
      <c r="EN266" s="144">
        <f t="shared" si="724"/>
        <v>60.578924217669972</v>
      </c>
      <c r="EP266" s="144">
        <f t="shared" si="725"/>
        <v>748.04161315856265</v>
      </c>
      <c r="EQ266" s="150">
        <f t="shared" si="726"/>
        <v>0.42</v>
      </c>
      <c r="ER266" s="150">
        <f t="shared" si="772"/>
        <v>5.5468749999999997E-2</v>
      </c>
      <c r="ES266" s="456"/>
      <c r="EU266" s="144">
        <f t="shared" si="727"/>
        <v>475.46875</v>
      </c>
      <c r="EV266" s="456">
        <f t="shared" si="728"/>
        <v>2.262324695742589E-3</v>
      </c>
      <c r="EW266" s="456">
        <f t="shared" si="729"/>
        <v>2.3813944165711459E-2</v>
      </c>
      <c r="EX266" s="456">
        <f t="shared" si="730"/>
        <v>1.9831219939612076E-4</v>
      </c>
      <c r="EY266" s="456">
        <f t="shared" si="731"/>
        <v>0.19596058643252548</v>
      </c>
      <c r="EZ266" s="456"/>
      <c r="FA266" s="538">
        <f t="shared" si="732"/>
        <v>7.0049044478268227E-4</v>
      </c>
      <c r="FB266" s="144">
        <f t="shared" si="733"/>
        <v>222.93565793815833</v>
      </c>
      <c r="FC266" s="150">
        <f t="shared" si="734"/>
        <v>1.4464460210967209</v>
      </c>
      <c r="FD266" s="5">
        <f t="shared" si="735"/>
        <v>4</v>
      </c>
      <c r="FE266" s="150">
        <f t="shared" si="736"/>
        <v>0.7344238765070038</v>
      </c>
      <c r="FF266" s="5">
        <f t="shared" si="737"/>
        <v>73.442387650700383</v>
      </c>
      <c r="FG266">
        <f t="shared" si="738"/>
        <v>50</v>
      </c>
      <c r="FI266" s="59">
        <f t="shared" si="689"/>
        <v>-50</v>
      </c>
    </row>
    <row r="267" spans="5:165">
      <c r="E267" s="147">
        <v>51</v>
      </c>
      <c r="F267" s="188">
        <f t="shared" si="773"/>
        <v>0.61199999999999999</v>
      </c>
      <c r="G267" s="188">
        <f t="shared" si="742"/>
        <v>0.1275</v>
      </c>
      <c r="H267" s="188">
        <f t="shared" si="743"/>
        <v>3.06</v>
      </c>
      <c r="I267" s="188">
        <f t="shared" si="744"/>
        <v>1.02</v>
      </c>
      <c r="J267" s="465">
        <f t="shared" si="745"/>
        <v>59.945124948078309</v>
      </c>
      <c r="K267" s="379">
        <f t="shared" si="746"/>
        <v>5.7208736333306174</v>
      </c>
      <c r="L267" s="149">
        <f t="shared" si="747"/>
        <v>65.665998581408928</v>
      </c>
      <c r="M267" s="379"/>
      <c r="N267" s="188">
        <f t="shared" si="748"/>
        <v>8.7120789402725787E-2</v>
      </c>
      <c r="O267" s="149">
        <f t="shared" si="749"/>
        <v>9.792124886853026</v>
      </c>
      <c r="P267" s="149">
        <f t="shared" si="750"/>
        <v>4.3520555052680114</v>
      </c>
      <c r="Q267" s="188">
        <f t="shared" si="626"/>
        <v>1.9584249773706053</v>
      </c>
      <c r="R267" s="188">
        <f t="shared" si="751"/>
        <v>1.2240156108566282</v>
      </c>
      <c r="S267" s="188">
        <f t="shared" si="752"/>
        <v>5</v>
      </c>
      <c r="T267" s="188">
        <f t="shared" si="753"/>
        <v>1.5624800721794188</v>
      </c>
      <c r="U267" s="188">
        <f t="shared" si="630"/>
        <v>0.31278207998387192</v>
      </c>
      <c r="V267" s="188">
        <f t="shared" si="631"/>
        <v>3.2774296493658364</v>
      </c>
      <c r="W267" s="172">
        <f t="shared" si="632"/>
        <v>350</v>
      </c>
      <c r="X267" s="379">
        <f t="shared" si="691"/>
        <v>263.83750339234251</v>
      </c>
      <c r="Z267" s="188">
        <f t="shared" si="633"/>
        <v>1.2434444300765746</v>
      </c>
      <c r="AA267" s="150">
        <f t="shared" si="634"/>
        <v>2.6082263159922117</v>
      </c>
      <c r="AB267" s="150">
        <f t="shared" si="754"/>
        <v>0.42566796365620529</v>
      </c>
      <c r="AC267" s="150"/>
      <c r="AD267" s="150">
        <f t="shared" si="636"/>
        <v>2.0975817277428233</v>
      </c>
      <c r="AE267" s="314">
        <f t="shared" si="755"/>
        <v>583.52911059972291</v>
      </c>
      <c r="AF267" s="456">
        <f t="shared" si="756"/>
        <v>0.36707680235499407</v>
      </c>
      <c r="AH267" s="150">
        <f t="shared" si="757"/>
        <v>1.3938641048743392</v>
      </c>
      <c r="AI267" s="150">
        <f t="shared" si="758"/>
        <v>1.5624800721794188</v>
      </c>
      <c r="AJ267" s="150">
        <f t="shared" si="759"/>
        <v>1.6166519053180879</v>
      </c>
      <c r="AL267" s="314">
        <f t="shared" si="760"/>
        <v>612</v>
      </c>
      <c r="AM267" s="144">
        <f t="shared" si="761"/>
        <v>263.83750339234251</v>
      </c>
      <c r="AO267">
        <f t="shared" si="644"/>
        <v>612</v>
      </c>
      <c r="AP267">
        <f t="shared" si="645"/>
        <v>263.83750339234251</v>
      </c>
      <c r="AR267" s="5">
        <f t="shared" si="774"/>
        <v>3.790211729349708</v>
      </c>
      <c r="AS267" s="5">
        <f t="shared" si="739"/>
        <v>0.31278207998387192</v>
      </c>
      <c r="AT267" s="5">
        <f t="shared" si="740"/>
        <v>3.4774296493658361</v>
      </c>
      <c r="AU267" s="150">
        <f t="shared" si="741"/>
        <v>8.252364308880876E-2</v>
      </c>
      <c r="BA267" s="150">
        <f t="shared" si="692"/>
        <v>0.25914513239299902</v>
      </c>
      <c r="BB267" s="150">
        <f t="shared" si="693"/>
        <v>0.86407472227596283</v>
      </c>
      <c r="BC267" s="150">
        <f t="shared" si="694"/>
        <v>0.19314611439109758</v>
      </c>
      <c r="BD267" s="150"/>
      <c r="BE267" s="456">
        <f t="shared" si="695"/>
        <v>1.3431239928596997E-3</v>
      </c>
      <c r="BF267" s="456">
        <f t="shared" si="762"/>
        <v>0.50756637192939047</v>
      </c>
      <c r="BG267" s="456">
        <f t="shared" si="763"/>
        <v>0.39539430267107512</v>
      </c>
      <c r="BH267" s="456">
        <f t="shared" si="696"/>
        <v>0.11376734804293953</v>
      </c>
      <c r="BI267">
        <f t="shared" si="697"/>
        <v>2.6975306226635239E-2</v>
      </c>
      <c r="BJ267" s="144">
        <f t="shared" si="698"/>
        <v>422.36960889771035</v>
      </c>
      <c r="BK267">
        <f t="shared" si="764"/>
        <v>0.62323837917673541</v>
      </c>
      <c r="BL267" s="144">
        <f t="shared" si="699"/>
        <v>1045.0464528629</v>
      </c>
      <c r="BM267" s="150">
        <f t="shared" si="765"/>
        <v>0.38020499999999996</v>
      </c>
      <c r="BN267" s="150">
        <f t="shared" si="766"/>
        <v>5.6578125E-2</v>
      </c>
      <c r="BQ267" s="144">
        <f t="shared" si="700"/>
        <v>436.78312499999993</v>
      </c>
      <c r="BR267" s="456">
        <f t="shared" si="701"/>
        <v>2.0146859892895496E-3</v>
      </c>
      <c r="BS267" s="456">
        <f t="shared" si="702"/>
        <v>2.2398753770288465E-2</v>
      </c>
      <c r="BT267" s="456">
        <f t="shared" si="703"/>
        <v>1.8652710752189476E-4</v>
      </c>
      <c r="BU267" s="456">
        <f t="shared" si="704"/>
        <v>0.17252321545774266</v>
      </c>
      <c r="BV267" s="456"/>
      <c r="BW267" s="538">
        <f t="shared" si="705"/>
        <v>6.4411809953864149E-4</v>
      </c>
      <c r="BX267" s="144">
        <f t="shared" si="706"/>
        <v>197.76730042438123</v>
      </c>
      <c r="BY267" s="150">
        <f t="shared" si="707"/>
        <v>1.6795968782872812</v>
      </c>
      <c r="BZ267" s="5">
        <f t="shared" si="708"/>
        <v>4.08</v>
      </c>
      <c r="CA267" s="150">
        <f t="shared" si="709"/>
        <v>0.708382910509053</v>
      </c>
      <c r="CB267" s="5">
        <f t="shared" si="710"/>
        <v>70.838291050905298</v>
      </c>
      <c r="CC267">
        <f t="shared" si="711"/>
        <v>51</v>
      </c>
      <c r="CE267" s="59">
        <f t="shared" si="767"/>
        <v>-50</v>
      </c>
      <c r="CG267" s="150">
        <f t="shared" si="768"/>
        <v>0.87957854338036034</v>
      </c>
      <c r="CH267" s="150">
        <f t="shared" si="769"/>
        <v>0.47330172420499939</v>
      </c>
      <c r="CI267" s="147">
        <v>51</v>
      </c>
      <c r="CJ267" s="188">
        <f t="shared" si="712"/>
        <v>0.61199999999999999</v>
      </c>
      <c r="CK267" s="188">
        <f t="shared" si="654"/>
        <v>0.1275</v>
      </c>
      <c r="CL267" s="188">
        <f t="shared" si="655"/>
        <v>3.06</v>
      </c>
      <c r="CM267" s="188">
        <f t="shared" si="656"/>
        <v>1.02</v>
      </c>
      <c r="CN267" s="465">
        <f t="shared" si="657"/>
        <v>60</v>
      </c>
      <c r="CO267" s="379">
        <f t="shared" si="770"/>
        <v>5.7</v>
      </c>
      <c r="CP267" s="379">
        <f t="shared" si="771"/>
        <v>65.7</v>
      </c>
      <c r="CQ267" s="379"/>
      <c r="CR267" s="188">
        <f t="shared" si="660"/>
        <v>8.2568807339449546E-2</v>
      </c>
      <c r="CS267" s="149">
        <f t="shared" si="661"/>
        <v>9.2889908256880744</v>
      </c>
      <c r="CT267" s="149">
        <f t="shared" si="662"/>
        <v>4.1284403669724767</v>
      </c>
      <c r="CU267" s="188">
        <f t="shared" si="663"/>
        <v>1.857798165137615</v>
      </c>
      <c r="CV267" s="188">
        <f t="shared" si="664"/>
        <v>1.1611238532110093</v>
      </c>
      <c r="CW267" s="188">
        <f t="shared" si="665"/>
        <v>5</v>
      </c>
      <c r="CX267" s="188">
        <f t="shared" si="666"/>
        <v>1.647111111111111</v>
      </c>
      <c r="CY267" s="188">
        <f t="shared" si="667"/>
        <v>0.32942222222222223</v>
      </c>
      <c r="CZ267" s="188">
        <f t="shared" si="668"/>
        <v>3.4676023391812865</v>
      </c>
      <c r="DA267" s="172">
        <f t="shared" si="669"/>
        <v>350</v>
      </c>
      <c r="DB267" s="379">
        <f t="shared" si="670"/>
        <v>263.36411151113708</v>
      </c>
      <c r="DD267" s="188">
        <f t="shared" si="671"/>
        <v>1.2393998695368558</v>
      </c>
      <c r="DE267" s="150">
        <f t="shared" si="672"/>
        <v>2.6092628832354858</v>
      </c>
      <c r="DF267" s="150">
        <f t="shared" si="673"/>
        <v>0.4244520101153616</v>
      </c>
      <c r="DG267" s="150"/>
      <c r="DH267" s="150">
        <f t="shared" si="674"/>
        <v>2.1052631578947367</v>
      </c>
      <c r="DI267" s="314">
        <f t="shared" si="675"/>
        <v>581.4</v>
      </c>
      <c r="DJ267" s="456">
        <f t="shared" si="676"/>
        <v>0.36842105263157893</v>
      </c>
      <c r="DL267" s="150">
        <f t="shared" si="677"/>
        <v>1.3938641048743392</v>
      </c>
      <c r="DM267" s="150">
        <f t="shared" si="678"/>
        <v>1.647111111111111</v>
      </c>
      <c r="DN267" s="150">
        <f t="shared" si="679"/>
        <v>1.6793415637860081</v>
      </c>
      <c r="DP267" s="314">
        <f t="shared" si="680"/>
        <v>612</v>
      </c>
      <c r="DQ267" s="144">
        <f t="shared" si="681"/>
        <v>263.36411151113708</v>
      </c>
      <c r="DS267">
        <f t="shared" si="682"/>
        <v>612</v>
      </c>
      <c r="DT267">
        <f t="shared" si="683"/>
        <v>263.36411151113708</v>
      </c>
      <c r="DV267" s="5">
        <f t="shared" si="684"/>
        <v>3.7970245614035085</v>
      </c>
      <c r="DW267" s="5">
        <f t="shared" si="685"/>
        <v>0.32942222222222223</v>
      </c>
      <c r="DX267" s="5">
        <f t="shared" si="686"/>
        <v>3.4676023391812865</v>
      </c>
      <c r="DY267" s="150">
        <f t="shared" si="687"/>
        <v>8.6757990867579918E-2</v>
      </c>
      <c r="EA267" s="5">
        <f t="shared" si="713"/>
        <v>4.0321279999999993</v>
      </c>
      <c r="EB267" s="5">
        <f t="shared" si="714"/>
        <v>0.52501666666666669</v>
      </c>
      <c r="EC267" s="5">
        <f t="shared" si="715"/>
        <v>7.3686549707602328E-2</v>
      </c>
      <c r="ED267" s="5"/>
      <c r="EE267" s="150">
        <f t="shared" si="716"/>
        <v>0.28010251774725797</v>
      </c>
      <c r="EF267" s="150">
        <f t="shared" si="717"/>
        <v>0.90877256982529642</v>
      </c>
      <c r="EG267" s="150">
        <f t="shared" si="718"/>
        <v>0.20313739796094865</v>
      </c>
      <c r="EH267" s="150"/>
      <c r="EI267" s="456">
        <f t="shared" si="719"/>
        <v>1.5691484089670592E-3</v>
      </c>
      <c r="EJ267" s="456">
        <f t="shared" si="720"/>
        <v>0.57000000000000006</v>
      </c>
      <c r="EK267" s="456">
        <f t="shared" si="721"/>
        <v>3.2920513938892129E-2</v>
      </c>
      <c r="EL267" s="456">
        <f t="shared" si="722"/>
        <v>0.11368085536967085</v>
      </c>
      <c r="EM267">
        <f t="shared" si="723"/>
        <v>2.7E-2</v>
      </c>
      <c r="EN267" s="144">
        <f t="shared" si="724"/>
        <v>59.920513938892128</v>
      </c>
      <c r="EP267" s="144">
        <f t="shared" si="725"/>
        <v>745.17051771753017</v>
      </c>
      <c r="EQ267" s="150">
        <f t="shared" si="726"/>
        <v>0.42839999999999995</v>
      </c>
      <c r="ER267" s="150">
        <f t="shared" si="772"/>
        <v>5.6578125E-2</v>
      </c>
      <c r="ES267" s="456"/>
      <c r="EU267" s="144">
        <f t="shared" si="727"/>
        <v>484.97812499999992</v>
      </c>
      <c r="EV267" s="456">
        <f t="shared" si="728"/>
        <v>2.3537226134505889E-3</v>
      </c>
      <c r="EW267" s="456">
        <f t="shared" si="729"/>
        <v>2.47760275100062E-2</v>
      </c>
      <c r="EX267" s="456">
        <f t="shared" si="730"/>
        <v>2.0632401225172413E-4</v>
      </c>
      <c r="EY267" s="456">
        <f t="shared" si="731"/>
        <v>0.19596058643252542</v>
      </c>
      <c r="EZ267" s="456"/>
      <c r="FA267" s="538">
        <f t="shared" si="732"/>
        <v>7.1450025367833568E-4</v>
      </c>
      <c r="FB267" s="144">
        <f t="shared" si="733"/>
        <v>224.01116082191228</v>
      </c>
      <c r="FC267" s="150">
        <f t="shared" si="734"/>
        <v>1.4541598035394423</v>
      </c>
      <c r="FD267" s="5">
        <f t="shared" si="735"/>
        <v>4.08</v>
      </c>
      <c r="FE267" s="150">
        <f t="shared" si="736"/>
        <v>0.73723928199373356</v>
      </c>
      <c r="FF267" s="5">
        <f t="shared" si="737"/>
        <v>73.723928199373361</v>
      </c>
      <c r="FG267">
        <f t="shared" si="738"/>
        <v>51</v>
      </c>
      <c r="FI267" s="59">
        <f t="shared" si="689"/>
        <v>-50</v>
      </c>
    </row>
    <row r="268" spans="5:165">
      <c r="E268" s="147">
        <v>52</v>
      </c>
      <c r="F268" s="188">
        <f t="shared" si="773"/>
        <v>0.624</v>
      </c>
      <c r="G268" s="188">
        <f t="shared" si="742"/>
        <v>0.13</v>
      </c>
      <c r="H268" s="188">
        <f t="shared" si="743"/>
        <v>3.12</v>
      </c>
      <c r="I268" s="188">
        <f t="shared" si="744"/>
        <v>1.04</v>
      </c>
      <c r="J268" s="465">
        <f t="shared" si="745"/>
        <v>59.944048966668078</v>
      </c>
      <c r="K268" s="379">
        <f t="shared" si="746"/>
        <v>5.7212829202586688</v>
      </c>
      <c r="L268" s="149">
        <f t="shared" si="747"/>
        <v>65.665331886926751</v>
      </c>
      <c r="M268" s="379"/>
      <c r="N268" s="188">
        <f t="shared" si="748"/>
        <v>8.7127906855180515E-2</v>
      </c>
      <c r="O268" s="149">
        <f t="shared" si="749"/>
        <v>9.7927490904191927</v>
      </c>
      <c r="P268" s="149">
        <f t="shared" si="750"/>
        <v>4.3523329290751969</v>
      </c>
      <c r="Q268" s="188">
        <f t="shared" si="626"/>
        <v>1.9585498180838385</v>
      </c>
      <c r="R268" s="188">
        <f t="shared" si="751"/>
        <v>1.2240936363023991</v>
      </c>
      <c r="S268" s="188">
        <f t="shared" si="752"/>
        <v>5</v>
      </c>
      <c r="T268" s="188">
        <f t="shared" si="753"/>
        <v>1.5930153888311478</v>
      </c>
      <c r="U268" s="188">
        <f t="shared" si="630"/>
        <v>0.31890045793542143</v>
      </c>
      <c r="V268" s="188">
        <f t="shared" si="631"/>
        <v>3.3412409301215784</v>
      </c>
      <c r="W268" s="172">
        <f t="shared" si="632"/>
        <v>350</v>
      </c>
      <c r="X268" s="379">
        <f t="shared" si="691"/>
        <v>259.05786847443676</v>
      </c>
      <c r="Z268" s="188">
        <f t="shared" si="633"/>
        <v>1.2435236940214849</v>
      </c>
      <c r="AA268" s="150">
        <f t="shared" si="634"/>
        <v>2.6082059804137701</v>
      </c>
      <c r="AB268" s="150">
        <f t="shared" si="754"/>
        <v>0.42569177903871419</v>
      </c>
      <c r="AC268" s="150"/>
      <c r="AD268" s="150">
        <f t="shared" si="636"/>
        <v>2.0974316717512478</v>
      </c>
      <c r="AE268" s="314">
        <f t="shared" si="755"/>
        <v>595.01342370690145</v>
      </c>
      <c r="AF268" s="456">
        <f t="shared" si="756"/>
        <v>0.36705054255646835</v>
      </c>
      <c r="AH268" s="150">
        <f t="shared" si="757"/>
        <v>1.4074631010979937</v>
      </c>
      <c r="AI268" s="150">
        <f t="shared" si="758"/>
        <v>1.5930153888311478</v>
      </c>
      <c r="AJ268" s="150">
        <f t="shared" si="759"/>
        <v>1.6392706583934427</v>
      </c>
      <c r="AL268" s="314">
        <f t="shared" si="760"/>
        <v>624</v>
      </c>
      <c r="AM268" s="144">
        <f t="shared" si="761"/>
        <v>259.05786847443676</v>
      </c>
      <c r="AO268">
        <f t="shared" si="644"/>
        <v>624</v>
      </c>
      <c r="AP268">
        <f t="shared" si="645"/>
        <v>259.05786847443676</v>
      </c>
      <c r="AR268" s="5">
        <f t="shared" si="774"/>
        <v>3.8601413880569999</v>
      </c>
      <c r="AS268" s="5">
        <f t="shared" si="739"/>
        <v>0.31890045793542143</v>
      </c>
      <c r="AT268" s="5">
        <f t="shared" si="740"/>
        <v>3.5412409301215786</v>
      </c>
      <c r="AU268" s="150">
        <f t="shared" si="741"/>
        <v>8.2613672888272052E-2</v>
      </c>
      <c r="BA268" s="150">
        <f t="shared" si="692"/>
        <v>0.26435364877463235</v>
      </c>
      <c r="BB268" s="150">
        <f t="shared" si="693"/>
        <v>0.88091798221920514</v>
      </c>
      <c r="BC268" s="150">
        <f t="shared" si="694"/>
        <v>0.19691107837841054</v>
      </c>
      <c r="BD268" s="150"/>
      <c r="BE268" s="456">
        <f t="shared" si="695"/>
        <v>1.3976570324092336E-3</v>
      </c>
      <c r="BF268" s="456">
        <f t="shared" si="762"/>
        <v>0.50810582611796651</v>
      </c>
      <c r="BG268" s="456">
        <f t="shared" si="763"/>
        <v>0.38822443882580737</v>
      </c>
      <c r="BH268" s="456">
        <f t="shared" si="696"/>
        <v>0.11170409004087412</v>
      </c>
      <c r="BI268">
        <f t="shared" si="697"/>
        <v>2.6974822035000633E-2</v>
      </c>
      <c r="BJ268" s="144">
        <f t="shared" si="698"/>
        <v>415.19926086080801</v>
      </c>
      <c r="BK268">
        <f t="shared" si="764"/>
        <v>0.62179142714581648</v>
      </c>
      <c r="BL268" s="144">
        <f t="shared" si="699"/>
        <v>1036.4068340520578</v>
      </c>
      <c r="BM268" s="150">
        <f t="shared" si="765"/>
        <v>0.38765999999999995</v>
      </c>
      <c r="BN268" s="150">
        <f t="shared" si="766"/>
        <v>5.7687499999999996E-2</v>
      </c>
      <c r="BQ268" s="144">
        <f t="shared" si="700"/>
        <v>445.34749999999997</v>
      </c>
      <c r="BR268" s="456">
        <f t="shared" si="701"/>
        <v>2.0964855486138505E-3</v>
      </c>
      <c r="BS268" s="456">
        <f t="shared" si="702"/>
        <v>2.3280494741914674E-2</v>
      </c>
      <c r="BT268" s="456">
        <f t="shared" si="703"/>
        <v>1.9386986394074267E-4</v>
      </c>
      <c r="BU268" s="456">
        <f t="shared" si="704"/>
        <v>0.17298637656880789</v>
      </c>
      <c r="BV268" s="456"/>
      <c r="BW268" s="538">
        <f t="shared" si="705"/>
        <v>6.5741064223821138E-4</v>
      </c>
      <c r="BX268" s="144">
        <f t="shared" si="706"/>
        <v>199.21463736551536</v>
      </c>
      <c r="BY268" s="150">
        <f t="shared" si="707"/>
        <v>1.6809689714175728</v>
      </c>
      <c r="BZ268" s="5">
        <f t="shared" si="708"/>
        <v>4.16</v>
      </c>
      <c r="CA268" s="150">
        <f t="shared" si="709"/>
        <v>0.71221059730957437</v>
      </c>
      <c r="CB268" s="5">
        <f t="shared" si="710"/>
        <v>71.221059730957435</v>
      </c>
      <c r="CC268">
        <f t="shared" si="711"/>
        <v>52</v>
      </c>
      <c r="CE268" s="59">
        <f t="shared" si="767"/>
        <v>-50</v>
      </c>
      <c r="CG268" s="150">
        <f t="shared" si="768"/>
        <v>0.87957854338036034</v>
      </c>
      <c r="CH268" s="150">
        <f t="shared" si="769"/>
        <v>0.47330172420499944</v>
      </c>
      <c r="CI268" s="147">
        <v>52</v>
      </c>
      <c r="CJ268" s="188">
        <f t="shared" si="712"/>
        <v>0.624</v>
      </c>
      <c r="CK268" s="188">
        <f t="shared" si="654"/>
        <v>0.13</v>
      </c>
      <c r="CL268" s="188">
        <f t="shared" si="655"/>
        <v>3.12</v>
      </c>
      <c r="CM268" s="188">
        <f t="shared" si="656"/>
        <v>1.04</v>
      </c>
      <c r="CN268" s="465">
        <f t="shared" si="657"/>
        <v>60</v>
      </c>
      <c r="CO268" s="379">
        <f t="shared" si="770"/>
        <v>5.7</v>
      </c>
      <c r="CP268" s="379">
        <f t="shared" si="771"/>
        <v>65.7</v>
      </c>
      <c r="CQ268" s="379"/>
      <c r="CR268" s="188">
        <f t="shared" si="660"/>
        <v>8.2568807339449546E-2</v>
      </c>
      <c r="CS268" s="149">
        <f t="shared" si="661"/>
        <v>9.2889908256880744</v>
      </c>
      <c r="CT268" s="149">
        <f t="shared" si="662"/>
        <v>4.1284403669724767</v>
      </c>
      <c r="CU268" s="188">
        <f t="shared" si="663"/>
        <v>1.857798165137615</v>
      </c>
      <c r="CV268" s="188">
        <f t="shared" si="664"/>
        <v>1.1611238532110093</v>
      </c>
      <c r="CW268" s="188">
        <f t="shared" si="665"/>
        <v>5</v>
      </c>
      <c r="CX268" s="188">
        <f t="shared" si="666"/>
        <v>1.6794074074074072</v>
      </c>
      <c r="CY268" s="188">
        <f t="shared" si="667"/>
        <v>0.33588148148148139</v>
      </c>
      <c r="CZ268" s="188">
        <f t="shared" si="668"/>
        <v>3.5355945419103305</v>
      </c>
      <c r="DA268" s="172">
        <f t="shared" si="669"/>
        <v>350</v>
      </c>
      <c r="DB268" s="379">
        <f t="shared" si="670"/>
        <v>258.29941705899989</v>
      </c>
      <c r="DD268" s="188">
        <f t="shared" si="671"/>
        <v>1.2393998695368558</v>
      </c>
      <c r="DE268" s="150">
        <f t="shared" si="672"/>
        <v>2.6092628832354858</v>
      </c>
      <c r="DF268" s="150">
        <f t="shared" si="673"/>
        <v>0.4244520101153616</v>
      </c>
      <c r="DG268" s="150"/>
      <c r="DH268" s="150">
        <f t="shared" si="674"/>
        <v>2.1052631578947367</v>
      </c>
      <c r="DI268" s="314">
        <f t="shared" si="675"/>
        <v>592.79999999999995</v>
      </c>
      <c r="DJ268" s="456">
        <f t="shared" si="676"/>
        <v>0.36842105263157893</v>
      </c>
      <c r="DL268" s="150">
        <f t="shared" si="677"/>
        <v>1.4074631010979937</v>
      </c>
      <c r="DM268" s="150">
        <f t="shared" si="678"/>
        <v>1.6794074074074072</v>
      </c>
      <c r="DN268" s="150">
        <f t="shared" si="679"/>
        <v>1.7032647462277088</v>
      </c>
      <c r="DP268" s="314">
        <f t="shared" si="680"/>
        <v>624</v>
      </c>
      <c r="DQ268" s="144">
        <f t="shared" si="681"/>
        <v>258.29941705899989</v>
      </c>
      <c r="DS268">
        <f t="shared" si="682"/>
        <v>624</v>
      </c>
      <c r="DT268">
        <f t="shared" si="683"/>
        <v>258.29941705899989</v>
      </c>
      <c r="DV268" s="5">
        <f t="shared" si="684"/>
        <v>3.871476023391812</v>
      </c>
      <c r="DW268" s="5">
        <f t="shared" si="685"/>
        <v>0.33588148148148139</v>
      </c>
      <c r="DX268" s="5">
        <f t="shared" si="686"/>
        <v>3.5355945419103305</v>
      </c>
      <c r="DY268" s="150">
        <f t="shared" si="687"/>
        <v>8.6757990867579904E-2</v>
      </c>
      <c r="EA268" s="5">
        <f t="shared" si="713"/>
        <v>4.1918008888888876</v>
      </c>
      <c r="EB268" s="5">
        <f t="shared" si="714"/>
        <v>0.54580740740740719</v>
      </c>
      <c r="EC268" s="5">
        <f t="shared" si="715"/>
        <v>7.6604548408057166E-2</v>
      </c>
      <c r="ED268" s="5"/>
      <c r="EE268" s="150">
        <f t="shared" si="716"/>
        <v>0.28559472397759633</v>
      </c>
      <c r="EF268" s="150">
        <f t="shared" si="717"/>
        <v>0.92659163982187087</v>
      </c>
      <c r="EG268" s="150">
        <f t="shared" si="718"/>
        <v>0.20712048419547704</v>
      </c>
      <c r="EH268" s="150"/>
      <c r="EI268" s="456">
        <f t="shared" si="719"/>
        <v>1.6312869272767888E-3</v>
      </c>
      <c r="EJ268" s="456">
        <f t="shared" si="720"/>
        <v>0.57000000000000017</v>
      </c>
      <c r="EK268" s="456">
        <f t="shared" si="721"/>
        <v>3.2287427132374986E-2</v>
      </c>
      <c r="EL268" s="456">
        <f t="shared" si="722"/>
        <v>0.11149468507410028</v>
      </c>
      <c r="EM268">
        <f t="shared" si="723"/>
        <v>2.7E-2</v>
      </c>
      <c r="EN268" s="144">
        <f t="shared" si="724"/>
        <v>59.287427132374987</v>
      </c>
      <c r="EP268" s="144">
        <f t="shared" si="725"/>
        <v>742.41339913375225</v>
      </c>
      <c r="EQ268" s="150">
        <f t="shared" si="726"/>
        <v>0.43679999999999997</v>
      </c>
      <c r="ER268" s="150">
        <f t="shared" si="772"/>
        <v>5.7687499999999996E-2</v>
      </c>
      <c r="ES268" s="456"/>
      <c r="EU268" s="144">
        <f t="shared" si="727"/>
        <v>494.48749999999995</v>
      </c>
      <c r="EV268" s="456">
        <f t="shared" si="728"/>
        <v>2.446930390915183E-3</v>
      </c>
      <c r="EW268" s="456">
        <f t="shared" si="729"/>
        <v>2.5757162009633509E-2</v>
      </c>
      <c r="EX268" s="456">
        <f t="shared" si="730"/>
        <v>2.144944748668443E-4</v>
      </c>
      <c r="EY268" s="456">
        <f t="shared" si="731"/>
        <v>0.19596058643252579</v>
      </c>
      <c r="EZ268" s="456"/>
      <c r="FA268" s="538">
        <f t="shared" si="732"/>
        <v>7.2851006257398964E-4</v>
      </c>
      <c r="FB268" s="144">
        <f t="shared" si="733"/>
        <v>225.1076833705153</v>
      </c>
      <c r="FC268" s="150">
        <f t="shared" si="734"/>
        <v>1.4620085825042672</v>
      </c>
      <c r="FD268" s="5">
        <f t="shared" si="735"/>
        <v>4.16</v>
      </c>
      <c r="FE268" s="150">
        <f t="shared" si="736"/>
        <v>0.73994906605905075</v>
      </c>
      <c r="FF268" s="5">
        <f t="shared" si="737"/>
        <v>73.994906605905072</v>
      </c>
      <c r="FG268">
        <f t="shared" si="738"/>
        <v>52</v>
      </c>
      <c r="FI268" s="59">
        <f t="shared" si="689"/>
        <v>-50</v>
      </c>
    </row>
    <row r="269" spans="5:165">
      <c r="E269" s="147">
        <v>53</v>
      </c>
      <c r="F269" s="188">
        <f t="shared" si="773"/>
        <v>0.63600000000000001</v>
      </c>
      <c r="G269" s="188">
        <f t="shared" si="742"/>
        <v>0.13250000000000001</v>
      </c>
      <c r="H269" s="188">
        <f t="shared" si="743"/>
        <v>3.18</v>
      </c>
      <c r="I269" s="188">
        <f t="shared" si="744"/>
        <v>1.06</v>
      </c>
      <c r="J269" s="465">
        <f t="shared" si="745"/>
        <v>59.942972985257853</v>
      </c>
      <c r="K269" s="379">
        <f t="shared" si="746"/>
        <v>5.7216922071867202</v>
      </c>
      <c r="L269" s="149">
        <f t="shared" si="747"/>
        <v>65.664665192444573</v>
      </c>
      <c r="M269" s="379"/>
      <c r="N269" s="188">
        <f t="shared" si="748"/>
        <v>8.7135024452162479E-2</v>
      </c>
      <c r="O269" s="149">
        <f t="shared" si="749"/>
        <v>9.7933732815107959</v>
      </c>
      <c r="P269" s="149">
        <f t="shared" si="750"/>
        <v>4.352610347338131</v>
      </c>
      <c r="Q269" s="188">
        <f t="shared" si="626"/>
        <v>1.9586746563021591</v>
      </c>
      <c r="R269" s="188">
        <f t="shared" si="751"/>
        <v>1.2241716601888495</v>
      </c>
      <c r="S269" s="188">
        <f t="shared" si="752"/>
        <v>5</v>
      </c>
      <c r="T269" s="188">
        <f t="shared" si="753"/>
        <v>1.6235468150711758</v>
      </c>
      <c r="U269" s="188">
        <f t="shared" si="630"/>
        <v>0.3250182767151969</v>
      </c>
      <c r="V269" s="188">
        <f t="shared" si="631"/>
        <v>3.4050349224278573</v>
      </c>
      <c r="W269" s="172">
        <f t="shared" si="632"/>
        <v>350</v>
      </c>
      <c r="X269" s="379">
        <f t="shared" si="691"/>
        <v>254.44948180804505</v>
      </c>
      <c r="Z269" s="188">
        <f t="shared" si="633"/>
        <v>1.2436029563823234</v>
      </c>
      <c r="AA269" s="150">
        <f t="shared" si="634"/>
        <v>2.608185644422393</v>
      </c>
      <c r="AB269" s="150">
        <f t="shared" si="754"/>
        <v>0.42571559338843806</v>
      </c>
      <c r="AC269" s="150"/>
      <c r="AD269" s="150">
        <f t="shared" si="636"/>
        <v>2.0972816372274314</v>
      </c>
      <c r="AE269" s="314">
        <f t="shared" si="755"/>
        <v>606.49937396179234</v>
      </c>
      <c r="AF269" s="456">
        <f t="shared" si="756"/>
        <v>0.36702428651480046</v>
      </c>
      <c r="AH269" s="150">
        <f t="shared" si="757"/>
        <v>1.4209319544044392</v>
      </c>
      <c r="AI269" s="150">
        <f t="shared" si="758"/>
        <v>1.6235468150711758</v>
      </c>
      <c r="AJ269" s="150">
        <f t="shared" si="759"/>
        <v>1.6618865296823524</v>
      </c>
      <c r="AL269" s="314">
        <f t="shared" si="760"/>
        <v>636</v>
      </c>
      <c r="AM269" s="144">
        <f t="shared" si="761"/>
        <v>254.44948180804505</v>
      </c>
      <c r="AO269">
        <f t="shared" si="644"/>
        <v>636</v>
      </c>
      <c r="AP269">
        <f t="shared" si="645"/>
        <v>254.44948180804505</v>
      </c>
      <c r="AR269" s="5">
        <f t="shared" si="774"/>
        <v>3.9300531991430545</v>
      </c>
      <c r="AS269" s="5">
        <f t="shared" si="739"/>
        <v>0.3250182767151969</v>
      </c>
      <c r="AT269" s="5">
        <f t="shared" si="740"/>
        <v>3.6050349224278575</v>
      </c>
      <c r="AU269" s="150">
        <f t="shared" si="741"/>
        <v>8.2700732088325651E-2</v>
      </c>
      <c r="BA269" s="150">
        <f t="shared" si="692"/>
        <v>0.26956212152113312</v>
      </c>
      <c r="BB269" s="150">
        <f t="shared" si="693"/>
        <v>0.89775888534558412</v>
      </c>
      <c r="BC269" s="150">
        <f t="shared" si="694"/>
        <v>0.20067551554783647</v>
      </c>
      <c r="BD269" s="150"/>
      <c r="BE269" s="456">
        <f t="shared" si="695"/>
        <v>1.4532747471794831E-3</v>
      </c>
      <c r="BF269" s="456">
        <f t="shared" si="762"/>
        <v>0.5086269795556837</v>
      </c>
      <c r="BG269" s="456">
        <f t="shared" si="763"/>
        <v>0.38131146035331259</v>
      </c>
      <c r="BH269" s="456">
        <f t="shared" si="696"/>
        <v>0.10971475540779033</v>
      </c>
      <c r="BI269">
        <f t="shared" si="697"/>
        <v>2.6974337843366034E-2</v>
      </c>
      <c r="BJ269" s="144">
        <f t="shared" si="698"/>
        <v>408.28579819667863</v>
      </c>
      <c r="BK269">
        <f t="shared" si="764"/>
        <v>0.6204016173796586</v>
      </c>
      <c r="BL269" s="144">
        <f t="shared" si="699"/>
        <v>1028.0808079073322</v>
      </c>
      <c r="BM269" s="150">
        <f t="shared" si="765"/>
        <v>0.39511499999999999</v>
      </c>
      <c r="BN269" s="150">
        <f t="shared" si="766"/>
        <v>5.8796874999999998E-2</v>
      </c>
      <c r="BQ269" s="144">
        <f t="shared" si="700"/>
        <v>453.91187499999995</v>
      </c>
      <c r="BR269" s="456">
        <f t="shared" si="701"/>
        <v>2.1799121207692245E-3</v>
      </c>
      <c r="BS269" s="456">
        <f t="shared" si="702"/>
        <v>2.4179130486508368E-2</v>
      </c>
      <c r="BT269" s="456">
        <f t="shared" si="703"/>
        <v>2.0135331270194976E-4</v>
      </c>
      <c r="BU269" s="456">
        <f t="shared" si="704"/>
        <v>0.17343469118575855</v>
      </c>
      <c r="BV269" s="456"/>
      <c r="BW269" s="538">
        <f t="shared" si="705"/>
        <v>6.7070447323779633E-4</v>
      </c>
      <c r="BX269" s="144">
        <f t="shared" si="706"/>
        <v>200.6657915789759</v>
      </c>
      <c r="BY269" s="150">
        <f t="shared" si="707"/>
        <v>1.6826584744863082</v>
      </c>
      <c r="BZ269" s="5">
        <f t="shared" si="708"/>
        <v>4.24</v>
      </c>
      <c r="CA269" s="150">
        <f t="shared" si="709"/>
        <v>0.71589473177714325</v>
      </c>
      <c r="CB269" s="5">
        <f t="shared" si="710"/>
        <v>71.589473177714325</v>
      </c>
      <c r="CC269">
        <f t="shared" si="711"/>
        <v>53</v>
      </c>
      <c r="CE269" s="59">
        <f t="shared" si="767"/>
        <v>-50</v>
      </c>
      <c r="CG269" s="150">
        <f t="shared" si="768"/>
        <v>0.87957854338036034</v>
      </c>
      <c r="CH269" s="150">
        <f t="shared" si="769"/>
        <v>0.47330172420499933</v>
      </c>
      <c r="CI269" s="147">
        <v>53</v>
      </c>
      <c r="CJ269" s="188">
        <f t="shared" si="712"/>
        <v>0.63600000000000001</v>
      </c>
      <c r="CK269" s="188">
        <f t="shared" si="654"/>
        <v>0.13250000000000001</v>
      </c>
      <c r="CL269" s="188">
        <f t="shared" si="655"/>
        <v>3.18</v>
      </c>
      <c r="CM269" s="188">
        <f t="shared" si="656"/>
        <v>1.06</v>
      </c>
      <c r="CN269" s="465">
        <f t="shared" si="657"/>
        <v>60</v>
      </c>
      <c r="CO269" s="379">
        <f t="shared" si="770"/>
        <v>5.7</v>
      </c>
      <c r="CP269" s="379">
        <f t="shared" si="771"/>
        <v>65.7</v>
      </c>
      <c r="CQ269" s="379"/>
      <c r="CR269" s="188">
        <f t="shared" si="660"/>
        <v>8.2568807339449546E-2</v>
      </c>
      <c r="CS269" s="149">
        <f t="shared" si="661"/>
        <v>9.2889908256880744</v>
      </c>
      <c r="CT269" s="149">
        <f t="shared" si="662"/>
        <v>4.1284403669724767</v>
      </c>
      <c r="CU269" s="188">
        <f t="shared" si="663"/>
        <v>1.857798165137615</v>
      </c>
      <c r="CV269" s="188">
        <f t="shared" si="664"/>
        <v>1.1611238532110093</v>
      </c>
      <c r="CW269" s="188">
        <f t="shared" si="665"/>
        <v>5</v>
      </c>
      <c r="CX269" s="188">
        <f t="shared" si="666"/>
        <v>1.7117037037037037</v>
      </c>
      <c r="CY269" s="188">
        <f t="shared" si="667"/>
        <v>0.34234074074074078</v>
      </c>
      <c r="CZ269" s="188">
        <f t="shared" si="668"/>
        <v>3.6035867446393763</v>
      </c>
      <c r="DA269" s="172">
        <f t="shared" si="669"/>
        <v>350</v>
      </c>
      <c r="DB269" s="379">
        <f t="shared" si="670"/>
        <v>253.42584315222621</v>
      </c>
      <c r="DD269" s="188">
        <f t="shared" si="671"/>
        <v>1.2393998695368558</v>
      </c>
      <c r="DE269" s="150">
        <f t="shared" si="672"/>
        <v>2.6092628832354858</v>
      </c>
      <c r="DF269" s="150">
        <f t="shared" si="673"/>
        <v>0.4244520101153616</v>
      </c>
      <c r="DG269" s="150"/>
      <c r="DH269" s="150">
        <f t="shared" si="674"/>
        <v>2.1052631578947367</v>
      </c>
      <c r="DI269" s="314">
        <f t="shared" si="675"/>
        <v>604.20000000000016</v>
      </c>
      <c r="DJ269" s="456">
        <f t="shared" si="676"/>
        <v>0.36842105263157893</v>
      </c>
      <c r="DL269" s="150">
        <f t="shared" si="677"/>
        <v>1.4209319544044392</v>
      </c>
      <c r="DM269" s="150">
        <f t="shared" si="678"/>
        <v>1.7117037037037037</v>
      </c>
      <c r="DN269" s="150">
        <f t="shared" si="679"/>
        <v>1.7271879286694101</v>
      </c>
      <c r="DP269" s="314">
        <f t="shared" si="680"/>
        <v>636</v>
      </c>
      <c r="DQ269" s="144">
        <f t="shared" si="681"/>
        <v>253.42584315222621</v>
      </c>
      <c r="DS269">
        <f t="shared" si="682"/>
        <v>636</v>
      </c>
      <c r="DT269">
        <f t="shared" si="683"/>
        <v>253.42584315222621</v>
      </c>
      <c r="DV269" s="5">
        <f t="shared" si="684"/>
        <v>3.9459274853801172</v>
      </c>
      <c r="DW269" s="5">
        <f t="shared" si="685"/>
        <v>0.34234074074074078</v>
      </c>
      <c r="DX269" s="5">
        <f t="shared" si="686"/>
        <v>3.6035867446393763</v>
      </c>
      <c r="DY269" s="150">
        <f t="shared" si="687"/>
        <v>8.6757990867579918E-2</v>
      </c>
      <c r="EA269" s="5">
        <f t="shared" si="713"/>
        <v>4.3545742222222232</v>
      </c>
      <c r="EB269" s="5">
        <f t="shared" si="714"/>
        <v>0.56700185185185203</v>
      </c>
      <c r="EC269" s="5">
        <f t="shared" si="715"/>
        <v>7.9579207277452893E-2</v>
      </c>
      <c r="ED269" s="5"/>
      <c r="EE269" s="150">
        <f t="shared" si="716"/>
        <v>0.29108693020793475</v>
      </c>
      <c r="EF269" s="150">
        <f t="shared" si="717"/>
        <v>0.94441070981844544</v>
      </c>
      <c r="EG269" s="150">
        <f t="shared" si="718"/>
        <v>0.21110357043000549</v>
      </c>
      <c r="EH269" s="150"/>
      <c r="EI269" s="456">
        <f t="shared" si="719"/>
        <v>1.6946320187575814E-3</v>
      </c>
      <c r="EJ269" s="456">
        <f t="shared" si="720"/>
        <v>0.56999999999999995</v>
      </c>
      <c r="EK269" s="456">
        <f t="shared" si="721"/>
        <v>3.1678230394028277E-2</v>
      </c>
      <c r="EL269" s="456">
        <f t="shared" si="722"/>
        <v>0.10939101177081531</v>
      </c>
      <c r="EM269">
        <f t="shared" si="723"/>
        <v>2.7E-2</v>
      </c>
      <c r="EN269" s="144">
        <f t="shared" si="724"/>
        <v>58.678230394028283</v>
      </c>
      <c r="EP269" s="144">
        <f t="shared" si="725"/>
        <v>739.76387418360127</v>
      </c>
      <c r="EQ269" s="150">
        <f t="shared" si="726"/>
        <v>0.44519999999999998</v>
      </c>
      <c r="ER269" s="150">
        <f t="shared" si="772"/>
        <v>5.8796874999999998E-2</v>
      </c>
      <c r="ES269" s="456"/>
      <c r="EU269" s="144">
        <f t="shared" si="727"/>
        <v>503.99687499999999</v>
      </c>
      <c r="EV269" s="456">
        <f t="shared" si="728"/>
        <v>2.5419480281363722E-3</v>
      </c>
      <c r="EW269" s="456">
        <f t="shared" si="729"/>
        <v>2.6757347664593398E-2</v>
      </c>
      <c r="EX269" s="456">
        <f t="shared" si="730"/>
        <v>2.2282358724148147E-4</v>
      </c>
      <c r="EY269" s="456">
        <f t="shared" si="731"/>
        <v>0.1959605864325252</v>
      </c>
      <c r="EZ269" s="456"/>
      <c r="FA269" s="538">
        <f t="shared" si="732"/>
        <v>7.4251987146964306E-4</v>
      </c>
      <c r="FB269" s="144">
        <f t="shared" si="733"/>
        <v>226.22522558396611</v>
      </c>
      <c r="FC269" s="150">
        <f t="shared" si="734"/>
        <v>1.4699859747675674</v>
      </c>
      <c r="FD269" s="5">
        <f t="shared" si="735"/>
        <v>4.24</v>
      </c>
      <c r="FE269" s="150">
        <f t="shared" si="736"/>
        <v>0.74255874160401858</v>
      </c>
      <c r="FF269" s="5">
        <f t="shared" si="737"/>
        <v>74.255874160401859</v>
      </c>
      <c r="FG269">
        <f t="shared" si="738"/>
        <v>53</v>
      </c>
      <c r="FI269" s="59">
        <f t="shared" si="689"/>
        <v>-50</v>
      </c>
    </row>
    <row r="270" spans="5:165">
      <c r="E270" s="147">
        <v>54</v>
      </c>
      <c r="F270" s="188">
        <f t="shared" si="773"/>
        <v>0.64800000000000002</v>
      </c>
      <c r="G270" s="188">
        <f t="shared" si="742"/>
        <v>0.13500000000000001</v>
      </c>
      <c r="H270" s="188">
        <f t="shared" si="743"/>
        <v>3.24</v>
      </c>
      <c r="I270" s="188">
        <f t="shared" si="744"/>
        <v>1.08</v>
      </c>
      <c r="J270" s="465">
        <f t="shared" si="745"/>
        <v>59.941897003847622</v>
      </c>
      <c r="K270" s="379">
        <f t="shared" si="746"/>
        <v>5.7221014941147716</v>
      </c>
      <c r="L270" s="149">
        <f t="shared" si="747"/>
        <v>65.663998497962396</v>
      </c>
      <c r="M270" s="379"/>
      <c r="N270" s="188">
        <f t="shared" si="748"/>
        <v>8.7142142193676081E-2</v>
      </c>
      <c r="O270" s="149">
        <f t="shared" si="749"/>
        <v>9.7939974601274553</v>
      </c>
      <c r="P270" s="149">
        <f t="shared" si="750"/>
        <v>4.352887760056646</v>
      </c>
      <c r="Q270" s="188">
        <f t="shared" si="626"/>
        <v>1.958799492025491</v>
      </c>
      <c r="R270" s="188">
        <f t="shared" si="751"/>
        <v>1.2242496825159319</v>
      </c>
      <c r="S270" s="188">
        <f t="shared" si="752"/>
        <v>5</v>
      </c>
      <c r="T270" s="188">
        <f t="shared" si="753"/>
        <v>1.6540743517600607</v>
      </c>
      <c r="U270" s="188">
        <f t="shared" si="630"/>
        <v>0.33113553646536487</v>
      </c>
      <c r="V270" s="188">
        <f t="shared" si="631"/>
        <v>3.46881163179917</v>
      </c>
      <c r="W270" s="172">
        <f t="shared" si="632"/>
        <v>350</v>
      </c>
      <c r="X270" s="379">
        <f t="shared" si="691"/>
        <v>250.00330202707954</v>
      </c>
      <c r="Z270" s="188">
        <f t="shared" si="633"/>
        <v>1.243682217159042</v>
      </c>
      <c r="AA270" s="150">
        <f t="shared" si="634"/>
        <v>2.6081653080180689</v>
      </c>
      <c r="AB270" s="150">
        <f t="shared" si="754"/>
        <v>0.42573940670535848</v>
      </c>
      <c r="AC270" s="150"/>
      <c r="AD270" s="150">
        <f t="shared" si="636"/>
        <v>2.0971316241667677</v>
      </c>
      <c r="AE270" s="314">
        <f t="shared" si="755"/>
        <v>617.98696136439537</v>
      </c>
      <c r="AF270" s="456">
        <f t="shared" si="756"/>
        <v>0.36699803422918437</v>
      </c>
      <c r="AH270" s="150">
        <f t="shared" si="757"/>
        <v>1.4342743312012725</v>
      </c>
      <c r="AI270" s="150">
        <f t="shared" si="758"/>
        <v>1.6540743517600607</v>
      </c>
      <c r="AJ270" s="150">
        <f t="shared" si="759"/>
        <v>1.6844995198222672</v>
      </c>
      <c r="AL270" s="314">
        <f t="shared" si="760"/>
        <v>648</v>
      </c>
      <c r="AM270" s="144">
        <f t="shared" si="761"/>
        <v>250.00330202707954</v>
      </c>
      <c r="AO270">
        <f t="shared" si="644"/>
        <v>648</v>
      </c>
      <c r="AP270">
        <f t="shared" si="645"/>
        <v>250.00330202707954</v>
      </c>
      <c r="AR270" s="5">
        <f t="shared" si="774"/>
        <v>3.9999471682645344</v>
      </c>
      <c r="AS270" s="5">
        <f t="shared" si="739"/>
        <v>0.33113553646536487</v>
      </c>
      <c r="AT270" s="5">
        <f t="shared" si="740"/>
        <v>3.6688116317991697</v>
      </c>
      <c r="AU270" s="150">
        <f t="shared" si="741"/>
        <v>8.2784977534849633E-2</v>
      </c>
      <c r="BA270" s="150">
        <f t="shared" si="692"/>
        <v>0.27477054032413079</v>
      </c>
      <c r="BB270" s="150">
        <f t="shared" si="693"/>
        <v>0.91459743633659596</v>
      </c>
      <c r="BC270" s="150">
        <f t="shared" si="694"/>
        <v>0.20443942694582731</v>
      </c>
      <c r="BD270" s="150"/>
      <c r="BE270" s="456">
        <f t="shared" si="695"/>
        <v>1.5099769966002957E-3</v>
      </c>
      <c r="BF270" s="456">
        <f t="shared" si="762"/>
        <v>0.50913079839165232</v>
      </c>
      <c r="BG270" s="456">
        <f t="shared" si="763"/>
        <v>0.37464180451822526</v>
      </c>
      <c r="BH270" s="456">
        <f t="shared" si="696"/>
        <v>0.10779544122356897</v>
      </c>
      <c r="BI270">
        <f t="shared" si="697"/>
        <v>2.6973853651731428E-2</v>
      </c>
      <c r="BJ270" s="144">
        <f t="shared" si="698"/>
        <v>401.6156581699567</v>
      </c>
      <c r="BK270">
        <f t="shared" si="764"/>
        <v>0.61906601304522801</v>
      </c>
      <c r="BL270" s="144">
        <f t="shared" si="699"/>
        <v>1020.0518747817782</v>
      </c>
      <c r="BM270" s="150">
        <f t="shared" si="765"/>
        <v>0.40256999999999998</v>
      </c>
      <c r="BN270" s="150">
        <f t="shared" si="766"/>
        <v>5.9906250000000001E-2</v>
      </c>
      <c r="BQ270" s="144">
        <f t="shared" si="700"/>
        <v>462.47624999999999</v>
      </c>
      <c r="BR270" s="456">
        <f t="shared" si="701"/>
        <v>2.2649654949004434E-3</v>
      </c>
      <c r="BS270" s="456">
        <f t="shared" si="702"/>
        <v>2.509465411660421E-2</v>
      </c>
      <c r="BT270" s="456">
        <f t="shared" si="703"/>
        <v>2.0897739644969133E-4</v>
      </c>
      <c r="BU270" s="456">
        <f t="shared" si="704"/>
        <v>0.1738689114644939</v>
      </c>
      <c r="BV270" s="456"/>
      <c r="BW270" s="538">
        <f t="shared" si="705"/>
        <v>6.8399952450810071E-4</v>
      </c>
      <c r="BX270" s="144">
        <f t="shared" si="706"/>
        <v>202.12150799695632</v>
      </c>
      <c r="BY270" s="150">
        <f t="shared" si="707"/>
        <v>1.6846496327787346</v>
      </c>
      <c r="BZ270" s="5">
        <f t="shared" si="708"/>
        <v>4.32</v>
      </c>
      <c r="CA270" s="150">
        <f t="shared" si="709"/>
        <v>0.71944247611344148</v>
      </c>
      <c r="CB270" s="5">
        <f t="shared" si="710"/>
        <v>71.944247611344153</v>
      </c>
      <c r="CC270">
        <f t="shared" si="711"/>
        <v>54</v>
      </c>
      <c r="CE270" s="59">
        <f t="shared" si="767"/>
        <v>-50</v>
      </c>
      <c r="CG270" s="150">
        <f t="shared" si="768"/>
        <v>0.87957854338036034</v>
      </c>
      <c r="CH270" s="150">
        <f t="shared" si="769"/>
        <v>0.47330172420499939</v>
      </c>
      <c r="CI270" s="147">
        <v>54</v>
      </c>
      <c r="CJ270" s="188">
        <f t="shared" si="712"/>
        <v>0.64800000000000002</v>
      </c>
      <c r="CK270" s="188">
        <f t="shared" si="654"/>
        <v>0.13500000000000001</v>
      </c>
      <c r="CL270" s="188">
        <f t="shared" si="655"/>
        <v>3.24</v>
      </c>
      <c r="CM270" s="188">
        <f t="shared" si="656"/>
        <v>1.08</v>
      </c>
      <c r="CN270" s="465">
        <f t="shared" si="657"/>
        <v>60</v>
      </c>
      <c r="CO270" s="379">
        <f t="shared" si="770"/>
        <v>5.7</v>
      </c>
      <c r="CP270" s="379">
        <f t="shared" si="771"/>
        <v>65.7</v>
      </c>
      <c r="CQ270" s="379"/>
      <c r="CR270" s="188">
        <f t="shared" si="660"/>
        <v>8.2568807339449546E-2</v>
      </c>
      <c r="CS270" s="149">
        <f t="shared" si="661"/>
        <v>9.2889908256880744</v>
      </c>
      <c r="CT270" s="149">
        <f t="shared" si="662"/>
        <v>4.1284403669724767</v>
      </c>
      <c r="CU270" s="188">
        <f t="shared" si="663"/>
        <v>1.857798165137615</v>
      </c>
      <c r="CV270" s="188">
        <f t="shared" si="664"/>
        <v>1.1611238532110093</v>
      </c>
      <c r="CW270" s="188">
        <f t="shared" si="665"/>
        <v>5</v>
      </c>
      <c r="CX270" s="188">
        <f t="shared" si="666"/>
        <v>1.744</v>
      </c>
      <c r="CY270" s="188">
        <f t="shared" si="667"/>
        <v>0.3488</v>
      </c>
      <c r="CZ270" s="188">
        <f t="shared" si="668"/>
        <v>3.6715789473684208</v>
      </c>
      <c r="DA270" s="172">
        <f t="shared" si="669"/>
        <v>350</v>
      </c>
      <c r="DB270" s="379">
        <f t="shared" si="670"/>
        <v>248.73277198274059</v>
      </c>
      <c r="DD270" s="188">
        <f t="shared" si="671"/>
        <v>1.2393998695368558</v>
      </c>
      <c r="DE270" s="150">
        <f t="shared" si="672"/>
        <v>2.6092628832354858</v>
      </c>
      <c r="DF270" s="150">
        <f t="shared" si="673"/>
        <v>0.4244520101153616</v>
      </c>
      <c r="DG270" s="150"/>
      <c r="DH270" s="150">
        <f t="shared" si="674"/>
        <v>2.1052631578947367</v>
      </c>
      <c r="DI270" s="314">
        <f t="shared" si="675"/>
        <v>615.60000000000014</v>
      </c>
      <c r="DJ270" s="456">
        <f t="shared" si="676"/>
        <v>0.36842105263157893</v>
      </c>
      <c r="DL270" s="150">
        <f t="shared" si="677"/>
        <v>1.4342743312012725</v>
      </c>
      <c r="DM270" s="150">
        <f t="shared" si="678"/>
        <v>1.744</v>
      </c>
      <c r="DN270" s="150">
        <f t="shared" si="679"/>
        <v>1.7511111111111111</v>
      </c>
      <c r="DP270" s="314">
        <f t="shared" si="680"/>
        <v>648</v>
      </c>
      <c r="DQ270" s="144">
        <f t="shared" si="681"/>
        <v>248.73277198274059</v>
      </c>
      <c r="DS270">
        <f t="shared" si="682"/>
        <v>648</v>
      </c>
      <c r="DT270">
        <f t="shared" si="683"/>
        <v>248.73277198274059</v>
      </c>
      <c r="DV270" s="5">
        <f t="shared" si="684"/>
        <v>4.0203789473684202</v>
      </c>
      <c r="DW270" s="5">
        <f t="shared" si="685"/>
        <v>0.3488</v>
      </c>
      <c r="DX270" s="5">
        <f t="shared" si="686"/>
        <v>3.6715789473684204</v>
      </c>
      <c r="DY270" s="150">
        <f t="shared" si="687"/>
        <v>8.6757990867579932E-2</v>
      </c>
      <c r="EA270" s="5">
        <f t="shared" si="713"/>
        <v>4.520448</v>
      </c>
      <c r="EB270" s="5">
        <f t="shared" si="714"/>
        <v>0.58860000000000012</v>
      </c>
      <c r="EC270" s="5">
        <f t="shared" si="715"/>
        <v>8.2610526315789454E-2</v>
      </c>
      <c r="ED270" s="5"/>
      <c r="EE270" s="150">
        <f t="shared" si="716"/>
        <v>0.29657913643827322</v>
      </c>
      <c r="EF270" s="150">
        <f t="shared" si="717"/>
        <v>0.96222977981501989</v>
      </c>
      <c r="EG270" s="150">
        <f t="shared" si="718"/>
        <v>0.21508665666453386</v>
      </c>
      <c r="EH270" s="150"/>
      <c r="EI270" s="456">
        <f t="shared" si="719"/>
        <v>1.7591836834094376E-3</v>
      </c>
      <c r="EJ270" s="456">
        <f t="shared" si="720"/>
        <v>0.57000000000000006</v>
      </c>
      <c r="EK270" s="456">
        <f t="shared" si="721"/>
        <v>3.1091596497842572E-2</v>
      </c>
      <c r="EL270" s="456">
        <f t="shared" si="722"/>
        <v>0.10736525229357802</v>
      </c>
      <c r="EM270">
        <f t="shared" si="723"/>
        <v>2.7E-2</v>
      </c>
      <c r="EN270" s="144">
        <f t="shared" si="724"/>
        <v>58.091596497842566</v>
      </c>
      <c r="EP270" s="144">
        <f t="shared" si="725"/>
        <v>737.21603247483017</v>
      </c>
      <c r="EQ270" s="150">
        <f t="shared" si="726"/>
        <v>0.4536</v>
      </c>
      <c r="ER270" s="150">
        <f t="shared" si="772"/>
        <v>5.9906250000000001E-2</v>
      </c>
      <c r="ES270" s="456"/>
      <c r="EU270" s="144">
        <f t="shared" si="727"/>
        <v>513.50625000000002</v>
      </c>
      <c r="EV270" s="456">
        <f t="shared" si="728"/>
        <v>2.6387755251141565E-3</v>
      </c>
      <c r="EW270" s="456">
        <f t="shared" si="729"/>
        <v>2.7776584474885849E-2</v>
      </c>
      <c r="EX270" s="456">
        <f t="shared" si="730"/>
        <v>2.3131134937563535E-4</v>
      </c>
      <c r="EY270" s="456">
        <f t="shared" si="731"/>
        <v>0.19596058643252542</v>
      </c>
      <c r="EZ270" s="456"/>
      <c r="FA270" s="538">
        <f t="shared" si="732"/>
        <v>7.565296803652968E-4</v>
      </c>
      <c r="FB270" s="144">
        <f t="shared" si="733"/>
        <v>227.36378746226634</v>
      </c>
      <c r="FC270" s="150">
        <f t="shared" si="734"/>
        <v>1.4780860699370966</v>
      </c>
      <c r="FD270" s="5">
        <f t="shared" si="735"/>
        <v>4.32</v>
      </c>
      <c r="FE270" s="150">
        <f t="shared" si="736"/>
        <v>0.74507345146169379</v>
      </c>
      <c r="FF270" s="5">
        <f t="shared" si="737"/>
        <v>74.507345146169385</v>
      </c>
      <c r="FG270">
        <f t="shared" si="738"/>
        <v>54</v>
      </c>
      <c r="FI270" s="59">
        <f t="shared" si="689"/>
        <v>-50</v>
      </c>
    </row>
    <row r="271" spans="5:165">
      <c r="E271" s="147">
        <v>55</v>
      </c>
      <c r="F271" s="188">
        <f t="shared" si="773"/>
        <v>0.66</v>
      </c>
      <c r="G271" s="188">
        <f t="shared" si="742"/>
        <v>0.13750000000000001</v>
      </c>
      <c r="H271" s="188">
        <f t="shared" si="743"/>
        <v>3.3000000000000003</v>
      </c>
      <c r="I271" s="188">
        <f t="shared" si="744"/>
        <v>1.1000000000000001</v>
      </c>
      <c r="J271" s="465">
        <f t="shared" si="745"/>
        <v>59.94082102243739</v>
      </c>
      <c r="K271" s="379">
        <f t="shared" si="746"/>
        <v>5.7225107810428231</v>
      </c>
      <c r="L271" s="149">
        <f t="shared" si="747"/>
        <v>65.663331803480219</v>
      </c>
      <c r="M271" s="379"/>
      <c r="N271" s="188">
        <f t="shared" si="748"/>
        <v>8.7149260079725718E-2</v>
      </c>
      <c r="O271" s="149">
        <f t="shared" si="749"/>
        <v>9.7946216262687891</v>
      </c>
      <c r="P271" s="149">
        <f t="shared" si="750"/>
        <v>4.3531651672305722</v>
      </c>
      <c r="Q271" s="188">
        <f t="shared" si="626"/>
        <v>1.9589243252537578</v>
      </c>
      <c r="R271" s="188">
        <f t="shared" si="751"/>
        <v>1.2243277032835986</v>
      </c>
      <c r="S271" s="188">
        <f t="shared" si="752"/>
        <v>5</v>
      </c>
      <c r="T271" s="188">
        <f t="shared" si="753"/>
        <v>1.6845979997581175</v>
      </c>
      <c r="U271" s="188">
        <f t="shared" si="630"/>
        <v>0.33725223732805315</v>
      </c>
      <c r="V271" s="188">
        <f t="shared" si="631"/>
        <v>3.5325710637479246</v>
      </c>
      <c r="W271" s="172">
        <f t="shared" si="632"/>
        <v>350</v>
      </c>
      <c r="X271" s="379">
        <f t="shared" si="691"/>
        <v>245.71091323193824</v>
      </c>
      <c r="Z271" s="188">
        <f t="shared" si="633"/>
        <v>1.2437614763515921</v>
      </c>
      <c r="AA271" s="150">
        <f t="shared" si="634"/>
        <v>2.6081449712007831</v>
      </c>
      <c r="AB271" s="150">
        <f t="shared" si="754"/>
        <v>0.42576321898945624</v>
      </c>
      <c r="AC271" s="150"/>
      <c r="AD271" s="150">
        <f t="shared" si="636"/>
        <v>2.0969816325646518</v>
      </c>
      <c r="AE271" s="314">
        <f t="shared" si="755"/>
        <v>629.47618591471053</v>
      </c>
      <c r="AF271" s="456">
        <f t="shared" si="756"/>
        <v>0.36697178569881406</v>
      </c>
      <c r="AH271" s="150">
        <f t="shared" si="757"/>
        <v>1.4474937289114918</v>
      </c>
      <c r="AI271" s="150">
        <f t="shared" si="758"/>
        <v>1.6845979997581175</v>
      </c>
      <c r="AJ271" s="150">
        <f t="shared" si="759"/>
        <v>1.7071096294504575</v>
      </c>
      <c r="AL271" s="314">
        <f t="shared" si="760"/>
        <v>660</v>
      </c>
      <c r="AM271" s="144">
        <f t="shared" si="761"/>
        <v>245.71091323193824</v>
      </c>
      <c r="AO271">
        <f t="shared" si="644"/>
        <v>660</v>
      </c>
      <c r="AP271">
        <f t="shared" si="645"/>
        <v>245.71091323193824</v>
      </c>
      <c r="AR271" s="5">
        <f t="shared" si="774"/>
        <v>4.0698233010759779</v>
      </c>
      <c r="AS271" s="5">
        <f t="shared" si="739"/>
        <v>0.33725223732805315</v>
      </c>
      <c r="AT271" s="5">
        <f t="shared" si="740"/>
        <v>3.7325710637479248</v>
      </c>
      <c r="AU271" s="150">
        <f t="shared" si="741"/>
        <v>8.2866555223390301E-2</v>
      </c>
      <c r="BA271" s="150">
        <f t="shared" si="692"/>
        <v>0.27997889559818712</v>
      </c>
      <c r="BB271" s="150">
        <f t="shared" si="693"/>
        <v>0.93143363958432546</v>
      </c>
      <c r="BC271" s="150">
        <f t="shared" si="694"/>
        <v>0.20820281355414338</v>
      </c>
      <c r="BD271" s="150"/>
      <c r="BE271" s="456">
        <f t="shared" si="695"/>
        <v>1.5677636396076112E-3</v>
      </c>
      <c r="BF271" s="456">
        <f t="shared" si="762"/>
        <v>0.50961818193841335</v>
      </c>
      <c r="BG271" s="456">
        <f t="shared" si="763"/>
        <v>0.36820284683238125</v>
      </c>
      <c r="BH271" s="456">
        <f t="shared" si="696"/>
        <v>0.10594251456553457</v>
      </c>
      <c r="BI271">
        <f t="shared" si="697"/>
        <v>2.6973369460096826E-2</v>
      </c>
      <c r="BJ271" s="144">
        <f t="shared" si="698"/>
        <v>395.17621629247805</v>
      </c>
      <c r="BK271">
        <f t="shared" si="764"/>
        <v>0.6177818804725822</v>
      </c>
      <c r="BL271" s="144">
        <f t="shared" si="699"/>
        <v>1012.3046764360337</v>
      </c>
      <c r="BM271" s="150">
        <f t="shared" si="765"/>
        <v>0.41002499999999997</v>
      </c>
      <c r="BN271" s="150">
        <f t="shared" si="766"/>
        <v>6.1015625000000004E-2</v>
      </c>
      <c r="BQ271" s="144">
        <f t="shared" si="700"/>
        <v>471.04062499999998</v>
      </c>
      <c r="BR271" s="456">
        <f t="shared" si="701"/>
        <v>2.3516454594114168E-3</v>
      </c>
      <c r="BS271" s="456">
        <f t="shared" si="702"/>
        <v>2.6027058748479093E-2</v>
      </c>
      <c r="BT271" s="456">
        <f t="shared" si="703"/>
        <v>2.1674205785930699E-4</v>
      </c>
      <c r="BU271" s="456">
        <f t="shared" si="704"/>
        <v>0.1742897396722117</v>
      </c>
      <c r="BV271" s="456"/>
      <c r="BW271" s="538">
        <f t="shared" si="705"/>
        <v>6.9729573272598244E-4</v>
      </c>
      <c r="BX271" s="144">
        <f t="shared" si="706"/>
        <v>203.58248167068749</v>
      </c>
      <c r="BY271" s="150">
        <f t="shared" si="707"/>
        <v>1.6869277831067213</v>
      </c>
      <c r="BZ271" s="5">
        <f t="shared" si="708"/>
        <v>4.4000000000000004</v>
      </c>
      <c r="CA271" s="150">
        <f t="shared" si="709"/>
        <v>0.72286055573248043</v>
      </c>
      <c r="CB271" s="5">
        <f t="shared" si="710"/>
        <v>72.286055573248049</v>
      </c>
      <c r="CC271">
        <f t="shared" si="711"/>
        <v>55.000000000000007</v>
      </c>
      <c r="CE271" s="59">
        <f t="shared" si="767"/>
        <v>-50</v>
      </c>
      <c r="CG271" s="150">
        <f t="shared" si="768"/>
        <v>0.87957854338036046</v>
      </c>
      <c r="CH271" s="150">
        <f t="shared" si="769"/>
        <v>0.47330172420499944</v>
      </c>
      <c r="CI271" s="147">
        <v>55</v>
      </c>
      <c r="CJ271" s="188">
        <f t="shared" si="712"/>
        <v>0.66</v>
      </c>
      <c r="CK271" s="188">
        <f t="shared" si="654"/>
        <v>0.13750000000000001</v>
      </c>
      <c r="CL271" s="188">
        <f t="shared" si="655"/>
        <v>3.3000000000000003</v>
      </c>
      <c r="CM271" s="188">
        <f t="shared" si="656"/>
        <v>1.1000000000000001</v>
      </c>
      <c r="CN271" s="465">
        <f t="shared" si="657"/>
        <v>60</v>
      </c>
      <c r="CO271" s="379">
        <f t="shared" si="770"/>
        <v>5.7</v>
      </c>
      <c r="CP271" s="379">
        <f t="shared" si="771"/>
        <v>65.7</v>
      </c>
      <c r="CQ271" s="379"/>
      <c r="CR271" s="188">
        <f t="shared" si="660"/>
        <v>8.2568807339449546E-2</v>
      </c>
      <c r="CS271" s="149">
        <f t="shared" si="661"/>
        <v>9.2889908256880744</v>
      </c>
      <c r="CT271" s="149">
        <f t="shared" si="662"/>
        <v>4.1284403669724767</v>
      </c>
      <c r="CU271" s="188">
        <f t="shared" si="663"/>
        <v>1.857798165137615</v>
      </c>
      <c r="CV271" s="188">
        <f t="shared" si="664"/>
        <v>1.1611238532110093</v>
      </c>
      <c r="CW271" s="188">
        <f t="shared" si="665"/>
        <v>5</v>
      </c>
      <c r="CX271" s="188">
        <f t="shared" si="666"/>
        <v>1.7762962962962963</v>
      </c>
      <c r="CY271" s="188">
        <f t="shared" si="667"/>
        <v>0.35525925925925922</v>
      </c>
      <c r="CZ271" s="188">
        <f t="shared" si="668"/>
        <v>3.7395711500974653</v>
      </c>
      <c r="DA271" s="172">
        <f t="shared" si="669"/>
        <v>350</v>
      </c>
      <c r="DB271" s="379">
        <f t="shared" si="670"/>
        <v>244.21035794669078</v>
      </c>
      <c r="DD271" s="188">
        <f t="shared" si="671"/>
        <v>1.2393998695368558</v>
      </c>
      <c r="DE271" s="150">
        <f t="shared" si="672"/>
        <v>2.6092628832354858</v>
      </c>
      <c r="DF271" s="150">
        <f t="shared" si="673"/>
        <v>0.4244520101153616</v>
      </c>
      <c r="DG271" s="150"/>
      <c r="DH271" s="150">
        <f t="shared" si="674"/>
        <v>2.1052631578947367</v>
      </c>
      <c r="DI271" s="314">
        <f t="shared" si="675"/>
        <v>627.00000000000011</v>
      </c>
      <c r="DJ271" s="456">
        <f t="shared" si="676"/>
        <v>0.36842105263157893</v>
      </c>
      <c r="DL271" s="150">
        <f t="shared" si="677"/>
        <v>1.4474937289114918</v>
      </c>
      <c r="DM271" s="150">
        <f t="shared" si="678"/>
        <v>1.7762962962962963</v>
      </c>
      <c r="DN271" s="150">
        <f t="shared" si="679"/>
        <v>1.7750342935528121</v>
      </c>
      <c r="DP271" s="314">
        <f t="shared" si="680"/>
        <v>660</v>
      </c>
      <c r="DQ271" s="144">
        <f t="shared" si="681"/>
        <v>244.21035794669078</v>
      </c>
      <c r="DS271">
        <f t="shared" si="682"/>
        <v>660</v>
      </c>
      <c r="DT271">
        <f t="shared" si="683"/>
        <v>244.21035794669078</v>
      </c>
      <c r="DV271" s="5">
        <f t="shared" si="684"/>
        <v>4.0948304093567245</v>
      </c>
      <c r="DW271" s="5">
        <f t="shared" si="685"/>
        <v>0.35525925925925922</v>
      </c>
      <c r="DX271" s="5">
        <f t="shared" si="686"/>
        <v>3.7395711500974653</v>
      </c>
      <c r="DY271" s="150">
        <f t="shared" si="687"/>
        <v>8.6757990867579918E-2</v>
      </c>
      <c r="EA271" s="5">
        <f t="shared" si="713"/>
        <v>4.6894222222222215</v>
      </c>
      <c r="EB271" s="5">
        <f t="shared" si="714"/>
        <v>0.6106018518518519</v>
      </c>
      <c r="EC271" s="5">
        <f t="shared" si="715"/>
        <v>8.5698505523066917E-2</v>
      </c>
      <c r="ED271" s="5"/>
      <c r="EE271" s="150">
        <f t="shared" si="716"/>
        <v>0.30207134266861152</v>
      </c>
      <c r="EF271" s="150">
        <f t="shared" si="717"/>
        <v>0.98004884981159424</v>
      </c>
      <c r="EG271" s="150">
        <f t="shared" si="718"/>
        <v>0.21906974289906225</v>
      </c>
      <c r="EH271" s="150"/>
      <c r="EI271" s="456">
        <f t="shared" si="719"/>
        <v>1.8249419212323546E-3</v>
      </c>
      <c r="EJ271" s="456">
        <f t="shared" si="720"/>
        <v>0.57000000000000017</v>
      </c>
      <c r="EK271" s="456">
        <f t="shared" si="721"/>
        <v>3.0526294743336343E-2</v>
      </c>
      <c r="EL271" s="456">
        <f t="shared" si="722"/>
        <v>0.10541315679733115</v>
      </c>
      <c r="EM271">
        <f t="shared" si="723"/>
        <v>2.7E-2</v>
      </c>
      <c r="EN271" s="144">
        <f t="shared" si="724"/>
        <v>57.526294743336344</v>
      </c>
      <c r="EP271" s="144">
        <f t="shared" si="725"/>
        <v>734.7643934619</v>
      </c>
      <c r="EQ271" s="150">
        <f t="shared" si="726"/>
        <v>0.46199999999999997</v>
      </c>
      <c r="ER271" s="150">
        <f t="shared" si="772"/>
        <v>6.1015625000000004E-2</v>
      </c>
      <c r="ES271" s="456"/>
      <c r="EU271" s="144">
        <f t="shared" si="727"/>
        <v>523.015625</v>
      </c>
      <c r="EV271" s="456">
        <f t="shared" si="728"/>
        <v>2.7374128818485315E-3</v>
      </c>
      <c r="EW271" s="456">
        <f t="shared" si="729"/>
        <v>2.8814872440510862E-2</v>
      </c>
      <c r="EX271" s="456">
        <f t="shared" si="730"/>
        <v>2.399577612693062E-4</v>
      </c>
      <c r="EY271" s="456">
        <f t="shared" si="731"/>
        <v>0.19596058643252542</v>
      </c>
      <c r="EZ271" s="456"/>
      <c r="FA271" s="538">
        <f t="shared" si="732"/>
        <v>7.7053948926095054E-4</v>
      </c>
      <c r="FB271" s="144">
        <f t="shared" si="733"/>
        <v>228.52336900541505</v>
      </c>
      <c r="FC271" s="150">
        <f t="shared" si="734"/>
        <v>1.4863033874673148</v>
      </c>
      <c r="FD271" s="5">
        <f t="shared" si="735"/>
        <v>4.4000000000000004</v>
      </c>
      <c r="FE271" s="150">
        <f t="shared" si="736"/>
        <v>0.74749799838182951</v>
      </c>
      <c r="FF271" s="5">
        <f t="shared" si="737"/>
        <v>74.749799838182952</v>
      </c>
      <c r="FG271">
        <f t="shared" si="738"/>
        <v>55.000000000000007</v>
      </c>
      <c r="FI271" s="59">
        <f t="shared" si="689"/>
        <v>-50</v>
      </c>
    </row>
    <row r="272" spans="5:165">
      <c r="E272" s="147">
        <v>56</v>
      </c>
      <c r="F272" s="188">
        <f t="shared" si="773"/>
        <v>0.67200000000000004</v>
      </c>
      <c r="G272" s="188">
        <f t="shared" si="742"/>
        <v>0.14000000000000001</v>
      </c>
      <c r="H272" s="188">
        <f t="shared" si="743"/>
        <v>3.3600000000000003</v>
      </c>
      <c r="I272" s="188">
        <f t="shared" si="744"/>
        <v>1.1200000000000001</v>
      </c>
      <c r="J272" s="465">
        <f t="shared" si="745"/>
        <v>59.939745041027166</v>
      </c>
      <c r="K272" s="379">
        <f t="shared" si="746"/>
        <v>5.7229200679708736</v>
      </c>
      <c r="L272" s="149">
        <f t="shared" si="747"/>
        <v>65.662665108998041</v>
      </c>
      <c r="M272" s="379"/>
      <c r="N272" s="188">
        <f t="shared" si="748"/>
        <v>8.7156378110315791E-2</v>
      </c>
      <c r="O272" s="149">
        <f t="shared" si="749"/>
        <v>9.7952457799344188</v>
      </c>
      <c r="P272" s="149">
        <f t="shared" si="750"/>
        <v>4.3534425688597409</v>
      </c>
      <c r="Q272" s="188">
        <f t="shared" si="626"/>
        <v>1.9590491559868837</v>
      </c>
      <c r="R272" s="188">
        <f t="shared" si="751"/>
        <v>1.2244057224918024</v>
      </c>
      <c r="S272" s="188">
        <f t="shared" si="752"/>
        <v>5</v>
      </c>
      <c r="T272" s="188">
        <f t="shared" si="753"/>
        <v>1.7151177599254157</v>
      </c>
      <c r="U272" s="188">
        <f t="shared" si="630"/>
        <v>0.34336837944535065</v>
      </c>
      <c r="V272" s="188">
        <f t="shared" si="631"/>
        <v>3.5963132237844384</v>
      </c>
      <c r="W272" s="172">
        <f t="shared" si="632"/>
        <v>350</v>
      </c>
      <c r="X272" s="379">
        <f t="shared" si="691"/>
        <v>241.5644718230981</v>
      </c>
      <c r="Z272" s="188">
        <f t="shared" si="633"/>
        <v>1.2438407339599262</v>
      </c>
      <c r="AA272" s="150">
        <f t="shared" si="634"/>
        <v>2.6081246339705264</v>
      </c>
      <c r="AB272" s="150">
        <f t="shared" si="754"/>
        <v>0.42578703024071329</v>
      </c>
      <c r="AC272" s="150"/>
      <c r="AD272" s="150">
        <f t="shared" si="636"/>
        <v>2.0968316624164798</v>
      </c>
      <c r="AE272" s="314">
        <f t="shared" si="755"/>
        <v>640.96704761273782</v>
      </c>
      <c r="AF272" s="456">
        <f t="shared" si="756"/>
        <v>0.36694554092288395</v>
      </c>
      <c r="AH272" s="150">
        <f t="shared" si="757"/>
        <v>1.4605934866804429</v>
      </c>
      <c r="AI272" s="150">
        <f t="shared" si="758"/>
        <v>1.7151177599254157</v>
      </c>
      <c r="AJ272" s="150">
        <f t="shared" si="759"/>
        <v>1.7297168592040115</v>
      </c>
      <c r="AL272" s="314">
        <f t="shared" si="760"/>
        <v>672</v>
      </c>
      <c r="AM272" s="144">
        <f t="shared" si="761"/>
        <v>241.5644718230981</v>
      </c>
      <c r="AO272">
        <f t="shared" si="644"/>
        <v>672</v>
      </c>
      <c r="AP272">
        <f t="shared" si="645"/>
        <v>241.5644718230981</v>
      </c>
      <c r="AR272" s="5">
        <f t="shared" si="774"/>
        <v>4.1396816032297892</v>
      </c>
      <c r="AS272" s="5">
        <f t="shared" si="739"/>
        <v>0.34336837944535065</v>
      </c>
      <c r="AT272" s="5">
        <f t="shared" si="740"/>
        <v>3.7963132237844386</v>
      </c>
      <c r="AU272" s="150">
        <f t="shared" si="741"/>
        <v>8.2945601221469267E-2</v>
      </c>
      <c r="BA272" s="150">
        <f t="shared" si="692"/>
        <v>0.28518717841881541</v>
      </c>
      <c r="BB272" s="150">
        <f t="shared" si="693"/>
        <v>0.94826749921600362</v>
      </c>
      <c r="BC272" s="150">
        <f t="shared" si="694"/>
        <v>0.21196567629534196</v>
      </c>
      <c r="BD272" s="150"/>
      <c r="BE272" s="456">
        <f t="shared" si="695"/>
        <v>1.6266345346897051E-3</v>
      </c>
      <c r="BF272" s="456">
        <f t="shared" si="762"/>
        <v>0.51008996835323506</v>
      </c>
      <c r="BG272" s="456">
        <f t="shared" si="763"/>
        <v>0.36198282130117226</v>
      </c>
      <c r="BH272" s="456">
        <f t="shared" si="696"/>
        <v>0.10415258955791479</v>
      </c>
      <c r="BI272">
        <f t="shared" si="697"/>
        <v>2.6972885268462223E-2</v>
      </c>
      <c r="BJ272" s="144">
        <f t="shared" si="698"/>
        <v>388.95570656963446</v>
      </c>
      <c r="BK272">
        <f t="shared" si="764"/>
        <v>0.61654667188564183</v>
      </c>
      <c r="BL272" s="144">
        <f t="shared" si="699"/>
        <v>1004.824899015474</v>
      </c>
      <c r="BM272" s="150">
        <f t="shared" si="765"/>
        <v>0.41747999999999996</v>
      </c>
      <c r="BN272" s="150">
        <f t="shared" si="766"/>
        <v>6.2125E-2</v>
      </c>
      <c r="BQ272" s="144">
        <f t="shared" si="700"/>
        <v>479.60499999999996</v>
      </c>
      <c r="BR272" s="456">
        <f t="shared" si="701"/>
        <v>2.4399518020345578E-3</v>
      </c>
      <c r="BS272" s="456">
        <f t="shared" si="702"/>
        <v>2.6976337502081203E-2</v>
      </c>
      <c r="BT272" s="456">
        <f t="shared" si="703"/>
        <v>2.2464723963670847E-4</v>
      </c>
      <c r="BU272" s="456">
        <f t="shared" si="704"/>
        <v>0.17469783225048194</v>
      </c>
      <c r="BV272" s="456"/>
      <c r="BW272" s="538">
        <f t="shared" si="705"/>
        <v>7.1059303887441739E-4</v>
      </c>
      <c r="BX272" s="144">
        <f t="shared" si="706"/>
        <v>205.0493618331088</v>
      </c>
      <c r="BY272" s="150">
        <f t="shared" si="707"/>
        <v>1.6894792608485831</v>
      </c>
      <c r="BZ272" s="5">
        <f t="shared" si="708"/>
        <v>4.4800000000000004</v>
      </c>
      <c r="CA272" s="150">
        <f t="shared" si="709"/>
        <v>0.72615528970654108</v>
      </c>
      <c r="CB272" s="5">
        <f t="shared" si="710"/>
        <v>72.615528970654111</v>
      </c>
      <c r="CC272">
        <f t="shared" si="711"/>
        <v>56.000000000000007</v>
      </c>
      <c r="CE272" s="59">
        <f t="shared" si="767"/>
        <v>-50</v>
      </c>
      <c r="CG272" s="150">
        <f t="shared" si="768"/>
        <v>0.87957854338036034</v>
      </c>
      <c r="CH272" s="150">
        <f t="shared" si="769"/>
        <v>0.47330172420499944</v>
      </c>
      <c r="CI272" s="147">
        <v>56</v>
      </c>
      <c r="CJ272" s="188">
        <f t="shared" si="712"/>
        <v>0.67200000000000004</v>
      </c>
      <c r="CK272" s="188">
        <f t="shared" si="654"/>
        <v>0.14000000000000001</v>
      </c>
      <c r="CL272" s="188">
        <f t="shared" si="655"/>
        <v>3.3600000000000003</v>
      </c>
      <c r="CM272" s="188">
        <f t="shared" si="656"/>
        <v>1.1200000000000001</v>
      </c>
      <c r="CN272" s="465">
        <f t="shared" si="657"/>
        <v>60</v>
      </c>
      <c r="CO272" s="379">
        <f t="shared" si="770"/>
        <v>5.7</v>
      </c>
      <c r="CP272" s="379">
        <f t="shared" si="771"/>
        <v>65.7</v>
      </c>
      <c r="CQ272" s="379"/>
      <c r="CR272" s="188">
        <f t="shared" si="660"/>
        <v>8.2568807339449546E-2</v>
      </c>
      <c r="CS272" s="149">
        <f t="shared" si="661"/>
        <v>9.2889908256880744</v>
      </c>
      <c r="CT272" s="149">
        <f t="shared" si="662"/>
        <v>4.1284403669724767</v>
      </c>
      <c r="CU272" s="188">
        <f t="shared" si="663"/>
        <v>1.857798165137615</v>
      </c>
      <c r="CV272" s="188">
        <f t="shared" si="664"/>
        <v>1.1611238532110093</v>
      </c>
      <c r="CW272" s="188">
        <f t="shared" si="665"/>
        <v>5</v>
      </c>
      <c r="CX272" s="188">
        <f t="shared" si="666"/>
        <v>1.8085925925925925</v>
      </c>
      <c r="CY272" s="188">
        <f t="shared" si="667"/>
        <v>0.36171851851851855</v>
      </c>
      <c r="CZ272" s="188">
        <f t="shared" si="668"/>
        <v>3.8075633528265103</v>
      </c>
      <c r="DA272" s="172">
        <f t="shared" si="669"/>
        <v>350</v>
      </c>
      <c r="DB272" s="379">
        <f t="shared" si="670"/>
        <v>239.84945869764272</v>
      </c>
      <c r="DD272" s="188">
        <f t="shared" si="671"/>
        <v>1.2393998695368558</v>
      </c>
      <c r="DE272" s="150">
        <f t="shared" si="672"/>
        <v>2.6092628832354858</v>
      </c>
      <c r="DF272" s="150">
        <f t="shared" si="673"/>
        <v>0.4244520101153616</v>
      </c>
      <c r="DG272" s="150"/>
      <c r="DH272" s="150">
        <f t="shared" si="674"/>
        <v>2.1052631578947367</v>
      </c>
      <c r="DI272" s="314">
        <f t="shared" si="675"/>
        <v>638.40000000000009</v>
      </c>
      <c r="DJ272" s="456">
        <f t="shared" si="676"/>
        <v>0.36842105263157893</v>
      </c>
      <c r="DL272" s="150">
        <f t="shared" si="677"/>
        <v>1.4605934866804429</v>
      </c>
      <c r="DM272" s="150">
        <f t="shared" si="678"/>
        <v>1.8085925925925925</v>
      </c>
      <c r="DN272" s="150">
        <f t="shared" si="679"/>
        <v>1.7989574759945128</v>
      </c>
      <c r="DP272" s="314">
        <f t="shared" si="680"/>
        <v>672</v>
      </c>
      <c r="DQ272" s="144">
        <f t="shared" si="681"/>
        <v>239.84945869764272</v>
      </c>
      <c r="DS272">
        <f t="shared" si="682"/>
        <v>672</v>
      </c>
      <c r="DT272">
        <f t="shared" si="683"/>
        <v>239.84945869764272</v>
      </c>
      <c r="DV272" s="5">
        <f t="shared" si="684"/>
        <v>4.1692818713450288</v>
      </c>
      <c r="DW272" s="5">
        <f t="shared" si="685"/>
        <v>0.36171851851851855</v>
      </c>
      <c r="DX272" s="5">
        <f t="shared" si="686"/>
        <v>3.8075633528265103</v>
      </c>
      <c r="DY272" s="150">
        <f t="shared" si="687"/>
        <v>8.6757990867579932E-2</v>
      </c>
      <c r="EA272" s="5">
        <f t="shared" si="713"/>
        <v>4.8614968888888894</v>
      </c>
      <c r="EB272" s="5">
        <f t="shared" si="714"/>
        <v>0.63300740740740757</v>
      </c>
      <c r="EC272" s="5">
        <f t="shared" si="715"/>
        <v>8.8843144899285242E-2</v>
      </c>
      <c r="ED272" s="5"/>
      <c r="EE272" s="150">
        <f t="shared" si="716"/>
        <v>0.30756354889894999</v>
      </c>
      <c r="EF272" s="150">
        <f t="shared" si="717"/>
        <v>0.99786791980816869</v>
      </c>
      <c r="EG272" s="150">
        <f t="shared" si="718"/>
        <v>0.22305282913359065</v>
      </c>
      <c r="EH272" s="150"/>
      <c r="EI272" s="456">
        <f t="shared" si="719"/>
        <v>1.891906732226336E-3</v>
      </c>
      <c r="EJ272" s="456">
        <f t="shared" si="720"/>
        <v>0.57000000000000006</v>
      </c>
      <c r="EK272" s="456">
        <f t="shared" si="721"/>
        <v>2.9981182337205339E-2</v>
      </c>
      <c r="EL272" s="456">
        <f t="shared" si="722"/>
        <v>0.10353077899737881</v>
      </c>
      <c r="EM272">
        <f t="shared" si="723"/>
        <v>2.7E-2</v>
      </c>
      <c r="EN272" s="144">
        <f t="shared" si="724"/>
        <v>56.98118233720534</v>
      </c>
      <c r="EP272" s="144">
        <f t="shared" si="725"/>
        <v>732.40386806681067</v>
      </c>
      <c r="EQ272" s="150">
        <f t="shared" si="726"/>
        <v>0.47039999999999998</v>
      </c>
      <c r="ER272" s="150">
        <f t="shared" si="772"/>
        <v>6.2125E-2</v>
      </c>
      <c r="ES272" s="456"/>
      <c r="EU272" s="144">
        <f t="shared" si="727"/>
        <v>532.52499999999998</v>
      </c>
      <c r="EV272" s="456">
        <f t="shared" si="728"/>
        <v>2.8378600983395038E-3</v>
      </c>
      <c r="EW272" s="456">
        <f t="shared" si="729"/>
        <v>2.9872211561468454E-2</v>
      </c>
      <c r="EX272" s="456">
        <f t="shared" si="730"/>
        <v>2.487628229224939E-4</v>
      </c>
      <c r="EY272" s="456">
        <f t="shared" si="731"/>
        <v>0.19596058643252542</v>
      </c>
      <c r="EZ272" s="456"/>
      <c r="FA272" s="538">
        <f t="shared" si="732"/>
        <v>7.8454929815660417E-4</v>
      </c>
      <c r="FB272" s="144">
        <f t="shared" si="733"/>
        <v>229.7039702134125</v>
      </c>
      <c r="FC272" s="150">
        <f t="shared" si="734"/>
        <v>1.494632838280223</v>
      </c>
      <c r="FD272" s="5">
        <f t="shared" si="735"/>
        <v>4.4800000000000004</v>
      </c>
      <c r="FE272" s="150">
        <f t="shared" si="736"/>
        <v>0.74983687220009188</v>
      </c>
      <c r="FF272" s="5">
        <f t="shared" si="737"/>
        <v>74.983687220009188</v>
      </c>
      <c r="FG272">
        <f t="shared" si="738"/>
        <v>56.000000000000007</v>
      </c>
      <c r="FI272" s="59">
        <f t="shared" si="689"/>
        <v>-50</v>
      </c>
    </row>
    <row r="273" spans="5:165">
      <c r="E273" s="147">
        <v>57</v>
      </c>
      <c r="F273" s="188">
        <f t="shared" si="773"/>
        <v>0.68399999999999994</v>
      </c>
      <c r="G273" s="188">
        <f t="shared" si="742"/>
        <v>0.14249999999999999</v>
      </c>
      <c r="H273" s="188">
        <f t="shared" si="743"/>
        <v>3.42</v>
      </c>
      <c r="I273" s="188">
        <f t="shared" si="744"/>
        <v>1.1399999999999999</v>
      </c>
      <c r="J273" s="465">
        <f t="shared" si="745"/>
        <v>59.938669059616934</v>
      </c>
      <c r="K273" s="379">
        <f t="shared" si="746"/>
        <v>5.723329354898925</v>
      </c>
      <c r="L273" s="149">
        <f t="shared" si="747"/>
        <v>65.661998414515864</v>
      </c>
      <c r="M273" s="379"/>
      <c r="N273" s="188">
        <f t="shared" si="748"/>
        <v>8.7163496285450726E-2</v>
      </c>
      <c r="O273" s="149">
        <f t="shared" si="749"/>
        <v>9.7958699211239644</v>
      </c>
      <c r="P273" s="149">
        <f t="shared" si="750"/>
        <v>4.3537199649439842</v>
      </c>
      <c r="Q273" s="188">
        <f t="shared" si="626"/>
        <v>1.9591739842247928</v>
      </c>
      <c r="R273" s="188">
        <f t="shared" si="751"/>
        <v>1.2244837401404955</v>
      </c>
      <c r="S273" s="188">
        <f t="shared" si="752"/>
        <v>5</v>
      </c>
      <c r="T273" s="188">
        <f t="shared" si="753"/>
        <v>1.7456336331217808</v>
      </c>
      <c r="U273" s="188">
        <f t="shared" si="630"/>
        <v>0.34948396295930773</v>
      </c>
      <c r="V273" s="188">
        <f t="shared" si="631"/>
        <v>3.6600381174169399</v>
      </c>
      <c r="W273" s="172">
        <f t="shared" si="632"/>
        <v>350</v>
      </c>
      <c r="X273" s="379">
        <f t="shared" si="691"/>
        <v>237.55665866720429</v>
      </c>
      <c r="Z273" s="188">
        <f t="shared" si="633"/>
        <v>1.2439199899839954</v>
      </c>
      <c r="AA273" s="150">
        <f t="shared" si="634"/>
        <v>2.6081042963272831</v>
      </c>
      <c r="AB273" s="150">
        <f t="shared" si="754"/>
        <v>0.42581084045911027</v>
      </c>
      <c r="AC273" s="150"/>
      <c r="AD273" s="150">
        <f t="shared" si="636"/>
        <v>2.0966817137176479</v>
      </c>
      <c r="AE273" s="314">
        <f t="shared" si="755"/>
        <v>652.45954645847735</v>
      </c>
      <c r="AF273" s="456">
        <f t="shared" si="756"/>
        <v>0.36691929990058841</v>
      </c>
      <c r="AH273" s="150">
        <f t="shared" si="757"/>
        <v>1.4735767952260144</v>
      </c>
      <c r="AI273" s="150">
        <f t="shared" si="758"/>
        <v>1.7456336331217808</v>
      </c>
      <c r="AJ273" s="150">
        <f t="shared" si="759"/>
        <v>1.7523212097198375</v>
      </c>
      <c r="AL273" s="314">
        <f t="shared" si="760"/>
        <v>683.99999999999989</v>
      </c>
      <c r="AM273" s="144">
        <f t="shared" si="761"/>
        <v>237.55665866720429</v>
      </c>
      <c r="AO273">
        <f t="shared" si="644"/>
        <v>683.99999999999989</v>
      </c>
      <c r="AP273">
        <f t="shared" si="645"/>
        <v>237.55665866720429</v>
      </c>
      <c r="AR273" s="5">
        <f t="shared" si="774"/>
        <v>4.2095220803762476</v>
      </c>
      <c r="AS273" s="5">
        <f t="shared" si="739"/>
        <v>0.34948396295930773</v>
      </c>
      <c r="AT273" s="5">
        <f t="shared" si="740"/>
        <v>3.86003811741694</v>
      </c>
      <c r="AU273" s="150">
        <f t="shared" si="741"/>
        <v>8.3022242498386134E-2</v>
      </c>
      <c r="BA273" s="150">
        <f t="shared" si="692"/>
        <v>0.29039538046676933</v>
      </c>
      <c r="BB273" s="150">
        <f t="shared" si="693"/>
        <v>0.96509901911610918</v>
      </c>
      <c r="BC273" s="150">
        <f t="shared" si="694"/>
        <v>0.21572801603771852</v>
      </c>
      <c r="BD273" s="150"/>
      <c r="BE273" s="456">
        <f t="shared" si="695"/>
        <v>1.6865895399287942E-3</v>
      </c>
      <c r="BF273" s="456">
        <f t="shared" si="762"/>
        <v>0.51054693974958476</v>
      </c>
      <c r="BG273" s="456">
        <f t="shared" si="763"/>
        <v>0.35597074866904849</v>
      </c>
      <c r="BH273" s="456">
        <f t="shared" si="696"/>
        <v>0.10242250672319841</v>
      </c>
      <c r="BI273">
        <f t="shared" si="697"/>
        <v>2.6972401076827621E-2</v>
      </c>
      <c r="BJ273" s="144">
        <f t="shared" si="698"/>
        <v>382.9431497458761</v>
      </c>
      <c r="BK273">
        <f t="shared" si="764"/>
        <v>0.61535800986503408</v>
      </c>
      <c r="BL273" s="144">
        <f t="shared" si="699"/>
        <v>997.59918575858819</v>
      </c>
      <c r="BM273" s="150">
        <f t="shared" si="765"/>
        <v>0.42493499999999995</v>
      </c>
      <c r="BN273" s="150">
        <f t="shared" si="766"/>
        <v>6.3234374999999995E-2</v>
      </c>
      <c r="BQ273" s="144">
        <f t="shared" si="700"/>
        <v>488.16937499999995</v>
      </c>
      <c r="BR273" s="456">
        <f t="shared" si="701"/>
        <v>2.529884309893191E-3</v>
      </c>
      <c r="BS273" s="456">
        <f t="shared" si="702"/>
        <v>2.7942483500966279E-2</v>
      </c>
      <c r="BT273" s="456">
        <f t="shared" si="703"/>
        <v>2.326928845178507E-4</v>
      </c>
      <c r="BU273" s="456">
        <f t="shared" si="704"/>
        <v>0.17509380348816431</v>
      </c>
      <c r="BV273" s="456"/>
      <c r="BW273" s="538">
        <f t="shared" si="705"/>
        <v>7.2389138788258494E-4</v>
      </c>
      <c r="BX273" s="144">
        <f t="shared" si="706"/>
        <v>206.52275557142423</v>
      </c>
      <c r="BY273" s="150">
        <f t="shared" si="707"/>
        <v>1.6922913163300124</v>
      </c>
      <c r="BZ273" s="5">
        <f t="shared" si="708"/>
        <v>4.5599999999999996</v>
      </c>
      <c r="CA273" s="150">
        <f t="shared" si="709"/>
        <v>0.72933261892164059</v>
      </c>
      <c r="CB273" s="5">
        <f t="shared" si="710"/>
        <v>72.933261892164055</v>
      </c>
      <c r="CC273">
        <f t="shared" si="711"/>
        <v>56.999999999999993</v>
      </c>
      <c r="CE273" s="59">
        <f t="shared" si="767"/>
        <v>-50</v>
      </c>
      <c r="CG273" s="150">
        <f t="shared" si="768"/>
        <v>0.87957854338036034</v>
      </c>
      <c r="CH273" s="150">
        <f t="shared" si="769"/>
        <v>0.47330172420499939</v>
      </c>
      <c r="CI273" s="147">
        <v>57</v>
      </c>
      <c r="CJ273" s="188">
        <f t="shared" si="712"/>
        <v>0.68399999999999994</v>
      </c>
      <c r="CK273" s="188">
        <f t="shared" si="654"/>
        <v>0.14249999999999999</v>
      </c>
      <c r="CL273" s="188">
        <f t="shared" si="655"/>
        <v>3.42</v>
      </c>
      <c r="CM273" s="188">
        <f t="shared" si="656"/>
        <v>1.1399999999999999</v>
      </c>
      <c r="CN273" s="465">
        <f t="shared" si="657"/>
        <v>60</v>
      </c>
      <c r="CO273" s="379">
        <f t="shared" si="770"/>
        <v>5.7</v>
      </c>
      <c r="CP273" s="379">
        <f t="shared" si="771"/>
        <v>65.7</v>
      </c>
      <c r="CQ273" s="379"/>
      <c r="CR273" s="188">
        <f t="shared" si="660"/>
        <v>8.2568807339449546E-2</v>
      </c>
      <c r="CS273" s="149">
        <f t="shared" si="661"/>
        <v>9.2889908256880744</v>
      </c>
      <c r="CT273" s="149">
        <f t="shared" si="662"/>
        <v>4.1284403669724767</v>
      </c>
      <c r="CU273" s="188">
        <f t="shared" si="663"/>
        <v>1.857798165137615</v>
      </c>
      <c r="CV273" s="188">
        <f t="shared" si="664"/>
        <v>1.1611238532110093</v>
      </c>
      <c r="CW273" s="188">
        <f t="shared" si="665"/>
        <v>5</v>
      </c>
      <c r="CX273" s="188">
        <f t="shared" si="666"/>
        <v>1.8408888888888886</v>
      </c>
      <c r="CY273" s="188">
        <f t="shared" si="667"/>
        <v>0.36817777777777777</v>
      </c>
      <c r="CZ273" s="188">
        <f t="shared" si="668"/>
        <v>3.8755555555555548</v>
      </c>
      <c r="DA273" s="172">
        <f t="shared" si="669"/>
        <v>350</v>
      </c>
      <c r="DB273" s="379">
        <f t="shared" si="670"/>
        <v>235.64157345733321</v>
      </c>
      <c r="DD273" s="188">
        <f t="shared" si="671"/>
        <v>1.2393998695368558</v>
      </c>
      <c r="DE273" s="150">
        <f t="shared" si="672"/>
        <v>2.6092628832354858</v>
      </c>
      <c r="DF273" s="150">
        <f t="shared" si="673"/>
        <v>0.4244520101153616</v>
      </c>
      <c r="DG273" s="150"/>
      <c r="DH273" s="150">
        <f t="shared" si="674"/>
        <v>2.1052631578947367</v>
      </c>
      <c r="DI273" s="314">
        <f t="shared" si="675"/>
        <v>649.79999999999995</v>
      </c>
      <c r="DJ273" s="456">
        <f t="shared" si="676"/>
        <v>0.36842105263157893</v>
      </c>
      <c r="DL273" s="150">
        <f t="shared" si="677"/>
        <v>1.4735767952260144</v>
      </c>
      <c r="DM273" s="150">
        <f t="shared" si="678"/>
        <v>1.8408888888888886</v>
      </c>
      <c r="DN273" s="150">
        <f t="shared" si="679"/>
        <v>1.8228806584362136</v>
      </c>
      <c r="DP273" s="314">
        <f t="shared" si="680"/>
        <v>683.99999999999989</v>
      </c>
      <c r="DQ273" s="144">
        <f t="shared" si="681"/>
        <v>235.64157345733321</v>
      </c>
      <c r="DS273">
        <f t="shared" si="682"/>
        <v>683.99999999999989</v>
      </c>
      <c r="DT273">
        <f t="shared" si="683"/>
        <v>235.64157345733321</v>
      </c>
      <c r="DV273" s="5">
        <f t="shared" si="684"/>
        <v>4.2437333333333331</v>
      </c>
      <c r="DW273" s="5">
        <f t="shared" si="685"/>
        <v>0.36817777777777777</v>
      </c>
      <c r="DX273" s="5">
        <f t="shared" si="686"/>
        <v>3.8755555555555552</v>
      </c>
      <c r="DY273" s="150">
        <f t="shared" si="687"/>
        <v>8.6757990867579918E-2</v>
      </c>
      <c r="EA273" s="5">
        <f t="shared" si="713"/>
        <v>5.0366720000000003</v>
      </c>
      <c r="EB273" s="5">
        <f t="shared" si="714"/>
        <v>0.6558166666666666</v>
      </c>
      <c r="EC273" s="5">
        <f t="shared" si="715"/>
        <v>9.2044444444444429E-2</v>
      </c>
      <c r="ED273" s="5"/>
      <c r="EE273" s="150">
        <f t="shared" si="716"/>
        <v>0.31305575512928829</v>
      </c>
      <c r="EF273" s="150">
        <f t="shared" si="717"/>
        <v>1.0156869898047429</v>
      </c>
      <c r="EG273" s="150">
        <f t="shared" si="718"/>
        <v>0.22703591536811907</v>
      </c>
      <c r="EH273" s="150"/>
      <c r="EI273" s="456">
        <f t="shared" si="719"/>
        <v>1.9600781163913784E-3</v>
      </c>
      <c r="EJ273" s="456">
        <f t="shared" si="720"/>
        <v>0.57000000000000006</v>
      </c>
      <c r="EK273" s="456">
        <f t="shared" si="721"/>
        <v>2.9455196682166649E-2</v>
      </c>
      <c r="EL273" s="456">
        <f t="shared" si="722"/>
        <v>0.10171444954128445</v>
      </c>
      <c r="EM273">
        <f t="shared" si="723"/>
        <v>2.7E-2</v>
      </c>
      <c r="EN273" s="144">
        <f t="shared" si="724"/>
        <v>56.455196682166651</v>
      </c>
      <c r="EP273" s="144">
        <f t="shared" si="725"/>
        <v>730.12972433984271</v>
      </c>
      <c r="EQ273" s="150">
        <f t="shared" si="726"/>
        <v>0.47879999999999995</v>
      </c>
      <c r="ER273" s="150">
        <f t="shared" si="772"/>
        <v>6.3234374999999995E-2</v>
      </c>
      <c r="ES273" s="456"/>
      <c r="EU273" s="144">
        <f t="shared" si="727"/>
        <v>542.03437499999995</v>
      </c>
      <c r="EV273" s="456">
        <f t="shared" si="728"/>
        <v>2.9401171745870674E-3</v>
      </c>
      <c r="EW273" s="456">
        <f t="shared" si="729"/>
        <v>3.0948601837758598E-2</v>
      </c>
      <c r="EX273" s="456">
        <f t="shared" si="730"/>
        <v>2.577265343351986E-4</v>
      </c>
      <c r="EY273" s="456">
        <f t="shared" si="731"/>
        <v>0.19596058643252531</v>
      </c>
      <c r="EZ273" s="456"/>
      <c r="FA273" s="538">
        <f t="shared" si="732"/>
        <v>7.9855910705225769E-4</v>
      </c>
      <c r="FB273" s="144">
        <f t="shared" si="733"/>
        <v>230.90559108625843</v>
      </c>
      <c r="FC273" s="150">
        <f t="shared" si="734"/>
        <v>1.5030696904261009</v>
      </c>
      <c r="FD273" s="5">
        <f t="shared" si="735"/>
        <v>4.5599999999999996</v>
      </c>
      <c r="FE273" s="150">
        <f t="shared" si="736"/>
        <v>0.75209427448945121</v>
      </c>
      <c r="FF273" s="5">
        <f t="shared" si="737"/>
        <v>75.209427448945121</v>
      </c>
      <c r="FG273">
        <f t="shared" si="738"/>
        <v>56.999999999999993</v>
      </c>
      <c r="FI273" s="59">
        <f t="shared" si="689"/>
        <v>-50</v>
      </c>
    </row>
    <row r="274" spans="5:165">
      <c r="E274" s="147">
        <v>58</v>
      </c>
      <c r="F274" s="188">
        <f t="shared" si="773"/>
        <v>0.69599999999999995</v>
      </c>
      <c r="G274" s="188">
        <f t="shared" si="742"/>
        <v>0.14499999999999999</v>
      </c>
      <c r="H274" s="188">
        <f t="shared" si="743"/>
        <v>3.4799999999999995</v>
      </c>
      <c r="I274" s="188">
        <f t="shared" si="744"/>
        <v>1.1599999999999999</v>
      </c>
      <c r="J274" s="465">
        <f t="shared" si="745"/>
        <v>59.937593078206703</v>
      </c>
      <c r="K274" s="379">
        <f t="shared" si="746"/>
        <v>5.7237386418269764</v>
      </c>
      <c r="L274" s="149">
        <f t="shared" si="747"/>
        <v>65.661331720033672</v>
      </c>
      <c r="M274" s="379"/>
      <c r="N274" s="188">
        <f t="shared" si="748"/>
        <v>8.7170614605134922E-2</v>
      </c>
      <c r="O274" s="149">
        <f t="shared" si="749"/>
        <v>9.7964940498370474</v>
      </c>
      <c r="P274" s="149">
        <f t="shared" si="750"/>
        <v>4.3539973554831324</v>
      </c>
      <c r="Q274" s="188">
        <f t="shared" si="626"/>
        <v>1.9592988099674096</v>
      </c>
      <c r="R274" s="188">
        <f t="shared" si="751"/>
        <v>1.2245617562296309</v>
      </c>
      <c r="S274" s="188">
        <f t="shared" si="752"/>
        <v>5</v>
      </c>
      <c r="T274" s="188">
        <f t="shared" si="753"/>
        <v>1.7761456202067949</v>
      </c>
      <c r="U274" s="188">
        <f t="shared" si="630"/>
        <v>0.35559898801193623</v>
      </c>
      <c r="V274" s="188">
        <f t="shared" si="631"/>
        <v>3.7237457501515729</v>
      </c>
      <c r="W274" s="172">
        <f t="shared" si="632"/>
        <v>350</v>
      </c>
      <c r="X274" s="379">
        <f t="shared" si="691"/>
        <v>233.68063598193595</v>
      </c>
      <c r="Z274" s="188">
        <f t="shared" si="633"/>
        <v>1.243999244423752</v>
      </c>
      <c r="AA274" s="150">
        <f t="shared" si="634"/>
        <v>2.6080839582710431</v>
      </c>
      <c r="AB274" s="150">
        <f t="shared" si="754"/>
        <v>0.42583464964462875</v>
      </c>
      <c r="AC274" s="150"/>
      <c r="AD274" s="150">
        <f t="shared" si="636"/>
        <v>2.0965317864635562</v>
      </c>
      <c r="AE274" s="314">
        <f t="shared" si="755"/>
        <v>663.95368245192924</v>
      </c>
      <c r="AF274" s="456">
        <f t="shared" si="756"/>
        <v>0.36689306263112231</v>
      </c>
      <c r="AH274" s="150">
        <f t="shared" si="757"/>
        <v>1.4864467059144129</v>
      </c>
      <c r="AI274" s="150">
        <f t="shared" si="758"/>
        <v>1.7761456202067949</v>
      </c>
      <c r="AJ274" s="150">
        <f t="shared" si="759"/>
        <v>1.7749226816346628</v>
      </c>
      <c r="AL274" s="314">
        <f t="shared" si="760"/>
        <v>696</v>
      </c>
      <c r="AM274" s="144">
        <f t="shared" si="761"/>
        <v>233.68063598193595</v>
      </c>
      <c r="AO274">
        <f t="shared" si="644"/>
        <v>696</v>
      </c>
      <c r="AP274">
        <f t="shared" si="645"/>
        <v>233.68063598193595</v>
      </c>
      <c r="AR274" s="5">
        <f t="shared" si="774"/>
        <v>4.2793447381635099</v>
      </c>
      <c r="AS274" s="5">
        <f t="shared" si="739"/>
        <v>0.35559898801193623</v>
      </c>
      <c r="AT274" s="5">
        <f t="shared" si="740"/>
        <v>3.9237457501515736</v>
      </c>
      <c r="AU274" s="150">
        <f t="shared" si="741"/>
        <v>8.3096597673162062E-2</v>
      </c>
      <c r="BA274" s="150">
        <f t="shared" si="692"/>
        <v>0.29560349397787433</v>
      </c>
      <c r="BB274" s="150">
        <f t="shared" si="693"/>
        <v>0.98192820294629124</v>
      </c>
      <c r="BC274" s="150">
        <f t="shared" si="694"/>
        <v>0.21948983359975921</v>
      </c>
      <c r="BD274" s="150"/>
      <c r="BE274" s="456">
        <f t="shared" si="695"/>
        <v>1.7476285130385439E-3</v>
      </c>
      <c r="BF274" s="456">
        <f t="shared" si="762"/>
        <v>0.51098982680435789</v>
      </c>
      <c r="BG274" s="456">
        <f t="shared" si="763"/>
        <v>0.35015637174354558</v>
      </c>
      <c r="BH274" s="456">
        <f t="shared" si="696"/>
        <v>0.10074931437046486</v>
      </c>
      <c r="BI274">
        <f t="shared" si="697"/>
        <v>2.6971916885193015E-2</v>
      </c>
      <c r="BJ274" s="144">
        <f t="shared" si="698"/>
        <v>377.12828862873857</v>
      </c>
      <c r="BK274">
        <f t="shared" si="764"/>
        <v>0.61421367334366506</v>
      </c>
      <c r="BL274" s="144">
        <f t="shared" si="699"/>
        <v>990.61505831659997</v>
      </c>
      <c r="BM274" s="150">
        <f t="shared" si="765"/>
        <v>0.43238999999999989</v>
      </c>
      <c r="BN274" s="150">
        <f t="shared" si="766"/>
        <v>6.4343749999999991E-2</v>
      </c>
      <c r="BQ274" s="144">
        <f t="shared" si="700"/>
        <v>496.73374999999987</v>
      </c>
      <c r="BR274" s="456">
        <f t="shared" si="701"/>
        <v>2.6214427695578158E-3</v>
      </c>
      <c r="BS274" s="456">
        <f t="shared" si="702"/>
        <v>2.8925489872239987E-2</v>
      </c>
      <c r="BT274" s="456">
        <f t="shared" si="703"/>
        <v>2.4087893526824992E-4</v>
      </c>
      <c r="BU274" s="456">
        <f t="shared" si="704"/>
        <v>0.17547822884712694</v>
      </c>
      <c r="BV274" s="456"/>
      <c r="BW274" s="538">
        <f t="shared" si="705"/>
        <v>7.3719072830146057E-4</v>
      </c>
      <c r="BX274" s="144">
        <f t="shared" si="706"/>
        <v>208.00323115249446</v>
      </c>
      <c r="BY274" s="150">
        <f t="shared" si="707"/>
        <v>1.6953520394690942</v>
      </c>
      <c r="BZ274" s="5">
        <f t="shared" si="708"/>
        <v>4.6399999999999997</v>
      </c>
      <c r="CA274" s="150">
        <f t="shared" si="709"/>
        <v>0.7323981321152967</v>
      </c>
      <c r="CB274" s="5">
        <f t="shared" si="710"/>
        <v>73.239813211529665</v>
      </c>
      <c r="CC274">
        <f t="shared" si="711"/>
        <v>57.999999999999993</v>
      </c>
      <c r="CE274" s="59">
        <f t="shared" si="767"/>
        <v>-50</v>
      </c>
      <c r="CG274" s="150">
        <f t="shared" si="768"/>
        <v>0.87957854338036012</v>
      </c>
      <c r="CH274" s="150">
        <f t="shared" si="769"/>
        <v>0.47330172420499927</v>
      </c>
      <c r="CI274" s="147">
        <v>58</v>
      </c>
      <c r="CJ274" s="188">
        <f t="shared" si="712"/>
        <v>0.69599999999999995</v>
      </c>
      <c r="CK274" s="188">
        <f t="shared" si="654"/>
        <v>0.14499999999999999</v>
      </c>
      <c r="CL274" s="188">
        <f t="shared" si="655"/>
        <v>3.4799999999999995</v>
      </c>
      <c r="CM274" s="188">
        <f t="shared" si="656"/>
        <v>1.1599999999999999</v>
      </c>
      <c r="CN274" s="465">
        <f t="shared" si="657"/>
        <v>60</v>
      </c>
      <c r="CO274" s="379">
        <f t="shared" si="770"/>
        <v>5.7</v>
      </c>
      <c r="CP274" s="379">
        <f t="shared" si="771"/>
        <v>65.7</v>
      </c>
      <c r="CQ274" s="379"/>
      <c r="CR274" s="188">
        <f t="shared" si="660"/>
        <v>8.2568807339449546E-2</v>
      </c>
      <c r="CS274" s="149">
        <f t="shared" si="661"/>
        <v>9.2889908256880744</v>
      </c>
      <c r="CT274" s="149">
        <f t="shared" si="662"/>
        <v>4.1284403669724767</v>
      </c>
      <c r="CU274" s="188">
        <f t="shared" si="663"/>
        <v>1.857798165137615</v>
      </c>
      <c r="CV274" s="188">
        <f t="shared" si="664"/>
        <v>1.1611238532110093</v>
      </c>
      <c r="CW274" s="188">
        <f t="shared" si="665"/>
        <v>5</v>
      </c>
      <c r="CX274" s="188">
        <f t="shared" si="666"/>
        <v>1.8731851851851848</v>
      </c>
      <c r="CY274" s="188">
        <f t="shared" si="667"/>
        <v>0.37463703703703694</v>
      </c>
      <c r="CZ274" s="188">
        <f t="shared" si="668"/>
        <v>3.9435477582846001</v>
      </c>
      <c r="DA274" s="172">
        <f t="shared" si="669"/>
        <v>350</v>
      </c>
      <c r="DB274" s="379">
        <f t="shared" si="670"/>
        <v>231.5787877080688</v>
      </c>
      <c r="DD274" s="188">
        <f t="shared" si="671"/>
        <v>1.2393998695368558</v>
      </c>
      <c r="DE274" s="150">
        <f t="shared" si="672"/>
        <v>2.6092628832354858</v>
      </c>
      <c r="DF274" s="150">
        <f t="shared" si="673"/>
        <v>0.4244520101153616</v>
      </c>
      <c r="DG274" s="150"/>
      <c r="DH274" s="150">
        <f t="shared" si="674"/>
        <v>2.1052631578947367</v>
      </c>
      <c r="DI274" s="314">
        <f t="shared" si="675"/>
        <v>661.2</v>
      </c>
      <c r="DJ274" s="456">
        <f t="shared" si="676"/>
        <v>0.36842105263157893</v>
      </c>
      <c r="DL274" s="150">
        <f t="shared" si="677"/>
        <v>1.4864467059144129</v>
      </c>
      <c r="DM274" s="150">
        <f t="shared" si="678"/>
        <v>1.8731851851851848</v>
      </c>
      <c r="DN274" s="150">
        <f t="shared" si="679"/>
        <v>1.8468038408779146</v>
      </c>
      <c r="DP274" s="314">
        <f t="shared" si="680"/>
        <v>696</v>
      </c>
      <c r="DQ274" s="144">
        <f t="shared" si="681"/>
        <v>231.5787877080688</v>
      </c>
      <c r="DS274">
        <f t="shared" si="682"/>
        <v>696</v>
      </c>
      <c r="DT274">
        <f t="shared" si="683"/>
        <v>231.5787877080688</v>
      </c>
      <c r="DV274" s="5">
        <f t="shared" si="684"/>
        <v>4.3181847953216375</v>
      </c>
      <c r="DW274" s="5">
        <f t="shared" si="685"/>
        <v>0.37463703703703694</v>
      </c>
      <c r="DX274" s="5">
        <f t="shared" si="686"/>
        <v>3.9435477582846006</v>
      </c>
      <c r="DY274" s="150">
        <f t="shared" si="687"/>
        <v>8.675799086757989E-2</v>
      </c>
      <c r="EA274" s="5">
        <f t="shared" si="713"/>
        <v>5.214947555555554</v>
      </c>
      <c r="EB274" s="5">
        <f t="shared" si="714"/>
        <v>0.67902962962962943</v>
      </c>
      <c r="EC274" s="5">
        <f t="shared" si="715"/>
        <v>9.5302404158544476E-2</v>
      </c>
      <c r="ED274" s="5"/>
      <c r="EE274" s="150">
        <f t="shared" si="716"/>
        <v>0.3185479613596266</v>
      </c>
      <c r="EF274" s="150">
        <f t="shared" si="717"/>
        <v>1.0335060598013175</v>
      </c>
      <c r="EG274" s="150">
        <f t="shared" si="718"/>
        <v>0.23101900160264743</v>
      </c>
      <c r="EH274" s="150"/>
      <c r="EI274" s="456">
        <f t="shared" si="719"/>
        <v>2.0294560737274835E-3</v>
      </c>
      <c r="EJ274" s="456">
        <f t="shared" si="720"/>
        <v>0.56999999999999995</v>
      </c>
      <c r="EK274" s="456">
        <f t="shared" si="721"/>
        <v>2.8947348463508601E-2</v>
      </c>
      <c r="EL274" s="456">
        <f t="shared" si="722"/>
        <v>9.9960752135400205E-2</v>
      </c>
      <c r="EM274">
        <f t="shared" si="723"/>
        <v>2.7E-2</v>
      </c>
      <c r="EN274" s="144">
        <f t="shared" si="724"/>
        <v>55.947348463508604</v>
      </c>
      <c r="EP274" s="144">
        <f t="shared" si="725"/>
        <v>727.93755667263622</v>
      </c>
      <c r="EQ274" s="150">
        <f t="shared" si="726"/>
        <v>0.48719999999999991</v>
      </c>
      <c r="ER274" s="150">
        <f t="shared" si="772"/>
        <v>6.4343749999999991E-2</v>
      </c>
      <c r="ES274" s="456"/>
      <c r="EU274" s="144">
        <f t="shared" si="727"/>
        <v>551.54374999999993</v>
      </c>
      <c r="EV274" s="456">
        <f t="shared" si="728"/>
        <v>3.0441841105912247E-3</v>
      </c>
      <c r="EW274" s="456">
        <f t="shared" si="729"/>
        <v>3.2044043269381331E-2</v>
      </c>
      <c r="EX274" s="456">
        <f t="shared" si="730"/>
        <v>2.6684889550742009E-4</v>
      </c>
      <c r="EY274" s="456">
        <f t="shared" si="731"/>
        <v>0.19596058643252512</v>
      </c>
      <c r="EZ274" s="456"/>
      <c r="FA274" s="538">
        <f t="shared" si="732"/>
        <v>8.12568915947911E-4</v>
      </c>
      <c r="FB274" s="144">
        <f t="shared" si="733"/>
        <v>232.12823162395298</v>
      </c>
      <c r="FC274" s="150">
        <f t="shared" si="734"/>
        <v>1.5116095382965891</v>
      </c>
      <c r="FD274" s="5">
        <f t="shared" si="735"/>
        <v>4.6399999999999997</v>
      </c>
      <c r="FE274" s="150">
        <f t="shared" si="736"/>
        <v>0.7542741409567485</v>
      </c>
      <c r="FF274" s="5">
        <f t="shared" si="737"/>
        <v>75.427414095674848</v>
      </c>
      <c r="FG274">
        <f t="shared" si="738"/>
        <v>57.999999999999993</v>
      </c>
      <c r="FI274" s="59">
        <f t="shared" si="689"/>
        <v>-50</v>
      </c>
    </row>
    <row r="275" spans="5:165">
      <c r="E275" s="147">
        <v>59</v>
      </c>
      <c r="F275" s="188">
        <f t="shared" si="773"/>
        <v>0.70799999999999996</v>
      </c>
      <c r="G275" s="188">
        <f t="shared" si="742"/>
        <v>0.14749999999999999</v>
      </c>
      <c r="H275" s="188">
        <f t="shared" si="743"/>
        <v>3.54</v>
      </c>
      <c r="I275" s="188">
        <f t="shared" si="744"/>
        <v>1.18</v>
      </c>
      <c r="J275" s="465">
        <f t="shared" si="745"/>
        <v>59.936517096796479</v>
      </c>
      <c r="K275" s="379">
        <f t="shared" si="746"/>
        <v>5.7241479287550279</v>
      </c>
      <c r="L275" s="149">
        <f t="shared" si="747"/>
        <v>65.660665025551509</v>
      </c>
      <c r="M275" s="379"/>
      <c r="N275" s="188">
        <f t="shared" si="748"/>
        <v>8.7177733069372737E-2</v>
      </c>
      <c r="O275" s="149">
        <f t="shared" si="749"/>
        <v>9.797118166073286</v>
      </c>
      <c r="P275" s="149">
        <f t="shared" si="750"/>
        <v>4.354274740477015</v>
      </c>
      <c r="Q275" s="188">
        <f t="shared" si="626"/>
        <v>1.9594236332146573</v>
      </c>
      <c r="R275" s="188">
        <f t="shared" si="751"/>
        <v>1.2246397707591608</v>
      </c>
      <c r="S275" s="188">
        <f t="shared" si="752"/>
        <v>5</v>
      </c>
      <c r="T275" s="188">
        <f t="shared" si="753"/>
        <v>1.8066537220397958</v>
      </c>
      <c r="U275" s="188">
        <f t="shared" si="630"/>
        <v>0.36171345474520916</v>
      </c>
      <c r="V275" s="188">
        <f t="shared" si="631"/>
        <v>3.7874361274923936</v>
      </c>
      <c r="W275" s="172">
        <f t="shared" si="632"/>
        <v>350</v>
      </c>
      <c r="X275" s="379">
        <f t="shared" si="691"/>
        <v>229.93000840534623</v>
      </c>
      <c r="Z275" s="188">
        <f t="shared" si="633"/>
        <v>1.2440784972791474</v>
      </c>
      <c r="AA275" s="150">
        <f t="shared" si="634"/>
        <v>2.6080636198017926</v>
      </c>
      <c r="AB275" s="150">
        <f t="shared" si="754"/>
        <v>0.42585845779724996</v>
      </c>
      <c r="AC275" s="150"/>
      <c r="AD275" s="150">
        <f t="shared" si="636"/>
        <v>2.096381880649604</v>
      </c>
      <c r="AE275" s="314">
        <f t="shared" si="755"/>
        <v>675.44945559309326</v>
      </c>
      <c r="AF275" s="456">
        <f t="shared" si="756"/>
        <v>0.36686682911368068</v>
      </c>
      <c r="AH275" s="150">
        <f t="shared" si="757"/>
        <v>1.4992061391346581</v>
      </c>
      <c r="AI275" s="150">
        <f t="shared" si="758"/>
        <v>1.8066537220397958</v>
      </c>
      <c r="AJ275" s="150">
        <f t="shared" si="759"/>
        <v>1.7975212755850338</v>
      </c>
      <c r="AL275" s="314">
        <f t="shared" si="760"/>
        <v>708</v>
      </c>
      <c r="AM275" s="144">
        <f t="shared" si="761"/>
        <v>229.93000840534623</v>
      </c>
      <c r="AO275">
        <f t="shared" si="644"/>
        <v>708</v>
      </c>
      <c r="AP275">
        <f t="shared" si="645"/>
        <v>229.93000840534623</v>
      </c>
      <c r="AR275" s="5">
        <f t="shared" si="774"/>
        <v>4.3491495822376027</v>
      </c>
      <c r="AS275" s="5">
        <f t="shared" si="739"/>
        <v>0.36171345474520916</v>
      </c>
      <c r="AT275" s="5">
        <f t="shared" si="740"/>
        <v>3.9874361274923937</v>
      </c>
      <c r="AU275" s="150">
        <f t="shared" si="741"/>
        <v>8.3168777689892767E-2</v>
      </c>
      <c r="BA275" s="150">
        <f t="shared" si="692"/>
        <v>0.30081151169776738</v>
      </c>
      <c r="BB275" s="150">
        <f t="shared" si="693"/>
        <v>0.99875505416335852</v>
      </c>
      <c r="BC275" s="150">
        <f t="shared" si="694"/>
        <v>0.2232511297541625</v>
      </c>
      <c r="BD275" s="150"/>
      <c r="BE275" s="456">
        <f t="shared" si="695"/>
        <v>1.8097513113979208E-3</v>
      </c>
      <c r="BF275" s="456">
        <f t="shared" si="762"/>
        <v>0.51141931291796083</v>
      </c>
      <c r="BG275" s="456">
        <f t="shared" si="763"/>
        <v>0.3445300969963398</v>
      </c>
      <c r="BH275" s="456">
        <f t="shared" si="696"/>
        <v>9.9130251790041729E-2</v>
      </c>
      <c r="BI275">
        <f t="shared" si="697"/>
        <v>2.6971432693558416E-2</v>
      </c>
      <c r="BJ275" s="144">
        <f t="shared" si="698"/>
        <v>371.50152968989818</v>
      </c>
      <c r="BK275">
        <f t="shared" si="764"/>
        <v>0.61311158496147034</v>
      </c>
      <c r="BL275" s="144">
        <f t="shared" si="699"/>
        <v>983.8608457092987</v>
      </c>
      <c r="BM275" s="150">
        <f t="shared" si="765"/>
        <v>0.43984499999999993</v>
      </c>
      <c r="BN275" s="150">
        <f t="shared" si="766"/>
        <v>6.5453124999999987E-2</v>
      </c>
      <c r="BQ275" s="144">
        <f t="shared" si="700"/>
        <v>505.29812499999991</v>
      </c>
      <c r="BR275" s="456">
        <f t="shared" si="701"/>
        <v>2.7146269670968812E-3</v>
      </c>
      <c r="BS275" s="456">
        <f t="shared" si="702"/>
        <v>2.9925349746505594E-2</v>
      </c>
      <c r="BT275" s="456">
        <f t="shared" si="703"/>
        <v>2.4920533468254953E-4</v>
      </c>
      <c r="BU275" s="456">
        <f t="shared" si="704"/>
        <v>0.17585164797840275</v>
      </c>
      <c r="BV275" s="456"/>
      <c r="BW275" s="538">
        <f t="shared" si="705"/>
        <v>7.5049101201089222E-4</v>
      </c>
      <c r="BX275" s="144">
        <f t="shared" si="706"/>
        <v>209.49132103869866</v>
      </c>
      <c r="BY275" s="150">
        <f t="shared" si="707"/>
        <v>1.6986502917479969</v>
      </c>
      <c r="BZ275" s="5">
        <f t="shared" si="708"/>
        <v>4.72</v>
      </c>
      <c r="CA275" s="150">
        <f t="shared" si="709"/>
        <v>0.73535708995833104</v>
      </c>
      <c r="CB275" s="5">
        <f t="shared" si="710"/>
        <v>73.535708995833104</v>
      </c>
      <c r="CC275">
        <f t="shared" si="711"/>
        <v>59</v>
      </c>
      <c r="CE275" s="59">
        <f t="shared" si="767"/>
        <v>-50</v>
      </c>
      <c r="CG275" s="150">
        <f t="shared" si="768"/>
        <v>0.87957854338036046</v>
      </c>
      <c r="CH275" s="150">
        <f t="shared" si="769"/>
        <v>0.47330172420499944</v>
      </c>
      <c r="CI275" s="147">
        <v>59</v>
      </c>
      <c r="CJ275" s="188">
        <f t="shared" si="712"/>
        <v>0.70799999999999996</v>
      </c>
      <c r="CK275" s="188">
        <f t="shared" si="654"/>
        <v>0.14749999999999999</v>
      </c>
      <c r="CL275" s="188">
        <f t="shared" si="655"/>
        <v>3.54</v>
      </c>
      <c r="CM275" s="188">
        <f t="shared" si="656"/>
        <v>1.18</v>
      </c>
      <c r="CN275" s="465">
        <f t="shared" si="657"/>
        <v>60</v>
      </c>
      <c r="CO275" s="379">
        <f t="shared" si="770"/>
        <v>5.7</v>
      </c>
      <c r="CP275" s="379">
        <f t="shared" si="771"/>
        <v>65.7</v>
      </c>
      <c r="CQ275" s="379"/>
      <c r="CR275" s="188">
        <f t="shared" si="660"/>
        <v>8.2568807339449546E-2</v>
      </c>
      <c r="CS275" s="149">
        <f t="shared" si="661"/>
        <v>9.2889908256880744</v>
      </c>
      <c r="CT275" s="149">
        <f t="shared" si="662"/>
        <v>4.1284403669724767</v>
      </c>
      <c r="CU275" s="188">
        <f t="shared" si="663"/>
        <v>1.857798165137615</v>
      </c>
      <c r="CV275" s="188">
        <f t="shared" si="664"/>
        <v>1.1611238532110093</v>
      </c>
      <c r="CW275" s="188">
        <f t="shared" si="665"/>
        <v>5</v>
      </c>
      <c r="CX275" s="188">
        <f t="shared" si="666"/>
        <v>1.9054814814814811</v>
      </c>
      <c r="CY275" s="188">
        <f t="shared" si="667"/>
        <v>0.38109629629629621</v>
      </c>
      <c r="CZ275" s="188">
        <f t="shared" si="668"/>
        <v>4.0115399610136437</v>
      </c>
      <c r="DA275" s="172">
        <f t="shared" si="669"/>
        <v>350</v>
      </c>
      <c r="DB275" s="379">
        <f t="shared" si="670"/>
        <v>227.65372350962704</v>
      </c>
      <c r="DD275" s="188">
        <f t="shared" si="671"/>
        <v>1.2393998695368558</v>
      </c>
      <c r="DE275" s="150">
        <f t="shared" si="672"/>
        <v>2.6092628832354858</v>
      </c>
      <c r="DF275" s="150">
        <f t="shared" si="673"/>
        <v>0.4244520101153616</v>
      </c>
      <c r="DG275" s="150"/>
      <c r="DH275" s="150">
        <f t="shared" si="674"/>
        <v>2.1052631578947367</v>
      </c>
      <c r="DI275" s="314">
        <f t="shared" si="675"/>
        <v>672.6</v>
      </c>
      <c r="DJ275" s="456">
        <f t="shared" si="676"/>
        <v>0.36842105263157893</v>
      </c>
      <c r="DL275" s="150">
        <f t="shared" si="677"/>
        <v>1.4992061391346581</v>
      </c>
      <c r="DM275" s="150">
        <f t="shared" si="678"/>
        <v>1.9054814814814811</v>
      </c>
      <c r="DN275" s="150">
        <f t="shared" si="679"/>
        <v>1.8707270233196156</v>
      </c>
      <c r="DP275" s="314">
        <f t="shared" si="680"/>
        <v>708</v>
      </c>
      <c r="DQ275" s="144">
        <f t="shared" si="681"/>
        <v>227.65372350962704</v>
      </c>
      <c r="DS275">
        <f t="shared" si="682"/>
        <v>708</v>
      </c>
      <c r="DT275">
        <f t="shared" si="683"/>
        <v>227.65372350962704</v>
      </c>
      <c r="DV275" s="5">
        <f t="shared" si="684"/>
        <v>4.39263625730994</v>
      </c>
      <c r="DW275" s="5">
        <f t="shared" si="685"/>
        <v>0.38109629629629621</v>
      </c>
      <c r="DX275" s="5">
        <f t="shared" si="686"/>
        <v>4.0115399610136437</v>
      </c>
      <c r="DY275" s="150">
        <f t="shared" si="687"/>
        <v>8.6757990867579918E-2</v>
      </c>
      <c r="EA275" s="5">
        <f t="shared" si="713"/>
        <v>5.3963235555555542</v>
      </c>
      <c r="EB275" s="5">
        <f t="shared" si="714"/>
        <v>0.70264629629629616</v>
      </c>
      <c r="EC275" s="5">
        <f t="shared" si="715"/>
        <v>9.8617024041585399E-2</v>
      </c>
      <c r="ED275" s="5"/>
      <c r="EE275" s="150">
        <f t="shared" si="716"/>
        <v>0.32404016758996507</v>
      </c>
      <c r="EF275" s="150">
        <f t="shared" si="717"/>
        <v>1.0513251297978918</v>
      </c>
      <c r="EG275" s="150">
        <f t="shared" si="718"/>
        <v>0.23500208783717583</v>
      </c>
      <c r="EH275" s="150"/>
      <c r="EI275" s="456">
        <f t="shared" si="719"/>
        <v>2.1000406042346528E-3</v>
      </c>
      <c r="EJ275" s="456">
        <f t="shared" si="720"/>
        <v>0.57000000000000017</v>
      </c>
      <c r="EK275" s="456">
        <f t="shared" si="721"/>
        <v>2.845671543870338E-2</v>
      </c>
      <c r="EL275" s="456">
        <f t="shared" si="722"/>
        <v>9.8266502099207037E-2</v>
      </c>
      <c r="EM275">
        <f t="shared" si="723"/>
        <v>2.7E-2</v>
      </c>
      <c r="EN275" s="144">
        <f t="shared" si="724"/>
        <v>55.456715438703384</v>
      </c>
      <c r="EP275" s="144">
        <f t="shared" si="725"/>
        <v>725.82325814214528</v>
      </c>
      <c r="EQ275" s="150">
        <f t="shared" si="726"/>
        <v>0.49559999999999993</v>
      </c>
      <c r="ER275" s="150">
        <f t="shared" si="772"/>
        <v>6.5453124999999987E-2</v>
      </c>
      <c r="ES275" s="456"/>
      <c r="EU275" s="144">
        <f t="shared" si="727"/>
        <v>561.05312499999991</v>
      </c>
      <c r="EV275" s="456">
        <f t="shared" si="728"/>
        <v>3.1500609063519792E-3</v>
      </c>
      <c r="EW275" s="456">
        <f t="shared" si="729"/>
        <v>3.3158535856336623E-2</v>
      </c>
      <c r="EX275" s="456">
        <f t="shared" si="730"/>
        <v>2.761299064391585E-4</v>
      </c>
      <c r="EY275" s="456">
        <f t="shared" si="731"/>
        <v>0.19596058643252515</v>
      </c>
      <c r="EZ275" s="456"/>
      <c r="FA275" s="538">
        <f t="shared" si="732"/>
        <v>8.2657872484356507E-4</v>
      </c>
      <c r="FB275" s="144">
        <f t="shared" si="733"/>
        <v>233.37189182649649</v>
      </c>
      <c r="FC275" s="150">
        <f t="shared" si="734"/>
        <v>1.5202482749686415</v>
      </c>
      <c r="FD275" s="5">
        <f t="shared" si="735"/>
        <v>4.72</v>
      </c>
      <c r="FE275" s="150">
        <f t="shared" si="736"/>
        <v>0.75638016181715451</v>
      </c>
      <c r="FF275" s="5">
        <f t="shared" si="737"/>
        <v>75.638016181715457</v>
      </c>
      <c r="FG275">
        <f t="shared" si="738"/>
        <v>59</v>
      </c>
      <c r="FI275" s="59">
        <f t="shared" si="689"/>
        <v>-50</v>
      </c>
    </row>
    <row r="276" spans="5:165">
      <c r="E276" s="147">
        <v>60</v>
      </c>
      <c r="F276" s="188">
        <f t="shared" si="773"/>
        <v>0.72</v>
      </c>
      <c r="G276" s="188">
        <f t="shared" si="742"/>
        <v>0.15</v>
      </c>
      <c r="H276" s="188">
        <f t="shared" si="743"/>
        <v>3.5999999999999996</v>
      </c>
      <c r="I276" s="188">
        <f t="shared" si="744"/>
        <v>1.2</v>
      </c>
      <c r="J276" s="465">
        <f t="shared" si="745"/>
        <v>59.935441115386247</v>
      </c>
      <c r="K276" s="379">
        <f t="shared" si="746"/>
        <v>5.7245572156830793</v>
      </c>
      <c r="L276" s="149">
        <f t="shared" si="747"/>
        <v>65.659998331069332</v>
      </c>
      <c r="M276" s="379"/>
      <c r="N276" s="188">
        <f t="shared" si="748"/>
        <v>8.7184851678168626E-2</v>
      </c>
      <c r="O276" s="149">
        <f t="shared" si="749"/>
        <v>9.7977422698322982</v>
      </c>
      <c r="P276" s="149">
        <f t="shared" si="750"/>
        <v>4.354552119925466</v>
      </c>
      <c r="Q276" s="188">
        <f t="shared" si="626"/>
        <v>1.9595484539664596</v>
      </c>
      <c r="R276" s="188">
        <f t="shared" si="751"/>
        <v>1.2247177837290373</v>
      </c>
      <c r="S276" s="188">
        <f t="shared" si="752"/>
        <v>5</v>
      </c>
      <c r="T276" s="188">
        <f t="shared" si="753"/>
        <v>1.8371579394798769</v>
      </c>
      <c r="U276" s="188">
        <f t="shared" si="630"/>
        <v>0.36782736330106097</v>
      </c>
      <c r="V276" s="188">
        <f t="shared" si="631"/>
        <v>3.851109254941373</v>
      </c>
      <c r="W276" s="172">
        <f t="shared" si="632"/>
        <v>350</v>
      </c>
      <c r="X276" s="379">
        <f t="shared" si="691"/>
        <v>226.29878778341359</v>
      </c>
      <c r="Z276" s="188">
        <f t="shared" si="633"/>
        <v>1.2441577485501332</v>
      </c>
      <c r="AA276" s="150">
        <f t="shared" si="634"/>
        <v>2.6080432809195178</v>
      </c>
      <c r="AB276" s="150">
        <f t="shared" si="754"/>
        <v>0.42588226491695447</v>
      </c>
      <c r="AC276" s="150"/>
      <c r="AD276" s="150">
        <f t="shared" si="636"/>
        <v>2.0962319962711922</v>
      </c>
      <c r="AE276" s="314">
        <f t="shared" si="755"/>
        <v>686.94686588196953</v>
      </c>
      <c r="AF276" s="456">
        <f t="shared" si="756"/>
        <v>0.36684059934745861</v>
      </c>
      <c r="AH276" s="150">
        <f t="shared" si="757"/>
        <v>1.5118578920369088</v>
      </c>
      <c r="AI276" s="150">
        <f t="shared" si="758"/>
        <v>1.8371579394798769</v>
      </c>
      <c r="AJ276" s="150">
        <f t="shared" si="759"/>
        <v>1.8201169922073162</v>
      </c>
      <c r="AL276" s="314">
        <f t="shared" si="760"/>
        <v>720</v>
      </c>
      <c r="AM276" s="144">
        <f t="shared" si="761"/>
        <v>226.29878778341359</v>
      </c>
      <c r="AO276">
        <f t="shared" si="644"/>
        <v>720</v>
      </c>
      <c r="AP276">
        <f t="shared" si="645"/>
        <v>226.29878778341359</v>
      </c>
      <c r="AR276" s="5">
        <f t="shared" si="774"/>
        <v>4.4189366182424346</v>
      </c>
      <c r="AS276" s="5">
        <f t="shared" si="739"/>
        <v>0.36782736330106097</v>
      </c>
      <c r="AT276" s="5">
        <f t="shared" si="740"/>
        <v>4.0511092549413732</v>
      </c>
      <c r="AU276" s="150">
        <f t="shared" si="741"/>
        <v>8.3238886428599362E-2</v>
      </c>
      <c r="BA276" s="150">
        <f t="shared" si="692"/>
        <v>0.30601942684099476</v>
      </c>
      <c r="BB276" s="150">
        <f t="shared" si="693"/>
        <v>1.0155795760355553</v>
      </c>
      <c r="BC276" s="150">
        <f t="shared" si="694"/>
        <v>0.22701190523147707</v>
      </c>
      <c r="BD276" s="150"/>
      <c r="BE276" s="456">
        <f t="shared" si="695"/>
        <v>1.8729577920818189E-3</v>
      </c>
      <c r="BF276" s="456">
        <f t="shared" si="762"/>
        <v>0.51183603797706778</v>
      </c>
      <c r="BG276" s="456">
        <f t="shared" si="763"/>
        <v>0.33908294174190184</v>
      </c>
      <c r="BH276" s="456">
        <f t="shared" si="696"/>
        <v>9.7562734053215638E-2</v>
      </c>
      <c r="BI276">
        <f t="shared" si="697"/>
        <v>2.697094850192381E-2</v>
      </c>
      <c r="BJ276" s="144">
        <f t="shared" si="698"/>
        <v>366.05389024382566</v>
      </c>
      <c r="BK276">
        <f t="shared" si="764"/>
        <v>0.6120497996278933</v>
      </c>
      <c r="BL276" s="144">
        <f t="shared" si="699"/>
        <v>977.32562006619105</v>
      </c>
      <c r="BM276" s="150">
        <f t="shared" si="765"/>
        <v>0.44729999999999998</v>
      </c>
      <c r="BN276" s="150">
        <f t="shared" si="766"/>
        <v>6.6562499999999997E-2</v>
      </c>
      <c r="BQ276" s="144">
        <f t="shared" si="700"/>
        <v>513.86249999999995</v>
      </c>
      <c r="BR276" s="456">
        <f t="shared" si="701"/>
        <v>2.8094366881227283E-3</v>
      </c>
      <c r="BS276" s="456">
        <f t="shared" si="702"/>
        <v>3.0942056257816746E-2</v>
      </c>
      <c r="BT276" s="456">
        <f t="shared" si="703"/>
        <v>2.5767202558412566E-4</v>
      </c>
      <c r="BU276" s="456">
        <f t="shared" si="704"/>
        <v>0.17621456746184741</v>
      </c>
      <c r="BV276" s="456"/>
      <c r="BW276" s="538">
        <f t="shared" si="705"/>
        <v>7.6379219395465367E-4</v>
      </c>
      <c r="BX276" s="144">
        <f t="shared" si="706"/>
        <v>210.98752462732566</v>
      </c>
      <c r="BY276" s="150">
        <f t="shared" si="707"/>
        <v>1.7021756446935168</v>
      </c>
      <c r="BZ276" s="5">
        <f t="shared" si="708"/>
        <v>4.8</v>
      </c>
      <c r="CA276" s="150">
        <f t="shared" si="709"/>
        <v>0.73821444733153629</v>
      </c>
      <c r="CB276" s="5">
        <f t="shared" si="710"/>
        <v>73.821444733153626</v>
      </c>
      <c r="CC276">
        <f t="shared" si="711"/>
        <v>60</v>
      </c>
      <c r="CE276" s="59">
        <f t="shared" si="767"/>
        <v>-50</v>
      </c>
      <c r="CG276" s="150">
        <f t="shared" si="768"/>
        <v>0.87957854338036034</v>
      </c>
      <c r="CH276" s="150">
        <f t="shared" si="769"/>
        <v>0.47330172420499939</v>
      </c>
      <c r="CI276" s="147">
        <v>60</v>
      </c>
      <c r="CJ276" s="188">
        <f t="shared" si="712"/>
        <v>0.72</v>
      </c>
      <c r="CK276" s="188">
        <f t="shared" si="654"/>
        <v>0.15</v>
      </c>
      <c r="CL276" s="188">
        <f t="shared" si="655"/>
        <v>3.5999999999999996</v>
      </c>
      <c r="CM276" s="188">
        <f t="shared" si="656"/>
        <v>1.2</v>
      </c>
      <c r="CN276" s="465">
        <f t="shared" si="657"/>
        <v>60</v>
      </c>
      <c r="CO276" s="379">
        <f t="shared" si="770"/>
        <v>5.7</v>
      </c>
      <c r="CP276" s="379">
        <f t="shared" si="771"/>
        <v>65.7</v>
      </c>
      <c r="CQ276" s="379"/>
      <c r="CR276" s="188">
        <f t="shared" si="660"/>
        <v>8.2568807339449546E-2</v>
      </c>
      <c r="CS276" s="149">
        <f t="shared" si="661"/>
        <v>9.2889908256880744</v>
      </c>
      <c r="CT276" s="149">
        <f t="shared" si="662"/>
        <v>4.1284403669724767</v>
      </c>
      <c r="CU276" s="188">
        <f t="shared" si="663"/>
        <v>1.857798165137615</v>
      </c>
      <c r="CV276" s="188">
        <f t="shared" si="664"/>
        <v>1.1611238532110093</v>
      </c>
      <c r="CW276" s="188">
        <f t="shared" si="665"/>
        <v>5</v>
      </c>
      <c r="CX276" s="188">
        <f t="shared" si="666"/>
        <v>1.9377777777777776</v>
      </c>
      <c r="CY276" s="188">
        <f t="shared" si="667"/>
        <v>0.38755555555555554</v>
      </c>
      <c r="CZ276" s="188">
        <f t="shared" si="668"/>
        <v>4.07953216374269</v>
      </c>
      <c r="DA276" s="172">
        <f t="shared" si="669"/>
        <v>350</v>
      </c>
      <c r="DB276" s="379">
        <f t="shared" si="670"/>
        <v>223.85949478446653</v>
      </c>
      <c r="DD276" s="188">
        <f t="shared" si="671"/>
        <v>1.2393998695368558</v>
      </c>
      <c r="DE276" s="150">
        <f t="shared" si="672"/>
        <v>2.6092628832354858</v>
      </c>
      <c r="DF276" s="150">
        <f t="shared" si="673"/>
        <v>0.4244520101153616</v>
      </c>
      <c r="DG276" s="150"/>
      <c r="DH276" s="150">
        <f t="shared" si="674"/>
        <v>2.1052631578947367</v>
      </c>
      <c r="DI276" s="314">
        <f t="shared" si="675"/>
        <v>684</v>
      </c>
      <c r="DJ276" s="456">
        <f t="shared" si="676"/>
        <v>0.36842105263157893</v>
      </c>
      <c r="DL276" s="150">
        <f t="shared" si="677"/>
        <v>1.5118578920369088</v>
      </c>
      <c r="DM276" s="150">
        <f t="shared" si="678"/>
        <v>1.9377777777777776</v>
      </c>
      <c r="DN276" s="150">
        <f t="shared" si="679"/>
        <v>1.8946502057613168</v>
      </c>
      <c r="DP276" s="314">
        <f t="shared" si="680"/>
        <v>720</v>
      </c>
      <c r="DQ276" s="144">
        <f t="shared" si="681"/>
        <v>223.85949478446653</v>
      </c>
      <c r="DS276">
        <f t="shared" si="682"/>
        <v>720</v>
      </c>
      <c r="DT276">
        <f t="shared" si="683"/>
        <v>223.85949478446653</v>
      </c>
      <c r="DV276" s="5">
        <f t="shared" si="684"/>
        <v>4.4670877192982452</v>
      </c>
      <c r="DW276" s="5">
        <f t="shared" si="685"/>
        <v>0.38755555555555554</v>
      </c>
      <c r="DX276" s="5">
        <f t="shared" si="686"/>
        <v>4.07953216374269</v>
      </c>
      <c r="DY276" s="150">
        <f t="shared" si="687"/>
        <v>8.6757990867579918E-2</v>
      </c>
      <c r="EA276" s="5">
        <f t="shared" si="713"/>
        <v>5.5807999999999991</v>
      </c>
      <c r="EB276" s="5">
        <f t="shared" si="714"/>
        <v>0.72666666666666657</v>
      </c>
      <c r="EC276" s="5">
        <f t="shared" si="715"/>
        <v>0.10198830409356723</v>
      </c>
      <c r="ED276" s="5"/>
      <c r="EE276" s="150">
        <f t="shared" si="716"/>
        <v>0.32953237382030348</v>
      </c>
      <c r="EF276" s="150">
        <f t="shared" si="717"/>
        <v>1.0691441997944664</v>
      </c>
      <c r="EG276" s="150">
        <f t="shared" si="718"/>
        <v>0.23898517407170428</v>
      </c>
      <c r="EH276" s="150"/>
      <c r="EI276" s="456">
        <f t="shared" si="719"/>
        <v>2.1718317079128845E-3</v>
      </c>
      <c r="EJ276" s="456">
        <f t="shared" si="720"/>
        <v>0.57000000000000006</v>
      </c>
      <c r="EK276" s="456">
        <f t="shared" si="721"/>
        <v>2.7982436848058314E-2</v>
      </c>
      <c r="EL276" s="456">
        <f t="shared" si="722"/>
        <v>9.662872706422021E-2</v>
      </c>
      <c r="EM276">
        <f t="shared" si="723"/>
        <v>2.7E-2</v>
      </c>
      <c r="EN276" s="144">
        <f t="shared" si="724"/>
        <v>54.982436848058313</v>
      </c>
      <c r="EP276" s="144">
        <f t="shared" si="725"/>
        <v>723.78299562019151</v>
      </c>
      <c r="EQ276" s="150">
        <f t="shared" si="726"/>
        <v>0.504</v>
      </c>
      <c r="ER276" s="150">
        <f t="shared" si="772"/>
        <v>6.6562499999999997E-2</v>
      </c>
      <c r="ES276" s="456"/>
      <c r="EU276" s="144">
        <f t="shared" si="727"/>
        <v>570.5625</v>
      </c>
      <c r="EV276" s="456">
        <f t="shared" si="728"/>
        <v>3.2577475618693267E-3</v>
      </c>
      <c r="EW276" s="456">
        <f t="shared" si="729"/>
        <v>3.42920795986245E-2</v>
      </c>
      <c r="EX276" s="456">
        <f t="shared" si="730"/>
        <v>2.8556956713041398E-4</v>
      </c>
      <c r="EY276" s="456">
        <f t="shared" si="731"/>
        <v>0.19596058643252567</v>
      </c>
      <c r="EZ276" s="456"/>
      <c r="FA276" s="538">
        <f t="shared" si="732"/>
        <v>8.405885337392187E-4</v>
      </c>
      <c r="FB276" s="144">
        <f t="shared" si="733"/>
        <v>234.63657169388912</v>
      </c>
      <c r="FC276" s="150">
        <f t="shared" si="734"/>
        <v>1.528982067314081</v>
      </c>
      <c r="FD276" s="5">
        <f t="shared" si="735"/>
        <v>4.8</v>
      </c>
      <c r="FE276" s="150">
        <f t="shared" si="736"/>
        <v>0.75841580035271661</v>
      </c>
      <c r="FF276" s="5">
        <f t="shared" si="737"/>
        <v>75.841580035271662</v>
      </c>
      <c r="FG276">
        <f t="shared" si="738"/>
        <v>60</v>
      </c>
      <c r="FI276" s="59">
        <f t="shared" si="689"/>
        <v>-50</v>
      </c>
    </row>
    <row r="277" spans="5:165">
      <c r="E277" s="147">
        <v>61</v>
      </c>
      <c r="F277" s="188">
        <f t="shared" si="773"/>
        <v>0.73199999999999998</v>
      </c>
      <c r="G277" s="188">
        <f t="shared" si="742"/>
        <v>0.1525</v>
      </c>
      <c r="H277" s="188">
        <f t="shared" si="743"/>
        <v>3.66</v>
      </c>
      <c r="I277" s="188">
        <f t="shared" si="744"/>
        <v>1.22</v>
      </c>
      <c r="J277" s="465">
        <f t="shared" si="745"/>
        <v>59.934365133976016</v>
      </c>
      <c r="K277" s="379">
        <f t="shared" si="746"/>
        <v>5.7249665026111307</v>
      </c>
      <c r="L277" s="149">
        <f t="shared" si="747"/>
        <v>65.65933163658714</v>
      </c>
      <c r="M277" s="379"/>
      <c r="N277" s="188">
        <f t="shared" si="748"/>
        <v>8.7191970431526988E-2</v>
      </c>
      <c r="O277" s="149">
        <f t="shared" si="749"/>
        <v>9.7983663611137111</v>
      </c>
      <c r="P277" s="149">
        <f t="shared" si="750"/>
        <v>4.3548294938283156</v>
      </c>
      <c r="Q277" s="188">
        <f t="shared" si="626"/>
        <v>1.9596732722227421</v>
      </c>
      <c r="R277" s="188">
        <f t="shared" si="751"/>
        <v>1.2247957951392139</v>
      </c>
      <c r="S277" s="188">
        <f t="shared" si="752"/>
        <v>5</v>
      </c>
      <c r="T277" s="188">
        <f t="shared" si="753"/>
        <v>1.8676582733858882</v>
      </c>
      <c r="U277" s="188">
        <f t="shared" si="630"/>
        <v>0.37394071382138733</v>
      </c>
      <c r="V277" s="188">
        <f t="shared" si="631"/>
        <v>3.9147651379983963</v>
      </c>
      <c r="W277" s="172">
        <f t="shared" si="632"/>
        <v>350</v>
      </c>
      <c r="X277" s="379">
        <f t="shared" si="691"/>
        <v>222.7813612679891</v>
      </c>
      <c r="Z277" s="188">
        <f t="shared" si="633"/>
        <v>1.2442369982366615</v>
      </c>
      <c r="AA277" s="150">
        <f t="shared" si="634"/>
        <v>2.6080229416242084</v>
      </c>
      <c r="AB277" s="150">
        <f t="shared" si="754"/>
        <v>0.42590607100372446</v>
      </c>
      <c r="AC277" s="150"/>
      <c r="AD277" s="150">
        <f t="shared" si="636"/>
        <v>2.0960821333237245</v>
      </c>
      <c r="AE277" s="314">
        <f t="shared" si="755"/>
        <v>698.44591331855793</v>
      </c>
      <c r="AF277" s="456">
        <f t="shared" si="756"/>
        <v>0.36681437333165179</v>
      </c>
      <c r="AH277" s="150">
        <f t="shared" si="757"/>
        <v>1.5244046456927123</v>
      </c>
      <c r="AI277" s="150">
        <f t="shared" si="758"/>
        <v>1.8676582733858882</v>
      </c>
      <c r="AJ277" s="150">
        <f t="shared" si="759"/>
        <v>1.8427098321376949</v>
      </c>
      <c r="AL277" s="314">
        <f t="shared" si="760"/>
        <v>732</v>
      </c>
      <c r="AM277" s="144">
        <f t="shared" si="761"/>
        <v>222.7813612679891</v>
      </c>
      <c r="AO277">
        <f t="shared" si="644"/>
        <v>732</v>
      </c>
      <c r="AP277">
        <f t="shared" si="645"/>
        <v>222.7813612679891</v>
      </c>
      <c r="AR277" s="5">
        <f t="shared" si="774"/>
        <v>4.488705851819784</v>
      </c>
      <c r="AS277" s="5">
        <f t="shared" si="739"/>
        <v>0.37394071382138733</v>
      </c>
      <c r="AT277" s="5">
        <f t="shared" si="740"/>
        <v>4.1147651379983969</v>
      </c>
      <c r="AU277" s="150">
        <f t="shared" si="741"/>
        <v>8.3307021258652206E-2</v>
      </c>
      <c r="BA277" s="150">
        <f t="shared" si="692"/>
        <v>0.31122723305398631</v>
      </c>
      <c r="BB277" s="150">
        <f t="shared" si="693"/>
        <v>1.0324017716573066</v>
      </c>
      <c r="BC277" s="150">
        <f t="shared" si="694"/>
        <v>0.23077216072339796</v>
      </c>
      <c r="BD277" s="150"/>
      <c r="BE277" s="456">
        <f t="shared" si="695"/>
        <v>1.9372478118888062E-3</v>
      </c>
      <c r="BF277" s="456">
        <f t="shared" si="762"/>
        <v>0.51224060176363606</v>
      </c>
      <c r="BG277" s="456">
        <f t="shared" si="763"/>
        <v>0.33380648628199699</v>
      </c>
      <c r="BH277" s="456">
        <f t="shared" si="696"/>
        <v>9.6044338240954999E-2</v>
      </c>
      <c r="BI277">
        <f t="shared" si="697"/>
        <v>2.6970464310289207E-2</v>
      </c>
      <c r="BJ277" s="144">
        <f t="shared" si="698"/>
        <v>360.7769505922862</v>
      </c>
      <c r="BK277">
        <f t="shared" si="764"/>
        <v>0.61102649415963273</v>
      </c>
      <c r="BL277" s="144">
        <f t="shared" si="699"/>
        <v>970.99913840876604</v>
      </c>
      <c r="BM277" s="150">
        <f t="shared" si="765"/>
        <v>0.45475499999999996</v>
      </c>
      <c r="BN277" s="150">
        <f t="shared" si="766"/>
        <v>6.7671874999999992E-2</v>
      </c>
      <c r="BQ277" s="144">
        <f t="shared" si="700"/>
        <v>522.426875</v>
      </c>
      <c r="BR277" s="456">
        <f t="shared" si="701"/>
        <v>2.9058717178332091E-3</v>
      </c>
      <c r="BS277" s="456">
        <f t="shared" si="702"/>
        <v>3.1975602543634359E-2</v>
      </c>
      <c r="BT277" s="456">
        <f t="shared" si="703"/>
        <v>2.6627895082472912E-4</v>
      </c>
      <c r="BU277" s="456">
        <f t="shared" si="704"/>
        <v>0.17656746329838349</v>
      </c>
      <c r="BV277" s="456"/>
      <c r="BW277" s="538">
        <f t="shared" si="705"/>
        <v>7.7709423190040706E-4</v>
      </c>
      <c r="BX277" s="144">
        <f t="shared" si="706"/>
        <v>212.49231074257619</v>
      </c>
      <c r="BY277" s="150">
        <f t="shared" si="707"/>
        <v>1.7059183241513423</v>
      </c>
      <c r="BZ277" s="5">
        <f t="shared" si="708"/>
        <v>4.88</v>
      </c>
      <c r="CA277" s="150">
        <f t="shared" si="709"/>
        <v>0.74097487393739192</v>
      </c>
      <c r="CB277" s="5">
        <f t="shared" si="710"/>
        <v>74.097487393739186</v>
      </c>
      <c r="CC277">
        <f t="shared" si="711"/>
        <v>61</v>
      </c>
      <c r="CE277" s="59">
        <f t="shared" si="767"/>
        <v>-50</v>
      </c>
      <c r="CG277" s="150">
        <f t="shared" si="768"/>
        <v>0.87957854338036034</v>
      </c>
      <c r="CH277" s="150">
        <f t="shared" si="769"/>
        <v>0.47330172420499939</v>
      </c>
      <c r="CI277" s="147">
        <v>61</v>
      </c>
      <c r="CJ277" s="188">
        <f t="shared" si="712"/>
        <v>0.73199999999999998</v>
      </c>
      <c r="CK277" s="188">
        <f t="shared" si="654"/>
        <v>0.1525</v>
      </c>
      <c r="CL277" s="188">
        <f t="shared" si="655"/>
        <v>3.66</v>
      </c>
      <c r="CM277" s="188">
        <f t="shared" si="656"/>
        <v>1.22</v>
      </c>
      <c r="CN277" s="465">
        <f t="shared" si="657"/>
        <v>60</v>
      </c>
      <c r="CO277" s="379">
        <f t="shared" si="770"/>
        <v>5.7</v>
      </c>
      <c r="CP277" s="379">
        <f t="shared" si="771"/>
        <v>65.7</v>
      </c>
      <c r="CQ277" s="379"/>
      <c r="CR277" s="188">
        <f t="shared" si="660"/>
        <v>8.2568807339449546E-2</v>
      </c>
      <c r="CS277" s="149">
        <f t="shared" si="661"/>
        <v>9.2889908256880744</v>
      </c>
      <c r="CT277" s="149">
        <f t="shared" si="662"/>
        <v>4.1284403669724767</v>
      </c>
      <c r="CU277" s="188">
        <f t="shared" si="663"/>
        <v>1.857798165137615</v>
      </c>
      <c r="CV277" s="188">
        <f t="shared" si="664"/>
        <v>1.1611238532110093</v>
      </c>
      <c r="CW277" s="188">
        <f t="shared" si="665"/>
        <v>5</v>
      </c>
      <c r="CX277" s="188">
        <f t="shared" si="666"/>
        <v>1.9700740740740739</v>
      </c>
      <c r="CY277" s="188">
        <f t="shared" si="667"/>
        <v>0.39401481481481482</v>
      </c>
      <c r="CZ277" s="188">
        <f t="shared" si="668"/>
        <v>4.1475243664717336</v>
      </c>
      <c r="DA277" s="172">
        <f t="shared" si="669"/>
        <v>350</v>
      </c>
      <c r="DB277" s="379">
        <f t="shared" si="670"/>
        <v>220.18966700111463</v>
      </c>
      <c r="DD277" s="188">
        <f t="shared" si="671"/>
        <v>1.2393998695368558</v>
      </c>
      <c r="DE277" s="150">
        <f t="shared" si="672"/>
        <v>2.6092628832354858</v>
      </c>
      <c r="DF277" s="150">
        <f t="shared" si="673"/>
        <v>0.4244520101153616</v>
      </c>
      <c r="DG277" s="150"/>
      <c r="DH277" s="150">
        <f t="shared" si="674"/>
        <v>2.1052631578947367</v>
      </c>
      <c r="DI277" s="314">
        <f t="shared" si="675"/>
        <v>695.4</v>
      </c>
      <c r="DJ277" s="456">
        <f t="shared" si="676"/>
        <v>0.36842105263157893</v>
      </c>
      <c r="DL277" s="150">
        <f t="shared" si="677"/>
        <v>1.5244046456927123</v>
      </c>
      <c r="DM277" s="150">
        <f t="shared" si="678"/>
        <v>1.9700740740740739</v>
      </c>
      <c r="DN277" s="150">
        <f t="shared" si="679"/>
        <v>1.9185733882030176</v>
      </c>
      <c r="DP277" s="314">
        <f t="shared" si="680"/>
        <v>732</v>
      </c>
      <c r="DQ277" s="144">
        <f t="shared" si="681"/>
        <v>220.18966700111463</v>
      </c>
      <c r="DS277">
        <f t="shared" si="682"/>
        <v>732</v>
      </c>
      <c r="DT277">
        <f t="shared" si="683"/>
        <v>220.18966700111463</v>
      </c>
      <c r="DV277" s="5">
        <f t="shared" si="684"/>
        <v>4.5415391812865487</v>
      </c>
      <c r="DW277" s="5">
        <f t="shared" si="685"/>
        <v>0.39401481481481482</v>
      </c>
      <c r="DX277" s="5">
        <f t="shared" si="686"/>
        <v>4.1475243664717336</v>
      </c>
      <c r="DY277" s="150">
        <f t="shared" si="687"/>
        <v>8.6757990867579932E-2</v>
      </c>
      <c r="EA277" s="5">
        <f t="shared" si="713"/>
        <v>5.7683768888888887</v>
      </c>
      <c r="EB277" s="5">
        <f t="shared" si="714"/>
        <v>0.75109074074074067</v>
      </c>
      <c r="EC277" s="5">
        <f t="shared" si="715"/>
        <v>0.1054162443144899</v>
      </c>
      <c r="ED277" s="5"/>
      <c r="EE277" s="150">
        <f t="shared" si="716"/>
        <v>0.3350245800506419</v>
      </c>
      <c r="EF277" s="150">
        <f t="shared" si="717"/>
        <v>1.0869632697910407</v>
      </c>
      <c r="EG277" s="150">
        <f t="shared" si="718"/>
        <v>0.24296826030623267</v>
      </c>
      <c r="EH277" s="150"/>
      <c r="EI277" s="456">
        <f t="shared" si="719"/>
        <v>2.2448293847621794E-3</v>
      </c>
      <c r="EJ277" s="456">
        <f t="shared" si="720"/>
        <v>0.57000000000000006</v>
      </c>
      <c r="EK277" s="456">
        <f t="shared" si="721"/>
        <v>2.7523708375139327E-2</v>
      </c>
      <c r="EL277" s="456">
        <f t="shared" si="722"/>
        <v>9.5044649571364145E-2</v>
      </c>
      <c r="EM277">
        <f t="shared" si="723"/>
        <v>2.7E-2</v>
      </c>
      <c r="EN277" s="144">
        <f t="shared" si="724"/>
        <v>54.523708375139329</v>
      </c>
      <c r="EP277" s="144">
        <f t="shared" si="725"/>
        <v>721.81318733126579</v>
      </c>
      <c r="EQ277" s="150">
        <f t="shared" si="726"/>
        <v>0.51239999999999997</v>
      </c>
      <c r="ER277" s="150">
        <f t="shared" si="772"/>
        <v>6.7671874999999992E-2</v>
      </c>
      <c r="ES277" s="456"/>
      <c r="EU277" s="144">
        <f t="shared" si="727"/>
        <v>580.07187499999998</v>
      </c>
      <c r="EV277" s="456">
        <f t="shared" si="728"/>
        <v>3.3672440771432685E-3</v>
      </c>
      <c r="EW277" s="456">
        <f t="shared" si="729"/>
        <v>3.5444674496244923E-2</v>
      </c>
      <c r="EX277" s="456">
        <f t="shared" si="730"/>
        <v>2.951678775811862E-4</v>
      </c>
      <c r="EY277" s="456">
        <f t="shared" si="731"/>
        <v>0.19596058643252562</v>
      </c>
      <c r="EZ277" s="456"/>
      <c r="FA277" s="538">
        <f t="shared" si="732"/>
        <v>8.5459834263487222E-4</v>
      </c>
      <c r="FB277" s="144">
        <f t="shared" si="733"/>
        <v>235.92227122612988</v>
      </c>
      <c r="FC277" s="150">
        <f t="shared" si="734"/>
        <v>1.5378073335573954</v>
      </c>
      <c r="FD277" s="5">
        <f t="shared" si="735"/>
        <v>4.88</v>
      </c>
      <c r="FE277" s="150">
        <f t="shared" si="736"/>
        <v>0.76038430983795402</v>
      </c>
      <c r="FF277" s="5">
        <f t="shared" si="737"/>
        <v>76.038430983795408</v>
      </c>
      <c r="FG277">
        <f t="shared" si="738"/>
        <v>61</v>
      </c>
      <c r="FI277" s="59">
        <f t="shared" si="689"/>
        <v>-50</v>
      </c>
    </row>
    <row r="278" spans="5:165">
      <c r="E278" s="147">
        <v>62</v>
      </c>
      <c r="F278" s="188">
        <f t="shared" si="773"/>
        <v>0.74399999999999999</v>
      </c>
      <c r="G278" s="188">
        <f t="shared" si="742"/>
        <v>0.155</v>
      </c>
      <c r="H278" s="188">
        <f t="shared" si="743"/>
        <v>3.7199999999999998</v>
      </c>
      <c r="I278" s="188">
        <f t="shared" si="744"/>
        <v>1.24</v>
      </c>
      <c r="J278" s="465">
        <f t="shared" si="745"/>
        <v>59.933289152565784</v>
      </c>
      <c r="K278" s="379">
        <f t="shared" si="746"/>
        <v>5.7253757895391821</v>
      </c>
      <c r="L278" s="149">
        <f t="shared" si="747"/>
        <v>65.658664942104963</v>
      </c>
      <c r="M278" s="379"/>
      <c r="N278" s="188">
        <f t="shared" si="748"/>
        <v>8.7199089329452195E-2</v>
      </c>
      <c r="O278" s="149">
        <f t="shared" si="749"/>
        <v>9.7989904399171337</v>
      </c>
      <c r="P278" s="149">
        <f t="shared" si="750"/>
        <v>4.3551068621853926</v>
      </c>
      <c r="Q278" s="188">
        <f t="shared" si="626"/>
        <v>1.9597980879834267</v>
      </c>
      <c r="R278" s="188">
        <f t="shared" si="751"/>
        <v>1.2248738049896417</v>
      </c>
      <c r="S278" s="188">
        <f t="shared" si="752"/>
        <v>5</v>
      </c>
      <c r="T278" s="188">
        <f t="shared" si="753"/>
        <v>1.8981547246164363</v>
      </c>
      <c r="U278" s="188">
        <f t="shared" si="630"/>
        <v>0.38005350644804547</v>
      </c>
      <c r="V278" s="188">
        <f t="shared" si="631"/>
        <v>3.9784037821612679</v>
      </c>
      <c r="W278" s="172">
        <f t="shared" si="632"/>
        <v>350</v>
      </c>
      <c r="X278" s="379">
        <f t="shared" si="691"/>
        <v>219.37246236765296</v>
      </c>
      <c r="Z278" s="188">
        <f t="shared" si="633"/>
        <v>1.2443162463386837</v>
      </c>
      <c r="AA278" s="150">
        <f t="shared" si="634"/>
        <v>2.6080026019158504</v>
      </c>
      <c r="AB278" s="150">
        <f t="shared" si="754"/>
        <v>0.42592987605754046</v>
      </c>
      <c r="AC278" s="150"/>
      <c r="AD278" s="150">
        <f t="shared" si="636"/>
        <v>2.0959322918026042</v>
      </c>
      <c r="AE278" s="314">
        <f t="shared" si="755"/>
        <v>709.94659790285857</v>
      </c>
      <c r="AF278" s="456">
        <f t="shared" si="756"/>
        <v>0.3667881510654557</v>
      </c>
      <c r="AH278" s="150">
        <f t="shared" si="757"/>
        <v>1.5368489717290903</v>
      </c>
      <c r="AI278" s="150">
        <f t="shared" si="758"/>
        <v>1.8981547246164363</v>
      </c>
      <c r="AJ278" s="150">
        <f t="shared" si="759"/>
        <v>1.8652997960121751</v>
      </c>
      <c r="AL278" s="314">
        <f t="shared" si="760"/>
        <v>744</v>
      </c>
      <c r="AM278" s="144">
        <f t="shared" si="761"/>
        <v>219.37246236765296</v>
      </c>
      <c r="AO278">
        <f t="shared" si="644"/>
        <v>744</v>
      </c>
      <c r="AP278">
        <f t="shared" si="645"/>
        <v>219.37246236765296</v>
      </c>
      <c r="AR278" s="5">
        <f t="shared" si="774"/>
        <v>4.558457288609314</v>
      </c>
      <c r="AS278" s="5">
        <f t="shared" si="739"/>
        <v>0.38005350644804547</v>
      </c>
      <c r="AT278" s="5">
        <f t="shared" si="740"/>
        <v>4.1784037821612685</v>
      </c>
      <c r="AU278" s="150">
        <f t="shared" si="741"/>
        <v>8.3373273540968407E-2</v>
      </c>
      <c r="BA278" s="150">
        <f t="shared" si="692"/>
        <v>0.3164349243814828</v>
      </c>
      <c r="BB278" s="150">
        <f t="shared" si="693"/>
        <v>1.0492216439626019</v>
      </c>
      <c r="BC278" s="150">
        <f t="shared" si="694"/>
        <v>0.2345318968857581</v>
      </c>
      <c r="BD278" s="150"/>
      <c r="BE278" s="456">
        <f t="shared" si="695"/>
        <v>2.0026212273662946E-3</v>
      </c>
      <c r="BF278" s="456">
        <f t="shared" si="762"/>
        <v>0.51263356704837404</v>
      </c>
      <c r="BG278" s="456">
        <f t="shared" si="763"/>
        <v>0.32869283047977255</v>
      </c>
      <c r="BH278" s="456">
        <f t="shared" si="696"/>
        <v>9.4572790947325389E-2</v>
      </c>
      <c r="BI278">
        <f t="shared" si="697"/>
        <v>2.6969980118654601E-2</v>
      </c>
      <c r="BJ278" s="144">
        <f t="shared" si="698"/>
        <v>355.66281059842714</v>
      </c>
      <c r="BK278">
        <f t="shared" si="764"/>
        <v>0.61003995787753351</v>
      </c>
      <c r="BL278" s="144">
        <f t="shared" si="699"/>
        <v>964.87178982149294</v>
      </c>
      <c r="BM278" s="150">
        <f t="shared" si="765"/>
        <v>0.4622099999999999</v>
      </c>
      <c r="BN278" s="150">
        <f t="shared" si="766"/>
        <v>6.8781250000000002E-2</v>
      </c>
      <c r="BQ278" s="144">
        <f t="shared" si="700"/>
        <v>530.99124999999992</v>
      </c>
      <c r="BR278" s="456">
        <f t="shared" si="701"/>
        <v>3.0039318410494419E-3</v>
      </c>
      <c r="BS278" s="456">
        <f t="shared" si="702"/>
        <v>3.3025981744787547E-2</v>
      </c>
      <c r="BT278" s="456">
        <f t="shared" si="703"/>
        <v>2.7502605328415936E-4</v>
      </c>
      <c r="BU278" s="456">
        <f t="shared" si="704"/>
        <v>0.17691078318047659</v>
      </c>
      <c r="BV278" s="456"/>
      <c r="BW278" s="538">
        <f t="shared" si="705"/>
        <v>7.9039708622188139E-4</v>
      </c>
      <c r="BX278" s="144">
        <f t="shared" si="706"/>
        <v>214.00611990581965</v>
      </c>
      <c r="BY278" s="150">
        <f t="shared" si="707"/>
        <v>1.7098691597273128</v>
      </c>
      <c r="BZ278" s="5">
        <f t="shared" si="708"/>
        <v>4.96</v>
      </c>
      <c r="CA278" s="150">
        <f t="shared" si="709"/>
        <v>0.74364277337679918</v>
      </c>
      <c r="CB278" s="5">
        <f t="shared" si="710"/>
        <v>74.364277337679923</v>
      </c>
      <c r="CC278">
        <f t="shared" si="711"/>
        <v>62</v>
      </c>
      <c r="CE278" s="59">
        <f t="shared" si="767"/>
        <v>-50</v>
      </c>
      <c r="CG278" s="150">
        <f t="shared" si="768"/>
        <v>0.87957854338036012</v>
      </c>
      <c r="CH278" s="150">
        <f t="shared" si="769"/>
        <v>0.47330172420499933</v>
      </c>
      <c r="CI278" s="147">
        <v>62</v>
      </c>
      <c r="CJ278" s="188">
        <f t="shared" si="712"/>
        <v>0.74399999999999999</v>
      </c>
      <c r="CK278" s="188">
        <f t="shared" si="654"/>
        <v>0.155</v>
      </c>
      <c r="CL278" s="188">
        <f t="shared" si="655"/>
        <v>3.7199999999999998</v>
      </c>
      <c r="CM278" s="188">
        <f t="shared" si="656"/>
        <v>1.24</v>
      </c>
      <c r="CN278" s="465">
        <f t="shared" si="657"/>
        <v>60</v>
      </c>
      <c r="CO278" s="379">
        <f t="shared" si="770"/>
        <v>5.7</v>
      </c>
      <c r="CP278" s="379">
        <f t="shared" si="771"/>
        <v>65.7</v>
      </c>
      <c r="CQ278" s="379"/>
      <c r="CR278" s="188">
        <f t="shared" si="660"/>
        <v>8.2568807339449546E-2</v>
      </c>
      <c r="CS278" s="149">
        <f t="shared" si="661"/>
        <v>9.2889908256880744</v>
      </c>
      <c r="CT278" s="149">
        <f t="shared" si="662"/>
        <v>4.1284403669724767</v>
      </c>
      <c r="CU278" s="188">
        <f t="shared" si="663"/>
        <v>1.857798165137615</v>
      </c>
      <c r="CV278" s="188">
        <f t="shared" si="664"/>
        <v>1.1611238532110093</v>
      </c>
      <c r="CW278" s="188">
        <f t="shared" si="665"/>
        <v>5</v>
      </c>
      <c r="CX278" s="188">
        <f t="shared" si="666"/>
        <v>2.0023703703703704</v>
      </c>
      <c r="CY278" s="188">
        <f t="shared" si="667"/>
        <v>0.40047407407407409</v>
      </c>
      <c r="CZ278" s="188">
        <f t="shared" si="668"/>
        <v>4.2155165692007799</v>
      </c>
      <c r="DA278" s="172">
        <f t="shared" si="669"/>
        <v>350</v>
      </c>
      <c r="DB278" s="379">
        <f t="shared" si="670"/>
        <v>216.63822075916113</v>
      </c>
      <c r="DD278" s="188">
        <f t="shared" si="671"/>
        <v>1.2393998695368558</v>
      </c>
      <c r="DE278" s="150">
        <f t="shared" si="672"/>
        <v>2.6092628832354858</v>
      </c>
      <c r="DF278" s="150">
        <f t="shared" si="673"/>
        <v>0.4244520101153616</v>
      </c>
      <c r="DG278" s="150"/>
      <c r="DH278" s="150">
        <f t="shared" si="674"/>
        <v>2.1052631578947367</v>
      </c>
      <c r="DI278" s="314">
        <f t="shared" si="675"/>
        <v>706.80000000000007</v>
      </c>
      <c r="DJ278" s="456">
        <f t="shared" si="676"/>
        <v>0.36842105263157893</v>
      </c>
      <c r="DL278" s="150">
        <f t="shared" si="677"/>
        <v>1.5368489717290903</v>
      </c>
      <c r="DM278" s="150">
        <f t="shared" si="678"/>
        <v>2.0023703703703704</v>
      </c>
      <c r="DN278" s="150">
        <f t="shared" si="679"/>
        <v>1.9424965706447188</v>
      </c>
      <c r="DP278" s="314">
        <f t="shared" si="680"/>
        <v>744</v>
      </c>
      <c r="DQ278" s="144">
        <f t="shared" si="681"/>
        <v>216.63822075916113</v>
      </c>
      <c r="DS278">
        <f t="shared" si="682"/>
        <v>744</v>
      </c>
      <c r="DT278">
        <f t="shared" si="683"/>
        <v>216.63822075916113</v>
      </c>
      <c r="DV278" s="5">
        <f t="shared" si="684"/>
        <v>4.6159906432748539</v>
      </c>
      <c r="DW278" s="5">
        <f t="shared" si="685"/>
        <v>0.40047407407407409</v>
      </c>
      <c r="DX278" s="5">
        <f t="shared" si="686"/>
        <v>4.2155165692007799</v>
      </c>
      <c r="DY278" s="150">
        <f t="shared" si="687"/>
        <v>8.6757990867579918E-2</v>
      </c>
      <c r="EA278" s="5">
        <f t="shared" si="713"/>
        <v>5.959054222222222</v>
      </c>
      <c r="EB278" s="5">
        <f t="shared" si="714"/>
        <v>0.77591851851851856</v>
      </c>
      <c r="EC278" s="5">
        <f t="shared" si="715"/>
        <v>0.10890084470435346</v>
      </c>
      <c r="ED278" s="5"/>
      <c r="EE278" s="150">
        <f t="shared" si="716"/>
        <v>0.34051678628098031</v>
      </c>
      <c r="EF278" s="150">
        <f t="shared" si="717"/>
        <v>1.1047823397876153</v>
      </c>
      <c r="EG278" s="150">
        <f t="shared" si="718"/>
        <v>0.24695134654076106</v>
      </c>
      <c r="EH278" s="150"/>
      <c r="EI278" s="456">
        <f t="shared" si="719"/>
        <v>2.3190336347825363E-3</v>
      </c>
      <c r="EJ278" s="456">
        <f t="shared" si="720"/>
        <v>0.57000000000000006</v>
      </c>
      <c r="EK278" s="456">
        <f t="shared" si="721"/>
        <v>2.7079777594895139E-2</v>
      </c>
      <c r="EL278" s="456">
        <f t="shared" si="722"/>
        <v>9.3511671352471168E-2</v>
      </c>
      <c r="EM278">
        <f t="shared" si="723"/>
        <v>2.7E-2</v>
      </c>
      <c r="EN278" s="144">
        <f t="shared" si="724"/>
        <v>54.079777594895141</v>
      </c>
      <c r="EP278" s="144">
        <f t="shared" si="725"/>
        <v>719.91048258214892</v>
      </c>
      <c r="EQ278" s="150">
        <f t="shared" si="726"/>
        <v>0.52079999999999993</v>
      </c>
      <c r="ER278" s="150">
        <f t="shared" si="772"/>
        <v>6.8781250000000002E-2</v>
      </c>
      <c r="ES278" s="456"/>
      <c r="EU278" s="144">
        <f t="shared" si="727"/>
        <v>589.58124999999995</v>
      </c>
      <c r="EV278" s="456">
        <f t="shared" si="728"/>
        <v>3.4785504521738044E-3</v>
      </c>
      <c r="EW278" s="456">
        <f t="shared" si="729"/>
        <v>3.6616320549197938E-2</v>
      </c>
      <c r="EX278" s="456">
        <f t="shared" si="730"/>
        <v>3.0492483779147534E-4</v>
      </c>
      <c r="EY278" s="456">
        <f t="shared" si="731"/>
        <v>0.19596058643252551</v>
      </c>
      <c r="EZ278" s="456"/>
      <c r="FA278" s="538">
        <f t="shared" si="732"/>
        <v>8.6860815153052596E-4</v>
      </c>
      <c r="FB278" s="144">
        <f t="shared" si="733"/>
        <v>237.22899042321924</v>
      </c>
      <c r="FC278" s="150">
        <f t="shared" si="734"/>
        <v>1.5467207230053681</v>
      </c>
      <c r="FD278" s="5">
        <f t="shared" si="735"/>
        <v>4.96</v>
      </c>
      <c r="FE278" s="150">
        <f t="shared" si="736"/>
        <v>0.76228874899506083</v>
      </c>
      <c r="FF278" s="5">
        <f t="shared" si="737"/>
        <v>76.228874899506081</v>
      </c>
      <c r="FG278">
        <f t="shared" si="738"/>
        <v>62</v>
      </c>
      <c r="FI278" s="59">
        <f t="shared" si="689"/>
        <v>-50</v>
      </c>
    </row>
    <row r="279" spans="5:165">
      <c r="E279" s="147">
        <v>63</v>
      </c>
      <c r="F279" s="188">
        <f t="shared" si="773"/>
        <v>0.75600000000000001</v>
      </c>
      <c r="G279" s="188">
        <f t="shared" si="742"/>
        <v>0.1575</v>
      </c>
      <c r="H279" s="188">
        <f t="shared" si="743"/>
        <v>3.7800000000000002</v>
      </c>
      <c r="I279" s="188">
        <f t="shared" si="744"/>
        <v>1.26</v>
      </c>
      <c r="J279" s="465">
        <f t="shared" si="745"/>
        <v>59.93221317115556</v>
      </c>
      <c r="K279" s="379">
        <f t="shared" si="746"/>
        <v>5.7257850764672336</v>
      </c>
      <c r="L279" s="149">
        <f t="shared" si="747"/>
        <v>65.6579982476228</v>
      </c>
      <c r="M279" s="379"/>
      <c r="N279" s="188">
        <f t="shared" si="748"/>
        <v>8.720620837194866E-2</v>
      </c>
      <c r="O279" s="149">
        <f t="shared" si="749"/>
        <v>9.7996145062421967</v>
      </c>
      <c r="P279" s="149">
        <f t="shared" si="750"/>
        <v>4.3553842249965316</v>
      </c>
      <c r="Q279" s="188">
        <f t="shared" si="626"/>
        <v>1.9599229012484394</v>
      </c>
      <c r="R279" s="188">
        <f t="shared" si="751"/>
        <v>1.2249518132802746</v>
      </c>
      <c r="S279" s="188">
        <f t="shared" si="752"/>
        <v>5</v>
      </c>
      <c r="T279" s="188">
        <f t="shared" si="753"/>
        <v>1.9286472940298831</v>
      </c>
      <c r="U279" s="188">
        <f t="shared" si="630"/>
        <v>0.38616574132285397</v>
      </c>
      <c r="V279" s="188">
        <f t="shared" si="631"/>
        <v>4.0420251929257054</v>
      </c>
      <c r="W279" s="172">
        <f t="shared" si="632"/>
        <v>350</v>
      </c>
      <c r="X279" s="379">
        <f t="shared" si="691"/>
        <v>216.06714463744603</v>
      </c>
      <c r="Z279" s="188">
        <f t="shared" si="633"/>
        <v>1.2443954928561518</v>
      </c>
      <c r="AA279" s="150">
        <f t="shared" si="634"/>
        <v>2.6079822617944326</v>
      </c>
      <c r="AB279" s="150">
        <f t="shared" si="754"/>
        <v>0.42595368007838419</v>
      </c>
      <c r="AC279" s="150"/>
      <c r="AD279" s="150">
        <f t="shared" si="636"/>
        <v>2.0957824717032358</v>
      </c>
      <c r="AE279" s="314">
        <f t="shared" si="755"/>
        <v>721.44891963487146</v>
      </c>
      <c r="AF279" s="456">
        <f t="shared" si="756"/>
        <v>0.36676193254806627</v>
      </c>
      <c r="AH279" s="150">
        <f t="shared" si="757"/>
        <v>1.5491933384829668</v>
      </c>
      <c r="AI279" s="150">
        <f t="shared" si="758"/>
        <v>1.9286472940298831</v>
      </c>
      <c r="AJ279" s="150">
        <f t="shared" si="759"/>
        <v>1.8878868844665799</v>
      </c>
      <c r="AL279" s="314">
        <f t="shared" si="760"/>
        <v>756</v>
      </c>
      <c r="AM279" s="144">
        <f t="shared" si="761"/>
        <v>216.06714463744603</v>
      </c>
      <c r="AO279">
        <f t="shared" si="644"/>
        <v>756</v>
      </c>
      <c r="AP279">
        <f t="shared" si="645"/>
        <v>216.06714463744603</v>
      </c>
      <c r="AR279" s="5">
        <f t="shared" si="774"/>
        <v>4.6281909342485594</v>
      </c>
      <c r="AS279" s="5">
        <f t="shared" si="739"/>
        <v>0.38616574132285397</v>
      </c>
      <c r="AT279" s="5">
        <f t="shared" si="740"/>
        <v>4.2420251929257056</v>
      </c>
      <c r="AU279" s="150">
        <f t="shared" si="741"/>
        <v>8.3437729084431658E-2</v>
      </c>
      <c r="BA279" s="150">
        <f t="shared" si="692"/>
        <v>0.32164249523604765</v>
      </c>
      <c r="BB279" s="150">
        <f t="shared" si="693"/>
        <v>1.0660391957371576</v>
      </c>
      <c r="BC279" s="150">
        <f t="shared" si="694"/>
        <v>0.23829111434124706</v>
      </c>
      <c r="BD279" s="150"/>
      <c r="BE279" s="456">
        <f t="shared" si="695"/>
        <v>2.0690778948334186E-3</v>
      </c>
      <c r="BF279" s="456">
        <f t="shared" si="762"/>
        <v>0.51301546240222484</v>
      </c>
      <c r="BG279" s="456">
        <f t="shared" si="763"/>
        <v>0.32373455429235787</v>
      </c>
      <c r="BH279" s="456">
        <f t="shared" si="696"/>
        <v>9.314595692203817E-2</v>
      </c>
      <c r="BI279">
        <f t="shared" si="697"/>
        <v>2.6969495927020002E-2</v>
      </c>
      <c r="BJ279" s="144">
        <f t="shared" si="698"/>
        <v>350.7040502193779</v>
      </c>
      <c r="BK279">
        <f t="shared" si="764"/>
        <v>0.60908858406062694</v>
      </c>
      <c r="BL279" s="144">
        <f t="shared" si="699"/>
        <v>958.9345474384744</v>
      </c>
      <c r="BM279" s="150">
        <f t="shared" si="765"/>
        <v>0.469665</v>
      </c>
      <c r="BN279" s="150">
        <f t="shared" si="766"/>
        <v>6.9890624999999998E-2</v>
      </c>
      <c r="BQ279" s="144">
        <f t="shared" si="700"/>
        <v>539.55562499999996</v>
      </c>
      <c r="BR279" s="456">
        <f t="shared" si="701"/>
        <v>3.1036168422501282E-3</v>
      </c>
      <c r="BS279" s="456">
        <f t="shared" si="702"/>
        <v>3.4093187005437772E-2</v>
      </c>
      <c r="BT279" s="456">
        <f t="shared" si="703"/>
        <v>2.8391327586996641E-4</v>
      </c>
      <c r="BU279" s="456">
        <f t="shared" si="704"/>
        <v>0.1772449485635039</v>
      </c>
      <c r="BV279" s="456"/>
      <c r="BW279" s="538">
        <f t="shared" si="705"/>
        <v>8.0370071970090919E-4</v>
      </c>
      <c r="BX279" s="144">
        <f t="shared" si="706"/>
        <v>215.52936640676265</v>
      </c>
      <c r="BY279" s="150">
        <f t="shared" si="707"/>
        <v>1.7140195388452368</v>
      </c>
      <c r="BZ279" s="5">
        <f t="shared" si="708"/>
        <v>5.04</v>
      </c>
      <c r="CA279" s="150">
        <f t="shared" si="709"/>
        <v>0.74622230081106788</v>
      </c>
      <c r="CB279" s="5">
        <f t="shared" si="710"/>
        <v>74.622230081106792</v>
      </c>
      <c r="CC279">
        <f t="shared" si="711"/>
        <v>63</v>
      </c>
      <c r="CE279" s="59">
        <f t="shared" si="767"/>
        <v>-50</v>
      </c>
      <c r="CG279" s="150">
        <f t="shared" si="768"/>
        <v>0.87957854338036034</v>
      </c>
      <c r="CH279" s="150">
        <f t="shared" si="769"/>
        <v>0.47330172420499939</v>
      </c>
      <c r="CI279" s="147">
        <v>63</v>
      </c>
      <c r="CJ279" s="188">
        <f t="shared" si="712"/>
        <v>0.75600000000000001</v>
      </c>
      <c r="CK279" s="188">
        <f t="shared" si="654"/>
        <v>0.1575</v>
      </c>
      <c r="CL279" s="188">
        <f t="shared" si="655"/>
        <v>3.7800000000000002</v>
      </c>
      <c r="CM279" s="188">
        <f t="shared" si="656"/>
        <v>1.26</v>
      </c>
      <c r="CN279" s="465">
        <f t="shared" si="657"/>
        <v>60</v>
      </c>
      <c r="CO279" s="379">
        <f t="shared" si="770"/>
        <v>5.7</v>
      </c>
      <c r="CP279" s="379">
        <f t="shared" si="771"/>
        <v>65.7</v>
      </c>
      <c r="CQ279" s="379"/>
      <c r="CR279" s="188">
        <f t="shared" si="660"/>
        <v>8.2568807339449546E-2</v>
      </c>
      <c r="CS279" s="149">
        <f t="shared" si="661"/>
        <v>9.2889908256880744</v>
      </c>
      <c r="CT279" s="149">
        <f t="shared" si="662"/>
        <v>4.1284403669724767</v>
      </c>
      <c r="CU279" s="188">
        <f t="shared" si="663"/>
        <v>1.857798165137615</v>
      </c>
      <c r="CV279" s="188">
        <f t="shared" si="664"/>
        <v>1.1611238532110093</v>
      </c>
      <c r="CW279" s="188">
        <f t="shared" si="665"/>
        <v>5</v>
      </c>
      <c r="CX279" s="188">
        <f t="shared" si="666"/>
        <v>2.0346666666666664</v>
      </c>
      <c r="CY279" s="188">
        <f t="shared" si="667"/>
        <v>0.40693333333333331</v>
      </c>
      <c r="CZ279" s="188">
        <f t="shared" si="668"/>
        <v>4.2835087719298244</v>
      </c>
      <c r="DA279" s="172">
        <f t="shared" si="669"/>
        <v>350</v>
      </c>
      <c r="DB279" s="379">
        <f t="shared" si="670"/>
        <v>213.19951884234908</v>
      </c>
      <c r="DD279" s="188">
        <f t="shared" si="671"/>
        <v>1.2393998695368558</v>
      </c>
      <c r="DE279" s="150">
        <f t="shared" si="672"/>
        <v>2.6092628832354858</v>
      </c>
      <c r="DF279" s="150">
        <f t="shared" si="673"/>
        <v>0.4244520101153616</v>
      </c>
      <c r="DG279" s="150"/>
      <c r="DH279" s="150">
        <f t="shared" si="674"/>
        <v>2.1052631578947367</v>
      </c>
      <c r="DI279" s="314">
        <f t="shared" si="675"/>
        <v>718.20000000000016</v>
      </c>
      <c r="DJ279" s="456">
        <f t="shared" si="676"/>
        <v>0.36842105263157893</v>
      </c>
      <c r="DL279" s="150">
        <f t="shared" si="677"/>
        <v>1.5491933384829668</v>
      </c>
      <c r="DM279" s="150">
        <f t="shared" si="678"/>
        <v>2.0346666666666664</v>
      </c>
      <c r="DN279" s="150">
        <f t="shared" si="679"/>
        <v>1.9664197530864196</v>
      </c>
      <c r="DP279" s="314">
        <f t="shared" si="680"/>
        <v>756</v>
      </c>
      <c r="DQ279" s="144">
        <f t="shared" si="681"/>
        <v>213.19951884234908</v>
      </c>
      <c r="DS279">
        <f t="shared" si="682"/>
        <v>756</v>
      </c>
      <c r="DT279">
        <f t="shared" si="683"/>
        <v>213.19951884234908</v>
      </c>
      <c r="DV279" s="5">
        <f t="shared" si="684"/>
        <v>4.6904421052631573</v>
      </c>
      <c r="DW279" s="5">
        <f t="shared" si="685"/>
        <v>0.40693333333333331</v>
      </c>
      <c r="DX279" s="5">
        <f t="shared" si="686"/>
        <v>4.2835087719298244</v>
      </c>
      <c r="DY279" s="150">
        <f t="shared" si="687"/>
        <v>8.6757990867579918E-2</v>
      </c>
      <c r="EA279" s="5">
        <f t="shared" si="713"/>
        <v>6.1528319999999992</v>
      </c>
      <c r="EB279" s="5">
        <f t="shared" si="714"/>
        <v>0.80114999999999992</v>
      </c>
      <c r="EC279" s="5">
        <f t="shared" si="715"/>
        <v>0.11244210526315787</v>
      </c>
      <c r="ED279" s="5"/>
      <c r="EE279" s="150">
        <f t="shared" si="716"/>
        <v>0.34600899251131861</v>
      </c>
      <c r="EF279" s="150">
        <f t="shared" si="717"/>
        <v>1.1226014097841897</v>
      </c>
      <c r="EG279" s="150">
        <f t="shared" si="718"/>
        <v>0.25093443277528948</v>
      </c>
      <c r="EH279" s="150"/>
      <c r="EI279" s="456">
        <f t="shared" si="719"/>
        <v>2.3944444579739551E-3</v>
      </c>
      <c r="EJ279" s="456">
        <f t="shared" si="720"/>
        <v>0.57000000000000006</v>
      </c>
      <c r="EK279" s="456">
        <f t="shared" si="721"/>
        <v>2.6649939855293632E-2</v>
      </c>
      <c r="EL279" s="456">
        <f t="shared" si="722"/>
        <v>9.2027359108781154E-2</v>
      </c>
      <c r="EM279">
        <f t="shared" si="723"/>
        <v>2.7E-2</v>
      </c>
      <c r="EN279" s="144">
        <f t="shared" si="724"/>
        <v>53.649939855293638</v>
      </c>
      <c r="EP279" s="144">
        <f t="shared" si="725"/>
        <v>718.07174342204883</v>
      </c>
      <c r="EQ279" s="150">
        <f t="shared" si="726"/>
        <v>0.5292</v>
      </c>
      <c r="ER279" s="150">
        <f t="shared" si="772"/>
        <v>6.9890624999999998E-2</v>
      </c>
      <c r="ES279" s="456"/>
      <c r="EU279" s="144">
        <f t="shared" si="727"/>
        <v>599.09062499999993</v>
      </c>
      <c r="EV279" s="456">
        <f t="shared" si="728"/>
        <v>3.591666686960932E-3</v>
      </c>
      <c r="EW279" s="456">
        <f t="shared" si="729"/>
        <v>3.7807017757483505E-2</v>
      </c>
      <c r="EX279" s="456">
        <f t="shared" si="730"/>
        <v>3.1484044776128138E-4</v>
      </c>
      <c r="EY279" s="456">
        <f t="shared" si="731"/>
        <v>0.19596058643252556</v>
      </c>
      <c r="EZ279" s="456"/>
      <c r="FA279" s="538">
        <f t="shared" si="732"/>
        <v>8.8261796042617949E-4</v>
      </c>
      <c r="FB279" s="144">
        <f t="shared" si="733"/>
        <v>238.55672928515747</v>
      </c>
      <c r="FC279" s="150">
        <f t="shared" si="734"/>
        <v>1.5557190977072062</v>
      </c>
      <c r="FD279" s="5">
        <f t="shared" si="735"/>
        <v>5.04</v>
      </c>
      <c r="FE279" s="150">
        <f t="shared" si="736"/>
        <v>0.7641319961233638</v>
      </c>
      <c r="FF279" s="5">
        <f t="shared" si="737"/>
        <v>76.413199612336385</v>
      </c>
      <c r="FG279">
        <f t="shared" si="738"/>
        <v>63</v>
      </c>
      <c r="FI279" s="59">
        <f t="shared" si="689"/>
        <v>-50</v>
      </c>
    </row>
    <row r="280" spans="5:165">
      <c r="E280" s="147">
        <v>64</v>
      </c>
      <c r="F280" s="188">
        <f t="shared" si="773"/>
        <v>0.76800000000000002</v>
      </c>
      <c r="G280" s="188">
        <f t="shared" ref="G280:G316" si="775">IF(PLOT_TYPE=1, E280/100*Iout2, min_I*EXP(Q280*rr/100))</f>
        <v>0.16</v>
      </c>
      <c r="H280" s="188">
        <f t="shared" ref="H280:H316" si="776">F280*Vout</f>
        <v>3.84</v>
      </c>
      <c r="I280" s="188">
        <f t="shared" ref="I280:I316" si="777">Vout2*G280</f>
        <v>1.28</v>
      </c>
      <c r="J280" s="465">
        <f t="shared" ref="J280:J316" si="778">VIN_max-(F280/CG280/Nps+G280/CH280/(Nps/Nsec1sec2))*(Rdcr_pri+RON/1000)</f>
        <v>59.931137189745328</v>
      </c>
      <c r="K280" s="379">
        <f t="shared" ref="K280:K316" si="779">MAX((S280+Vfwd2+Rdcr_sec*F280/CG280)*Nps,(Vout2+Vfwd22+Rdcr_sec2*G280/CH280)*Nps/Nsec1sec2)</f>
        <v>5.7261943633952841</v>
      </c>
      <c r="L280" s="149">
        <f t="shared" ref="L280:L316" si="780">MAX((Vout+Vfwd2+F280/CG280*Rdcr_sec)*Nps+J280, (Vout2+Vfwd22+G280/CH280*Rdcr_sec2)*Nps/Nsec1sec2+J280)</f>
        <v>65.657331553140608</v>
      </c>
      <c r="M280" s="379"/>
      <c r="N280" s="188">
        <f t="shared" ref="N280:N316" si="781">MAX((Vout+Vfwd2+F280/CG280*Rdcr_sec)*Nps/((Vout+Vfwd2+F280/CG280*Rdcr_sec)*Nps+J280), (Vout2+Vfwd22+G280/CH280*Rdcr_sec2)*Nps/Nsec1sec2/((Vout2+Vfwd22+G280/CH280*Rdcr_sec2)*Nps/Nsec1sec2+J280))</f>
        <v>8.7213327559020809E-2</v>
      </c>
      <c r="O280" s="149">
        <f t="shared" ref="O280:O311" si="782">N280*J280*Isw_max*0.5*Efficiency*Pout/(Pout+Pout2)</f>
        <v>9.8002385600885109</v>
      </c>
      <c r="P280" s="149">
        <f t="shared" ref="P280:P316" si="783">N280*J280*Isw_max*0.5*Efficiency*(Pout2/Pout_total)</f>
        <v>4.3556615822615603</v>
      </c>
      <c r="Q280" s="188">
        <f t="shared" ref="Q280:Q316" si="784">O280/Vout</f>
        <v>1.9600477120177022</v>
      </c>
      <c r="R280" s="188">
        <f t="shared" ref="R280:R316" si="785">O280/Vout2</f>
        <v>1.2250298200110639</v>
      </c>
      <c r="S280" s="188">
        <f t="shared" ref="S280:S316" si="786">MIN(Vout,O280/F280)</f>
        <v>5</v>
      </c>
      <c r="T280" s="188">
        <f t="shared" ref="T280:T316" si="787">MIN(2*(Vout*F280+Vout2*G280)/(Efficiency*J280*N280), Isw_max)</f>
        <v>1.9591359824843482</v>
      </c>
      <c r="U280" s="188">
        <f t="shared" ref="U280:U316" si="788">L*T280/J280*1000000</f>
        <v>0.3922774185875928</v>
      </c>
      <c r="V280" s="188">
        <f t="shared" ref="V280:V316" si="789">L*T280/K280*1000000</f>
        <v>4.1056293757853517</v>
      </c>
      <c r="W280" s="172">
        <f t="shared" ref="W280:W316" si="790">IF(1/((350000*L)*(1/J280+1/K280))&gt;Isw_min, 350, 0.001/((Isw_min*L)*(1/J280+1/K280)))</f>
        <v>350</v>
      </c>
      <c r="X280" s="379">
        <f t="shared" si="691"/>
        <v>212.86075773103443</v>
      </c>
      <c r="Z280" s="188">
        <f t="shared" ref="Z280:Z316" si="791">1/((W280*1000*L)*(1/J280+1/K280))</f>
        <v>1.2444747377890173</v>
      </c>
      <c r="AA280" s="150">
        <f t="shared" ref="AA280:AA316" si="792">L*Z280/K280*1000000</f>
        <v>2.6079619212599408</v>
      </c>
      <c r="AB280" s="150">
        <f t="shared" ref="AB280:AB311" si="793">0.5*AA280*Z280*Nps*W280/1000*(Pout/(Pout+Pout2))</f>
        <v>0.42597748306623651</v>
      </c>
      <c r="AC280" s="150"/>
      <c r="AD280" s="150">
        <f t="shared" ref="AD280:AD316" si="794">L*Isw_min/K280*1000000</f>
        <v>2.095632673021028</v>
      </c>
      <c r="AE280" s="314">
        <f t="shared" ref="AE280:AE311" si="795">MAX(10, F280/(0.5*AD280/1000000*Isw_min*Nps)/1000*Pout_total/Pout)</f>
        <v>732.95287851459614</v>
      </c>
      <c r="AF280" s="456">
        <f t="shared" ref="AF280:AF316" si="796">0.5*AD280/1000000*Isw_min*Nps*W280*1000*(Pout/Pout_total)</f>
        <v>0.36673571777867997</v>
      </c>
      <c r="AH280" s="150">
        <f t="shared" ref="AH280:AH315" si="797">SQRT((H280+I280)/(0.5*L*Fsw_DCM))</f>
        <v>1.561440116717653</v>
      </c>
      <c r="AI280" s="150">
        <f t="shared" ref="AI280:AI311" si="798">MAX(IF(F280&gt;AB280,T280,AH280),Isw_min)</f>
        <v>1.9591359824843482</v>
      </c>
      <c r="AJ280" s="150">
        <f t="shared" ref="AJ280:AJ311" si="799">IF(F280&gt;AF280, (AI280-Isw_min)/1.08*0.8+1.2, AE280*0.2/350+1)</f>
        <v>1.9104710981365542</v>
      </c>
      <c r="AL280" s="314">
        <f t="shared" ref="AL280:AL316" si="800">F280*1000</f>
        <v>768</v>
      </c>
      <c r="AM280" s="144">
        <f t="shared" ref="AM280:AM316" si="801">IF(F280&gt;AF280, X280, AE280)</f>
        <v>212.86075773103443</v>
      </c>
      <c r="AO280">
        <f t="shared" ref="AO280:AO316" si="802">IF(H280&gt;O280, "",AL280)</f>
        <v>768</v>
      </c>
      <c r="AP280">
        <f t="shared" ref="AP280:AP316" si="803">IF(H280&gt;O280, "",AM280)</f>
        <v>212.86075773103443</v>
      </c>
      <c r="AR280" s="5">
        <f t="shared" si="774"/>
        <v>4.6979067943729449</v>
      </c>
      <c r="AS280" s="5">
        <f t="shared" si="739"/>
        <v>0.3922774185875928</v>
      </c>
      <c r="AT280" s="5">
        <f t="shared" si="740"/>
        <v>4.3056293757853519</v>
      </c>
      <c r="AU280" s="150">
        <f t="shared" si="741"/>
        <v>8.3500468561329172E-2</v>
      </c>
      <c r="BA280" s="150">
        <f t="shared" si="692"/>
        <v>0.32684994037033716</v>
      </c>
      <c r="BB280" s="150">
        <f t="shared" si="693"/>
        <v>1.0828544296294913</v>
      </c>
      <c r="BC280" s="150">
        <f t="shared" si="694"/>
        <v>0.2420498136818863</v>
      </c>
      <c r="BD280" s="150"/>
      <c r="BE280" s="456">
        <f t="shared" si="695"/>
        <v>2.136617670401859E-3</v>
      </c>
      <c r="BF280" s="456">
        <f t="shared" ref="BF280:BF316" si="804">0.5*L280*AI280*AM280*1000*Tfall</f>
        <v>0.51338678475540034</v>
      </c>
      <c r="BG280" s="456">
        <f t="shared" ref="BG280:BG316" si="805">Qg*Vdd*AM280*1000*0+Qg*J280*AM280*1000</f>
        <v>0.31892468184729417</v>
      </c>
      <c r="BH280" s="456">
        <f t="shared" si="696"/>
        <v>9.1761828732799089E-2</v>
      </c>
      <c r="BI280">
        <f t="shared" si="697"/>
        <v>2.6969011735385396E-2</v>
      </c>
      <c r="BJ280" s="144">
        <f t="shared" si="698"/>
        <v>345.89369358267959</v>
      </c>
      <c r="BK280">
        <f t="shared" ref="BK280:BK316" si="806">(BF280+BG280*0+BH280+BI280*0+BE280*(1+RdsonTC*(Ta-25)))/(1-BE280*RdsonTC*ThetaJA)</f>
        <v>0.60817086216751937</v>
      </c>
      <c r="BL280" s="144">
        <f t="shared" si="699"/>
        <v>953.17892474128075</v>
      </c>
      <c r="BM280" s="150">
        <f t="shared" ref="BM280:BM316" si="807">Vfwd2*F280*(1+Diode_TC/1000*(Ta-25))</f>
        <v>0.47711999999999993</v>
      </c>
      <c r="BN280" s="150">
        <f t="shared" ref="BN280:BN316" si="808">Vfwd22*G280*(1+Diode_TC/1000*(Ta-25))</f>
        <v>7.0999999999999994E-2</v>
      </c>
      <c r="BQ280" s="144">
        <f t="shared" si="700"/>
        <v>548.11999999999989</v>
      </c>
      <c r="BR280" s="456">
        <f t="shared" si="701"/>
        <v>3.2049265056027887E-3</v>
      </c>
      <c r="BS280" s="456">
        <f t="shared" si="702"/>
        <v>3.5177211473046331E-2</v>
      </c>
      <c r="BT280" s="456">
        <f t="shared" si="703"/>
        <v>2.9294056151717938E-4</v>
      </c>
      <c r="BU280" s="456">
        <f t="shared" si="704"/>
        <v>0.17757035655806722</v>
      </c>
      <c r="BV280" s="456"/>
      <c r="BW280" s="538">
        <f t="shared" si="705"/>
        <v>8.170050973472366E-4</v>
      </c>
      <c r="BX280" s="144">
        <f t="shared" si="706"/>
        <v>217.06244019558073</v>
      </c>
      <c r="BY280" s="150">
        <f t="shared" si="707"/>
        <v>1.7183613649368616</v>
      </c>
      <c r="BZ280" s="5">
        <f t="shared" si="708"/>
        <v>5.12</v>
      </c>
      <c r="CA280" s="150">
        <f t="shared" si="709"/>
        <v>0.74871737932019522</v>
      </c>
      <c r="CB280" s="5">
        <f t="shared" si="710"/>
        <v>74.871737932019528</v>
      </c>
      <c r="CC280">
        <f t="shared" si="711"/>
        <v>64</v>
      </c>
      <c r="CE280" s="59">
        <f t="shared" ref="CE280:CE316" si="809">IF(ABS(F280-Ioutmax_Vinmax)&lt;Iout/200, AM280, -50)</f>
        <v>-50</v>
      </c>
      <c r="CG280" s="150">
        <f t="shared" ref="CG280:CG316" si="810">MIN(SQRT(2*DT280*1000*Ls1_*CL280)/CW280, 1-DY280)</f>
        <v>0.87957854338036034</v>
      </c>
      <c r="CH280" s="150">
        <f t="shared" ref="CH280:CH316" si="811">MIN(SQRT(2*DT280*1000*Ls2_*CM280)/Vout2, 1-DY280)</f>
        <v>0.47330172420499939</v>
      </c>
      <c r="CI280" s="147">
        <v>64</v>
      </c>
      <c r="CJ280" s="188">
        <f t="shared" si="712"/>
        <v>0.76800000000000002</v>
      </c>
      <c r="CK280" s="188">
        <f t="shared" ref="CK280:CK316" si="812">IF(PLOT_TYPE=1, CI280/100*Iout2, min_I*EXP(CU280*rr/100))</f>
        <v>0.16</v>
      </c>
      <c r="CL280" s="188">
        <f t="shared" ref="CL280:CL316" si="813">CJ280*Vout</f>
        <v>3.84</v>
      </c>
      <c r="CM280" s="188">
        <f t="shared" ref="CM280:CM316" si="814">Vout2*CK280</f>
        <v>1.28</v>
      </c>
      <c r="CN280" s="465">
        <f t="shared" ref="CN280:CN316" si="815">VIN_max</f>
        <v>60</v>
      </c>
      <c r="CO280" s="379">
        <f t="shared" ref="CO280:CO316" si="816">(CW280+Vfwd2)*Nps</f>
        <v>5.7</v>
      </c>
      <c r="CP280" s="379">
        <f t="shared" ref="CP280:CP316" si="817">(Vout+Vfwd2)*Nps+CN280</f>
        <v>65.7</v>
      </c>
      <c r="CQ280" s="379"/>
      <c r="CR280" s="188">
        <f t="shared" ref="CR280:CR316" si="818">(Vout+Vfwd1)*Nps/((Vout+Vfwd1)*Nps+CN280)</f>
        <v>8.2568807339449546E-2</v>
      </c>
      <c r="CS280" s="149">
        <f t="shared" ref="CS280:CS316" si="819">CR280*CN280*Isw_max*0.5*Efficiency*Pout/(Pout+Pout2)</f>
        <v>9.2889908256880744</v>
      </c>
      <c r="CT280" s="149">
        <f t="shared" ref="CT280:CT316" si="820">CR280*CN280*Isw_max*0.5*Efficiency*(Pout2/Pout_total)</f>
        <v>4.1284403669724767</v>
      </c>
      <c r="CU280" s="188">
        <f t="shared" ref="CU280:CU316" si="821">CS280/Vout</f>
        <v>1.857798165137615</v>
      </c>
      <c r="CV280" s="188">
        <f t="shared" ref="CV280:CV316" si="822">CS280/Vout2</f>
        <v>1.1611238532110093</v>
      </c>
      <c r="CW280" s="188">
        <f t="shared" ref="CW280:CW316" si="823">MIN(Vout,CS280/CJ280)</f>
        <v>5</v>
      </c>
      <c r="CX280" s="188">
        <f t="shared" ref="CX280:CX316" si="824">MIN(2*(Vout*CJ280+Vout2*CK280)/(Efficiency*CN280*CR280), Isw_max)</f>
        <v>2.0669629629629629</v>
      </c>
      <c r="CY280" s="188">
        <f t="shared" ref="CY280:CY316" si="825">L*CX280/CN280*1000000</f>
        <v>0.41339259259259259</v>
      </c>
      <c r="CZ280" s="188">
        <f t="shared" ref="CZ280:CZ316" si="826">L*CX280/CO280*1000000</f>
        <v>4.3515009746588689</v>
      </c>
      <c r="DA280" s="172">
        <f t="shared" ref="DA280:DA316" si="827">IF(1/((350000*L)*(1/CN280+1/CO280))&gt;Isw_min, 350, 0.001/((Isw_min*L)*(1/CN280+1/CO280)))</f>
        <v>350</v>
      </c>
      <c r="DB280" s="379">
        <f t="shared" ref="DB280:DB316" si="828">MIN(1/(CY280+CZ280)*1000, 350)</f>
        <v>209.86827636043736</v>
      </c>
      <c r="DD280" s="188">
        <f t="shared" ref="DD280:DD316" si="829">1/((DA280*1000*L)*(1/CN280+1/CO280))</f>
        <v>1.2393998695368558</v>
      </c>
      <c r="DE280" s="150">
        <f t="shared" ref="DE280:DE316" si="830">L*DD280/CO280*1000000</f>
        <v>2.6092628832354858</v>
      </c>
      <c r="DF280" s="150">
        <f t="shared" ref="DF280:DF316" si="831">0.5*DE280*DD280*Nps*DA280/1000*(Pout/(Pout+Pout2))</f>
        <v>0.4244520101153616</v>
      </c>
      <c r="DG280" s="150"/>
      <c r="DH280" s="150">
        <f t="shared" ref="DH280:DH316" si="832">L*Isw_min/CO280*1000000</f>
        <v>2.1052631578947367</v>
      </c>
      <c r="DI280" s="314">
        <f t="shared" ref="DI280:DI316" si="833">MAX(10, CJ280/(0.5*DH280/1000000*Isw_min*Nps)/1000*Pout_total/Pout)</f>
        <v>729.6</v>
      </c>
      <c r="DJ280" s="456">
        <f t="shared" ref="DJ280:DJ316" si="834">0.5*DH280/1000000*Isw_min*Nps*DA280*1000*(Pout/Pout_total)</f>
        <v>0.36842105263157893</v>
      </c>
      <c r="DL280" s="150">
        <f t="shared" ref="DL280:DL316" si="835">SQRT((CL280+CM280)/(0.5*L*Fsw_DCM))</f>
        <v>1.561440116717653</v>
      </c>
      <c r="DM280" s="150">
        <f t="shared" ref="DM280:DM316" si="836">MAX(IF(CJ280&gt;DF280,CX280,DL280),Isw_min)</f>
        <v>2.0669629629629629</v>
      </c>
      <c r="DN280" s="150">
        <f t="shared" ref="DN280:DN316" si="837">IF(CJ280&gt;DJ280, (DM280-Isw_min)/1.08*0.8+1.2, DI280*0.2/350+1)</f>
        <v>1.9903429355281206</v>
      </c>
      <c r="DP280" s="314">
        <f t="shared" ref="DP280:DP316" si="838">CJ280*1000</f>
        <v>768</v>
      </c>
      <c r="DQ280" s="144">
        <f t="shared" ref="DQ280:DQ316" si="839">IF(CJ280&gt;DJ280, DB280, DI280)</f>
        <v>209.86827636043736</v>
      </c>
      <c r="DS280">
        <f t="shared" ref="DS280:DS316" si="840">IF(CL280&gt;CS280, "",DP280)</f>
        <v>768</v>
      </c>
      <c r="DT280">
        <f t="shared" ref="DT280:DT316" si="841">IF(CL280&gt;CS280, "",DQ280)</f>
        <v>209.86827636043736</v>
      </c>
      <c r="DV280" s="5">
        <f t="shared" si="684"/>
        <v>4.7648935672514616</v>
      </c>
      <c r="DW280" s="5">
        <f t="shared" ref="DW280:DW316" si="842">L*DM280/CN280*1000000</f>
        <v>0.41339259259259259</v>
      </c>
      <c r="DX280" s="5">
        <f t="shared" ref="DX280:DX316" si="843">DV280-DW280</f>
        <v>4.3515009746588689</v>
      </c>
      <c r="DY280" s="150">
        <f t="shared" ref="DY280:DY316" si="844">DW280/DV280</f>
        <v>8.6757990867579918E-2</v>
      </c>
      <c r="EA280" s="5">
        <f t="shared" si="713"/>
        <v>6.3497102222222219</v>
      </c>
      <c r="EB280" s="5">
        <f t="shared" si="714"/>
        <v>0.82678518518518529</v>
      </c>
      <c r="EC280" s="5">
        <f t="shared" si="715"/>
        <v>0.11604002599090314</v>
      </c>
      <c r="ED280" s="5"/>
      <c r="EE280" s="150">
        <f t="shared" si="716"/>
        <v>0.35150119874165708</v>
      </c>
      <c r="EF280" s="150">
        <f t="shared" si="717"/>
        <v>1.1404204797807642</v>
      </c>
      <c r="EG280" s="150">
        <f t="shared" si="718"/>
        <v>0.25491751900981791</v>
      </c>
      <c r="EH280" s="150"/>
      <c r="EI280" s="456">
        <f t="shared" si="719"/>
        <v>2.4710618543364381E-3</v>
      </c>
      <c r="EJ280" s="456">
        <f t="shared" si="720"/>
        <v>0.57000000000000006</v>
      </c>
      <c r="EK280" s="456">
        <f t="shared" si="721"/>
        <v>2.6233534545054667E-2</v>
      </c>
      <c r="EL280" s="456">
        <f t="shared" si="722"/>
        <v>9.058943162270644E-2</v>
      </c>
      <c r="EM280">
        <f t="shared" si="723"/>
        <v>2.7E-2</v>
      </c>
      <c r="EN280" s="144">
        <f t="shared" si="724"/>
        <v>53.233534545054667</v>
      </c>
      <c r="EP280" s="144">
        <f t="shared" si="725"/>
        <v>716.29402802209768</v>
      </c>
      <c r="EQ280" s="150">
        <f t="shared" si="726"/>
        <v>0.53759999999999997</v>
      </c>
      <c r="ER280" s="150">
        <f t="shared" ref="ER280:ER316" si="845">Vfwd22*CK280*(1+Diode_TC/1000*(Ta-25))</f>
        <v>7.0999999999999994E-2</v>
      </c>
      <c r="ES280" s="456"/>
      <c r="EU280" s="144">
        <f t="shared" si="727"/>
        <v>608.59999999999991</v>
      </c>
      <c r="EV280" s="456">
        <f t="shared" si="728"/>
        <v>3.7065927815046573E-3</v>
      </c>
      <c r="EW280" s="456">
        <f t="shared" si="729"/>
        <v>3.9016766121101651E-2</v>
      </c>
      <c r="EX280" s="456">
        <f t="shared" si="730"/>
        <v>3.2491470749060434E-4</v>
      </c>
      <c r="EY280" s="456">
        <f t="shared" si="731"/>
        <v>0.1959605864325254</v>
      </c>
      <c r="EZ280" s="456"/>
      <c r="FA280" s="538">
        <f t="shared" si="732"/>
        <v>8.9662776932183334E-4</v>
      </c>
      <c r="FB280" s="144">
        <f t="shared" si="733"/>
        <v>239.90548781194414</v>
      </c>
      <c r="FC280" s="150">
        <f t="shared" si="734"/>
        <v>1.5647995158340418</v>
      </c>
      <c r="FD280" s="5">
        <f t="shared" si="735"/>
        <v>5.12</v>
      </c>
      <c r="FE280" s="150">
        <f t="shared" si="736"/>
        <v>0.76591676203189663</v>
      </c>
      <c r="FF280" s="5">
        <f t="shared" si="737"/>
        <v>76.591676203189664</v>
      </c>
      <c r="FG280">
        <f t="shared" si="738"/>
        <v>64</v>
      </c>
      <c r="FI280" s="59">
        <f t="shared" ref="FI280:FI316" si="846">IF(ABS(CJ280-Ioutmax_Vinmax)&lt;Iout/200, DQ280, -50)</f>
        <v>-50</v>
      </c>
    </row>
    <row r="281" spans="5:165">
      <c r="E281" s="147">
        <v>65</v>
      </c>
      <c r="F281" s="188">
        <f t="shared" ref="F281:F312" si="847">IF(PLOT_TYPE=1, E281/100*Iout_max, min_I*EXP(O281*rr/100))</f>
        <v>0.78</v>
      </c>
      <c r="G281" s="188">
        <f t="shared" si="775"/>
        <v>0.16250000000000001</v>
      </c>
      <c r="H281" s="188">
        <f t="shared" si="776"/>
        <v>3.9000000000000004</v>
      </c>
      <c r="I281" s="188">
        <f t="shared" si="777"/>
        <v>1.3</v>
      </c>
      <c r="J281" s="465">
        <f t="shared" si="778"/>
        <v>59.930061208335097</v>
      </c>
      <c r="K281" s="379">
        <f t="shared" si="779"/>
        <v>5.7266036503233355</v>
      </c>
      <c r="L281" s="149">
        <f t="shared" si="780"/>
        <v>65.656664858658431</v>
      </c>
      <c r="M281" s="379"/>
      <c r="N281" s="188">
        <f t="shared" si="781"/>
        <v>8.7220446890673028E-2</v>
      </c>
      <c r="O281" s="149">
        <f t="shared" si="782"/>
        <v>9.8008626014557034</v>
      </c>
      <c r="P281" s="149">
        <f t="shared" si="783"/>
        <v>4.3559389339803118</v>
      </c>
      <c r="Q281" s="188">
        <f t="shared" si="784"/>
        <v>1.9601725202911406</v>
      </c>
      <c r="R281" s="188">
        <f t="shared" si="785"/>
        <v>1.2251078251819629</v>
      </c>
      <c r="S281" s="188">
        <f t="shared" si="786"/>
        <v>5</v>
      </c>
      <c r="T281" s="188">
        <f t="shared" si="787"/>
        <v>1.9896207908377068</v>
      </c>
      <c r="U281" s="188">
        <f t="shared" si="788"/>
        <v>0.39838853838400345</v>
      </c>
      <c r="V281" s="188">
        <f t="shared" si="789"/>
        <v>4.1692163362317611</v>
      </c>
      <c r="W281" s="172">
        <f t="shared" si="790"/>
        <v>350</v>
      </c>
      <c r="X281" s="379">
        <f t="shared" ref="X281:X316" si="848">MIN(1/(U281+V281+0.2)*1000, 350)</f>
        <v>209.74892557147845</v>
      </c>
      <c r="Z281" s="188">
        <f t="shared" si="791"/>
        <v>1.2445539811372319</v>
      </c>
      <c r="AA281" s="150">
        <f t="shared" si="792"/>
        <v>2.6079415803123625</v>
      </c>
      <c r="AB281" s="150">
        <f t="shared" si="793"/>
        <v>0.42600128502107859</v>
      </c>
      <c r="AC281" s="150"/>
      <c r="AD281" s="150">
        <f t="shared" si="794"/>
        <v>2.095482895751386</v>
      </c>
      <c r="AE281" s="314">
        <f t="shared" si="795"/>
        <v>744.45847454203374</v>
      </c>
      <c r="AF281" s="456">
        <f t="shared" si="796"/>
        <v>0.36670950675649255</v>
      </c>
      <c r="AH281" s="150">
        <f t="shared" si="797"/>
        <v>1.5735915849388864</v>
      </c>
      <c r="AI281" s="150">
        <f t="shared" si="798"/>
        <v>1.9896207908377068</v>
      </c>
      <c r="AJ281" s="150">
        <f t="shared" si="799"/>
        <v>1.9330524376575606</v>
      </c>
      <c r="AL281" s="314">
        <f t="shared" si="800"/>
        <v>780</v>
      </c>
      <c r="AM281" s="144">
        <f t="shared" si="801"/>
        <v>209.74892557147845</v>
      </c>
      <c r="AO281">
        <f t="shared" si="802"/>
        <v>780</v>
      </c>
      <c r="AP281">
        <f t="shared" si="803"/>
        <v>209.74892557147845</v>
      </c>
      <c r="AR281" s="5">
        <f t="shared" si="774"/>
        <v>4.7676048746157651</v>
      </c>
      <c r="AS281" s="5">
        <f t="shared" si="739"/>
        <v>0.39838853838400345</v>
      </c>
      <c r="AT281" s="5">
        <f t="shared" si="740"/>
        <v>4.3692163362317613</v>
      </c>
      <c r="AU281" s="150">
        <f t="shared" si="741"/>
        <v>8.3561567886036428E-2</v>
      </c>
      <c r="BA281" s="150">
        <f t="shared" ref="BA281:BA316" si="849">AI281*SQRT(AU281/3)</f>
        <v>0.3320572548518419</v>
      </c>
      <c r="BB281" s="150">
        <f t="shared" ref="BB281:BB316" si="850">AI281*Npri_sec1*SQRT((1-AU281)/3)*(Pout/Pout_total)</f>
        <v>1.0996673481610153</v>
      </c>
      <c r="BC281" s="150">
        <f t="shared" ref="BC281:BC316" si="851">AI281*Npri_sec2*SQRT((1-AU281)/3)*(Pout2/Pout_total)</f>
        <v>0.24580799547128579</v>
      </c>
      <c r="BD281" s="150"/>
      <c r="BE281" s="456">
        <f t="shared" ref="BE281:BE315" si="852">Rdson*BA281^2</f>
        <v>2.2052404099948218E-3</v>
      </c>
      <c r="BF281" s="456">
        <f t="shared" si="804"/>
        <v>0.51374800173002855</v>
      </c>
      <c r="BG281" s="456">
        <f t="shared" si="805"/>
        <v>0.31425664869703063</v>
      </c>
      <c r="BH281" s="456">
        <f t="shared" ref="BH281:BH316" si="853">0.5*(Coss+Csw)*L281^2*AM281*1000</f>
        <v>9.0418517342203464E-2</v>
      </c>
      <c r="BI281">
        <f t="shared" ref="BI281:BI316" si="854">J281*IQ</f>
        <v>2.6968527543750793E-2</v>
      </c>
      <c r="BJ281" s="144">
        <f t="shared" ref="BJ281:BJ316" si="855">(BG281+BI281)*1000</f>
        <v>341.22517624078142</v>
      </c>
      <c r="BK281">
        <f t="shared" si="806"/>
        <v>0.6072853707459418</v>
      </c>
      <c r="BL281" s="144">
        <f t="shared" ref="BL281:BL316" si="856">SUM(BE281:BI281)*1000</f>
        <v>947.5969357230083</v>
      </c>
      <c r="BM281" s="150">
        <f t="shared" si="807"/>
        <v>0.48457499999999992</v>
      </c>
      <c r="BN281" s="150">
        <f t="shared" si="808"/>
        <v>7.2109375000000003E-2</v>
      </c>
      <c r="BQ281" s="144">
        <f t="shared" ref="BQ281:BQ316" si="857">SUM(BM281:BP281)*1000</f>
        <v>556.68437499999993</v>
      </c>
      <c r="BR281" s="456">
        <f t="shared" ref="BR281:BR316" si="858">Rdcr_pri*BA281^2</f>
        <v>3.3078606149922322E-3</v>
      </c>
      <c r="BS281" s="456">
        <f t="shared" ref="BS281:BS316" si="859">Rdcr_sec*BB281^2</f>
        <v>3.6278048298344391E-2</v>
      </c>
      <c r="BT281" s="456">
        <f t="shared" ref="BT281:BT316" si="860">Rdcr_sec2*BC281^2</f>
        <v>3.0210785318805826E-4</v>
      </c>
      <c r="BU281" s="456">
        <f t="shared" ref="BU281:BU316" si="861">AI281^2.5*AM281^2.5*k_core</f>
        <v>0.17788738166103291</v>
      </c>
      <c r="BV281" s="456"/>
      <c r="BW281" s="538">
        <f t="shared" ref="BW281:BW316" si="862">0.5*Lleak*0.000000001*AI281^2*AM281*1000</f>
        <v>8.3031018623427682E-4</v>
      </c>
      <c r="BX281" s="144">
        <f t="shared" ref="BX281:BX316" si="863">SUM(BR281:BW281)*1000</f>
        <v>218.60570861379185</v>
      </c>
      <c r="BY281" s="150">
        <f t="shared" ref="BY281:BY315" si="864">SUM(BE281:BI281,BM281:BP281,BR281:BW281)</f>
        <v>1.7228870193368002</v>
      </c>
      <c r="BZ281" s="5">
        <f t="shared" ref="BZ281:BZ316" si="865">MIN(H281+I281,O281+P281)</f>
        <v>5.2</v>
      </c>
      <c r="CA281" s="150">
        <f t="shared" ref="CA281:CA316" si="866">BZ281/(BZ281+BY281)</f>
        <v>0.75113171505984666</v>
      </c>
      <c r="CB281" s="5">
        <f t="shared" ref="CB281:CB316" si="867">CA281*100</f>
        <v>75.113171505984667</v>
      </c>
      <c r="CC281">
        <f t="shared" ref="CC281:CC316" si="868">F281/Iout*100</f>
        <v>65</v>
      </c>
      <c r="CE281" s="59">
        <f t="shared" si="809"/>
        <v>-50</v>
      </c>
      <c r="CG281" s="150">
        <f t="shared" si="810"/>
        <v>0.87957854338036034</v>
      </c>
      <c r="CH281" s="150">
        <f t="shared" si="811"/>
        <v>0.47330172420499933</v>
      </c>
      <c r="CI281" s="147">
        <v>65</v>
      </c>
      <c r="CJ281" s="188">
        <f t="shared" ref="CJ281:CJ316" si="869">IF(PLOT_TYPE=1, CI281/100*Iout_max, min_I*EXP(CS281*rr/100))</f>
        <v>0.78</v>
      </c>
      <c r="CK281" s="188">
        <f t="shared" si="812"/>
        <v>0.16250000000000001</v>
      </c>
      <c r="CL281" s="188">
        <f t="shared" si="813"/>
        <v>3.9000000000000004</v>
      </c>
      <c r="CM281" s="188">
        <f t="shared" si="814"/>
        <v>1.3</v>
      </c>
      <c r="CN281" s="465">
        <f t="shared" si="815"/>
        <v>60</v>
      </c>
      <c r="CO281" s="379">
        <f t="shared" si="816"/>
        <v>5.7</v>
      </c>
      <c r="CP281" s="379">
        <f t="shared" si="817"/>
        <v>65.7</v>
      </c>
      <c r="CQ281" s="379"/>
      <c r="CR281" s="188">
        <f t="shared" si="818"/>
        <v>8.2568807339449546E-2</v>
      </c>
      <c r="CS281" s="149">
        <f t="shared" si="819"/>
        <v>9.2889908256880744</v>
      </c>
      <c r="CT281" s="149">
        <f t="shared" si="820"/>
        <v>4.1284403669724767</v>
      </c>
      <c r="CU281" s="188">
        <f t="shared" si="821"/>
        <v>1.857798165137615</v>
      </c>
      <c r="CV281" s="188">
        <f t="shared" si="822"/>
        <v>1.1611238532110093</v>
      </c>
      <c r="CW281" s="188">
        <f t="shared" si="823"/>
        <v>5</v>
      </c>
      <c r="CX281" s="188">
        <f t="shared" si="824"/>
        <v>2.0992592592592589</v>
      </c>
      <c r="CY281" s="188">
        <f t="shared" si="825"/>
        <v>0.41985185185185181</v>
      </c>
      <c r="CZ281" s="188">
        <f t="shared" si="826"/>
        <v>4.4194931773879143</v>
      </c>
      <c r="DA281" s="172">
        <f t="shared" si="827"/>
        <v>350</v>
      </c>
      <c r="DB281" s="379">
        <f t="shared" si="828"/>
        <v>206.63953364719987</v>
      </c>
      <c r="DD281" s="188">
        <f t="shared" si="829"/>
        <v>1.2393998695368558</v>
      </c>
      <c r="DE281" s="150">
        <f t="shared" si="830"/>
        <v>2.6092628832354858</v>
      </c>
      <c r="DF281" s="150">
        <f t="shared" si="831"/>
        <v>0.4244520101153616</v>
      </c>
      <c r="DG281" s="150"/>
      <c r="DH281" s="150">
        <f t="shared" si="832"/>
        <v>2.1052631578947367</v>
      </c>
      <c r="DI281" s="314">
        <f t="shared" si="833"/>
        <v>741.00000000000011</v>
      </c>
      <c r="DJ281" s="456">
        <f t="shared" si="834"/>
        <v>0.36842105263157893</v>
      </c>
      <c r="DL281" s="150">
        <f t="shared" si="835"/>
        <v>1.5735915849388864</v>
      </c>
      <c r="DM281" s="150">
        <f t="shared" si="836"/>
        <v>2.0992592592592589</v>
      </c>
      <c r="DN281" s="150">
        <f t="shared" si="837"/>
        <v>2.0142661179698216</v>
      </c>
      <c r="DP281" s="314">
        <f t="shared" si="838"/>
        <v>780</v>
      </c>
      <c r="DQ281" s="144">
        <f t="shared" si="839"/>
        <v>206.63953364719987</v>
      </c>
      <c r="DS281">
        <f t="shared" si="840"/>
        <v>780</v>
      </c>
      <c r="DT281">
        <f t="shared" si="841"/>
        <v>206.63953364719987</v>
      </c>
      <c r="DV281" s="5">
        <f t="shared" ref="DV281:DV316" si="870">1/DQ281*1000</f>
        <v>4.8393450292397659</v>
      </c>
      <c r="DW281" s="5">
        <f t="shared" si="842"/>
        <v>0.41985185185185181</v>
      </c>
      <c r="DX281" s="5">
        <f t="shared" si="843"/>
        <v>4.4194931773879143</v>
      </c>
      <c r="DY281" s="150">
        <f t="shared" si="844"/>
        <v>8.6757990867579904E-2</v>
      </c>
      <c r="EA281" s="5">
        <f t="shared" ref="EA281:EA316" si="871">CJ281*DW281/Vout_ripple*1000</f>
        <v>6.5496888888888884</v>
      </c>
      <c r="EB281" s="5">
        <f t="shared" ref="EB281:EB316" si="872">CK281*DW281/Vout_ripple2*1000</f>
        <v>0.85282407407407412</v>
      </c>
      <c r="EC281" s="5">
        <f t="shared" ref="EC281:EC316" si="873">CL281/Efficiency/CN281*DX281/Vinripple1</f>
        <v>0.11969460688758933</v>
      </c>
      <c r="ED281" s="5"/>
      <c r="EE281" s="150">
        <f t="shared" ref="EE281:EE316" si="874">DM281*SQRT(DY281/3)</f>
        <v>0.35699340497199539</v>
      </c>
      <c r="EF281" s="150">
        <f t="shared" ref="EF281:EF316" si="875">DM281*Npri_sec1*SQRT((1-DY281)/3)*(Pout/Pout_total)</f>
        <v>1.1582395497773386</v>
      </c>
      <c r="EG281" s="150">
        <f t="shared" ref="EG281:EG316" si="876">DM281*Npri_sec2*SQRT((1-DY281)/3)*(Pout2/Pout_total)</f>
        <v>0.25890060524434627</v>
      </c>
      <c r="EH281" s="150"/>
      <c r="EI281" s="456">
        <f t="shared" ref="EI281:EI316" si="877">Rdson*EE281^2</f>
        <v>2.5488858238699821E-3</v>
      </c>
      <c r="EJ281" s="456">
        <f t="shared" ref="EJ281:EJ316" si="878">0.5*CP281*DM281*DQ281*1000*Trise</f>
        <v>0.56999999999999995</v>
      </c>
      <c r="EK281" s="456">
        <f t="shared" ref="EK281:EK316" si="879">Qg*Vdd*DQ281*1000</f>
        <v>2.5829941705899983E-2</v>
      </c>
      <c r="EL281" s="456">
        <f t="shared" ref="EL281:EL316" si="880">0.5*(Coss+Csw)*CP281^2*DQ281*1000</f>
        <v>8.9195748059280197E-2</v>
      </c>
      <c r="EM281">
        <f t="shared" ref="EM281:EM316" si="881">CN281*IQ</f>
        <v>2.7E-2</v>
      </c>
      <c r="EN281" s="144">
        <f t="shared" ref="EN281:EN316" si="882">(EK281+EM281)*1000</f>
        <v>52.829941705899984</v>
      </c>
      <c r="EP281" s="144">
        <f t="shared" ref="EP281:EP316" si="883">SUM(EI281:EM281)*1000</f>
        <v>714.57457558905026</v>
      </c>
      <c r="EQ281" s="150">
        <f t="shared" ref="EQ281:EQ316" si="884">Vfwd2*CJ281</f>
        <v>0.54599999999999993</v>
      </c>
      <c r="ER281" s="150">
        <f t="shared" si="845"/>
        <v>7.2109375000000003E-2</v>
      </c>
      <c r="ES281" s="456"/>
      <c r="EU281" s="144">
        <f t="shared" ref="EU281:EU316" si="885">SUM(EQ281:ET281)*1000</f>
        <v>618.109375</v>
      </c>
      <c r="EV281" s="456">
        <f t="shared" ref="EV281:EV316" si="886">Rdcr_pri*EE281^2</f>
        <v>3.8233287358049725E-3</v>
      </c>
      <c r="EW281" s="456">
        <f t="shared" ref="EW281:EW316" si="887">Rdcr_sec*EF281^2</f>
        <v>4.0245565640052362E-2</v>
      </c>
      <c r="EX281" s="456">
        <f t="shared" ref="EX281:EX316" si="888">Rdcr_sec2*EG281^2</f>
        <v>3.3514761697944409E-4</v>
      </c>
      <c r="EY281" s="456">
        <f t="shared" ref="EY281:EY316" si="889">DM281^2.5*DQ281^2.5*k_core</f>
        <v>0.19596058643252515</v>
      </c>
      <c r="EZ281" s="456"/>
      <c r="FA281" s="538">
        <f t="shared" ref="FA281:FA316" si="890">0.5*Lleak*0.000000001*DM281^2*DQ281*1000</f>
        <v>9.1063757821748664E-4</v>
      </c>
      <c r="FB281" s="144">
        <f t="shared" ref="FB281:FB316" si="891">SUM(EV281:FA281)*1000</f>
        <v>241.27526600357942</v>
      </c>
      <c r="FC281" s="150">
        <f t="shared" ref="FC281:FC316" si="892">SUM(EI281:EM281,EQ281:ET281,EV281:FA281)</f>
        <v>1.5739592165926297</v>
      </c>
      <c r="FD281" s="5">
        <f t="shared" ref="FD281:FD316" si="893">MIN(CL281+CM281,CS281+CT281)</f>
        <v>5.2</v>
      </c>
      <c r="FE281" s="150">
        <f t="shared" ref="FE281:FE316" si="894">FD281/(FD281+FC281)</f>
        <v>0.7676456018900647</v>
      </c>
      <c r="FF281" s="5">
        <f t="shared" ref="FF281:FF316" si="895">FE281*100</f>
        <v>76.764560189006474</v>
      </c>
      <c r="FG281">
        <f t="shared" ref="FG281:FG316" si="896">CJ281/Iout*100</f>
        <v>65</v>
      </c>
      <c r="FI281" s="59">
        <f t="shared" si="846"/>
        <v>-50</v>
      </c>
    </row>
    <row r="282" spans="5:165">
      <c r="E282" s="147">
        <v>66</v>
      </c>
      <c r="F282" s="188">
        <f t="shared" si="847"/>
        <v>0.79200000000000004</v>
      </c>
      <c r="G282" s="188">
        <f t="shared" si="775"/>
        <v>0.16500000000000001</v>
      </c>
      <c r="H282" s="188">
        <f t="shared" si="776"/>
        <v>3.96</v>
      </c>
      <c r="I282" s="188">
        <f t="shared" si="777"/>
        <v>1.32</v>
      </c>
      <c r="J282" s="465">
        <f t="shared" si="778"/>
        <v>59.928985226924873</v>
      </c>
      <c r="K282" s="379">
        <f t="shared" si="779"/>
        <v>5.7270129372513869</v>
      </c>
      <c r="L282" s="149">
        <f t="shared" si="780"/>
        <v>65.655998164176253</v>
      </c>
      <c r="M282" s="379"/>
      <c r="N282" s="188">
        <f t="shared" si="781"/>
        <v>8.7227566366909717E-2</v>
      </c>
      <c r="O282" s="149">
        <f t="shared" si="782"/>
        <v>9.8014866303433887</v>
      </c>
      <c r="P282" s="149">
        <f t="shared" si="783"/>
        <v>4.3562162801526174</v>
      </c>
      <c r="Q282" s="188">
        <f t="shared" si="784"/>
        <v>1.9602973260686778</v>
      </c>
      <c r="R282" s="188">
        <f t="shared" si="785"/>
        <v>1.2251858287929236</v>
      </c>
      <c r="S282" s="188">
        <f t="shared" si="786"/>
        <v>5</v>
      </c>
      <c r="T282" s="188">
        <f t="shared" si="787"/>
        <v>2.0201017199475912</v>
      </c>
      <c r="U282" s="188">
        <f t="shared" si="788"/>
        <v>0.40449910085378871</v>
      </c>
      <c r="V282" s="188">
        <f t="shared" si="789"/>
        <v>4.2327860797544119</v>
      </c>
      <c r="W282" s="172">
        <f t="shared" si="790"/>
        <v>350</v>
      </c>
      <c r="X282" s="379">
        <f t="shared" si="848"/>
        <v>206.7275264251152</v>
      </c>
      <c r="Z282" s="188">
        <f t="shared" si="791"/>
        <v>1.2446332229007477</v>
      </c>
      <c r="AA282" s="150">
        <f t="shared" si="792"/>
        <v>2.6079212389516861</v>
      </c>
      <c r="AB282" s="150">
        <f t="shared" si="793"/>
        <v>0.42602508594289201</v>
      </c>
      <c r="AC282" s="150"/>
      <c r="AD282" s="150">
        <f t="shared" si="794"/>
        <v>2.0953331398897204</v>
      </c>
      <c r="AE282" s="314">
        <f t="shared" si="795"/>
        <v>755.96570771718314</v>
      </c>
      <c r="AF282" s="456">
        <f t="shared" si="796"/>
        <v>0.36668329948070111</v>
      </c>
      <c r="AH282" s="150">
        <f t="shared" si="797"/>
        <v>1.5856499343441837</v>
      </c>
      <c r="AI282" s="150">
        <f t="shared" si="798"/>
        <v>2.0201017199475912</v>
      </c>
      <c r="AJ282" s="150">
        <f t="shared" si="799"/>
        <v>1.9556309036648822</v>
      </c>
      <c r="AL282" s="314">
        <f t="shared" si="800"/>
        <v>792</v>
      </c>
      <c r="AM282" s="144">
        <f t="shared" si="801"/>
        <v>206.7275264251152</v>
      </c>
      <c r="AO282">
        <f t="shared" si="802"/>
        <v>792</v>
      </c>
      <c r="AP282">
        <f t="shared" si="803"/>
        <v>206.7275264251152</v>
      </c>
      <c r="AR282" s="5">
        <f t="shared" si="774"/>
        <v>4.8372851806082009</v>
      </c>
      <c r="AS282" s="5">
        <f t="shared" si="739"/>
        <v>0.40449910085378871</v>
      </c>
      <c r="AT282" s="5">
        <f t="shared" si="740"/>
        <v>4.4327860797544121</v>
      </c>
      <c r="AU282" s="150">
        <f t="shared" si="741"/>
        <v>8.3621098560686946E-2</v>
      </c>
      <c r="BA282" s="150">
        <f t="shared" si="849"/>
        <v>0.33726443403984607</v>
      </c>
      <c r="BB282" s="150">
        <f t="shared" si="850"/>
        <v>1.1164779537352514</v>
      </c>
      <c r="BC282" s="150">
        <f t="shared" si="851"/>
        <v>0.24956566024670329</v>
      </c>
      <c r="BD282" s="150"/>
      <c r="BE282" s="456">
        <f t="shared" si="852"/>
        <v>2.2749459693643535E-3</v>
      </c>
      <c r="BF282" s="456">
        <f t="shared" si="804"/>
        <v>0.51409955376943073</v>
      </c>
      <c r="BG282" s="456">
        <f t="shared" si="805"/>
        <v>0.30972427192823621</v>
      </c>
      <c r="BH282" s="456">
        <f t="shared" si="853"/>
        <v>8.9114243506154461E-2</v>
      </c>
      <c r="BI282">
        <f t="shared" si="854"/>
        <v>2.6968043352116191E-2</v>
      </c>
      <c r="BJ282" s="144">
        <f t="shared" si="855"/>
        <v>336.69231528035237</v>
      </c>
      <c r="BK282">
        <f t="shared" si="806"/>
        <v>0.60643077096044928</v>
      </c>
      <c r="BL282" s="144">
        <f t="shared" si="856"/>
        <v>942.18105852530209</v>
      </c>
      <c r="BM282" s="150">
        <f t="shared" si="807"/>
        <v>0.49202999999999997</v>
      </c>
      <c r="BN282" s="150">
        <f t="shared" si="808"/>
        <v>7.3218749999999999E-2</v>
      </c>
      <c r="BQ282" s="144">
        <f t="shared" si="857"/>
        <v>565.24874999999997</v>
      </c>
      <c r="BR282" s="456">
        <f t="shared" si="858"/>
        <v>3.4124189540465305E-3</v>
      </c>
      <c r="BS282" s="456">
        <f t="shared" si="859"/>
        <v>3.7395690635305623E-2</v>
      </c>
      <c r="BT282" s="456">
        <f t="shared" si="860"/>
        <v>3.1141509387186471E-4</v>
      </c>
      <c r="BU282" s="456">
        <f t="shared" si="861"/>
        <v>0.17819637734109073</v>
      </c>
      <c r="BV282" s="456"/>
      <c r="BW282" s="538">
        <f t="shared" si="862"/>
        <v>8.4361595534917957E-4</v>
      </c>
      <c r="BX282" s="144">
        <f t="shared" si="863"/>
        <v>220.15951797966395</v>
      </c>
      <c r="BY282" s="150">
        <f t="shared" si="864"/>
        <v>1.7275893265049658</v>
      </c>
      <c r="BZ282" s="5">
        <f t="shared" si="865"/>
        <v>5.28</v>
      </c>
      <c r="CA282" s="150">
        <f t="shared" si="866"/>
        <v>0.75346881131137844</v>
      </c>
      <c r="CB282" s="5">
        <f t="shared" si="867"/>
        <v>75.346881131137849</v>
      </c>
      <c r="CC282">
        <f t="shared" si="868"/>
        <v>66</v>
      </c>
      <c r="CE282" s="59">
        <f t="shared" si="809"/>
        <v>-50</v>
      </c>
      <c r="CG282" s="150">
        <f t="shared" si="810"/>
        <v>0.87957854338036034</v>
      </c>
      <c r="CH282" s="150">
        <f t="shared" si="811"/>
        <v>0.47330172420499944</v>
      </c>
      <c r="CI282" s="147">
        <v>66</v>
      </c>
      <c r="CJ282" s="188">
        <f t="shared" si="869"/>
        <v>0.79200000000000004</v>
      </c>
      <c r="CK282" s="188">
        <f t="shared" si="812"/>
        <v>0.16500000000000001</v>
      </c>
      <c r="CL282" s="188">
        <f t="shared" si="813"/>
        <v>3.96</v>
      </c>
      <c r="CM282" s="188">
        <f t="shared" si="814"/>
        <v>1.32</v>
      </c>
      <c r="CN282" s="465">
        <f t="shared" si="815"/>
        <v>60</v>
      </c>
      <c r="CO282" s="379">
        <f t="shared" si="816"/>
        <v>5.7</v>
      </c>
      <c r="CP282" s="379">
        <f t="shared" si="817"/>
        <v>65.7</v>
      </c>
      <c r="CQ282" s="379"/>
      <c r="CR282" s="188">
        <f t="shared" si="818"/>
        <v>8.2568807339449546E-2</v>
      </c>
      <c r="CS282" s="149">
        <f t="shared" si="819"/>
        <v>9.2889908256880744</v>
      </c>
      <c r="CT282" s="149">
        <f t="shared" si="820"/>
        <v>4.1284403669724767</v>
      </c>
      <c r="CU282" s="188">
        <f t="shared" si="821"/>
        <v>1.857798165137615</v>
      </c>
      <c r="CV282" s="188">
        <f t="shared" si="822"/>
        <v>1.1611238532110093</v>
      </c>
      <c r="CW282" s="188">
        <f t="shared" si="823"/>
        <v>5</v>
      </c>
      <c r="CX282" s="188">
        <f t="shared" si="824"/>
        <v>2.1315555555555554</v>
      </c>
      <c r="CY282" s="188">
        <f t="shared" si="825"/>
        <v>0.42631111111111109</v>
      </c>
      <c r="CZ282" s="188">
        <f t="shared" si="826"/>
        <v>4.4874853801169587</v>
      </c>
      <c r="DA282" s="172">
        <f t="shared" si="827"/>
        <v>350</v>
      </c>
      <c r="DB282" s="379">
        <f t="shared" si="828"/>
        <v>203.50863162224232</v>
      </c>
      <c r="DD282" s="188">
        <f t="shared" si="829"/>
        <v>1.2393998695368558</v>
      </c>
      <c r="DE282" s="150">
        <f t="shared" si="830"/>
        <v>2.6092628832354858</v>
      </c>
      <c r="DF282" s="150">
        <f t="shared" si="831"/>
        <v>0.4244520101153616</v>
      </c>
      <c r="DG282" s="150"/>
      <c r="DH282" s="150">
        <f t="shared" si="832"/>
        <v>2.1052631578947367</v>
      </c>
      <c r="DI282" s="314">
        <f t="shared" si="833"/>
        <v>752.40000000000009</v>
      </c>
      <c r="DJ282" s="456">
        <f t="shared" si="834"/>
        <v>0.36842105263157893</v>
      </c>
      <c r="DL282" s="150">
        <f t="shared" si="835"/>
        <v>1.5856499343441837</v>
      </c>
      <c r="DM282" s="150">
        <f t="shared" si="836"/>
        <v>2.1315555555555554</v>
      </c>
      <c r="DN282" s="150">
        <f t="shared" si="837"/>
        <v>2.0381893004115224</v>
      </c>
      <c r="DP282" s="314">
        <f t="shared" si="838"/>
        <v>792</v>
      </c>
      <c r="DQ282" s="144">
        <f t="shared" si="839"/>
        <v>203.50863162224232</v>
      </c>
      <c r="DS282">
        <f t="shared" si="840"/>
        <v>792</v>
      </c>
      <c r="DT282">
        <f t="shared" si="841"/>
        <v>203.50863162224232</v>
      </c>
      <c r="DV282" s="5">
        <f t="shared" si="870"/>
        <v>4.9137964912280694</v>
      </c>
      <c r="DW282" s="5">
        <f t="shared" si="842"/>
        <v>0.42631111111111109</v>
      </c>
      <c r="DX282" s="5">
        <f t="shared" si="843"/>
        <v>4.4874853801169579</v>
      </c>
      <c r="DY282" s="150">
        <f t="shared" si="844"/>
        <v>8.6757990867579918E-2</v>
      </c>
      <c r="EA282" s="5">
        <f t="shared" si="871"/>
        <v>6.7527680000000005</v>
      </c>
      <c r="EB282" s="5">
        <f t="shared" si="872"/>
        <v>0.87926666666666675</v>
      </c>
      <c r="EC282" s="5">
        <f t="shared" si="873"/>
        <v>0.12340584795321632</v>
      </c>
      <c r="ED282" s="5"/>
      <c r="EE282" s="150">
        <f t="shared" si="874"/>
        <v>0.36248561120233386</v>
      </c>
      <c r="EF282" s="150">
        <f t="shared" si="875"/>
        <v>1.1760586197739131</v>
      </c>
      <c r="EG282" s="150">
        <f t="shared" si="876"/>
        <v>0.26288369147887469</v>
      </c>
      <c r="EH282" s="150"/>
      <c r="EI282" s="456">
        <f t="shared" si="877"/>
        <v>2.6279163665745907E-3</v>
      </c>
      <c r="EJ282" s="456">
        <f t="shared" si="878"/>
        <v>0.57000000000000006</v>
      </c>
      <c r="EK282" s="456">
        <f t="shared" si="879"/>
        <v>2.5438578952780289E-2</v>
      </c>
      <c r="EL282" s="456">
        <f t="shared" si="880"/>
        <v>8.7844297331109295E-2</v>
      </c>
      <c r="EM282">
        <f t="shared" si="881"/>
        <v>2.7E-2</v>
      </c>
      <c r="EN282" s="144">
        <f t="shared" si="882"/>
        <v>52.438578952780283</v>
      </c>
      <c r="EP282" s="144">
        <f t="shared" si="883"/>
        <v>712.91079265046415</v>
      </c>
      <c r="EQ282" s="150">
        <f t="shared" si="884"/>
        <v>0.5544</v>
      </c>
      <c r="ER282" s="150">
        <f t="shared" si="845"/>
        <v>7.3218749999999999E-2</v>
      </c>
      <c r="ES282" s="456"/>
      <c r="EU282" s="144">
        <f t="shared" si="885"/>
        <v>627.61874999999998</v>
      </c>
      <c r="EV282" s="456">
        <f t="shared" si="886"/>
        <v>3.9418745498618858E-3</v>
      </c>
      <c r="EW282" s="456">
        <f t="shared" si="887"/>
        <v>4.1493416314335646E-2</v>
      </c>
      <c r="EX282" s="456">
        <f t="shared" si="888"/>
        <v>3.4553917622780087E-4</v>
      </c>
      <c r="EY282" s="456">
        <f t="shared" si="889"/>
        <v>0.19596058643252567</v>
      </c>
      <c r="EZ282" s="456"/>
      <c r="FA282" s="538">
        <f t="shared" si="890"/>
        <v>9.2464738711314071E-4</v>
      </c>
      <c r="FB282" s="144">
        <f t="shared" si="891"/>
        <v>242.66606386006416</v>
      </c>
      <c r="FC282" s="150">
        <f t="shared" si="892"/>
        <v>1.5831956065105284</v>
      </c>
      <c r="FD282" s="5">
        <f t="shared" si="893"/>
        <v>5.28</v>
      </c>
      <c r="FE282" s="150">
        <f t="shared" si="894"/>
        <v>0.76932092609910674</v>
      </c>
      <c r="FF282" s="5">
        <f t="shared" si="895"/>
        <v>76.932092609910669</v>
      </c>
      <c r="FG282">
        <f t="shared" si="896"/>
        <v>66</v>
      </c>
      <c r="FI282" s="59">
        <f t="shared" si="846"/>
        <v>-50</v>
      </c>
    </row>
    <row r="283" spans="5:165">
      <c r="E283" s="147">
        <v>67</v>
      </c>
      <c r="F283" s="188">
        <f t="shared" si="847"/>
        <v>0.80400000000000005</v>
      </c>
      <c r="G283" s="188">
        <f t="shared" si="775"/>
        <v>0.16750000000000001</v>
      </c>
      <c r="H283" s="188">
        <f t="shared" si="776"/>
        <v>4.0200000000000005</v>
      </c>
      <c r="I283" s="188">
        <f t="shared" si="777"/>
        <v>1.34</v>
      </c>
      <c r="J283" s="465">
        <f t="shared" si="778"/>
        <v>59.927909245514641</v>
      </c>
      <c r="K283" s="379">
        <f t="shared" si="779"/>
        <v>5.7274222241794384</v>
      </c>
      <c r="L283" s="149">
        <f t="shared" si="780"/>
        <v>65.655331469694076</v>
      </c>
      <c r="M283" s="379"/>
      <c r="N283" s="188">
        <f t="shared" si="781"/>
        <v>8.7234685987735303E-2</v>
      </c>
      <c r="O283" s="149">
        <f t="shared" si="782"/>
        <v>9.802110646751192</v>
      </c>
      <c r="P283" s="149">
        <f t="shared" si="783"/>
        <v>4.3564936207783074</v>
      </c>
      <c r="Q283" s="188">
        <f t="shared" si="784"/>
        <v>1.9604221293502384</v>
      </c>
      <c r="R283" s="188">
        <f t="shared" si="785"/>
        <v>1.225263830843899</v>
      </c>
      <c r="S283" s="188">
        <f t="shared" si="786"/>
        <v>5</v>
      </c>
      <c r="T283" s="188">
        <f t="shared" si="787"/>
        <v>2.0505787706713896</v>
      </c>
      <c r="U283" s="188">
        <f t="shared" si="788"/>
        <v>0.41060910613861273</v>
      </c>
      <c r="V283" s="188">
        <f t="shared" si="789"/>
        <v>4.2963386118407021</v>
      </c>
      <c r="W283" s="172">
        <f t="shared" si="790"/>
        <v>350</v>
      </c>
      <c r="X283" s="379">
        <f t="shared" si="848"/>
        <v>203.79267468775902</v>
      </c>
      <c r="Z283" s="188">
        <f t="shared" si="791"/>
        <v>1.2447124630795163</v>
      </c>
      <c r="AA283" s="150">
        <f t="shared" si="792"/>
        <v>2.607900897177899</v>
      </c>
      <c r="AB283" s="150">
        <f t="shared" si="793"/>
        <v>0.42604888583165779</v>
      </c>
      <c r="AC283" s="150"/>
      <c r="AD283" s="150">
        <f t="shared" si="794"/>
        <v>2.0951834054314422</v>
      </c>
      <c r="AE283" s="314">
        <f t="shared" si="795"/>
        <v>767.47457804004478</v>
      </c>
      <c r="AF283" s="456">
        <f t="shared" si="796"/>
        <v>0.36665709595050244</v>
      </c>
      <c r="AH283" s="150">
        <f t="shared" si="797"/>
        <v>1.5976172734359606</v>
      </c>
      <c r="AI283" s="150">
        <f t="shared" si="798"/>
        <v>2.0505787706713896</v>
      </c>
      <c r="AJ283" s="150">
        <f t="shared" si="799"/>
        <v>1.9782064967936219</v>
      </c>
      <c r="AL283" s="314">
        <f t="shared" si="800"/>
        <v>804</v>
      </c>
      <c r="AM283" s="144">
        <f t="shared" si="801"/>
        <v>203.79267468775902</v>
      </c>
      <c r="AO283">
        <f t="shared" si="802"/>
        <v>804</v>
      </c>
      <c r="AP283">
        <f t="shared" si="803"/>
        <v>203.79267468775902</v>
      </c>
      <c r="AR283" s="5">
        <f t="shared" si="774"/>
        <v>4.9069477179793148</v>
      </c>
      <c r="AS283" s="5">
        <f t="shared" si="739"/>
        <v>0.41060910613861273</v>
      </c>
      <c r="AT283" s="5">
        <f t="shared" si="740"/>
        <v>4.4963386118407023</v>
      </c>
      <c r="AU283" s="150">
        <f t="shared" si="741"/>
        <v>8.3679127991137817E-2</v>
      </c>
      <c r="BA283" s="150">
        <f t="shared" si="849"/>
        <v>0.3424714735643819</v>
      </c>
      <c r="BB283" s="150">
        <f t="shared" si="850"/>
        <v>1.1332862486462558</v>
      </c>
      <c r="BC283" s="150">
        <f t="shared" si="851"/>
        <v>0.25332280852092776</v>
      </c>
      <c r="BD283" s="150"/>
      <c r="BE283" s="456">
        <f t="shared" si="852"/>
        <v>2.3457342041071829E-3</v>
      </c>
      <c r="BF283" s="456">
        <f t="shared" si="804"/>
        <v>0.51444185608442705</v>
      </c>
      <c r="BG283" s="456">
        <f t="shared" si="805"/>
        <v>0.30532172283971776</v>
      </c>
      <c r="BH283" s="456">
        <f t="shared" si="853"/>
        <v>8.7847329911444796E-2</v>
      </c>
      <c r="BI283">
        <f t="shared" si="854"/>
        <v>2.6967559160481588E-2</v>
      </c>
      <c r="BJ283" s="144">
        <f t="shared" si="855"/>
        <v>332.28928200019936</v>
      </c>
      <c r="BK283">
        <f t="shared" si="806"/>
        <v>0.60560580067631442</v>
      </c>
      <c r="BL283" s="144">
        <f t="shared" si="856"/>
        <v>936.92420220017834</v>
      </c>
      <c r="BM283" s="150">
        <f t="shared" si="807"/>
        <v>0.49948499999999996</v>
      </c>
      <c r="BN283" s="150">
        <f t="shared" si="808"/>
        <v>7.4328124999999995E-2</v>
      </c>
      <c r="BQ283" s="144">
        <f t="shared" si="857"/>
        <v>573.8131249999999</v>
      </c>
      <c r="BR283" s="456">
        <f t="shared" si="858"/>
        <v>3.5186013061607739E-3</v>
      </c>
      <c r="BS283" s="456">
        <f t="shared" si="859"/>
        <v>3.8530131641121096E-2</v>
      </c>
      <c r="BT283" s="456">
        <f t="shared" si="860"/>
        <v>3.2086222658465316E-4</v>
      </c>
      <c r="BU283" s="456">
        <f t="shared" si="861"/>
        <v>0.17849767749288059</v>
      </c>
      <c r="BV283" s="456"/>
      <c r="BW283" s="538">
        <f t="shared" si="862"/>
        <v>8.569223754557871E-4</v>
      </c>
      <c r="BX283" s="144">
        <f t="shared" si="863"/>
        <v>221.72419504220289</v>
      </c>
      <c r="BY283" s="150">
        <f t="shared" si="864"/>
        <v>1.7324615222423811</v>
      </c>
      <c r="BZ283" s="5">
        <f t="shared" si="865"/>
        <v>5.36</v>
      </c>
      <c r="CA283" s="150">
        <f t="shared" si="866"/>
        <v>0.75573198151173915</v>
      </c>
      <c r="CB283" s="5">
        <f t="shared" si="867"/>
        <v>75.573198151173912</v>
      </c>
      <c r="CC283">
        <f t="shared" si="868"/>
        <v>67</v>
      </c>
      <c r="CE283" s="59">
        <f t="shared" si="809"/>
        <v>-50</v>
      </c>
      <c r="CG283" s="150">
        <f t="shared" si="810"/>
        <v>0.87957854338036034</v>
      </c>
      <c r="CH283" s="150">
        <f t="shared" si="811"/>
        <v>0.47330172420499939</v>
      </c>
      <c r="CI283" s="147">
        <v>67</v>
      </c>
      <c r="CJ283" s="188">
        <f t="shared" si="869"/>
        <v>0.80400000000000005</v>
      </c>
      <c r="CK283" s="188">
        <f t="shared" si="812"/>
        <v>0.16750000000000001</v>
      </c>
      <c r="CL283" s="188">
        <f t="shared" si="813"/>
        <v>4.0200000000000005</v>
      </c>
      <c r="CM283" s="188">
        <f t="shared" si="814"/>
        <v>1.34</v>
      </c>
      <c r="CN283" s="465">
        <f t="shared" si="815"/>
        <v>60</v>
      </c>
      <c r="CO283" s="379">
        <f t="shared" si="816"/>
        <v>5.7</v>
      </c>
      <c r="CP283" s="379">
        <f t="shared" si="817"/>
        <v>65.7</v>
      </c>
      <c r="CQ283" s="379"/>
      <c r="CR283" s="188">
        <f t="shared" si="818"/>
        <v>8.2568807339449546E-2</v>
      </c>
      <c r="CS283" s="149">
        <f t="shared" si="819"/>
        <v>9.2889908256880744</v>
      </c>
      <c r="CT283" s="149">
        <f t="shared" si="820"/>
        <v>4.1284403669724767</v>
      </c>
      <c r="CU283" s="188">
        <f t="shared" si="821"/>
        <v>1.857798165137615</v>
      </c>
      <c r="CV283" s="188">
        <f t="shared" si="822"/>
        <v>1.1611238532110093</v>
      </c>
      <c r="CW283" s="188">
        <f t="shared" si="823"/>
        <v>5</v>
      </c>
      <c r="CX283" s="188">
        <f t="shared" si="824"/>
        <v>2.1638518518518519</v>
      </c>
      <c r="CY283" s="188">
        <f t="shared" si="825"/>
        <v>0.43277037037037042</v>
      </c>
      <c r="CZ283" s="188">
        <f t="shared" si="826"/>
        <v>4.5554775828460041</v>
      </c>
      <c r="DA283" s="172">
        <f t="shared" si="827"/>
        <v>350</v>
      </c>
      <c r="DB283" s="379">
        <f t="shared" si="828"/>
        <v>200.47118935922373</v>
      </c>
      <c r="DD283" s="188">
        <f t="shared" si="829"/>
        <v>1.2393998695368558</v>
      </c>
      <c r="DE283" s="150">
        <f t="shared" si="830"/>
        <v>2.6092628832354858</v>
      </c>
      <c r="DF283" s="150">
        <f t="shared" si="831"/>
        <v>0.4244520101153616</v>
      </c>
      <c r="DG283" s="150"/>
      <c r="DH283" s="150">
        <f t="shared" si="832"/>
        <v>2.1052631578947367</v>
      </c>
      <c r="DI283" s="314">
        <f t="shared" si="833"/>
        <v>763.80000000000007</v>
      </c>
      <c r="DJ283" s="456">
        <f t="shared" si="834"/>
        <v>0.36842105263157893</v>
      </c>
      <c r="DL283" s="150">
        <f t="shared" si="835"/>
        <v>1.5976172734359606</v>
      </c>
      <c r="DM283" s="150">
        <f t="shared" si="836"/>
        <v>2.1638518518518519</v>
      </c>
      <c r="DN283" s="150">
        <f t="shared" si="837"/>
        <v>2.0621124828532236</v>
      </c>
      <c r="DP283" s="314">
        <f t="shared" si="838"/>
        <v>804</v>
      </c>
      <c r="DQ283" s="144">
        <f t="shared" si="839"/>
        <v>200.47118935922373</v>
      </c>
      <c r="DS283">
        <f t="shared" si="840"/>
        <v>804</v>
      </c>
      <c r="DT283">
        <f t="shared" si="841"/>
        <v>200.47118935922373</v>
      </c>
      <c r="DV283" s="5">
        <f t="shared" si="870"/>
        <v>4.9882479532163746</v>
      </c>
      <c r="DW283" s="5">
        <f t="shared" si="842"/>
        <v>0.43277037037037042</v>
      </c>
      <c r="DX283" s="5">
        <f t="shared" si="843"/>
        <v>4.5554775828460041</v>
      </c>
      <c r="DY283" s="150">
        <f t="shared" si="844"/>
        <v>8.6757990867579918E-2</v>
      </c>
      <c r="EA283" s="5">
        <f t="shared" si="871"/>
        <v>6.9589475555555564</v>
      </c>
      <c r="EB283" s="5">
        <f t="shared" si="872"/>
        <v>0.90611296296296306</v>
      </c>
      <c r="EC283" s="5">
        <f t="shared" si="873"/>
        <v>0.12717374918778426</v>
      </c>
      <c r="ED283" s="5"/>
      <c r="EE283" s="150">
        <f t="shared" si="874"/>
        <v>0.36797781743267227</v>
      </c>
      <c r="EF283" s="150">
        <f t="shared" si="875"/>
        <v>1.1938776897704877</v>
      </c>
      <c r="EG283" s="150">
        <f t="shared" si="876"/>
        <v>0.26686677771340311</v>
      </c>
      <c r="EH283" s="150"/>
      <c r="EI283" s="456">
        <f t="shared" si="877"/>
        <v>2.7081534824502616E-3</v>
      </c>
      <c r="EJ283" s="456">
        <f t="shared" si="878"/>
        <v>0.57000000000000006</v>
      </c>
      <c r="EK283" s="456">
        <f t="shared" si="879"/>
        <v>2.5058898669902966E-2</v>
      </c>
      <c r="EL283" s="456">
        <f t="shared" si="880"/>
        <v>8.6533188415719581E-2</v>
      </c>
      <c r="EM283">
        <f t="shared" si="881"/>
        <v>2.7E-2</v>
      </c>
      <c r="EN283" s="144">
        <f t="shared" si="882"/>
        <v>52.058898669902966</v>
      </c>
      <c r="EP283" s="144">
        <f t="shared" si="883"/>
        <v>711.30024056807281</v>
      </c>
      <c r="EQ283" s="150">
        <f t="shared" si="884"/>
        <v>0.56279999999999997</v>
      </c>
      <c r="ER283" s="150">
        <f t="shared" si="845"/>
        <v>7.4328124999999995E-2</v>
      </c>
      <c r="ES283" s="456"/>
      <c r="EU283" s="144">
        <f t="shared" si="885"/>
        <v>637.12812499999995</v>
      </c>
      <c r="EV283" s="456">
        <f t="shared" si="886"/>
        <v>4.0622302236753925E-3</v>
      </c>
      <c r="EW283" s="456">
        <f t="shared" si="887"/>
        <v>4.2760318143951502E-2</v>
      </c>
      <c r="EX283" s="456">
        <f t="shared" si="888"/>
        <v>3.5608938523567455E-4</v>
      </c>
      <c r="EY283" s="456">
        <f t="shared" si="889"/>
        <v>0.1959605864325252</v>
      </c>
      <c r="EZ283" s="456"/>
      <c r="FA283" s="538">
        <f t="shared" si="890"/>
        <v>9.3865719600879423E-4</v>
      </c>
      <c r="FB283" s="144">
        <f t="shared" si="891"/>
        <v>244.07788138139657</v>
      </c>
      <c r="FC283" s="150">
        <f t="shared" si="892"/>
        <v>1.5925062469494695</v>
      </c>
      <c r="FD283" s="5">
        <f t="shared" si="893"/>
        <v>5.36</v>
      </c>
      <c r="FE283" s="150">
        <f t="shared" si="894"/>
        <v>0.77094501027622819</v>
      </c>
      <c r="FF283" s="5">
        <f t="shared" si="895"/>
        <v>77.094501027622826</v>
      </c>
      <c r="FG283">
        <f t="shared" si="896"/>
        <v>67</v>
      </c>
      <c r="FI283" s="59">
        <f t="shared" si="846"/>
        <v>-50</v>
      </c>
    </row>
    <row r="284" spans="5:165">
      <c r="E284" s="147">
        <v>68</v>
      </c>
      <c r="F284" s="188">
        <f t="shared" si="847"/>
        <v>0.81600000000000006</v>
      </c>
      <c r="G284" s="188">
        <f t="shared" si="775"/>
        <v>0.17</v>
      </c>
      <c r="H284" s="188">
        <f t="shared" si="776"/>
        <v>4.08</v>
      </c>
      <c r="I284" s="188">
        <f t="shared" si="777"/>
        <v>1.36</v>
      </c>
      <c r="J284" s="465">
        <f t="shared" si="778"/>
        <v>59.92683326410441</v>
      </c>
      <c r="K284" s="379">
        <f t="shared" si="779"/>
        <v>5.7278315111074898</v>
      </c>
      <c r="L284" s="149">
        <f t="shared" si="780"/>
        <v>65.654664775211899</v>
      </c>
      <c r="M284" s="379"/>
      <c r="N284" s="188">
        <f t="shared" si="781"/>
        <v>8.724180575315417E-2</v>
      </c>
      <c r="O284" s="149">
        <f t="shared" si="782"/>
        <v>9.8027346506787278</v>
      </c>
      <c r="P284" s="149">
        <f t="shared" si="783"/>
        <v>4.3567709558572121</v>
      </c>
      <c r="Q284" s="188">
        <f t="shared" si="784"/>
        <v>1.9605469301357457</v>
      </c>
      <c r="R284" s="188">
        <f t="shared" si="785"/>
        <v>1.225341831334841</v>
      </c>
      <c r="S284" s="188">
        <f t="shared" si="786"/>
        <v>5</v>
      </c>
      <c r="T284" s="188">
        <f t="shared" si="787"/>
        <v>2.0810519438662491</v>
      </c>
      <c r="U284" s="188">
        <f t="shared" si="788"/>
        <v>0.41671855438010186</v>
      </c>
      <c r="V284" s="188">
        <f t="shared" si="789"/>
        <v>4.3598739379759577</v>
      </c>
      <c r="W284" s="172">
        <f t="shared" si="790"/>
        <v>350</v>
      </c>
      <c r="X284" s="379">
        <f t="shared" si="848"/>
        <v>200.94070421397345</v>
      </c>
      <c r="Z284" s="188">
        <f t="shared" si="791"/>
        <v>1.2447917016734891</v>
      </c>
      <c r="AA284" s="150">
        <f t="shared" si="792"/>
        <v>2.607880554990988</v>
      </c>
      <c r="AB284" s="150">
        <f t="shared" si="793"/>
        <v>0.42607268468735715</v>
      </c>
      <c r="AC284" s="150"/>
      <c r="AD284" s="150">
        <f t="shared" si="794"/>
        <v>2.0950336923719624</v>
      </c>
      <c r="AE284" s="314">
        <f t="shared" si="795"/>
        <v>778.98508551061866</v>
      </c>
      <c r="AF284" s="456">
        <f t="shared" si="796"/>
        <v>0.36663089616509342</v>
      </c>
      <c r="AH284" s="150">
        <f t="shared" si="797"/>
        <v>1.6094956323259131</v>
      </c>
      <c r="AI284" s="150">
        <f t="shared" si="798"/>
        <v>2.0810519438662491</v>
      </c>
      <c r="AJ284" s="150">
        <f t="shared" si="799"/>
        <v>2.0007792176787031</v>
      </c>
      <c r="AL284" s="314">
        <f t="shared" si="800"/>
        <v>816.00000000000011</v>
      </c>
      <c r="AM284" s="144">
        <f t="shared" si="801"/>
        <v>200.94070421397345</v>
      </c>
      <c r="AO284">
        <f t="shared" si="802"/>
        <v>816.00000000000011</v>
      </c>
      <c r="AP284">
        <f t="shared" si="803"/>
        <v>200.94070421397345</v>
      </c>
      <c r="AR284" s="5">
        <f t="shared" si="774"/>
        <v>4.97659249235606</v>
      </c>
      <c r="AS284" s="5">
        <f t="shared" si="739"/>
        <v>0.41671855438010186</v>
      </c>
      <c r="AT284" s="5">
        <f t="shared" si="740"/>
        <v>4.5598739379759579</v>
      </c>
      <c r="AU284" s="150">
        <f t="shared" si="741"/>
        <v>8.3735719776166659E-2</v>
      </c>
      <c r="BA284" s="150">
        <f t="shared" si="849"/>
        <v>0.34767836930697926</v>
      </c>
      <c r="BB284" s="150">
        <f t="shared" si="850"/>
        <v>1.1500922350863303</v>
      </c>
      <c r="BC284" s="150">
        <f t="shared" si="851"/>
        <v>0.25707944078400324</v>
      </c>
      <c r="BD284" s="150"/>
      <c r="BE284" s="456">
        <f t="shared" si="852"/>
        <v>2.4176049696792053E-3</v>
      </c>
      <c r="BF284" s="456">
        <f t="shared" si="804"/>
        <v>0.51477530043474884</v>
      </c>
      <c r="BG284" s="456">
        <f t="shared" si="805"/>
        <v>0.30104350193506269</v>
      </c>
      <c r="BH284" s="456">
        <f t="shared" si="853"/>
        <v>8.6616193979441564E-2</v>
      </c>
      <c r="BI284">
        <f t="shared" si="854"/>
        <v>2.6967074968846982E-2</v>
      </c>
      <c r="BJ284" s="144">
        <f t="shared" si="855"/>
        <v>328.01057690390968</v>
      </c>
      <c r="BK284">
        <f t="shared" si="806"/>
        <v>0.60480926904462817</v>
      </c>
      <c r="BL284" s="144">
        <f t="shared" si="856"/>
        <v>931.81967628777932</v>
      </c>
      <c r="BM284" s="150">
        <f t="shared" si="807"/>
        <v>0.50694000000000006</v>
      </c>
      <c r="BN284" s="150">
        <f t="shared" si="808"/>
        <v>7.5437500000000005E-2</v>
      </c>
      <c r="BQ284" s="144">
        <f t="shared" si="857"/>
        <v>582.37750000000005</v>
      </c>
      <c r="BR284" s="456">
        <f t="shared" si="858"/>
        <v>3.6264074545188075E-3</v>
      </c>
      <c r="BS284" s="456">
        <f t="shared" si="859"/>
        <v>3.9681364476176123E-2</v>
      </c>
      <c r="BT284" s="456">
        <f t="shared" si="860"/>
        <v>3.3044919436907917E-4</v>
      </c>
      <c r="BU284" s="456">
        <f t="shared" si="861"/>
        <v>0.17879159777222078</v>
      </c>
      <c r="BV284" s="456"/>
      <c r="BW284" s="538">
        <f t="shared" si="862"/>
        <v>8.7022941896919954E-4</v>
      </c>
      <c r="BX284" s="144">
        <f t="shared" si="863"/>
        <v>223.30004831625399</v>
      </c>
      <c r="BY284" s="150">
        <f t="shared" si="864"/>
        <v>1.7374972246040332</v>
      </c>
      <c r="BZ284" s="5">
        <f t="shared" si="865"/>
        <v>5.44</v>
      </c>
      <c r="CA284" s="150">
        <f t="shared" si="866"/>
        <v>0.75792436134311603</v>
      </c>
      <c r="CB284" s="5">
        <f t="shared" si="867"/>
        <v>75.7924361343116</v>
      </c>
      <c r="CC284">
        <f t="shared" si="868"/>
        <v>68</v>
      </c>
      <c r="CE284" s="59">
        <f t="shared" si="809"/>
        <v>-50</v>
      </c>
      <c r="CG284" s="150">
        <f t="shared" si="810"/>
        <v>0.87957854338036034</v>
      </c>
      <c r="CH284" s="150">
        <f t="shared" si="811"/>
        <v>0.47330172420499933</v>
      </c>
      <c r="CI284" s="147">
        <v>68</v>
      </c>
      <c r="CJ284" s="188">
        <f t="shared" si="869"/>
        <v>0.81600000000000006</v>
      </c>
      <c r="CK284" s="188">
        <f t="shared" si="812"/>
        <v>0.17</v>
      </c>
      <c r="CL284" s="188">
        <f t="shared" si="813"/>
        <v>4.08</v>
      </c>
      <c r="CM284" s="188">
        <f t="shared" si="814"/>
        <v>1.36</v>
      </c>
      <c r="CN284" s="465">
        <f t="shared" si="815"/>
        <v>60</v>
      </c>
      <c r="CO284" s="379">
        <f t="shared" si="816"/>
        <v>5.7</v>
      </c>
      <c r="CP284" s="379">
        <f t="shared" si="817"/>
        <v>65.7</v>
      </c>
      <c r="CQ284" s="379"/>
      <c r="CR284" s="188">
        <f t="shared" si="818"/>
        <v>8.2568807339449546E-2</v>
      </c>
      <c r="CS284" s="149">
        <f t="shared" si="819"/>
        <v>9.2889908256880744</v>
      </c>
      <c r="CT284" s="149">
        <f t="shared" si="820"/>
        <v>4.1284403669724767</v>
      </c>
      <c r="CU284" s="188">
        <f t="shared" si="821"/>
        <v>1.857798165137615</v>
      </c>
      <c r="CV284" s="188">
        <f t="shared" si="822"/>
        <v>1.1611238532110093</v>
      </c>
      <c r="CW284" s="188">
        <f t="shared" si="823"/>
        <v>5</v>
      </c>
      <c r="CX284" s="188">
        <f t="shared" si="824"/>
        <v>2.196148148148148</v>
      </c>
      <c r="CY284" s="188">
        <f t="shared" si="825"/>
        <v>0.43922962962962964</v>
      </c>
      <c r="CZ284" s="188">
        <f t="shared" si="826"/>
        <v>4.6234697855750486</v>
      </c>
      <c r="DA284" s="172">
        <f t="shared" si="827"/>
        <v>350</v>
      </c>
      <c r="DB284" s="379">
        <f t="shared" si="828"/>
        <v>197.5230836333528</v>
      </c>
      <c r="DD284" s="188">
        <f t="shared" si="829"/>
        <v>1.2393998695368558</v>
      </c>
      <c r="DE284" s="150">
        <f t="shared" si="830"/>
        <v>2.6092628832354858</v>
      </c>
      <c r="DF284" s="150">
        <f t="shared" si="831"/>
        <v>0.4244520101153616</v>
      </c>
      <c r="DG284" s="150"/>
      <c r="DH284" s="150">
        <f t="shared" si="832"/>
        <v>2.1052631578947367</v>
      </c>
      <c r="DI284" s="314">
        <f t="shared" si="833"/>
        <v>775.20000000000016</v>
      </c>
      <c r="DJ284" s="456">
        <f t="shared" si="834"/>
        <v>0.36842105263157893</v>
      </c>
      <c r="DL284" s="150">
        <f t="shared" si="835"/>
        <v>1.6094956323259131</v>
      </c>
      <c r="DM284" s="150">
        <f t="shared" si="836"/>
        <v>2.196148148148148</v>
      </c>
      <c r="DN284" s="150">
        <f t="shared" si="837"/>
        <v>2.0860356652949243</v>
      </c>
      <c r="DP284" s="314">
        <f t="shared" si="838"/>
        <v>816.00000000000011</v>
      </c>
      <c r="DQ284" s="144">
        <f t="shared" si="839"/>
        <v>197.5230836333528</v>
      </c>
      <c r="DS284">
        <f t="shared" si="840"/>
        <v>816.00000000000011</v>
      </c>
      <c r="DT284">
        <f t="shared" si="841"/>
        <v>197.5230836333528</v>
      </c>
      <c r="DV284" s="5">
        <f t="shared" si="870"/>
        <v>5.062699415204678</v>
      </c>
      <c r="DW284" s="5">
        <f t="shared" si="842"/>
        <v>0.43922962962962964</v>
      </c>
      <c r="DX284" s="5">
        <f t="shared" si="843"/>
        <v>4.6234697855750486</v>
      </c>
      <c r="DY284" s="150">
        <f t="shared" si="844"/>
        <v>8.6757990867579918E-2</v>
      </c>
      <c r="EA284" s="5">
        <f t="shared" si="871"/>
        <v>7.1682275555555561</v>
      </c>
      <c r="EB284" s="5">
        <f t="shared" si="872"/>
        <v>0.93336296296296317</v>
      </c>
      <c r="EC284" s="5">
        <f t="shared" si="873"/>
        <v>0.13099831059129302</v>
      </c>
      <c r="ED284" s="5"/>
      <c r="EE284" s="150">
        <f t="shared" si="874"/>
        <v>0.37347002366301063</v>
      </c>
      <c r="EF284" s="150">
        <f t="shared" si="875"/>
        <v>1.211696759767062</v>
      </c>
      <c r="EG284" s="150">
        <f t="shared" si="876"/>
        <v>0.27084986394793148</v>
      </c>
      <c r="EH284" s="150"/>
      <c r="EI284" s="456">
        <f t="shared" si="877"/>
        <v>2.7895971714969941E-3</v>
      </c>
      <c r="EJ284" s="456">
        <f t="shared" si="878"/>
        <v>0.57000000000000006</v>
      </c>
      <c r="EK284" s="456">
        <f t="shared" si="879"/>
        <v>2.4690385454169097E-2</v>
      </c>
      <c r="EL284" s="456">
        <f t="shared" si="880"/>
        <v>8.5260641527253114E-2</v>
      </c>
      <c r="EM284">
        <f t="shared" si="881"/>
        <v>2.7E-2</v>
      </c>
      <c r="EN284" s="144">
        <f t="shared" si="882"/>
        <v>51.690385454169096</v>
      </c>
      <c r="EP284" s="144">
        <f t="shared" si="883"/>
        <v>709.74062415291928</v>
      </c>
      <c r="EQ284" s="150">
        <f t="shared" si="884"/>
        <v>0.57120000000000004</v>
      </c>
      <c r="ER284" s="150">
        <f t="shared" si="845"/>
        <v>7.5437500000000005E-2</v>
      </c>
      <c r="ES284" s="456"/>
      <c r="EU284" s="144">
        <f t="shared" si="885"/>
        <v>646.63750000000005</v>
      </c>
      <c r="EV284" s="456">
        <f t="shared" si="886"/>
        <v>4.1843957572454907E-3</v>
      </c>
      <c r="EW284" s="456">
        <f t="shared" si="887"/>
        <v>4.4046271128899916E-2</v>
      </c>
      <c r="EX284" s="456">
        <f t="shared" si="888"/>
        <v>3.6679824400306498E-4</v>
      </c>
      <c r="EY284" s="456">
        <f t="shared" si="889"/>
        <v>0.19596058643252526</v>
      </c>
      <c r="EZ284" s="456"/>
      <c r="FA284" s="538">
        <f t="shared" si="890"/>
        <v>9.5266700490444765E-4</v>
      </c>
      <c r="FB284" s="144">
        <f t="shared" si="891"/>
        <v>245.51071856757821</v>
      </c>
      <c r="FC284" s="150">
        <f t="shared" si="892"/>
        <v>1.6018888427204974</v>
      </c>
      <c r="FD284" s="5">
        <f t="shared" si="893"/>
        <v>5.44</v>
      </c>
      <c r="FE284" s="150">
        <f t="shared" si="894"/>
        <v>0.77252000443369129</v>
      </c>
      <c r="FF284" s="5">
        <f t="shared" si="895"/>
        <v>77.252000443369127</v>
      </c>
      <c r="FG284">
        <f t="shared" si="896"/>
        <v>68</v>
      </c>
      <c r="FI284" s="59">
        <f t="shared" si="846"/>
        <v>-50</v>
      </c>
    </row>
    <row r="285" spans="5:165">
      <c r="E285" s="147">
        <v>69</v>
      </c>
      <c r="F285" s="188">
        <f t="shared" si="847"/>
        <v>0.82799999999999996</v>
      </c>
      <c r="G285" s="188">
        <f t="shared" si="775"/>
        <v>0.17249999999999999</v>
      </c>
      <c r="H285" s="188">
        <f t="shared" si="776"/>
        <v>4.1399999999999997</v>
      </c>
      <c r="I285" s="188">
        <f t="shared" si="777"/>
        <v>1.38</v>
      </c>
      <c r="J285" s="465">
        <f t="shared" si="778"/>
        <v>59.925757282694185</v>
      </c>
      <c r="K285" s="379">
        <f t="shared" si="779"/>
        <v>5.7282407980355412</v>
      </c>
      <c r="L285" s="149">
        <f t="shared" si="780"/>
        <v>65.653998080729721</v>
      </c>
      <c r="M285" s="379"/>
      <c r="N285" s="188">
        <f t="shared" si="781"/>
        <v>8.7248925663170732E-2</v>
      </c>
      <c r="O285" s="149">
        <f t="shared" si="782"/>
        <v>9.8033586421256196</v>
      </c>
      <c r="P285" s="149">
        <f t="shared" si="783"/>
        <v>4.3570482853891637</v>
      </c>
      <c r="Q285" s="188">
        <f t="shared" si="784"/>
        <v>1.9606717284251238</v>
      </c>
      <c r="R285" s="188">
        <f t="shared" si="785"/>
        <v>1.2254198302657024</v>
      </c>
      <c r="S285" s="188">
        <f t="shared" si="786"/>
        <v>5</v>
      </c>
      <c r="T285" s="188">
        <f t="shared" si="787"/>
        <v>2.1115212403890702</v>
      </c>
      <c r="U285" s="188">
        <f t="shared" si="788"/>
        <v>0.42282744571984265</v>
      </c>
      <c r="V285" s="188">
        <f t="shared" si="789"/>
        <v>4.4233920636434156</v>
      </c>
      <c r="W285" s="172">
        <f t="shared" si="790"/>
        <v>350</v>
      </c>
      <c r="X285" s="379">
        <f t="shared" si="848"/>
        <v>198.16815303902263</v>
      </c>
      <c r="Z285" s="188">
        <f t="shared" si="791"/>
        <v>1.2448709386826182</v>
      </c>
      <c r="AA285" s="150">
        <f t="shared" si="792"/>
        <v>2.6078602123909409</v>
      </c>
      <c r="AB285" s="150">
        <f t="shared" si="793"/>
        <v>0.42609648250997134</v>
      </c>
      <c r="AC285" s="150"/>
      <c r="AD285" s="150">
        <f t="shared" si="794"/>
        <v>2.0948840007066942</v>
      </c>
      <c r="AE285" s="314">
        <f t="shared" si="795"/>
        <v>790.49723012890479</v>
      </c>
      <c r="AF285" s="456">
        <f t="shared" si="796"/>
        <v>0.36660470012367147</v>
      </c>
      <c r="AH285" s="150">
        <f t="shared" si="797"/>
        <v>1.6212869667555549</v>
      </c>
      <c r="AI285" s="150">
        <f t="shared" si="798"/>
        <v>2.1115212403890702</v>
      </c>
      <c r="AJ285" s="150">
        <f t="shared" si="799"/>
        <v>2.0233490669548666</v>
      </c>
      <c r="AL285" s="314">
        <f t="shared" si="800"/>
        <v>828</v>
      </c>
      <c r="AM285" s="144">
        <f t="shared" si="801"/>
        <v>198.16815303902263</v>
      </c>
      <c r="AO285">
        <f t="shared" si="802"/>
        <v>828</v>
      </c>
      <c r="AP285">
        <f t="shared" si="803"/>
        <v>198.16815303902263</v>
      </c>
      <c r="AR285" s="5">
        <f t="shared" si="774"/>
        <v>5.0462195093632589</v>
      </c>
      <c r="AS285" s="5">
        <f t="shared" si="739"/>
        <v>0.42282744571984265</v>
      </c>
      <c r="AT285" s="5">
        <f t="shared" si="740"/>
        <v>4.6233920636434167</v>
      </c>
      <c r="AU285" s="150">
        <f t="shared" si="741"/>
        <v>8.3790933972508821E-2</v>
      </c>
      <c r="BA285" s="150">
        <f t="shared" si="849"/>
        <v>0.35288511738303424</v>
      </c>
      <c r="BB285" s="150">
        <f t="shared" si="850"/>
        <v>1.1668959151530873</v>
      </c>
      <c r="BC285" s="150">
        <f t="shared" si="851"/>
        <v>0.2608355575048078</v>
      </c>
      <c r="BD285" s="150"/>
      <c r="BE285" s="456">
        <f t="shared" si="852"/>
        <v>2.4905581214087571E-3</v>
      </c>
      <c r="BF285" s="456">
        <f t="shared" si="804"/>
        <v>0.51510025676163296</v>
      </c>
      <c r="BG285" s="456">
        <f t="shared" si="805"/>
        <v>0.29688441600440663</v>
      </c>
      <c r="BH285" s="456">
        <f t="shared" si="853"/>
        <v>8.5419341270953991E-2</v>
      </c>
      <c r="BI285">
        <f t="shared" si="854"/>
        <v>2.6966590777212383E-2</v>
      </c>
      <c r="BJ285" s="144">
        <f t="shared" si="855"/>
        <v>323.85100678161899</v>
      </c>
      <c r="BK285">
        <f t="shared" si="806"/>
        <v>0.60404005153976603</v>
      </c>
      <c r="BL285" s="144">
        <f t="shared" si="856"/>
        <v>926.86116293561474</v>
      </c>
      <c r="BM285" s="150">
        <f t="shared" si="807"/>
        <v>0.51439499999999982</v>
      </c>
      <c r="BN285" s="150">
        <f t="shared" si="808"/>
        <v>7.6546874999999986E-2</v>
      </c>
      <c r="BQ285" s="144">
        <f t="shared" si="857"/>
        <v>590.94187499999987</v>
      </c>
      <c r="BR285" s="456">
        <f t="shared" si="858"/>
        <v>3.7358371821131354E-3</v>
      </c>
      <c r="BS285" s="456">
        <f t="shared" si="859"/>
        <v>4.084938230402884E-2</v>
      </c>
      <c r="BT285" s="456">
        <f t="shared" si="860"/>
        <v>3.4017594029421951E-4</v>
      </c>
      <c r="BU285" s="456">
        <f t="shared" si="861"/>
        <v>0.17907843682360433</v>
      </c>
      <c r="BV285" s="456"/>
      <c r="BW285" s="538">
        <f t="shared" si="862"/>
        <v>8.8353705984081958E-4</v>
      </c>
      <c r="BX285" s="144">
        <f t="shared" si="863"/>
        <v>224.88736930988134</v>
      </c>
      <c r="BY285" s="150">
        <f t="shared" si="864"/>
        <v>1.7426904072454956</v>
      </c>
      <c r="BZ285" s="5">
        <f t="shared" si="865"/>
        <v>5.52</v>
      </c>
      <c r="CA285" s="150">
        <f t="shared" si="866"/>
        <v>0.76004891995576029</v>
      </c>
      <c r="CB285" s="5">
        <f t="shared" si="867"/>
        <v>76.004891995576031</v>
      </c>
      <c r="CC285">
        <f t="shared" si="868"/>
        <v>69</v>
      </c>
      <c r="CE285" s="59">
        <f t="shared" si="809"/>
        <v>-50</v>
      </c>
      <c r="CG285" s="150">
        <f t="shared" si="810"/>
        <v>0.87957854338036046</v>
      </c>
      <c r="CH285" s="150">
        <f t="shared" si="811"/>
        <v>0.47330172420499939</v>
      </c>
      <c r="CI285" s="147">
        <v>69</v>
      </c>
      <c r="CJ285" s="188">
        <f t="shared" si="869"/>
        <v>0.82799999999999996</v>
      </c>
      <c r="CK285" s="188">
        <f t="shared" si="812"/>
        <v>0.17249999999999999</v>
      </c>
      <c r="CL285" s="188">
        <f t="shared" si="813"/>
        <v>4.1399999999999997</v>
      </c>
      <c r="CM285" s="188">
        <f t="shared" si="814"/>
        <v>1.38</v>
      </c>
      <c r="CN285" s="465">
        <f t="shared" si="815"/>
        <v>60</v>
      </c>
      <c r="CO285" s="379">
        <f t="shared" si="816"/>
        <v>5.7</v>
      </c>
      <c r="CP285" s="379">
        <f t="shared" si="817"/>
        <v>65.7</v>
      </c>
      <c r="CQ285" s="379"/>
      <c r="CR285" s="188">
        <f t="shared" si="818"/>
        <v>8.2568807339449546E-2</v>
      </c>
      <c r="CS285" s="149">
        <f t="shared" si="819"/>
        <v>9.2889908256880744</v>
      </c>
      <c r="CT285" s="149">
        <f t="shared" si="820"/>
        <v>4.1284403669724767</v>
      </c>
      <c r="CU285" s="188">
        <f t="shared" si="821"/>
        <v>1.857798165137615</v>
      </c>
      <c r="CV285" s="188">
        <f t="shared" si="822"/>
        <v>1.1611238532110093</v>
      </c>
      <c r="CW285" s="188">
        <f t="shared" si="823"/>
        <v>5</v>
      </c>
      <c r="CX285" s="188">
        <f t="shared" si="824"/>
        <v>2.228444444444444</v>
      </c>
      <c r="CY285" s="188">
        <f t="shared" si="825"/>
        <v>0.44568888888888875</v>
      </c>
      <c r="CZ285" s="188">
        <f t="shared" si="826"/>
        <v>4.6914619883040922</v>
      </c>
      <c r="DA285" s="172">
        <f t="shared" si="827"/>
        <v>350</v>
      </c>
      <c r="DB285" s="379">
        <f t="shared" si="828"/>
        <v>194.66043024736226</v>
      </c>
      <c r="DD285" s="188">
        <f t="shared" si="829"/>
        <v>1.2393998695368558</v>
      </c>
      <c r="DE285" s="150">
        <f t="shared" si="830"/>
        <v>2.6092628832354858</v>
      </c>
      <c r="DF285" s="150">
        <f t="shared" si="831"/>
        <v>0.4244520101153616</v>
      </c>
      <c r="DG285" s="150"/>
      <c r="DH285" s="150">
        <f t="shared" si="832"/>
        <v>2.1052631578947367</v>
      </c>
      <c r="DI285" s="314">
        <f t="shared" si="833"/>
        <v>786.6</v>
      </c>
      <c r="DJ285" s="456">
        <f t="shared" si="834"/>
        <v>0.36842105263157893</v>
      </c>
      <c r="DL285" s="150">
        <f t="shared" si="835"/>
        <v>1.6212869667555549</v>
      </c>
      <c r="DM285" s="150">
        <f t="shared" si="836"/>
        <v>2.228444444444444</v>
      </c>
      <c r="DN285" s="150">
        <f t="shared" si="837"/>
        <v>2.1099588477366251</v>
      </c>
      <c r="DP285" s="314">
        <f t="shared" si="838"/>
        <v>828</v>
      </c>
      <c r="DQ285" s="144">
        <f t="shared" si="839"/>
        <v>194.66043024736226</v>
      </c>
      <c r="DS285">
        <f t="shared" si="840"/>
        <v>828</v>
      </c>
      <c r="DT285">
        <f t="shared" si="841"/>
        <v>194.66043024736226</v>
      </c>
      <c r="DV285" s="5">
        <f t="shared" si="870"/>
        <v>5.1371508771929806</v>
      </c>
      <c r="DW285" s="5">
        <f t="shared" si="842"/>
        <v>0.44568888888888875</v>
      </c>
      <c r="DX285" s="5">
        <f t="shared" si="843"/>
        <v>4.6914619883040922</v>
      </c>
      <c r="DY285" s="150">
        <f t="shared" si="844"/>
        <v>8.6757990867579918E-2</v>
      </c>
      <c r="EA285" s="5">
        <f t="shared" si="871"/>
        <v>7.3806079999999978</v>
      </c>
      <c r="EB285" s="5">
        <f t="shared" si="872"/>
        <v>0.9610166666666663</v>
      </c>
      <c r="EC285" s="5">
        <f t="shared" si="873"/>
        <v>0.1348795321637426</v>
      </c>
      <c r="ED285" s="5"/>
      <c r="EE285" s="150">
        <f t="shared" si="874"/>
        <v>0.37896222989334893</v>
      </c>
      <c r="EF285" s="150">
        <f t="shared" si="875"/>
        <v>1.2295158297636362</v>
      </c>
      <c r="EG285" s="150">
        <f t="shared" si="876"/>
        <v>0.2748329501824599</v>
      </c>
      <c r="EH285" s="150"/>
      <c r="EI285" s="456">
        <f t="shared" si="877"/>
        <v>2.872247433714789E-3</v>
      </c>
      <c r="EJ285" s="456">
        <f t="shared" si="878"/>
        <v>0.57000000000000017</v>
      </c>
      <c r="EK285" s="456">
        <f t="shared" si="879"/>
        <v>2.433255378092028E-2</v>
      </c>
      <c r="EL285" s="456">
        <f t="shared" si="880"/>
        <v>8.4024980055843704E-2</v>
      </c>
      <c r="EM285">
        <f t="shared" si="881"/>
        <v>2.7E-2</v>
      </c>
      <c r="EN285" s="144">
        <f t="shared" si="882"/>
        <v>51.332553780920279</v>
      </c>
      <c r="EP285" s="144">
        <f t="shared" si="883"/>
        <v>708.22978127047895</v>
      </c>
      <c r="EQ285" s="150">
        <f t="shared" si="884"/>
        <v>0.57959999999999989</v>
      </c>
      <c r="ER285" s="150">
        <f t="shared" si="845"/>
        <v>7.6546874999999986E-2</v>
      </c>
      <c r="ES285" s="456"/>
      <c r="EU285" s="144">
        <f t="shared" si="885"/>
        <v>656.14687499999991</v>
      </c>
      <c r="EV285" s="456">
        <f t="shared" si="886"/>
        <v>4.3083711505721833E-3</v>
      </c>
      <c r="EW285" s="456">
        <f t="shared" si="887"/>
        <v>4.5351275269180882E-2</v>
      </c>
      <c r="EX285" s="456">
        <f t="shared" si="888"/>
        <v>3.7766575252997248E-4</v>
      </c>
      <c r="EY285" s="456">
        <f t="shared" si="889"/>
        <v>0.19596058643252534</v>
      </c>
      <c r="EZ285" s="456"/>
      <c r="FA285" s="538">
        <f t="shared" si="890"/>
        <v>9.666768138001015E-4</v>
      </c>
      <c r="FB285" s="144">
        <f t="shared" si="891"/>
        <v>246.96457541860849</v>
      </c>
      <c r="FC285" s="150">
        <f t="shared" si="892"/>
        <v>1.6113412316890876</v>
      </c>
      <c r="FD285" s="5">
        <f t="shared" si="893"/>
        <v>5.52</v>
      </c>
      <c r="FE285" s="150">
        <f t="shared" si="894"/>
        <v>0.77404794142665989</v>
      </c>
      <c r="FF285" s="5">
        <f t="shared" si="895"/>
        <v>77.404794142665992</v>
      </c>
      <c r="FG285">
        <f t="shared" si="896"/>
        <v>69</v>
      </c>
      <c r="FI285" s="59">
        <f t="shared" si="846"/>
        <v>-50</v>
      </c>
    </row>
    <row r="286" spans="5:165">
      <c r="E286" s="147">
        <v>70</v>
      </c>
      <c r="F286" s="188">
        <f t="shared" si="847"/>
        <v>0.84</v>
      </c>
      <c r="G286" s="188">
        <f t="shared" si="775"/>
        <v>0.17499999999999999</v>
      </c>
      <c r="H286" s="188">
        <f t="shared" si="776"/>
        <v>4.2</v>
      </c>
      <c r="I286" s="188">
        <f t="shared" si="777"/>
        <v>1.4</v>
      </c>
      <c r="J286" s="465">
        <f t="shared" si="778"/>
        <v>59.924681301283954</v>
      </c>
      <c r="K286" s="379">
        <f t="shared" si="779"/>
        <v>5.7286500849635926</v>
      </c>
      <c r="L286" s="149">
        <f t="shared" si="780"/>
        <v>65.653331386247544</v>
      </c>
      <c r="M286" s="379"/>
      <c r="N286" s="188">
        <f t="shared" si="781"/>
        <v>8.7256045717789388E-2</v>
      </c>
      <c r="O286" s="149">
        <f t="shared" si="782"/>
        <v>9.8039826210914853</v>
      </c>
      <c r="P286" s="149">
        <f t="shared" si="783"/>
        <v>4.3573256093739925</v>
      </c>
      <c r="Q286" s="188">
        <f t="shared" si="784"/>
        <v>1.960796524218297</v>
      </c>
      <c r="R286" s="188">
        <f t="shared" si="785"/>
        <v>1.2254978276364357</v>
      </c>
      <c r="S286" s="188">
        <f t="shared" si="786"/>
        <v>5</v>
      </c>
      <c r="T286" s="188">
        <f t="shared" si="787"/>
        <v>2.1419866610965141</v>
      </c>
      <c r="U286" s="188">
        <f t="shared" si="788"/>
        <v>0.42893578029938451</v>
      </c>
      <c r="V286" s="188">
        <f t="shared" si="789"/>
        <v>4.4868929943242506</v>
      </c>
      <c r="W286" s="172">
        <f t="shared" si="790"/>
        <v>350</v>
      </c>
      <c r="X286" s="379">
        <f t="shared" si="848"/>
        <v>195.47174935962721</v>
      </c>
      <c r="Z286" s="188">
        <f t="shared" si="791"/>
        <v>1.2449501741068549</v>
      </c>
      <c r="AA286" s="150">
        <f t="shared" si="792"/>
        <v>2.6078398693777443</v>
      </c>
      <c r="AB286" s="150">
        <f t="shared" si="793"/>
        <v>0.42612027929948149</v>
      </c>
      <c r="AC286" s="150"/>
      <c r="AD286" s="150">
        <f t="shared" si="794"/>
        <v>2.0947343304310517</v>
      </c>
      <c r="AE286" s="314">
        <f t="shared" si="795"/>
        <v>802.01101189490316</v>
      </c>
      <c r="AF286" s="456">
        <f t="shared" si="796"/>
        <v>0.366578507825434</v>
      </c>
      <c r="AH286" s="150">
        <f t="shared" si="797"/>
        <v>1.6329931618554521</v>
      </c>
      <c r="AI286" s="150">
        <f t="shared" si="798"/>
        <v>2.1419866610965141</v>
      </c>
      <c r="AJ286" s="150">
        <f t="shared" si="799"/>
        <v>2.0459160452566771</v>
      </c>
      <c r="AL286" s="314">
        <f t="shared" si="800"/>
        <v>840</v>
      </c>
      <c r="AM286" s="144">
        <f t="shared" si="801"/>
        <v>195.47174935962721</v>
      </c>
      <c r="AO286">
        <f t="shared" si="802"/>
        <v>840</v>
      </c>
      <c r="AP286">
        <f t="shared" si="803"/>
        <v>195.47174935962721</v>
      </c>
      <c r="AR286" s="5">
        <f t="shared" si="774"/>
        <v>5.1158287746236351</v>
      </c>
      <c r="AS286" s="5">
        <f t="shared" si="739"/>
        <v>0.42893578029938451</v>
      </c>
      <c r="AT286" s="5">
        <f t="shared" si="740"/>
        <v>4.6868929943242508</v>
      </c>
      <c r="AU286" s="150">
        <f t="shared" si="741"/>
        <v>8.3844827338057412E-2</v>
      </c>
      <c r="BA286" s="150">
        <f t="shared" si="849"/>
        <v>0.35809171412564195</v>
      </c>
      <c r="BB286" s="150">
        <f t="shared" si="850"/>
        <v>1.1836972908559393</v>
      </c>
      <c r="BC286" s="150">
        <f t="shared" si="851"/>
        <v>0.26459115913250408</v>
      </c>
      <c r="BD286" s="150"/>
      <c r="BE286" s="456">
        <f t="shared" si="852"/>
        <v>2.5645935145088097E-3</v>
      </c>
      <c r="BF286" s="456">
        <f t="shared" si="804"/>
        <v>0.51541707468589937</v>
      </c>
      <c r="BG286" s="456">
        <f t="shared" si="805"/>
        <v>0.29283955709450288</v>
      </c>
      <c r="BH286" s="456">
        <f t="shared" si="853"/>
        <v>8.4255359434494456E-2</v>
      </c>
      <c r="BI286">
        <f t="shared" si="854"/>
        <v>2.6966106585577777E-2</v>
      </c>
      <c r="BJ286" s="144">
        <f t="shared" si="855"/>
        <v>319.80566368008067</v>
      </c>
      <c r="BK286">
        <f t="shared" si="806"/>
        <v>0.60329708540573079</v>
      </c>
      <c r="BL286" s="144">
        <f t="shared" si="856"/>
        <v>922.04269131498313</v>
      </c>
      <c r="BM286" s="150">
        <f t="shared" si="807"/>
        <v>0.52184999999999993</v>
      </c>
      <c r="BN286" s="150">
        <f t="shared" si="808"/>
        <v>7.7656249999999996E-2</v>
      </c>
      <c r="BQ286" s="144">
        <f t="shared" si="857"/>
        <v>599.50624999999991</v>
      </c>
      <c r="BR286" s="456">
        <f t="shared" si="858"/>
        <v>3.8468902717632139E-3</v>
      </c>
      <c r="BS286" s="456">
        <f t="shared" si="859"/>
        <v>4.2034178291390702E-2</v>
      </c>
      <c r="BT286" s="456">
        <f t="shared" si="860"/>
        <v>3.5004240745541051E-4</v>
      </c>
      <c r="BU286" s="456">
        <f t="shared" si="861"/>
        <v>0.17935847740997007</v>
      </c>
      <c r="BV286" s="456"/>
      <c r="BW286" s="538">
        <f t="shared" si="862"/>
        <v>8.9684527345286957E-4</v>
      </c>
      <c r="BX286" s="144">
        <f t="shared" si="863"/>
        <v>226.48643365403228</v>
      </c>
      <c r="BY286" s="150">
        <f t="shared" si="864"/>
        <v>1.7480353749690152</v>
      </c>
      <c r="BZ286" s="5">
        <f t="shared" si="865"/>
        <v>5.6</v>
      </c>
      <c r="CA286" s="150">
        <f t="shared" si="866"/>
        <v>0.76210847039146346</v>
      </c>
      <c r="CB286" s="5">
        <f t="shared" si="867"/>
        <v>76.210847039146344</v>
      </c>
      <c r="CC286">
        <f t="shared" si="868"/>
        <v>70</v>
      </c>
      <c r="CE286" s="59">
        <f t="shared" si="809"/>
        <v>-50</v>
      </c>
      <c r="CG286" s="150">
        <f t="shared" si="810"/>
        <v>0.87957854338036034</v>
      </c>
      <c r="CH286" s="150">
        <f t="shared" si="811"/>
        <v>0.47330172420499933</v>
      </c>
      <c r="CI286" s="147">
        <v>70</v>
      </c>
      <c r="CJ286" s="188">
        <f t="shared" si="869"/>
        <v>0.84</v>
      </c>
      <c r="CK286" s="188">
        <f t="shared" si="812"/>
        <v>0.17499999999999999</v>
      </c>
      <c r="CL286" s="188">
        <f t="shared" si="813"/>
        <v>4.2</v>
      </c>
      <c r="CM286" s="188">
        <f t="shared" si="814"/>
        <v>1.4</v>
      </c>
      <c r="CN286" s="465">
        <f t="shared" si="815"/>
        <v>60</v>
      </c>
      <c r="CO286" s="379">
        <f t="shared" si="816"/>
        <v>5.7</v>
      </c>
      <c r="CP286" s="379">
        <f t="shared" si="817"/>
        <v>65.7</v>
      </c>
      <c r="CQ286" s="379"/>
      <c r="CR286" s="188">
        <f t="shared" si="818"/>
        <v>8.2568807339449546E-2</v>
      </c>
      <c r="CS286" s="149">
        <f t="shared" si="819"/>
        <v>9.2889908256880744</v>
      </c>
      <c r="CT286" s="149">
        <f t="shared" si="820"/>
        <v>4.1284403669724767</v>
      </c>
      <c r="CU286" s="188">
        <f t="shared" si="821"/>
        <v>1.857798165137615</v>
      </c>
      <c r="CV286" s="188">
        <f t="shared" si="822"/>
        <v>1.1611238532110093</v>
      </c>
      <c r="CW286" s="188">
        <f t="shared" si="823"/>
        <v>5</v>
      </c>
      <c r="CX286" s="188">
        <f t="shared" si="824"/>
        <v>2.2607407407407405</v>
      </c>
      <c r="CY286" s="188">
        <f t="shared" si="825"/>
        <v>0.45214814814814813</v>
      </c>
      <c r="CZ286" s="188">
        <f t="shared" si="826"/>
        <v>4.7594541910331376</v>
      </c>
      <c r="DA286" s="172">
        <f t="shared" si="827"/>
        <v>350</v>
      </c>
      <c r="DB286" s="379">
        <f t="shared" si="828"/>
        <v>191.87956695811417</v>
      </c>
      <c r="DD286" s="188">
        <f t="shared" si="829"/>
        <v>1.2393998695368558</v>
      </c>
      <c r="DE286" s="150">
        <f t="shared" si="830"/>
        <v>2.6092628832354858</v>
      </c>
      <c r="DF286" s="150">
        <f t="shared" si="831"/>
        <v>0.4244520101153616</v>
      </c>
      <c r="DG286" s="150"/>
      <c r="DH286" s="150">
        <f t="shared" si="832"/>
        <v>2.1052631578947367</v>
      </c>
      <c r="DI286" s="314">
        <f t="shared" si="833"/>
        <v>798</v>
      </c>
      <c r="DJ286" s="456">
        <f t="shared" si="834"/>
        <v>0.36842105263157893</v>
      </c>
      <c r="DL286" s="150">
        <f t="shared" si="835"/>
        <v>1.6329931618554521</v>
      </c>
      <c r="DM286" s="150">
        <f t="shared" si="836"/>
        <v>2.2607407407407405</v>
      </c>
      <c r="DN286" s="150">
        <f t="shared" si="837"/>
        <v>2.1338820301783263</v>
      </c>
      <c r="DP286" s="314">
        <f t="shared" si="838"/>
        <v>840</v>
      </c>
      <c r="DQ286" s="144">
        <f t="shared" si="839"/>
        <v>191.87956695811417</v>
      </c>
      <c r="DS286">
        <f t="shared" si="840"/>
        <v>840</v>
      </c>
      <c r="DT286">
        <f t="shared" si="841"/>
        <v>191.87956695811417</v>
      </c>
      <c r="DV286" s="5">
        <f t="shared" si="870"/>
        <v>5.2116023391812867</v>
      </c>
      <c r="DW286" s="5">
        <f t="shared" si="842"/>
        <v>0.45214814814814813</v>
      </c>
      <c r="DX286" s="5">
        <f t="shared" si="843"/>
        <v>4.7594541910331385</v>
      </c>
      <c r="DY286" s="150">
        <f t="shared" si="844"/>
        <v>8.6757990867579904E-2</v>
      </c>
      <c r="EA286" s="5">
        <f t="shared" si="871"/>
        <v>7.5960888888888887</v>
      </c>
      <c r="EB286" s="5">
        <f t="shared" si="872"/>
        <v>0.98907407407407411</v>
      </c>
      <c r="EC286" s="5">
        <f t="shared" si="873"/>
        <v>0.13881741390513319</v>
      </c>
      <c r="ED286" s="5"/>
      <c r="EE286" s="150">
        <f t="shared" si="874"/>
        <v>0.3844544361236874</v>
      </c>
      <c r="EF286" s="150">
        <f t="shared" si="875"/>
        <v>1.2473348997602107</v>
      </c>
      <c r="EG286" s="150">
        <f t="shared" si="876"/>
        <v>0.27881603641698827</v>
      </c>
      <c r="EH286" s="150"/>
      <c r="EI286" s="456">
        <f t="shared" si="877"/>
        <v>2.9561042691036488E-3</v>
      </c>
      <c r="EJ286" s="456">
        <f t="shared" si="878"/>
        <v>0.57000000000000006</v>
      </c>
      <c r="EK286" s="456">
        <f t="shared" si="879"/>
        <v>2.3984945869764272E-2</v>
      </c>
      <c r="EL286" s="456">
        <f t="shared" si="880"/>
        <v>8.2824623197903041E-2</v>
      </c>
      <c r="EM286">
        <f t="shared" si="881"/>
        <v>2.7E-2</v>
      </c>
      <c r="EN286" s="144">
        <f t="shared" si="882"/>
        <v>50.984945869764275</v>
      </c>
      <c r="EP286" s="144">
        <f t="shared" si="883"/>
        <v>706.7656733367711</v>
      </c>
      <c r="EQ286" s="150">
        <f t="shared" si="884"/>
        <v>0.58799999999999997</v>
      </c>
      <c r="ER286" s="150">
        <f t="shared" si="845"/>
        <v>7.7656249999999996E-2</v>
      </c>
      <c r="ES286" s="456"/>
      <c r="EU286" s="144">
        <f t="shared" si="885"/>
        <v>665.65625</v>
      </c>
      <c r="EV286" s="456">
        <f t="shared" si="886"/>
        <v>4.4341564036554726E-3</v>
      </c>
      <c r="EW286" s="456">
        <f t="shared" si="887"/>
        <v>4.6675330564794441E-2</v>
      </c>
      <c r="EX286" s="456">
        <f t="shared" si="888"/>
        <v>3.8869191081639668E-4</v>
      </c>
      <c r="EY286" s="456">
        <f t="shared" si="889"/>
        <v>0.19596058643252515</v>
      </c>
      <c r="EZ286" s="456"/>
      <c r="FA286" s="538">
        <f t="shared" si="890"/>
        <v>9.8068662269575491E-4</v>
      </c>
      <c r="FB286" s="144">
        <f t="shared" si="891"/>
        <v>248.43945193448721</v>
      </c>
      <c r="FC286" s="150">
        <f t="shared" si="892"/>
        <v>1.6208613752712584</v>
      </c>
      <c r="FD286" s="5">
        <f t="shared" si="893"/>
        <v>5.6</v>
      </c>
      <c r="FE286" s="150">
        <f t="shared" si="894"/>
        <v>0.7755307447360642</v>
      </c>
      <c r="FF286" s="5">
        <f t="shared" si="895"/>
        <v>77.553074473606415</v>
      </c>
      <c r="FG286">
        <f t="shared" si="896"/>
        <v>70</v>
      </c>
      <c r="FI286" s="59">
        <f t="shared" si="846"/>
        <v>-50</v>
      </c>
    </row>
    <row r="287" spans="5:165">
      <c r="E287" s="147">
        <v>71</v>
      </c>
      <c r="F287" s="188">
        <f t="shared" si="847"/>
        <v>0.85199999999999998</v>
      </c>
      <c r="G287" s="188">
        <f t="shared" si="775"/>
        <v>0.17749999999999999</v>
      </c>
      <c r="H287" s="188">
        <f t="shared" si="776"/>
        <v>4.26</v>
      </c>
      <c r="I287" s="188">
        <f t="shared" si="777"/>
        <v>1.42</v>
      </c>
      <c r="J287" s="465">
        <f t="shared" si="778"/>
        <v>59.923605319873722</v>
      </c>
      <c r="K287" s="379">
        <f t="shared" si="779"/>
        <v>5.729059371891644</v>
      </c>
      <c r="L287" s="149">
        <f t="shared" si="780"/>
        <v>65.652664691765366</v>
      </c>
      <c r="M287" s="379"/>
      <c r="N287" s="188">
        <f t="shared" si="781"/>
        <v>8.7263165917014551E-2</v>
      </c>
      <c r="O287" s="149">
        <f t="shared" si="782"/>
        <v>9.8046065875759432</v>
      </c>
      <c r="P287" s="149">
        <f t="shared" si="783"/>
        <v>4.3576029278115298</v>
      </c>
      <c r="Q287" s="188">
        <f t="shared" si="784"/>
        <v>1.9609213175151887</v>
      </c>
      <c r="R287" s="188">
        <f t="shared" si="785"/>
        <v>1.2255758234469929</v>
      </c>
      <c r="S287" s="188">
        <f t="shared" si="786"/>
        <v>5</v>
      </c>
      <c r="T287" s="188">
        <f t="shared" si="787"/>
        <v>2.1724482068449968</v>
      </c>
      <c r="U287" s="188">
        <f t="shared" si="788"/>
        <v>0.43504355826023755</v>
      </c>
      <c r="V287" s="188">
        <f t="shared" si="789"/>
        <v>4.5503767354975535</v>
      </c>
      <c r="W287" s="172">
        <f t="shared" si="790"/>
        <v>350</v>
      </c>
      <c r="X287" s="379">
        <f t="shared" si="848"/>
        <v>192.84839865416504</v>
      </c>
      <c r="Z287" s="188">
        <f t="shared" si="791"/>
        <v>1.2450294079461517</v>
      </c>
      <c r="AA287" s="150">
        <f t="shared" si="792"/>
        <v>2.6078195259513874</v>
      </c>
      <c r="AB287" s="150">
        <f t="shared" si="793"/>
        <v>0.42614407505586921</v>
      </c>
      <c r="AC287" s="150"/>
      <c r="AD287" s="150">
        <f t="shared" si="794"/>
        <v>2.0945846815404519</v>
      </c>
      <c r="AE287" s="314">
        <f t="shared" si="795"/>
        <v>813.52643080861344</v>
      </c>
      <c r="AF287" s="456">
        <f t="shared" si="796"/>
        <v>0.3665523192695791</v>
      </c>
      <c r="AH287" s="150">
        <f t="shared" si="797"/>
        <v>1.6446160356636148</v>
      </c>
      <c r="AI287" s="150">
        <f t="shared" si="798"/>
        <v>2.1724482068449968</v>
      </c>
      <c r="AJ287" s="150">
        <f t="shared" si="799"/>
        <v>2.0684801532185162</v>
      </c>
      <c r="AL287" s="314">
        <f t="shared" si="800"/>
        <v>852</v>
      </c>
      <c r="AM287" s="144">
        <f t="shared" si="801"/>
        <v>192.84839865416504</v>
      </c>
      <c r="AO287">
        <f t="shared" si="802"/>
        <v>852</v>
      </c>
      <c r="AP287">
        <f t="shared" si="803"/>
        <v>192.84839865416504</v>
      </c>
      <c r="AR287" s="5">
        <f t="shared" si="774"/>
        <v>5.1854202937577902</v>
      </c>
      <c r="AS287" s="5">
        <f t="shared" si="739"/>
        <v>0.43504355826023755</v>
      </c>
      <c r="AT287" s="5">
        <f t="shared" si="740"/>
        <v>4.7503767354975528</v>
      </c>
      <c r="AU287" s="150">
        <f t="shared" si="741"/>
        <v>8.3897453555296778E-2</v>
      </c>
      <c r="BA287" s="150">
        <f t="shared" si="849"/>
        <v>0.3632981560707505</v>
      </c>
      <c r="BB287" s="150">
        <f t="shared" si="850"/>
        <v>1.200496364122055</v>
      </c>
      <c r="BC287" s="150">
        <f t="shared" si="851"/>
        <v>0.26834624609787111</v>
      </c>
      <c r="BD287" s="150"/>
      <c r="BE287" s="456">
        <f t="shared" si="852"/>
        <v>2.6397110040881477E-3</v>
      </c>
      <c r="BF287" s="456">
        <f t="shared" si="804"/>
        <v>0.5157260848842713</v>
      </c>
      <c r="BG287" s="456">
        <f t="shared" si="805"/>
        <v>0.28890428318804628</v>
      </c>
      <c r="BH287" s="456">
        <f t="shared" si="853"/>
        <v>8.312291264640749E-2</v>
      </c>
      <c r="BI287">
        <f t="shared" si="854"/>
        <v>2.6965622393943175E-2</v>
      </c>
      <c r="BJ287" s="144">
        <f t="shared" si="855"/>
        <v>315.86990558198949</v>
      </c>
      <c r="BK287">
        <f t="shared" si="806"/>
        <v>0.60257936547260404</v>
      </c>
      <c r="BL287" s="144">
        <f t="shared" si="856"/>
        <v>917.35861411675637</v>
      </c>
      <c r="BM287" s="150">
        <f t="shared" si="807"/>
        <v>0.52930499999999991</v>
      </c>
      <c r="BN287" s="150">
        <f t="shared" si="808"/>
        <v>7.8765624999999992E-2</v>
      </c>
      <c r="BQ287" s="144">
        <f t="shared" si="857"/>
        <v>608.07062499999984</v>
      </c>
      <c r="BR287" s="456">
        <f t="shared" si="858"/>
        <v>3.9595665061322215E-3</v>
      </c>
      <c r="BS287" s="456">
        <f t="shared" si="859"/>
        <v>4.3235745608108209E-2</v>
      </c>
      <c r="BT287" s="456">
        <f t="shared" si="860"/>
        <v>3.60048538974096E-4</v>
      </c>
      <c r="BU287" s="456">
        <f t="shared" si="861"/>
        <v>0.17963198745369238</v>
      </c>
      <c r="BV287" s="456"/>
      <c r="BW287" s="538">
        <f t="shared" si="862"/>
        <v>9.1015403652147816E-4</v>
      </c>
      <c r="BX287" s="144">
        <f t="shared" si="863"/>
        <v>228.09750214342839</v>
      </c>
      <c r="BY287" s="150">
        <f t="shared" si="864"/>
        <v>1.7535267412601847</v>
      </c>
      <c r="BZ287" s="5">
        <f t="shared" si="865"/>
        <v>5.68</v>
      </c>
      <c r="CA287" s="150">
        <f t="shared" si="866"/>
        <v>0.76410567926968753</v>
      </c>
      <c r="CB287" s="5">
        <f t="shared" si="867"/>
        <v>76.410567926968753</v>
      </c>
      <c r="CC287">
        <f t="shared" si="868"/>
        <v>71</v>
      </c>
      <c r="CE287" s="59">
        <f t="shared" si="809"/>
        <v>-50</v>
      </c>
      <c r="CG287" s="150">
        <f t="shared" si="810"/>
        <v>0.87957854338036034</v>
      </c>
      <c r="CH287" s="150">
        <f t="shared" si="811"/>
        <v>0.47330172420499939</v>
      </c>
      <c r="CI287" s="147">
        <v>71</v>
      </c>
      <c r="CJ287" s="188">
        <f t="shared" si="869"/>
        <v>0.85199999999999998</v>
      </c>
      <c r="CK287" s="188">
        <f t="shared" si="812"/>
        <v>0.17749999999999999</v>
      </c>
      <c r="CL287" s="188">
        <f t="shared" si="813"/>
        <v>4.26</v>
      </c>
      <c r="CM287" s="188">
        <f t="shared" si="814"/>
        <v>1.42</v>
      </c>
      <c r="CN287" s="465">
        <f t="shared" si="815"/>
        <v>60</v>
      </c>
      <c r="CO287" s="379">
        <f t="shared" si="816"/>
        <v>5.7</v>
      </c>
      <c r="CP287" s="379">
        <f t="shared" si="817"/>
        <v>65.7</v>
      </c>
      <c r="CQ287" s="379"/>
      <c r="CR287" s="188">
        <f t="shared" si="818"/>
        <v>8.2568807339449546E-2</v>
      </c>
      <c r="CS287" s="149">
        <f t="shared" si="819"/>
        <v>9.2889908256880744</v>
      </c>
      <c r="CT287" s="149">
        <f t="shared" si="820"/>
        <v>4.1284403669724767</v>
      </c>
      <c r="CU287" s="188">
        <f t="shared" si="821"/>
        <v>1.857798165137615</v>
      </c>
      <c r="CV287" s="188">
        <f t="shared" si="822"/>
        <v>1.1611238532110093</v>
      </c>
      <c r="CW287" s="188">
        <f t="shared" si="823"/>
        <v>5</v>
      </c>
      <c r="CX287" s="188">
        <f t="shared" si="824"/>
        <v>2.2930370370370365</v>
      </c>
      <c r="CY287" s="188">
        <f t="shared" si="825"/>
        <v>0.4586074074074073</v>
      </c>
      <c r="CZ287" s="188">
        <f t="shared" si="826"/>
        <v>4.8274463937621821</v>
      </c>
      <c r="DA287" s="172">
        <f t="shared" si="827"/>
        <v>350</v>
      </c>
      <c r="DB287" s="379">
        <f t="shared" si="828"/>
        <v>189.17703784602807</v>
      </c>
      <c r="DD287" s="188">
        <f t="shared" si="829"/>
        <v>1.2393998695368558</v>
      </c>
      <c r="DE287" s="150">
        <f t="shared" si="830"/>
        <v>2.6092628832354858</v>
      </c>
      <c r="DF287" s="150">
        <f t="shared" si="831"/>
        <v>0.4244520101153616</v>
      </c>
      <c r="DG287" s="150"/>
      <c r="DH287" s="150">
        <f t="shared" si="832"/>
        <v>2.1052631578947367</v>
      </c>
      <c r="DI287" s="314">
        <f t="shared" si="833"/>
        <v>809.40000000000009</v>
      </c>
      <c r="DJ287" s="456">
        <f t="shared" si="834"/>
        <v>0.36842105263157893</v>
      </c>
      <c r="DL287" s="150">
        <f t="shared" si="835"/>
        <v>1.6446160356636148</v>
      </c>
      <c r="DM287" s="150">
        <f t="shared" si="836"/>
        <v>2.2930370370370365</v>
      </c>
      <c r="DN287" s="150">
        <f t="shared" si="837"/>
        <v>2.1578052126200271</v>
      </c>
      <c r="DP287" s="314">
        <f t="shared" si="838"/>
        <v>852</v>
      </c>
      <c r="DQ287" s="144">
        <f t="shared" si="839"/>
        <v>189.17703784602807</v>
      </c>
      <c r="DS287">
        <f t="shared" si="840"/>
        <v>852</v>
      </c>
      <c r="DT287">
        <f t="shared" si="841"/>
        <v>189.17703784602807</v>
      </c>
      <c r="DV287" s="5">
        <f t="shared" si="870"/>
        <v>5.2860538011695892</v>
      </c>
      <c r="DW287" s="5">
        <f t="shared" si="842"/>
        <v>0.4586074074074073</v>
      </c>
      <c r="DX287" s="5">
        <f t="shared" si="843"/>
        <v>4.8274463937621821</v>
      </c>
      <c r="DY287" s="150">
        <f t="shared" si="844"/>
        <v>8.6757990867579918E-2</v>
      </c>
      <c r="EA287" s="5">
        <f t="shared" si="871"/>
        <v>7.8146702222222189</v>
      </c>
      <c r="EB287" s="5">
        <f t="shared" si="872"/>
        <v>1.0175351851851848</v>
      </c>
      <c r="EC287" s="5">
        <f t="shared" si="873"/>
        <v>0.14281195581546452</v>
      </c>
      <c r="ED287" s="5"/>
      <c r="EE287" s="150">
        <f t="shared" si="874"/>
        <v>0.38994664235402571</v>
      </c>
      <c r="EF287" s="150">
        <f t="shared" si="875"/>
        <v>1.2651539697567851</v>
      </c>
      <c r="EG287" s="150">
        <f t="shared" si="876"/>
        <v>0.28279912265151663</v>
      </c>
      <c r="EH287" s="150"/>
      <c r="EI287" s="456">
        <f t="shared" si="877"/>
        <v>3.0411676776635689E-3</v>
      </c>
      <c r="EJ287" s="456">
        <f t="shared" si="878"/>
        <v>0.57000000000000006</v>
      </c>
      <c r="EK287" s="456">
        <f t="shared" si="879"/>
        <v>2.3647129730753506E-2</v>
      </c>
      <c r="EL287" s="456">
        <f t="shared" si="880"/>
        <v>8.1658079209200193E-2</v>
      </c>
      <c r="EM287">
        <f t="shared" si="881"/>
        <v>2.7E-2</v>
      </c>
      <c r="EN287" s="144">
        <f t="shared" si="882"/>
        <v>50.647129730753505</v>
      </c>
      <c r="EP287" s="144">
        <f t="shared" si="883"/>
        <v>705.34637661761747</v>
      </c>
      <c r="EQ287" s="150">
        <f t="shared" si="884"/>
        <v>0.59639999999999993</v>
      </c>
      <c r="ER287" s="150">
        <f t="shared" si="845"/>
        <v>7.8765624999999992E-2</v>
      </c>
      <c r="ES287" s="456"/>
      <c r="EU287" s="144">
        <f t="shared" si="885"/>
        <v>675.16562499999986</v>
      </c>
      <c r="EV287" s="456">
        <f t="shared" si="886"/>
        <v>4.5617515164953527E-3</v>
      </c>
      <c r="EW287" s="456">
        <f t="shared" si="887"/>
        <v>4.8018437015740566E-2</v>
      </c>
      <c r="EX287" s="456">
        <f t="shared" si="888"/>
        <v>3.9987671886233778E-4</v>
      </c>
      <c r="EY287" s="456">
        <f t="shared" si="889"/>
        <v>0.19596058643252526</v>
      </c>
      <c r="EZ287" s="456"/>
      <c r="FA287" s="538">
        <f t="shared" si="890"/>
        <v>9.9469643159140865E-4</v>
      </c>
      <c r="FB287" s="144">
        <f t="shared" si="891"/>
        <v>249.93534811521494</v>
      </c>
      <c r="FC287" s="150">
        <f t="shared" si="892"/>
        <v>1.6304473497328325</v>
      </c>
      <c r="FD287" s="5">
        <f t="shared" si="893"/>
        <v>5.68</v>
      </c>
      <c r="FE287" s="150">
        <f t="shared" si="894"/>
        <v>0.77697023564605538</v>
      </c>
      <c r="FF287" s="5">
        <f t="shared" si="895"/>
        <v>77.697023564605544</v>
      </c>
      <c r="FG287">
        <f t="shared" si="896"/>
        <v>71</v>
      </c>
      <c r="FI287" s="59">
        <f t="shared" si="846"/>
        <v>-50</v>
      </c>
    </row>
    <row r="288" spans="5:165">
      <c r="E288" s="147">
        <v>72</v>
      </c>
      <c r="F288" s="188">
        <f t="shared" si="847"/>
        <v>0.86399999999999999</v>
      </c>
      <c r="G288" s="188">
        <f t="shared" si="775"/>
        <v>0.18</v>
      </c>
      <c r="H288" s="188">
        <f t="shared" si="776"/>
        <v>4.32</v>
      </c>
      <c r="I288" s="188">
        <f t="shared" si="777"/>
        <v>1.44</v>
      </c>
      <c r="J288" s="465">
        <f t="shared" si="778"/>
        <v>59.922529338463498</v>
      </c>
      <c r="K288" s="379">
        <f t="shared" si="779"/>
        <v>5.7294686588196946</v>
      </c>
      <c r="L288" s="149">
        <f t="shared" si="780"/>
        <v>65.651997997283189</v>
      </c>
      <c r="M288" s="379"/>
      <c r="N288" s="188">
        <f t="shared" si="781"/>
        <v>8.7270286260850607E-2</v>
      </c>
      <c r="O288" s="149">
        <f t="shared" si="782"/>
        <v>9.8052305415786147</v>
      </c>
      <c r="P288" s="149">
        <f t="shared" si="783"/>
        <v>4.357880240701606</v>
      </c>
      <c r="Q288" s="188">
        <f t="shared" si="784"/>
        <v>1.9610461083157229</v>
      </c>
      <c r="R288" s="188">
        <f t="shared" si="785"/>
        <v>1.2256538176973268</v>
      </c>
      <c r="S288" s="188">
        <f t="shared" si="786"/>
        <v>5</v>
      </c>
      <c r="T288" s="188">
        <f t="shared" si="787"/>
        <v>2.2029058784906916</v>
      </c>
      <c r="U288" s="188">
        <f t="shared" si="788"/>
        <v>0.44115077974387334</v>
      </c>
      <c r="V288" s="188">
        <f t="shared" si="789"/>
        <v>4.6138432926403414</v>
      </c>
      <c r="W288" s="172">
        <f t="shared" si="790"/>
        <v>350</v>
      </c>
      <c r="X288" s="379">
        <f t="shared" si="848"/>
        <v>190.29517183571159</v>
      </c>
      <c r="Z288" s="188">
        <f t="shared" si="791"/>
        <v>1.245108640200459</v>
      </c>
      <c r="AA288" s="150">
        <f t="shared" si="792"/>
        <v>2.6077991821118554</v>
      </c>
      <c r="AB288" s="150">
        <f t="shared" si="793"/>
        <v>0.42616786977911492</v>
      </c>
      <c r="AC288" s="150"/>
      <c r="AD288" s="150">
        <f t="shared" si="794"/>
        <v>2.0944350540303107</v>
      </c>
      <c r="AE288" s="314">
        <f t="shared" si="795"/>
        <v>825.04348687003619</v>
      </c>
      <c r="AF288" s="456">
        <f t="shared" si="796"/>
        <v>0.36652613445530435</v>
      </c>
      <c r="AH288" s="150">
        <f t="shared" si="797"/>
        <v>1.65615734242165</v>
      </c>
      <c r="AI288" s="150">
        <f t="shared" si="798"/>
        <v>2.2029058784906916</v>
      </c>
      <c r="AJ288" s="150">
        <f t="shared" si="799"/>
        <v>2.0910413914745862</v>
      </c>
      <c r="AL288" s="314">
        <f t="shared" si="800"/>
        <v>864</v>
      </c>
      <c r="AM288" s="144">
        <f t="shared" si="801"/>
        <v>190.29517183571159</v>
      </c>
      <c r="AO288">
        <f t="shared" si="802"/>
        <v>864</v>
      </c>
      <c r="AP288">
        <f t="shared" si="803"/>
        <v>190.29517183571159</v>
      </c>
      <c r="AR288" s="5">
        <f t="shared" si="774"/>
        <v>5.254994072384215</v>
      </c>
      <c r="AS288" s="5">
        <f t="shared" si="739"/>
        <v>0.44115077974387334</v>
      </c>
      <c r="AT288" s="5">
        <f t="shared" si="740"/>
        <v>4.8138432926403416</v>
      </c>
      <c r="AU288" s="150">
        <f t="shared" si="741"/>
        <v>8.3948863436818538E-2</v>
      </c>
      <c r="BA288" s="150">
        <f t="shared" si="849"/>
        <v>0.36850443994351423</v>
      </c>
      <c r="BB288" s="150">
        <f t="shared" si="850"/>
        <v>1.2172931368018409</v>
      </c>
      <c r="BC288" s="150">
        <f t="shared" si="851"/>
        <v>0.27210081881452919</v>
      </c>
      <c r="BD288" s="150"/>
      <c r="BE288" s="456">
        <f t="shared" si="852"/>
        <v>2.7159104451616616E-3</v>
      </c>
      <c r="BF288" s="456">
        <f t="shared" si="804"/>
        <v>0.51602760035532658</v>
      </c>
      <c r="BG288" s="456">
        <f t="shared" si="805"/>
        <v>0.2850742004323345</v>
      </c>
      <c r="BH288" s="456">
        <f t="shared" si="853"/>
        <v>8.2020736496848712E-2</v>
      </c>
      <c r="BI288">
        <f t="shared" si="854"/>
        <v>2.6965138202308572E-2</v>
      </c>
      <c r="BJ288" s="144">
        <f t="shared" si="855"/>
        <v>312.03933863464306</v>
      </c>
      <c r="BK288">
        <f t="shared" si="806"/>
        <v>0.60188594030848075</v>
      </c>
      <c r="BL288" s="144">
        <f t="shared" si="856"/>
        <v>912.80358593197991</v>
      </c>
      <c r="BM288" s="150">
        <f t="shared" si="807"/>
        <v>0.53676000000000001</v>
      </c>
      <c r="BN288" s="150">
        <f t="shared" si="808"/>
        <v>7.9874999999999988E-2</v>
      </c>
      <c r="BQ288" s="144">
        <f t="shared" si="857"/>
        <v>616.63499999999999</v>
      </c>
      <c r="BR288" s="456">
        <f t="shared" si="858"/>
        <v>4.0738656677424927E-3</v>
      </c>
      <c r="BS288" s="456">
        <f t="shared" si="859"/>
        <v>4.4454077427145959E-2</v>
      </c>
      <c r="BT288" s="456">
        <f t="shared" si="860"/>
        <v>3.7019427799768619E-4</v>
      </c>
      <c r="BU288" s="456">
        <f t="shared" si="861"/>
        <v>0.17989922099682007</v>
      </c>
      <c r="BV288" s="456"/>
      <c r="BW288" s="538">
        <f t="shared" si="862"/>
        <v>9.2346332700754324E-4</v>
      </c>
      <c r="BX288" s="144">
        <f t="shared" si="863"/>
        <v>229.72082169671376</v>
      </c>
      <c r="BY288" s="150">
        <f t="shared" si="864"/>
        <v>1.7591594076286936</v>
      </c>
      <c r="BZ288" s="5">
        <f t="shared" si="865"/>
        <v>5.76</v>
      </c>
      <c r="CA288" s="150">
        <f t="shared" si="866"/>
        <v>0.76604307579329833</v>
      </c>
      <c r="CB288" s="5">
        <f t="shared" si="867"/>
        <v>76.604307579329827</v>
      </c>
      <c r="CC288">
        <f t="shared" si="868"/>
        <v>72</v>
      </c>
      <c r="CE288" s="59">
        <f t="shared" si="809"/>
        <v>-50</v>
      </c>
      <c r="CG288" s="150">
        <f t="shared" si="810"/>
        <v>0.87957854338036034</v>
      </c>
      <c r="CH288" s="150">
        <f t="shared" si="811"/>
        <v>0.47330172420499939</v>
      </c>
      <c r="CI288" s="147">
        <v>72</v>
      </c>
      <c r="CJ288" s="188">
        <f t="shared" si="869"/>
        <v>0.86399999999999999</v>
      </c>
      <c r="CK288" s="188">
        <f t="shared" si="812"/>
        <v>0.18</v>
      </c>
      <c r="CL288" s="188">
        <f t="shared" si="813"/>
        <v>4.32</v>
      </c>
      <c r="CM288" s="188">
        <f t="shared" si="814"/>
        <v>1.44</v>
      </c>
      <c r="CN288" s="465">
        <f t="shared" si="815"/>
        <v>60</v>
      </c>
      <c r="CO288" s="379">
        <f t="shared" si="816"/>
        <v>5.7</v>
      </c>
      <c r="CP288" s="379">
        <f t="shared" si="817"/>
        <v>65.7</v>
      </c>
      <c r="CQ288" s="379"/>
      <c r="CR288" s="188">
        <f t="shared" si="818"/>
        <v>8.2568807339449546E-2</v>
      </c>
      <c r="CS288" s="149">
        <f t="shared" si="819"/>
        <v>9.2889908256880744</v>
      </c>
      <c r="CT288" s="149">
        <f t="shared" si="820"/>
        <v>4.1284403669724767</v>
      </c>
      <c r="CU288" s="188">
        <f t="shared" si="821"/>
        <v>1.857798165137615</v>
      </c>
      <c r="CV288" s="188">
        <f t="shared" si="822"/>
        <v>1.1611238532110093</v>
      </c>
      <c r="CW288" s="188">
        <f t="shared" si="823"/>
        <v>5</v>
      </c>
      <c r="CX288" s="188">
        <f t="shared" si="824"/>
        <v>2.325333333333333</v>
      </c>
      <c r="CY288" s="188">
        <f t="shared" si="825"/>
        <v>0.46506666666666657</v>
      </c>
      <c r="CZ288" s="188">
        <f t="shared" si="826"/>
        <v>4.8954385964912266</v>
      </c>
      <c r="DA288" s="172">
        <f t="shared" si="827"/>
        <v>350</v>
      </c>
      <c r="DB288" s="379">
        <f t="shared" si="828"/>
        <v>186.54957898705547</v>
      </c>
      <c r="DD288" s="188">
        <f t="shared" si="829"/>
        <v>1.2393998695368558</v>
      </c>
      <c r="DE288" s="150">
        <f t="shared" si="830"/>
        <v>2.6092628832354858</v>
      </c>
      <c r="DF288" s="150">
        <f t="shared" si="831"/>
        <v>0.4244520101153616</v>
      </c>
      <c r="DG288" s="150"/>
      <c r="DH288" s="150">
        <f t="shared" si="832"/>
        <v>2.1052631578947367</v>
      </c>
      <c r="DI288" s="314">
        <f t="shared" si="833"/>
        <v>820.80000000000007</v>
      </c>
      <c r="DJ288" s="456">
        <f t="shared" si="834"/>
        <v>0.36842105263157893</v>
      </c>
      <c r="DL288" s="150">
        <f t="shared" si="835"/>
        <v>1.65615734242165</v>
      </c>
      <c r="DM288" s="150">
        <f t="shared" si="836"/>
        <v>2.325333333333333</v>
      </c>
      <c r="DN288" s="150">
        <f t="shared" si="837"/>
        <v>2.1817283950617279</v>
      </c>
      <c r="DP288" s="314">
        <f t="shared" si="838"/>
        <v>864</v>
      </c>
      <c r="DQ288" s="144">
        <f t="shared" si="839"/>
        <v>186.54957898705547</v>
      </c>
      <c r="DS288">
        <f t="shared" si="840"/>
        <v>864</v>
      </c>
      <c r="DT288">
        <f t="shared" si="841"/>
        <v>186.54957898705547</v>
      </c>
      <c r="DV288" s="5">
        <f t="shared" si="870"/>
        <v>5.3605052631578936</v>
      </c>
      <c r="DW288" s="5">
        <f t="shared" si="842"/>
        <v>0.46506666666666657</v>
      </c>
      <c r="DX288" s="5">
        <f t="shared" si="843"/>
        <v>4.8954385964912266</v>
      </c>
      <c r="DY288" s="150">
        <f t="shared" si="844"/>
        <v>8.6757990867579904E-2</v>
      </c>
      <c r="EA288" s="5">
        <f t="shared" si="871"/>
        <v>8.0363519999999991</v>
      </c>
      <c r="EB288" s="5">
        <f t="shared" si="872"/>
        <v>1.0463999999999998</v>
      </c>
      <c r="EC288" s="5">
        <f t="shared" si="873"/>
        <v>0.14686315789473681</v>
      </c>
      <c r="ED288" s="5"/>
      <c r="EE288" s="150">
        <f t="shared" si="874"/>
        <v>0.39543884858436418</v>
      </c>
      <c r="EF288" s="150">
        <f t="shared" si="875"/>
        <v>1.2829730397533596</v>
      </c>
      <c r="EG288" s="150">
        <f t="shared" si="876"/>
        <v>0.28678220888604511</v>
      </c>
      <c r="EH288" s="150"/>
      <c r="EI288" s="456">
        <f t="shared" si="877"/>
        <v>3.127437659394554E-3</v>
      </c>
      <c r="EJ288" s="456">
        <f t="shared" si="878"/>
        <v>0.57000000000000006</v>
      </c>
      <c r="EK288" s="456">
        <f t="shared" si="879"/>
        <v>2.3318697373381932E-2</v>
      </c>
      <c r="EL288" s="456">
        <f t="shared" si="880"/>
        <v>8.0523939220183527E-2</v>
      </c>
      <c r="EM288">
        <f t="shared" si="881"/>
        <v>2.7E-2</v>
      </c>
      <c r="EN288" s="144">
        <f t="shared" si="882"/>
        <v>50.31869737338193</v>
      </c>
      <c r="EP288" s="144">
        <f t="shared" si="883"/>
        <v>703.9700742529601</v>
      </c>
      <c r="EQ288" s="150">
        <f t="shared" si="884"/>
        <v>0.6048</v>
      </c>
      <c r="ER288" s="150">
        <f t="shared" si="845"/>
        <v>7.9874999999999988E-2</v>
      </c>
      <c r="ES288" s="456"/>
      <c r="EU288" s="144">
        <f t="shared" si="885"/>
        <v>684.67500000000007</v>
      </c>
      <c r="EV288" s="456">
        <f t="shared" si="886"/>
        <v>4.6911564890918305E-3</v>
      </c>
      <c r="EW288" s="456">
        <f t="shared" si="887"/>
        <v>4.9380594622019269E-2</v>
      </c>
      <c r="EX288" s="456">
        <f t="shared" si="888"/>
        <v>4.1122017666779607E-4</v>
      </c>
      <c r="EY288" s="456">
        <f t="shared" si="889"/>
        <v>0.19596058643252551</v>
      </c>
      <c r="EZ288" s="456"/>
      <c r="FA288" s="538">
        <f t="shared" si="890"/>
        <v>1.0087062404870624E-3</v>
      </c>
      <c r="FB288" s="144">
        <f t="shared" si="891"/>
        <v>251.45226396079147</v>
      </c>
      <c r="FC288" s="150">
        <f t="shared" si="892"/>
        <v>1.6400973382137516</v>
      </c>
      <c r="FD288" s="5">
        <f t="shared" si="893"/>
        <v>5.76</v>
      </c>
      <c r="FE288" s="150">
        <f t="shared" si="894"/>
        <v>0.7783681398696789</v>
      </c>
      <c r="FF288" s="5">
        <f t="shared" si="895"/>
        <v>77.836813986967883</v>
      </c>
      <c r="FG288">
        <f t="shared" si="896"/>
        <v>72</v>
      </c>
      <c r="FI288" s="59">
        <f t="shared" si="846"/>
        <v>-50</v>
      </c>
    </row>
    <row r="289" spans="5:165">
      <c r="E289" s="147">
        <v>73</v>
      </c>
      <c r="F289" s="188">
        <f t="shared" si="847"/>
        <v>0.876</v>
      </c>
      <c r="G289" s="188">
        <f t="shared" si="775"/>
        <v>0.1825</v>
      </c>
      <c r="H289" s="188">
        <f t="shared" si="776"/>
        <v>4.38</v>
      </c>
      <c r="I289" s="188">
        <f t="shared" si="777"/>
        <v>1.46</v>
      </c>
      <c r="J289" s="465">
        <f t="shared" si="778"/>
        <v>59.921453357053267</v>
      </c>
      <c r="K289" s="379">
        <f t="shared" si="779"/>
        <v>5.729877945747746</v>
      </c>
      <c r="L289" s="149">
        <f t="shared" si="780"/>
        <v>65.651331302801012</v>
      </c>
      <c r="M289" s="379"/>
      <c r="N289" s="188">
        <f t="shared" si="781"/>
        <v>8.7277406749301983E-2</v>
      </c>
      <c r="O289" s="149">
        <f t="shared" si="782"/>
        <v>9.8058544830991217</v>
      </c>
      <c r="P289" s="149">
        <f t="shared" si="783"/>
        <v>4.358157548044054</v>
      </c>
      <c r="Q289" s="188">
        <f t="shared" si="784"/>
        <v>1.9611708966198242</v>
      </c>
      <c r="R289" s="188">
        <f t="shared" si="785"/>
        <v>1.2257318103873902</v>
      </c>
      <c r="S289" s="188">
        <f t="shared" si="786"/>
        <v>5</v>
      </c>
      <c r="T289" s="188">
        <f t="shared" si="787"/>
        <v>2.2333596768895294</v>
      </c>
      <c r="U289" s="188">
        <f t="shared" si="788"/>
        <v>0.44725744489172553</v>
      </c>
      <c r="V289" s="188">
        <f t="shared" si="789"/>
        <v>4.6772926712275593</v>
      </c>
      <c r="W289" s="172">
        <f t="shared" si="790"/>
        <v>350</v>
      </c>
      <c r="X289" s="379">
        <f t="shared" si="848"/>
        <v>187.80929434256774</v>
      </c>
      <c r="Z289" s="188">
        <f t="shared" si="791"/>
        <v>1.2451878708697297</v>
      </c>
      <c r="AA289" s="150">
        <f t="shared" si="792"/>
        <v>2.6077788378591369</v>
      </c>
      <c r="AB289" s="150">
        <f t="shared" si="793"/>
        <v>0.42619166346920057</v>
      </c>
      <c r="AC289" s="150"/>
      <c r="AD289" s="150">
        <f t="shared" si="794"/>
        <v>2.0942854478960471</v>
      </c>
      <c r="AE289" s="314">
        <f t="shared" si="795"/>
        <v>836.56218007917084</v>
      </c>
      <c r="AF289" s="456">
        <f t="shared" si="796"/>
        <v>0.36649995338180824</v>
      </c>
      <c r="AH289" s="150">
        <f t="shared" si="797"/>
        <v>1.6676187756655838</v>
      </c>
      <c r="AI289" s="150">
        <f t="shared" si="798"/>
        <v>2.2333596768895294</v>
      </c>
      <c r="AJ289" s="150">
        <f t="shared" si="799"/>
        <v>2.1135997606589108</v>
      </c>
      <c r="AL289" s="314">
        <f t="shared" si="800"/>
        <v>876</v>
      </c>
      <c r="AM289" s="144">
        <f t="shared" si="801"/>
        <v>187.80929434256774</v>
      </c>
      <c r="AO289">
        <f t="shared" si="802"/>
        <v>876</v>
      </c>
      <c r="AP289">
        <f t="shared" si="803"/>
        <v>187.80929434256774</v>
      </c>
      <c r="AR289" s="5">
        <f t="shared" si="774"/>
        <v>5.3245501161192852</v>
      </c>
      <c r="AS289" s="5">
        <f t="shared" si="739"/>
        <v>0.44725744489172553</v>
      </c>
      <c r="AT289" s="5">
        <f t="shared" si="740"/>
        <v>4.8772926712275595</v>
      </c>
      <c r="AU289" s="150">
        <f t="shared" si="741"/>
        <v>8.399910511457484E-2</v>
      </c>
      <c r="BA289" s="150">
        <f t="shared" si="849"/>
        <v>0.37371056264573504</v>
      </c>
      <c r="BB289" s="150">
        <f t="shared" si="850"/>
        <v>1.234087610673992</v>
      </c>
      <c r="BC289" s="150">
        <f t="shared" si="851"/>
        <v>0.27585487768006878</v>
      </c>
      <c r="BD289" s="150"/>
      <c r="BE289" s="456">
        <f t="shared" si="852"/>
        <v>2.793191692659837E-3</v>
      </c>
      <c r="BF289" s="456">
        <f t="shared" si="804"/>
        <v>0.51632191758527046</v>
      </c>
      <c r="BG289" s="456">
        <f t="shared" si="805"/>
        <v>0.2813451467742315</v>
      </c>
      <c r="BH289" s="456">
        <f t="shared" si="853"/>
        <v>8.0947633280452375E-2</v>
      </c>
      <c r="BI289">
        <f t="shared" si="854"/>
        <v>2.696465401067397E-2</v>
      </c>
      <c r="BJ289" s="144">
        <f t="shared" si="855"/>
        <v>308.30980078490552</v>
      </c>
      <c r="BK289">
        <f t="shared" si="806"/>
        <v>0.60121590867591113</v>
      </c>
      <c r="BL289" s="144">
        <f t="shared" si="856"/>
        <v>908.37254334328804</v>
      </c>
      <c r="BM289" s="150">
        <f t="shared" si="807"/>
        <v>0.54421499999999989</v>
      </c>
      <c r="BN289" s="150">
        <f t="shared" si="808"/>
        <v>8.0984374999999997E-2</v>
      </c>
      <c r="BQ289" s="144">
        <f t="shared" si="857"/>
        <v>625.19937499999992</v>
      </c>
      <c r="BR289" s="456">
        <f t="shared" si="858"/>
        <v>4.189787538989756E-3</v>
      </c>
      <c r="BS289" s="456">
        <f t="shared" si="859"/>
        <v>4.568916692457127E-2</v>
      </c>
      <c r="BT289" s="456">
        <f t="shared" si="860"/>
        <v>3.8047956769942856E-4</v>
      </c>
      <c r="BU289" s="456">
        <f t="shared" si="861"/>
        <v>0.18016041908776967</v>
      </c>
      <c r="BV289" s="456"/>
      <c r="BW289" s="538">
        <f t="shared" si="862"/>
        <v>9.3677312403464671E-4</v>
      </c>
      <c r="BX289" s="144">
        <f t="shared" si="863"/>
        <v>231.35662624306477</v>
      </c>
      <c r="BY289" s="150">
        <f t="shared" si="864"/>
        <v>1.7649285445863527</v>
      </c>
      <c r="BZ289" s="5">
        <f t="shared" si="865"/>
        <v>5.84</v>
      </c>
      <c r="CA289" s="150">
        <f t="shared" si="866"/>
        <v>0.76792306012622102</v>
      </c>
      <c r="CB289" s="5">
        <f t="shared" si="867"/>
        <v>76.792306012622106</v>
      </c>
      <c r="CC289">
        <f t="shared" si="868"/>
        <v>73</v>
      </c>
      <c r="CE289" s="59">
        <f t="shared" si="809"/>
        <v>-50</v>
      </c>
      <c r="CG289" s="150">
        <f t="shared" si="810"/>
        <v>0.87957854338036034</v>
      </c>
      <c r="CH289" s="150">
        <f t="shared" si="811"/>
        <v>0.47330172420499933</v>
      </c>
      <c r="CI289" s="147">
        <v>73</v>
      </c>
      <c r="CJ289" s="188">
        <f t="shared" si="869"/>
        <v>0.876</v>
      </c>
      <c r="CK289" s="188">
        <f t="shared" si="812"/>
        <v>0.1825</v>
      </c>
      <c r="CL289" s="188">
        <f t="shared" si="813"/>
        <v>4.38</v>
      </c>
      <c r="CM289" s="188">
        <f t="shared" si="814"/>
        <v>1.46</v>
      </c>
      <c r="CN289" s="465">
        <f t="shared" si="815"/>
        <v>60</v>
      </c>
      <c r="CO289" s="379">
        <f t="shared" si="816"/>
        <v>5.7</v>
      </c>
      <c r="CP289" s="379">
        <f t="shared" si="817"/>
        <v>65.7</v>
      </c>
      <c r="CQ289" s="379"/>
      <c r="CR289" s="188">
        <f t="shared" si="818"/>
        <v>8.2568807339449546E-2</v>
      </c>
      <c r="CS289" s="149">
        <f t="shared" si="819"/>
        <v>9.2889908256880744</v>
      </c>
      <c r="CT289" s="149">
        <f t="shared" si="820"/>
        <v>4.1284403669724767</v>
      </c>
      <c r="CU289" s="188">
        <f t="shared" si="821"/>
        <v>1.857798165137615</v>
      </c>
      <c r="CV289" s="188">
        <f t="shared" si="822"/>
        <v>1.1611238532110093</v>
      </c>
      <c r="CW289" s="188">
        <f t="shared" si="823"/>
        <v>5</v>
      </c>
      <c r="CX289" s="188">
        <f t="shared" si="824"/>
        <v>2.3576296296296295</v>
      </c>
      <c r="CY289" s="188">
        <f t="shared" si="825"/>
        <v>0.47152592592592596</v>
      </c>
      <c r="CZ289" s="188">
        <f t="shared" si="826"/>
        <v>4.9634307992202729</v>
      </c>
      <c r="DA289" s="172">
        <f t="shared" si="827"/>
        <v>350</v>
      </c>
      <c r="DB289" s="379">
        <f t="shared" si="828"/>
        <v>183.99410530230122</v>
      </c>
      <c r="DD289" s="188">
        <f t="shared" si="829"/>
        <v>1.2393998695368558</v>
      </c>
      <c r="DE289" s="150">
        <f t="shared" si="830"/>
        <v>2.6092628832354858</v>
      </c>
      <c r="DF289" s="150">
        <f t="shared" si="831"/>
        <v>0.4244520101153616</v>
      </c>
      <c r="DG289" s="150"/>
      <c r="DH289" s="150">
        <f t="shared" si="832"/>
        <v>2.1052631578947367</v>
      </c>
      <c r="DI289" s="314">
        <f t="shared" si="833"/>
        <v>832.20000000000016</v>
      </c>
      <c r="DJ289" s="456">
        <f t="shared" si="834"/>
        <v>0.36842105263157893</v>
      </c>
      <c r="DL289" s="150">
        <f t="shared" si="835"/>
        <v>1.6676187756655838</v>
      </c>
      <c r="DM289" s="150">
        <f t="shared" si="836"/>
        <v>2.3576296296296295</v>
      </c>
      <c r="DN289" s="150">
        <f t="shared" si="837"/>
        <v>2.2056515775034291</v>
      </c>
      <c r="DP289" s="314">
        <f t="shared" si="838"/>
        <v>876</v>
      </c>
      <c r="DQ289" s="144">
        <f t="shared" si="839"/>
        <v>183.99410530230122</v>
      </c>
      <c r="DS289">
        <f t="shared" si="840"/>
        <v>876</v>
      </c>
      <c r="DT289">
        <f t="shared" si="841"/>
        <v>183.99410530230122</v>
      </c>
      <c r="DV289" s="5">
        <f t="shared" si="870"/>
        <v>5.4349567251461997</v>
      </c>
      <c r="DW289" s="5">
        <f t="shared" si="842"/>
        <v>0.47152592592592596</v>
      </c>
      <c r="DX289" s="5">
        <f t="shared" si="843"/>
        <v>4.9634307992202737</v>
      </c>
      <c r="DY289" s="150">
        <f t="shared" si="844"/>
        <v>8.6757990867579904E-2</v>
      </c>
      <c r="EA289" s="5">
        <f t="shared" si="871"/>
        <v>8.261134222222223</v>
      </c>
      <c r="EB289" s="5">
        <f t="shared" si="872"/>
        <v>1.0756685185185186</v>
      </c>
      <c r="EC289" s="5">
        <f t="shared" si="873"/>
        <v>0.15097102014294997</v>
      </c>
      <c r="ED289" s="5"/>
      <c r="EE289" s="150">
        <f t="shared" si="874"/>
        <v>0.40093105481470259</v>
      </c>
      <c r="EF289" s="150">
        <f t="shared" si="875"/>
        <v>1.3007921097499342</v>
      </c>
      <c r="EG289" s="150">
        <f t="shared" si="876"/>
        <v>0.29076529512057353</v>
      </c>
      <c r="EH289" s="150"/>
      <c r="EI289" s="456">
        <f t="shared" si="877"/>
        <v>3.214914214296601E-3</v>
      </c>
      <c r="EJ289" s="456">
        <f t="shared" si="878"/>
        <v>0.56999999999999995</v>
      </c>
      <c r="EK289" s="456">
        <f t="shared" si="879"/>
        <v>2.299926316278765E-2</v>
      </c>
      <c r="EL289" s="456">
        <f t="shared" si="880"/>
        <v>7.9420871559633038E-2</v>
      </c>
      <c r="EM289">
        <f t="shared" si="881"/>
        <v>2.7E-2</v>
      </c>
      <c r="EN289" s="144">
        <f t="shared" si="882"/>
        <v>49.999263162787649</v>
      </c>
      <c r="EP289" s="144">
        <f t="shared" si="883"/>
        <v>702.63504893671734</v>
      </c>
      <c r="EQ289" s="150">
        <f t="shared" si="884"/>
        <v>0.61319999999999997</v>
      </c>
      <c r="ER289" s="150">
        <f t="shared" si="845"/>
        <v>8.0984374999999997E-2</v>
      </c>
      <c r="ES289" s="456"/>
      <c r="EU289" s="144">
        <f t="shared" si="885"/>
        <v>694.18437499999993</v>
      </c>
      <c r="EV289" s="456">
        <f t="shared" si="886"/>
        <v>4.8223713214449009E-3</v>
      </c>
      <c r="EW289" s="456">
        <f t="shared" si="887"/>
        <v>5.0761803383630545E-2</v>
      </c>
      <c r="EX289" s="456">
        <f t="shared" si="888"/>
        <v>4.227222842327711E-4</v>
      </c>
      <c r="EY289" s="456">
        <f t="shared" si="889"/>
        <v>0.19596058643252517</v>
      </c>
      <c r="EZ289" s="456"/>
      <c r="FA289" s="538">
        <f t="shared" si="890"/>
        <v>1.0227160493827159E-3</v>
      </c>
      <c r="FB289" s="144">
        <f t="shared" si="891"/>
        <v>252.9901994712161</v>
      </c>
      <c r="FC289" s="150">
        <f t="shared" si="892"/>
        <v>1.6498096234079331</v>
      </c>
      <c r="FD289" s="5">
        <f t="shared" si="893"/>
        <v>5.84</v>
      </c>
      <c r="FE289" s="150">
        <f t="shared" si="894"/>
        <v>0.77972609367108936</v>
      </c>
      <c r="FF289" s="5">
        <f t="shared" si="895"/>
        <v>77.97260936710893</v>
      </c>
      <c r="FG289">
        <f t="shared" si="896"/>
        <v>73</v>
      </c>
      <c r="FI289" s="59">
        <f t="shared" si="846"/>
        <v>-50</v>
      </c>
    </row>
    <row r="290" spans="5:165">
      <c r="E290" s="147">
        <v>74</v>
      </c>
      <c r="F290" s="188">
        <f t="shared" si="847"/>
        <v>0.88800000000000001</v>
      </c>
      <c r="G290" s="188">
        <f t="shared" si="775"/>
        <v>0.185</v>
      </c>
      <c r="H290" s="188">
        <f t="shared" si="776"/>
        <v>4.4400000000000004</v>
      </c>
      <c r="I290" s="188">
        <f t="shared" si="777"/>
        <v>1.48</v>
      </c>
      <c r="J290" s="465">
        <f t="shared" si="778"/>
        <v>59.920377375643035</v>
      </c>
      <c r="K290" s="379">
        <f t="shared" si="779"/>
        <v>5.7302872326757974</v>
      </c>
      <c r="L290" s="149">
        <f t="shared" si="780"/>
        <v>65.650664608318834</v>
      </c>
      <c r="M290" s="379"/>
      <c r="N290" s="188">
        <f t="shared" si="781"/>
        <v>8.7284527382373092E-2</v>
      </c>
      <c r="O290" s="149">
        <f t="shared" si="782"/>
        <v>9.806478412137082</v>
      </c>
      <c r="P290" s="149">
        <f t="shared" si="783"/>
        <v>4.3584348498387024</v>
      </c>
      <c r="Q290" s="188">
        <f t="shared" si="784"/>
        <v>1.9612956824274164</v>
      </c>
      <c r="R290" s="188">
        <f t="shared" si="785"/>
        <v>1.2258098015171353</v>
      </c>
      <c r="S290" s="188">
        <f t="shared" si="786"/>
        <v>5</v>
      </c>
      <c r="T290" s="188">
        <f t="shared" si="787"/>
        <v>2.2638096028971986</v>
      </c>
      <c r="U290" s="188">
        <f t="shared" si="788"/>
        <v>0.45336355384518895</v>
      </c>
      <c r="V290" s="188">
        <f t="shared" si="789"/>
        <v>4.7407248767320809</v>
      </c>
      <c r="W290" s="172">
        <f t="shared" si="790"/>
        <v>350</v>
      </c>
      <c r="X290" s="379">
        <f t="shared" si="848"/>
        <v>185.38813608085047</v>
      </c>
      <c r="Z290" s="188">
        <f t="shared" si="791"/>
        <v>1.2452670999539153</v>
      </c>
      <c r="AA290" s="150">
        <f t="shared" si="792"/>
        <v>2.6077584931932201</v>
      </c>
      <c r="AB290" s="150">
        <f t="shared" si="793"/>
        <v>0.42621545612610734</v>
      </c>
      <c r="AC290" s="150"/>
      <c r="AD290" s="150">
        <f t="shared" si="794"/>
        <v>2.0941358631330802</v>
      </c>
      <c r="AE290" s="314">
        <f t="shared" si="795"/>
        <v>848.08251043601797</v>
      </c>
      <c r="AF290" s="456">
        <f t="shared" si="796"/>
        <v>0.36647377604828901</v>
      </c>
      <c r="AH290" s="150">
        <f t="shared" si="797"/>
        <v>1.6790019711267818</v>
      </c>
      <c r="AI290" s="150">
        <f t="shared" si="798"/>
        <v>2.2638096028971986</v>
      </c>
      <c r="AJ290" s="150">
        <f t="shared" si="799"/>
        <v>2.1361552614053321</v>
      </c>
      <c r="AL290" s="314">
        <f t="shared" si="800"/>
        <v>888</v>
      </c>
      <c r="AM290" s="144">
        <f t="shared" si="801"/>
        <v>185.38813608085047</v>
      </c>
      <c r="AO290">
        <f t="shared" si="802"/>
        <v>888</v>
      </c>
      <c r="AP290">
        <f t="shared" si="803"/>
        <v>185.38813608085047</v>
      </c>
      <c r="AR290" s="5">
        <f t="shared" si="774"/>
        <v>5.3940884305772689</v>
      </c>
      <c r="AS290" s="5">
        <f t="shared" si="739"/>
        <v>0.45336355384518895</v>
      </c>
      <c r="AT290" s="5">
        <f t="shared" si="740"/>
        <v>4.9407248767320802</v>
      </c>
      <c r="AU290" s="150">
        <f t="shared" si="741"/>
        <v>8.4048224214349876E-2</v>
      </c>
      <c r="BA290" s="150">
        <f t="shared" si="849"/>
        <v>0.3789165212442891</v>
      </c>
      <c r="BB290" s="150">
        <f t="shared" si="850"/>
        <v>1.2508797874501438</v>
      </c>
      <c r="BC290" s="150">
        <f t="shared" si="851"/>
        <v>0.279608423077091</v>
      </c>
      <c r="BD290" s="150"/>
      <c r="BE290" s="456">
        <f t="shared" si="852"/>
        <v>2.8715546014374759E-3</v>
      </c>
      <c r="BF290" s="456">
        <f t="shared" si="804"/>
        <v>0.51660931762265649</v>
      </c>
      <c r="BG290" s="456">
        <f t="shared" si="805"/>
        <v>0.27771317687329061</v>
      </c>
      <c r="BH290" s="456">
        <f t="shared" si="853"/>
        <v>7.9902467654812154E-2</v>
      </c>
      <c r="BI290">
        <f t="shared" si="854"/>
        <v>2.6964169819039364E-2</v>
      </c>
      <c r="BJ290" s="144">
        <f t="shared" si="855"/>
        <v>304.67734669232999</v>
      </c>
      <c r="BK290">
        <f t="shared" si="806"/>
        <v>0.60056841626510504</v>
      </c>
      <c r="BL290" s="144">
        <f t="shared" si="856"/>
        <v>904.06068657123603</v>
      </c>
      <c r="BM290" s="150">
        <f t="shared" si="807"/>
        <v>0.55166999999999988</v>
      </c>
      <c r="BN290" s="150">
        <f t="shared" si="808"/>
        <v>8.2093749999999993E-2</v>
      </c>
      <c r="BQ290" s="144">
        <f t="shared" si="857"/>
        <v>633.76374999999985</v>
      </c>
      <c r="BR290" s="456">
        <f t="shared" si="858"/>
        <v>4.3073319021562136E-3</v>
      </c>
      <c r="BS290" s="456">
        <f t="shared" si="859"/>
        <v>4.6941007279539509E-2</v>
      </c>
      <c r="BT290" s="456">
        <f t="shared" si="860"/>
        <v>3.9090435127828757E-4</v>
      </c>
      <c r="BU290" s="456">
        <f t="shared" si="861"/>
        <v>0.18041581060095907</v>
      </c>
      <c r="BV290" s="456"/>
      <c r="BW290" s="538">
        <f t="shared" si="862"/>
        <v>9.5008340781337877E-4</v>
      </c>
      <c r="BX290" s="144">
        <f t="shared" si="863"/>
        <v>233.00513754174645</v>
      </c>
      <c r="BY290" s="150">
        <f t="shared" si="864"/>
        <v>1.7708295741129823</v>
      </c>
      <c r="BZ290" s="5">
        <f t="shared" si="865"/>
        <v>5.92</v>
      </c>
      <c r="CA290" s="150">
        <f t="shared" si="866"/>
        <v>0.76974791119107333</v>
      </c>
      <c r="CB290" s="5">
        <f t="shared" si="867"/>
        <v>76.974791119107337</v>
      </c>
      <c r="CC290">
        <f t="shared" si="868"/>
        <v>74</v>
      </c>
      <c r="CE290" s="59">
        <f t="shared" si="809"/>
        <v>-50</v>
      </c>
      <c r="CG290" s="150">
        <f t="shared" si="810"/>
        <v>0.87957854338036046</v>
      </c>
      <c r="CH290" s="150">
        <f t="shared" si="811"/>
        <v>0.47330172420499939</v>
      </c>
      <c r="CI290" s="147">
        <v>74</v>
      </c>
      <c r="CJ290" s="188">
        <f t="shared" si="869"/>
        <v>0.88800000000000001</v>
      </c>
      <c r="CK290" s="188">
        <f t="shared" si="812"/>
        <v>0.185</v>
      </c>
      <c r="CL290" s="188">
        <f t="shared" si="813"/>
        <v>4.4400000000000004</v>
      </c>
      <c r="CM290" s="188">
        <f t="shared" si="814"/>
        <v>1.48</v>
      </c>
      <c r="CN290" s="465">
        <f t="shared" si="815"/>
        <v>60</v>
      </c>
      <c r="CO290" s="379">
        <f t="shared" si="816"/>
        <v>5.7</v>
      </c>
      <c r="CP290" s="379">
        <f t="shared" si="817"/>
        <v>65.7</v>
      </c>
      <c r="CQ290" s="379"/>
      <c r="CR290" s="188">
        <f t="shared" si="818"/>
        <v>8.2568807339449546E-2</v>
      </c>
      <c r="CS290" s="149">
        <f t="shared" si="819"/>
        <v>9.2889908256880744</v>
      </c>
      <c r="CT290" s="149">
        <f t="shared" si="820"/>
        <v>4.1284403669724767</v>
      </c>
      <c r="CU290" s="188">
        <f t="shared" si="821"/>
        <v>1.857798165137615</v>
      </c>
      <c r="CV290" s="188">
        <f t="shared" si="822"/>
        <v>1.1611238532110093</v>
      </c>
      <c r="CW290" s="188">
        <f t="shared" si="823"/>
        <v>5</v>
      </c>
      <c r="CX290" s="188">
        <f t="shared" si="824"/>
        <v>2.3899259259259256</v>
      </c>
      <c r="CY290" s="188">
        <f t="shared" si="825"/>
        <v>0.47798518518518507</v>
      </c>
      <c r="CZ290" s="188">
        <f t="shared" si="826"/>
        <v>5.0314230019493174</v>
      </c>
      <c r="DA290" s="172">
        <f t="shared" si="827"/>
        <v>350</v>
      </c>
      <c r="DB290" s="379">
        <f t="shared" si="828"/>
        <v>181.50769847389179</v>
      </c>
      <c r="DD290" s="188">
        <f t="shared" si="829"/>
        <v>1.2393998695368558</v>
      </c>
      <c r="DE290" s="150">
        <f t="shared" si="830"/>
        <v>2.6092628832354858</v>
      </c>
      <c r="DF290" s="150">
        <f t="shared" si="831"/>
        <v>0.4244520101153616</v>
      </c>
      <c r="DG290" s="150"/>
      <c r="DH290" s="150">
        <f t="shared" si="832"/>
        <v>2.1052631578947367</v>
      </c>
      <c r="DI290" s="314">
        <f t="shared" si="833"/>
        <v>843.6</v>
      </c>
      <c r="DJ290" s="456">
        <f t="shared" si="834"/>
        <v>0.36842105263157893</v>
      </c>
      <c r="DL290" s="150">
        <f t="shared" si="835"/>
        <v>1.6790019711267818</v>
      </c>
      <c r="DM290" s="150">
        <f t="shared" si="836"/>
        <v>2.3899259259259256</v>
      </c>
      <c r="DN290" s="150">
        <f t="shared" si="837"/>
        <v>2.2295747599451299</v>
      </c>
      <c r="DP290" s="314">
        <f t="shared" si="838"/>
        <v>888</v>
      </c>
      <c r="DQ290" s="144">
        <f t="shared" si="839"/>
        <v>181.50769847389179</v>
      </c>
      <c r="DS290">
        <f t="shared" si="840"/>
        <v>888</v>
      </c>
      <c r="DT290">
        <f t="shared" si="841"/>
        <v>181.50769847389179</v>
      </c>
      <c r="DV290" s="5">
        <f t="shared" si="870"/>
        <v>5.5094081871345022</v>
      </c>
      <c r="DW290" s="5">
        <f t="shared" si="842"/>
        <v>0.47798518518518507</v>
      </c>
      <c r="DX290" s="5">
        <f t="shared" si="843"/>
        <v>5.0314230019493174</v>
      </c>
      <c r="DY290" s="150">
        <f t="shared" si="844"/>
        <v>8.6757990867579904E-2</v>
      </c>
      <c r="EA290" s="5">
        <f t="shared" si="871"/>
        <v>8.4890168888888873</v>
      </c>
      <c r="EB290" s="5">
        <f t="shared" si="872"/>
        <v>1.1053407407407405</v>
      </c>
      <c r="EC290" s="5">
        <f t="shared" si="873"/>
        <v>0.15513554256010395</v>
      </c>
      <c r="ED290" s="5"/>
      <c r="EE290" s="150">
        <f t="shared" si="874"/>
        <v>0.40642326104504095</v>
      </c>
      <c r="EF290" s="150">
        <f t="shared" si="875"/>
        <v>1.3186111797465085</v>
      </c>
      <c r="EG290" s="150">
        <f t="shared" si="876"/>
        <v>0.2947483813551019</v>
      </c>
      <c r="EH290" s="150"/>
      <c r="EI290" s="456">
        <f t="shared" si="877"/>
        <v>3.3035973423697104E-3</v>
      </c>
      <c r="EJ290" s="456">
        <f t="shared" si="878"/>
        <v>0.57000000000000006</v>
      </c>
      <c r="EK290" s="456">
        <f t="shared" si="879"/>
        <v>2.2688462309236473E-2</v>
      </c>
      <c r="EL290" s="456">
        <f t="shared" si="880"/>
        <v>7.8347616538556944E-2</v>
      </c>
      <c r="EM290">
        <f t="shared" si="881"/>
        <v>2.7E-2</v>
      </c>
      <c r="EN290" s="144">
        <f t="shared" si="882"/>
        <v>49.688462309236471</v>
      </c>
      <c r="EP290" s="144">
        <f t="shared" si="883"/>
        <v>701.33967619016323</v>
      </c>
      <c r="EQ290" s="150">
        <f t="shared" si="884"/>
        <v>0.62159999999999993</v>
      </c>
      <c r="ER290" s="150">
        <f t="shared" si="845"/>
        <v>8.2093749999999993E-2</v>
      </c>
      <c r="ES290" s="456"/>
      <c r="EU290" s="144">
        <f t="shared" si="885"/>
        <v>703.69374999999991</v>
      </c>
      <c r="EV290" s="456">
        <f t="shared" si="886"/>
        <v>4.9553960135545654E-3</v>
      </c>
      <c r="EW290" s="456">
        <f t="shared" si="887"/>
        <v>5.2162063300574373E-2</v>
      </c>
      <c r="EX290" s="456">
        <f t="shared" si="888"/>
        <v>4.3438304155726288E-4</v>
      </c>
      <c r="EY290" s="456">
        <f t="shared" si="889"/>
        <v>0.19596058643252554</v>
      </c>
      <c r="EZ290" s="456"/>
      <c r="FA290" s="538">
        <f t="shared" si="890"/>
        <v>1.0367258582783694E-3</v>
      </c>
      <c r="FB290" s="144">
        <f t="shared" si="891"/>
        <v>254.54915464649008</v>
      </c>
      <c r="FC290" s="150">
        <f t="shared" si="892"/>
        <v>1.6595825808366536</v>
      </c>
      <c r="FD290" s="5">
        <f t="shared" si="893"/>
        <v>5.92</v>
      </c>
      <c r="FE290" s="150">
        <f t="shared" si="894"/>
        <v>0.78104564952791045</v>
      </c>
      <c r="FF290" s="5">
        <f t="shared" si="895"/>
        <v>78.104564952791051</v>
      </c>
      <c r="FG290">
        <f t="shared" si="896"/>
        <v>74</v>
      </c>
      <c r="FI290" s="59">
        <f t="shared" si="846"/>
        <v>-50</v>
      </c>
    </row>
    <row r="291" spans="5:165">
      <c r="E291" s="147">
        <v>75</v>
      </c>
      <c r="F291" s="188">
        <f t="shared" si="847"/>
        <v>0.89999999999999991</v>
      </c>
      <c r="G291" s="188">
        <f t="shared" si="775"/>
        <v>0.1875</v>
      </c>
      <c r="H291" s="188">
        <f t="shared" si="776"/>
        <v>4.5</v>
      </c>
      <c r="I291" s="188">
        <f t="shared" si="777"/>
        <v>1.5</v>
      </c>
      <c r="J291" s="465">
        <f t="shared" si="778"/>
        <v>59.919301394232811</v>
      </c>
      <c r="K291" s="379">
        <f t="shared" si="779"/>
        <v>5.7306965196038488</v>
      </c>
      <c r="L291" s="149">
        <f t="shared" si="780"/>
        <v>65.649997913836657</v>
      </c>
      <c r="M291" s="379"/>
      <c r="N291" s="188">
        <f t="shared" si="781"/>
        <v>8.7291648160068319E-2</v>
      </c>
      <c r="O291" s="149">
        <f t="shared" si="782"/>
        <v>9.807102328692114</v>
      </c>
      <c r="P291" s="149">
        <f t="shared" si="783"/>
        <v>4.3587121460853844</v>
      </c>
      <c r="Q291" s="188">
        <f t="shared" si="784"/>
        <v>1.9614204657384229</v>
      </c>
      <c r="R291" s="188">
        <f t="shared" si="785"/>
        <v>1.2258877910865142</v>
      </c>
      <c r="S291" s="188">
        <f t="shared" si="786"/>
        <v>5</v>
      </c>
      <c r="T291" s="188">
        <f t="shared" si="787"/>
        <v>2.2942556573691446</v>
      </c>
      <c r="U291" s="188">
        <f t="shared" si="788"/>
        <v>0.45946910674562003</v>
      </c>
      <c r="V291" s="188">
        <f t="shared" si="789"/>
        <v>4.8041399146247059</v>
      </c>
      <c r="W291" s="172">
        <f t="shared" si="790"/>
        <v>350</v>
      </c>
      <c r="X291" s="379">
        <f t="shared" si="848"/>
        <v>183.0292021425044</v>
      </c>
      <c r="Z291" s="188">
        <f t="shared" si="791"/>
        <v>1.2453463274529668</v>
      </c>
      <c r="AA291" s="150">
        <f t="shared" si="792"/>
        <v>2.6077381481140902</v>
      </c>
      <c r="AB291" s="150">
        <f t="shared" si="793"/>
        <v>0.42623924774981592</v>
      </c>
      <c r="AC291" s="150"/>
      <c r="AD291" s="150">
        <f t="shared" si="794"/>
        <v>2.093986299736831</v>
      </c>
      <c r="AE291" s="314">
        <f t="shared" si="795"/>
        <v>859.60447794057711</v>
      </c>
      <c r="AF291" s="456">
        <f t="shared" si="796"/>
        <v>0.36644760245394548</v>
      </c>
      <c r="AH291" s="150">
        <f t="shared" si="797"/>
        <v>1.6903085094570331</v>
      </c>
      <c r="AI291" s="150">
        <f t="shared" si="798"/>
        <v>2.2942556573691446</v>
      </c>
      <c r="AJ291" s="150">
        <f t="shared" si="799"/>
        <v>2.1587078943475144</v>
      </c>
      <c r="AL291" s="314">
        <f t="shared" si="800"/>
        <v>899.99999999999989</v>
      </c>
      <c r="AM291" s="144">
        <f t="shared" si="801"/>
        <v>183.0292021425044</v>
      </c>
      <c r="AO291">
        <f t="shared" si="802"/>
        <v>899.99999999999989</v>
      </c>
      <c r="AP291">
        <f t="shared" si="803"/>
        <v>183.0292021425044</v>
      </c>
      <c r="AR291" s="5">
        <f t="shared" si="774"/>
        <v>5.4636090213703259</v>
      </c>
      <c r="AS291" s="5">
        <f t="shared" si="739"/>
        <v>0.45946910674562003</v>
      </c>
      <c r="AT291" s="5">
        <f t="shared" si="740"/>
        <v>5.0041399146247061</v>
      </c>
      <c r="AU291" s="150">
        <f t="shared" si="741"/>
        <v>8.4096264016780012E-2</v>
      </c>
      <c r="BA291" s="150">
        <f t="shared" si="849"/>
        <v>0.38412231296045274</v>
      </c>
      <c r="BB291" s="150">
        <f t="shared" si="850"/>
        <v>1.2676696687791686</v>
      </c>
      <c r="BC291" s="150">
        <f t="shared" si="851"/>
        <v>0.28336145537416713</v>
      </c>
      <c r="BD291" s="150"/>
      <c r="BE291" s="456">
        <f t="shared" si="852"/>
        <v>2.9509990262817599E-3</v>
      </c>
      <c r="BF291" s="456">
        <f t="shared" si="804"/>
        <v>0.51689006707024987</v>
      </c>
      <c r="BG291" s="456">
        <f t="shared" si="805"/>
        <v>0.27417454817806702</v>
      </c>
      <c r="BH291" s="456">
        <f t="shared" si="853"/>
        <v>7.8884162633690566E-2</v>
      </c>
      <c r="BI291">
        <f t="shared" si="854"/>
        <v>2.6963685627404765E-2</v>
      </c>
      <c r="BJ291" s="144">
        <f t="shared" si="855"/>
        <v>301.13823380547177</v>
      </c>
      <c r="BK291">
        <f t="shared" si="806"/>
        <v>0.59994265267900826</v>
      </c>
      <c r="BL291" s="144">
        <f t="shared" si="856"/>
        <v>899.863462535694</v>
      </c>
      <c r="BM291" s="150">
        <f t="shared" si="807"/>
        <v>0.55912499999999987</v>
      </c>
      <c r="BN291" s="150">
        <f t="shared" si="808"/>
        <v>8.3203124999999989E-2</v>
      </c>
      <c r="BQ291" s="144">
        <f t="shared" si="857"/>
        <v>642.32812499999989</v>
      </c>
      <c r="BR291" s="456">
        <f t="shared" si="858"/>
        <v>4.4264985394226394E-3</v>
      </c>
      <c r="BS291" s="456">
        <f t="shared" si="859"/>
        <v>4.8209591674280614E-2</v>
      </c>
      <c r="BT291" s="456">
        <f t="shared" si="860"/>
        <v>4.0146857195883054E-4</v>
      </c>
      <c r="BU291" s="456">
        <f t="shared" si="861"/>
        <v>0.18066561299521847</v>
      </c>
      <c r="BV291" s="456"/>
      <c r="BW291" s="538">
        <f t="shared" si="862"/>
        <v>9.6339415957149936E-4</v>
      </c>
      <c r="BX291" s="144">
        <f t="shared" si="863"/>
        <v>234.66656594045205</v>
      </c>
      <c r="BY291" s="150">
        <f t="shared" si="864"/>
        <v>1.7768581534761461</v>
      </c>
      <c r="BZ291" s="5">
        <f t="shared" si="865"/>
        <v>6</v>
      </c>
      <c r="CA291" s="150">
        <f t="shared" si="866"/>
        <v>0.7715197939309314</v>
      </c>
      <c r="CB291" s="5">
        <f t="shared" si="867"/>
        <v>77.151979393093143</v>
      </c>
      <c r="CC291">
        <f t="shared" si="868"/>
        <v>75</v>
      </c>
      <c r="CE291" s="59">
        <f t="shared" si="809"/>
        <v>-50</v>
      </c>
      <c r="CG291" s="150">
        <f t="shared" si="810"/>
        <v>0.87957854338036012</v>
      </c>
      <c r="CH291" s="150">
        <f t="shared" si="811"/>
        <v>0.47330172420499933</v>
      </c>
      <c r="CI291" s="147">
        <v>75</v>
      </c>
      <c r="CJ291" s="188">
        <f t="shared" si="869"/>
        <v>0.89999999999999991</v>
      </c>
      <c r="CK291" s="188">
        <f t="shared" si="812"/>
        <v>0.1875</v>
      </c>
      <c r="CL291" s="188">
        <f t="shared" si="813"/>
        <v>4.5</v>
      </c>
      <c r="CM291" s="188">
        <f t="shared" si="814"/>
        <v>1.5</v>
      </c>
      <c r="CN291" s="465">
        <f t="shared" si="815"/>
        <v>60</v>
      </c>
      <c r="CO291" s="379">
        <f t="shared" si="816"/>
        <v>5.7</v>
      </c>
      <c r="CP291" s="379">
        <f t="shared" si="817"/>
        <v>65.7</v>
      </c>
      <c r="CQ291" s="379"/>
      <c r="CR291" s="188">
        <f t="shared" si="818"/>
        <v>8.2568807339449546E-2</v>
      </c>
      <c r="CS291" s="149">
        <f t="shared" si="819"/>
        <v>9.2889908256880744</v>
      </c>
      <c r="CT291" s="149">
        <f t="shared" si="820"/>
        <v>4.1284403669724767</v>
      </c>
      <c r="CU291" s="188">
        <f t="shared" si="821"/>
        <v>1.857798165137615</v>
      </c>
      <c r="CV291" s="188">
        <f t="shared" si="822"/>
        <v>1.1611238532110093</v>
      </c>
      <c r="CW291" s="188">
        <f t="shared" si="823"/>
        <v>5</v>
      </c>
      <c r="CX291" s="188">
        <f t="shared" si="824"/>
        <v>2.4222222222222221</v>
      </c>
      <c r="CY291" s="188">
        <f t="shared" si="825"/>
        <v>0.48444444444444434</v>
      </c>
      <c r="CZ291" s="188">
        <f t="shared" si="826"/>
        <v>5.0994152046783618</v>
      </c>
      <c r="DA291" s="172">
        <f t="shared" si="827"/>
        <v>350</v>
      </c>
      <c r="DB291" s="379">
        <f t="shared" si="828"/>
        <v>179.08759582757321</v>
      </c>
      <c r="DD291" s="188">
        <f t="shared" si="829"/>
        <v>1.2393998695368558</v>
      </c>
      <c r="DE291" s="150">
        <f t="shared" si="830"/>
        <v>2.6092628832354858</v>
      </c>
      <c r="DF291" s="150">
        <f t="shared" si="831"/>
        <v>0.4244520101153616</v>
      </c>
      <c r="DG291" s="150"/>
      <c r="DH291" s="150">
        <f t="shared" si="832"/>
        <v>2.1052631578947367</v>
      </c>
      <c r="DI291" s="314">
        <f t="shared" si="833"/>
        <v>855</v>
      </c>
      <c r="DJ291" s="456">
        <f t="shared" si="834"/>
        <v>0.36842105263157893</v>
      </c>
      <c r="DL291" s="150">
        <f t="shared" si="835"/>
        <v>1.6903085094570331</v>
      </c>
      <c r="DM291" s="150">
        <f t="shared" si="836"/>
        <v>2.4222222222222221</v>
      </c>
      <c r="DN291" s="150">
        <f t="shared" si="837"/>
        <v>2.2534979423868311</v>
      </c>
      <c r="DP291" s="314">
        <f t="shared" si="838"/>
        <v>899.99999999999989</v>
      </c>
      <c r="DQ291" s="144">
        <f t="shared" si="839"/>
        <v>179.08759582757321</v>
      </c>
      <c r="DS291">
        <f t="shared" si="840"/>
        <v>899.99999999999989</v>
      </c>
      <c r="DT291">
        <f t="shared" si="841"/>
        <v>179.08759582757321</v>
      </c>
      <c r="DV291" s="5">
        <f t="shared" si="870"/>
        <v>5.5838596491228065</v>
      </c>
      <c r="DW291" s="5">
        <f t="shared" si="842"/>
        <v>0.48444444444444434</v>
      </c>
      <c r="DX291" s="5">
        <f t="shared" si="843"/>
        <v>5.0994152046783618</v>
      </c>
      <c r="DY291" s="150">
        <f t="shared" si="844"/>
        <v>8.6757990867579904E-2</v>
      </c>
      <c r="EA291" s="5">
        <f t="shared" si="871"/>
        <v>8.7199999999999989</v>
      </c>
      <c r="EB291" s="5">
        <f t="shared" si="872"/>
        <v>1.1354166666666665</v>
      </c>
      <c r="EC291" s="5">
        <f t="shared" si="873"/>
        <v>0.15935672514619878</v>
      </c>
      <c r="ED291" s="5"/>
      <c r="EE291" s="150">
        <f t="shared" si="874"/>
        <v>0.41191546727537937</v>
      </c>
      <c r="EF291" s="150">
        <f t="shared" si="875"/>
        <v>1.3364302497430831</v>
      </c>
      <c r="EG291" s="150">
        <f t="shared" si="876"/>
        <v>0.29873146758963032</v>
      </c>
      <c r="EH291" s="150"/>
      <c r="EI291" s="456">
        <f t="shared" si="877"/>
        <v>3.3934870436138826E-3</v>
      </c>
      <c r="EJ291" s="456">
        <f t="shared" si="878"/>
        <v>0.57000000000000006</v>
      </c>
      <c r="EK291" s="456">
        <f t="shared" si="879"/>
        <v>2.2385949478446653E-2</v>
      </c>
      <c r="EL291" s="456">
        <f t="shared" si="880"/>
        <v>7.7302981651376168E-2</v>
      </c>
      <c r="EM291">
        <f t="shared" si="881"/>
        <v>2.7E-2</v>
      </c>
      <c r="EN291" s="144">
        <f t="shared" si="882"/>
        <v>49.385949478446655</v>
      </c>
      <c r="EP291" s="144">
        <f t="shared" si="883"/>
        <v>700.08241817343674</v>
      </c>
      <c r="EQ291" s="150">
        <f t="shared" si="884"/>
        <v>0.62999999999999989</v>
      </c>
      <c r="ER291" s="150">
        <f t="shared" si="845"/>
        <v>8.3203124999999989E-2</v>
      </c>
      <c r="ES291" s="456"/>
      <c r="EU291" s="144">
        <f t="shared" si="885"/>
        <v>713.20312499999989</v>
      </c>
      <c r="EV291" s="456">
        <f t="shared" si="886"/>
        <v>5.0902305654208233E-3</v>
      </c>
      <c r="EW291" s="456">
        <f t="shared" si="887"/>
        <v>5.3581374372850786E-2</v>
      </c>
      <c r="EX291" s="456">
        <f t="shared" si="888"/>
        <v>4.4620244864127179E-4</v>
      </c>
      <c r="EY291" s="456">
        <f t="shared" si="889"/>
        <v>0.19596058643252542</v>
      </c>
      <c r="EZ291" s="456"/>
      <c r="FA291" s="538">
        <f t="shared" si="890"/>
        <v>1.0507356671740234E-3</v>
      </c>
      <c r="FB291" s="144">
        <f t="shared" si="891"/>
        <v>256.12912948661233</v>
      </c>
      <c r="FC291" s="150">
        <f t="shared" si="892"/>
        <v>1.6694146726600492</v>
      </c>
      <c r="FD291" s="5">
        <f t="shared" si="893"/>
        <v>6</v>
      </c>
      <c r="FE291" s="150">
        <f t="shared" si="894"/>
        <v>0.78232828137312971</v>
      </c>
      <c r="FF291" s="5">
        <f t="shared" si="895"/>
        <v>78.232828137312964</v>
      </c>
      <c r="FG291">
        <f t="shared" si="896"/>
        <v>75</v>
      </c>
      <c r="FI291" s="59">
        <f t="shared" si="846"/>
        <v>-50</v>
      </c>
    </row>
    <row r="292" spans="5:165">
      <c r="E292" s="147">
        <v>76</v>
      </c>
      <c r="F292" s="188">
        <f t="shared" si="847"/>
        <v>0.91199999999999992</v>
      </c>
      <c r="G292" s="188">
        <f t="shared" si="775"/>
        <v>0.19</v>
      </c>
      <c r="H292" s="188">
        <f t="shared" si="776"/>
        <v>4.5599999999999996</v>
      </c>
      <c r="I292" s="188">
        <f t="shared" si="777"/>
        <v>1.52</v>
      </c>
      <c r="J292" s="465">
        <f t="shared" si="778"/>
        <v>59.918225412822579</v>
      </c>
      <c r="K292" s="379">
        <f t="shared" si="779"/>
        <v>5.7311058065319003</v>
      </c>
      <c r="L292" s="149">
        <f t="shared" si="780"/>
        <v>65.64933121935448</v>
      </c>
      <c r="M292" s="379"/>
      <c r="N292" s="188">
        <f t="shared" si="781"/>
        <v>8.7298769082392078E-2</v>
      </c>
      <c r="O292" s="149">
        <f t="shared" si="782"/>
        <v>9.8077262327638408</v>
      </c>
      <c r="P292" s="149">
        <f t="shared" si="783"/>
        <v>4.3589894367839292</v>
      </c>
      <c r="Q292" s="188">
        <f t="shared" si="784"/>
        <v>1.9615452465527681</v>
      </c>
      <c r="R292" s="188">
        <f t="shared" si="785"/>
        <v>1.2259657790954801</v>
      </c>
      <c r="S292" s="188">
        <f t="shared" si="786"/>
        <v>5</v>
      </c>
      <c r="T292" s="188">
        <f t="shared" si="787"/>
        <v>2.324697841160571</v>
      </c>
      <c r="U292" s="188">
        <f t="shared" si="788"/>
        <v>0.46557410373433705</v>
      </c>
      <c r="V292" s="188">
        <f t="shared" si="789"/>
        <v>4.8675377903741683</v>
      </c>
      <c r="W292" s="172">
        <f t="shared" si="790"/>
        <v>350</v>
      </c>
      <c r="X292" s="379">
        <f t="shared" si="848"/>
        <v>180.73012422986972</v>
      </c>
      <c r="Z292" s="188">
        <f t="shared" si="791"/>
        <v>1.2454255533668368</v>
      </c>
      <c r="AA292" s="150">
        <f t="shared" si="792"/>
        <v>2.6077178026217367</v>
      </c>
      <c r="AB292" s="150">
        <f t="shared" si="793"/>
        <v>0.4262630383403081</v>
      </c>
      <c r="AC292" s="150"/>
      <c r="AD292" s="150">
        <f t="shared" si="794"/>
        <v>2.0938367577027228</v>
      </c>
      <c r="AE292" s="314">
        <f t="shared" si="795"/>
        <v>871.12808259284873</v>
      </c>
      <c r="AF292" s="456">
        <f t="shared" si="796"/>
        <v>0.36642143259797644</v>
      </c>
      <c r="AH292" s="150">
        <f t="shared" si="797"/>
        <v>1.701539918790651</v>
      </c>
      <c r="AI292" s="150">
        <f t="shared" si="798"/>
        <v>2.324697841160571</v>
      </c>
      <c r="AJ292" s="150">
        <f t="shared" si="799"/>
        <v>2.1812576601189413</v>
      </c>
      <c r="AL292" s="314">
        <f t="shared" si="800"/>
        <v>911.99999999999989</v>
      </c>
      <c r="AM292" s="144">
        <f t="shared" si="801"/>
        <v>180.73012422986972</v>
      </c>
      <c r="AO292">
        <f t="shared" si="802"/>
        <v>911.99999999999989</v>
      </c>
      <c r="AP292">
        <f t="shared" si="803"/>
        <v>180.73012422986972</v>
      </c>
      <c r="AR292" s="5">
        <f t="shared" si="774"/>
        <v>5.5331118941085062</v>
      </c>
      <c r="AS292" s="5">
        <f t="shared" si="739"/>
        <v>0.46557410373433705</v>
      </c>
      <c r="AT292" s="5">
        <f t="shared" si="740"/>
        <v>5.0675377903741694</v>
      </c>
      <c r="AU292" s="150">
        <f t="shared" si="741"/>
        <v>8.4143265606116985E-2</v>
      </c>
      <c r="BA292" s="150">
        <f t="shared" si="849"/>
        <v>0.3893279351600461</v>
      </c>
      <c r="BB292" s="150">
        <f t="shared" si="850"/>
        <v>1.2844572562511458</v>
      </c>
      <c r="BC292" s="150">
        <f t="shared" si="851"/>
        <v>0.28711397492672674</v>
      </c>
      <c r="BD292" s="150"/>
      <c r="BE292" s="456">
        <f t="shared" si="852"/>
        <v>3.031524821919701E-3</v>
      </c>
      <c r="BF292" s="456">
        <f t="shared" si="804"/>
        <v>0.51716441900138654</v>
      </c>
      <c r="BG292" s="456">
        <f t="shared" si="805"/>
        <v>0.27072570806231905</v>
      </c>
      <c r="BH292" s="456">
        <f t="shared" si="853"/>
        <v>7.7891695885230441E-2</v>
      </c>
      <c r="BI292">
        <f t="shared" si="854"/>
        <v>2.6963201435770159E-2</v>
      </c>
      <c r="BJ292" s="144">
        <f t="shared" si="855"/>
        <v>297.68890949808917</v>
      </c>
      <c r="BK292">
        <f t="shared" si="806"/>
        <v>0.59933784864787332</v>
      </c>
      <c r="BL292" s="144">
        <f t="shared" si="856"/>
        <v>895.77654920662587</v>
      </c>
      <c r="BM292" s="150">
        <f t="shared" si="807"/>
        <v>0.56657999999999986</v>
      </c>
      <c r="BN292" s="150">
        <f t="shared" si="808"/>
        <v>8.4312499999999999E-2</v>
      </c>
      <c r="BQ292" s="144">
        <f t="shared" si="857"/>
        <v>650.89249999999993</v>
      </c>
      <c r="BR292" s="456">
        <f t="shared" si="858"/>
        <v>4.5472872328795513E-3</v>
      </c>
      <c r="BS292" s="456">
        <f t="shared" si="859"/>
        <v>4.9494913294086645E-2</v>
      </c>
      <c r="BT292" s="456">
        <f t="shared" si="860"/>
        <v>4.1217217299112537E-4</v>
      </c>
      <c r="BU292" s="456">
        <f t="shared" si="861"/>
        <v>0.18091003301624381</v>
      </c>
      <c r="BV292" s="456"/>
      <c r="BW292" s="538">
        <f t="shared" si="862"/>
        <v>9.7670536148941308E-4</v>
      </c>
      <c r="BX292" s="144">
        <f t="shared" si="863"/>
        <v>236.34111107769053</v>
      </c>
      <c r="BY292" s="150">
        <f t="shared" si="864"/>
        <v>1.7830101602843162</v>
      </c>
      <c r="BZ292" s="5">
        <f t="shared" si="865"/>
        <v>6.08</v>
      </c>
      <c r="CA292" s="150">
        <f t="shared" si="866"/>
        <v>0.77324076607579439</v>
      </c>
      <c r="CB292" s="5">
        <f t="shared" si="867"/>
        <v>77.324076607579443</v>
      </c>
      <c r="CC292">
        <f t="shared" si="868"/>
        <v>76</v>
      </c>
      <c r="CE292" s="59">
        <f t="shared" si="809"/>
        <v>-50</v>
      </c>
      <c r="CG292" s="150">
        <f t="shared" si="810"/>
        <v>0.87957854338036034</v>
      </c>
      <c r="CH292" s="150">
        <f t="shared" si="811"/>
        <v>0.47330172420499933</v>
      </c>
      <c r="CI292" s="147">
        <v>76</v>
      </c>
      <c r="CJ292" s="188">
        <f t="shared" si="869"/>
        <v>0.91199999999999992</v>
      </c>
      <c r="CK292" s="188">
        <f t="shared" si="812"/>
        <v>0.19</v>
      </c>
      <c r="CL292" s="188">
        <f t="shared" si="813"/>
        <v>4.5599999999999996</v>
      </c>
      <c r="CM292" s="188">
        <f t="shared" si="814"/>
        <v>1.52</v>
      </c>
      <c r="CN292" s="465">
        <f t="shared" si="815"/>
        <v>60</v>
      </c>
      <c r="CO292" s="379">
        <f t="shared" si="816"/>
        <v>5.7</v>
      </c>
      <c r="CP292" s="379">
        <f t="shared" si="817"/>
        <v>65.7</v>
      </c>
      <c r="CQ292" s="379"/>
      <c r="CR292" s="188">
        <f t="shared" si="818"/>
        <v>8.2568807339449546E-2</v>
      </c>
      <c r="CS292" s="149">
        <f t="shared" si="819"/>
        <v>9.2889908256880744</v>
      </c>
      <c r="CT292" s="149">
        <f t="shared" si="820"/>
        <v>4.1284403669724767</v>
      </c>
      <c r="CU292" s="188">
        <f t="shared" si="821"/>
        <v>1.857798165137615</v>
      </c>
      <c r="CV292" s="188">
        <f t="shared" si="822"/>
        <v>1.1611238532110093</v>
      </c>
      <c r="CW292" s="188">
        <f t="shared" si="823"/>
        <v>5</v>
      </c>
      <c r="CX292" s="188">
        <f t="shared" si="824"/>
        <v>2.4545185185185181</v>
      </c>
      <c r="CY292" s="188">
        <f t="shared" si="825"/>
        <v>0.49090370370370368</v>
      </c>
      <c r="CZ292" s="188">
        <f t="shared" si="826"/>
        <v>5.1674074074074063</v>
      </c>
      <c r="DA292" s="172">
        <f t="shared" si="827"/>
        <v>350</v>
      </c>
      <c r="DB292" s="379">
        <f t="shared" si="828"/>
        <v>176.73118009299989</v>
      </c>
      <c r="DD292" s="188">
        <f t="shared" si="829"/>
        <v>1.2393998695368558</v>
      </c>
      <c r="DE292" s="150">
        <f t="shared" si="830"/>
        <v>2.6092628832354858</v>
      </c>
      <c r="DF292" s="150">
        <f t="shared" si="831"/>
        <v>0.4244520101153616</v>
      </c>
      <c r="DG292" s="150"/>
      <c r="DH292" s="150">
        <f t="shared" si="832"/>
        <v>2.1052631578947367</v>
      </c>
      <c r="DI292" s="314">
        <f t="shared" si="833"/>
        <v>866.4</v>
      </c>
      <c r="DJ292" s="456">
        <f t="shared" si="834"/>
        <v>0.36842105263157893</v>
      </c>
      <c r="DL292" s="150">
        <f t="shared" si="835"/>
        <v>1.701539918790651</v>
      </c>
      <c r="DM292" s="150">
        <f t="shared" si="836"/>
        <v>2.4545185185185181</v>
      </c>
      <c r="DN292" s="150">
        <f t="shared" si="837"/>
        <v>2.2774211248285319</v>
      </c>
      <c r="DP292" s="314">
        <f t="shared" si="838"/>
        <v>911.99999999999989</v>
      </c>
      <c r="DQ292" s="144">
        <f t="shared" si="839"/>
        <v>176.73118009299989</v>
      </c>
      <c r="DS292">
        <f t="shared" si="840"/>
        <v>911.99999999999989</v>
      </c>
      <c r="DT292">
        <f t="shared" si="841"/>
        <v>176.73118009299989</v>
      </c>
      <c r="DV292" s="5">
        <f t="shared" si="870"/>
        <v>5.6583111111111108</v>
      </c>
      <c r="DW292" s="5">
        <f t="shared" si="842"/>
        <v>0.49090370370370368</v>
      </c>
      <c r="DX292" s="5">
        <f t="shared" si="843"/>
        <v>5.1674074074074072</v>
      </c>
      <c r="DY292" s="150">
        <f t="shared" si="844"/>
        <v>8.6757990867579904E-2</v>
      </c>
      <c r="EA292" s="5">
        <f t="shared" si="871"/>
        <v>8.9540835555555542</v>
      </c>
      <c r="EB292" s="5">
        <f t="shared" si="872"/>
        <v>1.1658962962962964</v>
      </c>
      <c r="EC292" s="5">
        <f t="shared" si="873"/>
        <v>0.16363456790123454</v>
      </c>
      <c r="ED292" s="5"/>
      <c r="EE292" s="150">
        <f t="shared" si="874"/>
        <v>0.41740767350571772</v>
      </c>
      <c r="EF292" s="150">
        <f t="shared" si="875"/>
        <v>1.3542493197396575</v>
      </c>
      <c r="EG292" s="150">
        <f t="shared" si="876"/>
        <v>0.30271455382415868</v>
      </c>
      <c r="EH292" s="150"/>
      <c r="EI292" s="456">
        <f t="shared" si="877"/>
        <v>3.4845833180291168E-3</v>
      </c>
      <c r="EJ292" s="456">
        <f t="shared" si="878"/>
        <v>0.56999999999999995</v>
      </c>
      <c r="EK292" s="456">
        <f t="shared" si="879"/>
        <v>2.2091397511624984E-2</v>
      </c>
      <c r="EL292" s="456">
        <f t="shared" si="880"/>
        <v>7.6285837155963335E-2</v>
      </c>
      <c r="EM292">
        <f t="shared" si="881"/>
        <v>2.7E-2</v>
      </c>
      <c r="EN292" s="144">
        <f t="shared" si="882"/>
        <v>49.09139751162499</v>
      </c>
      <c r="EP292" s="144">
        <f t="shared" si="883"/>
        <v>698.86181798561756</v>
      </c>
      <c r="EQ292" s="150">
        <f t="shared" si="884"/>
        <v>0.63839999999999986</v>
      </c>
      <c r="ER292" s="150">
        <f t="shared" si="845"/>
        <v>8.4312499999999999E-2</v>
      </c>
      <c r="ES292" s="456"/>
      <c r="EU292" s="144">
        <f t="shared" si="885"/>
        <v>722.71249999999986</v>
      </c>
      <c r="EV292" s="456">
        <f t="shared" si="886"/>
        <v>5.2268749770436754E-3</v>
      </c>
      <c r="EW292" s="456">
        <f t="shared" si="887"/>
        <v>5.5019736600459751E-2</v>
      </c>
      <c r="EX292" s="456">
        <f t="shared" si="888"/>
        <v>4.5818050548479734E-4</v>
      </c>
      <c r="EY292" s="456">
        <f t="shared" si="889"/>
        <v>0.19596058643252542</v>
      </c>
      <c r="EZ292" s="456"/>
      <c r="FA292" s="538">
        <f t="shared" si="890"/>
        <v>1.0647454760696769E-3</v>
      </c>
      <c r="FB292" s="144">
        <f t="shared" si="891"/>
        <v>257.7301239915833</v>
      </c>
      <c r="FC292" s="150">
        <f t="shared" si="892"/>
        <v>1.6793044419772005</v>
      </c>
      <c r="FD292" s="5">
        <f t="shared" si="893"/>
        <v>6.08</v>
      </c>
      <c r="FE292" s="150">
        <f t="shared" si="894"/>
        <v>0.78357538945213934</v>
      </c>
      <c r="FF292" s="5">
        <f t="shared" si="895"/>
        <v>78.357538945213932</v>
      </c>
      <c r="FG292">
        <f t="shared" si="896"/>
        <v>76</v>
      </c>
      <c r="FI292" s="59">
        <f t="shared" si="846"/>
        <v>-50</v>
      </c>
    </row>
    <row r="293" spans="5:165">
      <c r="E293" s="147">
        <v>77</v>
      </c>
      <c r="F293" s="188">
        <f t="shared" si="847"/>
        <v>0.92399999999999993</v>
      </c>
      <c r="G293" s="188">
        <f t="shared" si="775"/>
        <v>0.1925</v>
      </c>
      <c r="H293" s="188">
        <f t="shared" si="776"/>
        <v>4.6199999999999992</v>
      </c>
      <c r="I293" s="188">
        <f t="shared" si="777"/>
        <v>1.54</v>
      </c>
      <c r="J293" s="465">
        <f t="shared" si="778"/>
        <v>59.917149431412348</v>
      </c>
      <c r="K293" s="379">
        <f t="shared" si="779"/>
        <v>5.7315150934599517</v>
      </c>
      <c r="L293" s="149">
        <f t="shared" si="780"/>
        <v>65.648664524872302</v>
      </c>
      <c r="M293" s="379"/>
      <c r="N293" s="188">
        <f t="shared" si="781"/>
        <v>8.730589014934878E-2</v>
      </c>
      <c r="O293" s="149">
        <f t="shared" si="782"/>
        <v>9.8083501243518789</v>
      </c>
      <c r="P293" s="149">
        <f t="shared" si="783"/>
        <v>4.3592667219341674</v>
      </c>
      <c r="Q293" s="188">
        <f t="shared" si="784"/>
        <v>1.9616700248703758</v>
      </c>
      <c r="R293" s="188">
        <f t="shared" si="785"/>
        <v>1.2260437655439849</v>
      </c>
      <c r="S293" s="188">
        <f t="shared" si="786"/>
        <v>5</v>
      </c>
      <c r="T293" s="188">
        <f t="shared" si="787"/>
        <v>2.3551361551264374</v>
      </c>
      <c r="U293" s="188">
        <f t="shared" si="788"/>
        <v>0.47167854495261946</v>
      </c>
      <c r="V293" s="188">
        <f t="shared" si="789"/>
        <v>4.9309185094471255</v>
      </c>
      <c r="W293" s="172">
        <f t="shared" si="790"/>
        <v>350</v>
      </c>
      <c r="X293" s="379">
        <f t="shared" si="848"/>
        <v>178.48865272484576</v>
      </c>
      <c r="Z293" s="188">
        <f t="shared" si="791"/>
        <v>1.2455047776954766</v>
      </c>
      <c r="AA293" s="150">
        <f t="shared" si="792"/>
        <v>2.6076974567161462</v>
      </c>
      <c r="AB293" s="150">
        <f t="shared" si="793"/>
        <v>0.42628682789756478</v>
      </c>
      <c r="AC293" s="150"/>
      <c r="AD293" s="150">
        <f t="shared" si="794"/>
        <v>2.0936872370261779</v>
      </c>
      <c r="AE293" s="314">
        <f t="shared" si="795"/>
        <v>882.65332439283247</v>
      </c>
      <c r="AF293" s="456">
        <f t="shared" si="796"/>
        <v>0.36639526647958115</v>
      </c>
      <c r="AH293" s="150">
        <f t="shared" si="797"/>
        <v>1.7126976771553504</v>
      </c>
      <c r="AI293" s="150">
        <f t="shared" si="798"/>
        <v>2.3551361551264374</v>
      </c>
      <c r="AJ293" s="150">
        <f t="shared" si="799"/>
        <v>2.2038045593529167</v>
      </c>
      <c r="AL293" s="314">
        <f t="shared" si="800"/>
        <v>923.99999999999989</v>
      </c>
      <c r="AM293" s="144">
        <f t="shared" si="801"/>
        <v>178.48865272484576</v>
      </c>
      <c r="AO293">
        <f t="shared" si="802"/>
        <v>923.99999999999989</v>
      </c>
      <c r="AP293">
        <f t="shared" si="803"/>
        <v>178.48865272484576</v>
      </c>
      <c r="AR293" s="5">
        <f t="shared" si="774"/>
        <v>5.6025970543997463</v>
      </c>
      <c r="AS293" s="5">
        <f t="shared" si="739"/>
        <v>0.47167854495261946</v>
      </c>
      <c r="AT293" s="5">
        <f t="shared" si="740"/>
        <v>5.1309185094471266</v>
      </c>
      <c r="AU293" s="150">
        <f t="shared" si="741"/>
        <v>8.418926800780864E-2</v>
      </c>
      <c r="BA293" s="150">
        <f t="shared" si="849"/>
        <v>0.39453338534432147</v>
      </c>
      <c r="BB293" s="150">
        <f t="shared" si="850"/>
        <v>1.3012425514010297</v>
      </c>
      <c r="BC293" s="150">
        <f t="shared" si="851"/>
        <v>0.29086598207787728</v>
      </c>
      <c r="BD293" s="150"/>
      <c r="BE293" s="456">
        <f t="shared" si="852"/>
        <v>3.1131318430250173E-3</v>
      </c>
      <c r="BF293" s="456">
        <f t="shared" si="804"/>
        <v>0.51743261380745265</v>
      </c>
      <c r="BG293" s="456">
        <f t="shared" si="805"/>
        <v>0.26736328192815118</v>
      </c>
      <c r="BH293" s="456">
        <f t="shared" si="853"/>
        <v>7.6924096308421161E-2</v>
      </c>
      <c r="BI293">
        <f t="shared" si="854"/>
        <v>2.6962717244135556E-2</v>
      </c>
      <c r="BJ293" s="144">
        <f t="shared" si="855"/>
        <v>294.32599917228674</v>
      </c>
      <c r="BK293">
        <f t="shared" si="806"/>
        <v>0.59875327345320806</v>
      </c>
      <c r="BL293" s="144">
        <f t="shared" si="856"/>
        <v>891.79584113118551</v>
      </c>
      <c r="BM293" s="150">
        <f t="shared" si="807"/>
        <v>0.57403499999999996</v>
      </c>
      <c r="BN293" s="150">
        <f t="shared" si="808"/>
        <v>8.5421874999999994E-2</v>
      </c>
      <c r="BQ293" s="144">
        <f t="shared" si="857"/>
        <v>659.45687499999997</v>
      </c>
      <c r="BR293" s="456">
        <f t="shared" si="858"/>
        <v>4.6696977645375257E-3</v>
      </c>
      <c r="BS293" s="456">
        <f t="shared" si="859"/>
        <v>5.0796965327299839E-2</v>
      </c>
      <c r="BT293" s="456">
        <f t="shared" si="860"/>
        <v>4.2301509765064013E-4</v>
      </c>
      <c r="BU293" s="456">
        <f t="shared" si="861"/>
        <v>0.18114926734785147</v>
      </c>
      <c r="BV293" s="456"/>
      <c r="BW293" s="538">
        <f t="shared" si="862"/>
        <v>9.9001699664049824E-4</v>
      </c>
      <c r="BX293" s="144">
        <f t="shared" si="863"/>
        <v>238.02896253397998</v>
      </c>
      <c r="BY293" s="150">
        <f t="shared" si="864"/>
        <v>1.7892816786651657</v>
      </c>
      <c r="BZ293" s="5">
        <f t="shared" si="865"/>
        <v>6.1599999999999993</v>
      </c>
      <c r="CA293" s="150">
        <f t="shared" si="866"/>
        <v>0.77491278445103229</v>
      </c>
      <c r="CB293" s="5">
        <f t="shared" si="867"/>
        <v>77.491278445103234</v>
      </c>
      <c r="CC293">
        <f t="shared" si="868"/>
        <v>77</v>
      </c>
      <c r="CE293" s="59">
        <f t="shared" si="809"/>
        <v>-50</v>
      </c>
      <c r="CG293" s="150">
        <f t="shared" si="810"/>
        <v>0.87957854338036034</v>
      </c>
      <c r="CH293" s="150">
        <f t="shared" si="811"/>
        <v>0.47330172420499939</v>
      </c>
      <c r="CI293" s="147">
        <v>77</v>
      </c>
      <c r="CJ293" s="188">
        <f t="shared" si="869"/>
        <v>0.92399999999999993</v>
      </c>
      <c r="CK293" s="188">
        <f t="shared" si="812"/>
        <v>0.1925</v>
      </c>
      <c r="CL293" s="188">
        <f t="shared" si="813"/>
        <v>4.6199999999999992</v>
      </c>
      <c r="CM293" s="188">
        <f t="shared" si="814"/>
        <v>1.54</v>
      </c>
      <c r="CN293" s="465">
        <f t="shared" si="815"/>
        <v>60</v>
      </c>
      <c r="CO293" s="379">
        <f t="shared" si="816"/>
        <v>5.7</v>
      </c>
      <c r="CP293" s="379">
        <f t="shared" si="817"/>
        <v>65.7</v>
      </c>
      <c r="CQ293" s="379"/>
      <c r="CR293" s="188">
        <f t="shared" si="818"/>
        <v>8.2568807339449546E-2</v>
      </c>
      <c r="CS293" s="149">
        <f t="shared" si="819"/>
        <v>9.2889908256880744</v>
      </c>
      <c r="CT293" s="149">
        <f t="shared" si="820"/>
        <v>4.1284403669724767</v>
      </c>
      <c r="CU293" s="188">
        <f t="shared" si="821"/>
        <v>1.857798165137615</v>
      </c>
      <c r="CV293" s="188">
        <f t="shared" si="822"/>
        <v>1.1611238532110093</v>
      </c>
      <c r="CW293" s="188">
        <f t="shared" si="823"/>
        <v>5</v>
      </c>
      <c r="CX293" s="188">
        <f t="shared" si="824"/>
        <v>2.4868148148148141</v>
      </c>
      <c r="CY293" s="188">
        <f t="shared" si="825"/>
        <v>0.49736296296296284</v>
      </c>
      <c r="CZ293" s="188">
        <f t="shared" si="826"/>
        <v>5.2353996101364508</v>
      </c>
      <c r="DA293" s="172">
        <f t="shared" si="827"/>
        <v>350</v>
      </c>
      <c r="DB293" s="379">
        <f t="shared" si="828"/>
        <v>174.43596996192201</v>
      </c>
      <c r="DD293" s="188">
        <f t="shared" si="829"/>
        <v>1.2393998695368558</v>
      </c>
      <c r="DE293" s="150">
        <f t="shared" si="830"/>
        <v>2.6092628832354858</v>
      </c>
      <c r="DF293" s="150">
        <f t="shared" si="831"/>
        <v>0.4244520101153616</v>
      </c>
      <c r="DG293" s="150"/>
      <c r="DH293" s="150">
        <f t="shared" si="832"/>
        <v>2.1052631578947367</v>
      </c>
      <c r="DI293" s="314">
        <f t="shared" si="833"/>
        <v>877.79999999999984</v>
      </c>
      <c r="DJ293" s="456">
        <f t="shared" si="834"/>
        <v>0.36842105263157893</v>
      </c>
      <c r="DL293" s="150">
        <f t="shared" si="835"/>
        <v>1.7126976771553504</v>
      </c>
      <c r="DM293" s="150">
        <f t="shared" si="836"/>
        <v>2.4868148148148141</v>
      </c>
      <c r="DN293" s="150">
        <f t="shared" si="837"/>
        <v>2.3013443072702326</v>
      </c>
      <c r="DP293" s="314">
        <f t="shared" si="838"/>
        <v>923.99999999999989</v>
      </c>
      <c r="DQ293" s="144">
        <f t="shared" si="839"/>
        <v>174.43596996192201</v>
      </c>
      <c r="DS293">
        <f t="shared" si="840"/>
        <v>923.99999999999989</v>
      </c>
      <c r="DT293">
        <f t="shared" si="841"/>
        <v>174.43596996192201</v>
      </c>
      <c r="DV293" s="5">
        <f t="shared" si="870"/>
        <v>5.7327625730994134</v>
      </c>
      <c r="DW293" s="5">
        <f t="shared" si="842"/>
        <v>0.49736296296296284</v>
      </c>
      <c r="DX293" s="5">
        <f t="shared" si="843"/>
        <v>5.2353996101364508</v>
      </c>
      <c r="DY293" s="150">
        <f t="shared" si="844"/>
        <v>8.6757990867579918E-2</v>
      </c>
      <c r="EA293" s="5">
        <f t="shared" si="871"/>
        <v>9.1912675555555516</v>
      </c>
      <c r="EB293" s="5">
        <f t="shared" si="872"/>
        <v>1.1967796296296296</v>
      </c>
      <c r="EC293" s="5">
        <f t="shared" si="873"/>
        <v>0.16796907082521106</v>
      </c>
      <c r="ED293" s="5"/>
      <c r="EE293" s="150">
        <f t="shared" si="874"/>
        <v>0.42289987973605603</v>
      </c>
      <c r="EF293" s="150">
        <f t="shared" si="875"/>
        <v>1.3720683897362316</v>
      </c>
      <c r="EG293" s="150">
        <f t="shared" si="876"/>
        <v>0.30669764005868705</v>
      </c>
      <c r="EH293" s="150"/>
      <c r="EI293" s="456">
        <f t="shared" si="877"/>
        <v>3.5768861656154134E-3</v>
      </c>
      <c r="EJ293" s="456">
        <f t="shared" si="878"/>
        <v>0.57000000000000006</v>
      </c>
      <c r="EK293" s="456">
        <f t="shared" si="879"/>
        <v>2.1804496245240251E-2</v>
      </c>
      <c r="EL293" s="456">
        <f t="shared" si="880"/>
        <v>7.5295111998093689E-2</v>
      </c>
      <c r="EM293">
        <f t="shared" si="881"/>
        <v>2.7E-2</v>
      </c>
      <c r="EN293" s="144">
        <f t="shared" si="882"/>
        <v>48.804496245240244</v>
      </c>
      <c r="EP293" s="144">
        <f t="shared" si="883"/>
        <v>697.67649440894957</v>
      </c>
      <c r="EQ293" s="150">
        <f t="shared" si="884"/>
        <v>0.64679999999999993</v>
      </c>
      <c r="ER293" s="150">
        <f t="shared" si="845"/>
        <v>8.5421874999999994E-2</v>
      </c>
      <c r="ES293" s="456"/>
      <c r="EU293" s="144">
        <f t="shared" si="885"/>
        <v>732.22187499999995</v>
      </c>
      <c r="EV293" s="456">
        <f t="shared" si="886"/>
        <v>5.36532924842312E-3</v>
      </c>
      <c r="EW293" s="456">
        <f t="shared" si="887"/>
        <v>5.6477149983401267E-2</v>
      </c>
      <c r="EX293" s="456">
        <f t="shared" si="888"/>
        <v>4.7031721208783985E-4</v>
      </c>
      <c r="EY293" s="456">
        <f t="shared" si="889"/>
        <v>0.19596058643252542</v>
      </c>
      <c r="EZ293" s="456"/>
      <c r="FA293" s="538">
        <f t="shared" si="890"/>
        <v>1.0787552849653304E-3</v>
      </c>
      <c r="FB293" s="144">
        <f t="shared" si="891"/>
        <v>259.35213816140293</v>
      </c>
      <c r="FC293" s="150">
        <f t="shared" si="892"/>
        <v>1.6892505075703526</v>
      </c>
      <c r="FD293" s="5">
        <f t="shared" si="893"/>
        <v>6.1599999999999993</v>
      </c>
      <c r="FE293" s="150">
        <f t="shared" si="894"/>
        <v>0.78478830482717754</v>
      </c>
      <c r="FF293" s="5">
        <f t="shared" si="895"/>
        <v>78.478830482717754</v>
      </c>
      <c r="FG293">
        <f t="shared" si="896"/>
        <v>77</v>
      </c>
      <c r="FI293" s="59">
        <f t="shared" si="846"/>
        <v>-50</v>
      </c>
    </row>
    <row r="294" spans="5:165">
      <c r="E294" s="147">
        <v>78</v>
      </c>
      <c r="F294" s="188">
        <f t="shared" si="847"/>
        <v>0.93599999999999994</v>
      </c>
      <c r="G294" s="188">
        <f t="shared" si="775"/>
        <v>0.19500000000000001</v>
      </c>
      <c r="H294" s="188">
        <f t="shared" si="776"/>
        <v>4.68</v>
      </c>
      <c r="I294" s="188">
        <f t="shared" si="777"/>
        <v>1.56</v>
      </c>
      <c r="J294" s="465">
        <f t="shared" si="778"/>
        <v>59.916073450002116</v>
      </c>
      <c r="K294" s="379">
        <f t="shared" si="779"/>
        <v>5.7319243803880031</v>
      </c>
      <c r="L294" s="149">
        <f t="shared" si="780"/>
        <v>65.647997830390125</v>
      </c>
      <c r="M294" s="379"/>
      <c r="N294" s="188">
        <f t="shared" si="781"/>
        <v>8.7313011360942827E-2</v>
      </c>
      <c r="O294" s="149">
        <f t="shared" si="782"/>
        <v>9.8089740034558499</v>
      </c>
      <c r="P294" s="149">
        <f t="shared" si="783"/>
        <v>4.3595440015359328</v>
      </c>
      <c r="Q294" s="188">
        <f t="shared" si="784"/>
        <v>1.9617948006911701</v>
      </c>
      <c r="R294" s="188">
        <f t="shared" si="785"/>
        <v>1.2261217504319812</v>
      </c>
      <c r="S294" s="188">
        <f t="shared" si="786"/>
        <v>5</v>
      </c>
      <c r="T294" s="188">
        <f t="shared" si="787"/>
        <v>2.3855706001214632</v>
      </c>
      <c r="U294" s="188">
        <f t="shared" si="788"/>
        <v>0.47778243054170882</v>
      </c>
      <c r="V294" s="188">
        <f t="shared" si="789"/>
        <v>4.9942820773081724</v>
      </c>
      <c r="W294" s="172">
        <f t="shared" si="790"/>
        <v>350</v>
      </c>
      <c r="X294" s="379">
        <f t="shared" si="848"/>
        <v>176.30264934681989</v>
      </c>
      <c r="Z294" s="188">
        <f t="shared" si="791"/>
        <v>1.2455840004388381</v>
      </c>
      <c r="AA294" s="150">
        <f t="shared" si="792"/>
        <v>2.6076771103973062</v>
      </c>
      <c r="AB294" s="150">
        <f t="shared" si="793"/>
        <v>0.42631061642156742</v>
      </c>
      <c r="AC294" s="150"/>
      <c r="AD294" s="150">
        <f t="shared" si="794"/>
        <v>2.0935377377026212</v>
      </c>
      <c r="AE294" s="314">
        <f t="shared" si="795"/>
        <v>894.18020334052846</v>
      </c>
      <c r="AF294" s="456">
        <f t="shared" si="796"/>
        <v>0.36636910409795875</v>
      </c>
      <c r="AH294" s="150">
        <f t="shared" si="797"/>
        <v>1.7237832147426693</v>
      </c>
      <c r="AI294" s="150">
        <f t="shared" si="798"/>
        <v>2.3855706001214632</v>
      </c>
      <c r="AJ294" s="150">
        <f t="shared" si="799"/>
        <v>2.226348592682565</v>
      </c>
      <c r="AL294" s="314">
        <f t="shared" si="800"/>
        <v>936</v>
      </c>
      <c r="AM294" s="144">
        <f t="shared" si="801"/>
        <v>176.30264934681989</v>
      </c>
      <c r="AO294">
        <f t="shared" si="802"/>
        <v>936</v>
      </c>
      <c r="AP294">
        <f t="shared" si="803"/>
        <v>176.30264934681989</v>
      </c>
      <c r="AR294" s="5">
        <f t="shared" si="774"/>
        <v>5.6720645078498801</v>
      </c>
      <c r="AS294" s="5">
        <f t="shared" si="739"/>
        <v>0.47778243054170882</v>
      </c>
      <c r="AT294" s="5">
        <f t="shared" si="740"/>
        <v>5.1942820773081717</v>
      </c>
      <c r="AU294" s="150">
        <f t="shared" si="741"/>
        <v>8.423430831586623E-2</v>
      </c>
      <c r="BA294" s="150">
        <f t="shared" si="849"/>
        <v>0.3997386611415335</v>
      </c>
      <c r="BB294" s="150">
        <f t="shared" si="850"/>
        <v>1.3180255557120533</v>
      </c>
      <c r="BC294" s="150">
        <f t="shared" si="851"/>
        <v>0.29461747715916486</v>
      </c>
      <c r="BD294" s="150"/>
      <c r="BE294" s="456">
        <f t="shared" si="852"/>
        <v>3.1958199442245149E-3</v>
      </c>
      <c r="BF294" s="456">
        <f t="shared" si="804"/>
        <v>0.51769487998244945</v>
      </c>
      <c r="BG294" s="456">
        <f t="shared" si="805"/>
        <v>0.2640840621923507</v>
      </c>
      <c r="BH294" s="456">
        <f t="shared" si="853"/>
        <v>7.5980440863719592E-2</v>
      </c>
      <c r="BI294">
        <f t="shared" si="854"/>
        <v>2.696223305250095E-2</v>
      </c>
      <c r="BJ294" s="144">
        <f t="shared" si="855"/>
        <v>291.04629524485165</v>
      </c>
      <c r="BK294">
        <f t="shared" si="806"/>
        <v>0.59818823254296338</v>
      </c>
      <c r="BL294" s="144">
        <f t="shared" si="856"/>
        <v>887.91743603524515</v>
      </c>
      <c r="BM294" s="150">
        <f t="shared" si="807"/>
        <v>0.58148999999999984</v>
      </c>
      <c r="BN294" s="150">
        <f t="shared" si="808"/>
        <v>8.6531250000000004E-2</v>
      </c>
      <c r="BQ294" s="144">
        <f t="shared" si="857"/>
        <v>668.02124999999978</v>
      </c>
      <c r="BR294" s="456">
        <f t="shared" si="858"/>
        <v>4.7937299163367721E-3</v>
      </c>
      <c r="BS294" s="456">
        <f t="shared" si="859"/>
        <v>5.2115740965302006E-2</v>
      </c>
      <c r="BT294" s="456">
        <f t="shared" si="860"/>
        <v>4.3399728923815517E-4</v>
      </c>
      <c r="BU294" s="456">
        <f t="shared" si="861"/>
        <v>0.18138350321632415</v>
      </c>
      <c r="BV294" s="456"/>
      <c r="BW294" s="538">
        <f t="shared" si="862"/>
        <v>1.0033290489358617E-3</v>
      </c>
      <c r="BX294" s="144">
        <f t="shared" si="863"/>
        <v>239.73030043613693</v>
      </c>
      <c r="BY294" s="150">
        <f t="shared" si="864"/>
        <v>1.795668986471382</v>
      </c>
      <c r="BZ294" s="5">
        <f t="shared" si="865"/>
        <v>6.24</v>
      </c>
      <c r="CA294" s="150">
        <f t="shared" si="866"/>
        <v>0.77653771086209278</v>
      </c>
      <c r="CB294" s="5">
        <f t="shared" si="867"/>
        <v>77.653771086209275</v>
      </c>
      <c r="CC294">
        <f t="shared" si="868"/>
        <v>78</v>
      </c>
      <c r="CE294" s="59">
        <f t="shared" si="809"/>
        <v>-50</v>
      </c>
      <c r="CG294" s="150">
        <f t="shared" si="810"/>
        <v>0.87957854338036034</v>
      </c>
      <c r="CH294" s="150">
        <f t="shared" si="811"/>
        <v>0.47330172420499939</v>
      </c>
      <c r="CI294" s="147">
        <v>78</v>
      </c>
      <c r="CJ294" s="188">
        <f t="shared" si="869"/>
        <v>0.93599999999999994</v>
      </c>
      <c r="CK294" s="188">
        <f t="shared" si="812"/>
        <v>0.19500000000000001</v>
      </c>
      <c r="CL294" s="188">
        <f t="shared" si="813"/>
        <v>4.68</v>
      </c>
      <c r="CM294" s="188">
        <f t="shared" si="814"/>
        <v>1.56</v>
      </c>
      <c r="CN294" s="465">
        <f t="shared" si="815"/>
        <v>60</v>
      </c>
      <c r="CO294" s="379">
        <f t="shared" si="816"/>
        <v>5.7</v>
      </c>
      <c r="CP294" s="379">
        <f t="shared" si="817"/>
        <v>65.7</v>
      </c>
      <c r="CQ294" s="379"/>
      <c r="CR294" s="188">
        <f t="shared" si="818"/>
        <v>8.2568807339449546E-2</v>
      </c>
      <c r="CS294" s="149">
        <f t="shared" si="819"/>
        <v>9.2889908256880744</v>
      </c>
      <c r="CT294" s="149">
        <f t="shared" si="820"/>
        <v>4.1284403669724767</v>
      </c>
      <c r="CU294" s="188">
        <f t="shared" si="821"/>
        <v>1.857798165137615</v>
      </c>
      <c r="CV294" s="188">
        <f t="shared" si="822"/>
        <v>1.1611238532110093</v>
      </c>
      <c r="CW294" s="188">
        <f t="shared" si="823"/>
        <v>5</v>
      </c>
      <c r="CX294" s="188">
        <f t="shared" si="824"/>
        <v>2.5191111111111111</v>
      </c>
      <c r="CY294" s="188">
        <f t="shared" si="825"/>
        <v>0.50382222222222228</v>
      </c>
      <c r="CZ294" s="188">
        <f t="shared" si="826"/>
        <v>5.3033918128654971</v>
      </c>
      <c r="DA294" s="172">
        <f t="shared" si="827"/>
        <v>350</v>
      </c>
      <c r="DB294" s="379">
        <f t="shared" si="828"/>
        <v>172.19961137266654</v>
      </c>
      <c r="DD294" s="188">
        <f t="shared" si="829"/>
        <v>1.2393998695368558</v>
      </c>
      <c r="DE294" s="150">
        <f t="shared" si="830"/>
        <v>2.6092628832354858</v>
      </c>
      <c r="DF294" s="150">
        <f t="shared" si="831"/>
        <v>0.4244520101153616</v>
      </c>
      <c r="DG294" s="150"/>
      <c r="DH294" s="150">
        <f t="shared" si="832"/>
        <v>2.1052631578947367</v>
      </c>
      <c r="DI294" s="314">
        <f t="shared" si="833"/>
        <v>889.20000000000016</v>
      </c>
      <c r="DJ294" s="456">
        <f t="shared" si="834"/>
        <v>0.36842105263157893</v>
      </c>
      <c r="DL294" s="150">
        <f t="shared" si="835"/>
        <v>1.7237832147426693</v>
      </c>
      <c r="DM294" s="150">
        <f t="shared" si="836"/>
        <v>2.5191111111111111</v>
      </c>
      <c r="DN294" s="150">
        <f t="shared" si="837"/>
        <v>2.3252674897119343</v>
      </c>
      <c r="DP294" s="314">
        <f t="shared" si="838"/>
        <v>936</v>
      </c>
      <c r="DQ294" s="144">
        <f t="shared" si="839"/>
        <v>172.19961137266654</v>
      </c>
      <c r="DS294">
        <f t="shared" si="840"/>
        <v>936</v>
      </c>
      <c r="DT294">
        <f t="shared" si="841"/>
        <v>172.19961137266654</v>
      </c>
      <c r="DV294" s="5">
        <f t="shared" si="870"/>
        <v>5.8072140350877195</v>
      </c>
      <c r="DW294" s="5">
        <f t="shared" si="842"/>
        <v>0.50382222222222228</v>
      </c>
      <c r="DX294" s="5">
        <f t="shared" si="843"/>
        <v>5.3033918128654971</v>
      </c>
      <c r="DY294" s="150">
        <f t="shared" si="844"/>
        <v>8.6757990867579918E-2</v>
      </c>
      <c r="EA294" s="5">
        <f t="shared" si="871"/>
        <v>9.4315520000000017</v>
      </c>
      <c r="EB294" s="5">
        <f t="shared" si="872"/>
        <v>1.2280666666666669</v>
      </c>
      <c r="EC294" s="5">
        <f t="shared" si="873"/>
        <v>0.17236023391812863</v>
      </c>
      <c r="ED294" s="5"/>
      <c r="EE294" s="150">
        <f t="shared" si="874"/>
        <v>0.42839208596639455</v>
      </c>
      <c r="EF294" s="150">
        <f t="shared" si="875"/>
        <v>1.3898874597328064</v>
      </c>
      <c r="EG294" s="150">
        <f t="shared" si="876"/>
        <v>0.31068072629321558</v>
      </c>
      <c r="EH294" s="150"/>
      <c r="EI294" s="456">
        <f t="shared" si="877"/>
        <v>3.6703955863727758E-3</v>
      </c>
      <c r="EJ294" s="456">
        <f t="shared" si="878"/>
        <v>0.57000000000000006</v>
      </c>
      <c r="EK294" s="456">
        <f t="shared" si="879"/>
        <v>2.1524951421583314E-2</v>
      </c>
      <c r="EL294" s="456">
        <f t="shared" si="880"/>
        <v>7.4329790049400157E-2</v>
      </c>
      <c r="EM294">
        <f t="shared" si="881"/>
        <v>2.7E-2</v>
      </c>
      <c r="EN294" s="144">
        <f t="shared" si="882"/>
        <v>48.52495142158331</v>
      </c>
      <c r="EP294" s="144">
        <f t="shared" si="883"/>
        <v>696.52513705735635</v>
      </c>
      <c r="EQ294" s="150">
        <f t="shared" si="884"/>
        <v>0.65519999999999989</v>
      </c>
      <c r="ER294" s="150">
        <f t="shared" si="845"/>
        <v>8.6531250000000004E-2</v>
      </c>
      <c r="ES294" s="456"/>
      <c r="EU294" s="144">
        <f t="shared" si="885"/>
        <v>741.73124999999993</v>
      </c>
      <c r="EV294" s="456">
        <f t="shared" si="886"/>
        <v>5.5055933795591632E-3</v>
      </c>
      <c r="EW294" s="456">
        <f t="shared" si="887"/>
        <v>5.7953614521675405E-2</v>
      </c>
      <c r="EX294" s="456">
        <f t="shared" si="888"/>
        <v>4.826125684503997E-4</v>
      </c>
      <c r="EY294" s="456">
        <f t="shared" si="889"/>
        <v>0.19596058643252542</v>
      </c>
      <c r="EZ294" s="456"/>
      <c r="FA294" s="538">
        <f t="shared" si="890"/>
        <v>1.0927650938609842E-3</v>
      </c>
      <c r="FB294" s="144">
        <f t="shared" si="891"/>
        <v>260.99517199607135</v>
      </c>
      <c r="FC294" s="150">
        <f t="shared" si="892"/>
        <v>1.6992515590534276</v>
      </c>
      <c r="FD294" s="5">
        <f t="shared" si="893"/>
        <v>6.24</v>
      </c>
      <c r="FE294" s="150">
        <f t="shared" si="894"/>
        <v>0.78596829355838871</v>
      </c>
      <c r="FF294" s="5">
        <f t="shared" si="895"/>
        <v>78.596829355838878</v>
      </c>
      <c r="FG294">
        <f t="shared" si="896"/>
        <v>78</v>
      </c>
      <c r="FI294" s="59">
        <f t="shared" si="846"/>
        <v>-50</v>
      </c>
    </row>
    <row r="295" spans="5:165">
      <c r="E295" s="147">
        <v>79</v>
      </c>
      <c r="F295" s="188">
        <f t="shared" si="847"/>
        <v>0.94799999999999995</v>
      </c>
      <c r="G295" s="188">
        <f t="shared" si="775"/>
        <v>0.19750000000000001</v>
      </c>
      <c r="H295" s="188">
        <f t="shared" si="776"/>
        <v>4.74</v>
      </c>
      <c r="I295" s="188">
        <f t="shared" si="777"/>
        <v>1.58</v>
      </c>
      <c r="J295" s="465">
        <f t="shared" si="778"/>
        <v>59.914997468591892</v>
      </c>
      <c r="K295" s="379">
        <f t="shared" si="779"/>
        <v>5.7323336673160545</v>
      </c>
      <c r="L295" s="149">
        <f t="shared" si="780"/>
        <v>65.647331135907947</v>
      </c>
      <c r="M295" s="379"/>
      <c r="N295" s="188">
        <f t="shared" si="781"/>
        <v>8.7320132717178631E-2</v>
      </c>
      <c r="O295" s="149">
        <f t="shared" si="782"/>
        <v>9.8095978700753719</v>
      </c>
      <c r="P295" s="149">
        <f t="shared" si="783"/>
        <v>4.359821275589054</v>
      </c>
      <c r="Q295" s="188">
        <f t="shared" si="784"/>
        <v>1.9619195740150743</v>
      </c>
      <c r="R295" s="188">
        <f t="shared" si="785"/>
        <v>1.2261997337594215</v>
      </c>
      <c r="S295" s="188">
        <f t="shared" si="786"/>
        <v>5</v>
      </c>
      <c r="T295" s="188">
        <f t="shared" si="787"/>
        <v>2.4160011770001231</v>
      </c>
      <c r="U295" s="188">
        <f t="shared" si="788"/>
        <v>0.48388576064280753</v>
      </c>
      <c r="V295" s="188">
        <f t="shared" si="789"/>
        <v>5.0576284994198319</v>
      </c>
      <c r="W295" s="172">
        <f t="shared" si="790"/>
        <v>350</v>
      </c>
      <c r="X295" s="379">
        <f t="shared" si="848"/>
        <v>174.17008034899317</v>
      </c>
      <c r="Z295" s="188">
        <f t="shared" si="791"/>
        <v>1.2456632215968728</v>
      </c>
      <c r="AA295" s="150">
        <f t="shared" si="792"/>
        <v>2.6076567636652044</v>
      </c>
      <c r="AB295" s="150">
        <f t="shared" si="793"/>
        <v>0.42633440391229716</v>
      </c>
      <c r="AC295" s="150"/>
      <c r="AD295" s="150">
        <f t="shared" si="794"/>
        <v>2.09338825972748</v>
      </c>
      <c r="AE295" s="314">
        <f t="shared" si="795"/>
        <v>905.70871943593659</v>
      </c>
      <c r="AF295" s="456">
        <f t="shared" si="796"/>
        <v>0.366342945452309</v>
      </c>
      <c r="AH295" s="150">
        <f t="shared" si="797"/>
        <v>1.7347979160478058</v>
      </c>
      <c r="AI295" s="150">
        <f t="shared" si="798"/>
        <v>2.4160011770001231</v>
      </c>
      <c r="AJ295" s="150">
        <f t="shared" si="799"/>
        <v>2.2488897607408318</v>
      </c>
      <c r="AL295" s="314">
        <f t="shared" si="800"/>
        <v>948</v>
      </c>
      <c r="AM295" s="144">
        <f t="shared" si="801"/>
        <v>174.17008034899317</v>
      </c>
      <c r="AO295">
        <f t="shared" si="802"/>
        <v>948</v>
      </c>
      <c r="AP295">
        <f t="shared" si="803"/>
        <v>174.17008034899317</v>
      </c>
      <c r="AR295" s="5">
        <f t="shared" si="774"/>
        <v>5.7415142600626394</v>
      </c>
      <c r="AS295" s="5">
        <f t="shared" si="739"/>
        <v>0.48388576064280753</v>
      </c>
      <c r="AT295" s="5">
        <f t="shared" si="740"/>
        <v>5.2576284994198321</v>
      </c>
      <c r="AU295" s="150">
        <f t="shared" si="741"/>
        <v>8.4278421810891471E-2</v>
      </c>
      <c r="BA295" s="150">
        <f t="shared" si="849"/>
        <v>0.40494376029912937</v>
      </c>
      <c r="BB295" s="150">
        <f t="shared" si="850"/>
        <v>1.3348062706188719</v>
      </c>
      <c r="BC295" s="150">
        <f t="shared" si="851"/>
        <v>0.2983684604912773</v>
      </c>
      <c r="BD295" s="150"/>
      <c r="BE295" s="456">
        <f t="shared" si="852"/>
        <v>3.2795889801039754E-3</v>
      </c>
      <c r="BF295" s="456">
        <f t="shared" si="804"/>
        <v>0.51795143485002448</v>
      </c>
      <c r="BG295" s="456">
        <f t="shared" si="805"/>
        <v>0.26088499808035925</v>
      </c>
      <c r="BH295" s="456">
        <f t="shared" si="853"/>
        <v>7.5059851636082711E-2</v>
      </c>
      <c r="BI295">
        <f t="shared" si="854"/>
        <v>2.6961748860866351E-2</v>
      </c>
      <c r="BJ295" s="144">
        <f t="shared" si="855"/>
        <v>287.8467469412256</v>
      </c>
      <c r="BK295">
        <f t="shared" si="806"/>
        <v>0.59764206532159792</v>
      </c>
      <c r="BL295" s="144">
        <f t="shared" si="856"/>
        <v>884.13762240743677</v>
      </c>
      <c r="BM295" s="150">
        <f t="shared" si="807"/>
        <v>0.58894499999999994</v>
      </c>
      <c r="BN295" s="150">
        <f t="shared" si="808"/>
        <v>8.7640625E-2</v>
      </c>
      <c r="BQ295" s="144">
        <f t="shared" si="857"/>
        <v>676.58562499999994</v>
      </c>
      <c r="BR295" s="456">
        <f t="shared" si="858"/>
        <v>4.9193834701559622E-3</v>
      </c>
      <c r="BS295" s="456">
        <f t="shared" si="859"/>
        <v>5.345123340250383E-2</v>
      </c>
      <c r="BT295" s="456">
        <f t="shared" si="860"/>
        <v>4.4511869107967449E-4</v>
      </c>
      <c r="BU295" s="456">
        <f t="shared" si="861"/>
        <v>0.18161291895174891</v>
      </c>
      <c r="BV295" s="456"/>
      <c r="BW295" s="538">
        <f t="shared" si="862"/>
        <v>1.0166415030731456E-3</v>
      </c>
      <c r="BX295" s="144">
        <f t="shared" si="863"/>
        <v>241.44529601856155</v>
      </c>
      <c r="BY295" s="150">
        <f t="shared" si="864"/>
        <v>1.8021685434259984</v>
      </c>
      <c r="BZ295" s="5">
        <f t="shared" si="865"/>
        <v>6.32</v>
      </c>
      <c r="CA295" s="150">
        <f t="shared" si="866"/>
        <v>0.77811731758698155</v>
      </c>
      <c r="CB295" s="5">
        <f t="shared" si="867"/>
        <v>77.811731758698159</v>
      </c>
      <c r="CC295">
        <f t="shared" si="868"/>
        <v>79</v>
      </c>
      <c r="CE295" s="59">
        <f t="shared" si="809"/>
        <v>-50</v>
      </c>
      <c r="CG295" s="150">
        <f t="shared" si="810"/>
        <v>0.87957854338036046</v>
      </c>
      <c r="CH295" s="150">
        <f t="shared" si="811"/>
        <v>0.47330172420499944</v>
      </c>
      <c r="CI295" s="147">
        <v>79</v>
      </c>
      <c r="CJ295" s="188">
        <f t="shared" si="869"/>
        <v>0.94799999999999995</v>
      </c>
      <c r="CK295" s="188">
        <f t="shared" si="812"/>
        <v>0.19750000000000001</v>
      </c>
      <c r="CL295" s="188">
        <f t="shared" si="813"/>
        <v>4.74</v>
      </c>
      <c r="CM295" s="188">
        <f t="shared" si="814"/>
        <v>1.58</v>
      </c>
      <c r="CN295" s="465">
        <f t="shared" si="815"/>
        <v>60</v>
      </c>
      <c r="CO295" s="379">
        <f t="shared" si="816"/>
        <v>5.7</v>
      </c>
      <c r="CP295" s="379">
        <f t="shared" si="817"/>
        <v>65.7</v>
      </c>
      <c r="CQ295" s="379"/>
      <c r="CR295" s="188">
        <f t="shared" si="818"/>
        <v>8.2568807339449546E-2</v>
      </c>
      <c r="CS295" s="149">
        <f t="shared" si="819"/>
        <v>9.2889908256880744</v>
      </c>
      <c r="CT295" s="149">
        <f t="shared" si="820"/>
        <v>4.1284403669724767</v>
      </c>
      <c r="CU295" s="188">
        <f t="shared" si="821"/>
        <v>1.857798165137615</v>
      </c>
      <c r="CV295" s="188">
        <f t="shared" si="822"/>
        <v>1.1611238532110093</v>
      </c>
      <c r="CW295" s="188">
        <f t="shared" si="823"/>
        <v>5</v>
      </c>
      <c r="CX295" s="188">
        <f t="shared" si="824"/>
        <v>2.5514074074074071</v>
      </c>
      <c r="CY295" s="188">
        <f t="shared" si="825"/>
        <v>0.51028148148148145</v>
      </c>
      <c r="CZ295" s="188">
        <f t="shared" si="826"/>
        <v>5.3713840155945407</v>
      </c>
      <c r="DA295" s="172">
        <f t="shared" si="827"/>
        <v>350</v>
      </c>
      <c r="DB295" s="379">
        <f t="shared" si="828"/>
        <v>170.0198694565569</v>
      </c>
      <c r="DD295" s="188">
        <f t="shared" si="829"/>
        <v>1.2393998695368558</v>
      </c>
      <c r="DE295" s="150">
        <f t="shared" si="830"/>
        <v>2.6092628832354858</v>
      </c>
      <c r="DF295" s="150">
        <f t="shared" si="831"/>
        <v>0.4244520101153616</v>
      </c>
      <c r="DG295" s="150"/>
      <c r="DH295" s="150">
        <f t="shared" si="832"/>
        <v>2.1052631578947367</v>
      </c>
      <c r="DI295" s="314">
        <f t="shared" si="833"/>
        <v>900.6</v>
      </c>
      <c r="DJ295" s="456">
        <f t="shared" si="834"/>
        <v>0.36842105263157893</v>
      </c>
      <c r="DL295" s="150">
        <f t="shared" si="835"/>
        <v>1.7347979160478058</v>
      </c>
      <c r="DM295" s="150">
        <f t="shared" si="836"/>
        <v>2.5514074074074071</v>
      </c>
      <c r="DN295" s="150">
        <f t="shared" si="837"/>
        <v>2.3491906721536351</v>
      </c>
      <c r="DP295" s="314">
        <f t="shared" si="838"/>
        <v>948</v>
      </c>
      <c r="DQ295" s="144">
        <f t="shared" si="839"/>
        <v>170.0198694565569</v>
      </c>
      <c r="DS295">
        <f t="shared" si="840"/>
        <v>948</v>
      </c>
      <c r="DT295">
        <f t="shared" si="841"/>
        <v>170.0198694565569</v>
      </c>
      <c r="DV295" s="5">
        <f t="shared" si="870"/>
        <v>5.8816654970760212</v>
      </c>
      <c r="DW295" s="5">
        <f t="shared" si="842"/>
        <v>0.51028148148148145</v>
      </c>
      <c r="DX295" s="5">
        <f t="shared" si="843"/>
        <v>5.3713840155945398</v>
      </c>
      <c r="DY295" s="150">
        <f t="shared" si="844"/>
        <v>8.6757990867579932E-2</v>
      </c>
      <c r="EA295" s="5">
        <f t="shared" si="871"/>
        <v>9.6749368888888885</v>
      </c>
      <c r="EB295" s="5">
        <f t="shared" si="872"/>
        <v>1.2597574074074074</v>
      </c>
      <c r="EC295" s="5">
        <f t="shared" si="873"/>
        <v>0.1768080571799869</v>
      </c>
      <c r="ED295" s="5"/>
      <c r="EE295" s="150">
        <f t="shared" si="874"/>
        <v>0.43388429219673297</v>
      </c>
      <c r="EF295" s="150">
        <f t="shared" si="875"/>
        <v>1.4077065297293807</v>
      </c>
      <c r="EG295" s="150">
        <f t="shared" si="876"/>
        <v>0.31466381252774395</v>
      </c>
      <c r="EH295" s="150"/>
      <c r="EI295" s="456">
        <f t="shared" si="877"/>
        <v>3.7651115803011993E-3</v>
      </c>
      <c r="EJ295" s="456">
        <f t="shared" si="878"/>
        <v>0.57000000000000028</v>
      </c>
      <c r="EK295" s="456">
        <f t="shared" si="879"/>
        <v>2.1252483682069612E-2</v>
      </c>
      <c r="EL295" s="456">
        <f t="shared" si="880"/>
        <v>7.3388906631053352E-2</v>
      </c>
      <c r="EM295">
        <f t="shared" si="881"/>
        <v>2.7E-2</v>
      </c>
      <c r="EN295" s="144">
        <f t="shared" si="882"/>
        <v>48.252483682069609</v>
      </c>
      <c r="EP295" s="144">
        <f t="shared" si="883"/>
        <v>695.40650189342443</v>
      </c>
      <c r="EQ295" s="150">
        <f t="shared" si="884"/>
        <v>0.66359999999999997</v>
      </c>
      <c r="ER295" s="150">
        <f t="shared" si="845"/>
        <v>8.7640625E-2</v>
      </c>
      <c r="ES295" s="456"/>
      <c r="EU295" s="144">
        <f t="shared" si="885"/>
        <v>751.24062500000002</v>
      </c>
      <c r="EV295" s="456">
        <f t="shared" si="886"/>
        <v>5.6476673704517989E-3</v>
      </c>
      <c r="EW295" s="456">
        <f t="shared" si="887"/>
        <v>5.9449130215282066E-2</v>
      </c>
      <c r="EX295" s="456">
        <f t="shared" si="888"/>
        <v>4.9506657457247592E-4</v>
      </c>
      <c r="EY295" s="456">
        <f t="shared" si="889"/>
        <v>0.19596058643252551</v>
      </c>
      <c r="EZ295" s="456"/>
      <c r="FA295" s="538">
        <f t="shared" si="890"/>
        <v>1.1067749027566381E-3</v>
      </c>
      <c r="FB295" s="144">
        <f t="shared" si="891"/>
        <v>262.65922549558843</v>
      </c>
      <c r="FC295" s="150">
        <f t="shared" si="892"/>
        <v>1.7093063523890129</v>
      </c>
      <c r="FD295" s="5">
        <f t="shared" si="893"/>
        <v>6.32</v>
      </c>
      <c r="FE295" s="150">
        <f t="shared" si="894"/>
        <v>0.78711656058802237</v>
      </c>
      <c r="FF295" s="5">
        <f t="shared" si="895"/>
        <v>78.711656058802234</v>
      </c>
      <c r="FG295">
        <f t="shared" si="896"/>
        <v>79</v>
      </c>
      <c r="FI295" s="59">
        <f t="shared" si="846"/>
        <v>-50</v>
      </c>
    </row>
    <row r="296" spans="5:165">
      <c r="E296" s="147">
        <v>80</v>
      </c>
      <c r="F296" s="188">
        <f t="shared" si="847"/>
        <v>0.96</v>
      </c>
      <c r="G296" s="188">
        <f t="shared" si="775"/>
        <v>0.2</v>
      </c>
      <c r="H296" s="188">
        <f t="shared" si="776"/>
        <v>4.8</v>
      </c>
      <c r="I296" s="188">
        <f t="shared" si="777"/>
        <v>1.6</v>
      </c>
      <c r="J296" s="465">
        <f t="shared" si="778"/>
        <v>59.913921487181661</v>
      </c>
      <c r="K296" s="379">
        <f t="shared" si="779"/>
        <v>5.732742954244106</v>
      </c>
      <c r="L296" s="149">
        <f t="shared" si="780"/>
        <v>65.64666444142577</v>
      </c>
      <c r="M296" s="379"/>
      <c r="N296" s="188">
        <f t="shared" si="781"/>
        <v>8.7327254218060577E-2</v>
      </c>
      <c r="O296" s="149">
        <f t="shared" si="782"/>
        <v>9.8102217242100664</v>
      </c>
      <c r="P296" s="149">
        <f t="shared" si="783"/>
        <v>4.3600985440933622</v>
      </c>
      <c r="Q296" s="188">
        <f t="shared" si="784"/>
        <v>1.9620443448420133</v>
      </c>
      <c r="R296" s="188">
        <f t="shared" si="785"/>
        <v>1.2262777155262583</v>
      </c>
      <c r="S296" s="188">
        <f t="shared" si="786"/>
        <v>5</v>
      </c>
      <c r="T296" s="188">
        <f t="shared" si="787"/>
        <v>2.446427886616652</v>
      </c>
      <c r="U296" s="188">
        <f t="shared" si="788"/>
        <v>0.48998853539708065</v>
      </c>
      <c r="V296" s="188">
        <f t="shared" si="789"/>
        <v>5.120957781242562</v>
      </c>
      <c r="W296" s="172">
        <f t="shared" si="790"/>
        <v>350</v>
      </c>
      <c r="X296" s="379">
        <f t="shared" si="848"/>
        <v>172.0890102075974</v>
      </c>
      <c r="Z296" s="188">
        <f t="shared" si="791"/>
        <v>1.2457424411695321</v>
      </c>
      <c r="AA296" s="150">
        <f t="shared" si="792"/>
        <v>2.6076364165198269</v>
      </c>
      <c r="AB296" s="150">
        <f t="shared" si="793"/>
        <v>0.42635819036973494</v>
      </c>
      <c r="AC296" s="150"/>
      <c r="AD296" s="150">
        <f t="shared" si="794"/>
        <v>2.0932388030961815</v>
      </c>
      <c r="AE296" s="314">
        <f t="shared" si="795"/>
        <v>917.23887267905695</v>
      </c>
      <c r="AF296" s="456">
        <f t="shared" si="796"/>
        <v>0.36631679054183175</v>
      </c>
      <c r="AH296" s="150">
        <f t="shared" si="797"/>
        <v>1.7457431218879389</v>
      </c>
      <c r="AI296" s="150">
        <f t="shared" si="798"/>
        <v>2.446427886616652</v>
      </c>
      <c r="AJ296" s="150">
        <f t="shared" si="799"/>
        <v>2.2714280641604829</v>
      </c>
      <c r="AL296" s="314">
        <f t="shared" si="800"/>
        <v>960</v>
      </c>
      <c r="AM296" s="144">
        <f t="shared" si="801"/>
        <v>172.0890102075974</v>
      </c>
      <c r="AO296">
        <f t="shared" si="802"/>
        <v>960</v>
      </c>
      <c r="AP296">
        <f t="shared" si="803"/>
        <v>172.0890102075974</v>
      </c>
      <c r="AR296" s="5">
        <f t="shared" si="774"/>
        <v>5.810946316639642</v>
      </c>
      <c r="AS296" s="5">
        <f t="shared" si="739"/>
        <v>0.48998853539708065</v>
      </c>
      <c r="AT296" s="5">
        <f t="shared" si="740"/>
        <v>5.3209577812425612</v>
      </c>
      <c r="AU296" s="150">
        <f t="shared" si="741"/>
        <v>8.432164206955392E-2</v>
      </c>
      <c r="BA296" s="150">
        <f t="shared" si="849"/>
        <v>0.41014868067651106</v>
      </c>
      <c r="BB296" s="150">
        <f t="shared" si="850"/>
        <v>1.3515846975104904</v>
      </c>
      <c r="BC296" s="150">
        <f t="shared" si="851"/>
        <v>0.30211893238469789</v>
      </c>
      <c r="BD296" s="150"/>
      <c r="BE296" s="456">
        <f t="shared" si="852"/>
        <v>3.3644388052136527E-3</v>
      </c>
      <c r="BF296" s="456">
        <f t="shared" si="804"/>
        <v>0.51820248523783541</v>
      </c>
      <c r="BG296" s="456">
        <f t="shared" si="805"/>
        <v>0.25776318615961985</v>
      </c>
      <c r="BH296" s="456">
        <f t="shared" si="853"/>
        <v>7.4161493110768334E-2</v>
      </c>
      <c r="BI296">
        <f t="shared" si="854"/>
        <v>2.6961264669231745E-2</v>
      </c>
      <c r="BJ296" s="144">
        <f t="shared" si="855"/>
        <v>284.72445082885162</v>
      </c>
      <c r="BK296">
        <f t="shared" si="806"/>
        <v>0.59711414310024424</v>
      </c>
      <c r="BL296" s="144">
        <f t="shared" si="856"/>
        <v>880.45286798266898</v>
      </c>
      <c r="BM296" s="150">
        <f t="shared" si="807"/>
        <v>0.59639999999999993</v>
      </c>
      <c r="BN296" s="150">
        <f t="shared" si="808"/>
        <v>8.8749999999999996E-2</v>
      </c>
      <c r="BQ296" s="144">
        <f t="shared" si="857"/>
        <v>685.15</v>
      </c>
      <c r="BR296" s="456">
        <f t="shared" si="858"/>
        <v>5.0466582078204786E-3</v>
      </c>
      <c r="BS296" s="456">
        <f t="shared" si="859"/>
        <v>5.4803435836335714E-2</v>
      </c>
      <c r="BT296" s="456">
        <f t="shared" si="860"/>
        <v>4.563792465263483E-4</v>
      </c>
      <c r="BU296" s="456">
        <f t="shared" si="861"/>
        <v>0.18183768450986701</v>
      </c>
      <c r="BV296" s="456"/>
      <c r="BW296" s="538">
        <f t="shared" si="862"/>
        <v>1.0299543444890458E-3</v>
      </c>
      <c r="BX296" s="144">
        <f t="shared" si="863"/>
        <v>243.17411214503858</v>
      </c>
      <c r="BY296" s="150">
        <f t="shared" si="864"/>
        <v>1.8087769801277076</v>
      </c>
      <c r="BZ296" s="5">
        <f t="shared" si="865"/>
        <v>6.4</v>
      </c>
      <c r="CA296" s="150">
        <f t="shared" si="866"/>
        <v>0.77965329250550952</v>
      </c>
      <c r="CB296" s="5">
        <f t="shared" si="867"/>
        <v>77.965329250550951</v>
      </c>
      <c r="CC296">
        <f t="shared" si="868"/>
        <v>80</v>
      </c>
      <c r="CE296" s="59">
        <f t="shared" si="809"/>
        <v>-50</v>
      </c>
      <c r="CG296" s="150">
        <f t="shared" si="810"/>
        <v>0.87957854338036012</v>
      </c>
      <c r="CH296" s="150">
        <f t="shared" si="811"/>
        <v>0.47330172420499927</v>
      </c>
      <c r="CI296" s="147">
        <v>80</v>
      </c>
      <c r="CJ296" s="188">
        <f t="shared" si="869"/>
        <v>0.96</v>
      </c>
      <c r="CK296" s="188">
        <f t="shared" si="812"/>
        <v>0.2</v>
      </c>
      <c r="CL296" s="188">
        <f t="shared" si="813"/>
        <v>4.8</v>
      </c>
      <c r="CM296" s="188">
        <f t="shared" si="814"/>
        <v>1.6</v>
      </c>
      <c r="CN296" s="465">
        <f t="shared" si="815"/>
        <v>60</v>
      </c>
      <c r="CO296" s="379">
        <f t="shared" si="816"/>
        <v>5.7</v>
      </c>
      <c r="CP296" s="379">
        <f t="shared" si="817"/>
        <v>65.7</v>
      </c>
      <c r="CQ296" s="379"/>
      <c r="CR296" s="188">
        <f t="shared" si="818"/>
        <v>8.2568807339449546E-2</v>
      </c>
      <c r="CS296" s="149">
        <f t="shared" si="819"/>
        <v>9.2889908256880744</v>
      </c>
      <c r="CT296" s="149">
        <f t="shared" si="820"/>
        <v>4.1284403669724767</v>
      </c>
      <c r="CU296" s="188">
        <f t="shared" si="821"/>
        <v>1.857798165137615</v>
      </c>
      <c r="CV296" s="188">
        <f t="shared" si="822"/>
        <v>1.1611238532110093</v>
      </c>
      <c r="CW296" s="188">
        <f t="shared" si="823"/>
        <v>5</v>
      </c>
      <c r="CX296" s="188">
        <f t="shared" si="824"/>
        <v>2.5837037037037036</v>
      </c>
      <c r="CY296" s="188">
        <f t="shared" si="825"/>
        <v>0.51674074074074072</v>
      </c>
      <c r="CZ296" s="188">
        <f t="shared" si="826"/>
        <v>5.439376218323587</v>
      </c>
      <c r="DA296" s="172">
        <f t="shared" si="827"/>
        <v>350</v>
      </c>
      <c r="DB296" s="379">
        <f t="shared" si="828"/>
        <v>167.89462108834985</v>
      </c>
      <c r="DD296" s="188">
        <f t="shared" si="829"/>
        <v>1.2393998695368558</v>
      </c>
      <c r="DE296" s="150">
        <f t="shared" si="830"/>
        <v>2.6092628832354858</v>
      </c>
      <c r="DF296" s="150">
        <f t="shared" si="831"/>
        <v>0.4244520101153616</v>
      </c>
      <c r="DG296" s="150"/>
      <c r="DH296" s="150">
        <f t="shared" si="832"/>
        <v>2.1052631578947367</v>
      </c>
      <c r="DI296" s="314">
        <f t="shared" si="833"/>
        <v>912</v>
      </c>
      <c r="DJ296" s="456">
        <f t="shared" si="834"/>
        <v>0.36842105263157893</v>
      </c>
      <c r="DL296" s="150">
        <f t="shared" si="835"/>
        <v>1.7457431218879389</v>
      </c>
      <c r="DM296" s="150">
        <f t="shared" si="836"/>
        <v>2.5837037037037036</v>
      </c>
      <c r="DN296" s="150">
        <f t="shared" si="837"/>
        <v>2.3731138545953359</v>
      </c>
      <c r="DP296" s="314">
        <f t="shared" si="838"/>
        <v>960</v>
      </c>
      <c r="DQ296" s="144">
        <f t="shared" si="839"/>
        <v>167.89462108834985</v>
      </c>
      <c r="DS296">
        <f t="shared" si="840"/>
        <v>960</v>
      </c>
      <c r="DT296">
        <f t="shared" si="841"/>
        <v>167.89462108834985</v>
      </c>
      <c r="DV296" s="5">
        <f t="shared" si="870"/>
        <v>5.956116959064329</v>
      </c>
      <c r="DW296" s="5">
        <f t="shared" si="842"/>
        <v>0.51674074074074072</v>
      </c>
      <c r="DX296" s="5">
        <f t="shared" si="843"/>
        <v>5.4393762183235879</v>
      </c>
      <c r="DY296" s="150">
        <f t="shared" si="844"/>
        <v>8.675799086757989E-2</v>
      </c>
      <c r="EA296" s="5">
        <f t="shared" si="871"/>
        <v>9.9214222222222208</v>
      </c>
      <c r="EB296" s="5">
        <f t="shared" si="872"/>
        <v>1.2918518518518518</v>
      </c>
      <c r="EC296" s="5">
        <f t="shared" si="873"/>
        <v>0.18131254061078625</v>
      </c>
      <c r="ED296" s="5"/>
      <c r="EE296" s="150">
        <f t="shared" si="874"/>
        <v>0.43937649842707127</v>
      </c>
      <c r="EF296" s="150">
        <f t="shared" si="875"/>
        <v>1.4255255997259553</v>
      </c>
      <c r="EG296" s="150">
        <f t="shared" si="876"/>
        <v>0.31864689876227237</v>
      </c>
      <c r="EH296" s="150"/>
      <c r="EI296" s="456">
        <f t="shared" si="877"/>
        <v>3.8610341474006834E-3</v>
      </c>
      <c r="EJ296" s="456">
        <f t="shared" si="878"/>
        <v>0.56999999999999995</v>
      </c>
      <c r="EK296" s="456">
        <f t="shared" si="879"/>
        <v>2.0986827636043728E-2</v>
      </c>
      <c r="EL296" s="456">
        <f t="shared" si="880"/>
        <v>7.2471545298165144E-2</v>
      </c>
      <c r="EM296">
        <f t="shared" si="881"/>
        <v>2.7E-2</v>
      </c>
      <c r="EN296" s="144">
        <f t="shared" si="882"/>
        <v>47.986827636043728</v>
      </c>
      <c r="EP296" s="144">
        <f t="shared" si="883"/>
        <v>694.3194070816096</v>
      </c>
      <c r="EQ296" s="150">
        <f t="shared" si="884"/>
        <v>0.67199999999999993</v>
      </c>
      <c r="ER296" s="150">
        <f t="shared" si="845"/>
        <v>8.8749999999999996E-2</v>
      </c>
      <c r="ES296" s="456"/>
      <c r="EU296" s="144">
        <f t="shared" si="885"/>
        <v>760.74999999999989</v>
      </c>
      <c r="EV296" s="456">
        <f t="shared" si="886"/>
        <v>5.7915512211010245E-3</v>
      </c>
      <c r="EW296" s="456">
        <f t="shared" si="887"/>
        <v>6.0963697064221334E-2</v>
      </c>
      <c r="EX296" s="456">
        <f t="shared" si="888"/>
        <v>5.0767923045406927E-4</v>
      </c>
      <c r="EY296" s="456">
        <f t="shared" si="889"/>
        <v>0.19596058643252551</v>
      </c>
      <c r="EZ296" s="456"/>
      <c r="FA296" s="538">
        <f t="shared" si="890"/>
        <v>1.1207847116522912E-3</v>
      </c>
      <c r="FB296" s="144">
        <f t="shared" si="891"/>
        <v>264.34429865995418</v>
      </c>
      <c r="FC296" s="150">
        <f t="shared" si="892"/>
        <v>1.7194137057415642</v>
      </c>
      <c r="FD296" s="5">
        <f t="shared" si="893"/>
        <v>6.4</v>
      </c>
      <c r="FE296" s="150">
        <f t="shared" si="894"/>
        <v>0.7882342533518526</v>
      </c>
      <c r="FF296" s="5">
        <f t="shared" si="895"/>
        <v>78.823425335185263</v>
      </c>
      <c r="FG296">
        <f t="shared" si="896"/>
        <v>80</v>
      </c>
      <c r="FI296" s="59">
        <f t="shared" si="846"/>
        <v>-50</v>
      </c>
    </row>
    <row r="297" spans="5:165">
      <c r="E297" s="147">
        <v>81</v>
      </c>
      <c r="F297" s="188">
        <f t="shared" si="847"/>
        <v>0.97199999999999998</v>
      </c>
      <c r="G297" s="188">
        <f t="shared" si="775"/>
        <v>0.20250000000000001</v>
      </c>
      <c r="H297" s="188">
        <f t="shared" si="776"/>
        <v>4.8599999999999994</v>
      </c>
      <c r="I297" s="188">
        <f t="shared" si="777"/>
        <v>1.62</v>
      </c>
      <c r="J297" s="465">
        <f t="shared" si="778"/>
        <v>59.912845505771429</v>
      </c>
      <c r="K297" s="379">
        <f t="shared" si="779"/>
        <v>5.7331522411721565</v>
      </c>
      <c r="L297" s="149">
        <f t="shared" si="780"/>
        <v>65.645997746943578</v>
      </c>
      <c r="M297" s="379"/>
      <c r="N297" s="188">
        <f t="shared" si="781"/>
        <v>8.7334375863593106E-2</v>
      </c>
      <c r="O297" s="149">
        <f t="shared" si="782"/>
        <v>9.8108455658595517</v>
      </c>
      <c r="P297" s="149">
        <f t="shared" si="783"/>
        <v>4.3603758070486887</v>
      </c>
      <c r="Q297" s="188">
        <f t="shared" si="784"/>
        <v>1.9621691131719103</v>
      </c>
      <c r="R297" s="188">
        <f t="shared" si="785"/>
        <v>1.226355695732444</v>
      </c>
      <c r="S297" s="188">
        <f t="shared" si="786"/>
        <v>5</v>
      </c>
      <c r="T297" s="188">
        <f t="shared" si="787"/>
        <v>2.4768507298250411</v>
      </c>
      <c r="U297" s="188">
        <f t="shared" si="788"/>
        <v>0.49609075494565419</v>
      </c>
      <c r="V297" s="188">
        <f t="shared" si="789"/>
        <v>5.1842699282347544</v>
      </c>
      <c r="W297" s="172">
        <f t="shared" si="790"/>
        <v>350</v>
      </c>
      <c r="X297" s="379">
        <f t="shared" si="848"/>
        <v>170.05759576284143</v>
      </c>
      <c r="Z297" s="188">
        <f t="shared" si="791"/>
        <v>1.2458216591567679</v>
      </c>
      <c r="AA297" s="150">
        <f t="shared" si="792"/>
        <v>2.6076160689611623</v>
      </c>
      <c r="AB297" s="150">
        <f t="shared" si="793"/>
        <v>0.42638197579386206</v>
      </c>
      <c r="AC297" s="150"/>
      <c r="AD297" s="150">
        <f t="shared" si="794"/>
        <v>2.0930893678041542</v>
      </c>
      <c r="AE297" s="314">
        <f t="shared" si="795"/>
        <v>928.77066306988957</v>
      </c>
      <c r="AF297" s="456">
        <f t="shared" si="796"/>
        <v>0.36629063936572692</v>
      </c>
      <c r="AH297" s="150">
        <f t="shared" si="797"/>
        <v>1.7566201313073597</v>
      </c>
      <c r="AI297" s="150">
        <f t="shared" si="798"/>
        <v>2.4768507298250411</v>
      </c>
      <c r="AJ297" s="150">
        <f t="shared" si="799"/>
        <v>2.2939635035741044</v>
      </c>
      <c r="AL297" s="314">
        <f t="shared" si="800"/>
        <v>972</v>
      </c>
      <c r="AM297" s="144">
        <f t="shared" si="801"/>
        <v>170.05759576284143</v>
      </c>
      <c r="AO297">
        <f t="shared" si="802"/>
        <v>972</v>
      </c>
      <c r="AP297">
        <f t="shared" si="803"/>
        <v>170.05759576284143</v>
      </c>
      <c r="AR297" s="5">
        <f t="shared" si="774"/>
        <v>5.8803606831804087</v>
      </c>
      <c r="AS297" s="5">
        <f t="shared" si="739"/>
        <v>0.49609075494565419</v>
      </c>
      <c r="AT297" s="5">
        <f t="shared" si="740"/>
        <v>5.3842699282347546</v>
      </c>
      <c r="AU297" s="150">
        <f t="shared" si="741"/>
        <v>8.436400106623089E-2</v>
      </c>
      <c r="BA297" s="150">
        <f t="shared" si="849"/>
        <v>0.41535342023831562</v>
      </c>
      <c r="BB297" s="150">
        <f t="shared" si="850"/>
        <v>1.3683608377329715</v>
      </c>
      <c r="BC297" s="150">
        <f t="shared" si="851"/>
        <v>0.30586889314031129</v>
      </c>
      <c r="BD297" s="150"/>
      <c r="BE297" s="456">
        <f t="shared" si="852"/>
        <v>3.4503692740733361E-3</v>
      </c>
      <c r="BF297" s="456">
        <f t="shared" si="804"/>
        <v>0.51844822810363966</v>
      </c>
      <c r="BG297" s="456">
        <f t="shared" si="805"/>
        <v>0.2547158615505512</v>
      </c>
      <c r="BH297" s="456">
        <f t="shared" si="853"/>
        <v>7.3284569644135739E-2</v>
      </c>
      <c r="BI297">
        <f t="shared" si="854"/>
        <v>2.6960780477597143E-2</v>
      </c>
      <c r="BJ297" s="144">
        <f t="shared" si="855"/>
        <v>281.67664202814836</v>
      </c>
      <c r="BK297">
        <f t="shared" si="806"/>
        <v>0.59660386719360137</v>
      </c>
      <c r="BL297" s="144">
        <f t="shared" si="856"/>
        <v>876.85980904999701</v>
      </c>
      <c r="BM297" s="150">
        <f t="shared" si="807"/>
        <v>0.60385499999999992</v>
      </c>
      <c r="BN297" s="150">
        <f t="shared" si="808"/>
        <v>8.9859375000000005E-2</v>
      </c>
      <c r="BQ297" s="144">
        <f t="shared" si="857"/>
        <v>693.7143749999999</v>
      </c>
      <c r="BR297" s="456">
        <f t="shared" si="858"/>
        <v>5.1755539111100037E-3</v>
      </c>
      <c r="BS297" s="456">
        <f t="shared" si="859"/>
        <v>5.6172341467238381E-2</v>
      </c>
      <c r="BT297" s="456">
        <f t="shared" si="860"/>
        <v>4.6777889895439586E-4</v>
      </c>
      <c r="BU297" s="456">
        <f t="shared" si="861"/>
        <v>0.18205796195764026</v>
      </c>
      <c r="BV297" s="456"/>
      <c r="BW297" s="538">
        <f t="shared" si="862"/>
        <v>1.0432675593152259E-3</v>
      </c>
      <c r="BX297" s="144">
        <f t="shared" si="863"/>
        <v>244.91690379425827</v>
      </c>
      <c r="BY297" s="150">
        <f t="shared" si="864"/>
        <v>1.8154910878442556</v>
      </c>
      <c r="BZ297" s="5">
        <f t="shared" si="865"/>
        <v>6.4799999999999995</v>
      </c>
      <c r="CA297" s="150">
        <f t="shared" si="866"/>
        <v>0.78114724389197721</v>
      </c>
      <c r="CB297" s="5">
        <f t="shared" si="867"/>
        <v>78.114724389197718</v>
      </c>
      <c r="CC297">
        <f t="shared" si="868"/>
        <v>81</v>
      </c>
      <c r="CE297" s="59">
        <f t="shared" si="809"/>
        <v>-50</v>
      </c>
      <c r="CG297" s="150">
        <f t="shared" si="810"/>
        <v>0.87957854338036034</v>
      </c>
      <c r="CH297" s="150">
        <f t="shared" si="811"/>
        <v>0.47330172420499939</v>
      </c>
      <c r="CI297" s="147">
        <v>81</v>
      </c>
      <c r="CJ297" s="188">
        <f t="shared" si="869"/>
        <v>0.97199999999999998</v>
      </c>
      <c r="CK297" s="188">
        <f t="shared" si="812"/>
        <v>0.20250000000000001</v>
      </c>
      <c r="CL297" s="188">
        <f t="shared" si="813"/>
        <v>4.8599999999999994</v>
      </c>
      <c r="CM297" s="188">
        <f t="shared" si="814"/>
        <v>1.62</v>
      </c>
      <c r="CN297" s="465">
        <f t="shared" si="815"/>
        <v>60</v>
      </c>
      <c r="CO297" s="379">
        <f t="shared" si="816"/>
        <v>5.7</v>
      </c>
      <c r="CP297" s="379">
        <f t="shared" si="817"/>
        <v>65.7</v>
      </c>
      <c r="CQ297" s="379"/>
      <c r="CR297" s="188">
        <f t="shared" si="818"/>
        <v>8.2568807339449546E-2</v>
      </c>
      <c r="CS297" s="149">
        <f t="shared" si="819"/>
        <v>9.2889908256880744</v>
      </c>
      <c r="CT297" s="149">
        <f t="shared" si="820"/>
        <v>4.1284403669724767</v>
      </c>
      <c r="CU297" s="188">
        <f t="shared" si="821"/>
        <v>1.857798165137615</v>
      </c>
      <c r="CV297" s="188">
        <f t="shared" si="822"/>
        <v>1.1611238532110093</v>
      </c>
      <c r="CW297" s="188">
        <f t="shared" si="823"/>
        <v>5</v>
      </c>
      <c r="CX297" s="188">
        <f t="shared" si="824"/>
        <v>2.6159999999999997</v>
      </c>
      <c r="CY297" s="188">
        <f t="shared" si="825"/>
        <v>0.52319999999999989</v>
      </c>
      <c r="CZ297" s="188">
        <f t="shared" si="826"/>
        <v>5.5073684210526297</v>
      </c>
      <c r="DA297" s="172">
        <f t="shared" si="827"/>
        <v>350</v>
      </c>
      <c r="DB297" s="379">
        <f t="shared" si="828"/>
        <v>165.82184798849374</v>
      </c>
      <c r="DD297" s="188">
        <f t="shared" si="829"/>
        <v>1.2393998695368558</v>
      </c>
      <c r="DE297" s="150">
        <f t="shared" si="830"/>
        <v>2.6092628832354858</v>
      </c>
      <c r="DF297" s="150">
        <f t="shared" si="831"/>
        <v>0.4244520101153616</v>
      </c>
      <c r="DG297" s="150"/>
      <c r="DH297" s="150">
        <f t="shared" si="832"/>
        <v>2.1052631578947367</v>
      </c>
      <c r="DI297" s="314">
        <f t="shared" si="833"/>
        <v>923.40000000000009</v>
      </c>
      <c r="DJ297" s="456">
        <f t="shared" si="834"/>
        <v>0.36842105263157893</v>
      </c>
      <c r="DL297" s="150">
        <f t="shared" si="835"/>
        <v>1.7566201313073597</v>
      </c>
      <c r="DM297" s="150">
        <f t="shared" si="836"/>
        <v>2.6159999999999997</v>
      </c>
      <c r="DN297" s="150">
        <f t="shared" si="837"/>
        <v>2.3970370370370366</v>
      </c>
      <c r="DP297" s="314">
        <f t="shared" si="838"/>
        <v>972</v>
      </c>
      <c r="DQ297" s="144">
        <f t="shared" si="839"/>
        <v>165.82184798849374</v>
      </c>
      <c r="DS297">
        <f t="shared" si="840"/>
        <v>972</v>
      </c>
      <c r="DT297">
        <f t="shared" si="841"/>
        <v>165.82184798849374</v>
      </c>
      <c r="DV297" s="5">
        <f t="shared" si="870"/>
        <v>6.0305684210526307</v>
      </c>
      <c r="DW297" s="5">
        <f t="shared" si="842"/>
        <v>0.52319999999999989</v>
      </c>
      <c r="DX297" s="5">
        <f t="shared" si="843"/>
        <v>5.5073684210526306</v>
      </c>
      <c r="DY297" s="150">
        <f t="shared" si="844"/>
        <v>8.6757990867579904E-2</v>
      </c>
      <c r="EA297" s="5">
        <f t="shared" si="871"/>
        <v>10.171007999999997</v>
      </c>
      <c r="EB297" s="5">
        <f t="shared" si="872"/>
        <v>1.3243499999999997</v>
      </c>
      <c r="EC297" s="5">
        <f t="shared" si="873"/>
        <v>0.18587368421052622</v>
      </c>
      <c r="ED297" s="5"/>
      <c r="EE297" s="150">
        <f t="shared" si="874"/>
        <v>0.44486870465740969</v>
      </c>
      <c r="EF297" s="150">
        <f t="shared" si="875"/>
        <v>1.4433446697225296</v>
      </c>
      <c r="EG297" s="150">
        <f t="shared" si="876"/>
        <v>0.32262998499680073</v>
      </c>
      <c r="EH297" s="150"/>
      <c r="EI297" s="456">
        <f t="shared" si="877"/>
        <v>3.9581632876712321E-3</v>
      </c>
      <c r="EJ297" s="456">
        <f t="shared" si="878"/>
        <v>0.57000000000000006</v>
      </c>
      <c r="EK297" s="456">
        <f t="shared" si="879"/>
        <v>2.0727730998561716E-2</v>
      </c>
      <c r="EL297" s="456">
        <f t="shared" si="880"/>
        <v>7.157683486238535E-2</v>
      </c>
      <c r="EM297">
        <f t="shared" si="881"/>
        <v>2.7E-2</v>
      </c>
      <c r="EN297" s="144">
        <f t="shared" si="882"/>
        <v>47.727730998561718</v>
      </c>
      <c r="EP297" s="144">
        <f t="shared" si="883"/>
        <v>693.26272914861829</v>
      </c>
      <c r="EQ297" s="150">
        <f t="shared" si="884"/>
        <v>0.68039999999999989</v>
      </c>
      <c r="ER297" s="150">
        <f t="shared" si="845"/>
        <v>8.9859375000000005E-2</v>
      </c>
      <c r="ES297" s="456"/>
      <c r="EU297" s="144">
        <f t="shared" si="885"/>
        <v>770.25937499999986</v>
      </c>
      <c r="EV297" s="456">
        <f t="shared" si="886"/>
        <v>5.9372449315068477E-3</v>
      </c>
      <c r="EW297" s="456">
        <f t="shared" si="887"/>
        <v>6.2497315068493146E-2</v>
      </c>
      <c r="EX297" s="456">
        <f t="shared" si="888"/>
        <v>5.2045053609517931E-4</v>
      </c>
      <c r="EY297" s="456">
        <f t="shared" si="889"/>
        <v>0.19596058643252534</v>
      </c>
      <c r="EZ297" s="456"/>
      <c r="FA297" s="538">
        <f t="shared" si="890"/>
        <v>1.1347945205479452E-3</v>
      </c>
      <c r="FB297" s="144">
        <f t="shared" si="891"/>
        <v>266.05039148916842</v>
      </c>
      <c r="FC297" s="150">
        <f t="shared" si="892"/>
        <v>1.7295724956377869</v>
      </c>
      <c r="FD297" s="5">
        <f t="shared" si="893"/>
        <v>6.4799999999999995</v>
      </c>
      <c r="FE297" s="150">
        <f t="shared" si="894"/>
        <v>0.78932246513971249</v>
      </c>
      <c r="FF297" s="5">
        <f t="shared" si="895"/>
        <v>78.932246513971251</v>
      </c>
      <c r="FG297">
        <f t="shared" si="896"/>
        <v>81</v>
      </c>
      <c r="FI297" s="59">
        <f t="shared" si="846"/>
        <v>-50</v>
      </c>
    </row>
    <row r="298" spans="5:165">
      <c r="E298" s="147">
        <v>82</v>
      </c>
      <c r="F298" s="188">
        <f t="shared" si="847"/>
        <v>0.98399999999999987</v>
      </c>
      <c r="G298" s="188">
        <f t="shared" si="775"/>
        <v>0.20499999999999999</v>
      </c>
      <c r="H298" s="188">
        <f t="shared" si="776"/>
        <v>4.919999999999999</v>
      </c>
      <c r="I298" s="188">
        <f t="shared" si="777"/>
        <v>1.64</v>
      </c>
      <c r="J298" s="465">
        <f t="shared" si="778"/>
        <v>59.911769524361205</v>
      </c>
      <c r="K298" s="379">
        <f t="shared" si="779"/>
        <v>5.7335615281002079</v>
      </c>
      <c r="L298" s="149">
        <f t="shared" si="780"/>
        <v>65.645331052461415</v>
      </c>
      <c r="M298" s="379"/>
      <c r="N298" s="188">
        <f t="shared" si="781"/>
        <v>8.7341497653780575E-2</v>
      </c>
      <c r="O298" s="149">
        <f t="shared" si="782"/>
        <v>9.811469395023444</v>
      </c>
      <c r="P298" s="149">
        <f t="shared" si="783"/>
        <v>4.3606530644548638</v>
      </c>
      <c r="Q298" s="188">
        <f t="shared" si="784"/>
        <v>1.9622938790046889</v>
      </c>
      <c r="R298" s="188">
        <f t="shared" si="785"/>
        <v>1.2264336743779305</v>
      </c>
      <c r="S298" s="188">
        <f t="shared" si="786"/>
        <v>5</v>
      </c>
      <c r="T298" s="188">
        <f t="shared" si="787"/>
        <v>2.5072697074790411</v>
      </c>
      <c r="U298" s="188">
        <f t="shared" si="788"/>
        <v>0.50219241942961612</v>
      </c>
      <c r="V298" s="188">
        <f t="shared" si="789"/>
        <v>5.2475649458527354</v>
      </c>
      <c r="W298" s="172">
        <f t="shared" si="790"/>
        <v>350</v>
      </c>
      <c r="X298" s="379">
        <f t="shared" si="848"/>
        <v>168.07408077430799</v>
      </c>
      <c r="Z298" s="188">
        <f t="shared" si="791"/>
        <v>1.2459008755585326</v>
      </c>
      <c r="AA298" s="150">
        <f t="shared" si="792"/>
        <v>2.6075957209891985</v>
      </c>
      <c r="AB298" s="150">
        <f t="shared" si="793"/>
        <v>0.42640576018466014</v>
      </c>
      <c r="AC298" s="150"/>
      <c r="AD298" s="150">
        <f t="shared" si="794"/>
        <v>2.0929399538468281</v>
      </c>
      <c r="AE298" s="314">
        <f t="shared" si="795"/>
        <v>940.30409060843397</v>
      </c>
      <c r="AF298" s="456">
        <f t="shared" si="796"/>
        <v>0.36626449192319493</v>
      </c>
      <c r="AH298" s="150">
        <f t="shared" si="797"/>
        <v>1.7674302033770735</v>
      </c>
      <c r="AI298" s="150">
        <f t="shared" si="798"/>
        <v>2.5072697074790411</v>
      </c>
      <c r="AJ298" s="150">
        <f t="shared" si="799"/>
        <v>2.3164960796141045</v>
      </c>
      <c r="AL298" s="314">
        <f t="shared" si="800"/>
        <v>983.99999999999989</v>
      </c>
      <c r="AM298" s="144">
        <f t="shared" si="801"/>
        <v>168.07408077430799</v>
      </c>
      <c r="AO298">
        <f t="shared" si="802"/>
        <v>983.99999999999989</v>
      </c>
      <c r="AP298">
        <f t="shared" si="803"/>
        <v>168.07408077430799</v>
      </c>
      <c r="AR298" s="5">
        <f t="shared" si="774"/>
        <v>5.9497573652823528</v>
      </c>
      <c r="AS298" s="5">
        <f t="shared" si="739"/>
        <v>0.50219241942961612</v>
      </c>
      <c r="AT298" s="5">
        <f t="shared" si="740"/>
        <v>5.4475649458527364</v>
      </c>
      <c r="AU298" s="150">
        <f t="shared" si="741"/>
        <v>8.4405529267458451E-2</v>
      </c>
      <c r="BA298" s="150">
        <f t="shared" si="849"/>
        <v>0.42055797704817605</v>
      </c>
      <c r="BB298" s="150">
        <f t="shared" si="850"/>
        <v>1.3851346925919605</v>
      </c>
      <c r="BC298" s="150">
        <f t="shared" si="851"/>
        <v>0.30961834304996766</v>
      </c>
      <c r="BD298" s="150"/>
      <c r="BE298" s="456">
        <f t="shared" si="852"/>
        <v>3.5373802411770832E-3</v>
      </c>
      <c r="BF298" s="456">
        <f t="shared" si="804"/>
        <v>0.51868885111709995</v>
      </c>
      <c r="BG298" s="456">
        <f t="shared" si="805"/>
        <v>0.25174038975923019</v>
      </c>
      <c r="BH298" s="456">
        <f t="shared" si="853"/>
        <v>7.2428323113353565E-2</v>
      </c>
      <c r="BI298">
        <f t="shared" si="854"/>
        <v>2.696029628596254E-2</v>
      </c>
      <c r="BJ298" s="144">
        <f t="shared" si="855"/>
        <v>278.7006860451927</v>
      </c>
      <c r="BK298">
        <f t="shared" si="806"/>
        <v>0.59611066715144778</v>
      </c>
      <c r="BL298" s="144">
        <f t="shared" si="856"/>
        <v>873.3552405168233</v>
      </c>
      <c r="BM298" s="150">
        <f t="shared" si="807"/>
        <v>0.6113099999999998</v>
      </c>
      <c r="BN298" s="150">
        <f t="shared" si="808"/>
        <v>9.0968749999999987E-2</v>
      </c>
      <c r="BQ298" s="144">
        <f t="shared" si="857"/>
        <v>702.27874999999983</v>
      </c>
      <c r="BR298" s="456">
        <f t="shared" si="858"/>
        <v>5.3060703617656248E-3</v>
      </c>
      <c r="BS298" s="456">
        <f t="shared" si="859"/>
        <v>5.755794349865475E-2</v>
      </c>
      <c r="BT298" s="456">
        <f t="shared" si="860"/>
        <v>4.7931759176503725E-4</v>
      </c>
      <c r="BU298" s="456">
        <f t="shared" si="861"/>
        <v>0.18227390592544335</v>
      </c>
      <c r="BV298" s="456"/>
      <c r="BW298" s="538">
        <f t="shared" si="862"/>
        <v>1.0565811343373509E-3</v>
      </c>
      <c r="BX298" s="144">
        <f t="shared" si="863"/>
        <v>246.67381851196609</v>
      </c>
      <c r="BY298" s="150">
        <f t="shared" si="864"/>
        <v>1.8223078090287892</v>
      </c>
      <c r="BZ298" s="5">
        <f t="shared" si="865"/>
        <v>6.5599999999999987</v>
      </c>
      <c r="CA298" s="150">
        <f t="shared" si="866"/>
        <v>0.78260070489585964</v>
      </c>
      <c r="CB298" s="5">
        <f t="shared" si="867"/>
        <v>78.260070489585971</v>
      </c>
      <c r="CC298">
        <f t="shared" si="868"/>
        <v>82</v>
      </c>
      <c r="CE298" s="59">
        <f t="shared" si="809"/>
        <v>-50</v>
      </c>
      <c r="CG298" s="150">
        <f t="shared" si="810"/>
        <v>0.87957854338036034</v>
      </c>
      <c r="CH298" s="150">
        <f t="shared" si="811"/>
        <v>0.47330172420499939</v>
      </c>
      <c r="CI298" s="147">
        <v>82</v>
      </c>
      <c r="CJ298" s="188">
        <f t="shared" si="869"/>
        <v>0.98399999999999987</v>
      </c>
      <c r="CK298" s="188">
        <f t="shared" si="812"/>
        <v>0.20499999999999999</v>
      </c>
      <c r="CL298" s="188">
        <f t="shared" si="813"/>
        <v>4.919999999999999</v>
      </c>
      <c r="CM298" s="188">
        <f t="shared" si="814"/>
        <v>1.64</v>
      </c>
      <c r="CN298" s="465">
        <f t="shared" si="815"/>
        <v>60</v>
      </c>
      <c r="CO298" s="379">
        <f t="shared" si="816"/>
        <v>5.7</v>
      </c>
      <c r="CP298" s="379">
        <f t="shared" si="817"/>
        <v>65.7</v>
      </c>
      <c r="CQ298" s="379"/>
      <c r="CR298" s="188">
        <f t="shared" si="818"/>
        <v>8.2568807339449546E-2</v>
      </c>
      <c r="CS298" s="149">
        <f t="shared" si="819"/>
        <v>9.2889908256880744</v>
      </c>
      <c r="CT298" s="149">
        <f t="shared" si="820"/>
        <v>4.1284403669724767</v>
      </c>
      <c r="CU298" s="188">
        <f t="shared" si="821"/>
        <v>1.857798165137615</v>
      </c>
      <c r="CV298" s="188">
        <f t="shared" si="822"/>
        <v>1.1611238532110093</v>
      </c>
      <c r="CW298" s="188">
        <f t="shared" si="823"/>
        <v>5</v>
      </c>
      <c r="CX298" s="188">
        <f t="shared" si="824"/>
        <v>2.6482962962962957</v>
      </c>
      <c r="CY298" s="188">
        <f t="shared" si="825"/>
        <v>0.52965925925925916</v>
      </c>
      <c r="CZ298" s="188">
        <f t="shared" si="826"/>
        <v>5.5753606237816751</v>
      </c>
      <c r="DA298" s="172">
        <f t="shared" si="827"/>
        <v>350</v>
      </c>
      <c r="DB298" s="379">
        <f t="shared" si="828"/>
        <v>163.79963033009747</v>
      </c>
      <c r="DD298" s="188">
        <f t="shared" si="829"/>
        <v>1.2393998695368558</v>
      </c>
      <c r="DE298" s="150">
        <f t="shared" si="830"/>
        <v>2.6092628832354858</v>
      </c>
      <c r="DF298" s="150">
        <f t="shared" si="831"/>
        <v>0.4244520101153616</v>
      </c>
      <c r="DG298" s="150"/>
      <c r="DH298" s="150">
        <f t="shared" si="832"/>
        <v>2.1052631578947367</v>
      </c>
      <c r="DI298" s="314">
        <f t="shared" si="833"/>
        <v>934.79999999999984</v>
      </c>
      <c r="DJ298" s="456">
        <f t="shared" si="834"/>
        <v>0.36842105263157893</v>
      </c>
      <c r="DL298" s="150">
        <f t="shared" si="835"/>
        <v>1.7674302033770735</v>
      </c>
      <c r="DM298" s="150">
        <f t="shared" si="836"/>
        <v>2.6482962962962957</v>
      </c>
      <c r="DN298" s="150">
        <f t="shared" si="837"/>
        <v>2.4209602194787374</v>
      </c>
      <c r="DP298" s="314">
        <f t="shared" si="838"/>
        <v>983.99999999999989</v>
      </c>
      <c r="DQ298" s="144">
        <f t="shared" si="839"/>
        <v>163.79963033009747</v>
      </c>
      <c r="DS298">
        <f t="shared" si="840"/>
        <v>983.99999999999989</v>
      </c>
      <c r="DT298">
        <f t="shared" si="841"/>
        <v>163.79963033009747</v>
      </c>
      <c r="DV298" s="5">
        <f t="shared" si="870"/>
        <v>6.1050198830409341</v>
      </c>
      <c r="DW298" s="5">
        <f t="shared" si="842"/>
        <v>0.52965925925925916</v>
      </c>
      <c r="DX298" s="5">
        <f t="shared" si="843"/>
        <v>5.5753606237816751</v>
      </c>
      <c r="DY298" s="150">
        <f t="shared" si="844"/>
        <v>8.6757990867579918E-2</v>
      </c>
      <c r="EA298" s="5">
        <f t="shared" si="871"/>
        <v>10.423694222222219</v>
      </c>
      <c r="EB298" s="5">
        <f t="shared" si="872"/>
        <v>1.3572518518518515</v>
      </c>
      <c r="EC298" s="5">
        <f t="shared" si="873"/>
        <v>0.19049148797920717</v>
      </c>
      <c r="ED298" s="5"/>
      <c r="EE298" s="150">
        <f t="shared" si="874"/>
        <v>0.45036091088774804</v>
      </c>
      <c r="EF298" s="150">
        <f t="shared" si="875"/>
        <v>1.461163739719104</v>
      </c>
      <c r="EG298" s="150">
        <f t="shared" si="876"/>
        <v>0.3266130712313291</v>
      </c>
      <c r="EH298" s="150"/>
      <c r="EI298" s="456">
        <f t="shared" si="877"/>
        <v>4.0564990011128423E-3</v>
      </c>
      <c r="EJ298" s="456">
        <f t="shared" si="878"/>
        <v>0.57000000000000006</v>
      </c>
      <c r="EK298" s="456">
        <f t="shared" si="879"/>
        <v>2.0474953791262181E-2</v>
      </c>
      <c r="EL298" s="456">
        <f t="shared" si="880"/>
        <v>7.0703946632356254E-2</v>
      </c>
      <c r="EM298">
        <f t="shared" si="881"/>
        <v>2.7E-2</v>
      </c>
      <c r="EN298" s="144">
        <f t="shared" si="882"/>
        <v>47.47495379126218</v>
      </c>
      <c r="EP298" s="144">
        <f t="shared" si="883"/>
        <v>692.23539942473133</v>
      </c>
      <c r="EQ298" s="150">
        <f t="shared" si="884"/>
        <v>0.68879999999999986</v>
      </c>
      <c r="ER298" s="150">
        <f t="shared" si="845"/>
        <v>9.0968749999999987E-2</v>
      </c>
      <c r="ES298" s="456"/>
      <c r="EU298" s="144">
        <f t="shared" si="885"/>
        <v>779.76874999999995</v>
      </c>
      <c r="EV298" s="456">
        <f t="shared" si="886"/>
        <v>6.0847485016692635E-3</v>
      </c>
      <c r="EW298" s="456">
        <f t="shared" si="887"/>
        <v>6.4049984228097517E-2</v>
      </c>
      <c r="EX298" s="456">
        <f t="shared" si="888"/>
        <v>5.3338049149580637E-4</v>
      </c>
      <c r="EY298" s="456">
        <f t="shared" si="889"/>
        <v>0.19596058643252554</v>
      </c>
      <c r="EZ298" s="456"/>
      <c r="FA298" s="538">
        <f t="shared" si="890"/>
        <v>1.1488043294435987E-3</v>
      </c>
      <c r="FB298" s="144">
        <f t="shared" si="891"/>
        <v>267.77750398323167</v>
      </c>
      <c r="FC298" s="150">
        <f t="shared" si="892"/>
        <v>1.7397816534079631</v>
      </c>
      <c r="FD298" s="5">
        <f t="shared" si="893"/>
        <v>6.5599999999999987</v>
      </c>
      <c r="FE298" s="150">
        <f t="shared" si="894"/>
        <v>0.79038223822507503</v>
      </c>
      <c r="FF298" s="5">
        <f t="shared" si="895"/>
        <v>79.038223822507504</v>
      </c>
      <c r="FG298">
        <f t="shared" si="896"/>
        <v>82</v>
      </c>
      <c r="FI298" s="59">
        <f t="shared" si="846"/>
        <v>-50</v>
      </c>
    </row>
    <row r="299" spans="5:165">
      <c r="E299" s="147">
        <v>83</v>
      </c>
      <c r="F299" s="188">
        <f t="shared" si="847"/>
        <v>0.99599999999999989</v>
      </c>
      <c r="G299" s="188">
        <f t="shared" si="775"/>
        <v>0.20749999999999999</v>
      </c>
      <c r="H299" s="188">
        <f t="shared" si="776"/>
        <v>4.9799999999999995</v>
      </c>
      <c r="I299" s="188">
        <f t="shared" si="777"/>
        <v>1.66</v>
      </c>
      <c r="J299" s="465">
        <f t="shared" si="778"/>
        <v>59.910693542950973</v>
      </c>
      <c r="K299" s="379">
        <f t="shared" si="779"/>
        <v>5.7339708150282593</v>
      </c>
      <c r="L299" s="149">
        <f t="shared" si="780"/>
        <v>65.644664357979238</v>
      </c>
      <c r="M299" s="379"/>
      <c r="N299" s="188">
        <f t="shared" si="781"/>
        <v>8.7348619588627455E-2</v>
      </c>
      <c r="O299" s="149">
        <f t="shared" si="782"/>
        <v>9.8120932117013702</v>
      </c>
      <c r="P299" s="149">
        <f t="shared" si="783"/>
        <v>4.3609303163117197</v>
      </c>
      <c r="Q299" s="188">
        <f t="shared" si="784"/>
        <v>1.9624186423402741</v>
      </c>
      <c r="R299" s="188">
        <f t="shared" si="785"/>
        <v>1.2265116514626713</v>
      </c>
      <c r="S299" s="188">
        <f t="shared" si="786"/>
        <v>5</v>
      </c>
      <c r="T299" s="188">
        <f t="shared" si="787"/>
        <v>2.5376848204321591</v>
      </c>
      <c r="U299" s="188">
        <f t="shared" si="788"/>
        <v>0.5082935289900159</v>
      </c>
      <c r="V299" s="188">
        <f t="shared" si="789"/>
        <v>5.3108428395507676</v>
      </c>
      <c r="W299" s="172">
        <f t="shared" si="790"/>
        <v>350</v>
      </c>
      <c r="X299" s="379">
        <f t="shared" si="848"/>
        <v>166.13679085699624</v>
      </c>
      <c r="Z299" s="188">
        <f t="shared" si="791"/>
        <v>1.2459800903747771</v>
      </c>
      <c r="AA299" s="150">
        <f t="shared" si="792"/>
        <v>2.6075753726039217</v>
      </c>
      <c r="AB299" s="150">
        <f t="shared" si="793"/>
        <v>0.42642954354211016</v>
      </c>
      <c r="AC299" s="150"/>
      <c r="AD299" s="150">
        <f t="shared" si="794"/>
        <v>2.0927905612196351</v>
      </c>
      <c r="AE299" s="314">
        <f t="shared" si="795"/>
        <v>951.83915529469084</v>
      </c>
      <c r="AF299" s="456">
        <f t="shared" si="796"/>
        <v>0.3662383482134362</v>
      </c>
      <c r="AH299" s="150">
        <f t="shared" si="797"/>
        <v>1.7781745588959375</v>
      </c>
      <c r="AI299" s="150">
        <f t="shared" si="798"/>
        <v>2.5376848204321591</v>
      </c>
      <c r="AJ299" s="150">
        <f t="shared" si="799"/>
        <v>2.3390257929127105</v>
      </c>
      <c r="AL299" s="314">
        <f t="shared" si="800"/>
        <v>995.99999999999989</v>
      </c>
      <c r="AM299" s="144">
        <f t="shared" si="801"/>
        <v>166.13679085699624</v>
      </c>
      <c r="AO299">
        <f t="shared" si="802"/>
        <v>995.99999999999989</v>
      </c>
      <c r="AP299">
        <f t="shared" si="803"/>
        <v>166.13679085699624</v>
      </c>
      <c r="AR299" s="5">
        <f t="shared" si="774"/>
        <v>6.0191363685407833</v>
      </c>
      <c r="AS299" s="5">
        <f t="shared" si="739"/>
        <v>0.5082935289900159</v>
      </c>
      <c r="AT299" s="5">
        <f t="shared" si="740"/>
        <v>5.5108428395507669</v>
      </c>
      <c r="AU299" s="150">
        <f t="shared" si="741"/>
        <v>8.4446255719778832E-2</v>
      </c>
      <c r="BA299" s="150">
        <f t="shared" si="849"/>
        <v>0.42576234926291912</v>
      </c>
      <c r="BB299" s="150">
        <f t="shared" si="850"/>
        <v>1.4019062633550268</v>
      </c>
      <c r="BC299" s="150">
        <f t="shared" si="851"/>
        <v>0.31336728239700601</v>
      </c>
      <c r="BD299" s="150"/>
      <c r="BE299" s="456">
        <f t="shared" si="852"/>
        <v>3.6254715609975985E-3</v>
      </c>
      <c r="BF299" s="456">
        <f t="shared" si="804"/>
        <v>0.51892453320091025</v>
      </c>
      <c r="BG299" s="456">
        <f t="shared" si="805"/>
        <v>0.24883425908107101</v>
      </c>
      <c r="BH299" s="456">
        <f t="shared" si="853"/>
        <v>7.1592030730422432E-2</v>
      </c>
      <c r="BI299">
        <f t="shared" si="854"/>
        <v>2.6959812094327937E-2</v>
      </c>
      <c r="BJ299" s="144">
        <f t="shared" si="855"/>
        <v>275.79407117539893</v>
      </c>
      <c r="BK299">
        <f t="shared" si="806"/>
        <v>0.59563399911379278</v>
      </c>
      <c r="BL299" s="144">
        <f t="shared" si="856"/>
        <v>869.93610666772929</v>
      </c>
      <c r="BM299" s="150">
        <f t="shared" si="807"/>
        <v>0.6187649999999999</v>
      </c>
      <c r="BN299" s="150">
        <f t="shared" si="808"/>
        <v>9.2078124999999997E-2</v>
      </c>
      <c r="BQ299" s="144">
        <f t="shared" si="857"/>
        <v>710.84312499999987</v>
      </c>
      <c r="BR299" s="456">
        <f t="shared" si="858"/>
        <v>5.4382073414963976E-3</v>
      </c>
      <c r="BS299" s="456">
        <f t="shared" si="859"/>
        <v>5.8960235137021609E-2</v>
      </c>
      <c r="BT299" s="456">
        <f t="shared" si="860"/>
        <v>4.9099526838442464E-4</v>
      </c>
      <c r="BU299" s="456">
        <f t="shared" si="861"/>
        <v>0.18248566402851854</v>
      </c>
      <c r="BV299" s="456"/>
      <c r="BW299" s="538">
        <f t="shared" si="862"/>
        <v>1.0698950569569849E-3</v>
      </c>
      <c r="BX299" s="144">
        <f t="shared" si="863"/>
        <v>248.44499683237794</v>
      </c>
      <c r="BY299" s="150">
        <f t="shared" si="864"/>
        <v>1.8292242285001072</v>
      </c>
      <c r="BZ299" s="5">
        <f t="shared" si="865"/>
        <v>6.64</v>
      </c>
      <c r="CA299" s="150">
        <f t="shared" si="866"/>
        <v>0.78401513773309772</v>
      </c>
      <c r="CB299" s="5">
        <f t="shared" si="867"/>
        <v>78.401513773309773</v>
      </c>
      <c r="CC299">
        <f t="shared" si="868"/>
        <v>83</v>
      </c>
      <c r="CE299" s="59">
        <f t="shared" si="809"/>
        <v>-50</v>
      </c>
      <c r="CG299" s="150">
        <f t="shared" si="810"/>
        <v>0.87957854338036012</v>
      </c>
      <c r="CH299" s="150">
        <f t="shared" si="811"/>
        <v>0.47330172420499927</v>
      </c>
      <c r="CI299" s="147">
        <v>83</v>
      </c>
      <c r="CJ299" s="188">
        <f t="shared" si="869"/>
        <v>0.99599999999999989</v>
      </c>
      <c r="CK299" s="188">
        <f t="shared" si="812"/>
        <v>0.20749999999999999</v>
      </c>
      <c r="CL299" s="188">
        <f t="shared" si="813"/>
        <v>4.9799999999999995</v>
      </c>
      <c r="CM299" s="188">
        <f t="shared" si="814"/>
        <v>1.66</v>
      </c>
      <c r="CN299" s="465">
        <f t="shared" si="815"/>
        <v>60</v>
      </c>
      <c r="CO299" s="379">
        <f t="shared" si="816"/>
        <v>5.7</v>
      </c>
      <c r="CP299" s="379">
        <f t="shared" si="817"/>
        <v>65.7</v>
      </c>
      <c r="CQ299" s="379"/>
      <c r="CR299" s="188">
        <f t="shared" si="818"/>
        <v>8.2568807339449546E-2</v>
      </c>
      <c r="CS299" s="149">
        <f t="shared" si="819"/>
        <v>9.2889908256880744</v>
      </c>
      <c r="CT299" s="149">
        <f t="shared" si="820"/>
        <v>4.1284403669724767</v>
      </c>
      <c r="CU299" s="188">
        <f t="shared" si="821"/>
        <v>1.857798165137615</v>
      </c>
      <c r="CV299" s="188">
        <f t="shared" si="822"/>
        <v>1.1611238532110093</v>
      </c>
      <c r="CW299" s="188">
        <f t="shared" si="823"/>
        <v>5</v>
      </c>
      <c r="CX299" s="188">
        <f t="shared" si="824"/>
        <v>2.6805925925925922</v>
      </c>
      <c r="CY299" s="188">
        <f t="shared" si="825"/>
        <v>0.53611851851851855</v>
      </c>
      <c r="CZ299" s="188">
        <f t="shared" si="826"/>
        <v>5.6433528265107205</v>
      </c>
      <c r="DA299" s="172">
        <f t="shared" si="827"/>
        <v>350</v>
      </c>
      <c r="DB299" s="379">
        <f t="shared" si="828"/>
        <v>161.82614080804808</v>
      </c>
      <c r="DD299" s="188">
        <f t="shared" si="829"/>
        <v>1.2393998695368558</v>
      </c>
      <c r="DE299" s="150">
        <f t="shared" si="830"/>
        <v>2.6092628832354858</v>
      </c>
      <c r="DF299" s="150">
        <f t="shared" si="831"/>
        <v>0.4244520101153616</v>
      </c>
      <c r="DG299" s="150"/>
      <c r="DH299" s="150">
        <f t="shared" si="832"/>
        <v>2.1052631578947367</v>
      </c>
      <c r="DI299" s="314">
        <f t="shared" si="833"/>
        <v>946.20000000000016</v>
      </c>
      <c r="DJ299" s="456">
        <f t="shared" si="834"/>
        <v>0.36842105263157893</v>
      </c>
      <c r="DL299" s="150">
        <f t="shared" si="835"/>
        <v>1.7781745588959375</v>
      </c>
      <c r="DM299" s="150">
        <f t="shared" si="836"/>
        <v>2.6805925925925922</v>
      </c>
      <c r="DN299" s="150">
        <f t="shared" si="837"/>
        <v>2.4448834019204386</v>
      </c>
      <c r="DP299" s="314">
        <f t="shared" si="838"/>
        <v>995.99999999999989</v>
      </c>
      <c r="DQ299" s="144">
        <f t="shared" si="839"/>
        <v>161.82614080804808</v>
      </c>
      <c r="DS299">
        <f t="shared" si="840"/>
        <v>995.99999999999989</v>
      </c>
      <c r="DT299">
        <f t="shared" si="841"/>
        <v>161.82614080804808</v>
      </c>
      <c r="DV299" s="5">
        <f t="shared" si="870"/>
        <v>6.1794713450292393</v>
      </c>
      <c r="DW299" s="5">
        <f t="shared" si="842"/>
        <v>0.53611851851851855</v>
      </c>
      <c r="DX299" s="5">
        <f t="shared" si="843"/>
        <v>5.6433528265107205</v>
      </c>
      <c r="DY299" s="150">
        <f t="shared" si="844"/>
        <v>8.6757990867579918E-2</v>
      </c>
      <c r="EA299" s="5">
        <f t="shared" si="871"/>
        <v>10.679480888888888</v>
      </c>
      <c r="EB299" s="5">
        <f t="shared" si="872"/>
        <v>1.3905574074074074</v>
      </c>
      <c r="EC299" s="5">
        <f t="shared" si="873"/>
        <v>0.19516595191682903</v>
      </c>
      <c r="ED299" s="5"/>
      <c r="EE299" s="150">
        <f t="shared" si="874"/>
        <v>0.45585311711808646</v>
      </c>
      <c r="EF299" s="150">
        <f t="shared" si="875"/>
        <v>1.4789828097156785</v>
      </c>
      <c r="EG299" s="150">
        <f t="shared" si="876"/>
        <v>0.33059615746585752</v>
      </c>
      <c r="EH299" s="150"/>
      <c r="EI299" s="456">
        <f t="shared" si="877"/>
        <v>4.1560412877255171E-3</v>
      </c>
      <c r="EJ299" s="456">
        <f t="shared" si="878"/>
        <v>0.56999999999999995</v>
      </c>
      <c r="EK299" s="456">
        <f t="shared" si="879"/>
        <v>2.0228267601006007E-2</v>
      </c>
      <c r="EL299" s="456">
        <f t="shared" si="880"/>
        <v>6.9852091853653167E-2</v>
      </c>
      <c r="EM299">
        <f t="shared" si="881"/>
        <v>2.7E-2</v>
      </c>
      <c r="EN299" s="144">
        <f t="shared" si="882"/>
        <v>47.228267601006003</v>
      </c>
      <c r="EP299" s="144">
        <f t="shared" si="883"/>
        <v>691.23640074238472</v>
      </c>
      <c r="EQ299" s="150">
        <f t="shared" si="884"/>
        <v>0.69719999999999993</v>
      </c>
      <c r="ER299" s="150">
        <f t="shared" si="845"/>
        <v>9.2078124999999997E-2</v>
      </c>
      <c r="ES299" s="456"/>
      <c r="EU299" s="144">
        <f t="shared" si="885"/>
        <v>789.27812499999993</v>
      </c>
      <c r="EV299" s="456">
        <f t="shared" si="886"/>
        <v>6.2340619315882752E-3</v>
      </c>
      <c r="EW299" s="456">
        <f t="shared" si="887"/>
        <v>6.5621704543034481E-2</v>
      </c>
      <c r="EX299" s="456">
        <f t="shared" si="888"/>
        <v>5.4646909665595034E-4</v>
      </c>
      <c r="EY299" s="456">
        <f t="shared" si="889"/>
        <v>0.19596058643252523</v>
      </c>
      <c r="EZ299" s="456"/>
      <c r="FA299" s="538">
        <f t="shared" si="890"/>
        <v>1.1628141383392522E-3</v>
      </c>
      <c r="FB299" s="144">
        <f t="shared" si="891"/>
        <v>269.52563614214318</v>
      </c>
      <c r="FC299" s="150">
        <f t="shared" si="892"/>
        <v>1.7500401618845278</v>
      </c>
      <c r="FD299" s="5">
        <f t="shared" si="893"/>
        <v>6.64</v>
      </c>
      <c r="FE299" s="150">
        <f t="shared" si="894"/>
        <v>0.79141456678183009</v>
      </c>
      <c r="FF299" s="5">
        <f t="shared" si="895"/>
        <v>79.141456678183005</v>
      </c>
      <c r="FG299">
        <f t="shared" si="896"/>
        <v>83</v>
      </c>
      <c r="FI299" s="59">
        <f t="shared" si="846"/>
        <v>-50</v>
      </c>
    </row>
    <row r="300" spans="5:165">
      <c r="E300" s="147">
        <v>84</v>
      </c>
      <c r="F300" s="188">
        <f t="shared" si="847"/>
        <v>1.008</v>
      </c>
      <c r="G300" s="188">
        <f t="shared" si="775"/>
        <v>0.21</v>
      </c>
      <c r="H300" s="188">
        <f t="shared" si="776"/>
        <v>5.04</v>
      </c>
      <c r="I300" s="188">
        <f t="shared" si="777"/>
        <v>1.68</v>
      </c>
      <c r="J300" s="465">
        <f t="shared" si="778"/>
        <v>59.909617561540742</v>
      </c>
      <c r="K300" s="379">
        <f t="shared" si="779"/>
        <v>5.7343801019563108</v>
      </c>
      <c r="L300" s="149">
        <f t="shared" si="780"/>
        <v>65.643997663497046</v>
      </c>
      <c r="M300" s="379"/>
      <c r="N300" s="188">
        <f t="shared" si="781"/>
        <v>8.7355741668138129E-2</v>
      </c>
      <c r="O300" s="149">
        <f t="shared" si="782"/>
        <v>9.8127170158929466</v>
      </c>
      <c r="P300" s="149">
        <f t="shared" si="783"/>
        <v>4.3612075626190867</v>
      </c>
      <c r="Q300" s="188">
        <f t="shared" si="784"/>
        <v>1.9625434031785893</v>
      </c>
      <c r="R300" s="188">
        <f t="shared" si="785"/>
        <v>1.2265896269866183</v>
      </c>
      <c r="S300" s="188">
        <f t="shared" si="786"/>
        <v>5</v>
      </c>
      <c r="T300" s="188">
        <f t="shared" si="787"/>
        <v>2.5680960695376607</v>
      </c>
      <c r="U300" s="188">
        <f t="shared" si="788"/>
        <v>0.51439408376786477</v>
      </c>
      <c r="V300" s="188">
        <f t="shared" si="789"/>
        <v>5.374103614781049</v>
      </c>
      <c r="W300" s="172">
        <f t="shared" si="790"/>
        <v>350</v>
      </c>
      <c r="X300" s="379">
        <f t="shared" si="848"/>
        <v>164.24412876732012</v>
      </c>
      <c r="Z300" s="188">
        <f t="shared" si="791"/>
        <v>1.2460593036054533</v>
      </c>
      <c r="AA300" s="150">
        <f t="shared" si="792"/>
        <v>2.60755502380532</v>
      </c>
      <c r="AB300" s="150">
        <f t="shared" si="793"/>
        <v>0.42645332586619328</v>
      </c>
      <c r="AC300" s="150"/>
      <c r="AD300" s="150">
        <f t="shared" si="794"/>
        <v>2.092641189918008</v>
      </c>
      <c r="AE300" s="314">
        <f t="shared" si="795"/>
        <v>963.37585712866019</v>
      </c>
      <c r="AF300" s="456">
        <f t="shared" si="796"/>
        <v>0.36621220823565137</v>
      </c>
      <c r="AH300" s="150">
        <f t="shared" si="797"/>
        <v>1.7888543819998317</v>
      </c>
      <c r="AI300" s="150">
        <f t="shared" si="798"/>
        <v>2.5680960695376607</v>
      </c>
      <c r="AJ300" s="150">
        <f t="shared" si="799"/>
        <v>2.361552644101971</v>
      </c>
      <c r="AL300" s="314">
        <f t="shared" si="800"/>
        <v>1008</v>
      </c>
      <c r="AM300" s="144">
        <f t="shared" si="801"/>
        <v>164.24412876732012</v>
      </c>
      <c r="AO300">
        <f t="shared" si="802"/>
        <v>1008</v>
      </c>
      <c r="AP300">
        <f t="shared" si="803"/>
        <v>164.24412876732012</v>
      </c>
      <c r="AR300" s="5">
        <f t="shared" si="774"/>
        <v>6.0884976985489141</v>
      </c>
      <c r="AS300" s="5">
        <f t="shared" si="739"/>
        <v>0.51439408376786477</v>
      </c>
      <c r="AT300" s="5">
        <f t="shared" si="740"/>
        <v>5.5741036147810492</v>
      </c>
      <c r="AU300" s="150">
        <f t="shared" si="741"/>
        <v>8.4486208131516832E-2</v>
      </c>
      <c r="BA300" s="150">
        <f t="shared" si="849"/>
        <v>0.43096653512716765</v>
      </c>
      <c r="BB300" s="150">
        <f t="shared" si="850"/>
        <v>1.4186755512538485</v>
      </c>
      <c r="BC300" s="150">
        <f t="shared" si="851"/>
        <v>0.31711571145674261</v>
      </c>
      <c r="BD300" s="150"/>
      <c r="BE300" s="456">
        <f t="shared" si="852"/>
        <v>3.7146430879903248E-3</v>
      </c>
      <c r="BF300" s="456">
        <f t="shared" si="804"/>
        <v>0.51915544503452871</v>
      </c>
      <c r="BG300" s="456">
        <f t="shared" si="805"/>
        <v>0.24599507352946501</v>
      </c>
      <c r="BH300" s="456">
        <f t="shared" si="853"/>
        <v>7.0775003007264206E-2</v>
      </c>
      <c r="BI300">
        <f t="shared" si="854"/>
        <v>2.6959327902693331E-2</v>
      </c>
      <c r="BJ300" s="144">
        <f t="shared" si="855"/>
        <v>272.95440143215831</v>
      </c>
      <c r="BK300">
        <f t="shared" si="806"/>
        <v>0.59517334427969826</v>
      </c>
      <c r="BL300" s="144">
        <f t="shared" si="856"/>
        <v>866.59949256194159</v>
      </c>
      <c r="BM300" s="150">
        <f t="shared" si="807"/>
        <v>0.62622</v>
      </c>
      <c r="BN300" s="150">
        <f t="shared" si="808"/>
        <v>9.3187499999999993E-2</v>
      </c>
      <c r="BQ300" s="144">
        <f t="shared" si="857"/>
        <v>719.40750000000003</v>
      </c>
      <c r="BR300" s="456">
        <f t="shared" si="858"/>
        <v>5.5719646319854869E-3</v>
      </c>
      <c r="BS300" s="456">
        <f t="shared" si="859"/>
        <v>6.0379209591762323E-2</v>
      </c>
      <c r="BT300" s="456">
        <f t="shared" si="860"/>
        <v>5.0281187226358019E-4</v>
      </c>
      <c r="BU300" s="456">
        <f t="shared" si="861"/>
        <v>0.18269337726011045</v>
      </c>
      <c r="BV300" s="456"/>
      <c r="BW300" s="538">
        <f t="shared" si="862"/>
        <v>1.0832093151561201E-3</v>
      </c>
      <c r="BX300" s="144">
        <f t="shared" si="863"/>
        <v>250.23057267127797</v>
      </c>
      <c r="BY300" s="150">
        <f t="shared" si="864"/>
        <v>1.8362375652332195</v>
      </c>
      <c r="BZ300" s="5">
        <f t="shared" si="865"/>
        <v>6.72</v>
      </c>
      <c r="CA300" s="150">
        <f t="shared" si="866"/>
        <v>0.78539193760883275</v>
      </c>
      <c r="CB300" s="5">
        <f t="shared" si="867"/>
        <v>78.539193760883279</v>
      </c>
      <c r="CC300">
        <f t="shared" si="868"/>
        <v>84.000000000000014</v>
      </c>
      <c r="CE300" s="59">
        <f t="shared" si="809"/>
        <v>-50</v>
      </c>
      <c r="CG300" s="150">
        <f t="shared" si="810"/>
        <v>0.87957854338036034</v>
      </c>
      <c r="CH300" s="150">
        <f t="shared" si="811"/>
        <v>0.47330172420499933</v>
      </c>
      <c r="CI300" s="147">
        <v>84</v>
      </c>
      <c r="CJ300" s="188">
        <f t="shared" si="869"/>
        <v>1.008</v>
      </c>
      <c r="CK300" s="188">
        <f t="shared" si="812"/>
        <v>0.21</v>
      </c>
      <c r="CL300" s="188">
        <f t="shared" si="813"/>
        <v>5.04</v>
      </c>
      <c r="CM300" s="188">
        <f t="shared" si="814"/>
        <v>1.68</v>
      </c>
      <c r="CN300" s="465">
        <f t="shared" si="815"/>
        <v>60</v>
      </c>
      <c r="CO300" s="379">
        <f t="shared" si="816"/>
        <v>5.7</v>
      </c>
      <c r="CP300" s="379">
        <f t="shared" si="817"/>
        <v>65.7</v>
      </c>
      <c r="CQ300" s="379"/>
      <c r="CR300" s="188">
        <f t="shared" si="818"/>
        <v>8.2568807339449546E-2</v>
      </c>
      <c r="CS300" s="149">
        <f t="shared" si="819"/>
        <v>9.2889908256880744</v>
      </c>
      <c r="CT300" s="149">
        <f t="shared" si="820"/>
        <v>4.1284403669724767</v>
      </c>
      <c r="CU300" s="188">
        <f t="shared" si="821"/>
        <v>1.857798165137615</v>
      </c>
      <c r="CV300" s="188">
        <f t="shared" si="822"/>
        <v>1.1611238532110093</v>
      </c>
      <c r="CW300" s="188">
        <f t="shared" si="823"/>
        <v>5</v>
      </c>
      <c r="CX300" s="188">
        <f t="shared" si="824"/>
        <v>2.7128888888888887</v>
      </c>
      <c r="CY300" s="188">
        <f t="shared" si="825"/>
        <v>0.54257777777777771</v>
      </c>
      <c r="CZ300" s="188">
        <f t="shared" si="826"/>
        <v>5.7113450292397649</v>
      </c>
      <c r="DA300" s="172">
        <f t="shared" si="827"/>
        <v>350</v>
      </c>
      <c r="DB300" s="379">
        <f t="shared" si="828"/>
        <v>159.8996391317618</v>
      </c>
      <c r="DD300" s="188">
        <f t="shared" si="829"/>
        <v>1.2393998695368558</v>
      </c>
      <c r="DE300" s="150">
        <f t="shared" si="830"/>
        <v>2.6092628832354858</v>
      </c>
      <c r="DF300" s="150">
        <f t="shared" si="831"/>
        <v>0.4244520101153616</v>
      </c>
      <c r="DG300" s="150"/>
      <c r="DH300" s="150">
        <f t="shared" si="832"/>
        <v>2.1052631578947367</v>
      </c>
      <c r="DI300" s="314">
        <f t="shared" si="833"/>
        <v>957.6</v>
      </c>
      <c r="DJ300" s="456">
        <f t="shared" si="834"/>
        <v>0.36842105263157893</v>
      </c>
      <c r="DL300" s="150">
        <f t="shared" si="835"/>
        <v>1.7888543819998317</v>
      </c>
      <c r="DM300" s="150">
        <f t="shared" si="836"/>
        <v>2.7128888888888887</v>
      </c>
      <c r="DN300" s="150">
        <f t="shared" si="837"/>
        <v>2.4688065843621398</v>
      </c>
      <c r="DP300" s="314">
        <f t="shared" si="838"/>
        <v>1008</v>
      </c>
      <c r="DQ300" s="144">
        <f t="shared" si="839"/>
        <v>159.8996391317618</v>
      </c>
      <c r="DS300">
        <f t="shared" si="840"/>
        <v>1008</v>
      </c>
      <c r="DT300">
        <f t="shared" si="841"/>
        <v>159.8996391317618</v>
      </c>
      <c r="DV300" s="5">
        <f t="shared" si="870"/>
        <v>6.2539228070175437</v>
      </c>
      <c r="DW300" s="5">
        <f t="shared" si="842"/>
        <v>0.54257777777777771</v>
      </c>
      <c r="DX300" s="5">
        <f t="shared" si="843"/>
        <v>5.7113450292397658</v>
      </c>
      <c r="DY300" s="150">
        <f t="shared" si="844"/>
        <v>8.6757990867579904E-2</v>
      </c>
      <c r="EA300" s="5">
        <f t="shared" si="871"/>
        <v>10.938367999999999</v>
      </c>
      <c r="EB300" s="5">
        <f t="shared" si="872"/>
        <v>1.4242666666666663</v>
      </c>
      <c r="EC300" s="5">
        <f t="shared" si="873"/>
        <v>0.19989707602339177</v>
      </c>
      <c r="ED300" s="5"/>
      <c r="EE300" s="150">
        <f t="shared" si="874"/>
        <v>0.46134532334842487</v>
      </c>
      <c r="EF300" s="150">
        <f t="shared" si="875"/>
        <v>1.4968018797122531</v>
      </c>
      <c r="EG300" s="150">
        <f t="shared" si="876"/>
        <v>0.33457924370038594</v>
      </c>
      <c r="EH300" s="150"/>
      <c r="EI300" s="456">
        <f t="shared" si="877"/>
        <v>4.2567901475092538E-3</v>
      </c>
      <c r="EJ300" s="456">
        <f t="shared" si="878"/>
        <v>0.57000000000000006</v>
      </c>
      <c r="EK300" s="456">
        <f t="shared" si="879"/>
        <v>1.9987454891470226E-2</v>
      </c>
      <c r="EL300" s="456">
        <f t="shared" si="880"/>
        <v>6.9020519331585872E-2</v>
      </c>
      <c r="EM300">
        <f t="shared" si="881"/>
        <v>2.7E-2</v>
      </c>
      <c r="EN300" s="144">
        <f t="shared" si="882"/>
        <v>46.987454891470229</v>
      </c>
      <c r="EP300" s="144">
        <f t="shared" si="883"/>
        <v>690.26476437056533</v>
      </c>
      <c r="EQ300" s="150">
        <f t="shared" si="884"/>
        <v>0.7056</v>
      </c>
      <c r="ER300" s="150">
        <f t="shared" si="845"/>
        <v>9.3187499999999993E-2</v>
      </c>
      <c r="ES300" s="456"/>
      <c r="EU300" s="144">
        <f t="shared" si="885"/>
        <v>798.78750000000002</v>
      </c>
      <c r="EV300" s="456">
        <f t="shared" si="886"/>
        <v>6.3851852212638812E-3</v>
      </c>
      <c r="EW300" s="456">
        <f t="shared" si="887"/>
        <v>6.7212476013304018E-2</v>
      </c>
      <c r="EX300" s="456">
        <f t="shared" si="888"/>
        <v>5.5971635157561121E-4</v>
      </c>
      <c r="EY300" s="456">
        <f t="shared" si="889"/>
        <v>0.19596058643252576</v>
      </c>
      <c r="EZ300" s="456"/>
      <c r="FA300" s="538">
        <f t="shared" si="890"/>
        <v>1.1768239472349062E-3</v>
      </c>
      <c r="FB300" s="144">
        <f t="shared" si="891"/>
        <v>271.29478796590416</v>
      </c>
      <c r="FC300" s="150">
        <f t="shared" si="892"/>
        <v>1.7603470523364697</v>
      </c>
      <c r="FD300" s="5">
        <f t="shared" si="893"/>
        <v>6.72</v>
      </c>
      <c r="FE300" s="150">
        <f t="shared" si="894"/>
        <v>0.79242039960481736</v>
      </c>
      <c r="FF300" s="5">
        <f t="shared" si="895"/>
        <v>79.242039960481733</v>
      </c>
      <c r="FG300">
        <f t="shared" si="896"/>
        <v>84.000000000000014</v>
      </c>
      <c r="FI300" s="59">
        <f t="shared" si="846"/>
        <v>-50</v>
      </c>
    </row>
    <row r="301" spans="5:165">
      <c r="E301" s="147">
        <v>85</v>
      </c>
      <c r="F301" s="188">
        <f t="shared" si="847"/>
        <v>1.02</v>
      </c>
      <c r="G301" s="188">
        <f t="shared" si="775"/>
        <v>0.21249999999999999</v>
      </c>
      <c r="H301" s="188">
        <f t="shared" si="776"/>
        <v>5.0999999999999996</v>
      </c>
      <c r="I301" s="188">
        <f t="shared" si="777"/>
        <v>1.7</v>
      </c>
      <c r="J301" s="465">
        <f t="shared" si="778"/>
        <v>59.908541580130517</v>
      </c>
      <c r="K301" s="379">
        <f t="shared" si="779"/>
        <v>5.7347893888843622</v>
      </c>
      <c r="L301" s="149">
        <f t="shared" si="780"/>
        <v>65.643330969014883</v>
      </c>
      <c r="M301" s="379"/>
      <c r="N301" s="188">
        <f t="shared" si="781"/>
        <v>8.7362863892316969E-2</v>
      </c>
      <c r="O301" s="149">
        <f t="shared" si="782"/>
        <v>9.8133408075977897</v>
      </c>
      <c r="P301" s="149">
        <f t="shared" si="783"/>
        <v>4.3614848033767952</v>
      </c>
      <c r="Q301" s="188">
        <f t="shared" si="784"/>
        <v>1.962668161519558</v>
      </c>
      <c r="R301" s="188">
        <f t="shared" si="785"/>
        <v>1.2266676009497237</v>
      </c>
      <c r="S301" s="188">
        <f t="shared" si="786"/>
        <v>5</v>
      </c>
      <c r="T301" s="188">
        <f t="shared" si="787"/>
        <v>2.5985034556485713</v>
      </c>
      <c r="U301" s="188">
        <f t="shared" si="788"/>
        <v>0.52049408390413576</v>
      </c>
      <c r="V301" s="188">
        <f t="shared" si="789"/>
        <v>5.4373472769937186</v>
      </c>
      <c r="W301" s="172">
        <f t="shared" si="790"/>
        <v>350</v>
      </c>
      <c r="X301" s="379">
        <f t="shared" si="848"/>
        <v>162.39457001116918</v>
      </c>
      <c r="Z301" s="188">
        <f t="shared" si="791"/>
        <v>1.2461385152505127</v>
      </c>
      <c r="AA301" s="150">
        <f t="shared" si="792"/>
        <v>2.6075346745933801</v>
      </c>
      <c r="AB301" s="150">
        <f t="shared" si="793"/>
        <v>0.42647710715689063</v>
      </c>
      <c r="AC301" s="150"/>
      <c r="AD301" s="150">
        <f t="shared" si="794"/>
        <v>2.0924918399373795</v>
      </c>
      <c r="AE301" s="314">
        <f t="shared" si="795"/>
        <v>974.91419611034155</v>
      </c>
      <c r="AF301" s="456">
        <f t="shared" si="796"/>
        <v>0.36618607198904141</v>
      </c>
      <c r="AH301" s="150">
        <f t="shared" si="797"/>
        <v>1.7994708216848745</v>
      </c>
      <c r="AI301" s="150">
        <f t="shared" si="798"/>
        <v>2.5985034556485713</v>
      </c>
      <c r="AJ301" s="150">
        <f t="shared" si="799"/>
        <v>2.3840766338137565</v>
      </c>
      <c r="AL301" s="314">
        <f t="shared" si="800"/>
        <v>1020</v>
      </c>
      <c r="AM301" s="144">
        <f t="shared" si="801"/>
        <v>162.39457001116918</v>
      </c>
      <c r="AO301">
        <f t="shared" si="802"/>
        <v>1020</v>
      </c>
      <c r="AP301">
        <f t="shared" si="803"/>
        <v>162.39457001116918</v>
      </c>
      <c r="AR301" s="5">
        <f t="shared" si="774"/>
        <v>6.1578413608978551</v>
      </c>
      <c r="AS301" s="5">
        <f t="shared" si="739"/>
        <v>0.52049408390413576</v>
      </c>
      <c r="AT301" s="5">
        <f t="shared" si="740"/>
        <v>5.6373472769937196</v>
      </c>
      <c r="AU301" s="150">
        <f t="shared" si="741"/>
        <v>8.4525412948969536E-2</v>
      </c>
      <c r="BA301" s="150">
        <f t="shared" si="849"/>
        <v>0.43617053296831321</v>
      </c>
      <c r="BB301" s="150">
        <f t="shared" si="850"/>
        <v>1.4354425574862477</v>
      </c>
      <c r="BC301" s="150">
        <f t="shared" si="851"/>
        <v>0.32086363049692596</v>
      </c>
      <c r="BD301" s="150"/>
      <c r="BE301" s="456">
        <f t="shared" si="852"/>
        <v>3.8048946765972479E-3</v>
      </c>
      <c r="BF301" s="456">
        <f t="shared" si="804"/>
        <v>0.51938174952349636</v>
      </c>
      <c r="BG301" s="456">
        <f t="shared" si="805"/>
        <v>0.24322054624753861</v>
      </c>
      <c r="BH301" s="456">
        <f t="shared" si="853"/>
        <v>6.9976581859837655E-2</v>
      </c>
      <c r="BI301">
        <f t="shared" si="854"/>
        <v>2.6958843711058732E-2</v>
      </c>
      <c r="BJ301" s="144">
        <f t="shared" si="855"/>
        <v>270.17938995859737</v>
      </c>
      <c r="BK301">
        <f t="shared" si="806"/>
        <v>0.59472820748071475</v>
      </c>
      <c r="BL301" s="144">
        <f t="shared" si="856"/>
        <v>863.3426160185287</v>
      </c>
      <c r="BM301" s="150">
        <f t="shared" si="807"/>
        <v>0.63367499999999999</v>
      </c>
      <c r="BN301" s="150">
        <f t="shared" si="808"/>
        <v>9.4296874999999988E-2</v>
      </c>
      <c r="BQ301" s="144">
        <f t="shared" si="857"/>
        <v>727.97187499999995</v>
      </c>
      <c r="BR301" s="456">
        <f t="shared" si="858"/>
        <v>5.7073420148958717E-3</v>
      </c>
      <c r="BS301" s="456">
        <f t="shared" si="859"/>
        <v>6.1814860075279782E-2</v>
      </c>
      <c r="BT301" s="456">
        <f t="shared" si="860"/>
        <v>5.1476734687833916E-4</v>
      </c>
      <c r="BU301" s="456">
        <f t="shared" si="861"/>
        <v>0.18289718035847047</v>
      </c>
      <c r="BV301" s="456"/>
      <c r="BW301" s="538">
        <f t="shared" si="862"/>
        <v>1.0965238974641345E-3</v>
      </c>
      <c r="BX301" s="144">
        <f t="shared" si="863"/>
        <v>252.03067369298859</v>
      </c>
      <c r="BY301" s="150">
        <f t="shared" si="864"/>
        <v>1.8433451647115171</v>
      </c>
      <c r="BZ301" s="5">
        <f t="shared" si="865"/>
        <v>6.8</v>
      </c>
      <c r="CA301" s="150">
        <f t="shared" si="866"/>
        <v>0.78673243639078461</v>
      </c>
      <c r="CB301" s="5">
        <f t="shared" si="867"/>
        <v>78.673243639078464</v>
      </c>
      <c r="CC301">
        <f t="shared" si="868"/>
        <v>85.000000000000014</v>
      </c>
      <c r="CE301" s="59">
        <f t="shared" si="809"/>
        <v>-50</v>
      </c>
      <c r="CG301" s="150">
        <f t="shared" si="810"/>
        <v>0.87957854338036012</v>
      </c>
      <c r="CH301" s="150">
        <f t="shared" si="811"/>
        <v>0.47330172420499927</v>
      </c>
      <c r="CI301" s="147">
        <v>85</v>
      </c>
      <c r="CJ301" s="188">
        <f t="shared" si="869"/>
        <v>1.02</v>
      </c>
      <c r="CK301" s="188">
        <f t="shared" si="812"/>
        <v>0.21249999999999999</v>
      </c>
      <c r="CL301" s="188">
        <f t="shared" si="813"/>
        <v>5.0999999999999996</v>
      </c>
      <c r="CM301" s="188">
        <f t="shared" si="814"/>
        <v>1.7</v>
      </c>
      <c r="CN301" s="465">
        <f t="shared" si="815"/>
        <v>60</v>
      </c>
      <c r="CO301" s="379">
        <f t="shared" si="816"/>
        <v>5.7</v>
      </c>
      <c r="CP301" s="379">
        <f t="shared" si="817"/>
        <v>65.7</v>
      </c>
      <c r="CQ301" s="379"/>
      <c r="CR301" s="188">
        <f t="shared" si="818"/>
        <v>8.2568807339449546E-2</v>
      </c>
      <c r="CS301" s="149">
        <f t="shared" si="819"/>
        <v>9.2889908256880744</v>
      </c>
      <c r="CT301" s="149">
        <f t="shared" si="820"/>
        <v>4.1284403669724767</v>
      </c>
      <c r="CU301" s="188">
        <f t="shared" si="821"/>
        <v>1.857798165137615</v>
      </c>
      <c r="CV301" s="188">
        <f t="shared" si="822"/>
        <v>1.1611238532110093</v>
      </c>
      <c r="CW301" s="188">
        <f t="shared" si="823"/>
        <v>5</v>
      </c>
      <c r="CX301" s="188">
        <f t="shared" si="824"/>
        <v>2.7451851851851847</v>
      </c>
      <c r="CY301" s="188">
        <f t="shared" si="825"/>
        <v>0.54903703703703688</v>
      </c>
      <c r="CZ301" s="188">
        <f t="shared" si="826"/>
        <v>5.7793372319688103</v>
      </c>
      <c r="DA301" s="172">
        <f t="shared" si="827"/>
        <v>350</v>
      </c>
      <c r="DB301" s="379">
        <f t="shared" si="828"/>
        <v>158.01846690668225</v>
      </c>
      <c r="DD301" s="188">
        <f t="shared" si="829"/>
        <v>1.2393998695368558</v>
      </c>
      <c r="DE301" s="150">
        <f t="shared" si="830"/>
        <v>2.6092628832354858</v>
      </c>
      <c r="DF301" s="150">
        <f t="shared" si="831"/>
        <v>0.4244520101153616</v>
      </c>
      <c r="DG301" s="150"/>
      <c r="DH301" s="150">
        <f t="shared" si="832"/>
        <v>2.1052631578947367</v>
      </c>
      <c r="DI301" s="314">
        <f t="shared" si="833"/>
        <v>969.00000000000011</v>
      </c>
      <c r="DJ301" s="456">
        <f t="shared" si="834"/>
        <v>0.36842105263157893</v>
      </c>
      <c r="DL301" s="150">
        <f t="shared" si="835"/>
        <v>1.7994708216848745</v>
      </c>
      <c r="DM301" s="150">
        <f t="shared" si="836"/>
        <v>2.7451851851851847</v>
      </c>
      <c r="DN301" s="150">
        <f t="shared" si="837"/>
        <v>2.4927297668038406</v>
      </c>
      <c r="DP301" s="314">
        <f t="shared" si="838"/>
        <v>1020</v>
      </c>
      <c r="DQ301" s="144">
        <f t="shared" si="839"/>
        <v>158.01846690668225</v>
      </c>
      <c r="DS301">
        <f t="shared" si="840"/>
        <v>1020</v>
      </c>
      <c r="DT301">
        <f t="shared" si="841"/>
        <v>158.01846690668225</v>
      </c>
      <c r="DV301" s="5">
        <f t="shared" si="870"/>
        <v>6.3283742690058471</v>
      </c>
      <c r="DW301" s="5">
        <f t="shared" si="842"/>
        <v>0.54903703703703688</v>
      </c>
      <c r="DX301" s="5">
        <f t="shared" si="843"/>
        <v>5.7793372319688103</v>
      </c>
      <c r="DY301" s="150">
        <f t="shared" si="844"/>
        <v>8.675799086757989E-2</v>
      </c>
      <c r="EA301" s="5">
        <f t="shared" si="871"/>
        <v>11.200355555555552</v>
      </c>
      <c r="EB301" s="5">
        <f t="shared" si="872"/>
        <v>1.4583796296296292</v>
      </c>
      <c r="EC301" s="5">
        <f t="shared" si="873"/>
        <v>0.20468486029889532</v>
      </c>
      <c r="ED301" s="5"/>
      <c r="EE301" s="150">
        <f t="shared" si="874"/>
        <v>0.46683752957876312</v>
      </c>
      <c r="EF301" s="150">
        <f t="shared" si="875"/>
        <v>1.5146209497088272</v>
      </c>
      <c r="EG301" s="150">
        <f t="shared" si="876"/>
        <v>0.33856232993491436</v>
      </c>
      <c r="EH301" s="150"/>
      <c r="EI301" s="456">
        <f t="shared" si="877"/>
        <v>4.3587455804640508E-3</v>
      </c>
      <c r="EJ301" s="456">
        <f t="shared" si="878"/>
        <v>0.56999999999999995</v>
      </c>
      <c r="EK301" s="456">
        <f t="shared" si="879"/>
        <v>1.9752308363335278E-2</v>
      </c>
      <c r="EL301" s="456">
        <f t="shared" si="880"/>
        <v>6.8208513221802505E-2</v>
      </c>
      <c r="EM301">
        <f t="shared" si="881"/>
        <v>2.7E-2</v>
      </c>
      <c r="EN301" s="144">
        <f t="shared" si="882"/>
        <v>46.752308363335281</v>
      </c>
      <c r="EP301" s="144">
        <f t="shared" si="883"/>
        <v>689.31956716560182</v>
      </c>
      <c r="EQ301" s="150">
        <f t="shared" si="884"/>
        <v>0.71399999999999997</v>
      </c>
      <c r="ER301" s="150">
        <f t="shared" si="845"/>
        <v>9.4296874999999988E-2</v>
      </c>
      <c r="ES301" s="456"/>
      <c r="EU301" s="144">
        <f t="shared" si="885"/>
        <v>808.29687499999989</v>
      </c>
      <c r="EV301" s="456">
        <f t="shared" si="886"/>
        <v>6.5381183706960761E-3</v>
      </c>
      <c r="EW301" s="456">
        <f t="shared" si="887"/>
        <v>6.8822298638906085E-2</v>
      </c>
      <c r="EX301" s="456">
        <f t="shared" si="888"/>
        <v>5.7312225625478911E-4</v>
      </c>
      <c r="EY301" s="456">
        <f t="shared" si="889"/>
        <v>0.19596058643252526</v>
      </c>
      <c r="EZ301" s="456"/>
      <c r="FA301" s="538">
        <f t="shared" si="890"/>
        <v>1.1908337561305597E-3</v>
      </c>
      <c r="FB301" s="144">
        <f t="shared" si="891"/>
        <v>273.08495945451278</v>
      </c>
      <c r="FC301" s="150">
        <f t="shared" si="892"/>
        <v>1.7707014016201146</v>
      </c>
      <c r="FD301" s="5">
        <f t="shared" si="893"/>
        <v>6.8</v>
      </c>
      <c r="FE301" s="150">
        <f t="shared" si="894"/>
        <v>0.7934006426492235</v>
      </c>
      <c r="FF301" s="5">
        <f t="shared" si="895"/>
        <v>79.340064264922347</v>
      </c>
      <c r="FG301">
        <f t="shared" si="896"/>
        <v>85.000000000000014</v>
      </c>
      <c r="FI301" s="59">
        <f t="shared" si="846"/>
        <v>-50</v>
      </c>
    </row>
    <row r="302" spans="5:165">
      <c r="E302" s="147">
        <v>86</v>
      </c>
      <c r="F302" s="188">
        <f t="shared" si="847"/>
        <v>1.032</v>
      </c>
      <c r="G302" s="188">
        <f t="shared" si="775"/>
        <v>0.215</v>
      </c>
      <c r="H302" s="188">
        <f t="shared" si="776"/>
        <v>5.16</v>
      </c>
      <c r="I302" s="188">
        <f t="shared" si="777"/>
        <v>1.72</v>
      </c>
      <c r="J302" s="465">
        <f t="shared" si="778"/>
        <v>59.907465598720286</v>
      </c>
      <c r="K302" s="379">
        <f t="shared" si="779"/>
        <v>5.7351986758124136</v>
      </c>
      <c r="L302" s="149">
        <f t="shared" si="780"/>
        <v>65.642664274532706</v>
      </c>
      <c r="M302" s="379"/>
      <c r="N302" s="188">
        <f t="shared" si="781"/>
        <v>8.7369986261168417E-2</v>
      </c>
      <c r="O302" s="149">
        <f t="shared" si="782"/>
        <v>9.8139645868155192</v>
      </c>
      <c r="P302" s="149">
        <f t="shared" si="783"/>
        <v>4.3617620385846756</v>
      </c>
      <c r="Q302" s="188">
        <f t="shared" si="784"/>
        <v>1.9627929173631038</v>
      </c>
      <c r="R302" s="188">
        <f t="shared" si="785"/>
        <v>1.2267455733519399</v>
      </c>
      <c r="S302" s="188">
        <f t="shared" si="786"/>
        <v>5</v>
      </c>
      <c r="T302" s="188">
        <f t="shared" si="787"/>
        <v>2.6289069796176738</v>
      </c>
      <c r="U302" s="188">
        <f t="shared" si="788"/>
        <v>0.52659352953976357</v>
      </c>
      <c r="V302" s="188">
        <f t="shared" si="789"/>
        <v>5.500573831636852</v>
      </c>
      <c r="W302" s="172">
        <f t="shared" si="790"/>
        <v>350</v>
      </c>
      <c r="X302" s="379">
        <f t="shared" si="848"/>
        <v>160.58665874864991</v>
      </c>
      <c r="Z302" s="188">
        <f t="shared" si="791"/>
        <v>1.2462177253099074</v>
      </c>
      <c r="AA302" s="150">
        <f t="shared" si="792"/>
        <v>2.6075143249680899</v>
      </c>
      <c r="AB302" s="150">
        <f t="shared" si="793"/>
        <v>0.42650088741418346</v>
      </c>
      <c r="AC302" s="150"/>
      <c r="AD302" s="150">
        <f t="shared" si="794"/>
        <v>2.0923425112731868</v>
      </c>
      <c r="AE302" s="314">
        <f t="shared" si="795"/>
        <v>986.45417223973516</v>
      </c>
      <c r="AF302" s="456">
        <f t="shared" si="796"/>
        <v>0.36615993947280767</v>
      </c>
      <c r="AH302" s="150">
        <f t="shared" si="797"/>
        <v>1.8100249932502248</v>
      </c>
      <c r="AI302" s="150">
        <f t="shared" si="798"/>
        <v>2.6289069796176738</v>
      </c>
      <c r="AJ302" s="150">
        <f t="shared" si="799"/>
        <v>2.4065977626797581</v>
      </c>
      <c r="AL302" s="314">
        <f t="shared" si="800"/>
        <v>1032</v>
      </c>
      <c r="AM302" s="144">
        <f t="shared" si="801"/>
        <v>160.58665874864991</v>
      </c>
      <c r="AO302">
        <f t="shared" si="802"/>
        <v>1032</v>
      </c>
      <c r="AP302">
        <f t="shared" si="803"/>
        <v>160.58665874864991</v>
      </c>
      <c r="AR302" s="5">
        <f t="shared" si="774"/>
        <v>6.2271673611766163</v>
      </c>
      <c r="AS302" s="5">
        <f t="shared" si="739"/>
        <v>0.52659352953976357</v>
      </c>
      <c r="AT302" s="5">
        <f t="shared" si="740"/>
        <v>5.7005738316368531</v>
      </c>
      <c r="AU302" s="150">
        <f t="shared" si="741"/>
        <v>8.4563895427449104E-2</v>
      </c>
      <c r="BA302" s="150">
        <f t="shared" si="849"/>
        <v>0.4413743411918305</v>
      </c>
      <c r="BB302" s="150">
        <f t="shared" si="850"/>
        <v>1.452207283218085</v>
      </c>
      <c r="BC302" s="150">
        <f t="shared" si="851"/>
        <v>0.32461103977816019</v>
      </c>
      <c r="BD302" s="150"/>
      <c r="BE302" s="456">
        <f t="shared" si="852"/>
        <v>3.8962261812504478E-3</v>
      </c>
      <c r="BF302" s="456">
        <f t="shared" si="804"/>
        <v>0.51960360223704949</v>
      </c>
      <c r="BG302" s="456">
        <f t="shared" si="805"/>
        <v>0.24050849336495445</v>
      </c>
      <c r="BH302" s="456">
        <f t="shared" si="853"/>
        <v>6.9196138840322413E-2</v>
      </c>
      <c r="BI302">
        <f t="shared" si="854"/>
        <v>2.6958359519424126E-2</v>
      </c>
      <c r="BJ302" s="144">
        <f t="shared" si="855"/>
        <v>267.46685288437857</v>
      </c>
      <c r="BK302">
        <f t="shared" si="806"/>
        <v>0.59429811585067849</v>
      </c>
      <c r="BL302" s="144">
        <f t="shared" si="856"/>
        <v>860.16282014300077</v>
      </c>
      <c r="BM302" s="150">
        <f t="shared" si="807"/>
        <v>0.64112999999999987</v>
      </c>
      <c r="BN302" s="150">
        <f t="shared" si="808"/>
        <v>9.5406249999999998E-2</v>
      </c>
      <c r="BQ302" s="144">
        <f t="shared" si="857"/>
        <v>736.53624999999988</v>
      </c>
      <c r="BR302" s="456">
        <f t="shared" si="858"/>
        <v>5.8443392718756718E-3</v>
      </c>
      <c r="BS302" s="456">
        <f t="shared" si="859"/>
        <v>6.3267179802949533E-2</v>
      </c>
      <c r="BT302" s="456">
        <f t="shared" si="860"/>
        <v>5.2686163572929147E-4</v>
      </c>
      <c r="BU302" s="456">
        <f t="shared" si="861"/>
        <v>0.18309720214973207</v>
      </c>
      <c r="BV302" s="456"/>
      <c r="BW302" s="538">
        <f t="shared" si="862"/>
        <v>1.1098387929269764E-3</v>
      </c>
      <c r="BX302" s="144">
        <f t="shared" si="863"/>
        <v>253.84542165321355</v>
      </c>
      <c r="BY302" s="150">
        <f t="shared" si="864"/>
        <v>1.8505444917962142</v>
      </c>
      <c r="BZ302" s="5">
        <f t="shared" si="865"/>
        <v>6.88</v>
      </c>
      <c r="CA302" s="150">
        <f t="shared" si="866"/>
        <v>0.78803790605097923</v>
      </c>
      <c r="CB302" s="5">
        <f t="shared" si="867"/>
        <v>78.80379060509793</v>
      </c>
      <c r="CC302">
        <f t="shared" si="868"/>
        <v>86.000000000000014</v>
      </c>
      <c r="CE302" s="59">
        <f t="shared" si="809"/>
        <v>-50</v>
      </c>
      <c r="CG302" s="150">
        <f t="shared" si="810"/>
        <v>0.87957854338036034</v>
      </c>
      <c r="CH302" s="150">
        <f t="shared" si="811"/>
        <v>0.47330172420499939</v>
      </c>
      <c r="CI302" s="147">
        <v>86</v>
      </c>
      <c r="CJ302" s="188">
        <f t="shared" si="869"/>
        <v>1.032</v>
      </c>
      <c r="CK302" s="188">
        <f t="shared" si="812"/>
        <v>0.215</v>
      </c>
      <c r="CL302" s="188">
        <f t="shared" si="813"/>
        <v>5.16</v>
      </c>
      <c r="CM302" s="188">
        <f t="shared" si="814"/>
        <v>1.72</v>
      </c>
      <c r="CN302" s="465">
        <f t="shared" si="815"/>
        <v>60</v>
      </c>
      <c r="CO302" s="379">
        <f t="shared" si="816"/>
        <v>5.7</v>
      </c>
      <c r="CP302" s="379">
        <f t="shared" si="817"/>
        <v>65.7</v>
      </c>
      <c r="CQ302" s="379"/>
      <c r="CR302" s="188">
        <f t="shared" si="818"/>
        <v>8.2568807339449546E-2</v>
      </c>
      <c r="CS302" s="149">
        <f t="shared" si="819"/>
        <v>9.2889908256880744</v>
      </c>
      <c r="CT302" s="149">
        <f t="shared" si="820"/>
        <v>4.1284403669724767</v>
      </c>
      <c r="CU302" s="188">
        <f t="shared" si="821"/>
        <v>1.857798165137615</v>
      </c>
      <c r="CV302" s="188">
        <f t="shared" si="822"/>
        <v>1.1611238532110093</v>
      </c>
      <c r="CW302" s="188">
        <f t="shared" si="823"/>
        <v>5</v>
      </c>
      <c r="CX302" s="188">
        <f t="shared" si="824"/>
        <v>2.7774814814814812</v>
      </c>
      <c r="CY302" s="188">
        <f t="shared" si="825"/>
        <v>0.55549629629629627</v>
      </c>
      <c r="CZ302" s="188">
        <f t="shared" si="826"/>
        <v>5.8473294346978548</v>
      </c>
      <c r="DA302" s="172">
        <f t="shared" si="827"/>
        <v>350</v>
      </c>
      <c r="DB302" s="379">
        <f t="shared" si="828"/>
        <v>156.18104287288361</v>
      </c>
      <c r="DD302" s="188">
        <f t="shared" si="829"/>
        <v>1.2393998695368558</v>
      </c>
      <c r="DE302" s="150">
        <f t="shared" si="830"/>
        <v>2.6092628832354858</v>
      </c>
      <c r="DF302" s="150">
        <f t="shared" si="831"/>
        <v>0.4244520101153616</v>
      </c>
      <c r="DG302" s="150"/>
      <c r="DH302" s="150">
        <f t="shared" si="832"/>
        <v>2.1052631578947367</v>
      </c>
      <c r="DI302" s="314">
        <f t="shared" si="833"/>
        <v>980.40000000000009</v>
      </c>
      <c r="DJ302" s="456">
        <f t="shared" si="834"/>
        <v>0.36842105263157893</v>
      </c>
      <c r="DL302" s="150">
        <f t="shared" si="835"/>
        <v>1.8100249932502248</v>
      </c>
      <c r="DM302" s="150">
        <f t="shared" si="836"/>
        <v>2.7774814814814812</v>
      </c>
      <c r="DN302" s="150">
        <f t="shared" si="837"/>
        <v>2.5166529492455414</v>
      </c>
      <c r="DP302" s="314">
        <f t="shared" si="838"/>
        <v>1032</v>
      </c>
      <c r="DQ302" s="144">
        <f t="shared" si="839"/>
        <v>156.18104287288361</v>
      </c>
      <c r="DS302">
        <f t="shared" si="840"/>
        <v>1032</v>
      </c>
      <c r="DT302">
        <f t="shared" si="841"/>
        <v>156.18104287288361</v>
      </c>
      <c r="DV302" s="5">
        <f t="shared" si="870"/>
        <v>6.4028257309941523</v>
      </c>
      <c r="DW302" s="5">
        <f t="shared" si="842"/>
        <v>0.55549629629629627</v>
      </c>
      <c r="DX302" s="5">
        <f t="shared" si="843"/>
        <v>5.8473294346978557</v>
      </c>
      <c r="DY302" s="150">
        <f t="shared" si="844"/>
        <v>8.6757990867579904E-2</v>
      </c>
      <c r="EA302" s="5">
        <f t="shared" si="871"/>
        <v>11.465443555555556</v>
      </c>
      <c r="EB302" s="5">
        <f t="shared" si="872"/>
        <v>1.4928962962962962</v>
      </c>
      <c r="EC302" s="5">
        <f t="shared" si="873"/>
        <v>0.20952930474333981</v>
      </c>
      <c r="ED302" s="5"/>
      <c r="EE302" s="150">
        <f t="shared" si="874"/>
        <v>0.47232973580910165</v>
      </c>
      <c r="EF302" s="150">
        <f t="shared" si="875"/>
        <v>1.5324400197054018</v>
      </c>
      <c r="EG302" s="150">
        <f t="shared" si="876"/>
        <v>0.34254541616944278</v>
      </c>
      <c r="EH302" s="150"/>
      <c r="EI302" s="456">
        <f t="shared" si="877"/>
        <v>4.4619075865899149E-3</v>
      </c>
      <c r="EJ302" s="456">
        <f t="shared" si="878"/>
        <v>0.56999999999999995</v>
      </c>
      <c r="EK302" s="456">
        <f t="shared" si="879"/>
        <v>1.9522630359110449E-2</v>
      </c>
      <c r="EL302" s="456">
        <f t="shared" si="880"/>
        <v>6.7415390975037362E-2</v>
      </c>
      <c r="EM302">
        <f t="shared" si="881"/>
        <v>2.7E-2</v>
      </c>
      <c r="EN302" s="144">
        <f t="shared" si="882"/>
        <v>46.522630359110444</v>
      </c>
      <c r="EP302" s="144">
        <f t="shared" si="883"/>
        <v>688.39992892073769</v>
      </c>
      <c r="EQ302" s="150">
        <f t="shared" si="884"/>
        <v>0.72239999999999993</v>
      </c>
      <c r="ER302" s="150">
        <f t="shared" si="845"/>
        <v>9.5406249999999998E-2</v>
      </c>
      <c r="ES302" s="456"/>
      <c r="EU302" s="144">
        <f t="shared" si="885"/>
        <v>817.80624999999998</v>
      </c>
      <c r="EV302" s="456">
        <f t="shared" si="886"/>
        <v>6.6928613798848723E-3</v>
      </c>
      <c r="EW302" s="456">
        <f t="shared" si="887"/>
        <v>7.0451172419840766E-2</v>
      </c>
      <c r="EX302" s="456">
        <f t="shared" si="888"/>
        <v>5.8668681069348381E-4</v>
      </c>
      <c r="EY302" s="456">
        <f t="shared" si="889"/>
        <v>0.19596058643252526</v>
      </c>
      <c r="EZ302" s="456"/>
      <c r="FA302" s="538">
        <f t="shared" si="890"/>
        <v>1.2048435650262135E-3</v>
      </c>
      <c r="FB302" s="144">
        <f t="shared" si="891"/>
        <v>274.89615060797058</v>
      </c>
      <c r="FC302" s="150">
        <f t="shared" si="892"/>
        <v>1.7811023295287081</v>
      </c>
      <c r="FD302" s="5">
        <f t="shared" si="893"/>
        <v>6.88</v>
      </c>
      <c r="FE302" s="150">
        <f t="shared" si="894"/>
        <v>0.79435616140265297</v>
      </c>
      <c r="FF302" s="5">
        <f t="shared" si="895"/>
        <v>79.435616140265296</v>
      </c>
      <c r="FG302">
        <f t="shared" si="896"/>
        <v>86.000000000000014</v>
      </c>
      <c r="FI302" s="59">
        <f t="shared" si="846"/>
        <v>-50</v>
      </c>
    </row>
    <row r="303" spans="5:165">
      <c r="E303" s="147">
        <v>87</v>
      </c>
      <c r="F303" s="188">
        <f t="shared" si="847"/>
        <v>1.044</v>
      </c>
      <c r="G303" s="188">
        <f t="shared" si="775"/>
        <v>0.2175</v>
      </c>
      <c r="H303" s="188">
        <f t="shared" si="776"/>
        <v>5.2200000000000006</v>
      </c>
      <c r="I303" s="188">
        <f t="shared" si="777"/>
        <v>1.74</v>
      </c>
      <c r="J303" s="465">
        <f t="shared" si="778"/>
        <v>59.906389617310055</v>
      </c>
      <c r="K303" s="379">
        <f t="shared" si="779"/>
        <v>5.735607962740465</v>
      </c>
      <c r="L303" s="149">
        <f t="shared" si="780"/>
        <v>65.641997580050514</v>
      </c>
      <c r="M303" s="379"/>
      <c r="N303" s="188">
        <f t="shared" si="781"/>
        <v>8.7377108774696913E-2</v>
      </c>
      <c r="O303" s="149">
        <f t="shared" si="782"/>
        <v>9.8145883535457639</v>
      </c>
      <c r="P303" s="149">
        <f t="shared" si="783"/>
        <v>4.3620392682425617</v>
      </c>
      <c r="Q303" s="188">
        <f t="shared" si="784"/>
        <v>1.9629176707091527</v>
      </c>
      <c r="R303" s="188">
        <f t="shared" si="785"/>
        <v>1.2268235441932205</v>
      </c>
      <c r="S303" s="188">
        <f t="shared" si="786"/>
        <v>5</v>
      </c>
      <c r="T303" s="188">
        <f t="shared" si="787"/>
        <v>2.6593066422975067</v>
      </c>
      <c r="U303" s="188">
        <f t="shared" si="788"/>
        <v>0.5326924208156445</v>
      </c>
      <c r="V303" s="188">
        <f t="shared" si="789"/>
        <v>5.5637832841564592</v>
      </c>
      <c r="W303" s="172">
        <f t="shared" si="790"/>
        <v>350</v>
      </c>
      <c r="X303" s="379">
        <f t="shared" si="848"/>
        <v>158.81900397238655</v>
      </c>
      <c r="Z303" s="188">
        <f t="shared" si="791"/>
        <v>1.2462969337835887</v>
      </c>
      <c r="AA303" s="150">
        <f t="shared" si="792"/>
        <v>2.607493974929437</v>
      </c>
      <c r="AB303" s="150">
        <f t="shared" si="793"/>
        <v>0.42652466663805327</v>
      </c>
      <c r="AC303" s="150"/>
      <c r="AD303" s="150">
        <f t="shared" si="794"/>
        <v>2.0921932039208651</v>
      </c>
      <c r="AE303" s="314">
        <f t="shared" si="795"/>
        <v>997.99578551684101</v>
      </c>
      <c r="AF303" s="456">
        <f t="shared" si="796"/>
        <v>0.36613381068615136</v>
      </c>
      <c r="AH303" s="150">
        <f t="shared" si="797"/>
        <v>1.820517979665599</v>
      </c>
      <c r="AI303" s="150">
        <f t="shared" si="798"/>
        <v>2.6593066422975067</v>
      </c>
      <c r="AJ303" s="150">
        <f t="shared" si="799"/>
        <v>2.4291160313314863</v>
      </c>
      <c r="AL303" s="314">
        <f t="shared" si="800"/>
        <v>1044</v>
      </c>
      <c r="AM303" s="144">
        <f t="shared" si="801"/>
        <v>158.81900397238655</v>
      </c>
      <c r="AO303">
        <f t="shared" si="802"/>
        <v>1044</v>
      </c>
      <c r="AP303">
        <f t="shared" si="803"/>
        <v>158.81900397238655</v>
      </c>
      <c r="AR303" s="5">
        <f t="shared" si="774"/>
        <v>6.2964757049721047</v>
      </c>
      <c r="AS303" s="5">
        <f t="shared" si="739"/>
        <v>0.5326924208156445</v>
      </c>
      <c r="AT303" s="5">
        <f t="shared" si="740"/>
        <v>5.7637832841564602</v>
      </c>
      <c r="AU303" s="150">
        <f t="shared" si="741"/>
        <v>8.4601679697580048E-2</v>
      </c>
      <c r="BA303" s="150">
        <f t="shared" si="849"/>
        <v>0.44657795827690561</v>
      </c>
      <c r="BB303" s="150">
        <f t="shared" si="850"/>
        <v>1.4689697295850279</v>
      </c>
      <c r="BC303" s="150">
        <f t="shared" si="851"/>
        <v>0.32835793955430037</v>
      </c>
      <c r="BD303" s="150"/>
      <c r="BE303" s="456">
        <f t="shared" si="852"/>
        <v>3.9886374563753929E-3</v>
      </c>
      <c r="BF303" s="456">
        <f t="shared" si="804"/>
        <v>0.51982115181650235</v>
      </c>
      <c r="BG303" s="456">
        <f t="shared" si="805"/>
        <v>0.23785682826507257</v>
      </c>
      <c r="BH303" s="456">
        <f t="shared" si="853"/>
        <v>6.8433073487392221E-2</v>
      </c>
      <c r="BI303">
        <f t="shared" si="854"/>
        <v>2.6957875327789524E-2</v>
      </c>
      <c r="BJ303" s="144">
        <f t="shared" si="855"/>
        <v>264.81470359286209</v>
      </c>
      <c r="BK303">
        <f t="shared" si="806"/>
        <v>0.59388261758436856</v>
      </c>
      <c r="BL303" s="144">
        <f t="shared" si="856"/>
        <v>857.05756635313196</v>
      </c>
      <c r="BM303" s="150">
        <f t="shared" si="807"/>
        <v>0.64858499999999997</v>
      </c>
      <c r="BN303" s="150">
        <f t="shared" si="808"/>
        <v>9.6515624999999994E-2</v>
      </c>
      <c r="BQ303" s="144">
        <f t="shared" si="857"/>
        <v>745.10062499999992</v>
      </c>
      <c r="BR303" s="456">
        <f t="shared" si="858"/>
        <v>5.982956184563089E-3</v>
      </c>
      <c r="BS303" s="456">
        <f t="shared" si="859"/>
        <v>6.4736161993113286E-2</v>
      </c>
      <c r="BT303" s="456">
        <f t="shared" si="860"/>
        <v>5.3909468234172788E-4</v>
      </c>
      <c r="BU303" s="456">
        <f t="shared" si="861"/>
        <v>0.18329356586849238</v>
      </c>
      <c r="BV303" s="456"/>
      <c r="BW303" s="538">
        <f t="shared" si="862"/>
        <v>1.1231539910784062E-3</v>
      </c>
      <c r="BX303" s="144">
        <f t="shared" si="863"/>
        <v>255.67493271958892</v>
      </c>
      <c r="BY303" s="150">
        <f t="shared" si="864"/>
        <v>1.8578331240727206</v>
      </c>
      <c r="BZ303" s="5">
        <f t="shared" si="865"/>
        <v>6.9600000000000009</v>
      </c>
      <c r="CA303" s="150">
        <f t="shared" si="866"/>
        <v>0.78930956189215817</v>
      </c>
      <c r="CB303" s="5">
        <f t="shared" si="867"/>
        <v>78.93095618921582</v>
      </c>
      <c r="CC303">
        <f t="shared" si="868"/>
        <v>87.000000000000014</v>
      </c>
      <c r="CE303" s="59">
        <f t="shared" si="809"/>
        <v>-50</v>
      </c>
      <c r="CG303" s="150">
        <f t="shared" si="810"/>
        <v>0.87957854338036034</v>
      </c>
      <c r="CH303" s="150">
        <f t="shared" si="811"/>
        <v>0.47330172420499933</v>
      </c>
      <c r="CI303" s="147">
        <v>87</v>
      </c>
      <c r="CJ303" s="188">
        <f t="shared" si="869"/>
        <v>1.044</v>
      </c>
      <c r="CK303" s="188">
        <f t="shared" si="812"/>
        <v>0.2175</v>
      </c>
      <c r="CL303" s="188">
        <f t="shared" si="813"/>
        <v>5.2200000000000006</v>
      </c>
      <c r="CM303" s="188">
        <f t="shared" si="814"/>
        <v>1.74</v>
      </c>
      <c r="CN303" s="465">
        <f t="shared" si="815"/>
        <v>60</v>
      </c>
      <c r="CO303" s="379">
        <f t="shared" si="816"/>
        <v>5.7</v>
      </c>
      <c r="CP303" s="379">
        <f t="shared" si="817"/>
        <v>65.7</v>
      </c>
      <c r="CQ303" s="379"/>
      <c r="CR303" s="188">
        <f t="shared" si="818"/>
        <v>8.2568807339449546E-2</v>
      </c>
      <c r="CS303" s="149">
        <f t="shared" si="819"/>
        <v>9.2889908256880744</v>
      </c>
      <c r="CT303" s="149">
        <f t="shared" si="820"/>
        <v>4.1284403669724767</v>
      </c>
      <c r="CU303" s="188">
        <f t="shared" si="821"/>
        <v>1.857798165137615</v>
      </c>
      <c r="CV303" s="188">
        <f t="shared" si="822"/>
        <v>1.1611238532110093</v>
      </c>
      <c r="CW303" s="188">
        <f t="shared" si="823"/>
        <v>5</v>
      </c>
      <c r="CX303" s="188">
        <f t="shared" si="824"/>
        <v>2.8097777777777777</v>
      </c>
      <c r="CY303" s="188">
        <f t="shared" si="825"/>
        <v>0.56195555555555554</v>
      </c>
      <c r="CZ303" s="188">
        <f t="shared" si="826"/>
        <v>5.9153216374269011</v>
      </c>
      <c r="DA303" s="172">
        <f t="shared" si="827"/>
        <v>350</v>
      </c>
      <c r="DB303" s="379">
        <f t="shared" si="828"/>
        <v>154.38585847204587</v>
      </c>
      <c r="DD303" s="188">
        <f t="shared" si="829"/>
        <v>1.2393998695368558</v>
      </c>
      <c r="DE303" s="150">
        <f t="shared" si="830"/>
        <v>2.6092628832354858</v>
      </c>
      <c r="DF303" s="150">
        <f t="shared" si="831"/>
        <v>0.4244520101153616</v>
      </c>
      <c r="DG303" s="150"/>
      <c r="DH303" s="150">
        <f t="shared" si="832"/>
        <v>2.1052631578947367</v>
      </c>
      <c r="DI303" s="314">
        <f t="shared" si="833"/>
        <v>991.80000000000007</v>
      </c>
      <c r="DJ303" s="456">
        <f t="shared" si="834"/>
        <v>0.36842105263157893</v>
      </c>
      <c r="DL303" s="150">
        <f t="shared" si="835"/>
        <v>1.820517979665599</v>
      </c>
      <c r="DM303" s="150">
        <f t="shared" si="836"/>
        <v>2.8097777777777777</v>
      </c>
      <c r="DN303" s="150">
        <f t="shared" si="837"/>
        <v>2.5405761316872431</v>
      </c>
      <c r="DP303" s="314">
        <f t="shared" si="838"/>
        <v>1044</v>
      </c>
      <c r="DQ303" s="144">
        <f t="shared" si="839"/>
        <v>154.38585847204587</v>
      </c>
      <c r="DS303">
        <f t="shared" si="840"/>
        <v>1044</v>
      </c>
      <c r="DT303">
        <f t="shared" si="841"/>
        <v>154.38585847204587</v>
      </c>
      <c r="DV303" s="5">
        <f t="shared" si="870"/>
        <v>6.4772771929824566</v>
      </c>
      <c r="DW303" s="5">
        <f t="shared" si="842"/>
        <v>0.56195555555555554</v>
      </c>
      <c r="DX303" s="5">
        <f t="shared" si="843"/>
        <v>5.9153216374269011</v>
      </c>
      <c r="DY303" s="150">
        <f t="shared" si="844"/>
        <v>8.6757990867579904E-2</v>
      </c>
      <c r="EA303" s="5">
        <f t="shared" si="871"/>
        <v>11.733632</v>
      </c>
      <c r="EB303" s="5">
        <f t="shared" si="872"/>
        <v>1.5278166666666666</v>
      </c>
      <c r="EC303" s="5">
        <f t="shared" si="873"/>
        <v>0.21443040935672514</v>
      </c>
      <c r="ED303" s="5"/>
      <c r="EE303" s="150">
        <f t="shared" si="874"/>
        <v>0.47782194203944006</v>
      </c>
      <c r="EF303" s="150">
        <f t="shared" si="875"/>
        <v>1.5502590897019763</v>
      </c>
      <c r="EG303" s="150">
        <f t="shared" si="876"/>
        <v>0.34652850240397115</v>
      </c>
      <c r="EH303" s="150"/>
      <c r="EI303" s="456">
        <f t="shared" si="877"/>
        <v>4.5662761658868409E-3</v>
      </c>
      <c r="EJ303" s="456">
        <f t="shared" si="878"/>
        <v>0.57000000000000006</v>
      </c>
      <c r="EK303" s="456">
        <f t="shared" si="879"/>
        <v>1.9298232309005733E-2</v>
      </c>
      <c r="EL303" s="456">
        <f t="shared" si="880"/>
        <v>6.6640501423600146E-2</v>
      </c>
      <c r="EM303">
        <f t="shared" si="881"/>
        <v>2.7E-2</v>
      </c>
      <c r="EN303" s="144">
        <f t="shared" si="882"/>
        <v>46.298232309005733</v>
      </c>
      <c r="EP303" s="144">
        <f t="shared" si="883"/>
        <v>687.50500989849286</v>
      </c>
      <c r="EQ303" s="150">
        <f t="shared" si="884"/>
        <v>0.73080000000000001</v>
      </c>
      <c r="ER303" s="150">
        <f t="shared" si="845"/>
        <v>9.6515624999999994E-2</v>
      </c>
      <c r="ES303" s="456"/>
      <c r="EU303" s="144">
        <f t="shared" si="885"/>
        <v>827.31562499999995</v>
      </c>
      <c r="EV303" s="456">
        <f t="shared" si="886"/>
        <v>6.8494142488302609E-3</v>
      </c>
      <c r="EW303" s="456">
        <f t="shared" si="887"/>
        <v>7.2099097356108005E-2</v>
      </c>
      <c r="EX303" s="456">
        <f t="shared" si="888"/>
        <v>6.004100148916952E-4</v>
      </c>
      <c r="EY303" s="456">
        <f t="shared" si="889"/>
        <v>0.19596058643252548</v>
      </c>
      <c r="EZ303" s="456"/>
      <c r="FA303" s="538">
        <f t="shared" si="890"/>
        <v>1.218853373921867E-3</v>
      </c>
      <c r="FB303" s="144">
        <f t="shared" si="891"/>
        <v>276.72836142627727</v>
      </c>
      <c r="FC303" s="150">
        <f t="shared" si="892"/>
        <v>1.7915489963247702</v>
      </c>
      <c r="FD303" s="5">
        <f t="shared" si="893"/>
        <v>6.9600000000000009</v>
      </c>
      <c r="FE303" s="150">
        <f t="shared" si="894"/>
        <v>0.79528778310249593</v>
      </c>
      <c r="FF303" s="5">
        <f t="shared" si="895"/>
        <v>79.528778310249592</v>
      </c>
      <c r="FG303">
        <f t="shared" si="896"/>
        <v>87.000000000000014</v>
      </c>
      <c r="FI303" s="59">
        <f t="shared" si="846"/>
        <v>-50</v>
      </c>
    </row>
    <row r="304" spans="5:165">
      <c r="E304" s="147">
        <v>88</v>
      </c>
      <c r="F304" s="188">
        <f t="shared" si="847"/>
        <v>1.056</v>
      </c>
      <c r="G304" s="188">
        <f t="shared" si="775"/>
        <v>0.22</v>
      </c>
      <c r="H304" s="188">
        <f t="shared" si="776"/>
        <v>5.28</v>
      </c>
      <c r="I304" s="188">
        <f t="shared" si="777"/>
        <v>1.76</v>
      </c>
      <c r="J304" s="465">
        <f t="shared" si="778"/>
        <v>59.90531363589983</v>
      </c>
      <c r="K304" s="379">
        <f t="shared" si="779"/>
        <v>5.7360172496685164</v>
      </c>
      <c r="L304" s="149">
        <f t="shared" si="780"/>
        <v>65.641330885568351</v>
      </c>
      <c r="M304" s="379"/>
      <c r="N304" s="188">
        <f t="shared" si="781"/>
        <v>8.7384231432906773E-2</v>
      </c>
      <c r="O304" s="149">
        <f t="shared" si="782"/>
        <v>9.8152121077881311</v>
      </c>
      <c r="P304" s="149">
        <f t="shared" si="783"/>
        <v>4.3623164923502804</v>
      </c>
      <c r="Q304" s="188">
        <f t="shared" si="784"/>
        <v>1.9630424215576263</v>
      </c>
      <c r="R304" s="188">
        <f t="shared" si="785"/>
        <v>1.2269015134735164</v>
      </c>
      <c r="S304" s="188">
        <f t="shared" si="786"/>
        <v>5</v>
      </c>
      <c r="T304" s="188">
        <f t="shared" si="787"/>
        <v>2.6897024445403726</v>
      </c>
      <c r="U304" s="188">
        <f t="shared" si="788"/>
        <v>0.53879075787263675</v>
      </c>
      <c r="V304" s="188">
        <f t="shared" si="789"/>
        <v>5.626975639996501</v>
      </c>
      <c r="W304" s="172">
        <f t="shared" si="790"/>
        <v>350</v>
      </c>
      <c r="X304" s="379">
        <f t="shared" si="848"/>
        <v>157.09027593829671</v>
      </c>
      <c r="Z304" s="188">
        <f t="shared" si="791"/>
        <v>1.2463761406715088</v>
      </c>
      <c r="AA304" s="150">
        <f t="shared" si="792"/>
        <v>2.607473624477409</v>
      </c>
      <c r="AB304" s="150">
        <f t="shared" si="793"/>
        <v>0.4265484448284812</v>
      </c>
      <c r="AC304" s="150"/>
      <c r="AD304" s="150">
        <f t="shared" si="794"/>
        <v>2.0920439178758534</v>
      </c>
      <c r="AE304" s="314">
        <f t="shared" si="795"/>
        <v>1009.5390359416591</v>
      </c>
      <c r="AF304" s="456">
        <f t="shared" si="796"/>
        <v>0.36610768562827434</v>
      </c>
      <c r="AH304" s="150">
        <f t="shared" si="797"/>
        <v>1.8309508328682538</v>
      </c>
      <c r="AI304" s="150">
        <f t="shared" si="798"/>
        <v>2.6897024445403726</v>
      </c>
      <c r="AJ304" s="150">
        <f t="shared" si="799"/>
        <v>2.4516314404002761</v>
      </c>
      <c r="AL304" s="314">
        <f t="shared" si="800"/>
        <v>1056</v>
      </c>
      <c r="AM304" s="144">
        <f t="shared" si="801"/>
        <v>157.09027593829671</v>
      </c>
      <c r="AO304">
        <f t="shared" si="802"/>
        <v>1056</v>
      </c>
      <c r="AP304">
        <f t="shared" si="803"/>
        <v>157.09027593829671</v>
      </c>
      <c r="AR304" s="5">
        <f t="shared" si="774"/>
        <v>6.3657663978691383</v>
      </c>
      <c r="AS304" s="5">
        <f t="shared" si="739"/>
        <v>0.53879075787263675</v>
      </c>
      <c r="AT304" s="5">
        <f t="shared" si="740"/>
        <v>5.8269756399965011</v>
      </c>
      <c r="AU304" s="150">
        <f t="shared" si="741"/>
        <v>8.463878882721651E-2</v>
      </c>
      <c r="BA304" s="150">
        <f t="shared" si="849"/>
        <v>0.4517813827723563</v>
      </c>
      <c r="BB304" s="150">
        <f t="shared" si="850"/>
        <v>1.4857298976942104</v>
      </c>
      <c r="BC304" s="150">
        <f t="shared" si="851"/>
        <v>0.33210433007282347</v>
      </c>
      <c r="BD304" s="150"/>
      <c r="BE304" s="456">
        <f t="shared" si="852"/>
        <v>4.0821283563940462E-3</v>
      </c>
      <c r="BF304" s="456">
        <f t="shared" si="804"/>
        <v>0.52003454035665042</v>
      </c>
      <c r="BG304" s="456">
        <f t="shared" si="805"/>
        <v>0.23526355623084283</v>
      </c>
      <c r="BH304" s="456">
        <f t="shared" si="853"/>
        <v>6.7686811785474588E-2</v>
      </c>
      <c r="BI304">
        <f t="shared" si="854"/>
        <v>2.6957391136154921E-2</v>
      </c>
      <c r="BJ304" s="144">
        <f t="shared" si="855"/>
        <v>262.22094736699773</v>
      </c>
      <c r="BK304">
        <f t="shared" si="806"/>
        <v>0.59348128077816964</v>
      </c>
      <c r="BL304" s="144">
        <f t="shared" si="856"/>
        <v>854.02442786551694</v>
      </c>
      <c r="BM304" s="150">
        <f t="shared" si="807"/>
        <v>0.65603999999999996</v>
      </c>
      <c r="BN304" s="150">
        <f t="shared" si="808"/>
        <v>9.762499999999999E-2</v>
      </c>
      <c r="BQ304" s="144">
        <f t="shared" si="857"/>
        <v>753.66499999999996</v>
      </c>
      <c r="BR304" s="456">
        <f t="shared" si="858"/>
        <v>6.1231925345910697E-3</v>
      </c>
      <c r="BS304" s="456">
        <f t="shared" si="859"/>
        <v>6.6221799867073466E-2</v>
      </c>
      <c r="BT304" s="456">
        <f t="shared" si="860"/>
        <v>5.5146643026559433E-4</v>
      </c>
      <c r="BU304" s="456">
        <f t="shared" si="861"/>
        <v>0.18348638945776599</v>
      </c>
      <c r="BV304" s="456"/>
      <c r="BW304" s="538">
        <f t="shared" si="862"/>
        <v>1.1364694819131465E-3</v>
      </c>
      <c r="BX304" s="144">
        <f t="shared" si="863"/>
        <v>257.51931777160922</v>
      </c>
      <c r="BY304" s="150">
        <f t="shared" si="864"/>
        <v>1.8652087456371262</v>
      </c>
      <c r="BZ304" s="5">
        <f t="shared" si="865"/>
        <v>7.04</v>
      </c>
      <c r="CA304" s="150">
        <f t="shared" si="866"/>
        <v>0.79054856557394726</v>
      </c>
      <c r="CB304" s="5">
        <f t="shared" si="867"/>
        <v>79.054856557394729</v>
      </c>
      <c r="CC304">
        <f t="shared" si="868"/>
        <v>88.000000000000014</v>
      </c>
      <c r="CE304" s="59">
        <f t="shared" si="809"/>
        <v>-50</v>
      </c>
      <c r="CG304" s="150">
        <f t="shared" si="810"/>
        <v>0.87957854338036046</v>
      </c>
      <c r="CH304" s="150">
        <f t="shared" si="811"/>
        <v>0.47330172420499944</v>
      </c>
      <c r="CI304" s="147">
        <v>88</v>
      </c>
      <c r="CJ304" s="188">
        <f t="shared" si="869"/>
        <v>1.056</v>
      </c>
      <c r="CK304" s="188">
        <f t="shared" si="812"/>
        <v>0.22</v>
      </c>
      <c r="CL304" s="188">
        <f t="shared" si="813"/>
        <v>5.28</v>
      </c>
      <c r="CM304" s="188">
        <f t="shared" si="814"/>
        <v>1.76</v>
      </c>
      <c r="CN304" s="465">
        <f t="shared" si="815"/>
        <v>60</v>
      </c>
      <c r="CO304" s="379">
        <f t="shared" si="816"/>
        <v>5.7</v>
      </c>
      <c r="CP304" s="379">
        <f t="shared" si="817"/>
        <v>65.7</v>
      </c>
      <c r="CQ304" s="379"/>
      <c r="CR304" s="188">
        <f t="shared" si="818"/>
        <v>8.2568807339449546E-2</v>
      </c>
      <c r="CS304" s="149">
        <f t="shared" si="819"/>
        <v>9.2889908256880744</v>
      </c>
      <c r="CT304" s="149">
        <f t="shared" si="820"/>
        <v>4.1284403669724767</v>
      </c>
      <c r="CU304" s="188">
        <f t="shared" si="821"/>
        <v>1.857798165137615</v>
      </c>
      <c r="CV304" s="188">
        <f t="shared" si="822"/>
        <v>1.1611238532110093</v>
      </c>
      <c r="CW304" s="188">
        <f t="shared" si="823"/>
        <v>5</v>
      </c>
      <c r="CX304" s="188">
        <f t="shared" si="824"/>
        <v>2.8420740740740738</v>
      </c>
      <c r="CY304" s="188">
        <f t="shared" si="825"/>
        <v>0.56841481481481482</v>
      </c>
      <c r="CZ304" s="188">
        <f t="shared" si="826"/>
        <v>5.9833138401559438</v>
      </c>
      <c r="DA304" s="172">
        <f t="shared" si="827"/>
        <v>350</v>
      </c>
      <c r="DB304" s="379">
        <f t="shared" si="828"/>
        <v>152.63147371668177</v>
      </c>
      <c r="DD304" s="188">
        <f t="shared" si="829"/>
        <v>1.2393998695368558</v>
      </c>
      <c r="DE304" s="150">
        <f t="shared" si="830"/>
        <v>2.6092628832354858</v>
      </c>
      <c r="DF304" s="150">
        <f t="shared" si="831"/>
        <v>0.4244520101153616</v>
      </c>
      <c r="DG304" s="150"/>
      <c r="DH304" s="150">
        <f t="shared" si="832"/>
        <v>2.1052631578947367</v>
      </c>
      <c r="DI304" s="314">
        <f t="shared" si="833"/>
        <v>1003.2000000000002</v>
      </c>
      <c r="DJ304" s="456">
        <f t="shared" si="834"/>
        <v>0.36842105263157893</v>
      </c>
      <c r="DL304" s="150">
        <f t="shared" si="835"/>
        <v>1.8309508328682538</v>
      </c>
      <c r="DM304" s="150">
        <f t="shared" si="836"/>
        <v>2.8420740740740738</v>
      </c>
      <c r="DN304" s="150">
        <f t="shared" si="837"/>
        <v>2.5644993141289438</v>
      </c>
      <c r="DP304" s="314">
        <f t="shared" si="838"/>
        <v>1056</v>
      </c>
      <c r="DQ304" s="144">
        <f t="shared" si="839"/>
        <v>152.63147371668177</v>
      </c>
      <c r="DS304">
        <f t="shared" si="840"/>
        <v>1056</v>
      </c>
      <c r="DT304">
        <f t="shared" si="841"/>
        <v>152.63147371668177</v>
      </c>
      <c r="DV304" s="5">
        <f t="shared" si="870"/>
        <v>6.5517286549707583</v>
      </c>
      <c r="DW304" s="5">
        <f t="shared" si="842"/>
        <v>0.56841481481481482</v>
      </c>
      <c r="DX304" s="5">
        <f t="shared" si="843"/>
        <v>5.9833138401559438</v>
      </c>
      <c r="DY304" s="150">
        <f t="shared" si="844"/>
        <v>8.6757990867579932E-2</v>
      </c>
      <c r="EA304" s="5">
        <f t="shared" si="871"/>
        <v>12.00492088888889</v>
      </c>
      <c r="EB304" s="5">
        <f t="shared" si="872"/>
        <v>1.5631407407407407</v>
      </c>
      <c r="EC304" s="5">
        <f t="shared" si="873"/>
        <v>0.21938817413905129</v>
      </c>
      <c r="ED304" s="5"/>
      <c r="EE304" s="150">
        <f t="shared" si="874"/>
        <v>0.48331414826977848</v>
      </c>
      <c r="EF304" s="150">
        <f t="shared" si="875"/>
        <v>1.5680781596985507</v>
      </c>
      <c r="EG304" s="150">
        <f t="shared" si="876"/>
        <v>0.35051158863849957</v>
      </c>
      <c r="EH304" s="150"/>
      <c r="EI304" s="456">
        <f t="shared" si="877"/>
        <v>4.671851318354828E-3</v>
      </c>
      <c r="EJ304" s="456">
        <f t="shared" si="878"/>
        <v>0.57000000000000028</v>
      </c>
      <c r="EK304" s="456">
        <f t="shared" si="879"/>
        <v>1.907893421458522E-2</v>
      </c>
      <c r="EL304" s="456">
        <f t="shared" si="880"/>
        <v>6.5883222998331992E-2</v>
      </c>
      <c r="EM304">
        <f t="shared" si="881"/>
        <v>2.7E-2</v>
      </c>
      <c r="EN304" s="144">
        <f t="shared" si="882"/>
        <v>46.078934214585217</v>
      </c>
      <c r="EP304" s="144">
        <f t="shared" si="883"/>
        <v>686.63400853127223</v>
      </c>
      <c r="EQ304" s="150">
        <f t="shared" si="884"/>
        <v>0.73919999999999997</v>
      </c>
      <c r="ER304" s="150">
        <f t="shared" si="845"/>
        <v>9.762499999999999E-2</v>
      </c>
      <c r="ES304" s="456"/>
      <c r="EU304" s="144">
        <f t="shared" si="885"/>
        <v>836.82499999999993</v>
      </c>
      <c r="EV304" s="456">
        <f t="shared" si="886"/>
        <v>7.0077769775322421E-3</v>
      </c>
      <c r="EW304" s="456">
        <f t="shared" si="887"/>
        <v>7.3766073447707789E-2</v>
      </c>
      <c r="EX304" s="456">
        <f t="shared" si="888"/>
        <v>6.1429186884942371E-4</v>
      </c>
      <c r="EY304" s="456">
        <f t="shared" si="889"/>
        <v>0.19596058643252576</v>
      </c>
      <c r="EZ304" s="456"/>
      <c r="FA304" s="538">
        <f t="shared" si="890"/>
        <v>1.2328631828175209E-3</v>
      </c>
      <c r="FB304" s="144">
        <f t="shared" si="891"/>
        <v>278.58159190943269</v>
      </c>
      <c r="FC304" s="150">
        <f t="shared" si="892"/>
        <v>1.802040600440705</v>
      </c>
      <c r="FD304" s="5">
        <f t="shared" si="893"/>
        <v>7.04</v>
      </c>
      <c r="FE304" s="150">
        <f t="shared" si="894"/>
        <v>0.79619629881015397</v>
      </c>
      <c r="FF304" s="5">
        <f t="shared" si="895"/>
        <v>79.619629881015399</v>
      </c>
      <c r="FG304">
        <f t="shared" si="896"/>
        <v>88.000000000000014</v>
      </c>
      <c r="FI304" s="59">
        <f t="shared" si="846"/>
        <v>-50</v>
      </c>
    </row>
    <row r="305" spans="5:169">
      <c r="E305" s="147">
        <v>89</v>
      </c>
      <c r="F305" s="188">
        <f t="shared" si="847"/>
        <v>1.0680000000000001</v>
      </c>
      <c r="G305" s="188">
        <f t="shared" si="775"/>
        <v>0.2225</v>
      </c>
      <c r="H305" s="188">
        <f t="shared" si="776"/>
        <v>5.34</v>
      </c>
      <c r="I305" s="188">
        <f t="shared" si="777"/>
        <v>1.78</v>
      </c>
      <c r="J305" s="465">
        <f t="shared" si="778"/>
        <v>59.904237654489599</v>
      </c>
      <c r="K305" s="379">
        <f t="shared" si="779"/>
        <v>5.736426536596567</v>
      </c>
      <c r="L305" s="149">
        <f t="shared" si="780"/>
        <v>65.640664191086159</v>
      </c>
      <c r="M305" s="379"/>
      <c r="N305" s="188">
        <f t="shared" si="781"/>
        <v>8.7391354235802507E-2</v>
      </c>
      <c r="O305" s="149">
        <f t="shared" si="782"/>
        <v>9.8158358495422497</v>
      </c>
      <c r="P305" s="149">
        <f t="shared" si="783"/>
        <v>4.3625937109076665</v>
      </c>
      <c r="Q305" s="188">
        <f t="shared" si="784"/>
        <v>1.9631671699084499</v>
      </c>
      <c r="R305" s="188">
        <f t="shared" si="785"/>
        <v>1.2269794811927812</v>
      </c>
      <c r="S305" s="188">
        <f t="shared" si="786"/>
        <v>5</v>
      </c>
      <c r="T305" s="188">
        <f t="shared" si="787"/>
        <v>2.7200943871983276</v>
      </c>
      <c r="U305" s="188">
        <f t="shared" si="788"/>
        <v>0.54488854085156024</v>
      </c>
      <c r="V305" s="188">
        <f t="shared" si="789"/>
        <v>5.6901509045988723</v>
      </c>
      <c r="W305" s="172">
        <f t="shared" si="790"/>
        <v>350</v>
      </c>
      <c r="X305" s="379">
        <f t="shared" si="848"/>
        <v>155.39920282959557</v>
      </c>
      <c r="Z305" s="188">
        <f t="shared" si="791"/>
        <v>1.2464553459736187</v>
      </c>
      <c r="AA305" s="150">
        <f t="shared" si="792"/>
        <v>2.6074532736119931</v>
      </c>
      <c r="AB305" s="150">
        <f t="shared" si="793"/>
        <v>0.42657222198544825</v>
      </c>
      <c r="AC305" s="150"/>
      <c r="AD305" s="150">
        <f t="shared" si="794"/>
        <v>2.0918946531335902</v>
      </c>
      <c r="AE305" s="314">
        <f t="shared" si="795"/>
        <v>1021.083923514189</v>
      </c>
      <c r="AF305" s="456">
        <f t="shared" si="796"/>
        <v>0.36608156429837835</v>
      </c>
      <c r="AH305" s="150">
        <f t="shared" si="797"/>
        <v>1.841324574993825</v>
      </c>
      <c r="AI305" s="150">
        <f t="shared" si="798"/>
        <v>2.7200943871983276</v>
      </c>
      <c r="AJ305" s="150">
        <f t="shared" si="799"/>
        <v>2.4741439905172795</v>
      </c>
      <c r="AL305" s="314">
        <f t="shared" si="800"/>
        <v>1068</v>
      </c>
      <c r="AM305" s="144">
        <f t="shared" si="801"/>
        <v>155.39920282959557</v>
      </c>
      <c r="AO305">
        <f t="shared" si="802"/>
        <v>1068</v>
      </c>
      <c r="AP305">
        <f t="shared" si="803"/>
        <v>155.39920282959557</v>
      </c>
      <c r="AR305" s="5">
        <f t="shared" si="774"/>
        <v>6.4350394454504327</v>
      </c>
      <c r="AS305" s="5">
        <f t="shared" si="739"/>
        <v>0.54488854085156024</v>
      </c>
      <c r="AT305" s="5">
        <f t="shared" si="740"/>
        <v>5.8901509045988725</v>
      </c>
      <c r="AU305" s="150">
        <f t="shared" si="741"/>
        <v>8.4675244879313979E-2</v>
      </c>
      <c r="BA305" s="150">
        <f t="shared" si="849"/>
        <v>0.45698461329281864</v>
      </c>
      <c r="BB305" s="150">
        <f t="shared" si="850"/>
        <v>1.5024877886257717</v>
      </c>
      <c r="BC305" s="150">
        <f t="shared" si="851"/>
        <v>0.33585021157517253</v>
      </c>
      <c r="BD305" s="150"/>
      <c r="BE305" s="456">
        <f t="shared" si="852"/>
        <v>4.1766987357277404E-3</v>
      </c>
      <c r="BF305" s="456">
        <f t="shared" si="804"/>
        <v>0.52024390376224949</v>
      </c>
      <c r="BG305" s="456">
        <f t="shared" si="805"/>
        <v>0.23272676944055812</v>
      </c>
      <c r="BH305" s="456">
        <f t="shared" si="853"/>
        <v>6.6956804724688762E-2</v>
      </c>
      <c r="BI305">
        <f t="shared" si="854"/>
        <v>2.6956906944520319E-2</v>
      </c>
      <c r="BJ305" s="144">
        <f t="shared" si="855"/>
        <v>259.68367638507846</v>
      </c>
      <c r="BK305">
        <f t="shared" si="806"/>
        <v>0.59309369234649056</v>
      </c>
      <c r="BL305" s="144">
        <f t="shared" si="856"/>
        <v>851.06108360774454</v>
      </c>
      <c r="BM305" s="150">
        <f t="shared" si="807"/>
        <v>0.66349500000000006</v>
      </c>
      <c r="BN305" s="150">
        <f t="shared" si="808"/>
        <v>9.8734374999999999E-2</v>
      </c>
      <c r="BQ305" s="144">
        <f t="shared" si="857"/>
        <v>762.22937500000012</v>
      </c>
      <c r="BR305" s="456">
        <f t="shared" si="858"/>
        <v>6.2650481035916097E-3</v>
      </c>
      <c r="BS305" s="456">
        <f t="shared" si="859"/>
        <v>6.7724086649086856E-2</v>
      </c>
      <c r="BT305" s="456">
        <f t="shared" si="860"/>
        <v>5.6397682307544081E-4</v>
      </c>
      <c r="BU305" s="456">
        <f t="shared" si="861"/>
        <v>0.18367578584984678</v>
      </c>
      <c r="BV305" s="456"/>
      <c r="BW305" s="538">
        <f t="shared" si="862"/>
        <v>1.1497852558617757E-3</v>
      </c>
      <c r="BX305" s="144">
        <f t="shared" si="863"/>
        <v>259.37868268146246</v>
      </c>
      <c r="BY305" s="150">
        <f t="shared" si="864"/>
        <v>1.8726691412892069</v>
      </c>
      <c r="BZ305" s="5">
        <f t="shared" si="865"/>
        <v>7.12</v>
      </c>
      <c r="CA305" s="150">
        <f t="shared" si="866"/>
        <v>0.79175602795270439</v>
      </c>
      <c r="CB305" s="5">
        <f t="shared" si="867"/>
        <v>79.175602795270436</v>
      </c>
      <c r="CC305">
        <f t="shared" si="868"/>
        <v>89.000000000000014</v>
      </c>
      <c r="CE305" s="59">
        <f t="shared" si="809"/>
        <v>-50</v>
      </c>
      <c r="CG305" s="150">
        <f t="shared" si="810"/>
        <v>0.87957854338036034</v>
      </c>
      <c r="CH305" s="150">
        <f t="shared" si="811"/>
        <v>0.47330172420499933</v>
      </c>
      <c r="CI305" s="147">
        <v>89</v>
      </c>
      <c r="CJ305" s="188">
        <f t="shared" si="869"/>
        <v>1.0680000000000001</v>
      </c>
      <c r="CK305" s="188">
        <f t="shared" si="812"/>
        <v>0.2225</v>
      </c>
      <c r="CL305" s="188">
        <f t="shared" si="813"/>
        <v>5.34</v>
      </c>
      <c r="CM305" s="188">
        <f t="shared" si="814"/>
        <v>1.78</v>
      </c>
      <c r="CN305" s="465">
        <f t="shared" si="815"/>
        <v>60</v>
      </c>
      <c r="CO305" s="379">
        <f t="shared" si="816"/>
        <v>5.7</v>
      </c>
      <c r="CP305" s="379">
        <f t="shared" si="817"/>
        <v>65.7</v>
      </c>
      <c r="CQ305" s="379"/>
      <c r="CR305" s="188">
        <f t="shared" si="818"/>
        <v>8.2568807339449546E-2</v>
      </c>
      <c r="CS305" s="149">
        <f t="shared" si="819"/>
        <v>9.2889908256880744</v>
      </c>
      <c r="CT305" s="149">
        <f t="shared" si="820"/>
        <v>4.1284403669724767</v>
      </c>
      <c r="CU305" s="188">
        <f t="shared" si="821"/>
        <v>1.857798165137615</v>
      </c>
      <c r="CV305" s="188">
        <f t="shared" si="822"/>
        <v>1.1611238532110093</v>
      </c>
      <c r="CW305" s="188">
        <f t="shared" si="823"/>
        <v>5</v>
      </c>
      <c r="CX305" s="188">
        <f t="shared" si="824"/>
        <v>2.8743703703703702</v>
      </c>
      <c r="CY305" s="188">
        <f t="shared" si="825"/>
        <v>0.57487407407407409</v>
      </c>
      <c r="CZ305" s="188">
        <f t="shared" si="826"/>
        <v>6.0513060428849901</v>
      </c>
      <c r="DA305" s="172">
        <f t="shared" si="827"/>
        <v>350</v>
      </c>
      <c r="DB305" s="379">
        <f t="shared" si="828"/>
        <v>150.91651333784259</v>
      </c>
      <c r="DD305" s="188">
        <f t="shared" si="829"/>
        <v>1.2393998695368558</v>
      </c>
      <c r="DE305" s="150">
        <f t="shared" si="830"/>
        <v>2.6092628832354858</v>
      </c>
      <c r="DF305" s="150">
        <f t="shared" si="831"/>
        <v>0.4244520101153616</v>
      </c>
      <c r="DG305" s="150"/>
      <c r="DH305" s="150">
        <f t="shared" si="832"/>
        <v>2.1052631578947367</v>
      </c>
      <c r="DI305" s="314">
        <f t="shared" si="833"/>
        <v>1014.6</v>
      </c>
      <c r="DJ305" s="456">
        <f t="shared" si="834"/>
        <v>0.36842105263157893</v>
      </c>
      <c r="DL305" s="150">
        <f t="shared" si="835"/>
        <v>1.841324574993825</v>
      </c>
      <c r="DM305" s="150">
        <f t="shared" si="836"/>
        <v>2.8743703703703702</v>
      </c>
      <c r="DN305" s="150">
        <f t="shared" si="837"/>
        <v>2.5884224965706446</v>
      </c>
      <c r="DP305" s="314">
        <f t="shared" si="838"/>
        <v>1068</v>
      </c>
      <c r="DQ305" s="144">
        <f t="shared" si="839"/>
        <v>150.91651333784259</v>
      </c>
      <c r="DS305">
        <f t="shared" si="840"/>
        <v>1068</v>
      </c>
      <c r="DT305">
        <f t="shared" si="841"/>
        <v>150.91651333784259</v>
      </c>
      <c r="DV305" s="5">
        <f t="shared" si="870"/>
        <v>6.6261801169590644</v>
      </c>
      <c r="DW305" s="5">
        <f t="shared" si="842"/>
        <v>0.57487407407407409</v>
      </c>
      <c r="DX305" s="5">
        <f t="shared" si="843"/>
        <v>6.0513060428849901</v>
      </c>
      <c r="DY305" s="150">
        <f t="shared" si="844"/>
        <v>8.6757990867579904E-2</v>
      </c>
      <c r="EA305" s="5">
        <f t="shared" si="871"/>
        <v>12.279310222222223</v>
      </c>
      <c r="EB305" s="5">
        <f t="shared" si="872"/>
        <v>1.5988685185185185</v>
      </c>
      <c r="EC305" s="5">
        <f t="shared" si="873"/>
        <v>0.22440259909031832</v>
      </c>
      <c r="ED305" s="5"/>
      <c r="EE305" s="150">
        <f t="shared" si="874"/>
        <v>0.48880635450011684</v>
      </c>
      <c r="EF305" s="150">
        <f t="shared" si="875"/>
        <v>1.5858972296951253</v>
      </c>
      <c r="EG305" s="150">
        <f t="shared" si="876"/>
        <v>0.35449467487302805</v>
      </c>
      <c r="EH305" s="150"/>
      <c r="EI305" s="456">
        <f t="shared" si="877"/>
        <v>4.778633043993878E-3</v>
      </c>
      <c r="EJ305" s="456">
        <f t="shared" si="878"/>
        <v>0.57000000000000006</v>
      </c>
      <c r="EK305" s="456">
        <f t="shared" si="879"/>
        <v>1.886456416723032E-2</v>
      </c>
      <c r="EL305" s="456">
        <f t="shared" si="880"/>
        <v>6.5142962065766433E-2</v>
      </c>
      <c r="EM305">
        <f t="shared" si="881"/>
        <v>2.7E-2</v>
      </c>
      <c r="EN305" s="144">
        <f t="shared" si="882"/>
        <v>45.86456416723032</v>
      </c>
      <c r="EP305" s="144">
        <f t="shared" si="883"/>
        <v>685.7861592769907</v>
      </c>
      <c r="EQ305" s="150">
        <f t="shared" si="884"/>
        <v>0.74760000000000004</v>
      </c>
      <c r="ER305" s="150">
        <f t="shared" si="845"/>
        <v>9.8734374999999999E-2</v>
      </c>
      <c r="ES305" s="456"/>
      <c r="EU305" s="144">
        <f t="shared" si="885"/>
        <v>846.33437500000014</v>
      </c>
      <c r="EV305" s="456">
        <f t="shared" si="886"/>
        <v>7.1679495659908166E-3</v>
      </c>
      <c r="EW305" s="456">
        <f t="shared" si="887"/>
        <v>7.5452100694640187E-2</v>
      </c>
      <c r="EX305" s="456">
        <f t="shared" si="888"/>
        <v>6.2833237256666936E-4</v>
      </c>
      <c r="EY305" s="456">
        <f t="shared" si="889"/>
        <v>0.19596058643252526</v>
      </c>
      <c r="EZ305" s="456"/>
      <c r="FA305" s="538">
        <f t="shared" si="890"/>
        <v>1.2468729917131743E-3</v>
      </c>
      <c r="FB305" s="144">
        <f t="shared" si="891"/>
        <v>280.45584205743609</v>
      </c>
      <c r="FC305" s="150">
        <f t="shared" si="892"/>
        <v>1.8125763763344271</v>
      </c>
      <c r="FD305" s="5">
        <f t="shared" si="893"/>
        <v>7.12</v>
      </c>
      <c r="FE305" s="150">
        <f t="shared" si="894"/>
        <v>0.79708246535270755</v>
      </c>
      <c r="FF305" s="5">
        <f t="shared" si="895"/>
        <v>79.70824653527076</v>
      </c>
      <c r="FG305">
        <f t="shared" si="896"/>
        <v>89.000000000000014</v>
      </c>
      <c r="FI305" s="59">
        <f t="shared" si="846"/>
        <v>-50</v>
      </c>
    </row>
    <row r="306" spans="5:169">
      <c r="E306" s="147">
        <v>90</v>
      </c>
      <c r="F306" s="188">
        <f t="shared" si="847"/>
        <v>1.08</v>
      </c>
      <c r="G306" s="188">
        <f t="shared" si="775"/>
        <v>0.22500000000000001</v>
      </c>
      <c r="H306" s="188">
        <f t="shared" si="776"/>
        <v>5.4</v>
      </c>
      <c r="I306" s="188">
        <f t="shared" si="777"/>
        <v>1.8</v>
      </c>
      <c r="J306" s="465">
        <f t="shared" si="778"/>
        <v>59.903161673079367</v>
      </c>
      <c r="K306" s="379">
        <f t="shared" si="779"/>
        <v>5.7368358235246184</v>
      </c>
      <c r="L306" s="149">
        <f t="shared" si="780"/>
        <v>65.639997496603982</v>
      </c>
      <c r="M306" s="379"/>
      <c r="N306" s="188">
        <f t="shared" si="781"/>
        <v>8.7398477183388459E-2</v>
      </c>
      <c r="O306" s="149">
        <f t="shared" si="782"/>
        <v>9.8164595788077307</v>
      </c>
      <c r="P306" s="149">
        <f t="shared" si="783"/>
        <v>4.3628709239145467</v>
      </c>
      <c r="Q306" s="188">
        <f t="shared" si="784"/>
        <v>1.963291915761546</v>
      </c>
      <c r="R306" s="188">
        <f t="shared" si="785"/>
        <v>1.2270574473509663</v>
      </c>
      <c r="S306" s="188">
        <f t="shared" si="786"/>
        <v>5</v>
      </c>
      <c r="T306" s="188">
        <f t="shared" si="787"/>
        <v>2.7504824711231901</v>
      </c>
      <c r="U306" s="188">
        <f t="shared" si="788"/>
        <v>0.55098576989319692</v>
      </c>
      <c r="V306" s="188">
        <f t="shared" si="789"/>
        <v>5.753309083403412</v>
      </c>
      <c r="W306" s="172">
        <f t="shared" si="790"/>
        <v>350</v>
      </c>
      <c r="X306" s="379">
        <f t="shared" si="848"/>
        <v>153.7445676364386</v>
      </c>
      <c r="Z306" s="188">
        <f t="shared" si="791"/>
        <v>1.2465345496898703</v>
      </c>
      <c r="AA306" s="150">
        <f t="shared" si="792"/>
        <v>2.6074329223331754</v>
      </c>
      <c r="AB306" s="150">
        <f t="shared" si="793"/>
        <v>0.42659599810893545</v>
      </c>
      <c r="AC306" s="150"/>
      <c r="AD306" s="150">
        <f t="shared" si="794"/>
        <v>2.0917454096895169</v>
      </c>
      <c r="AE306" s="314">
        <f t="shared" si="795"/>
        <v>1032.6304482344312</v>
      </c>
      <c r="AF306" s="456">
        <f t="shared" si="796"/>
        <v>0.36605544669566548</v>
      </c>
      <c r="AH306" s="150">
        <f t="shared" si="797"/>
        <v>1.8516401995451028</v>
      </c>
      <c r="AI306" s="150">
        <f t="shared" si="798"/>
        <v>2.7504824711231901</v>
      </c>
      <c r="AJ306" s="150">
        <f t="shared" si="799"/>
        <v>2.4966536823134744</v>
      </c>
      <c r="AL306" s="314">
        <f t="shared" si="800"/>
        <v>1080</v>
      </c>
      <c r="AM306" s="144">
        <f t="shared" si="801"/>
        <v>153.7445676364386</v>
      </c>
      <c r="AO306">
        <f t="shared" si="802"/>
        <v>1080</v>
      </c>
      <c r="AP306">
        <f t="shared" si="803"/>
        <v>153.7445676364386</v>
      </c>
      <c r="AR306" s="5">
        <f t="shared" si="774"/>
        <v>6.5042948532966083</v>
      </c>
      <c r="AS306" s="5">
        <f t="shared" si="739"/>
        <v>0.55098576989319692</v>
      </c>
      <c r="AT306" s="5">
        <f t="shared" si="740"/>
        <v>5.9533090834034113</v>
      </c>
      <c r="AU306" s="150">
        <f t="shared" si="741"/>
        <v>8.4711068966059816E-2</v>
      </c>
      <c r="BA306" s="150">
        <f t="shared" si="849"/>
        <v>0.46218764851518257</v>
      </c>
      <c r="BB306" s="150">
        <f t="shared" si="850"/>
        <v>1.5192434034343048</v>
      </c>
      <c r="BC306" s="150">
        <f t="shared" si="851"/>
        <v>0.33959558429707992</v>
      </c>
      <c r="BD306" s="150"/>
      <c r="BE306" s="456">
        <f t="shared" si="852"/>
        <v>4.2723484487998788E-3</v>
      </c>
      <c r="BF306" s="456">
        <f t="shared" si="804"/>
        <v>0.52044937208145547</v>
      </c>
      <c r="BG306" s="456">
        <f t="shared" si="805"/>
        <v>0.23024464228708166</v>
      </c>
      <c r="BH306" s="456">
        <f t="shared" si="853"/>
        <v>6.6242526953869868E-2</v>
      </c>
      <c r="BI306">
        <f t="shared" si="854"/>
        <v>2.6956422752885713E-2</v>
      </c>
      <c r="BJ306" s="144">
        <f t="shared" si="855"/>
        <v>257.20106503996738</v>
      </c>
      <c r="BK306">
        <f t="shared" si="806"/>
        <v>0.59271945700822815</v>
      </c>
      <c r="BL306" s="144">
        <f t="shared" si="856"/>
        <v>848.16531252409254</v>
      </c>
      <c r="BM306" s="150">
        <f t="shared" si="807"/>
        <v>0.67094999999999994</v>
      </c>
      <c r="BN306" s="150">
        <f t="shared" si="808"/>
        <v>9.9843749999999995E-2</v>
      </c>
      <c r="BQ306" s="144">
        <f t="shared" si="857"/>
        <v>770.79374999999993</v>
      </c>
      <c r="BR306" s="456">
        <f t="shared" si="858"/>
        <v>6.4085226731998178E-3</v>
      </c>
      <c r="BS306" s="456">
        <f t="shared" si="859"/>
        <v>6.9243015566359492E-2</v>
      </c>
      <c r="BT306" s="456">
        <f t="shared" si="860"/>
        <v>5.7662580437037563E-4</v>
      </c>
      <c r="BU306" s="456">
        <f t="shared" si="861"/>
        <v>0.18386186322947579</v>
      </c>
      <c r="BV306" s="456"/>
      <c r="BW306" s="538">
        <f t="shared" si="862"/>
        <v>1.1631013037672548E-3</v>
      </c>
      <c r="BX306" s="144">
        <f t="shared" si="863"/>
        <v>261.25312857717267</v>
      </c>
      <c r="BY306" s="150">
        <f t="shared" si="864"/>
        <v>1.8802121911012653</v>
      </c>
      <c r="BZ306" s="5">
        <f t="shared" si="865"/>
        <v>7.2</v>
      </c>
      <c r="CA306" s="150">
        <f t="shared" si="866"/>
        <v>0.79293301174790831</v>
      </c>
      <c r="CB306" s="5">
        <f t="shared" si="867"/>
        <v>79.293301174790827</v>
      </c>
      <c r="CC306">
        <f t="shared" si="868"/>
        <v>90.000000000000014</v>
      </c>
      <c r="CE306" s="59">
        <f t="shared" si="809"/>
        <v>-50</v>
      </c>
      <c r="CG306" s="150">
        <f t="shared" si="810"/>
        <v>0.87957854338036034</v>
      </c>
      <c r="CH306" s="150">
        <f t="shared" si="811"/>
        <v>0.47330172420499933</v>
      </c>
      <c r="CI306" s="147">
        <v>90</v>
      </c>
      <c r="CJ306" s="188">
        <f t="shared" si="869"/>
        <v>1.08</v>
      </c>
      <c r="CK306" s="188">
        <f t="shared" si="812"/>
        <v>0.22500000000000001</v>
      </c>
      <c r="CL306" s="188">
        <f t="shared" si="813"/>
        <v>5.4</v>
      </c>
      <c r="CM306" s="188">
        <f t="shared" si="814"/>
        <v>1.8</v>
      </c>
      <c r="CN306" s="465">
        <f t="shared" si="815"/>
        <v>60</v>
      </c>
      <c r="CO306" s="379">
        <f t="shared" si="816"/>
        <v>5.7</v>
      </c>
      <c r="CP306" s="379">
        <f t="shared" si="817"/>
        <v>65.7</v>
      </c>
      <c r="CQ306" s="379"/>
      <c r="CR306" s="188">
        <f t="shared" si="818"/>
        <v>8.2568807339449546E-2</v>
      </c>
      <c r="CS306" s="149">
        <f t="shared" si="819"/>
        <v>9.2889908256880744</v>
      </c>
      <c r="CT306" s="149">
        <f t="shared" si="820"/>
        <v>4.1284403669724767</v>
      </c>
      <c r="CU306" s="188">
        <f t="shared" si="821"/>
        <v>1.857798165137615</v>
      </c>
      <c r="CV306" s="188">
        <f t="shared" si="822"/>
        <v>1.1611238532110093</v>
      </c>
      <c r="CW306" s="188">
        <f t="shared" si="823"/>
        <v>5</v>
      </c>
      <c r="CX306" s="188">
        <f t="shared" si="824"/>
        <v>2.9066666666666663</v>
      </c>
      <c r="CY306" s="188">
        <f t="shared" si="825"/>
        <v>0.58133333333333337</v>
      </c>
      <c r="CZ306" s="188">
        <f t="shared" si="826"/>
        <v>6.1192982456140346</v>
      </c>
      <c r="DA306" s="172">
        <f t="shared" si="827"/>
        <v>350</v>
      </c>
      <c r="DB306" s="379">
        <f t="shared" si="828"/>
        <v>149.23966318964435</v>
      </c>
      <c r="DD306" s="188">
        <f t="shared" si="829"/>
        <v>1.2393998695368558</v>
      </c>
      <c r="DE306" s="150">
        <f t="shared" si="830"/>
        <v>2.6092628832354858</v>
      </c>
      <c r="DF306" s="150">
        <f t="shared" si="831"/>
        <v>0.4244520101153616</v>
      </c>
      <c r="DG306" s="150"/>
      <c r="DH306" s="150">
        <f t="shared" si="832"/>
        <v>2.1052631578947367</v>
      </c>
      <c r="DI306" s="314">
        <f t="shared" si="833"/>
        <v>1026.0000000000002</v>
      </c>
      <c r="DJ306" s="456">
        <f t="shared" si="834"/>
        <v>0.36842105263157893</v>
      </c>
      <c r="DL306" s="150">
        <f t="shared" si="835"/>
        <v>1.8516401995451028</v>
      </c>
      <c r="DM306" s="150">
        <f t="shared" si="836"/>
        <v>2.9066666666666663</v>
      </c>
      <c r="DN306" s="150">
        <f t="shared" si="837"/>
        <v>2.6123456790123454</v>
      </c>
      <c r="DP306" s="314">
        <f t="shared" si="838"/>
        <v>1080</v>
      </c>
      <c r="DQ306" s="144">
        <f t="shared" si="839"/>
        <v>149.23966318964435</v>
      </c>
      <c r="DS306">
        <f t="shared" si="840"/>
        <v>1080</v>
      </c>
      <c r="DT306">
        <f t="shared" si="841"/>
        <v>149.23966318964435</v>
      </c>
      <c r="DV306" s="5">
        <f t="shared" si="870"/>
        <v>6.7006315789473678</v>
      </c>
      <c r="DW306" s="5">
        <f t="shared" si="842"/>
        <v>0.58133333333333337</v>
      </c>
      <c r="DX306" s="5">
        <f t="shared" si="843"/>
        <v>6.1192982456140346</v>
      </c>
      <c r="DY306" s="150">
        <f t="shared" si="844"/>
        <v>8.6757990867579918E-2</v>
      </c>
      <c r="EA306" s="5">
        <f t="shared" si="871"/>
        <v>12.556800000000001</v>
      </c>
      <c r="EB306" s="5">
        <f t="shared" si="872"/>
        <v>1.635</v>
      </c>
      <c r="EC306" s="5">
        <f t="shared" si="873"/>
        <v>0.2294736842105263</v>
      </c>
      <c r="ED306" s="5"/>
      <c r="EE306" s="150">
        <f t="shared" si="874"/>
        <v>0.49429856073045519</v>
      </c>
      <c r="EF306" s="150">
        <f t="shared" si="875"/>
        <v>1.6037162996916996</v>
      </c>
      <c r="EG306" s="150">
        <f t="shared" si="876"/>
        <v>0.35847776110755636</v>
      </c>
      <c r="EH306" s="150"/>
      <c r="EI306" s="456">
        <f t="shared" si="877"/>
        <v>4.8866213428039899E-3</v>
      </c>
      <c r="EJ306" s="456">
        <f t="shared" si="878"/>
        <v>0.57000000000000006</v>
      </c>
      <c r="EK306" s="456">
        <f t="shared" si="879"/>
        <v>1.865495789870554E-2</v>
      </c>
      <c r="EL306" s="456">
        <f t="shared" si="880"/>
        <v>6.4419151376146816E-2</v>
      </c>
      <c r="EM306">
        <f t="shared" si="881"/>
        <v>2.7E-2</v>
      </c>
      <c r="EN306" s="144">
        <f t="shared" si="882"/>
        <v>45.65495789870554</v>
      </c>
      <c r="EP306" s="144">
        <f t="shared" si="883"/>
        <v>684.96073061765651</v>
      </c>
      <c r="EQ306" s="150">
        <f t="shared" si="884"/>
        <v>0.75600000000000001</v>
      </c>
      <c r="ER306" s="150">
        <f t="shared" si="845"/>
        <v>9.9843749999999995E-2</v>
      </c>
      <c r="ES306" s="456"/>
      <c r="EU306" s="144">
        <f t="shared" si="885"/>
        <v>855.84375</v>
      </c>
      <c r="EV306" s="456">
        <f t="shared" si="886"/>
        <v>7.3299320142059844E-3</v>
      </c>
      <c r="EW306" s="456">
        <f t="shared" si="887"/>
        <v>7.7157179096905115E-2</v>
      </c>
      <c r="EX306" s="456">
        <f t="shared" si="888"/>
        <v>6.4253152604343126E-4</v>
      </c>
      <c r="EY306" s="456">
        <f t="shared" si="889"/>
        <v>0.1959605864325257</v>
      </c>
      <c r="EZ306" s="456"/>
      <c r="FA306" s="538">
        <f t="shared" si="890"/>
        <v>1.2608828006088278E-3</v>
      </c>
      <c r="FB306" s="144">
        <f t="shared" si="891"/>
        <v>282.35111187028906</v>
      </c>
      <c r="FC306" s="150">
        <f t="shared" si="892"/>
        <v>1.8231555924879457</v>
      </c>
      <c r="FD306" s="5">
        <f t="shared" si="893"/>
        <v>7.2</v>
      </c>
      <c r="FE306" s="150">
        <f t="shared" si="894"/>
        <v>0.79794700714173894</v>
      </c>
      <c r="FF306" s="5">
        <f t="shared" si="895"/>
        <v>79.794700714173899</v>
      </c>
      <c r="FG306">
        <f t="shared" si="896"/>
        <v>90.000000000000014</v>
      </c>
      <c r="FI306" s="59">
        <f t="shared" si="846"/>
        <v>-50</v>
      </c>
    </row>
    <row r="307" spans="5:169">
      <c r="E307" s="147">
        <v>91</v>
      </c>
      <c r="F307" s="188">
        <f t="shared" si="847"/>
        <v>1.0920000000000001</v>
      </c>
      <c r="G307" s="188">
        <f t="shared" si="775"/>
        <v>0.22750000000000001</v>
      </c>
      <c r="H307" s="188">
        <f t="shared" si="776"/>
        <v>5.4600000000000009</v>
      </c>
      <c r="I307" s="188">
        <f t="shared" si="777"/>
        <v>1.82</v>
      </c>
      <c r="J307" s="465">
        <f t="shared" si="778"/>
        <v>59.902085691669143</v>
      </c>
      <c r="K307" s="379">
        <f t="shared" si="779"/>
        <v>5.7372451104526698</v>
      </c>
      <c r="L307" s="149">
        <f t="shared" si="780"/>
        <v>65.639330802121819</v>
      </c>
      <c r="M307" s="379"/>
      <c r="N307" s="188">
        <f t="shared" si="781"/>
        <v>8.7405600275669029E-2</v>
      </c>
      <c r="O307" s="149">
        <f t="shared" si="782"/>
        <v>9.8170832955842009</v>
      </c>
      <c r="P307" s="149">
        <f t="shared" si="783"/>
        <v>4.363148131370755</v>
      </c>
      <c r="Q307" s="188">
        <f t="shared" si="784"/>
        <v>1.9634166591168403</v>
      </c>
      <c r="R307" s="188">
        <f t="shared" si="785"/>
        <v>1.2271354119480251</v>
      </c>
      <c r="S307" s="188">
        <f t="shared" si="786"/>
        <v>5</v>
      </c>
      <c r="T307" s="188">
        <f t="shared" si="787"/>
        <v>2.7808666971665357</v>
      </c>
      <c r="U307" s="188">
        <f t="shared" si="788"/>
        <v>0.55708244513829019</v>
      </c>
      <c r="V307" s="188">
        <f t="shared" si="789"/>
        <v>5.8164501818479044</v>
      </c>
      <c r="W307" s="172">
        <f t="shared" si="790"/>
        <v>350</v>
      </c>
      <c r="X307" s="379">
        <f t="shared" si="848"/>
        <v>152.12520523511509</v>
      </c>
      <c r="Z307" s="188">
        <f t="shared" si="791"/>
        <v>1.2466137518202161</v>
      </c>
      <c r="AA307" s="150">
        <f t="shared" si="792"/>
        <v>2.6074125706409457</v>
      </c>
      <c r="AB307" s="150">
        <f t="shared" si="793"/>
        <v>0.42661977319892486</v>
      </c>
      <c r="AC307" s="150"/>
      <c r="AD307" s="150">
        <f t="shared" si="794"/>
        <v>2.0915961875390745</v>
      </c>
      <c r="AE307" s="314">
        <f t="shared" si="795"/>
        <v>1044.1786101023861</v>
      </c>
      <c r="AF307" s="456">
        <f t="shared" si="796"/>
        <v>0.36602933281933803</v>
      </c>
      <c r="AH307" s="150">
        <f t="shared" si="797"/>
        <v>1.8618986725025257</v>
      </c>
      <c r="AI307" s="150">
        <f t="shared" si="798"/>
        <v>2.7808666971665357</v>
      </c>
      <c r="AJ307" s="150">
        <f t="shared" si="799"/>
        <v>2.5191605164196558</v>
      </c>
      <c r="AL307" s="314">
        <f t="shared" si="800"/>
        <v>1092</v>
      </c>
      <c r="AM307" s="144">
        <f t="shared" si="801"/>
        <v>152.12520523511509</v>
      </c>
      <c r="AO307">
        <f t="shared" si="802"/>
        <v>1092</v>
      </c>
      <c r="AP307">
        <f t="shared" si="803"/>
        <v>152.12520523511509</v>
      </c>
      <c r="AR307" s="5">
        <f t="shared" si="774"/>
        <v>6.5735326269861938</v>
      </c>
      <c r="AS307" s="5">
        <f t="shared" ref="AS307:AS316" si="897">L*AI307/J307*1000000</f>
        <v>0.55708244513829019</v>
      </c>
      <c r="AT307" s="5">
        <f t="shared" ref="AT307:AT316" si="898">AR307-AS307</f>
        <v>6.0164501818479037</v>
      </c>
      <c r="AU307" s="150">
        <f t="shared" ref="AU307:AU316" si="899">AS307/AR307</f>
        <v>8.4746281299542134E-2</v>
      </c>
      <c r="BA307" s="150">
        <f t="shared" si="849"/>
        <v>0.46739048717525616</v>
      </c>
      <c r="BB307" s="150">
        <f t="shared" si="850"/>
        <v>1.5359967431502088</v>
      </c>
      <c r="BC307" s="150">
        <f t="shared" si="851"/>
        <v>0.34334044846887024</v>
      </c>
      <c r="BD307" s="150"/>
      <c r="BE307" s="456">
        <f t="shared" si="852"/>
        <v>4.369077350038466E-3</v>
      </c>
      <c r="BF307" s="456">
        <f t="shared" si="804"/>
        <v>0.5206510698179353</v>
      </c>
      <c r="BG307" s="456">
        <f t="shared" si="805"/>
        <v>0.22781542699641547</v>
      </c>
      <c r="BH307" s="456">
        <f t="shared" si="853"/>
        <v>6.5543475519733316E-2</v>
      </c>
      <c r="BI307">
        <f t="shared" si="854"/>
        <v>2.6955938561251114E-2</v>
      </c>
      <c r="BJ307" s="144">
        <f t="shared" si="855"/>
        <v>254.77136555766654</v>
      </c>
      <c r="BK307">
        <f t="shared" si="806"/>
        <v>0.59235819633804376</v>
      </c>
      <c r="BL307" s="144">
        <f t="shared" si="856"/>
        <v>845.33498824537355</v>
      </c>
      <c r="BM307" s="150">
        <f t="shared" si="807"/>
        <v>0.67840499999999992</v>
      </c>
      <c r="BN307" s="150">
        <f t="shared" si="808"/>
        <v>0.100953125</v>
      </c>
      <c r="BQ307" s="144">
        <f t="shared" si="857"/>
        <v>779.35812499999986</v>
      </c>
      <c r="BR307" s="456">
        <f t="shared" si="858"/>
        <v>6.5536160250576989E-3</v>
      </c>
      <c r="BS307" s="456">
        <f t="shared" si="859"/>
        <v>7.0778579849041456E-2</v>
      </c>
      <c r="BT307" s="456">
        <f t="shared" si="860"/>
        <v>5.8941331777402465E-4</v>
      </c>
      <c r="BU307" s="456">
        <f t="shared" si="861"/>
        <v>0.18404472528060717</v>
      </c>
      <c r="BV307" s="456"/>
      <c r="BW307" s="538">
        <f t="shared" si="862"/>
        <v>1.1764176168629458E-3</v>
      </c>
      <c r="BX307" s="144">
        <f t="shared" si="863"/>
        <v>263.14275208934328</v>
      </c>
      <c r="BY307" s="150">
        <f t="shared" si="864"/>
        <v>1.8878358653347167</v>
      </c>
      <c r="BZ307" s="5">
        <f t="shared" si="865"/>
        <v>7.2800000000000011</v>
      </c>
      <c r="CA307" s="150">
        <f t="shared" si="866"/>
        <v>0.79408053404697465</v>
      </c>
      <c r="CB307" s="5">
        <f t="shared" si="867"/>
        <v>79.408053404697469</v>
      </c>
      <c r="CC307">
        <f t="shared" si="868"/>
        <v>91.000000000000014</v>
      </c>
      <c r="CE307" s="59">
        <f t="shared" si="809"/>
        <v>-50</v>
      </c>
      <c r="CG307" s="150">
        <f t="shared" si="810"/>
        <v>0.87957854338036034</v>
      </c>
      <c r="CH307" s="150">
        <f t="shared" si="811"/>
        <v>0.47330172420499927</v>
      </c>
      <c r="CI307" s="147">
        <v>91</v>
      </c>
      <c r="CJ307" s="188">
        <f t="shared" si="869"/>
        <v>1.0920000000000001</v>
      </c>
      <c r="CK307" s="188">
        <f t="shared" si="812"/>
        <v>0.22750000000000001</v>
      </c>
      <c r="CL307" s="188">
        <f t="shared" si="813"/>
        <v>5.4600000000000009</v>
      </c>
      <c r="CM307" s="188">
        <f t="shared" si="814"/>
        <v>1.82</v>
      </c>
      <c r="CN307" s="465">
        <f t="shared" si="815"/>
        <v>60</v>
      </c>
      <c r="CO307" s="379">
        <f t="shared" si="816"/>
        <v>5.7</v>
      </c>
      <c r="CP307" s="379">
        <f t="shared" si="817"/>
        <v>65.7</v>
      </c>
      <c r="CQ307" s="379"/>
      <c r="CR307" s="188">
        <f t="shared" si="818"/>
        <v>8.2568807339449546E-2</v>
      </c>
      <c r="CS307" s="149">
        <f t="shared" si="819"/>
        <v>9.2889908256880744</v>
      </c>
      <c r="CT307" s="149">
        <f t="shared" si="820"/>
        <v>4.1284403669724767</v>
      </c>
      <c r="CU307" s="188">
        <f t="shared" si="821"/>
        <v>1.857798165137615</v>
      </c>
      <c r="CV307" s="188">
        <f t="shared" si="822"/>
        <v>1.1611238532110093</v>
      </c>
      <c r="CW307" s="188">
        <f t="shared" si="823"/>
        <v>5</v>
      </c>
      <c r="CX307" s="188">
        <f t="shared" si="824"/>
        <v>2.9389629629629632</v>
      </c>
      <c r="CY307" s="188">
        <f t="shared" si="825"/>
        <v>0.58779259259259264</v>
      </c>
      <c r="CZ307" s="188">
        <f t="shared" si="826"/>
        <v>6.1872904483430808</v>
      </c>
      <c r="DA307" s="172">
        <f t="shared" si="827"/>
        <v>350</v>
      </c>
      <c r="DB307" s="379">
        <f t="shared" si="828"/>
        <v>147.59966689085701</v>
      </c>
      <c r="DD307" s="188">
        <f t="shared" si="829"/>
        <v>1.2393998695368558</v>
      </c>
      <c r="DE307" s="150">
        <f t="shared" si="830"/>
        <v>2.6092628832354858</v>
      </c>
      <c r="DF307" s="150">
        <f t="shared" si="831"/>
        <v>0.4244520101153616</v>
      </c>
      <c r="DG307" s="150"/>
      <c r="DH307" s="150">
        <f t="shared" si="832"/>
        <v>2.1052631578947367</v>
      </c>
      <c r="DI307" s="314">
        <f t="shared" si="833"/>
        <v>1037.4000000000003</v>
      </c>
      <c r="DJ307" s="456">
        <f t="shared" si="834"/>
        <v>0.36842105263157893</v>
      </c>
      <c r="DL307" s="150">
        <f t="shared" si="835"/>
        <v>1.8618986725025257</v>
      </c>
      <c r="DM307" s="150">
        <f t="shared" si="836"/>
        <v>2.9389629629629632</v>
      </c>
      <c r="DN307" s="150">
        <f t="shared" si="837"/>
        <v>2.636268861454047</v>
      </c>
      <c r="DP307" s="314">
        <f t="shared" si="838"/>
        <v>1092</v>
      </c>
      <c r="DQ307" s="144">
        <f t="shared" si="839"/>
        <v>147.59966689085701</v>
      </c>
      <c r="DS307">
        <f t="shared" si="840"/>
        <v>1092</v>
      </c>
      <c r="DT307">
        <f t="shared" si="841"/>
        <v>147.59966689085701</v>
      </c>
      <c r="DV307" s="5">
        <f t="shared" si="870"/>
        <v>6.7750830409356739</v>
      </c>
      <c r="DW307" s="5">
        <f t="shared" si="842"/>
        <v>0.58779259259259264</v>
      </c>
      <c r="DX307" s="5">
        <f t="shared" si="843"/>
        <v>6.1872904483430808</v>
      </c>
      <c r="DY307" s="150">
        <f t="shared" si="844"/>
        <v>8.6757990867579904E-2</v>
      </c>
      <c r="EA307" s="5">
        <f t="shared" si="871"/>
        <v>12.837390222222224</v>
      </c>
      <c r="EB307" s="5">
        <f t="shared" si="872"/>
        <v>1.6715351851851854</v>
      </c>
      <c r="EC307" s="5">
        <f t="shared" si="873"/>
        <v>0.23460142949967516</v>
      </c>
      <c r="ED307" s="5"/>
      <c r="EE307" s="150">
        <f t="shared" si="874"/>
        <v>0.49979076696079372</v>
      </c>
      <c r="EF307" s="150">
        <f t="shared" si="875"/>
        <v>1.6215353696882744</v>
      </c>
      <c r="EG307" s="150">
        <f t="shared" si="876"/>
        <v>0.36246084734208484</v>
      </c>
      <c r="EH307" s="150"/>
      <c r="EI307" s="456">
        <f t="shared" si="877"/>
        <v>4.9958162147851681E-3</v>
      </c>
      <c r="EJ307" s="456">
        <f t="shared" si="878"/>
        <v>0.57000000000000006</v>
      </c>
      <c r="EK307" s="456">
        <f t="shared" si="879"/>
        <v>1.8449958361357127E-2</v>
      </c>
      <c r="EL307" s="456">
        <f t="shared" si="880"/>
        <v>6.3711248613771546E-2</v>
      </c>
      <c r="EM307">
        <f t="shared" si="881"/>
        <v>2.7E-2</v>
      </c>
      <c r="EN307" s="144">
        <f t="shared" si="882"/>
        <v>45.449958361357126</v>
      </c>
      <c r="EP307" s="144">
        <f t="shared" si="883"/>
        <v>684.15702318991384</v>
      </c>
      <c r="EQ307" s="150">
        <f t="shared" si="884"/>
        <v>0.76439999999999997</v>
      </c>
      <c r="ER307" s="150">
        <f t="shared" si="845"/>
        <v>0.100953125</v>
      </c>
      <c r="ES307" s="456"/>
      <c r="EU307" s="144">
        <f t="shared" si="885"/>
        <v>865.35312499999998</v>
      </c>
      <c r="EV307" s="456">
        <f t="shared" si="886"/>
        <v>7.4937243221777517E-3</v>
      </c>
      <c r="EW307" s="456">
        <f t="shared" si="887"/>
        <v>7.8881308654502658E-2</v>
      </c>
      <c r="EX307" s="456">
        <f t="shared" si="888"/>
        <v>6.5688932927971072E-4</v>
      </c>
      <c r="EY307" s="456">
        <f t="shared" si="889"/>
        <v>0.19596058643252534</v>
      </c>
      <c r="EZ307" s="456"/>
      <c r="FA307" s="538">
        <f t="shared" si="890"/>
        <v>1.2748926095044817E-3</v>
      </c>
      <c r="FB307" s="144">
        <f t="shared" si="891"/>
        <v>284.26740134798996</v>
      </c>
      <c r="FC307" s="150">
        <f t="shared" si="892"/>
        <v>1.8337775495379038</v>
      </c>
      <c r="FD307" s="5">
        <f t="shared" si="893"/>
        <v>7.2800000000000011</v>
      </c>
      <c r="FE307" s="150">
        <f t="shared" si="894"/>
        <v>0.79879061787821648</v>
      </c>
      <c r="FF307" s="5">
        <f t="shared" si="895"/>
        <v>79.879061787821655</v>
      </c>
      <c r="FG307">
        <f t="shared" si="896"/>
        <v>91.000000000000014</v>
      </c>
      <c r="FI307" s="59">
        <f t="shared" si="846"/>
        <v>-50</v>
      </c>
    </row>
    <row r="308" spans="5:169">
      <c r="E308" s="147">
        <v>92</v>
      </c>
      <c r="F308" s="188">
        <f t="shared" si="847"/>
        <v>1.1040000000000001</v>
      </c>
      <c r="G308" s="188">
        <f t="shared" si="775"/>
        <v>0.23</v>
      </c>
      <c r="H308" s="188">
        <f t="shared" si="776"/>
        <v>5.5200000000000005</v>
      </c>
      <c r="I308" s="188">
        <f t="shared" si="777"/>
        <v>1.84</v>
      </c>
      <c r="J308" s="465">
        <f t="shared" si="778"/>
        <v>59.901009710258911</v>
      </c>
      <c r="K308" s="379">
        <f t="shared" si="779"/>
        <v>5.7376543973807212</v>
      </c>
      <c r="L308" s="149">
        <f t="shared" si="780"/>
        <v>65.638664107639627</v>
      </c>
      <c r="M308" s="379"/>
      <c r="N308" s="188">
        <f t="shared" si="781"/>
        <v>8.7412723512648713E-2</v>
      </c>
      <c r="O308" s="149">
        <f t="shared" si="782"/>
        <v>9.8177069998712767</v>
      </c>
      <c r="P308" s="149">
        <f t="shared" si="783"/>
        <v>4.3634253332761226</v>
      </c>
      <c r="Q308" s="188">
        <f t="shared" si="784"/>
        <v>1.9635413999742553</v>
      </c>
      <c r="R308" s="188">
        <f t="shared" si="785"/>
        <v>1.2272133749839096</v>
      </c>
      <c r="S308" s="188">
        <f t="shared" si="786"/>
        <v>5</v>
      </c>
      <c r="T308" s="188">
        <f t="shared" si="787"/>
        <v>2.8112470661796971</v>
      </c>
      <c r="U308" s="188">
        <f t="shared" si="788"/>
        <v>0.56317856672754485</v>
      </c>
      <c r="V308" s="188">
        <f t="shared" si="789"/>
        <v>5.87957420536807</v>
      </c>
      <c r="W308" s="172">
        <f t="shared" si="790"/>
        <v>350</v>
      </c>
      <c r="X308" s="379">
        <f t="shared" si="848"/>
        <v>150.53999965206083</v>
      </c>
      <c r="Z308" s="188">
        <f t="shared" si="791"/>
        <v>1.2466929523646064</v>
      </c>
      <c r="AA308" s="150">
        <f t="shared" si="792"/>
        <v>2.6073922185352894</v>
      </c>
      <c r="AB308" s="150">
        <f t="shared" si="793"/>
        <v>0.42664354725539677</v>
      </c>
      <c r="AC308" s="150"/>
      <c r="AD308" s="150">
        <f t="shared" si="794"/>
        <v>2.0914469866777066</v>
      </c>
      <c r="AE308" s="314">
        <f t="shared" si="795"/>
        <v>1055.7284091180527</v>
      </c>
      <c r="AF308" s="456">
        <f t="shared" si="796"/>
        <v>0.36600322266859864</v>
      </c>
      <c r="AH308" s="150">
        <f t="shared" si="797"/>
        <v>1.8721009333799032</v>
      </c>
      <c r="AI308" s="150">
        <f t="shared" si="798"/>
        <v>2.8112470661796971</v>
      </c>
      <c r="AJ308" s="150">
        <f t="shared" si="799"/>
        <v>2.5416644934664423</v>
      </c>
      <c r="AL308" s="314">
        <f t="shared" si="800"/>
        <v>1104</v>
      </c>
      <c r="AM308" s="144">
        <f t="shared" si="801"/>
        <v>150.53999965206083</v>
      </c>
      <c r="AO308">
        <f t="shared" si="802"/>
        <v>1104</v>
      </c>
      <c r="AP308">
        <f t="shared" si="803"/>
        <v>150.53999965206083</v>
      </c>
      <c r="AR308" s="5">
        <f t="shared" si="774"/>
        <v>6.6427527720956148</v>
      </c>
      <c r="AS308" s="5">
        <f t="shared" si="897"/>
        <v>0.56317856672754485</v>
      </c>
      <c r="AT308" s="5">
        <f t="shared" si="898"/>
        <v>6.0795742053680701</v>
      </c>
      <c r="AU308" s="150">
        <f t="shared" si="899"/>
        <v>8.4780901239212725E-2</v>
      </c>
      <c r="BA308" s="150">
        <f t="shared" si="849"/>
        <v>0.4725931280646416</v>
      </c>
      <c r="BB308" s="150">
        <f t="shared" si="850"/>
        <v>1.5527478087809565</v>
      </c>
      <c r="BC308" s="150">
        <f t="shared" si="851"/>
        <v>0.34708480431574329</v>
      </c>
      <c r="BD308" s="150"/>
      <c r="BE308" s="456">
        <f t="shared" si="852"/>
        <v>4.4668852938784549E-3</v>
      </c>
      <c r="BF308" s="456">
        <f t="shared" si="804"/>
        <v>0.52084911622323327</v>
      </c>
      <c r="BG308" s="456">
        <f t="shared" si="805"/>
        <v>0.22543744952351172</v>
      </c>
      <c r="BH308" s="456">
        <f t="shared" si="853"/>
        <v>6.4859168685820895E-2</v>
      </c>
      <c r="BI308">
        <f t="shared" si="854"/>
        <v>2.6955454369616508E-2</v>
      </c>
      <c r="BJ308" s="144">
        <f t="shared" si="855"/>
        <v>252.39290389312825</v>
      </c>
      <c r="BK308">
        <f t="shared" si="806"/>
        <v>0.59200954787767601</v>
      </c>
      <c r="BL308" s="144">
        <f t="shared" si="856"/>
        <v>842.56807409606097</v>
      </c>
      <c r="BM308" s="150">
        <f t="shared" si="807"/>
        <v>0.68586000000000003</v>
      </c>
      <c r="BN308" s="150">
        <f t="shared" si="808"/>
        <v>0.1020625</v>
      </c>
      <c r="BQ308" s="144">
        <f t="shared" si="857"/>
        <v>787.92250000000013</v>
      </c>
      <c r="BR308" s="456">
        <f t="shared" si="858"/>
        <v>6.7003279408176823E-3</v>
      </c>
      <c r="BS308" s="456">
        <f t="shared" si="859"/>
        <v>7.2330772730221857E-2</v>
      </c>
      <c r="BT308" s="456">
        <f t="shared" si="860"/>
        <v>6.0233930693448913E-4</v>
      </c>
      <c r="BU308" s="456">
        <f t="shared" si="861"/>
        <v>0.18422447141794371</v>
      </c>
      <c r="BV308" s="456"/>
      <c r="BW308" s="538">
        <f t="shared" si="862"/>
        <v>1.1897341867520277E-3</v>
      </c>
      <c r="BX308" s="144">
        <f t="shared" si="863"/>
        <v>265.04764558266976</v>
      </c>
      <c r="BY308" s="150">
        <f t="shared" si="864"/>
        <v>1.8955382196787307</v>
      </c>
      <c r="BZ308" s="5">
        <f t="shared" si="865"/>
        <v>7.36</v>
      </c>
      <c r="CA308" s="150">
        <f t="shared" si="866"/>
        <v>0.79519956865949526</v>
      </c>
      <c r="CB308" s="5">
        <f t="shared" si="867"/>
        <v>79.519956865949524</v>
      </c>
      <c r="CC308">
        <f t="shared" si="868"/>
        <v>92.000000000000014</v>
      </c>
      <c r="CE308" s="59">
        <f t="shared" si="809"/>
        <v>-50</v>
      </c>
      <c r="CG308" s="150">
        <f t="shared" si="810"/>
        <v>0.87957854338036034</v>
      </c>
      <c r="CH308" s="150">
        <f t="shared" si="811"/>
        <v>0.47330172420499939</v>
      </c>
      <c r="CI308" s="147">
        <v>92</v>
      </c>
      <c r="CJ308" s="188">
        <f t="shared" si="869"/>
        <v>1.1040000000000001</v>
      </c>
      <c r="CK308" s="188">
        <f t="shared" si="812"/>
        <v>0.23</v>
      </c>
      <c r="CL308" s="188">
        <f t="shared" si="813"/>
        <v>5.5200000000000005</v>
      </c>
      <c r="CM308" s="188">
        <f t="shared" si="814"/>
        <v>1.84</v>
      </c>
      <c r="CN308" s="465">
        <f t="shared" si="815"/>
        <v>60</v>
      </c>
      <c r="CO308" s="379">
        <f t="shared" si="816"/>
        <v>5.7</v>
      </c>
      <c r="CP308" s="379">
        <f t="shared" si="817"/>
        <v>65.7</v>
      </c>
      <c r="CQ308" s="379"/>
      <c r="CR308" s="188">
        <f t="shared" si="818"/>
        <v>8.2568807339449546E-2</v>
      </c>
      <c r="CS308" s="149">
        <f t="shared" si="819"/>
        <v>9.2889908256880744</v>
      </c>
      <c r="CT308" s="149">
        <f t="shared" si="820"/>
        <v>4.1284403669724767</v>
      </c>
      <c r="CU308" s="188">
        <f t="shared" si="821"/>
        <v>1.857798165137615</v>
      </c>
      <c r="CV308" s="188">
        <f t="shared" si="822"/>
        <v>1.1611238532110093</v>
      </c>
      <c r="CW308" s="188">
        <f t="shared" si="823"/>
        <v>5</v>
      </c>
      <c r="CX308" s="188">
        <f t="shared" si="824"/>
        <v>2.9712592592592593</v>
      </c>
      <c r="CY308" s="188">
        <f t="shared" si="825"/>
        <v>0.59425185185185181</v>
      </c>
      <c r="CZ308" s="188">
        <f t="shared" si="826"/>
        <v>6.2552826510721244</v>
      </c>
      <c r="DA308" s="172">
        <f t="shared" si="827"/>
        <v>350</v>
      </c>
      <c r="DB308" s="379">
        <f t="shared" si="828"/>
        <v>145.99532268552164</v>
      </c>
      <c r="DD308" s="188">
        <f t="shared" si="829"/>
        <v>1.2393998695368558</v>
      </c>
      <c r="DE308" s="150">
        <f t="shared" si="830"/>
        <v>2.6092628832354858</v>
      </c>
      <c r="DF308" s="150">
        <f t="shared" si="831"/>
        <v>0.4244520101153616</v>
      </c>
      <c r="DG308" s="150"/>
      <c r="DH308" s="150">
        <f t="shared" si="832"/>
        <v>2.1052631578947367</v>
      </c>
      <c r="DI308" s="314">
        <f t="shared" si="833"/>
        <v>1048.8000000000002</v>
      </c>
      <c r="DJ308" s="456">
        <f t="shared" si="834"/>
        <v>0.36842105263157893</v>
      </c>
      <c r="DL308" s="150">
        <f t="shared" si="835"/>
        <v>1.8721009333799032</v>
      </c>
      <c r="DM308" s="150">
        <f t="shared" si="836"/>
        <v>2.9712592592592593</v>
      </c>
      <c r="DN308" s="150">
        <f t="shared" si="837"/>
        <v>2.6601920438957478</v>
      </c>
      <c r="DP308" s="314">
        <f t="shared" si="838"/>
        <v>1104</v>
      </c>
      <c r="DQ308" s="144">
        <f t="shared" si="839"/>
        <v>145.99532268552164</v>
      </c>
      <c r="DS308">
        <f t="shared" si="840"/>
        <v>1104</v>
      </c>
      <c r="DT308">
        <f t="shared" si="841"/>
        <v>145.99532268552164</v>
      </c>
      <c r="DV308" s="5">
        <f t="shared" si="870"/>
        <v>6.8495345029239756</v>
      </c>
      <c r="DW308" s="5">
        <f t="shared" si="842"/>
        <v>0.59425185185185181</v>
      </c>
      <c r="DX308" s="5">
        <f t="shared" si="843"/>
        <v>6.2552826510721236</v>
      </c>
      <c r="DY308" s="150">
        <f t="shared" si="844"/>
        <v>8.6757990867579918E-2</v>
      </c>
      <c r="EA308" s="5">
        <f t="shared" si="871"/>
        <v>13.121080888888891</v>
      </c>
      <c r="EB308" s="5">
        <f t="shared" si="872"/>
        <v>1.708474074074074</v>
      </c>
      <c r="EC308" s="5">
        <f t="shared" si="873"/>
        <v>0.23978583495776473</v>
      </c>
      <c r="ED308" s="5"/>
      <c r="EE308" s="150">
        <f t="shared" si="874"/>
        <v>0.50528297319113202</v>
      </c>
      <c r="EF308" s="150">
        <f t="shared" si="875"/>
        <v>1.6393544396848487</v>
      </c>
      <c r="EG308" s="150">
        <f t="shared" si="876"/>
        <v>0.36644393357661326</v>
      </c>
      <c r="EH308" s="150"/>
      <c r="EI308" s="456">
        <f t="shared" si="877"/>
        <v>5.1062176599374056E-3</v>
      </c>
      <c r="EJ308" s="456">
        <f t="shared" si="878"/>
        <v>0.57000000000000006</v>
      </c>
      <c r="EK308" s="456">
        <f t="shared" si="879"/>
        <v>1.8249415335690206E-2</v>
      </c>
      <c r="EL308" s="456">
        <f t="shared" si="880"/>
        <v>6.301873504188274E-2</v>
      </c>
      <c r="EM308">
        <f t="shared" si="881"/>
        <v>2.7E-2</v>
      </c>
      <c r="EN308" s="144">
        <f t="shared" si="882"/>
        <v>45.249415335690209</v>
      </c>
      <c r="EP308" s="144">
        <f t="shared" si="883"/>
        <v>683.37436803751041</v>
      </c>
      <c r="EQ308" s="150">
        <f t="shared" si="884"/>
        <v>0.77280000000000004</v>
      </c>
      <c r="ER308" s="150">
        <f t="shared" si="845"/>
        <v>0.1020625</v>
      </c>
      <c r="ES308" s="456"/>
      <c r="EU308" s="144">
        <f t="shared" si="885"/>
        <v>874.86250000000007</v>
      </c>
      <c r="EV308" s="456">
        <f t="shared" si="886"/>
        <v>7.659326489906108E-3</v>
      </c>
      <c r="EW308" s="456">
        <f t="shared" si="887"/>
        <v>8.0624489367432731E-2</v>
      </c>
      <c r="EX308" s="456">
        <f t="shared" si="888"/>
        <v>6.7140578227550677E-4</v>
      </c>
      <c r="EY308" s="456">
        <f t="shared" si="889"/>
        <v>0.19596058643252559</v>
      </c>
      <c r="EZ308" s="456"/>
      <c r="FA308" s="538">
        <f t="shared" si="890"/>
        <v>1.2889024184001353E-3</v>
      </c>
      <c r="FB308" s="144">
        <f t="shared" si="891"/>
        <v>286.20471049054009</v>
      </c>
      <c r="FC308" s="150">
        <f t="shared" si="892"/>
        <v>1.8444415785280506</v>
      </c>
      <c r="FD308" s="5">
        <f t="shared" si="893"/>
        <v>7.36</v>
      </c>
      <c r="FE308" s="150">
        <f t="shared" si="894"/>
        <v>0.79961396215162794</v>
      </c>
      <c r="FF308" s="5">
        <f t="shared" si="895"/>
        <v>79.961396215162793</v>
      </c>
      <c r="FG308">
        <f t="shared" si="896"/>
        <v>92.000000000000014</v>
      </c>
      <c r="FI308" s="59">
        <f t="shared" si="846"/>
        <v>-50</v>
      </c>
    </row>
    <row r="309" spans="5:169">
      <c r="E309" s="147">
        <v>93</v>
      </c>
      <c r="F309" s="188">
        <f t="shared" si="847"/>
        <v>1.1160000000000001</v>
      </c>
      <c r="G309" s="188">
        <f t="shared" si="775"/>
        <v>0.23250000000000001</v>
      </c>
      <c r="H309" s="188">
        <f t="shared" si="776"/>
        <v>5.58</v>
      </c>
      <c r="I309" s="188">
        <f t="shared" si="777"/>
        <v>1.86</v>
      </c>
      <c r="J309" s="465">
        <f t="shared" si="778"/>
        <v>59.89993372884868</v>
      </c>
      <c r="K309" s="379">
        <f t="shared" si="779"/>
        <v>5.7380636843087727</v>
      </c>
      <c r="L309" s="149">
        <f t="shared" si="780"/>
        <v>65.63799741315745</v>
      </c>
      <c r="M309" s="379"/>
      <c r="N309" s="188">
        <f t="shared" si="781"/>
        <v>8.7419846894331826E-2</v>
      </c>
      <c r="O309" s="149">
        <f t="shared" si="782"/>
        <v>9.818330691668578</v>
      </c>
      <c r="P309" s="149">
        <f t="shared" si="783"/>
        <v>4.3637025296304781</v>
      </c>
      <c r="Q309" s="188">
        <f t="shared" si="784"/>
        <v>1.9636661383337155</v>
      </c>
      <c r="R309" s="188">
        <f t="shared" si="785"/>
        <v>1.2272913364585722</v>
      </c>
      <c r="S309" s="188">
        <f t="shared" si="786"/>
        <v>5</v>
      </c>
      <c r="T309" s="188">
        <f t="shared" si="787"/>
        <v>2.8416235790137696</v>
      </c>
      <c r="U309" s="188">
        <f t="shared" si="788"/>
        <v>0.56927413480162892</v>
      </c>
      <c r="V309" s="188">
        <f t="shared" si="789"/>
        <v>5.9426811593975852</v>
      </c>
      <c r="W309" s="172">
        <f t="shared" si="790"/>
        <v>350</v>
      </c>
      <c r="X309" s="379">
        <f t="shared" si="848"/>
        <v>148.98788149918798</v>
      </c>
      <c r="Z309" s="188">
        <f t="shared" si="791"/>
        <v>1.2467721513229939</v>
      </c>
      <c r="AA309" s="150">
        <f t="shared" si="792"/>
        <v>2.6073718660161949</v>
      </c>
      <c r="AB309" s="150">
        <f t="shared" si="793"/>
        <v>0.42666732027833298</v>
      </c>
      <c r="AC309" s="150"/>
      <c r="AD309" s="150">
        <f t="shared" si="794"/>
        <v>2.0912978071008572</v>
      </c>
      <c r="AE309" s="314">
        <f t="shared" si="795"/>
        <v>1067.2798452814318</v>
      </c>
      <c r="AF309" s="456">
        <f t="shared" si="796"/>
        <v>0.36597711624264995</v>
      </c>
      <c r="AH309" s="150">
        <f t="shared" si="797"/>
        <v>1.8822478962286404</v>
      </c>
      <c r="AI309" s="150">
        <f t="shared" si="798"/>
        <v>2.8416235790137696</v>
      </c>
      <c r="AJ309" s="150">
        <f t="shared" si="799"/>
        <v>2.5641656140842741</v>
      </c>
      <c r="AL309" s="314">
        <f t="shared" si="800"/>
        <v>1116</v>
      </c>
      <c r="AM309" s="144">
        <f t="shared" si="801"/>
        <v>148.98788149918798</v>
      </c>
      <c r="AO309">
        <f t="shared" si="802"/>
        <v>1116</v>
      </c>
      <c r="AP309">
        <f t="shared" si="803"/>
        <v>148.98788149918798</v>
      </c>
      <c r="AR309" s="5">
        <f t="shared" si="774"/>
        <v>6.7119552941992149</v>
      </c>
      <c r="AS309" s="5">
        <f t="shared" si="897"/>
        <v>0.56927413480162892</v>
      </c>
      <c r="AT309" s="5">
        <f t="shared" si="898"/>
        <v>6.1426811593975863</v>
      </c>
      <c r="AU309" s="150">
        <f t="shared" si="899"/>
        <v>8.4814947336377858E-2</v>
      </c>
      <c r="BA309" s="150">
        <f t="shared" si="849"/>
        <v>0.47779557002780948</v>
      </c>
      <c r="BB309" s="150">
        <f t="shared" si="850"/>
        <v>1.5694966013122835</v>
      </c>
      <c r="BC309" s="150">
        <f t="shared" si="851"/>
        <v>0.35082865205803992</v>
      </c>
      <c r="BD309" s="150"/>
      <c r="BE309" s="456">
        <f t="shared" si="852"/>
        <v>4.5657721347639882E-3</v>
      </c>
      <c r="BF309" s="456">
        <f t="shared" si="804"/>
        <v>0.52104362557082751</v>
      </c>
      <c r="BG309" s="456">
        <f t="shared" si="805"/>
        <v>0.22310910570507297</v>
      </c>
      <c r="BH309" s="456">
        <f t="shared" si="853"/>
        <v>6.4189144825400418E-2</v>
      </c>
      <c r="BI309">
        <f t="shared" si="854"/>
        <v>2.6954970177981905E-2</v>
      </c>
      <c r="BJ309" s="144">
        <f t="shared" si="855"/>
        <v>250.0640758830549</v>
      </c>
      <c r="BK309">
        <f t="shared" si="806"/>
        <v>0.59167316430289751</v>
      </c>
      <c r="BL309" s="144">
        <f t="shared" si="856"/>
        <v>839.86261841404678</v>
      </c>
      <c r="BM309" s="150">
        <f t="shared" si="807"/>
        <v>0.69331500000000001</v>
      </c>
      <c r="BN309" s="150">
        <f t="shared" si="808"/>
        <v>0.103171875</v>
      </c>
      <c r="BQ309" s="144">
        <f t="shared" si="857"/>
        <v>796.48687500000005</v>
      </c>
      <c r="BR309" s="456">
        <f t="shared" si="858"/>
        <v>6.8486582021459819E-3</v>
      </c>
      <c r="BS309" s="456">
        <f t="shared" si="859"/>
        <v>7.3899587445924272E-2</v>
      </c>
      <c r="BT309" s="456">
        <f t="shared" si="860"/>
        <v>6.1540371552430619E-4</v>
      </c>
      <c r="BU309" s="456">
        <f t="shared" si="861"/>
        <v>0.1844011970043356</v>
      </c>
      <c r="BV309" s="456"/>
      <c r="BW309" s="538">
        <f t="shared" si="862"/>
        <v>1.2030510053882013E-3</v>
      </c>
      <c r="BX309" s="144">
        <f t="shared" si="863"/>
        <v>266.96789737331841</v>
      </c>
      <c r="BY309" s="150">
        <f t="shared" si="864"/>
        <v>1.9033173907873653</v>
      </c>
      <c r="BZ309" s="5">
        <f t="shared" si="865"/>
        <v>7.44</v>
      </c>
      <c r="CA309" s="150">
        <f t="shared" si="866"/>
        <v>0.79629104833107123</v>
      </c>
      <c r="CB309" s="5">
        <f t="shared" si="867"/>
        <v>79.629104833107121</v>
      </c>
      <c r="CC309">
        <f t="shared" si="868"/>
        <v>93.000000000000014</v>
      </c>
      <c r="CE309" s="59">
        <f t="shared" si="809"/>
        <v>-50</v>
      </c>
      <c r="CG309" s="150">
        <f t="shared" si="810"/>
        <v>0.87957854338036012</v>
      </c>
      <c r="CH309" s="150">
        <f t="shared" si="811"/>
        <v>0.47330172420499933</v>
      </c>
      <c r="CI309" s="147">
        <v>93</v>
      </c>
      <c r="CJ309" s="188">
        <f t="shared" si="869"/>
        <v>1.1160000000000001</v>
      </c>
      <c r="CK309" s="188">
        <f t="shared" si="812"/>
        <v>0.23250000000000001</v>
      </c>
      <c r="CL309" s="188">
        <f t="shared" si="813"/>
        <v>5.58</v>
      </c>
      <c r="CM309" s="188">
        <f t="shared" si="814"/>
        <v>1.86</v>
      </c>
      <c r="CN309" s="465">
        <f t="shared" si="815"/>
        <v>60</v>
      </c>
      <c r="CO309" s="379">
        <f t="shared" si="816"/>
        <v>5.7</v>
      </c>
      <c r="CP309" s="379">
        <f t="shared" si="817"/>
        <v>65.7</v>
      </c>
      <c r="CQ309" s="379"/>
      <c r="CR309" s="188">
        <f t="shared" si="818"/>
        <v>8.2568807339449546E-2</v>
      </c>
      <c r="CS309" s="149">
        <f t="shared" si="819"/>
        <v>9.2889908256880744</v>
      </c>
      <c r="CT309" s="149">
        <f t="shared" si="820"/>
        <v>4.1284403669724767</v>
      </c>
      <c r="CU309" s="188">
        <f t="shared" si="821"/>
        <v>1.857798165137615</v>
      </c>
      <c r="CV309" s="188">
        <f t="shared" si="822"/>
        <v>1.1611238532110093</v>
      </c>
      <c r="CW309" s="188">
        <f t="shared" si="823"/>
        <v>5</v>
      </c>
      <c r="CX309" s="188">
        <f t="shared" si="824"/>
        <v>3.0035555555555553</v>
      </c>
      <c r="CY309" s="188">
        <f t="shared" si="825"/>
        <v>0.60071111111111108</v>
      </c>
      <c r="CZ309" s="188">
        <f t="shared" si="826"/>
        <v>6.3232748538011698</v>
      </c>
      <c r="DA309" s="172">
        <f t="shared" si="827"/>
        <v>350</v>
      </c>
      <c r="DB309" s="379">
        <f t="shared" si="828"/>
        <v>144.42548050610742</v>
      </c>
      <c r="DD309" s="188">
        <f t="shared" si="829"/>
        <v>1.2393998695368558</v>
      </c>
      <c r="DE309" s="150">
        <f t="shared" si="830"/>
        <v>2.6092628832354858</v>
      </c>
      <c r="DF309" s="150">
        <f t="shared" si="831"/>
        <v>0.4244520101153616</v>
      </c>
      <c r="DG309" s="150"/>
      <c r="DH309" s="150">
        <f t="shared" si="832"/>
        <v>2.1052631578947367</v>
      </c>
      <c r="DI309" s="314">
        <f t="shared" si="833"/>
        <v>1060.2000000000003</v>
      </c>
      <c r="DJ309" s="456">
        <f t="shared" si="834"/>
        <v>0.36842105263157893</v>
      </c>
      <c r="DL309" s="150">
        <f t="shared" si="835"/>
        <v>1.8822478962286404</v>
      </c>
      <c r="DM309" s="150">
        <f t="shared" si="836"/>
        <v>3.0035555555555553</v>
      </c>
      <c r="DN309" s="150">
        <f t="shared" si="837"/>
        <v>2.6841152263374486</v>
      </c>
      <c r="DP309" s="314">
        <f t="shared" si="838"/>
        <v>1116</v>
      </c>
      <c r="DQ309" s="144">
        <f t="shared" si="839"/>
        <v>144.42548050610742</v>
      </c>
      <c r="DS309">
        <f t="shared" si="840"/>
        <v>1116</v>
      </c>
      <c r="DT309">
        <f t="shared" si="841"/>
        <v>144.42548050610742</v>
      </c>
      <c r="DV309" s="5">
        <f t="shared" si="870"/>
        <v>6.9239859649122808</v>
      </c>
      <c r="DW309" s="5">
        <f t="shared" si="842"/>
        <v>0.60071111111111108</v>
      </c>
      <c r="DX309" s="5">
        <f t="shared" si="843"/>
        <v>6.3232748538011698</v>
      </c>
      <c r="DY309" s="150">
        <f t="shared" si="844"/>
        <v>8.6757990867579904E-2</v>
      </c>
      <c r="EA309" s="5">
        <f t="shared" si="871"/>
        <v>13.407872000000001</v>
      </c>
      <c r="EB309" s="5">
        <f t="shared" si="872"/>
        <v>1.7458166666666666</v>
      </c>
      <c r="EC309" s="5">
        <f t="shared" si="873"/>
        <v>0.24502690058479532</v>
      </c>
      <c r="ED309" s="5"/>
      <c r="EE309" s="150">
        <f t="shared" si="874"/>
        <v>0.51077517942147044</v>
      </c>
      <c r="EF309" s="150">
        <f t="shared" si="875"/>
        <v>1.6571735096814229</v>
      </c>
      <c r="EG309" s="150">
        <f t="shared" si="876"/>
        <v>0.37042701981114157</v>
      </c>
      <c r="EH309" s="150"/>
      <c r="EI309" s="456">
        <f t="shared" si="877"/>
        <v>5.2178256782607069E-3</v>
      </c>
      <c r="EJ309" s="456">
        <f t="shared" si="878"/>
        <v>0.56999999999999995</v>
      </c>
      <c r="EK309" s="456">
        <f t="shared" si="879"/>
        <v>1.8053185063263429E-2</v>
      </c>
      <c r="EL309" s="456">
        <f t="shared" si="880"/>
        <v>6.2341114234980774E-2</v>
      </c>
      <c r="EM309">
        <f t="shared" si="881"/>
        <v>2.7E-2</v>
      </c>
      <c r="EN309" s="144">
        <f t="shared" si="882"/>
        <v>45.053185063263435</v>
      </c>
      <c r="EP309" s="144">
        <f t="shared" si="883"/>
        <v>682.6121249765049</v>
      </c>
      <c r="EQ309" s="150">
        <f t="shared" si="884"/>
        <v>0.78120000000000001</v>
      </c>
      <c r="ER309" s="150">
        <f t="shared" si="845"/>
        <v>0.103171875</v>
      </c>
      <c r="ES309" s="456"/>
      <c r="EU309" s="144">
        <f t="shared" si="885"/>
        <v>884.37187500000005</v>
      </c>
      <c r="EV309" s="456">
        <f t="shared" si="886"/>
        <v>7.8267385173910603E-3</v>
      </c>
      <c r="EW309" s="456">
        <f t="shared" si="887"/>
        <v>8.2386721235695348E-2</v>
      </c>
      <c r="EX309" s="456">
        <f t="shared" si="888"/>
        <v>6.860808850308194E-4</v>
      </c>
      <c r="EY309" s="456">
        <f t="shared" si="889"/>
        <v>0.19596058643252542</v>
      </c>
      <c r="EZ309" s="456"/>
      <c r="FA309" s="538">
        <f t="shared" si="890"/>
        <v>1.3029122272957888E-3</v>
      </c>
      <c r="FB309" s="144">
        <f t="shared" si="891"/>
        <v>288.16303929793844</v>
      </c>
      <c r="FC309" s="150">
        <f t="shared" si="892"/>
        <v>1.8551470392744434</v>
      </c>
      <c r="FD309" s="5">
        <f t="shared" si="893"/>
        <v>7.44</v>
      </c>
      <c r="FE309" s="150">
        <f t="shared" si="894"/>
        <v>0.80041767694088561</v>
      </c>
      <c r="FF309" s="5">
        <f t="shared" si="895"/>
        <v>80.041767694088563</v>
      </c>
      <c r="FG309">
        <f t="shared" si="896"/>
        <v>93.000000000000014</v>
      </c>
      <c r="FI309" s="59">
        <f t="shared" si="846"/>
        <v>-50</v>
      </c>
    </row>
    <row r="310" spans="5:169">
      <c r="E310" s="147">
        <v>94</v>
      </c>
      <c r="F310" s="188">
        <f t="shared" si="847"/>
        <v>1.1279999999999999</v>
      </c>
      <c r="G310" s="188">
        <f t="shared" si="775"/>
        <v>0.23499999999999999</v>
      </c>
      <c r="H310" s="188">
        <f t="shared" si="776"/>
        <v>5.64</v>
      </c>
      <c r="I310" s="188">
        <f t="shared" si="777"/>
        <v>1.88</v>
      </c>
      <c r="J310" s="465">
        <f t="shared" si="778"/>
        <v>59.898857747438456</v>
      </c>
      <c r="K310" s="379">
        <f t="shared" si="779"/>
        <v>5.7384729712368241</v>
      </c>
      <c r="L310" s="149">
        <f t="shared" si="780"/>
        <v>65.637330718675287</v>
      </c>
      <c r="M310" s="379"/>
      <c r="N310" s="188">
        <f t="shared" si="781"/>
        <v>8.7426970420722797E-2</v>
      </c>
      <c r="O310" s="149">
        <f t="shared" si="782"/>
        <v>9.818954370975721</v>
      </c>
      <c r="P310" s="149">
        <f t="shared" si="783"/>
        <v>4.3639797204336528</v>
      </c>
      <c r="Q310" s="188">
        <f t="shared" si="784"/>
        <v>1.9637908741951442</v>
      </c>
      <c r="R310" s="188">
        <f t="shared" si="785"/>
        <v>1.2273692963719651</v>
      </c>
      <c r="S310" s="188">
        <f t="shared" si="786"/>
        <v>5</v>
      </c>
      <c r="T310" s="188">
        <f t="shared" si="787"/>
        <v>2.8719962365196054</v>
      </c>
      <c r="U310" s="188">
        <f t="shared" si="788"/>
        <v>0.57536914950117057</v>
      </c>
      <c r="V310" s="188">
        <f t="shared" si="789"/>
        <v>6.0057710493680663</v>
      </c>
      <c r="W310" s="172">
        <f t="shared" si="790"/>
        <v>350</v>
      </c>
      <c r="X310" s="379">
        <f t="shared" si="848"/>
        <v>147.46782556814725</v>
      </c>
      <c r="Z310" s="188">
        <f t="shared" si="791"/>
        <v>1.2468513486953297</v>
      </c>
      <c r="AA310" s="150">
        <f t="shared" si="792"/>
        <v>2.6073515130836489</v>
      </c>
      <c r="AB310" s="150">
        <f t="shared" si="793"/>
        <v>0.42669109226771418</v>
      </c>
      <c r="AC310" s="150"/>
      <c r="AD310" s="150">
        <f t="shared" si="794"/>
        <v>2.0911486488039723</v>
      </c>
      <c r="AE310" s="314">
        <f t="shared" si="795"/>
        <v>1078.8329185925227</v>
      </c>
      <c r="AF310" s="456">
        <f t="shared" si="796"/>
        <v>0.36595101354069515</v>
      </c>
      <c r="AH310" s="150">
        <f t="shared" si="797"/>
        <v>1.892340450593492</v>
      </c>
      <c r="AI310" s="150">
        <f t="shared" si="798"/>
        <v>2.8719962365196054</v>
      </c>
      <c r="AJ310" s="150">
        <f t="shared" si="799"/>
        <v>2.5866638789034111</v>
      </c>
      <c r="AL310" s="314">
        <f t="shared" si="800"/>
        <v>1128</v>
      </c>
      <c r="AM310" s="144">
        <f t="shared" si="801"/>
        <v>147.46782556814725</v>
      </c>
      <c r="AO310">
        <f t="shared" si="802"/>
        <v>1128</v>
      </c>
      <c r="AP310">
        <f t="shared" si="803"/>
        <v>147.46782556814725</v>
      </c>
      <c r="AR310" s="5">
        <f t="shared" si="774"/>
        <v>6.7811401988692364</v>
      </c>
      <c r="AS310" s="5">
        <f t="shared" si="897"/>
        <v>0.57536914950117057</v>
      </c>
      <c r="AT310" s="5">
        <f t="shared" si="898"/>
        <v>6.2057710493680656</v>
      </c>
      <c r="AU310" s="150">
        <f t="shared" si="899"/>
        <v>8.4848437375931868E-2</v>
      </c>
      <c r="BA310" s="150">
        <f t="shared" si="849"/>
        <v>0.48299781195935282</v>
      </c>
      <c r="BB310" s="150">
        <f t="shared" si="850"/>
        <v>1.5862431217093014</v>
      </c>
      <c r="BC310" s="150">
        <f t="shared" si="851"/>
        <v>0.35457199191149091</v>
      </c>
      <c r="BD310" s="150"/>
      <c r="BE310" s="456">
        <f t="shared" si="852"/>
        <v>4.6657377271504472E-3</v>
      </c>
      <c r="BF310" s="456">
        <f t="shared" si="804"/>
        <v>0.52123470741320466</v>
      </c>
      <c r="BG310" s="456">
        <f t="shared" si="805"/>
        <v>0.22082885765076296</v>
      </c>
      <c r="BH310" s="456">
        <f t="shared" si="853"/>
        <v>6.3532961382971598E-2</v>
      </c>
      <c r="BI310">
        <f t="shared" si="854"/>
        <v>2.6954485986347303E-2</v>
      </c>
      <c r="BJ310" s="144">
        <f t="shared" si="855"/>
        <v>247.78334363711028</v>
      </c>
      <c r="BK310">
        <f t="shared" si="806"/>
        <v>0.59134871264209521</v>
      </c>
      <c r="BL310" s="144">
        <f t="shared" si="856"/>
        <v>837.21675016043696</v>
      </c>
      <c r="BM310" s="150">
        <f t="shared" si="807"/>
        <v>0.70076999999999989</v>
      </c>
      <c r="BN310" s="150">
        <f t="shared" si="808"/>
        <v>0.10428124999999999</v>
      </c>
      <c r="BQ310" s="144">
        <f t="shared" si="857"/>
        <v>805.05124999999987</v>
      </c>
      <c r="BR310" s="456">
        <f t="shared" si="858"/>
        <v>6.9986065907256699E-3</v>
      </c>
      <c r="BS310" s="456">
        <f t="shared" si="859"/>
        <v>7.5485017235102078E-2</v>
      </c>
      <c r="BT310" s="456">
        <f t="shared" si="860"/>
        <v>6.2860648724041195E-4</v>
      </c>
      <c r="BU310" s="456">
        <f t="shared" si="861"/>
        <v>0.1845749935550336</v>
      </c>
      <c r="BV310" s="456"/>
      <c r="BW310" s="538">
        <f t="shared" si="862"/>
        <v>1.2163680650575848E-3</v>
      </c>
      <c r="BX310" s="144">
        <f t="shared" si="863"/>
        <v>268.9035919331593</v>
      </c>
      <c r="BY310" s="150">
        <f t="shared" si="864"/>
        <v>1.9111715920935965</v>
      </c>
      <c r="BZ310" s="5">
        <f t="shared" si="865"/>
        <v>7.52</v>
      </c>
      <c r="CA310" s="150">
        <f t="shared" si="866"/>
        <v>0.79735586682615522</v>
      </c>
      <c r="CB310" s="5">
        <f t="shared" si="867"/>
        <v>79.735586682615519</v>
      </c>
      <c r="CC310">
        <f t="shared" si="868"/>
        <v>94</v>
      </c>
      <c r="CE310" s="59">
        <f t="shared" si="809"/>
        <v>-50</v>
      </c>
      <c r="CG310" s="150">
        <f t="shared" si="810"/>
        <v>0.87957854338036034</v>
      </c>
      <c r="CH310" s="150">
        <f t="shared" si="811"/>
        <v>0.47330172420499939</v>
      </c>
      <c r="CI310" s="147">
        <v>94</v>
      </c>
      <c r="CJ310" s="188">
        <f t="shared" si="869"/>
        <v>1.1279999999999999</v>
      </c>
      <c r="CK310" s="188">
        <f t="shared" si="812"/>
        <v>0.23499999999999999</v>
      </c>
      <c r="CL310" s="188">
        <f t="shared" si="813"/>
        <v>5.64</v>
      </c>
      <c r="CM310" s="188">
        <f t="shared" si="814"/>
        <v>1.88</v>
      </c>
      <c r="CN310" s="465">
        <f t="shared" si="815"/>
        <v>60</v>
      </c>
      <c r="CO310" s="379">
        <f t="shared" si="816"/>
        <v>5.7</v>
      </c>
      <c r="CP310" s="379">
        <f t="shared" si="817"/>
        <v>65.7</v>
      </c>
      <c r="CQ310" s="379"/>
      <c r="CR310" s="188">
        <f t="shared" si="818"/>
        <v>8.2568807339449546E-2</v>
      </c>
      <c r="CS310" s="149">
        <f t="shared" si="819"/>
        <v>9.2889908256880744</v>
      </c>
      <c r="CT310" s="149">
        <f t="shared" si="820"/>
        <v>4.1284403669724767</v>
      </c>
      <c r="CU310" s="188">
        <f t="shared" si="821"/>
        <v>1.857798165137615</v>
      </c>
      <c r="CV310" s="188">
        <f t="shared" si="822"/>
        <v>1.1611238532110093</v>
      </c>
      <c r="CW310" s="188">
        <f t="shared" si="823"/>
        <v>5</v>
      </c>
      <c r="CX310" s="188">
        <f t="shared" si="824"/>
        <v>3.0358518518518514</v>
      </c>
      <c r="CY310" s="188">
        <f t="shared" si="825"/>
        <v>0.60717037037037036</v>
      </c>
      <c r="CZ310" s="188">
        <f t="shared" si="826"/>
        <v>6.3912670565302134</v>
      </c>
      <c r="DA310" s="172">
        <f t="shared" si="827"/>
        <v>350</v>
      </c>
      <c r="DB310" s="379">
        <f t="shared" si="828"/>
        <v>142.8890392241276</v>
      </c>
      <c r="DD310" s="188">
        <f t="shared" si="829"/>
        <v>1.2393998695368558</v>
      </c>
      <c r="DE310" s="150">
        <f t="shared" si="830"/>
        <v>2.6092628832354858</v>
      </c>
      <c r="DF310" s="150">
        <f t="shared" si="831"/>
        <v>0.4244520101153616</v>
      </c>
      <c r="DG310" s="150"/>
      <c r="DH310" s="150">
        <f t="shared" si="832"/>
        <v>2.1052631578947367</v>
      </c>
      <c r="DI310" s="314">
        <f t="shared" si="833"/>
        <v>1071.5999999999999</v>
      </c>
      <c r="DJ310" s="456">
        <f t="shared" si="834"/>
        <v>0.36842105263157893</v>
      </c>
      <c r="DL310" s="150">
        <f t="shared" si="835"/>
        <v>1.892340450593492</v>
      </c>
      <c r="DM310" s="150">
        <f t="shared" si="836"/>
        <v>3.0358518518518514</v>
      </c>
      <c r="DN310" s="150">
        <f t="shared" si="837"/>
        <v>2.7080384087791494</v>
      </c>
      <c r="DP310" s="314">
        <f t="shared" si="838"/>
        <v>1128</v>
      </c>
      <c r="DQ310" s="144">
        <f t="shared" si="839"/>
        <v>142.8890392241276</v>
      </c>
      <c r="DS310">
        <f t="shared" si="840"/>
        <v>1128</v>
      </c>
      <c r="DT310">
        <f t="shared" si="841"/>
        <v>142.8890392241276</v>
      </c>
      <c r="DV310" s="5">
        <f t="shared" si="870"/>
        <v>6.9984374269005825</v>
      </c>
      <c r="DW310" s="5">
        <f t="shared" si="842"/>
        <v>0.60717037037037036</v>
      </c>
      <c r="DX310" s="5">
        <f t="shared" si="843"/>
        <v>6.3912670565302125</v>
      </c>
      <c r="DY310" s="150">
        <f t="shared" si="844"/>
        <v>8.6757990867579932E-2</v>
      </c>
      <c r="EA310" s="5">
        <f t="shared" si="871"/>
        <v>13.697763555555554</v>
      </c>
      <c r="EB310" s="5">
        <f t="shared" si="872"/>
        <v>1.7835629629629628</v>
      </c>
      <c r="EC310" s="5">
        <f t="shared" si="873"/>
        <v>0.25032462638076663</v>
      </c>
      <c r="ED310" s="5"/>
      <c r="EE310" s="150">
        <f t="shared" si="874"/>
        <v>0.51626738565180885</v>
      </c>
      <c r="EF310" s="150">
        <f t="shared" si="875"/>
        <v>1.6749925796779972</v>
      </c>
      <c r="EG310" s="150">
        <f t="shared" si="876"/>
        <v>0.37441010604566999</v>
      </c>
      <c r="EH310" s="150"/>
      <c r="EI310" s="456">
        <f t="shared" si="877"/>
        <v>5.33064026975507E-3</v>
      </c>
      <c r="EJ310" s="456">
        <f t="shared" si="878"/>
        <v>0.57000000000000006</v>
      </c>
      <c r="EK310" s="456">
        <f t="shared" si="879"/>
        <v>1.786112990301595E-2</v>
      </c>
      <c r="EL310" s="456">
        <f t="shared" si="880"/>
        <v>6.1677910892055467E-2</v>
      </c>
      <c r="EM310">
        <f t="shared" si="881"/>
        <v>2.7E-2</v>
      </c>
      <c r="EN310" s="144">
        <f t="shared" si="882"/>
        <v>44.86112990301595</v>
      </c>
      <c r="EP310" s="144">
        <f t="shared" si="883"/>
        <v>681.86968106482652</v>
      </c>
      <c r="EQ310" s="150">
        <f t="shared" si="884"/>
        <v>0.78959999999999986</v>
      </c>
      <c r="ER310" s="150">
        <f t="shared" si="845"/>
        <v>0.10428124999999999</v>
      </c>
      <c r="ES310" s="456"/>
      <c r="EU310" s="144">
        <f t="shared" si="885"/>
        <v>893.8812499999998</v>
      </c>
      <c r="EV310" s="456">
        <f t="shared" si="886"/>
        <v>7.9959604046326051E-3</v>
      </c>
      <c r="EW310" s="456">
        <f t="shared" si="887"/>
        <v>8.4168004259290552E-2</v>
      </c>
      <c r="EX310" s="456">
        <f t="shared" si="888"/>
        <v>7.0091463754564916E-4</v>
      </c>
      <c r="EY310" s="456">
        <f t="shared" si="889"/>
        <v>0.19596058643252542</v>
      </c>
      <c r="EZ310" s="456"/>
      <c r="FA310" s="538">
        <f t="shared" si="890"/>
        <v>1.3169220361914425E-3</v>
      </c>
      <c r="FB310" s="144">
        <f t="shared" si="891"/>
        <v>290.14238777018568</v>
      </c>
      <c r="FC310" s="150">
        <f t="shared" si="892"/>
        <v>1.865893318835012</v>
      </c>
      <c r="FD310" s="5">
        <f t="shared" si="893"/>
        <v>7.52</v>
      </c>
      <c r="FE310" s="150">
        <f t="shared" si="894"/>
        <v>0.8012023730239235</v>
      </c>
      <c r="FF310" s="5">
        <f t="shared" si="895"/>
        <v>80.120237302392354</v>
      </c>
      <c r="FG310">
        <f t="shared" si="896"/>
        <v>94</v>
      </c>
      <c r="FI310" s="59">
        <f t="shared" si="846"/>
        <v>-50</v>
      </c>
    </row>
    <row r="311" spans="5:169">
      <c r="E311" s="147">
        <v>95</v>
      </c>
      <c r="F311" s="188">
        <f t="shared" si="847"/>
        <v>1.1399999999999999</v>
      </c>
      <c r="G311" s="188">
        <f t="shared" si="775"/>
        <v>0.23749999999999999</v>
      </c>
      <c r="H311" s="188">
        <f t="shared" si="776"/>
        <v>5.6999999999999993</v>
      </c>
      <c r="I311" s="188">
        <f t="shared" si="777"/>
        <v>1.9</v>
      </c>
      <c r="J311" s="465">
        <f t="shared" si="778"/>
        <v>59.897781766028224</v>
      </c>
      <c r="K311" s="379">
        <f t="shared" si="779"/>
        <v>5.7388822581648755</v>
      </c>
      <c r="L311" s="149">
        <f t="shared" si="780"/>
        <v>65.636664024193095</v>
      </c>
      <c r="M311" s="379"/>
      <c r="N311" s="188">
        <f t="shared" si="781"/>
        <v>8.7434094091826092E-2</v>
      </c>
      <c r="O311" s="149">
        <f t="shared" si="782"/>
        <v>9.8195780377923327</v>
      </c>
      <c r="P311" s="149">
        <f t="shared" si="783"/>
        <v>4.3642569056854805</v>
      </c>
      <c r="Q311" s="188">
        <f t="shared" si="784"/>
        <v>1.9639156075584665</v>
      </c>
      <c r="R311" s="188">
        <f t="shared" si="785"/>
        <v>1.2274472547240416</v>
      </c>
      <c r="S311" s="188">
        <f t="shared" si="786"/>
        <v>5</v>
      </c>
      <c r="T311" s="188">
        <f t="shared" si="787"/>
        <v>2.9023650395478149</v>
      </c>
      <c r="U311" s="188">
        <f t="shared" si="788"/>
        <v>0.58146361096676091</v>
      </c>
      <c r="V311" s="188">
        <f t="shared" si="789"/>
        <v>6.0688438807090748</v>
      </c>
      <c r="W311" s="172">
        <f t="shared" si="790"/>
        <v>350</v>
      </c>
      <c r="X311" s="379">
        <f t="shared" si="848"/>
        <v>145.97884857214834</v>
      </c>
      <c r="Z311" s="188">
        <f t="shared" si="791"/>
        <v>1.2469305444815657</v>
      </c>
      <c r="AA311" s="150">
        <f t="shared" si="792"/>
        <v>2.6073311597376394</v>
      </c>
      <c r="AB311" s="150">
        <f t="shared" si="793"/>
        <v>0.42671486322352215</v>
      </c>
      <c r="AC311" s="150"/>
      <c r="AD311" s="150">
        <f t="shared" si="794"/>
        <v>2.0909995117824991</v>
      </c>
      <c r="AE311" s="314">
        <f t="shared" si="795"/>
        <v>1090.387629051326</v>
      </c>
      <c r="AF311" s="456">
        <f t="shared" si="796"/>
        <v>0.36592491456193738</v>
      </c>
      <c r="AH311" s="150">
        <f t="shared" si="797"/>
        <v>1.9023794624226835</v>
      </c>
      <c r="AI311" s="150">
        <f t="shared" si="798"/>
        <v>2.9023650395478149</v>
      </c>
      <c r="AJ311" s="150">
        <f t="shared" si="799"/>
        <v>2.6091592885539372</v>
      </c>
      <c r="AL311" s="314">
        <f t="shared" si="800"/>
        <v>1140</v>
      </c>
      <c r="AM311" s="144">
        <f t="shared" si="801"/>
        <v>145.97884857214834</v>
      </c>
      <c r="AO311">
        <f t="shared" si="802"/>
        <v>1140</v>
      </c>
      <c r="AP311">
        <f t="shared" si="803"/>
        <v>145.97884857214834</v>
      </c>
      <c r="AR311" s="5">
        <f t="shared" si="774"/>
        <v>6.8503074916758342</v>
      </c>
      <c r="AS311" s="5">
        <f t="shared" si="897"/>
        <v>0.58146361096676091</v>
      </c>
      <c r="AT311" s="5">
        <f t="shared" si="898"/>
        <v>6.2688438807090732</v>
      </c>
      <c r="AU311" s="150">
        <f t="shared" si="899"/>
        <v>8.4881388415531375E-2</v>
      </c>
      <c r="BA311" s="150">
        <f t="shared" si="849"/>
        <v>0.48819985280141248</v>
      </c>
      <c r="BB311" s="150">
        <f t="shared" si="850"/>
        <v>1.6029873709175448</v>
      </c>
      <c r="BC311" s="150">
        <f t="shared" si="851"/>
        <v>0.35831482408745119</v>
      </c>
      <c r="BD311" s="150"/>
      <c r="BE311" s="456">
        <f t="shared" si="852"/>
        <v>4.7667819255064166E-3</v>
      </c>
      <c r="BF311" s="456">
        <f t="shared" si="804"/>
        <v>0.52142246682316507</v>
      </c>
      <c r="BG311" s="456">
        <f t="shared" si="805"/>
        <v>0.21859523035576553</v>
      </c>
      <c r="BH311" s="456">
        <f t="shared" si="853"/>
        <v>6.2890193899469302E-2</v>
      </c>
      <c r="BI311">
        <f t="shared" si="854"/>
        <v>2.69540017947127E-2</v>
      </c>
      <c r="BJ311" s="144">
        <f t="shared" si="855"/>
        <v>245.54923215047822</v>
      </c>
      <c r="BK311">
        <f t="shared" si="806"/>
        <v>0.5910358735427802</v>
      </c>
      <c r="BL311" s="144">
        <f t="shared" si="856"/>
        <v>834.62867479861904</v>
      </c>
      <c r="BM311" s="150">
        <f t="shared" si="807"/>
        <v>0.70822499999999988</v>
      </c>
      <c r="BN311" s="150">
        <f t="shared" si="808"/>
        <v>0.10539062499999999</v>
      </c>
      <c r="BQ311" s="144">
        <f t="shared" si="857"/>
        <v>813.6156249999998</v>
      </c>
      <c r="BR311" s="456">
        <f t="shared" si="858"/>
        <v>7.1501728882596245E-3</v>
      </c>
      <c r="BS311" s="456">
        <f t="shared" si="859"/>
        <v>7.7087055339634281E-2</v>
      </c>
      <c r="BT311" s="456">
        <f t="shared" si="860"/>
        <v>6.4194756580410542E-4</v>
      </c>
      <c r="BU311" s="456">
        <f t="shared" si="861"/>
        <v>0.18474594892971327</v>
      </c>
      <c r="BV311" s="456"/>
      <c r="BW311" s="538">
        <f t="shared" si="862"/>
        <v>1.2296853583617221E-3</v>
      </c>
      <c r="BX311" s="144">
        <f t="shared" si="863"/>
        <v>270.854810081773</v>
      </c>
      <c r="BY311" s="150">
        <f t="shared" si="864"/>
        <v>1.919099109880392</v>
      </c>
      <c r="BZ311" s="5">
        <f t="shared" si="865"/>
        <v>7.6</v>
      </c>
      <c r="CA311" s="150">
        <f t="shared" si="866"/>
        <v>0.79839488088862798</v>
      </c>
      <c r="CB311" s="5">
        <f t="shared" si="867"/>
        <v>79.839488088862794</v>
      </c>
      <c r="CC311">
        <f t="shared" si="868"/>
        <v>95</v>
      </c>
      <c r="CE311" s="59">
        <f t="shared" si="809"/>
        <v>-50</v>
      </c>
      <c r="CG311" s="150">
        <f t="shared" si="810"/>
        <v>0.87957854338036034</v>
      </c>
      <c r="CH311" s="150">
        <f t="shared" si="811"/>
        <v>0.47330172420499933</v>
      </c>
      <c r="CI311" s="147">
        <v>95</v>
      </c>
      <c r="CJ311" s="188">
        <f t="shared" si="869"/>
        <v>1.1399999999999999</v>
      </c>
      <c r="CK311" s="188">
        <f t="shared" si="812"/>
        <v>0.23749999999999999</v>
      </c>
      <c r="CL311" s="188">
        <f t="shared" si="813"/>
        <v>5.6999999999999993</v>
      </c>
      <c r="CM311" s="188">
        <f t="shared" si="814"/>
        <v>1.9</v>
      </c>
      <c r="CN311" s="465">
        <f t="shared" si="815"/>
        <v>60</v>
      </c>
      <c r="CO311" s="379">
        <f t="shared" si="816"/>
        <v>5.7</v>
      </c>
      <c r="CP311" s="379">
        <f t="shared" si="817"/>
        <v>65.7</v>
      </c>
      <c r="CQ311" s="379"/>
      <c r="CR311" s="188">
        <f t="shared" si="818"/>
        <v>8.2568807339449546E-2</v>
      </c>
      <c r="CS311" s="149">
        <f t="shared" si="819"/>
        <v>9.2889908256880744</v>
      </c>
      <c r="CT311" s="149">
        <f t="shared" si="820"/>
        <v>4.1284403669724767</v>
      </c>
      <c r="CU311" s="188">
        <f t="shared" si="821"/>
        <v>1.857798165137615</v>
      </c>
      <c r="CV311" s="188">
        <f t="shared" si="822"/>
        <v>1.1611238532110093</v>
      </c>
      <c r="CW311" s="188">
        <f t="shared" si="823"/>
        <v>5</v>
      </c>
      <c r="CX311" s="188">
        <f t="shared" si="824"/>
        <v>3.0681481481481478</v>
      </c>
      <c r="CY311" s="188">
        <f t="shared" si="825"/>
        <v>0.61362962962962964</v>
      </c>
      <c r="CZ311" s="188">
        <f t="shared" si="826"/>
        <v>6.4592592592592579</v>
      </c>
      <c r="DA311" s="172">
        <f t="shared" si="827"/>
        <v>350</v>
      </c>
      <c r="DB311" s="379">
        <f t="shared" si="828"/>
        <v>141.38494407439993</v>
      </c>
      <c r="DD311" s="188">
        <f t="shared" si="829"/>
        <v>1.2393998695368558</v>
      </c>
      <c r="DE311" s="150">
        <f t="shared" si="830"/>
        <v>2.6092628832354858</v>
      </c>
      <c r="DF311" s="150">
        <f t="shared" si="831"/>
        <v>0.4244520101153616</v>
      </c>
      <c r="DG311" s="150"/>
      <c r="DH311" s="150">
        <f t="shared" si="832"/>
        <v>2.1052631578947367</v>
      </c>
      <c r="DI311" s="314">
        <f t="shared" si="833"/>
        <v>1083</v>
      </c>
      <c r="DJ311" s="456">
        <f t="shared" si="834"/>
        <v>0.36842105263157893</v>
      </c>
      <c r="DL311" s="150">
        <f t="shared" si="835"/>
        <v>1.9023794624226835</v>
      </c>
      <c r="DM311" s="150">
        <f t="shared" si="836"/>
        <v>3.0681481481481478</v>
      </c>
      <c r="DN311" s="150">
        <f t="shared" si="837"/>
        <v>2.7319615912208501</v>
      </c>
      <c r="DP311" s="314">
        <f t="shared" si="838"/>
        <v>1140</v>
      </c>
      <c r="DQ311" s="144">
        <f t="shared" si="839"/>
        <v>141.38494407439993</v>
      </c>
      <c r="DS311">
        <f t="shared" si="840"/>
        <v>1140</v>
      </c>
      <c r="DT311">
        <f t="shared" si="841"/>
        <v>141.38494407439993</v>
      </c>
      <c r="DV311" s="5">
        <f t="shared" si="870"/>
        <v>7.0728888888888877</v>
      </c>
      <c r="DW311" s="5">
        <f t="shared" si="842"/>
        <v>0.61362962962962964</v>
      </c>
      <c r="DX311" s="5">
        <f t="shared" si="843"/>
        <v>6.4592592592592579</v>
      </c>
      <c r="DY311" s="150">
        <f t="shared" si="844"/>
        <v>8.6757990867579918E-2</v>
      </c>
      <c r="EA311" s="5">
        <f t="shared" si="871"/>
        <v>13.990755555555554</v>
      </c>
      <c r="EB311" s="5">
        <f t="shared" si="872"/>
        <v>1.8217129629629629</v>
      </c>
      <c r="EC311" s="5">
        <f t="shared" si="873"/>
        <v>0.25567901234567886</v>
      </c>
      <c r="ED311" s="5"/>
      <c r="EE311" s="150">
        <f t="shared" si="874"/>
        <v>0.52175959188214716</v>
      </c>
      <c r="EF311" s="150">
        <f t="shared" si="875"/>
        <v>1.6928116496745718</v>
      </c>
      <c r="EG311" s="150">
        <f t="shared" si="876"/>
        <v>0.37839319228019846</v>
      </c>
      <c r="EH311" s="150"/>
      <c r="EI311" s="456">
        <f t="shared" si="877"/>
        <v>5.4446614344204952E-3</v>
      </c>
      <c r="EJ311" s="456">
        <f t="shared" si="878"/>
        <v>0.57000000000000006</v>
      </c>
      <c r="EK311" s="456">
        <f t="shared" si="879"/>
        <v>1.7673118009299989E-2</v>
      </c>
      <c r="EL311" s="456">
        <f t="shared" si="880"/>
        <v>6.1028669724770668E-2</v>
      </c>
      <c r="EM311">
        <f t="shared" si="881"/>
        <v>2.7E-2</v>
      </c>
      <c r="EN311" s="144">
        <f t="shared" si="882"/>
        <v>44.673118009299991</v>
      </c>
      <c r="EP311" s="144">
        <f t="shared" si="883"/>
        <v>681.14644916849124</v>
      </c>
      <c r="EQ311" s="150">
        <f t="shared" si="884"/>
        <v>0.79799999999999993</v>
      </c>
      <c r="ER311" s="150">
        <f t="shared" si="845"/>
        <v>0.10539062499999999</v>
      </c>
      <c r="ES311" s="456"/>
      <c r="EU311" s="144">
        <f t="shared" si="885"/>
        <v>903.39062499999989</v>
      </c>
      <c r="EV311" s="456">
        <f t="shared" si="886"/>
        <v>8.1669921516307423E-3</v>
      </c>
      <c r="EW311" s="456">
        <f t="shared" si="887"/>
        <v>8.5968338438218342E-2</v>
      </c>
      <c r="EX311" s="456">
        <f t="shared" si="888"/>
        <v>7.1590703981999626E-4</v>
      </c>
      <c r="EY311" s="456">
        <f t="shared" si="889"/>
        <v>0.19596058643252559</v>
      </c>
      <c r="EZ311" s="456"/>
      <c r="FA311" s="538">
        <f t="shared" si="890"/>
        <v>1.3309318450870963E-3</v>
      </c>
      <c r="FB311" s="144">
        <f t="shared" si="891"/>
        <v>292.14275590728175</v>
      </c>
      <c r="FC311" s="150">
        <f t="shared" si="892"/>
        <v>1.876679830075773</v>
      </c>
      <c r="FD311" s="5">
        <f t="shared" si="893"/>
        <v>7.6</v>
      </c>
      <c r="FE311" s="150">
        <f t="shared" si="894"/>
        <v>0.80196863630236548</v>
      </c>
      <c r="FF311" s="5">
        <f t="shared" si="895"/>
        <v>80.19686363023655</v>
      </c>
      <c r="FG311">
        <f t="shared" si="896"/>
        <v>95</v>
      </c>
      <c r="FI311" s="59">
        <f t="shared" si="846"/>
        <v>-50</v>
      </c>
    </row>
    <row r="312" spans="5:169">
      <c r="E312" s="147">
        <v>96</v>
      </c>
      <c r="F312" s="188">
        <f t="shared" si="847"/>
        <v>1.1519999999999999</v>
      </c>
      <c r="G312" s="188">
        <f t="shared" si="775"/>
        <v>0.24</v>
      </c>
      <c r="H312" s="188">
        <f t="shared" si="776"/>
        <v>5.76</v>
      </c>
      <c r="I312" s="188">
        <f t="shared" si="777"/>
        <v>1.92</v>
      </c>
      <c r="J312" s="465">
        <f t="shared" si="778"/>
        <v>59.896705784617993</v>
      </c>
      <c r="K312" s="379">
        <f t="shared" si="779"/>
        <v>5.7392915450929269</v>
      </c>
      <c r="L312" s="149">
        <f t="shared" si="780"/>
        <v>65.635997329710918</v>
      </c>
      <c r="M312" s="379"/>
      <c r="N312" s="188">
        <f t="shared" si="781"/>
        <v>8.7441217907646057E-2</v>
      </c>
      <c r="O312" s="149">
        <f>N312*J312*Isw_max*0.5*Efficiency*Pout/(Pout+Pout2)</f>
        <v>9.8202016921180224</v>
      </c>
      <c r="P312" s="149">
        <f t="shared" si="783"/>
        <v>4.3645340853857881</v>
      </c>
      <c r="Q312" s="188">
        <f t="shared" si="784"/>
        <v>1.9640403384236045</v>
      </c>
      <c r="R312" s="188">
        <f t="shared" si="785"/>
        <v>1.2275252115147528</v>
      </c>
      <c r="S312" s="188">
        <f t="shared" si="786"/>
        <v>5</v>
      </c>
      <c r="T312" s="188">
        <f t="shared" si="787"/>
        <v>2.9327299889487719</v>
      </c>
      <c r="U312" s="188">
        <f t="shared" si="788"/>
        <v>0.58755751933895295</v>
      </c>
      <c r="V312" s="188">
        <f t="shared" si="789"/>
        <v>6.1318996588481278</v>
      </c>
      <c r="W312" s="172">
        <f t="shared" si="790"/>
        <v>350</v>
      </c>
      <c r="X312" s="379">
        <f t="shared" si="848"/>
        <v>144.52000702488675</v>
      </c>
      <c r="Z312" s="188">
        <f t="shared" si="791"/>
        <v>1.2470097386816539</v>
      </c>
      <c r="AA312" s="150">
        <f t="shared" si="792"/>
        <v>2.6073108059781545</v>
      </c>
      <c r="AB312" s="150">
        <f>0.5*AA312*Z312*Nps*W312/1000*(Pout/(Pout+Pout2))</f>
        <v>0.42673863314573801</v>
      </c>
      <c r="AC312" s="150"/>
      <c r="AD312" s="150">
        <f t="shared" si="794"/>
        <v>2.090850396031886</v>
      </c>
      <c r="AE312" s="314">
        <f>MAX(10, F312/(0.5*AD312/1000000*Isw_min*Nps)/1000*Pout_total/Pout)</f>
        <v>1101.9439766578419</v>
      </c>
      <c r="AF312" s="456">
        <f t="shared" si="796"/>
        <v>0.36589881930558005</v>
      </c>
      <c r="AH312" s="150">
        <f t="shared" si="797"/>
        <v>1.9123657749350298</v>
      </c>
      <c r="AI312" s="150">
        <f>MAX(IF(F312&gt;AB312,T312,AH312),Isw_min)</f>
        <v>2.9327299889487719</v>
      </c>
      <c r="AJ312" s="150">
        <f>IF(F312&gt;AF312, (AI312-Isw_min)/1.08*0.8+1.2, AE312*0.2/350+1)</f>
        <v>2.631651843665757</v>
      </c>
      <c r="AL312" s="314">
        <f t="shared" si="800"/>
        <v>1152</v>
      </c>
      <c r="AM312" s="144">
        <f t="shared" si="801"/>
        <v>144.52000702488675</v>
      </c>
      <c r="AO312">
        <f t="shared" si="802"/>
        <v>1152</v>
      </c>
      <c r="AP312">
        <f t="shared" si="803"/>
        <v>144.52000702488675</v>
      </c>
      <c r="AR312" s="5">
        <f t="shared" si="774"/>
        <v>6.9194571781870806</v>
      </c>
      <c r="AS312" s="5">
        <f t="shared" si="897"/>
        <v>0.58755751933895295</v>
      </c>
      <c r="AT312" s="5">
        <f t="shared" si="898"/>
        <v>6.331899658848128</v>
      </c>
      <c r="AU312" s="150">
        <f t="shared" si="899"/>
        <v>8.491381682239052E-2</v>
      </c>
      <c r="BA312" s="150">
        <f t="shared" si="849"/>
        <v>0.49340169154125929</v>
      </c>
      <c r="BB312" s="150">
        <f t="shared" si="850"/>
        <v>1.6197293498639556</v>
      </c>
      <c r="BC312" s="150">
        <f t="shared" si="851"/>
        <v>0.36205714879311951</v>
      </c>
      <c r="BD312" s="150"/>
      <c r="BE312" s="456">
        <f t="shared" si="852"/>
        <v>4.8689045843155199E-3</v>
      </c>
      <c r="BF312" s="456">
        <f t="shared" si="804"/>
        <v>0.52160700462047949</v>
      </c>
      <c r="BG312" s="456">
        <f t="shared" si="805"/>
        <v>0.21640680851901417</v>
      </c>
      <c r="BH312" s="456">
        <f t="shared" si="853"/>
        <v>6.2260435096652342E-2</v>
      </c>
      <c r="BI312">
        <f t="shared" si="854"/>
        <v>2.6953517603078098E-2</v>
      </c>
      <c r="BJ312" s="144">
        <f t="shared" si="855"/>
        <v>243.36032612209226</v>
      </c>
      <c r="BK312">
        <f t="shared" si="806"/>
        <v>0.59073434058263319</v>
      </c>
      <c r="BL312" s="144">
        <f t="shared" si="856"/>
        <v>832.09667042353965</v>
      </c>
      <c r="BM312" s="150">
        <f t="shared" si="807"/>
        <v>0.71567999999999987</v>
      </c>
      <c r="BN312" s="150">
        <f t="shared" si="808"/>
        <v>0.1065</v>
      </c>
      <c r="BQ312" s="144">
        <f t="shared" si="857"/>
        <v>822.18</v>
      </c>
      <c r="BR312" s="456">
        <f t="shared" si="858"/>
        <v>7.3033568764732798E-3</v>
      </c>
      <c r="BS312" s="456">
        <f t="shared" si="859"/>
        <v>7.8705695004321355E-2</v>
      </c>
      <c r="BT312" s="456">
        <f t="shared" si="860"/>
        <v>6.5542689496101542E-4</v>
      </c>
      <c r="BU312" s="456">
        <f t="shared" si="861"/>
        <v>0.18491414751312207</v>
      </c>
      <c r="BV312" s="456"/>
      <c r="BW312" s="538">
        <f t="shared" si="862"/>
        <v>1.243002878201629E-3</v>
      </c>
      <c r="BX312" s="144">
        <f t="shared" si="863"/>
        <v>272.82162916707938</v>
      </c>
      <c r="BY312" s="150">
        <f t="shared" si="864"/>
        <v>1.9270982995906192</v>
      </c>
      <c r="BZ312" s="5">
        <f t="shared" si="865"/>
        <v>7.68</v>
      </c>
      <c r="CA312" s="150">
        <f t="shared" si="866"/>
        <v>0.7994089120881861</v>
      </c>
      <c r="CB312" s="5">
        <f t="shared" si="867"/>
        <v>79.940891208818613</v>
      </c>
      <c r="CC312">
        <f t="shared" si="868"/>
        <v>96</v>
      </c>
      <c r="CE312" s="59">
        <f t="shared" si="809"/>
        <v>-50</v>
      </c>
      <c r="CG312" s="150">
        <f t="shared" si="810"/>
        <v>0.87957854338036034</v>
      </c>
      <c r="CH312" s="150">
        <f t="shared" si="811"/>
        <v>0.47330172420499939</v>
      </c>
      <c r="CI312" s="147">
        <v>96</v>
      </c>
      <c r="CJ312" s="188">
        <f t="shared" si="869"/>
        <v>1.1519999999999999</v>
      </c>
      <c r="CK312" s="188">
        <f t="shared" si="812"/>
        <v>0.24</v>
      </c>
      <c r="CL312" s="188">
        <f t="shared" si="813"/>
        <v>5.76</v>
      </c>
      <c r="CM312" s="188">
        <f t="shared" si="814"/>
        <v>1.92</v>
      </c>
      <c r="CN312" s="465">
        <f t="shared" si="815"/>
        <v>60</v>
      </c>
      <c r="CO312" s="379">
        <f t="shared" si="816"/>
        <v>5.7</v>
      </c>
      <c r="CP312" s="379">
        <f t="shared" si="817"/>
        <v>65.7</v>
      </c>
      <c r="CQ312" s="379"/>
      <c r="CR312" s="188">
        <f t="shared" si="818"/>
        <v>8.2568807339449546E-2</v>
      </c>
      <c r="CS312" s="149">
        <f t="shared" si="819"/>
        <v>9.2889908256880744</v>
      </c>
      <c r="CT312" s="149">
        <f t="shared" si="820"/>
        <v>4.1284403669724767</v>
      </c>
      <c r="CU312" s="188">
        <f t="shared" si="821"/>
        <v>1.857798165137615</v>
      </c>
      <c r="CV312" s="188">
        <f t="shared" si="822"/>
        <v>1.1611238532110093</v>
      </c>
      <c r="CW312" s="188">
        <f t="shared" si="823"/>
        <v>5</v>
      </c>
      <c r="CX312" s="188">
        <f t="shared" si="824"/>
        <v>3.1004444444444439</v>
      </c>
      <c r="CY312" s="188">
        <f t="shared" si="825"/>
        <v>0.6200888888888888</v>
      </c>
      <c r="CZ312" s="188">
        <f t="shared" si="826"/>
        <v>6.5272514619883033</v>
      </c>
      <c r="DA312" s="172">
        <f t="shared" si="827"/>
        <v>350</v>
      </c>
      <c r="DB312" s="379">
        <f t="shared" si="828"/>
        <v>139.91218424029159</v>
      </c>
      <c r="DD312" s="188">
        <f t="shared" si="829"/>
        <v>1.2393998695368558</v>
      </c>
      <c r="DE312" s="150">
        <f t="shared" si="830"/>
        <v>2.6092628832354858</v>
      </c>
      <c r="DF312" s="150">
        <f t="shared" si="831"/>
        <v>0.4244520101153616</v>
      </c>
      <c r="DG312" s="150"/>
      <c r="DH312" s="150">
        <f t="shared" si="832"/>
        <v>2.1052631578947367</v>
      </c>
      <c r="DI312" s="314">
        <f t="shared" si="833"/>
        <v>1094.4000000000001</v>
      </c>
      <c r="DJ312" s="456">
        <f t="shared" si="834"/>
        <v>0.36842105263157893</v>
      </c>
      <c r="DL312" s="150">
        <f t="shared" si="835"/>
        <v>1.9123657749350298</v>
      </c>
      <c r="DM312" s="150">
        <f t="shared" si="836"/>
        <v>3.1004444444444439</v>
      </c>
      <c r="DN312" s="150">
        <f t="shared" si="837"/>
        <v>2.7558847736625509</v>
      </c>
      <c r="DP312" s="314">
        <f t="shared" si="838"/>
        <v>1152</v>
      </c>
      <c r="DQ312" s="144">
        <f t="shared" si="839"/>
        <v>139.91218424029159</v>
      </c>
      <c r="DS312">
        <f t="shared" si="840"/>
        <v>1152</v>
      </c>
      <c r="DT312">
        <f t="shared" si="841"/>
        <v>139.91218424029159</v>
      </c>
      <c r="DV312" s="5">
        <f t="shared" si="870"/>
        <v>7.1473403508771911</v>
      </c>
      <c r="DW312" s="5">
        <f t="shared" si="842"/>
        <v>0.6200888888888888</v>
      </c>
      <c r="DX312" s="5">
        <f t="shared" si="843"/>
        <v>6.5272514619883024</v>
      </c>
      <c r="DY312" s="150">
        <f t="shared" si="844"/>
        <v>8.6757990867579918E-2</v>
      </c>
      <c r="EA312" s="5">
        <f t="shared" si="871"/>
        <v>14.286847999999996</v>
      </c>
      <c r="EB312" s="5">
        <f t="shared" si="872"/>
        <v>1.8602666666666663</v>
      </c>
      <c r="EC312" s="5">
        <f t="shared" si="873"/>
        <v>0.26109005847953209</v>
      </c>
      <c r="ED312" s="5"/>
      <c r="EE312" s="150">
        <f t="shared" si="874"/>
        <v>0.52725179811248557</v>
      </c>
      <c r="EF312" s="150">
        <f t="shared" si="875"/>
        <v>1.7106307196711461</v>
      </c>
      <c r="EG312" s="150">
        <f t="shared" si="876"/>
        <v>0.38237627851472678</v>
      </c>
      <c r="EH312" s="150"/>
      <c r="EI312" s="456">
        <f t="shared" si="877"/>
        <v>5.559889172256984E-3</v>
      </c>
      <c r="EJ312" s="456">
        <f t="shared" si="878"/>
        <v>0.57000000000000006</v>
      </c>
      <c r="EK312" s="456">
        <f t="shared" si="879"/>
        <v>1.7489023030036448E-2</v>
      </c>
      <c r="EL312" s="456">
        <f t="shared" si="880"/>
        <v>6.0392954415137638E-2</v>
      </c>
      <c r="EM312">
        <f t="shared" si="881"/>
        <v>2.7E-2</v>
      </c>
      <c r="EN312" s="144">
        <f t="shared" si="882"/>
        <v>44.489023030036449</v>
      </c>
      <c r="EP312" s="144">
        <f t="shared" si="883"/>
        <v>680.44186661743106</v>
      </c>
      <c r="EQ312" s="150">
        <f t="shared" si="884"/>
        <v>0.80639999999999989</v>
      </c>
      <c r="ER312" s="150">
        <f t="shared" si="845"/>
        <v>0.1065</v>
      </c>
      <c r="ES312" s="456"/>
      <c r="EU312" s="144">
        <f t="shared" si="885"/>
        <v>912.9</v>
      </c>
      <c r="EV312" s="456">
        <f t="shared" si="886"/>
        <v>8.3398337583854756E-3</v>
      </c>
      <c r="EW312" s="456">
        <f t="shared" si="887"/>
        <v>8.778772377247869E-2</v>
      </c>
      <c r="EX312" s="456">
        <f t="shared" si="888"/>
        <v>7.3105809185385951E-4</v>
      </c>
      <c r="EY312" s="456">
        <f t="shared" si="889"/>
        <v>0.1959605864325257</v>
      </c>
      <c r="EZ312" s="456"/>
      <c r="FA312" s="538">
        <f t="shared" si="890"/>
        <v>1.3449416539827498E-3</v>
      </c>
      <c r="FB312" s="144">
        <f t="shared" si="891"/>
        <v>294.16414370922644</v>
      </c>
      <c r="FC312" s="150">
        <f t="shared" si="892"/>
        <v>1.8875060103266577</v>
      </c>
      <c r="FD312" s="5">
        <f t="shared" si="893"/>
        <v>7.68</v>
      </c>
      <c r="FE312" s="150">
        <f t="shared" si="894"/>
        <v>0.80271702904713271</v>
      </c>
      <c r="FF312" s="5">
        <f t="shared" si="895"/>
        <v>80.271702904713266</v>
      </c>
      <c r="FG312">
        <f t="shared" si="896"/>
        <v>96</v>
      </c>
      <c r="FI312" s="59">
        <f t="shared" si="846"/>
        <v>-50</v>
      </c>
    </row>
    <row r="313" spans="5:169">
      <c r="E313" s="147">
        <v>97</v>
      </c>
      <c r="F313" s="188">
        <f>IF(PLOT_TYPE=1, E313/100*Iout_max, min_I*EXP(O313*rr/100))</f>
        <v>1.1639999999999999</v>
      </c>
      <c r="G313" s="188">
        <f t="shared" si="775"/>
        <v>0.24249999999999999</v>
      </c>
      <c r="H313" s="188">
        <f t="shared" si="776"/>
        <v>5.8199999999999994</v>
      </c>
      <c r="I313" s="188">
        <f t="shared" si="777"/>
        <v>1.94</v>
      </c>
      <c r="J313" s="465">
        <f t="shared" si="778"/>
        <v>59.895629803207761</v>
      </c>
      <c r="K313" s="379">
        <f t="shared" si="779"/>
        <v>5.7397008320209784</v>
      </c>
      <c r="L313" s="149">
        <f t="shared" si="780"/>
        <v>65.63533063522874</v>
      </c>
      <c r="M313" s="379"/>
      <c r="N313" s="188">
        <f t="shared" si="781"/>
        <v>8.7448341868187118E-2</v>
      </c>
      <c r="O313" s="149">
        <f>N313*J313*Isw_max*0.5*Efficiency*Pout/(Pout+Pout2)</f>
        <v>9.820825333952417</v>
      </c>
      <c r="P313" s="149">
        <f t="shared" si="783"/>
        <v>4.3648112595344077</v>
      </c>
      <c r="Q313" s="188">
        <f t="shared" si="784"/>
        <v>1.9641650667904833</v>
      </c>
      <c r="R313" s="188">
        <f t="shared" si="785"/>
        <v>1.2276031667440521</v>
      </c>
      <c r="S313" s="188">
        <f t="shared" si="786"/>
        <v>5</v>
      </c>
      <c r="T313" s="188">
        <f t="shared" si="787"/>
        <v>2.963091085572604</v>
      </c>
      <c r="U313" s="188">
        <f t="shared" si="788"/>
        <v>0.59365087475826095</v>
      </c>
      <c r="V313" s="188">
        <f t="shared" si="789"/>
        <v>6.1949383892106828</v>
      </c>
      <c r="W313" s="172">
        <f t="shared" si="790"/>
        <v>350</v>
      </c>
      <c r="X313" s="379">
        <f t="shared" si="848"/>
        <v>143.09039524696323</v>
      </c>
      <c r="Z313" s="188">
        <f t="shared" si="791"/>
        <v>1.2470889312955451</v>
      </c>
      <c r="AA313" s="150">
        <f t="shared" si="792"/>
        <v>2.6072904518051794</v>
      </c>
      <c r="AB313" s="150">
        <f>0.5*AA313*Z313*Nps*W313/1000*(Pout/(Pout+Pout2))</f>
        <v>0.42676240203434257</v>
      </c>
      <c r="AC313" s="150"/>
      <c r="AD313" s="150">
        <f t="shared" si="794"/>
        <v>2.0907013015475822</v>
      </c>
      <c r="AE313" s="314">
        <f>MAX(10, F313/(0.5*AD313/1000000*Isw_min*Nps)/1000*Pout_total/Pout)</f>
        <v>1113.5019614120697</v>
      </c>
      <c r="AF313" s="456">
        <f t="shared" si="796"/>
        <v>0.36587272777082691</v>
      </c>
      <c r="AH313" s="150">
        <f t="shared" si="797"/>
        <v>1.9223002094465096</v>
      </c>
      <c r="AI313" s="150">
        <f>MAX(IF(F313&gt;AB313,T313,AH313),Isw_min)</f>
        <v>2.963091085572604</v>
      </c>
      <c r="AJ313" s="150">
        <f>IF(F313&gt;AF313, (AI313-Isw_min)/1.08*0.8+1.2, AE313*0.2/350+1)</f>
        <v>2.6541415448685957</v>
      </c>
      <c r="AL313" s="314">
        <f t="shared" si="800"/>
        <v>1164</v>
      </c>
      <c r="AM313" s="144">
        <f t="shared" si="801"/>
        <v>143.09039524696323</v>
      </c>
      <c r="AO313">
        <f t="shared" si="802"/>
        <v>1164</v>
      </c>
      <c r="AP313">
        <f t="shared" si="803"/>
        <v>143.09039524696323</v>
      </c>
      <c r="AR313" s="5">
        <f t="shared" si="774"/>
        <v>6.9885892639689438</v>
      </c>
      <c r="AS313" s="5">
        <f t="shared" si="897"/>
        <v>0.59365087475826095</v>
      </c>
      <c r="AT313" s="5">
        <f t="shared" si="898"/>
        <v>6.394938389210683</v>
      </c>
      <c r="AU313" s="150">
        <f t="shared" si="899"/>
        <v>8.4945738307865032E-2</v>
      </c>
      <c r="BA313" s="150">
        <f t="shared" si="849"/>
        <v>0.49860332720902045</v>
      </c>
      <c r="BB313" s="150">
        <f t="shared" si="850"/>
        <v>1.6364690594578029</v>
      </c>
      <c r="BC313" s="150">
        <f t="shared" si="851"/>
        <v>0.36579896623174413</v>
      </c>
      <c r="BD313" s="150"/>
      <c r="BE313" s="456">
        <f t="shared" si="852"/>
        <v>4.9721055580781107E-3</v>
      </c>
      <c r="BF313" s="456">
        <f t="shared" si="804"/>
        <v>0.52178841758491967</v>
      </c>
      <c r="BG313" s="456">
        <f t="shared" si="805"/>
        <v>0.21426223355266971</v>
      </c>
      <c r="BH313" s="456">
        <f t="shared" si="853"/>
        <v>6.1643294016526719E-2</v>
      </c>
      <c r="BI313">
        <f t="shared" si="854"/>
        <v>2.6953033411443492E-2</v>
      </c>
      <c r="BJ313" s="144">
        <f t="shared" si="855"/>
        <v>241.21526696411323</v>
      </c>
      <c r="BK313">
        <f t="shared" si="806"/>
        <v>0.59044381962195813</v>
      </c>
      <c r="BL313" s="144">
        <f t="shared" si="856"/>
        <v>829.61908412363766</v>
      </c>
      <c r="BM313" s="150">
        <f t="shared" si="807"/>
        <v>0.72313499999999986</v>
      </c>
      <c r="BN313" s="150">
        <f t="shared" si="808"/>
        <v>0.10760937499999999</v>
      </c>
      <c r="BQ313" s="144">
        <f t="shared" si="857"/>
        <v>830.74437499999988</v>
      </c>
      <c r="BR313" s="456">
        <f t="shared" si="858"/>
        <v>7.4581583371171652E-3</v>
      </c>
      <c r="BS313" s="456">
        <f t="shared" si="859"/>
        <v>8.0340929476881179E-2</v>
      </c>
      <c r="BT313" s="456">
        <f t="shared" si="860"/>
        <v>6.6904441848106343E-4</v>
      </c>
      <c r="BU313" s="456">
        <f t="shared" si="861"/>
        <v>0.18507967038511988</v>
      </c>
      <c r="BV313" s="456"/>
      <c r="BW313" s="538">
        <f t="shared" si="862"/>
        <v>1.2563206177627854E-3</v>
      </c>
      <c r="BX313" s="144">
        <f t="shared" si="863"/>
        <v>274.804123235362</v>
      </c>
      <c r="BY313" s="150">
        <f t="shared" si="864"/>
        <v>1.9351675823589995</v>
      </c>
      <c r="BZ313" s="5">
        <f t="shared" si="865"/>
        <v>7.76</v>
      </c>
      <c r="CA313" s="150">
        <f t="shared" si="866"/>
        <v>0.80039874856003879</v>
      </c>
      <c r="CB313" s="5">
        <f t="shared" si="867"/>
        <v>80.039874856003877</v>
      </c>
      <c r="CC313">
        <f t="shared" si="868"/>
        <v>97</v>
      </c>
      <c r="CE313" s="59">
        <f t="shared" si="809"/>
        <v>-50</v>
      </c>
      <c r="CG313" s="150">
        <f t="shared" si="810"/>
        <v>0.87957854338036012</v>
      </c>
      <c r="CH313" s="150">
        <f t="shared" si="811"/>
        <v>0.47330172420499927</v>
      </c>
      <c r="CI313" s="147">
        <v>97</v>
      </c>
      <c r="CJ313" s="188">
        <f t="shared" si="869"/>
        <v>1.1639999999999999</v>
      </c>
      <c r="CK313" s="188">
        <f t="shared" si="812"/>
        <v>0.24249999999999999</v>
      </c>
      <c r="CL313" s="188">
        <f t="shared" si="813"/>
        <v>5.8199999999999994</v>
      </c>
      <c r="CM313" s="188">
        <f t="shared" si="814"/>
        <v>1.94</v>
      </c>
      <c r="CN313" s="465">
        <f t="shared" si="815"/>
        <v>60</v>
      </c>
      <c r="CO313" s="379">
        <f t="shared" si="816"/>
        <v>5.7</v>
      </c>
      <c r="CP313" s="379">
        <f t="shared" si="817"/>
        <v>65.7</v>
      </c>
      <c r="CQ313" s="379"/>
      <c r="CR313" s="188">
        <f t="shared" si="818"/>
        <v>8.2568807339449546E-2</v>
      </c>
      <c r="CS313" s="149">
        <f t="shared" si="819"/>
        <v>9.2889908256880744</v>
      </c>
      <c r="CT313" s="149">
        <f t="shared" si="820"/>
        <v>4.1284403669724767</v>
      </c>
      <c r="CU313" s="188">
        <f t="shared" si="821"/>
        <v>1.857798165137615</v>
      </c>
      <c r="CV313" s="188">
        <f t="shared" si="822"/>
        <v>1.1611238532110093</v>
      </c>
      <c r="CW313" s="188">
        <f t="shared" si="823"/>
        <v>5</v>
      </c>
      <c r="CX313" s="188">
        <f t="shared" si="824"/>
        <v>3.1327407407407404</v>
      </c>
      <c r="CY313" s="188">
        <f t="shared" si="825"/>
        <v>0.62654814814814808</v>
      </c>
      <c r="CZ313" s="188">
        <f t="shared" si="826"/>
        <v>6.5952436647173487</v>
      </c>
      <c r="DA313" s="172">
        <f t="shared" si="827"/>
        <v>350</v>
      </c>
      <c r="DB313" s="379">
        <f t="shared" si="828"/>
        <v>138.46979058832977</v>
      </c>
      <c r="DD313" s="188">
        <f t="shared" si="829"/>
        <v>1.2393998695368558</v>
      </c>
      <c r="DE313" s="150">
        <f t="shared" si="830"/>
        <v>2.6092628832354858</v>
      </c>
      <c r="DF313" s="150">
        <f t="shared" si="831"/>
        <v>0.4244520101153616</v>
      </c>
      <c r="DG313" s="150"/>
      <c r="DH313" s="150">
        <f t="shared" si="832"/>
        <v>2.1052631578947367</v>
      </c>
      <c r="DI313" s="314">
        <f t="shared" si="833"/>
        <v>1105.8</v>
      </c>
      <c r="DJ313" s="456">
        <f t="shared" si="834"/>
        <v>0.36842105263157893</v>
      </c>
      <c r="DL313" s="150">
        <f t="shared" si="835"/>
        <v>1.9223002094465096</v>
      </c>
      <c r="DM313" s="150">
        <f t="shared" si="836"/>
        <v>3.1327407407407404</v>
      </c>
      <c r="DN313" s="150">
        <f t="shared" si="837"/>
        <v>2.7798079561042521</v>
      </c>
      <c r="DP313" s="314">
        <f t="shared" si="838"/>
        <v>1164</v>
      </c>
      <c r="DQ313" s="144">
        <f t="shared" si="839"/>
        <v>138.46979058832977</v>
      </c>
      <c r="DS313">
        <f t="shared" si="840"/>
        <v>1164</v>
      </c>
      <c r="DT313">
        <f t="shared" si="841"/>
        <v>138.46979058832977</v>
      </c>
      <c r="DV313" s="5">
        <f t="shared" si="870"/>
        <v>7.221791812865499</v>
      </c>
      <c r="DW313" s="5">
        <f t="shared" si="842"/>
        <v>0.62654814814814808</v>
      </c>
      <c r="DX313" s="5">
        <f t="shared" si="843"/>
        <v>6.5952436647173514</v>
      </c>
      <c r="DY313" s="150">
        <f t="shared" si="844"/>
        <v>8.6757990867579876E-2</v>
      </c>
      <c r="EA313" s="5">
        <f t="shared" si="871"/>
        <v>14.586040888888888</v>
      </c>
      <c r="EB313" s="5">
        <f t="shared" si="872"/>
        <v>1.8992240740740736</v>
      </c>
      <c r="EC313" s="5">
        <f t="shared" si="873"/>
        <v>0.26655776478232623</v>
      </c>
      <c r="ED313" s="5"/>
      <c r="EE313" s="150">
        <f t="shared" si="874"/>
        <v>0.53274400434282387</v>
      </c>
      <c r="EF313" s="150">
        <f t="shared" si="875"/>
        <v>1.7284497896677207</v>
      </c>
      <c r="EG313" s="150">
        <f t="shared" si="876"/>
        <v>0.3863593647492552</v>
      </c>
      <c r="EH313" s="150"/>
      <c r="EI313" s="456">
        <f t="shared" si="877"/>
        <v>5.6763234832645348E-3</v>
      </c>
      <c r="EJ313" s="456">
        <f t="shared" si="878"/>
        <v>0.56999999999999984</v>
      </c>
      <c r="EK313" s="456">
        <f t="shared" si="879"/>
        <v>1.7308723823541223E-2</v>
      </c>
      <c r="EL313" s="456">
        <f t="shared" si="880"/>
        <v>5.9770346637661974E-2</v>
      </c>
      <c r="EM313">
        <f t="shared" si="881"/>
        <v>2.7E-2</v>
      </c>
      <c r="EN313" s="144">
        <f t="shared" si="882"/>
        <v>44.308723823541222</v>
      </c>
      <c r="EP313" s="144">
        <f t="shared" si="883"/>
        <v>679.75539394446764</v>
      </c>
      <c r="EQ313" s="150">
        <f t="shared" si="884"/>
        <v>0.81479999999999986</v>
      </c>
      <c r="ER313" s="150">
        <f t="shared" si="845"/>
        <v>0.10760937499999999</v>
      </c>
      <c r="ES313" s="456"/>
      <c r="EU313" s="144">
        <f t="shared" si="885"/>
        <v>922.40937499999984</v>
      </c>
      <c r="EV313" s="456">
        <f t="shared" si="886"/>
        <v>8.5144852248968013E-3</v>
      </c>
      <c r="EW313" s="456">
        <f t="shared" si="887"/>
        <v>8.9626160262071639E-2</v>
      </c>
      <c r="EX313" s="456">
        <f t="shared" si="888"/>
        <v>7.4636779364724022E-4</v>
      </c>
      <c r="EY313" s="456">
        <f t="shared" si="889"/>
        <v>0.1959605864325257</v>
      </c>
      <c r="EZ313" s="456"/>
      <c r="FA313" s="538">
        <f t="shared" si="890"/>
        <v>1.3589514628784031E-3</v>
      </c>
      <c r="FB313" s="144">
        <f t="shared" si="891"/>
        <v>296.20655117601979</v>
      </c>
      <c r="FC313" s="150">
        <f t="shared" si="892"/>
        <v>1.8983713201204873</v>
      </c>
      <c r="FD313" s="5">
        <f t="shared" si="893"/>
        <v>7.76</v>
      </c>
      <c r="FE313" s="150">
        <f t="shared" si="894"/>
        <v>0.80344809107040982</v>
      </c>
      <c r="FF313" s="5">
        <f t="shared" si="895"/>
        <v>80.344809107040987</v>
      </c>
      <c r="FG313">
        <f t="shared" si="896"/>
        <v>97</v>
      </c>
      <c r="FI313" s="59">
        <f t="shared" si="846"/>
        <v>-50</v>
      </c>
    </row>
    <row r="314" spans="5:169">
      <c r="E314" s="147">
        <v>98</v>
      </c>
      <c r="F314" s="188">
        <f>IF(PLOT_TYPE=1, E314/100*Iout_max, min_I*EXP(O314*rr/100))</f>
        <v>1.1759999999999999</v>
      </c>
      <c r="G314" s="188">
        <f t="shared" si="775"/>
        <v>0.245</v>
      </c>
      <c r="H314" s="188">
        <f t="shared" si="776"/>
        <v>5.88</v>
      </c>
      <c r="I314" s="188">
        <f t="shared" si="777"/>
        <v>1.96</v>
      </c>
      <c r="J314" s="465">
        <f t="shared" si="778"/>
        <v>59.894553821797537</v>
      </c>
      <c r="K314" s="379">
        <f t="shared" si="779"/>
        <v>5.7401101189490289</v>
      </c>
      <c r="L314" s="149">
        <f t="shared" si="780"/>
        <v>65.634663940746563</v>
      </c>
      <c r="M314" s="379"/>
      <c r="N314" s="188">
        <f t="shared" si="781"/>
        <v>8.7455465973453689E-2</v>
      </c>
      <c r="O314" s="149">
        <f>N314*J314*Isw_max*0.5*Efficiency*Pout/(Pout+Pout2)</f>
        <v>9.8214489632951345</v>
      </c>
      <c r="P314" s="149">
        <f t="shared" si="783"/>
        <v>4.3650884281311706</v>
      </c>
      <c r="Q314" s="188">
        <f t="shared" si="784"/>
        <v>1.9642897926590268</v>
      </c>
      <c r="R314" s="188">
        <f t="shared" si="785"/>
        <v>1.2276811204118918</v>
      </c>
      <c r="S314" s="188">
        <f t="shared" si="786"/>
        <v>5</v>
      </c>
      <c r="T314" s="188">
        <f t="shared" si="787"/>
        <v>2.9934483302692012</v>
      </c>
      <c r="U314" s="188">
        <f t="shared" si="788"/>
        <v>0.5997436773651611</v>
      </c>
      <c r="V314" s="188">
        <f t="shared" si="789"/>
        <v>6.2579600772201482</v>
      </c>
      <c r="W314" s="172">
        <f t="shared" si="790"/>
        <v>350</v>
      </c>
      <c r="X314" s="379">
        <f t="shared" si="848"/>
        <v>141.68914349094229</v>
      </c>
      <c r="Z314" s="188">
        <f t="shared" si="791"/>
        <v>1.2471681223231916</v>
      </c>
      <c r="AA314" s="150">
        <f t="shared" si="792"/>
        <v>2.607270097218704</v>
      </c>
      <c r="AB314" s="150">
        <f>0.5*AA314*Z314*Nps*W314/1000*(Pout/(Pout+Pout2))</f>
        <v>0.42678616988931745</v>
      </c>
      <c r="AC314" s="150"/>
      <c r="AD314" s="150">
        <f t="shared" si="794"/>
        <v>2.0905522283250395</v>
      </c>
      <c r="AE314" s="314">
        <f>MAX(10, F314/(0.5*AD314/1000000*Isw_min*Nps)/1000*Pout_total/Pout)</f>
        <v>1125.0615833140098</v>
      </c>
      <c r="AF314" s="456">
        <f t="shared" si="796"/>
        <v>0.36584663995688188</v>
      </c>
      <c r="AH314" s="150">
        <f t="shared" si="797"/>
        <v>1.9321835661585918</v>
      </c>
      <c r="AI314" s="150">
        <f>MAX(IF(F314&gt;AB314,T314,AH314),Isw_min)</f>
        <v>2.9934483302692012</v>
      </c>
      <c r="AJ314" s="150">
        <f>IF(F314&gt;AF314, (AI314-Isw_min)/1.08*0.8+1.2, AE314*0.2/350+1)</f>
        <v>2.6766283927920007</v>
      </c>
      <c r="AL314" s="314">
        <f t="shared" si="800"/>
        <v>1176</v>
      </c>
      <c r="AM314" s="144">
        <f t="shared" si="801"/>
        <v>141.68914349094229</v>
      </c>
      <c r="AO314">
        <f t="shared" si="802"/>
        <v>1176</v>
      </c>
      <c r="AP314">
        <f t="shared" si="803"/>
        <v>141.68914349094229</v>
      </c>
      <c r="AR314" s="5">
        <f t="shared" si="774"/>
        <v>7.0577037545853099</v>
      </c>
      <c r="AS314" s="5">
        <f t="shared" si="897"/>
        <v>0.5997436773651611</v>
      </c>
      <c r="AT314" s="5">
        <f t="shared" si="898"/>
        <v>6.4579600772201484</v>
      </c>
      <c r="AU314" s="150">
        <f t="shared" si="899"/>
        <v>8.4977167959977701E-2</v>
      </c>
      <c r="BA314" s="150">
        <f t="shared" si="849"/>
        <v>0.50380475887554432</v>
      </c>
      <c r="BB314" s="150">
        <f t="shared" si="850"/>
        <v>1.6532065005915555</v>
      </c>
      <c r="BC314" s="150">
        <f t="shared" si="851"/>
        <v>0.3695402766028183</v>
      </c>
      <c r="BD314" s="150"/>
      <c r="BE314" s="456">
        <f t="shared" si="852"/>
        <v>5.0763847013129068E-3</v>
      </c>
      <c r="BF314" s="456">
        <f t="shared" si="804"/>
        <v>0.52196679865661266</v>
      </c>
      <c r="BG314" s="456">
        <f t="shared" si="805"/>
        <v>0.2121602007695659</v>
      </c>
      <c r="BH314" s="456">
        <f t="shared" si="853"/>
        <v>6.1038395211982899E-2</v>
      </c>
      <c r="BI314">
        <f t="shared" si="854"/>
        <v>2.6952549219808893E-2</v>
      </c>
      <c r="BJ314" s="144">
        <f t="shared" si="855"/>
        <v>239.11274998937478</v>
      </c>
      <c r="BK314">
        <f t="shared" si="806"/>
        <v>0.59016402819467562</v>
      </c>
      <c r="BL314" s="144">
        <f t="shared" si="856"/>
        <v>827.19432855928324</v>
      </c>
      <c r="BM314" s="150">
        <f t="shared" si="807"/>
        <v>0.73058999999999985</v>
      </c>
      <c r="BN314" s="150">
        <f t="shared" si="808"/>
        <v>0.10871874999999999</v>
      </c>
      <c r="BQ314" s="144">
        <f t="shared" si="857"/>
        <v>839.3087499999998</v>
      </c>
      <c r="BR314" s="456">
        <f t="shared" si="858"/>
        <v>7.6145770519693602E-3</v>
      </c>
      <c r="BS314" s="456">
        <f t="shared" si="859"/>
        <v>8.1992752007945299E-2</v>
      </c>
      <c r="BT314" s="456">
        <f t="shared" si="860"/>
        <v>6.828000801584373E-4</v>
      </c>
      <c r="BU314" s="456">
        <f t="shared" si="861"/>
        <v>0.18524259548083735</v>
      </c>
      <c r="BV314" s="456"/>
      <c r="BW314" s="538">
        <f t="shared" si="862"/>
        <v>1.2696385705010334E-3</v>
      </c>
      <c r="BX314" s="144">
        <f t="shared" si="863"/>
        <v>276.80236319141147</v>
      </c>
      <c r="BY314" s="150">
        <f t="shared" si="864"/>
        <v>1.9433054417506948</v>
      </c>
      <c r="BZ314" s="5">
        <f t="shared" si="865"/>
        <v>7.84</v>
      </c>
      <c r="CA314" s="150">
        <f t="shared" si="866"/>
        <v>0.80136514664485969</v>
      </c>
      <c r="CB314" s="5">
        <f t="shared" si="867"/>
        <v>80.136514664485972</v>
      </c>
      <c r="CC314">
        <f t="shared" si="868"/>
        <v>98</v>
      </c>
      <c r="CE314" s="59">
        <f t="shared" si="809"/>
        <v>-50</v>
      </c>
      <c r="CG314" s="150">
        <f t="shared" si="810"/>
        <v>0.87957854338036012</v>
      </c>
      <c r="CH314" s="150">
        <f t="shared" si="811"/>
        <v>0.47330172420499933</v>
      </c>
      <c r="CI314" s="147">
        <v>98</v>
      </c>
      <c r="CJ314" s="188">
        <f t="shared" si="869"/>
        <v>1.1759999999999999</v>
      </c>
      <c r="CK314" s="188">
        <f t="shared" si="812"/>
        <v>0.245</v>
      </c>
      <c r="CL314" s="188">
        <f t="shared" si="813"/>
        <v>5.88</v>
      </c>
      <c r="CM314" s="188">
        <f t="shared" si="814"/>
        <v>1.96</v>
      </c>
      <c r="CN314" s="465">
        <f t="shared" si="815"/>
        <v>60</v>
      </c>
      <c r="CO314" s="379">
        <f t="shared" si="816"/>
        <v>5.7</v>
      </c>
      <c r="CP314" s="379">
        <f t="shared" si="817"/>
        <v>65.7</v>
      </c>
      <c r="CQ314" s="379"/>
      <c r="CR314" s="188">
        <f t="shared" si="818"/>
        <v>8.2568807339449546E-2</v>
      </c>
      <c r="CS314" s="149">
        <f t="shared" si="819"/>
        <v>9.2889908256880744</v>
      </c>
      <c r="CT314" s="149">
        <f t="shared" si="820"/>
        <v>4.1284403669724767</v>
      </c>
      <c r="CU314" s="188">
        <f t="shared" si="821"/>
        <v>1.857798165137615</v>
      </c>
      <c r="CV314" s="188">
        <f t="shared" si="822"/>
        <v>1.1611238532110093</v>
      </c>
      <c r="CW314" s="188">
        <f t="shared" si="823"/>
        <v>5</v>
      </c>
      <c r="CX314" s="188">
        <f t="shared" si="824"/>
        <v>3.1650370370370369</v>
      </c>
      <c r="CY314" s="188">
        <f t="shared" si="825"/>
        <v>0.63300740740740735</v>
      </c>
      <c r="CZ314" s="188">
        <f t="shared" si="826"/>
        <v>6.6632358674463932</v>
      </c>
      <c r="DA314" s="172">
        <f t="shared" si="827"/>
        <v>350</v>
      </c>
      <c r="DB314" s="379">
        <f t="shared" si="828"/>
        <v>137.05683354151012</v>
      </c>
      <c r="DD314" s="188">
        <f t="shared" si="829"/>
        <v>1.2393998695368558</v>
      </c>
      <c r="DE314" s="150">
        <f t="shared" si="830"/>
        <v>2.6092628832354858</v>
      </c>
      <c r="DF314" s="150">
        <f t="shared" si="831"/>
        <v>0.4244520101153616</v>
      </c>
      <c r="DG314" s="150"/>
      <c r="DH314" s="150">
        <f t="shared" si="832"/>
        <v>2.1052631578947367</v>
      </c>
      <c r="DI314" s="314">
        <f t="shared" si="833"/>
        <v>1117.2</v>
      </c>
      <c r="DJ314" s="456">
        <f t="shared" si="834"/>
        <v>0.36842105263157893</v>
      </c>
      <c r="DL314" s="150">
        <f t="shared" si="835"/>
        <v>1.9321835661585918</v>
      </c>
      <c r="DM314" s="150">
        <f t="shared" si="836"/>
        <v>3.1650370370370369</v>
      </c>
      <c r="DN314" s="150">
        <f t="shared" si="837"/>
        <v>2.8037311385459533</v>
      </c>
      <c r="DP314" s="314">
        <f t="shared" si="838"/>
        <v>1176</v>
      </c>
      <c r="DQ314" s="144">
        <f t="shared" si="839"/>
        <v>137.05683354151012</v>
      </c>
      <c r="DS314">
        <f t="shared" si="840"/>
        <v>1176</v>
      </c>
      <c r="DT314">
        <f t="shared" si="841"/>
        <v>137.05683354151012</v>
      </c>
      <c r="DV314" s="5">
        <f t="shared" si="870"/>
        <v>7.2962432748538006</v>
      </c>
      <c r="DW314" s="5">
        <f t="shared" si="842"/>
        <v>0.63300740740740735</v>
      </c>
      <c r="DX314" s="5">
        <f t="shared" si="843"/>
        <v>6.6632358674463932</v>
      </c>
      <c r="DY314" s="150">
        <f t="shared" si="844"/>
        <v>8.6757990867579904E-2</v>
      </c>
      <c r="EA314" s="5">
        <f t="shared" si="871"/>
        <v>14.88833422222222</v>
      </c>
      <c r="EB314" s="5">
        <f t="shared" si="872"/>
        <v>1.938585185185185</v>
      </c>
      <c r="EC314" s="5">
        <f t="shared" si="873"/>
        <v>0.272082131254061</v>
      </c>
      <c r="ED314" s="5"/>
      <c r="EE314" s="150">
        <f t="shared" si="874"/>
        <v>0.5382362105731624</v>
      </c>
      <c r="EF314" s="150">
        <f t="shared" si="875"/>
        <v>1.7462688596642952</v>
      </c>
      <c r="EG314" s="150">
        <f t="shared" si="876"/>
        <v>0.39034245098378367</v>
      </c>
      <c r="EH314" s="150"/>
      <c r="EI314" s="456">
        <f t="shared" si="877"/>
        <v>5.7939643674431518E-3</v>
      </c>
      <c r="EJ314" s="456">
        <f t="shared" si="878"/>
        <v>0.57000000000000006</v>
      </c>
      <c r="EK314" s="456">
        <f t="shared" si="879"/>
        <v>1.7132104192688763E-2</v>
      </c>
      <c r="EL314" s="456">
        <f t="shared" si="880"/>
        <v>5.9160445141359319E-2</v>
      </c>
      <c r="EM314">
        <f t="shared" si="881"/>
        <v>2.7E-2</v>
      </c>
      <c r="EN314" s="144">
        <f t="shared" si="882"/>
        <v>44.132104192688757</v>
      </c>
      <c r="EP314" s="144">
        <f t="shared" si="883"/>
        <v>679.0865137014913</v>
      </c>
      <c r="EQ314" s="150">
        <f t="shared" si="884"/>
        <v>0.82319999999999993</v>
      </c>
      <c r="ER314" s="150">
        <f t="shared" si="845"/>
        <v>0.10871874999999999</v>
      </c>
      <c r="ES314" s="456"/>
      <c r="EU314" s="144">
        <f t="shared" si="885"/>
        <v>931.91874999999993</v>
      </c>
      <c r="EV314" s="456">
        <f t="shared" si="886"/>
        <v>8.6909465511647282E-3</v>
      </c>
      <c r="EW314" s="456">
        <f t="shared" si="887"/>
        <v>9.1483647906997131E-2</v>
      </c>
      <c r="EX314" s="456">
        <f t="shared" si="888"/>
        <v>7.6183614520013783E-4</v>
      </c>
      <c r="EY314" s="456">
        <f t="shared" si="889"/>
        <v>0.19596058643252523</v>
      </c>
      <c r="EZ314" s="456"/>
      <c r="FA314" s="538">
        <f t="shared" si="890"/>
        <v>1.3729612717740573E-3</v>
      </c>
      <c r="FB314" s="144">
        <f t="shared" si="891"/>
        <v>298.26997830766129</v>
      </c>
      <c r="FC314" s="150">
        <f t="shared" si="892"/>
        <v>1.9092752420091528</v>
      </c>
      <c r="FD314" s="5">
        <f t="shared" si="893"/>
        <v>7.84</v>
      </c>
      <c r="FE314" s="150">
        <f t="shared" si="894"/>
        <v>0.80416234082896965</v>
      </c>
      <c r="FF314" s="5">
        <f t="shared" si="895"/>
        <v>80.416234082896963</v>
      </c>
      <c r="FG314">
        <f t="shared" si="896"/>
        <v>98</v>
      </c>
      <c r="FI314" s="59">
        <f t="shared" si="846"/>
        <v>-50</v>
      </c>
    </row>
    <row r="315" spans="5:169">
      <c r="E315" s="147">
        <v>99</v>
      </c>
      <c r="F315" s="188">
        <f>IF(PLOT_TYPE=1, E315/100*Iout_max, min_I*EXP(O315*rr/100))</f>
        <v>1.1879999999999999</v>
      </c>
      <c r="G315" s="188">
        <f t="shared" si="775"/>
        <v>0.2475</v>
      </c>
      <c r="H315" s="188">
        <f t="shared" si="776"/>
        <v>5.9399999999999995</v>
      </c>
      <c r="I315" s="188">
        <f t="shared" si="777"/>
        <v>1.98</v>
      </c>
      <c r="J315" s="465">
        <f t="shared" si="778"/>
        <v>59.893477840387305</v>
      </c>
      <c r="K315" s="379">
        <f t="shared" si="779"/>
        <v>5.7405194058770803</v>
      </c>
      <c r="L315" s="149">
        <f t="shared" si="780"/>
        <v>65.633997246264386</v>
      </c>
      <c r="M315" s="379"/>
      <c r="N315" s="188">
        <f t="shared" si="781"/>
        <v>8.7462590223450196E-2</v>
      </c>
      <c r="O315" s="149">
        <f>N315*J315*Isw_max*0.5*Efficiency*Pout/(Pout+Pout2)</f>
        <v>9.8220725801457931</v>
      </c>
      <c r="P315" s="149">
        <f t="shared" si="783"/>
        <v>4.3653655911759071</v>
      </c>
      <c r="Q315" s="188">
        <f t="shared" si="784"/>
        <v>1.9644145160291586</v>
      </c>
      <c r="R315" s="188">
        <f t="shared" si="785"/>
        <v>1.2277590725182241</v>
      </c>
      <c r="S315" s="188">
        <f t="shared" si="786"/>
        <v>5</v>
      </c>
      <c r="T315" s="188">
        <f t="shared" si="787"/>
        <v>3.0238017238882136</v>
      </c>
      <c r="U315" s="188">
        <f t="shared" si="788"/>
        <v>0.60583592730009217</v>
      </c>
      <c r="V315" s="188">
        <f t="shared" si="789"/>
        <v>6.3209647282978869</v>
      </c>
      <c r="W315" s="172">
        <f t="shared" si="790"/>
        <v>350</v>
      </c>
      <c r="X315" s="379">
        <f t="shared" si="848"/>
        <v>140.31541617689518</v>
      </c>
      <c r="Z315" s="188">
        <f t="shared" si="791"/>
        <v>1.2472473117645453</v>
      </c>
      <c r="AA315" s="150">
        <f t="shared" si="792"/>
        <v>2.607249742218714</v>
      </c>
      <c r="AB315" s="150">
        <f>0.5*AA315*Z315*Nps*W315/1000*(Pout/(Pout+Pout2))</f>
        <v>0.42680993671064371</v>
      </c>
      <c r="AC315" s="150"/>
      <c r="AD315" s="150">
        <f t="shared" si="794"/>
        <v>2.0904031763597093</v>
      </c>
      <c r="AE315" s="314">
        <f>MAX(10, F315/(0.5*AD315/1000000*Isw_min*Nps)/1000*Pout_total/Pout)</f>
        <v>1136.6228423636619</v>
      </c>
      <c r="AF315" s="456">
        <f t="shared" si="796"/>
        <v>0.36582055586294915</v>
      </c>
      <c r="AH315" s="150">
        <f t="shared" si="797"/>
        <v>1.9420166249104489</v>
      </c>
      <c r="AI315" s="150">
        <f>MAX(IF(F315&gt;AB315,T315,AH315),Isw_min)</f>
        <v>3.0238017238882136</v>
      </c>
      <c r="AJ315" s="150">
        <f>IF(F315&gt;AF315, (AI315-Isw_min)/1.08*0.8+1.2, AE315*0.2/350+1)</f>
        <v>2.6991123880653434</v>
      </c>
      <c r="AL315" s="314">
        <f t="shared" si="800"/>
        <v>1188</v>
      </c>
      <c r="AM315" s="144">
        <f t="shared" si="801"/>
        <v>140.31541617689518</v>
      </c>
      <c r="AO315">
        <f t="shared" si="802"/>
        <v>1188</v>
      </c>
      <c r="AP315">
        <f t="shared" si="803"/>
        <v>140.31541617689518</v>
      </c>
      <c r="AR315" s="5">
        <f t="shared" si="774"/>
        <v>7.1268006555979806</v>
      </c>
      <c r="AS315" s="5">
        <f t="shared" si="897"/>
        <v>0.60583592730009217</v>
      </c>
      <c r="AT315" s="5">
        <f t="shared" si="898"/>
        <v>6.5209647282978889</v>
      </c>
      <c r="AU315" s="150">
        <f t="shared" si="899"/>
        <v>8.500812027402764E-2</v>
      </c>
      <c r="BA315" s="150">
        <f t="shared" si="849"/>
        <v>0.50900598565039101</v>
      </c>
      <c r="BB315" s="150">
        <f t="shared" si="850"/>
        <v>1.6699416741417004</v>
      </c>
      <c r="BC315" s="150">
        <f t="shared" si="851"/>
        <v>0.37328108010226246</v>
      </c>
      <c r="BD315" s="150"/>
      <c r="BE315" s="456">
        <f t="shared" si="852"/>
        <v>5.1817418685585212E-3</v>
      </c>
      <c r="BF315" s="456">
        <f t="shared" si="804"/>
        <v>0.52214223712458796</v>
      </c>
      <c r="BG315" s="456">
        <f t="shared" si="805"/>
        <v>0.21009945673638986</v>
      </c>
      <c r="BH315" s="456">
        <f t="shared" si="853"/>
        <v>6.0445377985126066E-2</v>
      </c>
      <c r="BI315">
        <f t="shared" si="854"/>
        <v>2.6952065028174287E-2</v>
      </c>
      <c r="BJ315" s="144">
        <f t="shared" si="855"/>
        <v>237.05152176456414</v>
      </c>
      <c r="BK315">
        <f t="shared" si="806"/>
        <v>0.58989469493519897</v>
      </c>
      <c r="BL315" s="144">
        <f t="shared" si="856"/>
        <v>824.82087874283673</v>
      </c>
      <c r="BM315" s="150">
        <f t="shared" si="807"/>
        <v>0.73804499999999984</v>
      </c>
      <c r="BN315" s="150">
        <f t="shared" si="808"/>
        <v>0.109828125</v>
      </c>
      <c r="BQ315" s="144">
        <f t="shared" si="857"/>
        <v>847.87312499999973</v>
      </c>
      <c r="BR315" s="456">
        <f t="shared" si="858"/>
        <v>7.7726128028377823E-3</v>
      </c>
      <c r="BS315" s="456">
        <f t="shared" si="859"/>
        <v>8.3661155851055546E-2</v>
      </c>
      <c r="BT315" s="456">
        <f t="shared" si="860"/>
        <v>6.9669382381155843E-4</v>
      </c>
      <c r="BU315" s="456">
        <f t="shared" si="861"/>
        <v>0.18540299774161328</v>
      </c>
      <c r="BV315" s="456"/>
      <c r="BW315" s="538">
        <f t="shared" si="862"/>
        <v>1.2829567301292995E-3</v>
      </c>
      <c r="BX315" s="144">
        <f t="shared" si="863"/>
        <v>278.8164169494475</v>
      </c>
      <c r="BY315" s="150">
        <f t="shared" si="864"/>
        <v>1.9515104206922842</v>
      </c>
      <c r="BZ315" s="5">
        <f t="shared" si="865"/>
        <v>7.92</v>
      </c>
      <c r="CA315" s="150">
        <f t="shared" si="866"/>
        <v>0.80230883243544959</v>
      </c>
      <c r="CB315" s="5">
        <f t="shared" si="867"/>
        <v>80.230883243544966</v>
      </c>
      <c r="CC315">
        <f t="shared" si="868"/>
        <v>99</v>
      </c>
      <c r="CE315" s="59">
        <f t="shared" si="809"/>
        <v>-50</v>
      </c>
      <c r="CG315" s="150">
        <f t="shared" si="810"/>
        <v>0.87957854338036034</v>
      </c>
      <c r="CH315" s="150">
        <f t="shared" si="811"/>
        <v>0.47330172420499939</v>
      </c>
      <c r="CI315" s="147">
        <v>99</v>
      </c>
      <c r="CJ315" s="188">
        <f t="shared" si="869"/>
        <v>1.1879999999999999</v>
      </c>
      <c r="CK315" s="188">
        <f t="shared" si="812"/>
        <v>0.2475</v>
      </c>
      <c r="CL315" s="188">
        <f t="shared" si="813"/>
        <v>5.9399999999999995</v>
      </c>
      <c r="CM315" s="188">
        <f t="shared" si="814"/>
        <v>1.98</v>
      </c>
      <c r="CN315" s="465">
        <f t="shared" si="815"/>
        <v>60</v>
      </c>
      <c r="CO315" s="379">
        <f t="shared" si="816"/>
        <v>5.7</v>
      </c>
      <c r="CP315" s="379">
        <f t="shared" si="817"/>
        <v>65.7</v>
      </c>
      <c r="CQ315" s="379"/>
      <c r="CR315" s="188">
        <f t="shared" si="818"/>
        <v>8.2568807339449546E-2</v>
      </c>
      <c r="CS315" s="149">
        <f t="shared" si="819"/>
        <v>9.2889908256880744</v>
      </c>
      <c r="CT315" s="149">
        <f t="shared" si="820"/>
        <v>4.1284403669724767</v>
      </c>
      <c r="CU315" s="188">
        <f t="shared" si="821"/>
        <v>1.857798165137615</v>
      </c>
      <c r="CV315" s="188">
        <f t="shared" si="822"/>
        <v>1.1611238532110093</v>
      </c>
      <c r="CW315" s="188">
        <f t="shared" si="823"/>
        <v>5</v>
      </c>
      <c r="CX315" s="188">
        <f t="shared" si="824"/>
        <v>3.1973333333333329</v>
      </c>
      <c r="CY315" s="188">
        <f t="shared" si="825"/>
        <v>0.63946666666666652</v>
      </c>
      <c r="CZ315" s="188">
        <f t="shared" si="826"/>
        <v>6.7312280701754377</v>
      </c>
      <c r="DA315" s="172">
        <f t="shared" si="827"/>
        <v>350</v>
      </c>
      <c r="DB315" s="379">
        <f t="shared" si="828"/>
        <v>135.67242108149489</v>
      </c>
      <c r="DD315" s="188">
        <f t="shared" si="829"/>
        <v>1.2393998695368558</v>
      </c>
      <c r="DE315" s="150">
        <f t="shared" si="830"/>
        <v>2.6092628832354858</v>
      </c>
      <c r="DF315" s="150">
        <f t="shared" si="831"/>
        <v>0.4244520101153616</v>
      </c>
      <c r="DG315" s="150"/>
      <c r="DH315" s="150">
        <f t="shared" si="832"/>
        <v>2.1052631578947367</v>
      </c>
      <c r="DI315" s="314">
        <f t="shared" si="833"/>
        <v>1128.5999999999999</v>
      </c>
      <c r="DJ315" s="456">
        <f t="shared" si="834"/>
        <v>0.36842105263157893</v>
      </c>
      <c r="DL315" s="150">
        <f t="shared" si="835"/>
        <v>1.9420166249104489</v>
      </c>
      <c r="DM315" s="150">
        <f t="shared" si="836"/>
        <v>3.1973333333333329</v>
      </c>
      <c r="DN315" s="150">
        <f t="shared" si="837"/>
        <v>2.8276543209876541</v>
      </c>
      <c r="DP315" s="314">
        <f t="shared" si="838"/>
        <v>1188</v>
      </c>
      <c r="DQ315" s="144">
        <f t="shared" si="839"/>
        <v>135.67242108149489</v>
      </c>
      <c r="DS315">
        <f t="shared" si="840"/>
        <v>1188</v>
      </c>
      <c r="DT315">
        <f t="shared" si="841"/>
        <v>135.67242108149489</v>
      </c>
      <c r="DV315" s="5">
        <f t="shared" si="870"/>
        <v>7.3706947368421032</v>
      </c>
      <c r="DW315" s="5">
        <f t="shared" si="842"/>
        <v>0.63946666666666652</v>
      </c>
      <c r="DX315" s="5">
        <f t="shared" si="843"/>
        <v>6.7312280701754368</v>
      </c>
      <c r="DY315" s="150">
        <f t="shared" si="844"/>
        <v>8.6757990867579918E-2</v>
      </c>
      <c r="EA315" s="5">
        <f t="shared" si="871"/>
        <v>15.193727999999995</v>
      </c>
      <c r="EB315" s="5">
        <f t="shared" si="872"/>
        <v>1.9783499999999994</v>
      </c>
      <c r="EC315" s="5">
        <f t="shared" si="873"/>
        <v>0.27766315789473672</v>
      </c>
      <c r="ED315" s="5"/>
      <c r="EE315" s="150">
        <f t="shared" si="874"/>
        <v>0.5437284168035007</v>
      </c>
      <c r="EF315" s="150">
        <f t="shared" si="875"/>
        <v>1.7640879296608696</v>
      </c>
      <c r="EG315" s="150">
        <f t="shared" si="876"/>
        <v>0.39432553721831198</v>
      </c>
      <c r="EH315" s="150"/>
      <c r="EI315" s="456">
        <f t="shared" si="877"/>
        <v>5.9128118247928274E-3</v>
      </c>
      <c r="EJ315" s="456">
        <f t="shared" si="878"/>
        <v>0.57000000000000017</v>
      </c>
      <c r="EK315" s="456">
        <f t="shared" si="879"/>
        <v>1.695905263518686E-2</v>
      </c>
      <c r="EL315" s="456">
        <f t="shared" si="880"/>
        <v>5.8562864887406196E-2</v>
      </c>
      <c r="EM315">
        <f t="shared" si="881"/>
        <v>2.7E-2</v>
      </c>
      <c r="EN315" s="144">
        <f t="shared" si="882"/>
        <v>43.959052635186858</v>
      </c>
      <c r="EP315" s="144">
        <f t="shared" si="883"/>
        <v>678.43472934738611</v>
      </c>
      <c r="EQ315" s="150">
        <f t="shared" si="884"/>
        <v>0.83159999999999989</v>
      </c>
      <c r="ER315" s="150">
        <f t="shared" si="845"/>
        <v>0.109828125</v>
      </c>
      <c r="ES315" s="456"/>
      <c r="EU315" s="144">
        <f t="shared" si="885"/>
        <v>941.4281249999998</v>
      </c>
      <c r="EV315" s="456">
        <f t="shared" si="886"/>
        <v>8.8692177371892406E-3</v>
      </c>
      <c r="EW315" s="456">
        <f t="shared" si="887"/>
        <v>9.3360186707255183E-2</v>
      </c>
      <c r="EX315" s="456">
        <f t="shared" si="888"/>
        <v>7.774631465125517E-4</v>
      </c>
      <c r="EY315" s="456">
        <f t="shared" si="889"/>
        <v>0.19596058643252556</v>
      </c>
      <c r="EZ315" s="456"/>
      <c r="FA315" s="538">
        <f t="shared" si="890"/>
        <v>1.3869710806697108E-3</v>
      </c>
      <c r="FB315" s="144">
        <f t="shared" si="891"/>
        <v>300.35442510415226</v>
      </c>
      <c r="FC315" s="150">
        <f t="shared" si="892"/>
        <v>1.9202172794515382</v>
      </c>
      <c r="FD315" s="5">
        <f t="shared" si="893"/>
        <v>7.92</v>
      </c>
      <c r="FE315" s="150">
        <f t="shared" si="894"/>
        <v>0.80486027646347202</v>
      </c>
      <c r="FF315" s="5">
        <f t="shared" si="895"/>
        <v>80.486027646347196</v>
      </c>
      <c r="FG315">
        <f t="shared" si="896"/>
        <v>99</v>
      </c>
      <c r="FI315" s="59">
        <f t="shared" si="846"/>
        <v>-50</v>
      </c>
    </row>
    <row r="316" spans="5:169">
      <c r="E316" s="147">
        <v>100</v>
      </c>
      <c r="F316" s="188">
        <f>IF(PLOT_TYPE=1, E316/100*Iout_max, min_I*EXP(O316*rr/100))</f>
        <v>1.2</v>
      </c>
      <c r="G316" s="188">
        <f t="shared" si="775"/>
        <v>0.25</v>
      </c>
      <c r="H316" s="188">
        <f t="shared" si="776"/>
        <v>6</v>
      </c>
      <c r="I316" s="188">
        <f t="shared" si="777"/>
        <v>2</v>
      </c>
      <c r="J316" s="465">
        <f t="shared" si="778"/>
        <v>59.892401858977074</v>
      </c>
      <c r="K316" s="379">
        <f t="shared" si="779"/>
        <v>5.7409286928051317</v>
      </c>
      <c r="L316" s="149">
        <f t="shared" si="780"/>
        <v>65.633330551782208</v>
      </c>
      <c r="M316" s="379"/>
      <c r="N316" s="188">
        <f t="shared" si="781"/>
        <v>8.7469714618181024E-2</v>
      </c>
      <c r="O316" s="149">
        <f>N316*J316*Isw_max*0.5*Efficiency*Pout/(Pout+Pout2)</f>
        <v>9.8226961845040108</v>
      </c>
      <c r="P316" s="149">
        <f t="shared" si="783"/>
        <v>4.3656427486684493</v>
      </c>
      <c r="Q316" s="188">
        <f t="shared" si="784"/>
        <v>1.9645392369008021</v>
      </c>
      <c r="R316" s="188">
        <f t="shared" si="785"/>
        <v>1.2278370230630014</v>
      </c>
      <c r="S316" s="188">
        <f t="shared" si="786"/>
        <v>5</v>
      </c>
      <c r="T316" s="188">
        <f t="shared" si="787"/>
        <v>3.0541512672790483</v>
      </c>
      <c r="U316" s="188">
        <f t="shared" si="788"/>
        <v>0.61192762470345419</v>
      </c>
      <c r="V316" s="188">
        <f t="shared" si="789"/>
        <v>6.3839523478632083</v>
      </c>
      <c r="W316" s="172">
        <f t="shared" si="790"/>
        <v>350</v>
      </c>
      <c r="X316" s="379">
        <f t="shared" si="848"/>
        <v>138.96841023090536</v>
      </c>
      <c r="Z316" s="188">
        <f t="shared" si="791"/>
        <v>1.247326499619557</v>
      </c>
      <c r="AA316" s="150">
        <f t="shared" si="792"/>
        <v>2.607229386805197</v>
      </c>
      <c r="AB316" s="150">
        <f>0.5*AA316*Z316*Nps*W316/1000*(Pout/(Pout+Pout2))</f>
        <v>0.42683370249830233</v>
      </c>
      <c r="AC316" s="150"/>
      <c r="AD316" s="150">
        <f t="shared" si="794"/>
        <v>2.0902541456470458</v>
      </c>
      <c r="AE316" s="314">
        <f>MAX(10, F316/(0.5*AD316/1000000*Isw_min*Nps)/1000*Pout_total/Pout)</f>
        <v>1148.1857385610263</v>
      </c>
      <c r="AF316" s="456">
        <f t="shared" si="796"/>
        <v>0.36579447548823302</v>
      </c>
      <c r="AH316" s="150">
        <f>SQRT((H316+I316)/(0.5*L*Fsw_DCM))</f>
        <v>1.9518001458970664</v>
      </c>
      <c r="AI316" s="150">
        <f>MAX(IF(F316&gt;AB316,T316,AH316),Isw_min)</f>
        <v>3.0541512672790483</v>
      </c>
      <c r="AJ316" s="150">
        <f>IF(F316&gt;AF316, (AI316-Isw_min)/1.08*0.8+1.2, AE316*0.2/350+1)</f>
        <v>2.7215935313178132</v>
      </c>
      <c r="AL316" s="314">
        <f t="shared" si="800"/>
        <v>1200</v>
      </c>
      <c r="AM316" s="144">
        <f t="shared" si="801"/>
        <v>138.96841023090536</v>
      </c>
      <c r="AO316">
        <f t="shared" si="802"/>
        <v>1200</v>
      </c>
      <c r="AP316">
        <f t="shared" si="803"/>
        <v>138.96841023090536</v>
      </c>
      <c r="AR316" s="5">
        <f t="shared" si="774"/>
        <v>7.1958799725666625</v>
      </c>
      <c r="AS316" s="5">
        <f t="shared" si="897"/>
        <v>0.61192762470345419</v>
      </c>
      <c r="AT316" s="5">
        <f t="shared" si="898"/>
        <v>6.5839523478632085</v>
      </c>
      <c r="AU316" s="150">
        <f t="shared" si="899"/>
        <v>8.5038609181413122E-2</v>
      </c>
      <c r="BA316" s="150">
        <f t="shared" si="849"/>
        <v>0.51420700667993913</v>
      </c>
      <c r="BB316" s="150">
        <f t="shared" si="850"/>
        <v>1.6866745809695074</v>
      </c>
      <c r="BC316" s="150">
        <f t="shared" si="851"/>
        <v>0.37702137692259574</v>
      </c>
      <c r="BD316" s="150"/>
      <c r="BE316" s="456">
        <f>Rdson*BA316^2</f>
        <v>5.2881769143748591E-3</v>
      </c>
      <c r="BF316" s="456">
        <f t="shared" si="804"/>
        <v>0.52231481880432373</v>
      </c>
      <c r="BG316" s="456">
        <f t="shared" si="805"/>
        <v>0.20807879678131413</v>
      </c>
      <c r="BH316" s="456">
        <f t="shared" si="853"/>
        <v>5.9863895670052479E-2</v>
      </c>
      <c r="BI316">
        <f t="shared" si="854"/>
        <v>2.6951580836539684E-2</v>
      </c>
      <c r="BJ316" s="144">
        <f t="shared" si="855"/>
        <v>235.03037761785382</v>
      </c>
      <c r="BK316">
        <f t="shared" si="806"/>
        <v>0.58963555903875819</v>
      </c>
      <c r="BL316" s="144">
        <f t="shared" si="856"/>
        <v>822.49726900660494</v>
      </c>
      <c r="BM316" s="150">
        <f t="shared" si="807"/>
        <v>0.74549999999999994</v>
      </c>
      <c r="BN316" s="150">
        <f t="shared" si="808"/>
        <v>0.11093749999999999</v>
      </c>
      <c r="BQ316" s="144">
        <f t="shared" si="857"/>
        <v>856.4375</v>
      </c>
      <c r="BR316" s="456">
        <f t="shared" si="858"/>
        <v>7.9322653715622887E-3</v>
      </c>
      <c r="BS316" s="456">
        <f t="shared" si="859"/>
        <v>8.5346134262659898E-2</v>
      </c>
      <c r="BT316" s="456">
        <f t="shared" si="860"/>
        <v>7.1072559328305002E-4</v>
      </c>
      <c r="BU316" s="456">
        <f t="shared" si="861"/>
        <v>0.18556094925732605</v>
      </c>
      <c r="BV316" s="456"/>
      <c r="BW316" s="538">
        <f t="shared" si="862"/>
        <v>1.2962750906050917E-3</v>
      </c>
      <c r="BX316" s="144">
        <f t="shared" si="863"/>
        <v>280.84634957543636</v>
      </c>
      <c r="BY316" s="150">
        <f>SUM(BE316:BI316,BM316:BP316,BR316:BW316)</f>
        <v>1.9597811185820411</v>
      </c>
      <c r="BZ316" s="5">
        <f t="shared" si="865"/>
        <v>8</v>
      </c>
      <c r="CA316" s="150">
        <f t="shared" si="866"/>
        <v>0.80323050323609391</v>
      </c>
      <c r="CB316" s="5">
        <f t="shared" si="867"/>
        <v>80.323050323609394</v>
      </c>
      <c r="CC316">
        <f t="shared" si="868"/>
        <v>100</v>
      </c>
      <c r="CE316" s="59">
        <f t="shared" si="809"/>
        <v>-50</v>
      </c>
      <c r="CG316" s="150">
        <f t="shared" si="810"/>
        <v>0.87957854338036034</v>
      </c>
      <c r="CH316" s="150">
        <f t="shared" si="811"/>
        <v>0.47330172420499933</v>
      </c>
      <c r="CI316" s="147">
        <v>100</v>
      </c>
      <c r="CJ316" s="188">
        <f t="shared" si="869"/>
        <v>1.2</v>
      </c>
      <c r="CK316" s="188">
        <f t="shared" si="812"/>
        <v>0.25</v>
      </c>
      <c r="CL316" s="188">
        <f t="shared" si="813"/>
        <v>6</v>
      </c>
      <c r="CM316" s="188">
        <f t="shared" si="814"/>
        <v>2</v>
      </c>
      <c r="CN316" s="465">
        <f t="shared" si="815"/>
        <v>60</v>
      </c>
      <c r="CO316" s="379">
        <f t="shared" si="816"/>
        <v>5.7</v>
      </c>
      <c r="CP316" s="379">
        <f t="shared" si="817"/>
        <v>65.7</v>
      </c>
      <c r="CQ316" s="379"/>
      <c r="CR316" s="188">
        <f t="shared" si="818"/>
        <v>8.2568807339449546E-2</v>
      </c>
      <c r="CS316" s="149">
        <f t="shared" si="819"/>
        <v>9.2889908256880744</v>
      </c>
      <c r="CT316" s="149">
        <f t="shared" si="820"/>
        <v>4.1284403669724767</v>
      </c>
      <c r="CU316" s="188">
        <f t="shared" si="821"/>
        <v>1.857798165137615</v>
      </c>
      <c r="CV316" s="188">
        <f t="shared" si="822"/>
        <v>1.1611238532110093</v>
      </c>
      <c r="CW316" s="188">
        <f t="shared" si="823"/>
        <v>5</v>
      </c>
      <c r="CX316" s="188">
        <f t="shared" si="824"/>
        <v>3.2296296296296294</v>
      </c>
      <c r="CY316" s="188">
        <f t="shared" si="825"/>
        <v>0.64592592592592601</v>
      </c>
      <c r="CZ316" s="188">
        <f t="shared" si="826"/>
        <v>6.7992202729044839</v>
      </c>
      <c r="DA316" s="172">
        <f t="shared" si="827"/>
        <v>350</v>
      </c>
      <c r="DB316" s="379">
        <f t="shared" si="828"/>
        <v>134.31569687067991</v>
      </c>
      <c r="DD316" s="188">
        <f t="shared" si="829"/>
        <v>1.2393998695368558</v>
      </c>
      <c r="DE316" s="150">
        <f t="shared" si="830"/>
        <v>2.6092628832354858</v>
      </c>
      <c r="DF316" s="150">
        <f t="shared" si="831"/>
        <v>0.4244520101153616</v>
      </c>
      <c r="DG316" s="150"/>
      <c r="DH316" s="150">
        <f t="shared" si="832"/>
        <v>2.1052631578947367</v>
      </c>
      <c r="DI316" s="314">
        <f t="shared" si="833"/>
        <v>1140</v>
      </c>
      <c r="DJ316" s="456">
        <f t="shared" si="834"/>
        <v>0.36842105263157893</v>
      </c>
      <c r="DL316" s="150">
        <f t="shared" si="835"/>
        <v>1.9518001458970664</v>
      </c>
      <c r="DM316" s="150">
        <f t="shared" si="836"/>
        <v>3.2296296296296294</v>
      </c>
      <c r="DN316" s="150">
        <f t="shared" si="837"/>
        <v>2.8515775034293549</v>
      </c>
      <c r="DP316" s="314">
        <f t="shared" si="838"/>
        <v>1200</v>
      </c>
      <c r="DQ316" s="144">
        <f t="shared" si="839"/>
        <v>134.31569687067991</v>
      </c>
      <c r="DS316">
        <f t="shared" si="840"/>
        <v>1200</v>
      </c>
      <c r="DT316">
        <f t="shared" si="841"/>
        <v>134.31569687067991</v>
      </c>
      <c r="DV316" s="5">
        <f t="shared" si="870"/>
        <v>7.4451461988304084</v>
      </c>
      <c r="DW316" s="5">
        <f t="shared" si="842"/>
        <v>0.64592592592592601</v>
      </c>
      <c r="DX316" s="5">
        <f t="shared" si="843"/>
        <v>6.7992202729044822</v>
      </c>
      <c r="DY316" s="150">
        <f t="shared" si="844"/>
        <v>8.6757990867579932E-2</v>
      </c>
      <c r="EA316" s="5">
        <f t="shared" si="871"/>
        <v>15.502222222222224</v>
      </c>
      <c r="EB316" s="5">
        <f t="shared" si="872"/>
        <v>2.018518518518519</v>
      </c>
      <c r="EC316" s="5">
        <f t="shared" si="873"/>
        <v>0.28330084470435341</v>
      </c>
      <c r="ED316" s="5"/>
      <c r="EE316" s="150">
        <f t="shared" si="874"/>
        <v>0.54922062303383923</v>
      </c>
      <c r="EF316" s="150">
        <f t="shared" si="875"/>
        <v>1.7819069996574441</v>
      </c>
      <c r="EG316" s="150">
        <f t="shared" si="876"/>
        <v>0.3983086234528404</v>
      </c>
      <c r="EH316" s="150"/>
      <c r="EI316" s="456">
        <f t="shared" si="877"/>
        <v>6.0328658553135709E-3</v>
      </c>
      <c r="EJ316" s="456">
        <f t="shared" si="878"/>
        <v>0.57000000000000006</v>
      </c>
      <c r="EK316" s="456">
        <f t="shared" si="879"/>
        <v>1.6789462108834988E-2</v>
      </c>
      <c r="EL316" s="456">
        <f t="shared" si="880"/>
        <v>5.7977236238532133E-2</v>
      </c>
      <c r="EM316">
        <f t="shared" si="881"/>
        <v>2.7E-2</v>
      </c>
      <c r="EN316" s="144">
        <f t="shared" si="882"/>
        <v>43.789462108834982</v>
      </c>
      <c r="EP316" s="144">
        <f t="shared" si="883"/>
        <v>677.79956420268081</v>
      </c>
      <c r="EQ316" s="150">
        <f t="shared" si="884"/>
        <v>0.84</v>
      </c>
      <c r="ER316" s="150">
        <f t="shared" si="845"/>
        <v>0.11093749999999999</v>
      </c>
      <c r="ES316" s="456"/>
      <c r="EU316" s="144">
        <f t="shared" si="885"/>
        <v>950.9375</v>
      </c>
      <c r="EV316" s="456">
        <f t="shared" si="886"/>
        <v>9.049298782970356E-3</v>
      </c>
      <c r="EW316" s="456">
        <f t="shared" si="887"/>
        <v>9.5255776662845834E-2</v>
      </c>
      <c r="EX316" s="456">
        <f t="shared" si="888"/>
        <v>7.9324879758448303E-4</v>
      </c>
      <c r="EY316" s="456">
        <f t="shared" si="889"/>
        <v>0.19596058643252526</v>
      </c>
      <c r="EZ316" s="456"/>
      <c r="FA316" s="538">
        <f t="shared" si="890"/>
        <v>1.4009808895653645E-3</v>
      </c>
      <c r="FB316" s="144">
        <f t="shared" si="891"/>
        <v>302.45989156549132</v>
      </c>
      <c r="FC316" s="150">
        <f t="shared" si="892"/>
        <v>1.9311969557681723</v>
      </c>
      <c r="FD316" s="5">
        <f t="shared" si="893"/>
        <v>8</v>
      </c>
      <c r="FE316" s="150">
        <f t="shared" si="894"/>
        <v>0.80554237677800689</v>
      </c>
      <c r="FF316" s="5">
        <f t="shared" si="895"/>
        <v>80.554237677800685</v>
      </c>
      <c r="FG316">
        <f t="shared" si="896"/>
        <v>100</v>
      </c>
      <c r="FI316" s="59">
        <f t="shared" si="846"/>
        <v>-50</v>
      </c>
    </row>
    <row r="317" spans="5:169">
      <c r="E317" s="147"/>
      <c r="F317" s="188"/>
      <c r="G317" s="188"/>
      <c r="CI317" s="147"/>
      <c r="CJ317" s="188"/>
      <c r="CK317" s="188"/>
    </row>
    <row r="318" spans="5:169" ht="45" customHeight="1" thickBot="1">
      <c r="E318" s="211" t="s">
        <v>25</v>
      </c>
      <c r="F318" s="516" t="s">
        <v>580</v>
      </c>
      <c r="G318" s="380" t="s">
        <v>579</v>
      </c>
      <c r="H318" s="517" t="s">
        <v>581</v>
      </c>
      <c r="I318" s="518" t="s">
        <v>582</v>
      </c>
      <c r="J318" s="212" t="s">
        <v>412</v>
      </c>
      <c r="K318" s="213" t="s">
        <v>586</v>
      </c>
      <c r="L318" s="519" t="s">
        <v>413</v>
      </c>
      <c r="M318" s="520"/>
      <c r="N318" s="214" t="s">
        <v>48</v>
      </c>
      <c r="O318" s="520" t="s">
        <v>590</v>
      </c>
      <c r="P318" s="520" t="s">
        <v>606</v>
      </c>
      <c r="Q318" s="520" t="s">
        <v>583</v>
      </c>
      <c r="R318" s="520" t="s">
        <v>584</v>
      </c>
      <c r="S318" s="520" t="s">
        <v>585</v>
      </c>
      <c r="T318" s="520" t="s">
        <v>414</v>
      </c>
      <c r="U318" s="520" t="s">
        <v>466</v>
      </c>
      <c r="V318" s="520" t="s">
        <v>465</v>
      </c>
      <c r="W318" s="521" t="s">
        <v>420</v>
      </c>
      <c r="X318" s="522" t="s">
        <v>425</v>
      </c>
      <c r="Z318" s="215" t="s">
        <v>417</v>
      </c>
      <c r="AA318" s="215" t="s">
        <v>464</v>
      </c>
      <c r="AB318" s="215" t="s">
        <v>587</v>
      </c>
      <c r="AC318" s="468"/>
      <c r="AD318" s="215" t="s">
        <v>463</v>
      </c>
      <c r="AE318" s="521" t="s">
        <v>426</v>
      </c>
      <c r="AF318" s="215" t="s">
        <v>588</v>
      </c>
      <c r="AG318" s="468"/>
      <c r="AH318" s="215" t="s">
        <v>429</v>
      </c>
      <c r="AI318" s="470" t="s">
        <v>430</v>
      </c>
      <c r="AJ318" s="470" t="s">
        <v>431</v>
      </c>
      <c r="AL318" s="467" t="s">
        <v>275</v>
      </c>
      <c r="AM318" s="467" t="s">
        <v>432</v>
      </c>
      <c r="AO318" s="215" t="s">
        <v>275</v>
      </c>
      <c r="AP318" s="215" t="s">
        <v>432</v>
      </c>
      <c r="AQ318" s="471"/>
      <c r="AR318" s="215" t="s">
        <v>467</v>
      </c>
      <c r="AS318" s="215" t="s">
        <v>461</v>
      </c>
      <c r="AT318" s="215" t="s">
        <v>462</v>
      </c>
      <c r="AU318" s="215" t="s">
        <v>48</v>
      </c>
      <c r="AV318" s="468"/>
      <c r="AW318" s="215" t="s">
        <v>591</v>
      </c>
      <c r="AX318" s="215" t="s">
        <v>592</v>
      </c>
      <c r="AY318" s="215" t="s">
        <v>514</v>
      </c>
      <c r="AZ318" s="468"/>
      <c r="BA318" s="479" t="s">
        <v>456</v>
      </c>
      <c r="BB318" s="215" t="s">
        <v>599</v>
      </c>
      <c r="BC318" s="215" t="s">
        <v>598</v>
      </c>
      <c r="BD318" s="468"/>
      <c r="BE318" s="479" t="s">
        <v>474</v>
      </c>
      <c r="BF318" s="215" t="s">
        <v>475</v>
      </c>
      <c r="BG318" s="215" t="s">
        <v>473</v>
      </c>
      <c r="BH318" s="215" t="s">
        <v>469</v>
      </c>
      <c r="BI318" s="215" t="s">
        <v>478</v>
      </c>
      <c r="BJ318" s="215" t="s">
        <v>491</v>
      </c>
      <c r="BK318" s="215" t="s">
        <v>776</v>
      </c>
      <c r="BL318" s="215" t="s">
        <v>778</v>
      </c>
      <c r="BM318" s="479" t="s">
        <v>601</v>
      </c>
      <c r="BN318" s="215" t="s">
        <v>600</v>
      </c>
      <c r="BO318" s="215" t="s">
        <v>477</v>
      </c>
      <c r="BP318" s="215" t="s">
        <v>483</v>
      </c>
      <c r="BQ318" s="215" t="s">
        <v>487</v>
      </c>
      <c r="BR318" s="479" t="s">
        <v>458</v>
      </c>
      <c r="BS318" s="215" t="s">
        <v>603</v>
      </c>
      <c r="BT318" s="215" t="s">
        <v>602</v>
      </c>
      <c r="BU318" s="215" t="s">
        <v>468</v>
      </c>
      <c r="BV318" s="215" t="s">
        <v>673</v>
      </c>
      <c r="BW318" s="215" t="s">
        <v>484</v>
      </c>
      <c r="BX318" s="215" t="s">
        <v>486</v>
      </c>
      <c r="BY318" s="479" t="s">
        <v>482</v>
      </c>
      <c r="BZ318" s="215" t="s">
        <v>223</v>
      </c>
      <c r="CA318" s="215" t="s">
        <v>47</v>
      </c>
      <c r="CB318" s="215" t="s">
        <v>485</v>
      </c>
      <c r="CC318" s="215" t="s">
        <v>604</v>
      </c>
      <c r="CE318" s="490" t="s">
        <v>497</v>
      </c>
      <c r="CG318" s="668" t="s">
        <v>829</v>
      </c>
      <c r="CH318" s="669" t="s">
        <v>830</v>
      </c>
      <c r="CI318" s="211" t="s">
        <v>25</v>
      </c>
      <c r="CJ318" s="516" t="s">
        <v>580</v>
      </c>
      <c r="CK318" s="380" t="s">
        <v>579</v>
      </c>
      <c r="CL318" s="517" t="s">
        <v>581</v>
      </c>
      <c r="CM318" s="518" t="s">
        <v>582</v>
      </c>
      <c r="CN318" s="212" t="s">
        <v>412</v>
      </c>
      <c r="CO318" s="213" t="s">
        <v>586</v>
      </c>
      <c r="CP318" s="519" t="s">
        <v>413</v>
      </c>
      <c r="CQ318" s="520"/>
      <c r="CR318" s="214" t="s">
        <v>48</v>
      </c>
      <c r="CS318" s="520" t="s">
        <v>590</v>
      </c>
      <c r="CT318" s="520" t="s">
        <v>606</v>
      </c>
      <c r="CU318" s="520" t="s">
        <v>583</v>
      </c>
      <c r="CV318" s="520" t="s">
        <v>584</v>
      </c>
      <c r="CW318" s="520" t="s">
        <v>585</v>
      </c>
      <c r="CX318" s="520" t="s">
        <v>414</v>
      </c>
      <c r="CY318" s="520" t="s">
        <v>466</v>
      </c>
      <c r="CZ318" s="520" t="s">
        <v>465</v>
      </c>
      <c r="DA318" s="521" t="s">
        <v>420</v>
      </c>
      <c r="DB318" s="522" t="s">
        <v>425</v>
      </c>
      <c r="DD318" s="215" t="s">
        <v>417</v>
      </c>
      <c r="DE318" s="215" t="s">
        <v>464</v>
      </c>
      <c r="DF318" s="215" t="s">
        <v>587</v>
      </c>
      <c r="DG318" s="468"/>
      <c r="DH318" s="215" t="s">
        <v>463</v>
      </c>
      <c r="DI318" s="521" t="s">
        <v>426</v>
      </c>
      <c r="DJ318" s="215" t="s">
        <v>588</v>
      </c>
      <c r="DK318" s="468"/>
      <c r="DL318" s="215" t="s">
        <v>429</v>
      </c>
      <c r="DM318" s="470" t="s">
        <v>430</v>
      </c>
      <c r="DN318" s="470" t="s">
        <v>431</v>
      </c>
      <c r="DP318" s="467" t="s">
        <v>275</v>
      </c>
      <c r="DQ318" s="467" t="s">
        <v>432</v>
      </c>
      <c r="DS318" s="215" t="s">
        <v>275</v>
      </c>
      <c r="DT318" s="215" t="s">
        <v>432</v>
      </c>
      <c r="DU318" s="471"/>
      <c r="DV318" s="215" t="s">
        <v>467</v>
      </c>
      <c r="DW318" s="215" t="s">
        <v>461</v>
      </c>
      <c r="DX318" s="215" t="s">
        <v>462</v>
      </c>
      <c r="DY318" s="215" t="s">
        <v>48</v>
      </c>
      <c r="DZ318" s="468"/>
      <c r="EA318" s="215" t="s">
        <v>591</v>
      </c>
      <c r="EB318" s="215" t="s">
        <v>592</v>
      </c>
      <c r="EC318" s="215" t="s">
        <v>514</v>
      </c>
      <c r="ED318" s="468"/>
      <c r="EE318" s="479" t="s">
        <v>456</v>
      </c>
      <c r="EF318" s="215" t="s">
        <v>599</v>
      </c>
      <c r="EG318" s="215" t="s">
        <v>598</v>
      </c>
      <c r="EH318" s="468"/>
      <c r="EI318" s="479" t="s">
        <v>474</v>
      </c>
      <c r="EJ318" s="215" t="s">
        <v>475</v>
      </c>
      <c r="EK318" s="215" t="s">
        <v>473</v>
      </c>
      <c r="EL318" s="215" t="s">
        <v>469</v>
      </c>
      <c r="EM318" s="215" t="s">
        <v>478</v>
      </c>
      <c r="EN318" s="215" t="s">
        <v>491</v>
      </c>
      <c r="EO318" s="215" t="s">
        <v>776</v>
      </c>
      <c r="EP318" s="215" t="s">
        <v>778</v>
      </c>
      <c r="EQ318" s="479" t="s">
        <v>601</v>
      </c>
      <c r="ER318" s="215" t="s">
        <v>600</v>
      </c>
      <c r="ES318" s="215" t="s">
        <v>477</v>
      </c>
      <c r="ET318" s="215" t="s">
        <v>483</v>
      </c>
      <c r="EU318" s="215" t="s">
        <v>487</v>
      </c>
      <c r="EV318" s="479" t="s">
        <v>458</v>
      </c>
      <c r="EW318" s="215" t="s">
        <v>603</v>
      </c>
      <c r="EX318" s="215" t="s">
        <v>602</v>
      </c>
      <c r="EY318" s="215" t="s">
        <v>468</v>
      </c>
      <c r="EZ318" s="215" t="s">
        <v>673</v>
      </c>
      <c r="FA318" s="215" t="s">
        <v>484</v>
      </c>
      <c r="FB318" s="215" t="s">
        <v>486</v>
      </c>
      <c r="FC318" s="479" t="s">
        <v>482</v>
      </c>
      <c r="FD318" s="215" t="s">
        <v>223</v>
      </c>
      <c r="FE318" s="215" t="s">
        <v>47</v>
      </c>
      <c r="FF318" s="215" t="s">
        <v>485</v>
      </c>
      <c r="FG318" s="215" t="s">
        <v>604</v>
      </c>
      <c r="FI318" s="490" t="s">
        <v>497</v>
      </c>
      <c r="FL318" s="668" t="s">
        <v>876</v>
      </c>
      <c r="FM318" s="668" t="s">
        <v>875</v>
      </c>
    </row>
    <row r="320" spans="5:169">
      <c r="E320" s="59" t="s">
        <v>913</v>
      </c>
      <c r="K320" s="59"/>
      <c r="L320" s="59" t="s">
        <v>914</v>
      </c>
    </row>
    <row r="321" spans="5:20">
      <c r="F321" s="59" t="s">
        <v>915</v>
      </c>
      <c r="G321" s="59" t="s">
        <v>916</v>
      </c>
      <c r="M321" s="59" t="s">
        <v>917</v>
      </c>
      <c r="N321" s="59" t="s">
        <v>918</v>
      </c>
    </row>
    <row r="322" spans="5:20">
      <c r="F322">
        <f>'Design Converter'!E73</f>
        <v>5.0000000000000001E-4</v>
      </c>
      <c r="G322" s="754">
        <f>F322*Vout</f>
        <v>2.5000000000000001E-3</v>
      </c>
      <c r="M322">
        <f>'Design Converter'!L73</f>
        <v>5.0000000000000001E-4</v>
      </c>
      <c r="N322" s="754">
        <f>M322*Vout2</f>
        <v>4.0000000000000001E-3</v>
      </c>
      <c r="T322">
        <f>Vout*F316+Vout2*G316</f>
        <v>8</v>
      </c>
    </row>
    <row r="323" spans="5:20">
      <c r="E323" t="s">
        <v>907</v>
      </c>
      <c r="L323" t="s">
        <v>907</v>
      </c>
    </row>
    <row r="324" spans="5:20">
      <c r="F324" t="s">
        <v>908</v>
      </c>
      <c r="G324" t="s">
        <v>909</v>
      </c>
      <c r="H324" t="s">
        <v>910</v>
      </c>
      <c r="I324" s="59" t="s">
        <v>660</v>
      </c>
      <c r="M324" t="s">
        <v>908</v>
      </c>
      <c r="N324" t="s">
        <v>909</v>
      </c>
      <c r="O324" t="s">
        <v>910</v>
      </c>
      <c r="P324" s="59" t="s">
        <v>660</v>
      </c>
    </row>
    <row r="325" spans="5:20">
      <c r="F325" s="755">
        <v>1.9999999999999999E-7</v>
      </c>
      <c r="G325">
        <f>VIN_max</f>
        <v>60</v>
      </c>
      <c r="H325">
        <f>15000</f>
        <v>15000</v>
      </c>
      <c r="I325">
        <f>L*0.9</f>
        <v>1.08E-5</v>
      </c>
      <c r="M325" s="755">
        <v>1.9999999999999999E-7</v>
      </c>
      <c r="N325">
        <f>VIN_max</f>
        <v>60</v>
      </c>
      <c r="O325">
        <f>15000</f>
        <v>15000</v>
      </c>
      <c r="P325">
        <f>L*0.9</f>
        <v>1.08E-5</v>
      </c>
    </row>
    <row r="326" spans="5:20">
      <c r="G326" s="59" t="s">
        <v>911</v>
      </c>
      <c r="N326" s="59" t="s">
        <v>911</v>
      </c>
    </row>
    <row r="327" spans="5:20">
      <c r="G327" s="754">
        <f>0.5*(G325/I325*F325)^2*H325*I325</f>
        <v>0.10000000000000002</v>
      </c>
      <c r="N327" s="754">
        <f>0.5*(N325/P325*M325)^2*O325*P325</f>
        <v>0.10000000000000002</v>
      </c>
    </row>
    <row r="328" spans="5:20">
      <c r="E328" s="59" t="s">
        <v>919</v>
      </c>
      <c r="K328" s="59"/>
      <c r="L328" s="59" t="s">
        <v>920</v>
      </c>
    </row>
    <row r="329" spans="5:20">
      <c r="G329" t="str">
        <f>IF(G322+N322&lt;G327, "Yes", IF(G322&lt;G327, "Yes", "No"))</f>
        <v>Yes</v>
      </c>
      <c r="H329">
        <f>(Vout*1.05)^2/(G327-G322)</f>
        <v>282.69230769230762</v>
      </c>
      <c r="N329" t="str">
        <f>IF(G322+N322&lt;N327, "Yes", IF(N322&lt;N327, "Yes", "No"))</f>
        <v>Yes</v>
      </c>
      <c r="O329">
        <f>(Vout2*1.05)^2/(N327-N322)</f>
        <v>734.99999999999989</v>
      </c>
    </row>
  </sheetData>
  <sheetProtection algorithmName="SHA-512" hashValue="UtFeTGMjuV5UCpnZm+pfUsg6mgbxGknJ7UlwZbVIwvh5M3ivI7AM0VyBK+6HHZzOE63EnWpi4CqIIbodLKpn8w==" saltValue="GY0CJtGDyMdTsyujrreLCg==" spinCount="100000" sheet="1" selectLockedCells="1" selectUnlockedCells="1"/>
  <mergeCells count="2">
    <mergeCell ref="N3:Z3"/>
    <mergeCell ref="CR3:DD3"/>
  </mergeCells>
  <phoneticPr fontId="83"/>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C3:S106"/>
  <sheetViews>
    <sheetView workbookViewId="0">
      <selection activeCell="V6" sqref="V6"/>
    </sheetView>
  </sheetViews>
  <sheetFormatPr defaultRowHeight="12.75"/>
  <cols>
    <col min="3" max="3" width="7.7109375" customWidth="1"/>
    <col min="5" max="5" width="10.28515625" customWidth="1"/>
    <col min="7" max="7" width="10.7109375" customWidth="1"/>
    <col min="8" max="8" width="9.7109375" customWidth="1"/>
    <col min="9" max="9" width="9.5703125" customWidth="1"/>
    <col min="10" max="10" width="8.7109375" customWidth="1"/>
    <col min="11" max="11" width="9.85546875" customWidth="1"/>
    <col min="12" max="12" width="10.7109375" customWidth="1"/>
    <col min="13" max="13" width="15" customWidth="1"/>
    <col min="14" max="14" width="11.42578125" customWidth="1"/>
    <col min="15" max="16" width="11" customWidth="1"/>
    <col min="17" max="17" width="11.140625" customWidth="1"/>
    <col min="18" max="18" width="11.28515625" customWidth="1"/>
    <col min="19" max="19" width="5.140625" customWidth="1"/>
  </cols>
  <sheetData>
    <row r="3" spans="3:19" ht="13.5" thickBot="1"/>
    <row r="4" spans="3:19">
      <c r="C4" s="191" t="s">
        <v>421</v>
      </c>
      <c r="D4" s="192"/>
      <c r="E4" s="193"/>
      <c r="F4" s="814" t="s">
        <v>189</v>
      </c>
      <c r="G4" s="815"/>
      <c r="H4" s="814"/>
      <c r="I4" s="814"/>
      <c r="J4" s="814"/>
      <c r="K4" s="815"/>
      <c r="L4" s="815"/>
      <c r="M4" s="815"/>
      <c r="N4" s="814"/>
      <c r="O4" s="816"/>
      <c r="P4" s="461"/>
      <c r="Q4" s="461"/>
      <c r="R4" s="461"/>
      <c r="S4" s="461"/>
    </row>
    <row r="5" spans="3:19" ht="45" customHeight="1" thickBot="1">
      <c r="C5" s="211" t="s">
        <v>25</v>
      </c>
      <c r="D5" s="212" t="s">
        <v>412</v>
      </c>
      <c r="E5" s="213" t="s">
        <v>418</v>
      </c>
      <c r="F5" s="214" t="s">
        <v>48</v>
      </c>
      <c r="G5" s="455" t="s">
        <v>402</v>
      </c>
      <c r="H5" s="455" t="s">
        <v>403</v>
      </c>
      <c r="I5" s="455" t="s">
        <v>413</v>
      </c>
      <c r="J5" s="455" t="s">
        <v>414</v>
      </c>
      <c r="K5" s="455" t="s">
        <v>415</v>
      </c>
      <c r="L5" s="455" t="s">
        <v>416</v>
      </c>
      <c r="M5" s="216" t="s">
        <v>419</v>
      </c>
      <c r="N5" s="215" t="s">
        <v>420</v>
      </c>
      <c r="O5" s="215" t="s">
        <v>417</v>
      </c>
      <c r="P5" s="215" t="s">
        <v>422</v>
      </c>
      <c r="Q5" s="215" t="s">
        <v>423</v>
      </c>
      <c r="R5" s="215" t="s">
        <v>424</v>
      </c>
      <c r="S5" s="215"/>
    </row>
    <row r="6" spans="3:19">
      <c r="C6" s="147">
        <v>0.1</v>
      </c>
      <c r="D6" s="457">
        <f>VIN_min</f>
        <v>9</v>
      </c>
      <c r="E6" s="379">
        <f t="shared" ref="E6:E37" si="0">(Vout+Vfwd1)*Nps</f>
        <v>5.4</v>
      </c>
      <c r="F6" s="188">
        <f t="shared" ref="F6:F37" si="1">(Vout+Vfwd1)*Nps/((Vout+Vfwd1)*Nps+D6)</f>
        <v>0.375</v>
      </c>
      <c r="G6" s="149">
        <f t="shared" ref="G6:G37" si="2">F6*D6*Isw_max*0.5*Efficiency</f>
        <v>8.4375</v>
      </c>
      <c r="H6" s="188">
        <f t="shared" ref="H6:H37" si="3">G6/Vout</f>
        <v>1.6875</v>
      </c>
      <c r="I6" s="379">
        <f t="shared" ref="I6:I37" si="4">(Vout+Vfwd1)*Nps+D6</f>
        <v>14.4</v>
      </c>
      <c r="J6" s="149">
        <f t="shared" ref="J6:J37" si="5">MIN(2*Vout*Iout/(Efficiency*D6*F6), 1.35)</f>
        <v>1.35</v>
      </c>
      <c r="K6" s="149">
        <f t="shared" ref="K6:K37" si="6">L*J6/D6*1000000</f>
        <v>1.8</v>
      </c>
      <c r="L6" s="149">
        <f t="shared" ref="L6:L37" si="7">L*J6/((Vout+Vfwd1)*Nps)*1000000</f>
        <v>3</v>
      </c>
      <c r="M6" s="379">
        <f>MIN(1/(K6+L6)*1000, 350)</f>
        <v>208.33333333333334</v>
      </c>
      <c r="N6" s="172">
        <f t="shared" ref="N6:N37" si="8">IF(1/((350000*L)*(1/D6+1/E6))&gt;Isw_min, 350, 0.001/((Isw_min*L)*(1/D6+1/E6)))</f>
        <v>281.25</v>
      </c>
      <c r="O6" s="188">
        <f t="shared" ref="O6:O37" si="9">1/((N6*1000*L)*(1/D6+1/E6))</f>
        <v>1</v>
      </c>
      <c r="P6" s="150">
        <f t="shared" ref="P6:P37" si="10">L*O6/E6*1000000</f>
        <v>2.2222222222222219</v>
      </c>
      <c r="Q6" s="150">
        <f t="shared" ref="Q6:Q37" si="11">0.5*P6*O6*Nps*N6/1000</f>
        <v>0.31249999999999994</v>
      </c>
      <c r="R6" s="150">
        <f t="shared" ref="R6:R37" si="12">L*Isw_min/E6*1000000</f>
        <v>2.2222222222222219</v>
      </c>
    </row>
    <row r="7" spans="3:19">
      <c r="C7" s="147">
        <v>1</v>
      </c>
      <c r="D7" s="5">
        <f t="shared" ref="D7:D38" si="13">C7/100*(VIN_max-VIN_min)+VIN_min</f>
        <v>9.51</v>
      </c>
      <c r="E7" s="379">
        <f t="shared" si="0"/>
        <v>5.4</v>
      </c>
      <c r="F7" s="188">
        <f t="shared" si="1"/>
        <v>0.3621730382293763</v>
      </c>
      <c r="G7" s="149">
        <f t="shared" si="2"/>
        <v>8.6106639839034216</v>
      </c>
      <c r="H7" s="188">
        <f t="shared" si="3"/>
        <v>1.7221327967806843</v>
      </c>
      <c r="I7" s="379">
        <f t="shared" si="4"/>
        <v>14.91</v>
      </c>
      <c r="J7" s="149">
        <f t="shared" si="5"/>
        <v>1.35</v>
      </c>
      <c r="K7" s="149">
        <f t="shared" si="6"/>
        <v>1.7034700315457416</v>
      </c>
      <c r="L7" s="149">
        <f t="shared" si="7"/>
        <v>3</v>
      </c>
      <c r="M7" s="379">
        <f t="shared" ref="M7:M70" si="14">MIN(1/(K7+L7)*1000, 350)</f>
        <v>212.60898725687457</v>
      </c>
      <c r="N7" s="172">
        <f t="shared" si="8"/>
        <v>287.02213279678068</v>
      </c>
      <c r="O7" s="188">
        <f t="shared" si="9"/>
        <v>1</v>
      </c>
      <c r="P7" s="150">
        <f t="shared" si="10"/>
        <v>2.2222222222222219</v>
      </c>
      <c r="Q7" s="150">
        <f t="shared" si="11"/>
        <v>0.3189134808853118</v>
      </c>
      <c r="R7" s="150">
        <f t="shared" si="12"/>
        <v>2.2222222222222219</v>
      </c>
    </row>
    <row r="8" spans="3:19">
      <c r="C8" s="147">
        <v>2</v>
      </c>
      <c r="D8" s="5">
        <f t="shared" si="13"/>
        <v>10.02</v>
      </c>
      <c r="E8" s="379">
        <f t="shared" si="0"/>
        <v>5.4</v>
      </c>
      <c r="F8" s="188">
        <f t="shared" si="1"/>
        <v>0.35019455252918291</v>
      </c>
      <c r="G8" s="149">
        <f t="shared" si="2"/>
        <v>8.7723735408560302</v>
      </c>
      <c r="H8" s="188">
        <f t="shared" si="3"/>
        <v>1.754474708171206</v>
      </c>
      <c r="I8" s="379">
        <f t="shared" si="4"/>
        <v>15.42</v>
      </c>
      <c r="J8" s="149">
        <f t="shared" si="5"/>
        <v>1.35</v>
      </c>
      <c r="K8" s="149">
        <f t="shared" si="6"/>
        <v>1.6167664670658684</v>
      </c>
      <c r="L8" s="149">
        <f t="shared" si="7"/>
        <v>3</v>
      </c>
      <c r="M8" s="379">
        <f t="shared" si="14"/>
        <v>216.60181582360568</v>
      </c>
      <c r="N8" s="172">
        <f t="shared" si="8"/>
        <v>292.41245136186768</v>
      </c>
      <c r="O8" s="188">
        <f t="shared" si="9"/>
        <v>1</v>
      </c>
      <c r="P8" s="150">
        <f t="shared" si="10"/>
        <v>2.2222222222222219</v>
      </c>
      <c r="Q8" s="150">
        <f t="shared" si="11"/>
        <v>0.32490272373540846</v>
      </c>
      <c r="R8" s="150">
        <f t="shared" si="12"/>
        <v>2.2222222222222219</v>
      </c>
    </row>
    <row r="9" spans="3:19">
      <c r="C9" s="147">
        <v>3</v>
      </c>
      <c r="D9" s="5">
        <f t="shared" si="13"/>
        <v>10.53</v>
      </c>
      <c r="E9" s="379">
        <f t="shared" si="0"/>
        <v>5.4</v>
      </c>
      <c r="F9" s="188">
        <f t="shared" si="1"/>
        <v>0.33898305084745767</v>
      </c>
      <c r="G9" s="149">
        <f t="shared" si="2"/>
        <v>8.9237288135593236</v>
      </c>
      <c r="H9" s="188">
        <f t="shared" si="3"/>
        <v>1.7847457627118648</v>
      </c>
      <c r="I9" s="379">
        <f t="shared" si="4"/>
        <v>15.93</v>
      </c>
      <c r="J9" s="149">
        <f t="shared" si="5"/>
        <v>1.35</v>
      </c>
      <c r="K9" s="149">
        <f t="shared" si="6"/>
        <v>1.5384615384615388</v>
      </c>
      <c r="L9" s="149">
        <f t="shared" si="7"/>
        <v>3</v>
      </c>
      <c r="M9" s="379">
        <f t="shared" si="14"/>
        <v>220.33898305084745</v>
      </c>
      <c r="N9" s="172">
        <f t="shared" si="8"/>
        <v>297.4576271186441</v>
      </c>
      <c r="O9" s="188">
        <f t="shared" si="9"/>
        <v>0.99999999999999978</v>
      </c>
      <c r="P9" s="150">
        <f t="shared" si="10"/>
        <v>2.2222222222222214</v>
      </c>
      <c r="Q9" s="150">
        <f t="shared" si="11"/>
        <v>0.33050847457627108</v>
      </c>
      <c r="R9" s="150">
        <f t="shared" si="12"/>
        <v>2.2222222222222219</v>
      </c>
    </row>
    <row r="10" spans="3:19">
      <c r="C10" s="147">
        <v>4</v>
      </c>
      <c r="D10" s="5">
        <f t="shared" si="13"/>
        <v>11.04</v>
      </c>
      <c r="E10" s="379">
        <f t="shared" si="0"/>
        <v>5.4</v>
      </c>
      <c r="F10" s="188">
        <f t="shared" si="1"/>
        <v>0.32846715328467158</v>
      </c>
      <c r="G10" s="149">
        <f t="shared" si="2"/>
        <v>9.0656934306569354</v>
      </c>
      <c r="H10" s="188">
        <f t="shared" si="3"/>
        <v>1.8131386861313872</v>
      </c>
      <c r="I10" s="379">
        <f t="shared" si="4"/>
        <v>16.439999999999998</v>
      </c>
      <c r="J10" s="149">
        <f t="shared" si="5"/>
        <v>1.35</v>
      </c>
      <c r="K10" s="149">
        <f t="shared" si="6"/>
        <v>1.4673913043478262</v>
      </c>
      <c r="L10" s="149">
        <f t="shared" si="7"/>
        <v>3</v>
      </c>
      <c r="M10" s="379">
        <f t="shared" si="14"/>
        <v>223.84428223844282</v>
      </c>
      <c r="N10" s="172">
        <f t="shared" si="8"/>
        <v>302.18978102189777</v>
      </c>
      <c r="O10" s="188">
        <f t="shared" si="9"/>
        <v>1</v>
      </c>
      <c r="P10" s="150">
        <f t="shared" si="10"/>
        <v>2.2222222222222219</v>
      </c>
      <c r="Q10" s="150">
        <f t="shared" si="11"/>
        <v>0.33576642335766416</v>
      </c>
      <c r="R10" s="150">
        <f t="shared" si="12"/>
        <v>2.2222222222222219</v>
      </c>
    </row>
    <row r="11" spans="3:19">
      <c r="C11" s="147">
        <v>5</v>
      </c>
      <c r="D11" s="5">
        <f t="shared" si="13"/>
        <v>11.55</v>
      </c>
      <c r="E11" s="379">
        <f t="shared" si="0"/>
        <v>5.4</v>
      </c>
      <c r="F11" s="188">
        <f t="shared" si="1"/>
        <v>0.31858407079646012</v>
      </c>
      <c r="G11" s="149">
        <f t="shared" si="2"/>
        <v>9.1991150442477867</v>
      </c>
      <c r="H11" s="188">
        <f t="shared" si="3"/>
        <v>1.8398230088495573</v>
      </c>
      <c r="I11" s="379">
        <f t="shared" si="4"/>
        <v>16.950000000000003</v>
      </c>
      <c r="J11" s="149">
        <f t="shared" si="5"/>
        <v>1.35</v>
      </c>
      <c r="K11" s="149">
        <f t="shared" si="6"/>
        <v>1.4025974025974026</v>
      </c>
      <c r="L11" s="149">
        <f t="shared" si="7"/>
        <v>3</v>
      </c>
      <c r="M11" s="379">
        <f t="shared" si="14"/>
        <v>227.13864306784663</v>
      </c>
      <c r="N11" s="172">
        <f t="shared" si="8"/>
        <v>306.63716814159289</v>
      </c>
      <c r="O11" s="188">
        <f t="shared" si="9"/>
        <v>1</v>
      </c>
      <c r="P11" s="150">
        <f t="shared" si="10"/>
        <v>2.2222222222222219</v>
      </c>
      <c r="Q11" s="150">
        <f t="shared" si="11"/>
        <v>0.34070796460176983</v>
      </c>
      <c r="R11" s="150">
        <f t="shared" si="12"/>
        <v>2.2222222222222219</v>
      </c>
    </row>
    <row r="12" spans="3:19">
      <c r="C12" s="147">
        <v>6</v>
      </c>
      <c r="D12" s="5">
        <f t="shared" si="13"/>
        <v>12.06</v>
      </c>
      <c r="E12" s="379">
        <f t="shared" si="0"/>
        <v>5.4</v>
      </c>
      <c r="F12" s="188">
        <f t="shared" si="1"/>
        <v>0.30927835051546393</v>
      </c>
      <c r="G12" s="149">
        <f t="shared" si="2"/>
        <v>9.3247422680412377</v>
      </c>
      <c r="H12" s="188">
        <f t="shared" si="3"/>
        <v>1.8649484536082475</v>
      </c>
      <c r="I12" s="379">
        <f t="shared" si="4"/>
        <v>17.46</v>
      </c>
      <c r="J12" s="149">
        <f t="shared" si="5"/>
        <v>1.35</v>
      </c>
      <c r="K12" s="149">
        <f t="shared" si="6"/>
        <v>1.3432835820895521</v>
      </c>
      <c r="L12" s="149">
        <f t="shared" si="7"/>
        <v>3</v>
      </c>
      <c r="M12" s="379">
        <f t="shared" si="14"/>
        <v>230.2405498281787</v>
      </c>
      <c r="N12" s="172">
        <f t="shared" si="8"/>
        <v>310.82474226804123</v>
      </c>
      <c r="O12" s="188">
        <f t="shared" si="9"/>
        <v>1</v>
      </c>
      <c r="P12" s="150">
        <f t="shared" si="10"/>
        <v>2.2222222222222219</v>
      </c>
      <c r="Q12" s="150">
        <f t="shared" si="11"/>
        <v>0.34536082474226798</v>
      </c>
      <c r="R12" s="150">
        <f t="shared" si="12"/>
        <v>2.2222222222222219</v>
      </c>
    </row>
    <row r="13" spans="3:19">
      <c r="C13" s="147">
        <v>7</v>
      </c>
      <c r="D13" s="5">
        <f t="shared" si="13"/>
        <v>12.57</v>
      </c>
      <c r="E13" s="379">
        <f t="shared" si="0"/>
        <v>5.4</v>
      </c>
      <c r="F13" s="188">
        <f t="shared" si="1"/>
        <v>0.30050083472454092</v>
      </c>
      <c r="G13" s="149">
        <f t="shared" si="2"/>
        <v>9.4432387312186989</v>
      </c>
      <c r="H13" s="188">
        <f t="shared" si="3"/>
        <v>1.8886477462437399</v>
      </c>
      <c r="I13" s="379">
        <f t="shared" si="4"/>
        <v>17.97</v>
      </c>
      <c r="J13" s="149">
        <f t="shared" si="5"/>
        <v>1.35</v>
      </c>
      <c r="K13" s="149">
        <f t="shared" si="6"/>
        <v>1.2887828162291168</v>
      </c>
      <c r="L13" s="149">
        <f t="shared" si="7"/>
        <v>3</v>
      </c>
      <c r="M13" s="379">
        <f t="shared" si="14"/>
        <v>233.16638842515306</v>
      </c>
      <c r="N13" s="172">
        <f t="shared" si="8"/>
        <v>314.77462437395661</v>
      </c>
      <c r="O13" s="188">
        <f t="shared" si="9"/>
        <v>1</v>
      </c>
      <c r="P13" s="150">
        <f t="shared" si="10"/>
        <v>2.2222222222222219</v>
      </c>
      <c r="Q13" s="150">
        <f t="shared" si="11"/>
        <v>0.34974958263772954</v>
      </c>
      <c r="R13" s="150">
        <f t="shared" si="12"/>
        <v>2.2222222222222219</v>
      </c>
    </row>
    <row r="14" spans="3:19" s="59" customFormat="1">
      <c r="C14" s="147">
        <v>8</v>
      </c>
      <c r="D14" s="167">
        <f t="shared" si="13"/>
        <v>13.08</v>
      </c>
      <c r="E14" s="379">
        <f t="shared" si="0"/>
        <v>5.4</v>
      </c>
      <c r="F14" s="188">
        <f t="shared" si="1"/>
        <v>0.29220779220779219</v>
      </c>
      <c r="G14" s="149">
        <f t="shared" si="2"/>
        <v>9.5551948051948052</v>
      </c>
      <c r="H14" s="188">
        <f t="shared" si="3"/>
        <v>1.9110389610389611</v>
      </c>
      <c r="I14" s="379">
        <f t="shared" si="4"/>
        <v>18.48</v>
      </c>
      <c r="J14" s="149">
        <f t="shared" si="5"/>
        <v>1.35</v>
      </c>
      <c r="K14" s="149">
        <f t="shared" si="6"/>
        <v>1.238532110091743</v>
      </c>
      <c r="L14" s="149">
        <f t="shared" si="7"/>
        <v>3</v>
      </c>
      <c r="M14" s="379">
        <f t="shared" si="14"/>
        <v>235.93073593073595</v>
      </c>
      <c r="N14" s="172">
        <f t="shared" si="8"/>
        <v>318.50649350649354</v>
      </c>
      <c r="O14" s="188">
        <f t="shared" si="9"/>
        <v>1</v>
      </c>
      <c r="P14" s="150">
        <f t="shared" si="10"/>
        <v>2.2222222222222219</v>
      </c>
      <c r="Q14" s="462">
        <f t="shared" si="11"/>
        <v>0.35389610389610388</v>
      </c>
      <c r="R14" s="150">
        <f t="shared" si="12"/>
        <v>2.2222222222222219</v>
      </c>
    </row>
    <row r="15" spans="3:19">
      <c r="C15" s="147">
        <v>9</v>
      </c>
      <c r="D15" s="5">
        <f t="shared" si="13"/>
        <v>13.59</v>
      </c>
      <c r="E15" s="379">
        <f t="shared" si="0"/>
        <v>5.4</v>
      </c>
      <c r="F15" s="188">
        <f t="shared" si="1"/>
        <v>0.28436018957345971</v>
      </c>
      <c r="G15" s="149">
        <f t="shared" si="2"/>
        <v>9.6611374407582939</v>
      </c>
      <c r="H15" s="188">
        <f t="shared" si="3"/>
        <v>1.9322274881516588</v>
      </c>
      <c r="I15" s="379">
        <f t="shared" si="4"/>
        <v>18.990000000000002</v>
      </c>
      <c r="J15" s="149">
        <f t="shared" si="5"/>
        <v>1.35</v>
      </c>
      <c r="K15" s="149">
        <f t="shared" si="6"/>
        <v>1.1920529801324504</v>
      </c>
      <c r="L15" s="149">
        <f t="shared" si="7"/>
        <v>3</v>
      </c>
      <c r="M15" s="379">
        <f t="shared" si="14"/>
        <v>238.54660347551342</v>
      </c>
      <c r="N15" s="172">
        <f t="shared" si="8"/>
        <v>322.03791469194312</v>
      </c>
      <c r="O15" s="188">
        <f t="shared" si="9"/>
        <v>1</v>
      </c>
      <c r="P15" s="150">
        <f t="shared" si="10"/>
        <v>2.2222222222222219</v>
      </c>
      <c r="Q15" s="150">
        <f t="shared" si="11"/>
        <v>0.35781990521327012</v>
      </c>
      <c r="R15" s="150">
        <f t="shared" si="12"/>
        <v>2.2222222222222219</v>
      </c>
    </row>
    <row r="16" spans="3:19">
      <c r="C16" s="147">
        <v>10</v>
      </c>
      <c r="D16" s="5">
        <f t="shared" si="13"/>
        <v>14.100000000000001</v>
      </c>
      <c r="E16" s="379">
        <f t="shared" si="0"/>
        <v>5.4</v>
      </c>
      <c r="F16" s="188">
        <f t="shared" si="1"/>
        <v>0.27692307692307694</v>
      </c>
      <c r="G16" s="149">
        <f t="shared" si="2"/>
        <v>9.7615384615384624</v>
      </c>
      <c r="H16" s="188">
        <f t="shared" si="3"/>
        <v>1.9523076923076925</v>
      </c>
      <c r="I16" s="379">
        <f t="shared" si="4"/>
        <v>19.5</v>
      </c>
      <c r="J16" s="149">
        <f t="shared" si="5"/>
        <v>1.35</v>
      </c>
      <c r="K16" s="149">
        <f t="shared" si="6"/>
        <v>1.1489361702127658</v>
      </c>
      <c r="L16" s="149">
        <f t="shared" si="7"/>
        <v>3</v>
      </c>
      <c r="M16" s="379">
        <f t="shared" si="14"/>
        <v>241.02564102564105</v>
      </c>
      <c r="N16" s="172">
        <f t="shared" si="8"/>
        <v>325.38461538461542</v>
      </c>
      <c r="O16" s="188">
        <f t="shared" si="9"/>
        <v>0.99999999999999978</v>
      </c>
      <c r="P16" s="150">
        <f t="shared" si="10"/>
        <v>2.2222222222222214</v>
      </c>
      <c r="Q16" s="150">
        <f t="shared" si="11"/>
        <v>0.36153846153846136</v>
      </c>
      <c r="R16" s="150">
        <f t="shared" si="12"/>
        <v>2.2222222222222219</v>
      </c>
    </row>
    <row r="17" spans="3:18">
      <c r="C17" s="147">
        <v>11</v>
      </c>
      <c r="D17" s="5">
        <f t="shared" si="13"/>
        <v>14.61</v>
      </c>
      <c r="E17" s="379">
        <f t="shared" si="0"/>
        <v>5.4</v>
      </c>
      <c r="F17" s="188">
        <f t="shared" si="1"/>
        <v>0.26986506746626693</v>
      </c>
      <c r="G17" s="149">
        <f t="shared" si="2"/>
        <v>9.8568215892053992</v>
      </c>
      <c r="H17" s="188">
        <f t="shared" si="3"/>
        <v>1.9713643178410798</v>
      </c>
      <c r="I17" s="379">
        <f t="shared" si="4"/>
        <v>20.009999999999998</v>
      </c>
      <c r="J17" s="149">
        <f t="shared" si="5"/>
        <v>1.35</v>
      </c>
      <c r="K17" s="149">
        <f t="shared" si="6"/>
        <v>1.108829568788501</v>
      </c>
      <c r="L17" s="149">
        <f t="shared" si="7"/>
        <v>3</v>
      </c>
      <c r="M17" s="379">
        <f t="shared" si="14"/>
        <v>243.37831084457773</v>
      </c>
      <c r="N17" s="172">
        <f t="shared" si="8"/>
        <v>328.56071964017991</v>
      </c>
      <c r="O17" s="188">
        <f t="shared" si="9"/>
        <v>1</v>
      </c>
      <c r="P17" s="150">
        <f t="shared" si="10"/>
        <v>2.2222222222222219</v>
      </c>
      <c r="Q17" s="150">
        <f t="shared" si="11"/>
        <v>0.36506746626686654</v>
      </c>
      <c r="R17" s="150">
        <f t="shared" si="12"/>
        <v>2.2222222222222219</v>
      </c>
    </row>
    <row r="18" spans="3:18">
      <c r="C18" s="147">
        <v>12</v>
      </c>
      <c r="D18" s="5">
        <f t="shared" si="13"/>
        <v>15.120000000000001</v>
      </c>
      <c r="E18" s="379">
        <f t="shared" si="0"/>
        <v>5.4</v>
      </c>
      <c r="F18" s="188">
        <f t="shared" si="1"/>
        <v>0.26315789473684209</v>
      </c>
      <c r="G18" s="149">
        <f t="shared" si="2"/>
        <v>9.9473684210526319</v>
      </c>
      <c r="H18" s="188">
        <f t="shared" si="3"/>
        <v>1.9894736842105263</v>
      </c>
      <c r="I18" s="379">
        <f t="shared" si="4"/>
        <v>20.520000000000003</v>
      </c>
      <c r="J18" s="149">
        <f t="shared" si="5"/>
        <v>1.35</v>
      </c>
      <c r="K18" s="149">
        <f t="shared" si="6"/>
        <v>1.0714285714285714</v>
      </c>
      <c r="L18" s="149">
        <f t="shared" si="7"/>
        <v>3</v>
      </c>
      <c r="M18" s="379">
        <f t="shared" si="14"/>
        <v>245.61403508771932</v>
      </c>
      <c r="N18" s="172">
        <f t="shared" si="8"/>
        <v>331.5789473684211</v>
      </c>
      <c r="O18" s="188">
        <f t="shared" si="9"/>
        <v>1</v>
      </c>
      <c r="P18" s="150">
        <f t="shared" si="10"/>
        <v>2.2222222222222219</v>
      </c>
      <c r="Q18" s="150">
        <f t="shared" si="11"/>
        <v>0.36842105263157898</v>
      </c>
      <c r="R18" s="150">
        <f t="shared" si="12"/>
        <v>2.2222222222222219</v>
      </c>
    </row>
    <row r="19" spans="3:18">
      <c r="C19" s="147">
        <v>13</v>
      </c>
      <c r="D19" s="5">
        <f t="shared" si="13"/>
        <v>15.629999999999999</v>
      </c>
      <c r="E19" s="379">
        <f t="shared" si="0"/>
        <v>5.4</v>
      </c>
      <c r="F19" s="188">
        <f t="shared" si="1"/>
        <v>0.25677603423680456</v>
      </c>
      <c r="G19" s="149">
        <f t="shared" si="2"/>
        <v>10.033523537803138</v>
      </c>
      <c r="H19" s="188">
        <f t="shared" si="3"/>
        <v>2.0067047075606275</v>
      </c>
      <c r="I19" s="379">
        <f t="shared" si="4"/>
        <v>21.03</v>
      </c>
      <c r="J19" s="149">
        <f t="shared" si="5"/>
        <v>1.35</v>
      </c>
      <c r="K19" s="149">
        <f t="shared" si="6"/>
        <v>1.0364683301343571</v>
      </c>
      <c r="L19" s="149">
        <f t="shared" si="7"/>
        <v>3</v>
      </c>
      <c r="M19" s="379">
        <f t="shared" si="14"/>
        <v>247.74132192106512</v>
      </c>
      <c r="N19" s="172">
        <f t="shared" si="8"/>
        <v>334.45078459343796</v>
      </c>
      <c r="O19" s="188">
        <f t="shared" si="9"/>
        <v>1</v>
      </c>
      <c r="P19" s="150">
        <f t="shared" si="10"/>
        <v>2.2222222222222219</v>
      </c>
      <c r="Q19" s="150">
        <f t="shared" si="11"/>
        <v>0.37161198288159769</v>
      </c>
      <c r="R19" s="150">
        <f t="shared" si="12"/>
        <v>2.2222222222222219</v>
      </c>
    </row>
    <row r="20" spans="3:18">
      <c r="C20" s="147">
        <v>14</v>
      </c>
      <c r="D20" s="5">
        <f t="shared" si="13"/>
        <v>16.14</v>
      </c>
      <c r="E20" s="379">
        <f t="shared" si="0"/>
        <v>5.4</v>
      </c>
      <c r="F20" s="188">
        <f t="shared" si="1"/>
        <v>0.25069637883008361</v>
      </c>
      <c r="G20" s="149">
        <f t="shared" si="2"/>
        <v>10.115598885793876</v>
      </c>
      <c r="H20" s="188">
        <f t="shared" si="3"/>
        <v>2.023119777158775</v>
      </c>
      <c r="I20" s="379">
        <f t="shared" si="4"/>
        <v>21.54</v>
      </c>
      <c r="J20" s="149">
        <f t="shared" si="5"/>
        <v>1.35</v>
      </c>
      <c r="K20" s="149">
        <f t="shared" si="6"/>
        <v>1.003717472118959</v>
      </c>
      <c r="L20" s="149">
        <f t="shared" si="7"/>
        <v>3</v>
      </c>
      <c r="M20" s="379">
        <f t="shared" si="14"/>
        <v>249.76787372330548</v>
      </c>
      <c r="N20" s="172">
        <f t="shared" si="8"/>
        <v>337.18662952646241</v>
      </c>
      <c r="O20" s="188">
        <f t="shared" si="9"/>
        <v>1</v>
      </c>
      <c r="P20" s="150">
        <f t="shared" si="10"/>
        <v>2.2222222222222219</v>
      </c>
      <c r="Q20" s="150">
        <f t="shared" si="11"/>
        <v>0.37465181058495817</v>
      </c>
      <c r="R20" s="150">
        <f t="shared" si="12"/>
        <v>2.2222222222222219</v>
      </c>
    </row>
    <row r="21" spans="3:18">
      <c r="C21" s="147">
        <v>15</v>
      </c>
      <c r="D21" s="5">
        <f t="shared" si="13"/>
        <v>16.649999999999999</v>
      </c>
      <c r="E21" s="379">
        <f t="shared" si="0"/>
        <v>5.4</v>
      </c>
      <c r="F21" s="188">
        <f t="shared" si="1"/>
        <v>0.24489795918367352</v>
      </c>
      <c r="G21" s="149">
        <f t="shared" si="2"/>
        <v>10.19387755102041</v>
      </c>
      <c r="H21" s="188">
        <f t="shared" si="3"/>
        <v>2.0387755102040819</v>
      </c>
      <c r="I21" s="379">
        <f t="shared" si="4"/>
        <v>22.049999999999997</v>
      </c>
      <c r="J21" s="149">
        <f t="shared" si="5"/>
        <v>1.35</v>
      </c>
      <c r="K21" s="149">
        <f t="shared" si="6"/>
        <v>0.97297297297297303</v>
      </c>
      <c r="L21" s="149">
        <f t="shared" si="7"/>
        <v>3</v>
      </c>
      <c r="M21" s="379">
        <f t="shared" si="14"/>
        <v>251.70068027210885</v>
      </c>
      <c r="N21" s="172">
        <f t="shared" si="8"/>
        <v>339.79591836734693</v>
      </c>
      <c r="O21" s="188">
        <f t="shared" si="9"/>
        <v>1</v>
      </c>
      <c r="P21" s="150">
        <f t="shared" si="10"/>
        <v>2.2222222222222219</v>
      </c>
      <c r="Q21" s="150">
        <f t="shared" si="11"/>
        <v>0.37755102040816318</v>
      </c>
      <c r="R21" s="150">
        <f t="shared" si="12"/>
        <v>2.2222222222222219</v>
      </c>
    </row>
    <row r="22" spans="3:18" s="3" customFormat="1">
      <c r="C22" s="235">
        <v>16</v>
      </c>
      <c r="D22" s="458">
        <f t="shared" si="13"/>
        <v>17.16</v>
      </c>
      <c r="E22" s="459">
        <f t="shared" si="0"/>
        <v>5.4</v>
      </c>
      <c r="F22" s="460">
        <f t="shared" si="1"/>
        <v>0.23936170212765956</v>
      </c>
      <c r="G22" s="286">
        <f t="shared" si="2"/>
        <v>10.268617021276595</v>
      </c>
      <c r="H22" s="460">
        <f t="shared" si="3"/>
        <v>2.0537234042553192</v>
      </c>
      <c r="I22" s="459">
        <f t="shared" si="4"/>
        <v>22.560000000000002</v>
      </c>
      <c r="J22" s="149">
        <f t="shared" si="5"/>
        <v>1.35</v>
      </c>
      <c r="K22" s="286">
        <f t="shared" si="6"/>
        <v>0.94405594405594406</v>
      </c>
      <c r="L22" s="286">
        <f t="shared" si="7"/>
        <v>3</v>
      </c>
      <c r="M22" s="459">
        <f t="shared" si="14"/>
        <v>253.54609929078015</v>
      </c>
      <c r="N22" s="288">
        <f t="shared" si="8"/>
        <v>342.28723404255317</v>
      </c>
      <c r="O22" s="460">
        <f t="shared" si="9"/>
        <v>1</v>
      </c>
      <c r="P22" s="150">
        <f t="shared" si="10"/>
        <v>2.2222222222222219</v>
      </c>
      <c r="Q22" s="463">
        <f t="shared" si="11"/>
        <v>0.38031914893617008</v>
      </c>
      <c r="R22" s="150">
        <f t="shared" si="12"/>
        <v>2.2222222222222219</v>
      </c>
    </row>
    <row r="23" spans="3:18">
      <c r="C23" s="147">
        <v>17</v>
      </c>
      <c r="D23" s="5">
        <f t="shared" si="13"/>
        <v>17.670000000000002</v>
      </c>
      <c r="E23" s="379">
        <f t="shared" si="0"/>
        <v>5.4</v>
      </c>
      <c r="F23" s="188">
        <f t="shared" si="1"/>
        <v>0.23407022106631992</v>
      </c>
      <c r="G23" s="149">
        <f t="shared" si="2"/>
        <v>10.340052015604684</v>
      </c>
      <c r="H23" s="188">
        <f t="shared" si="3"/>
        <v>2.0680104031209368</v>
      </c>
      <c r="I23" s="379">
        <f t="shared" si="4"/>
        <v>23.07</v>
      </c>
      <c r="J23" s="149">
        <f t="shared" si="5"/>
        <v>1.35</v>
      </c>
      <c r="K23" s="149">
        <f t="shared" si="6"/>
        <v>0.91680814940577249</v>
      </c>
      <c r="L23" s="149">
        <f t="shared" si="7"/>
        <v>3</v>
      </c>
      <c r="M23" s="379">
        <f t="shared" si="14"/>
        <v>255.30992631122669</v>
      </c>
      <c r="N23" s="172">
        <f t="shared" si="8"/>
        <v>344.66840052015613</v>
      </c>
      <c r="O23" s="188">
        <f t="shared" si="9"/>
        <v>1</v>
      </c>
      <c r="P23" s="150">
        <f t="shared" si="10"/>
        <v>2.2222222222222219</v>
      </c>
      <c r="Q23" s="150">
        <f t="shared" si="11"/>
        <v>0.3829648894668401</v>
      </c>
      <c r="R23" s="150">
        <f t="shared" si="12"/>
        <v>2.2222222222222219</v>
      </c>
    </row>
    <row r="24" spans="3:18">
      <c r="C24" s="147">
        <v>18</v>
      </c>
      <c r="D24" s="5">
        <f t="shared" si="13"/>
        <v>18.18</v>
      </c>
      <c r="E24" s="379">
        <f t="shared" si="0"/>
        <v>5.4</v>
      </c>
      <c r="F24" s="188">
        <f t="shared" si="1"/>
        <v>0.22900763358778628</v>
      </c>
      <c r="G24" s="149">
        <f t="shared" si="2"/>
        <v>10.408396946564887</v>
      </c>
      <c r="H24" s="188">
        <f t="shared" si="3"/>
        <v>2.0816793893129772</v>
      </c>
      <c r="I24" s="379">
        <f t="shared" si="4"/>
        <v>23.58</v>
      </c>
      <c r="J24" s="149">
        <f t="shared" si="5"/>
        <v>1.35</v>
      </c>
      <c r="K24" s="149">
        <f t="shared" si="6"/>
        <v>0.8910891089108911</v>
      </c>
      <c r="L24" s="149">
        <f t="shared" si="7"/>
        <v>3</v>
      </c>
      <c r="M24" s="379">
        <f t="shared" si="14"/>
        <v>256.99745547073792</v>
      </c>
      <c r="N24" s="172">
        <f t="shared" si="8"/>
        <v>346.94656488549617</v>
      </c>
      <c r="O24" s="188">
        <f t="shared" si="9"/>
        <v>1</v>
      </c>
      <c r="P24" s="150">
        <f t="shared" si="10"/>
        <v>2.2222222222222219</v>
      </c>
      <c r="Q24" s="150">
        <f t="shared" si="11"/>
        <v>0.38549618320610685</v>
      </c>
      <c r="R24" s="150">
        <f t="shared" si="12"/>
        <v>2.2222222222222219</v>
      </c>
    </row>
    <row r="25" spans="3:18">
      <c r="C25" s="147">
        <v>19</v>
      </c>
      <c r="D25" s="5">
        <f t="shared" si="13"/>
        <v>18.689999999999998</v>
      </c>
      <c r="E25" s="379">
        <f t="shared" si="0"/>
        <v>5.4</v>
      </c>
      <c r="F25" s="188">
        <f t="shared" si="1"/>
        <v>0.22415940224159406</v>
      </c>
      <c r="G25" s="149">
        <f t="shared" si="2"/>
        <v>10.47384806973848</v>
      </c>
      <c r="H25" s="188">
        <f t="shared" si="3"/>
        <v>2.0947696139476961</v>
      </c>
      <c r="I25" s="379">
        <f t="shared" si="4"/>
        <v>24.089999999999996</v>
      </c>
      <c r="J25" s="149">
        <f t="shared" si="5"/>
        <v>1.35</v>
      </c>
      <c r="K25" s="149">
        <f t="shared" si="6"/>
        <v>0.86677367576244002</v>
      </c>
      <c r="L25" s="149">
        <f t="shared" si="7"/>
        <v>3</v>
      </c>
      <c r="M25" s="379">
        <f t="shared" si="14"/>
        <v>258.61353258613531</v>
      </c>
      <c r="N25" s="172">
        <f t="shared" si="8"/>
        <v>349.12826899128271</v>
      </c>
      <c r="O25" s="188">
        <f t="shared" si="9"/>
        <v>0.99999999999999978</v>
      </c>
      <c r="P25" s="150">
        <f t="shared" si="10"/>
        <v>2.2222222222222214</v>
      </c>
      <c r="Q25" s="150">
        <f t="shared" si="11"/>
        <v>0.38792029887920276</v>
      </c>
      <c r="R25" s="150">
        <f t="shared" si="12"/>
        <v>2.2222222222222219</v>
      </c>
    </row>
    <row r="26" spans="3:18">
      <c r="C26" s="147">
        <v>20</v>
      </c>
      <c r="D26" s="5">
        <f t="shared" si="13"/>
        <v>19.200000000000003</v>
      </c>
      <c r="E26" s="379">
        <f t="shared" si="0"/>
        <v>5.4</v>
      </c>
      <c r="F26" s="188">
        <f t="shared" si="1"/>
        <v>0.21951219512195122</v>
      </c>
      <c r="G26" s="149">
        <f t="shared" si="2"/>
        <v>10.536585365853661</v>
      </c>
      <c r="H26" s="188">
        <f t="shared" si="3"/>
        <v>2.1073170731707322</v>
      </c>
      <c r="I26" s="379">
        <f t="shared" si="4"/>
        <v>24.6</v>
      </c>
      <c r="J26" s="149">
        <f t="shared" si="5"/>
        <v>1.35</v>
      </c>
      <c r="K26" s="149">
        <f t="shared" si="6"/>
        <v>0.84374999999999989</v>
      </c>
      <c r="L26" s="149">
        <f t="shared" si="7"/>
        <v>3</v>
      </c>
      <c r="M26" s="379">
        <f t="shared" si="14"/>
        <v>260.16260162601628</v>
      </c>
      <c r="N26" s="172">
        <f t="shared" si="8"/>
        <v>350</v>
      </c>
      <c r="O26" s="188">
        <f t="shared" si="9"/>
        <v>1.0034843205574915</v>
      </c>
      <c r="P26" s="150">
        <f t="shared" si="10"/>
        <v>2.2299651567944254</v>
      </c>
      <c r="Q26" s="150">
        <f t="shared" si="11"/>
        <v>0.39160363729072845</v>
      </c>
      <c r="R26" s="150">
        <f t="shared" si="12"/>
        <v>2.2222222222222219</v>
      </c>
    </row>
    <row r="27" spans="3:18">
      <c r="C27" s="147">
        <v>21</v>
      </c>
      <c r="D27" s="5">
        <f t="shared" si="13"/>
        <v>19.71</v>
      </c>
      <c r="E27" s="379">
        <f t="shared" si="0"/>
        <v>5.4</v>
      </c>
      <c r="F27" s="188">
        <f t="shared" si="1"/>
        <v>0.21505376344086025</v>
      </c>
      <c r="G27" s="149">
        <f t="shared" si="2"/>
        <v>10.596774193548388</v>
      </c>
      <c r="H27" s="188">
        <f t="shared" si="3"/>
        <v>2.1193548387096777</v>
      </c>
      <c r="I27" s="379">
        <f t="shared" si="4"/>
        <v>25.11</v>
      </c>
      <c r="J27" s="149">
        <f t="shared" si="5"/>
        <v>1.35</v>
      </c>
      <c r="K27" s="149">
        <f t="shared" si="6"/>
        <v>0.82191780821917804</v>
      </c>
      <c r="L27" s="149">
        <f t="shared" si="7"/>
        <v>3</v>
      </c>
      <c r="M27" s="379">
        <f t="shared" si="14"/>
        <v>261.64874551971332</v>
      </c>
      <c r="N27" s="172">
        <f t="shared" si="8"/>
        <v>350</v>
      </c>
      <c r="O27" s="188">
        <f t="shared" si="9"/>
        <v>1.0092165898617511</v>
      </c>
      <c r="P27" s="150">
        <f t="shared" si="10"/>
        <v>2.2427035330261131</v>
      </c>
      <c r="Q27" s="150">
        <f t="shared" si="11"/>
        <v>0.39609038204251512</v>
      </c>
      <c r="R27" s="150">
        <f t="shared" si="12"/>
        <v>2.2222222222222219</v>
      </c>
    </row>
    <row r="28" spans="3:18">
      <c r="C28" s="147">
        <v>22</v>
      </c>
      <c r="D28" s="5">
        <f t="shared" si="13"/>
        <v>20.22</v>
      </c>
      <c r="E28" s="379">
        <f t="shared" si="0"/>
        <v>5.4</v>
      </c>
      <c r="F28" s="188">
        <f t="shared" si="1"/>
        <v>0.21077283372365344</v>
      </c>
      <c r="G28" s="149">
        <f t="shared" si="2"/>
        <v>10.65456674473068</v>
      </c>
      <c r="H28" s="188">
        <f t="shared" si="3"/>
        <v>2.130913348946136</v>
      </c>
      <c r="I28" s="379">
        <f t="shared" si="4"/>
        <v>25.619999999999997</v>
      </c>
      <c r="J28" s="149">
        <f t="shared" si="5"/>
        <v>1.35</v>
      </c>
      <c r="K28" s="149">
        <f t="shared" si="6"/>
        <v>0.80118694362017817</v>
      </c>
      <c r="L28" s="149">
        <f t="shared" si="7"/>
        <v>3</v>
      </c>
      <c r="M28" s="379">
        <f t="shared" si="14"/>
        <v>263.07572209211554</v>
      </c>
      <c r="N28" s="172">
        <f t="shared" si="8"/>
        <v>350</v>
      </c>
      <c r="O28" s="188">
        <f t="shared" si="9"/>
        <v>1.0147206423553028</v>
      </c>
      <c r="P28" s="150">
        <f t="shared" si="10"/>
        <v>2.254934760789562</v>
      </c>
      <c r="Q28" s="150">
        <f t="shared" si="11"/>
        <v>0.40042254856409493</v>
      </c>
      <c r="R28" s="150">
        <f t="shared" si="12"/>
        <v>2.2222222222222219</v>
      </c>
    </row>
    <row r="29" spans="3:18">
      <c r="C29" s="147">
        <v>23</v>
      </c>
      <c r="D29" s="5">
        <f t="shared" si="13"/>
        <v>20.73</v>
      </c>
      <c r="E29" s="379">
        <f t="shared" si="0"/>
        <v>5.4</v>
      </c>
      <c r="F29" s="188">
        <f t="shared" si="1"/>
        <v>0.20665901262916186</v>
      </c>
      <c r="G29" s="149">
        <f t="shared" si="2"/>
        <v>10.710103329506314</v>
      </c>
      <c r="H29" s="188">
        <f t="shared" si="3"/>
        <v>2.1420206659012626</v>
      </c>
      <c r="I29" s="379">
        <f t="shared" si="4"/>
        <v>26.130000000000003</v>
      </c>
      <c r="J29" s="149">
        <f t="shared" si="5"/>
        <v>1.35</v>
      </c>
      <c r="K29" s="149">
        <f t="shared" si="6"/>
        <v>0.78147612156295221</v>
      </c>
      <c r="L29" s="149">
        <f t="shared" si="7"/>
        <v>3</v>
      </c>
      <c r="M29" s="379">
        <f t="shared" si="14"/>
        <v>264.44699579027935</v>
      </c>
      <c r="N29" s="172">
        <f t="shared" si="8"/>
        <v>350</v>
      </c>
      <c r="O29" s="188">
        <f t="shared" si="9"/>
        <v>1.0200098409053633</v>
      </c>
      <c r="P29" s="150">
        <f t="shared" si="10"/>
        <v>2.2666885353452515</v>
      </c>
      <c r="Q29" s="150">
        <f t="shared" si="11"/>
        <v>0.40460780715591621</v>
      </c>
      <c r="R29" s="150">
        <f t="shared" si="12"/>
        <v>2.2222222222222219</v>
      </c>
    </row>
    <row r="30" spans="3:18">
      <c r="C30" s="147">
        <v>24</v>
      </c>
      <c r="D30" s="5">
        <f t="shared" si="13"/>
        <v>21.240000000000002</v>
      </c>
      <c r="E30" s="379">
        <f t="shared" si="0"/>
        <v>5.4</v>
      </c>
      <c r="F30" s="188">
        <f t="shared" si="1"/>
        <v>0.20270270270270271</v>
      </c>
      <c r="G30" s="149">
        <f t="shared" si="2"/>
        <v>10.763513513513514</v>
      </c>
      <c r="H30" s="188">
        <f t="shared" si="3"/>
        <v>2.1527027027027028</v>
      </c>
      <c r="I30" s="379">
        <f t="shared" si="4"/>
        <v>26.64</v>
      </c>
      <c r="J30" s="149">
        <f t="shared" si="5"/>
        <v>1.35</v>
      </c>
      <c r="K30" s="149">
        <f t="shared" si="6"/>
        <v>0.76271186440677963</v>
      </c>
      <c r="L30" s="149">
        <f t="shared" si="7"/>
        <v>3</v>
      </c>
      <c r="M30" s="379">
        <f t="shared" si="14"/>
        <v>265.76576576576576</v>
      </c>
      <c r="N30" s="172">
        <f t="shared" si="8"/>
        <v>350</v>
      </c>
      <c r="O30" s="188">
        <f t="shared" si="9"/>
        <v>1.0250965250965252</v>
      </c>
      <c r="P30" s="150">
        <f t="shared" si="10"/>
        <v>2.2779922779922783</v>
      </c>
      <c r="Q30" s="150">
        <f t="shared" si="11"/>
        <v>0.40865334446415535</v>
      </c>
      <c r="R30" s="150">
        <f t="shared" si="12"/>
        <v>2.2222222222222219</v>
      </c>
    </row>
    <row r="31" spans="3:18">
      <c r="C31" s="147">
        <v>25</v>
      </c>
      <c r="D31" s="5">
        <f t="shared" si="13"/>
        <v>21.75</v>
      </c>
      <c r="E31" s="379">
        <f t="shared" si="0"/>
        <v>5.4</v>
      </c>
      <c r="F31" s="188">
        <f t="shared" si="1"/>
        <v>0.19889502762430941</v>
      </c>
      <c r="G31" s="149">
        <f t="shared" si="2"/>
        <v>10.814917127071823</v>
      </c>
      <c r="H31" s="188">
        <f t="shared" si="3"/>
        <v>2.1629834254143647</v>
      </c>
      <c r="I31" s="379">
        <f t="shared" si="4"/>
        <v>27.15</v>
      </c>
      <c r="J31" s="149">
        <f t="shared" si="5"/>
        <v>1.35</v>
      </c>
      <c r="K31" s="149">
        <f t="shared" si="6"/>
        <v>0.7448275862068966</v>
      </c>
      <c r="L31" s="149">
        <f t="shared" si="7"/>
        <v>3</v>
      </c>
      <c r="M31" s="379">
        <f t="shared" si="14"/>
        <v>267.03499079189686</v>
      </c>
      <c r="N31" s="172">
        <f t="shared" si="8"/>
        <v>350</v>
      </c>
      <c r="O31" s="188">
        <f t="shared" si="9"/>
        <v>1.0299921073401737</v>
      </c>
      <c r="P31" s="150">
        <f t="shared" si="10"/>
        <v>2.2888713496448299</v>
      </c>
      <c r="Q31" s="150">
        <f t="shared" si="11"/>
        <v>0.41256589934896448</v>
      </c>
      <c r="R31" s="150">
        <f t="shared" si="12"/>
        <v>2.2222222222222219</v>
      </c>
    </row>
    <row r="32" spans="3:18">
      <c r="C32" s="147">
        <v>26</v>
      </c>
      <c r="D32" s="5">
        <f t="shared" si="13"/>
        <v>22.259999999999998</v>
      </c>
      <c r="E32" s="379">
        <f t="shared" si="0"/>
        <v>5.4</v>
      </c>
      <c r="F32" s="188">
        <f t="shared" si="1"/>
        <v>0.19522776572668116</v>
      </c>
      <c r="G32" s="149">
        <f t="shared" si="2"/>
        <v>10.864425162689805</v>
      </c>
      <c r="H32" s="188">
        <f t="shared" si="3"/>
        <v>2.1728850325379612</v>
      </c>
      <c r="I32" s="379">
        <f t="shared" si="4"/>
        <v>27.659999999999997</v>
      </c>
      <c r="J32" s="149">
        <f t="shared" si="5"/>
        <v>1.35</v>
      </c>
      <c r="K32" s="149">
        <f t="shared" si="6"/>
        <v>0.72776280323450149</v>
      </c>
      <c r="L32" s="149">
        <f t="shared" si="7"/>
        <v>3</v>
      </c>
      <c r="M32" s="379">
        <f t="shared" si="14"/>
        <v>268.25741142443962</v>
      </c>
      <c r="N32" s="172">
        <f t="shared" si="8"/>
        <v>350</v>
      </c>
      <c r="O32" s="188">
        <f t="shared" si="9"/>
        <v>1.03470715835141</v>
      </c>
      <c r="P32" s="150">
        <f t="shared" si="10"/>
        <v>2.2993492407809111</v>
      </c>
      <c r="Q32" s="150">
        <f t="shared" si="11"/>
        <v>0.41635179582253057</v>
      </c>
      <c r="R32" s="150">
        <f t="shared" si="12"/>
        <v>2.2222222222222219</v>
      </c>
    </row>
    <row r="33" spans="3:18">
      <c r="C33" s="147">
        <v>27</v>
      </c>
      <c r="D33" s="5">
        <f t="shared" si="13"/>
        <v>22.770000000000003</v>
      </c>
      <c r="E33" s="379">
        <f t="shared" si="0"/>
        <v>5.4</v>
      </c>
      <c r="F33" s="188">
        <f t="shared" si="1"/>
        <v>0.19169329073482427</v>
      </c>
      <c r="G33" s="149">
        <f t="shared" si="2"/>
        <v>10.912140575079874</v>
      </c>
      <c r="H33" s="188">
        <f t="shared" si="3"/>
        <v>2.1824281150159748</v>
      </c>
      <c r="I33" s="379">
        <f t="shared" si="4"/>
        <v>28.17</v>
      </c>
      <c r="J33" s="149">
        <f t="shared" si="5"/>
        <v>1.35</v>
      </c>
      <c r="K33" s="149">
        <f t="shared" si="6"/>
        <v>0.71146245059288526</v>
      </c>
      <c r="L33" s="149">
        <f t="shared" si="7"/>
        <v>3</v>
      </c>
      <c r="M33" s="379">
        <f t="shared" si="14"/>
        <v>269.43556975505857</v>
      </c>
      <c r="N33" s="172">
        <f t="shared" si="8"/>
        <v>350</v>
      </c>
      <c r="O33" s="188">
        <f t="shared" si="9"/>
        <v>1.0392514833409403</v>
      </c>
      <c r="P33" s="150">
        <f t="shared" si="10"/>
        <v>2.309447740757645</v>
      </c>
      <c r="Q33" s="150">
        <f t="shared" si="11"/>
        <v>0.42001697329913401</v>
      </c>
      <c r="R33" s="150">
        <f t="shared" si="12"/>
        <v>2.2222222222222219</v>
      </c>
    </row>
    <row r="34" spans="3:18">
      <c r="C34" s="147">
        <v>28</v>
      </c>
      <c r="D34" s="5">
        <f t="shared" si="13"/>
        <v>23.28</v>
      </c>
      <c r="E34" s="379">
        <f t="shared" si="0"/>
        <v>5.4</v>
      </c>
      <c r="F34" s="188">
        <f t="shared" si="1"/>
        <v>0.1882845188284519</v>
      </c>
      <c r="G34" s="149">
        <f t="shared" si="2"/>
        <v>10.9581589958159</v>
      </c>
      <c r="H34" s="188">
        <f t="shared" si="3"/>
        <v>2.1916317991631802</v>
      </c>
      <c r="I34" s="379">
        <f t="shared" si="4"/>
        <v>28.68</v>
      </c>
      <c r="J34" s="149">
        <f t="shared" si="5"/>
        <v>1.35</v>
      </c>
      <c r="K34" s="149">
        <f t="shared" si="6"/>
        <v>0.69587628865979378</v>
      </c>
      <c r="L34" s="149">
        <f t="shared" si="7"/>
        <v>3</v>
      </c>
      <c r="M34" s="379">
        <f t="shared" si="14"/>
        <v>270.5718270571827</v>
      </c>
      <c r="N34" s="172">
        <f t="shared" si="8"/>
        <v>350</v>
      </c>
      <c r="O34" s="188">
        <f t="shared" si="9"/>
        <v>1.0436341900777046</v>
      </c>
      <c r="P34" s="150">
        <f t="shared" si="10"/>
        <v>2.3191870890615656</v>
      </c>
      <c r="Q34" s="150">
        <f t="shared" si="11"/>
        <v>0.42356701438300132</v>
      </c>
      <c r="R34" s="150">
        <f t="shared" si="12"/>
        <v>2.2222222222222219</v>
      </c>
    </row>
    <row r="35" spans="3:18">
      <c r="C35" s="147">
        <v>29</v>
      </c>
      <c r="D35" s="5">
        <f t="shared" si="13"/>
        <v>23.79</v>
      </c>
      <c r="E35" s="379">
        <f t="shared" si="0"/>
        <v>5.4</v>
      </c>
      <c r="F35" s="188">
        <f t="shared" si="1"/>
        <v>0.18499486125385409</v>
      </c>
      <c r="G35" s="149">
        <f t="shared" si="2"/>
        <v>11.002569373072973</v>
      </c>
      <c r="H35" s="188">
        <f t="shared" si="3"/>
        <v>2.2005138746145945</v>
      </c>
      <c r="I35" s="379">
        <f t="shared" si="4"/>
        <v>29.189999999999998</v>
      </c>
      <c r="J35" s="149">
        <f t="shared" si="5"/>
        <v>1.35</v>
      </c>
      <c r="K35" s="149">
        <f t="shared" si="6"/>
        <v>0.68095838587641866</v>
      </c>
      <c r="L35" s="149">
        <f t="shared" si="7"/>
        <v>3</v>
      </c>
      <c r="M35" s="379">
        <f t="shared" si="14"/>
        <v>271.66837958204866</v>
      </c>
      <c r="N35" s="172">
        <f t="shared" si="8"/>
        <v>350</v>
      </c>
      <c r="O35" s="188">
        <f t="shared" si="9"/>
        <v>1.0478637498164733</v>
      </c>
      <c r="P35" s="150">
        <f t="shared" si="10"/>
        <v>2.3285861107032737</v>
      </c>
      <c r="Q35" s="150">
        <f t="shared" si="11"/>
        <v>0.4270071704031157</v>
      </c>
      <c r="R35" s="150">
        <f t="shared" si="12"/>
        <v>2.2222222222222219</v>
      </c>
    </row>
    <row r="36" spans="3:18">
      <c r="C36" s="147">
        <v>30</v>
      </c>
      <c r="D36" s="5">
        <f t="shared" si="13"/>
        <v>24.299999999999997</v>
      </c>
      <c r="E36" s="379">
        <f t="shared" si="0"/>
        <v>5.4</v>
      </c>
      <c r="F36" s="188">
        <f t="shared" si="1"/>
        <v>0.18181818181818185</v>
      </c>
      <c r="G36" s="149">
        <f t="shared" si="2"/>
        <v>11.045454545454547</v>
      </c>
      <c r="H36" s="188">
        <f t="shared" si="3"/>
        <v>2.2090909090909094</v>
      </c>
      <c r="I36" s="379">
        <f t="shared" si="4"/>
        <v>29.699999999999996</v>
      </c>
      <c r="J36" s="149">
        <f t="shared" si="5"/>
        <v>1.35</v>
      </c>
      <c r="K36" s="149">
        <f t="shared" si="6"/>
        <v>0.66666666666666685</v>
      </c>
      <c r="L36" s="149">
        <f t="shared" si="7"/>
        <v>3</v>
      </c>
      <c r="M36" s="379">
        <f t="shared" si="14"/>
        <v>272.72727272727269</v>
      </c>
      <c r="N36" s="172">
        <f t="shared" si="8"/>
        <v>350</v>
      </c>
      <c r="O36" s="188">
        <f t="shared" si="9"/>
        <v>1.051948051948052</v>
      </c>
      <c r="P36" s="150">
        <f t="shared" si="10"/>
        <v>2.3376623376623376</v>
      </c>
      <c r="Q36" s="150">
        <f t="shared" si="11"/>
        <v>0.43034238488783944</v>
      </c>
      <c r="R36" s="150">
        <f t="shared" si="12"/>
        <v>2.2222222222222219</v>
      </c>
    </row>
    <row r="37" spans="3:18">
      <c r="C37" s="147">
        <v>31</v>
      </c>
      <c r="D37" s="5">
        <f t="shared" si="13"/>
        <v>24.810000000000002</v>
      </c>
      <c r="E37" s="379">
        <f t="shared" si="0"/>
        <v>5.4</v>
      </c>
      <c r="F37" s="188">
        <f t="shared" si="1"/>
        <v>0.17874875868917578</v>
      </c>
      <c r="G37" s="149">
        <f t="shared" si="2"/>
        <v>11.086891757696129</v>
      </c>
      <c r="H37" s="188">
        <f t="shared" si="3"/>
        <v>2.2173783515392258</v>
      </c>
      <c r="I37" s="379">
        <f t="shared" si="4"/>
        <v>30.21</v>
      </c>
      <c r="J37" s="149">
        <f t="shared" si="5"/>
        <v>1.35</v>
      </c>
      <c r="K37" s="149">
        <f t="shared" si="6"/>
        <v>0.65296251511487302</v>
      </c>
      <c r="L37" s="149">
        <f t="shared" si="7"/>
        <v>3</v>
      </c>
      <c r="M37" s="379">
        <f t="shared" si="14"/>
        <v>273.75041377027475</v>
      </c>
      <c r="N37" s="172">
        <f t="shared" si="8"/>
        <v>350</v>
      </c>
      <c r="O37" s="188">
        <f t="shared" si="9"/>
        <v>1.0558944531139169</v>
      </c>
      <c r="P37" s="150">
        <f t="shared" si="10"/>
        <v>2.3464321180309264</v>
      </c>
      <c r="Q37" s="150">
        <f t="shared" si="11"/>
        <v>0.4335773151565091</v>
      </c>
      <c r="R37" s="150">
        <f t="shared" si="12"/>
        <v>2.2222222222222219</v>
      </c>
    </row>
    <row r="38" spans="3:18">
      <c r="C38" s="147">
        <v>32</v>
      </c>
      <c r="D38" s="5">
        <f t="shared" si="13"/>
        <v>25.32</v>
      </c>
      <c r="E38" s="379">
        <f t="shared" ref="E38:E69" si="15">(Vout+Vfwd1)*Nps</f>
        <v>5.4</v>
      </c>
      <c r="F38" s="188">
        <f t="shared" ref="F38:F69" si="16">(Vout+Vfwd1)*Nps/((Vout+Vfwd1)*Nps+D38)</f>
        <v>0.17578125000000003</v>
      </c>
      <c r="G38" s="149">
        <f t="shared" ref="G38:G69" si="17">F38*D38*Isw_max*0.5*Efficiency</f>
        <v>11.126953125</v>
      </c>
      <c r="H38" s="188">
        <f t="shared" ref="H38:H69" si="18">G38/Vout</f>
        <v>2.2253906250000002</v>
      </c>
      <c r="I38" s="379">
        <f t="shared" ref="I38:I69" si="19">(Vout+Vfwd1)*Nps+D38</f>
        <v>30.72</v>
      </c>
      <c r="J38" s="149">
        <f t="shared" ref="J38:J69" si="20">MIN(2*Vout*Iout/(Efficiency*D38*F38), 1.35)</f>
        <v>1.35</v>
      </c>
      <c r="K38" s="149">
        <f t="shared" ref="K38:K69" si="21">L*J38/D38*1000000</f>
        <v>0.63981042654028442</v>
      </c>
      <c r="L38" s="149">
        <f t="shared" ref="L38:L69" si="22">L*J38/((Vout+Vfwd1)*Nps)*1000000</f>
        <v>3</v>
      </c>
      <c r="M38" s="379">
        <f t="shared" si="14"/>
        <v>274.73958333333331</v>
      </c>
      <c r="N38" s="172">
        <f t="shared" ref="N38:N69" si="23">IF(1/((350000*L)*(1/D38+1/E38))&gt;Isw_min, 350, 0.001/((Isw_min*L)*(1/D38+1/E38)))</f>
        <v>350</v>
      </c>
      <c r="O38" s="188">
        <f t="shared" ref="O38:O69" si="24">1/((N38*1000*L)*(1/D38+1/E38))</f>
        <v>1.0597098214285714</v>
      </c>
      <c r="P38" s="150">
        <f t="shared" ref="P38:P69" si="25">L*O38/E38*1000000</f>
        <v>2.354910714285714</v>
      </c>
      <c r="Q38" s="150">
        <f t="shared" ref="Q38:Q69" si="26">0.5*P38*O38*Nps*N38/1000</f>
        <v>0.43671635219029015</v>
      </c>
      <c r="R38" s="150">
        <f t="shared" ref="R38:R69" si="27">L*Isw_min/E38*1000000</f>
        <v>2.2222222222222219</v>
      </c>
    </row>
    <row r="39" spans="3:18">
      <c r="C39" s="147">
        <v>33</v>
      </c>
      <c r="D39" s="5">
        <f t="shared" ref="D39:D70" si="28">C39/100*(VIN_max-VIN_min)+VIN_min</f>
        <v>25.830000000000002</v>
      </c>
      <c r="E39" s="379">
        <f t="shared" si="15"/>
        <v>5.4</v>
      </c>
      <c r="F39" s="188">
        <f t="shared" si="16"/>
        <v>0.17291066282420747</v>
      </c>
      <c r="G39" s="149">
        <f t="shared" si="17"/>
        <v>11.165706051873199</v>
      </c>
      <c r="H39" s="188">
        <f t="shared" si="18"/>
        <v>2.2331412103746398</v>
      </c>
      <c r="I39" s="379">
        <f t="shared" si="19"/>
        <v>31.230000000000004</v>
      </c>
      <c r="J39" s="149">
        <f t="shared" si="20"/>
        <v>1.35</v>
      </c>
      <c r="K39" s="149">
        <f t="shared" si="21"/>
        <v>0.62717770034843212</v>
      </c>
      <c r="L39" s="149">
        <f t="shared" si="22"/>
        <v>3</v>
      </c>
      <c r="M39" s="379">
        <f t="shared" si="14"/>
        <v>275.69644572526414</v>
      </c>
      <c r="N39" s="172">
        <f t="shared" si="23"/>
        <v>350</v>
      </c>
      <c r="O39" s="188">
        <f t="shared" si="24"/>
        <v>1.0634005763688761</v>
      </c>
      <c r="P39" s="150">
        <f t="shared" si="25"/>
        <v>2.3631123919308359</v>
      </c>
      <c r="Q39" s="150">
        <f t="shared" si="26"/>
        <v>0.43976363893064474</v>
      </c>
      <c r="R39" s="150">
        <f t="shared" si="27"/>
        <v>2.2222222222222219</v>
      </c>
    </row>
    <row r="40" spans="3:18">
      <c r="C40" s="147">
        <v>34</v>
      </c>
      <c r="D40" s="5">
        <f t="shared" si="28"/>
        <v>26.34</v>
      </c>
      <c r="E40" s="379">
        <f t="shared" si="15"/>
        <v>5.4</v>
      </c>
      <c r="F40" s="188">
        <f t="shared" si="16"/>
        <v>0.17013232514177692</v>
      </c>
      <c r="G40" s="149">
        <f t="shared" si="17"/>
        <v>11.203213610586012</v>
      </c>
      <c r="H40" s="188">
        <f t="shared" si="18"/>
        <v>2.2406427221172023</v>
      </c>
      <c r="I40" s="379">
        <f t="shared" si="19"/>
        <v>31.740000000000002</v>
      </c>
      <c r="J40" s="149">
        <f t="shared" si="20"/>
        <v>1.35</v>
      </c>
      <c r="K40" s="149">
        <f t="shared" si="21"/>
        <v>0.61503416856492021</v>
      </c>
      <c r="L40" s="149">
        <f t="shared" si="22"/>
        <v>3</v>
      </c>
      <c r="M40" s="379">
        <f t="shared" si="14"/>
        <v>276.62255828607437</v>
      </c>
      <c r="N40" s="172">
        <f t="shared" si="23"/>
        <v>350</v>
      </c>
      <c r="O40" s="188">
        <f t="shared" si="24"/>
        <v>1.0669727248177152</v>
      </c>
      <c r="P40" s="150">
        <f t="shared" si="25"/>
        <v>2.3710504995949226</v>
      </c>
      <c r="Q40" s="150">
        <f t="shared" si="26"/>
        <v>0.44272308714080993</v>
      </c>
      <c r="R40" s="150">
        <f t="shared" si="27"/>
        <v>2.2222222222222219</v>
      </c>
    </row>
    <row r="41" spans="3:18">
      <c r="C41" s="147">
        <v>35</v>
      </c>
      <c r="D41" s="5">
        <f t="shared" si="28"/>
        <v>26.849999999999998</v>
      </c>
      <c r="E41" s="379">
        <f t="shared" si="15"/>
        <v>5.4</v>
      </c>
      <c r="F41" s="188">
        <f t="shared" si="16"/>
        <v>0.16744186046511628</v>
      </c>
      <c r="G41" s="149">
        <f t="shared" si="17"/>
        <v>11.23953488372093</v>
      </c>
      <c r="H41" s="188">
        <f t="shared" si="18"/>
        <v>2.2479069767441859</v>
      </c>
      <c r="I41" s="379">
        <f t="shared" si="19"/>
        <v>32.25</v>
      </c>
      <c r="J41" s="149">
        <f t="shared" si="20"/>
        <v>1.35</v>
      </c>
      <c r="K41" s="149">
        <f t="shared" si="21"/>
        <v>0.60335195530726271</v>
      </c>
      <c r="L41" s="149">
        <f t="shared" si="22"/>
        <v>3</v>
      </c>
      <c r="M41" s="379">
        <f t="shared" si="14"/>
        <v>277.51937984496124</v>
      </c>
      <c r="N41" s="172">
        <f t="shared" si="23"/>
        <v>350</v>
      </c>
      <c r="O41" s="188">
        <f t="shared" si="24"/>
        <v>1.0704318936877075</v>
      </c>
      <c r="P41" s="150">
        <f t="shared" si="25"/>
        <v>2.3787375415282388</v>
      </c>
      <c r="Q41" s="150">
        <f t="shared" si="26"/>
        <v>0.44559839295372006</v>
      </c>
      <c r="R41" s="150">
        <f t="shared" si="27"/>
        <v>2.2222222222222219</v>
      </c>
    </row>
    <row r="42" spans="3:18">
      <c r="C42" s="147">
        <v>36</v>
      </c>
      <c r="D42" s="5">
        <f t="shared" si="28"/>
        <v>27.36</v>
      </c>
      <c r="E42" s="379">
        <f t="shared" si="15"/>
        <v>5.4</v>
      </c>
      <c r="F42" s="188">
        <f t="shared" si="16"/>
        <v>0.16483516483516486</v>
      </c>
      <c r="G42" s="149">
        <f t="shared" si="17"/>
        <v>11.274725274725277</v>
      </c>
      <c r="H42" s="188">
        <f t="shared" si="18"/>
        <v>2.2549450549450554</v>
      </c>
      <c r="I42" s="379">
        <f t="shared" si="19"/>
        <v>32.76</v>
      </c>
      <c r="J42" s="149">
        <f t="shared" si="20"/>
        <v>1.35</v>
      </c>
      <c r="K42" s="149">
        <f t="shared" si="21"/>
        <v>0.5921052631578948</v>
      </c>
      <c r="L42" s="149">
        <f t="shared" si="22"/>
        <v>3</v>
      </c>
      <c r="M42" s="379">
        <f t="shared" si="14"/>
        <v>278.38827838827842</v>
      </c>
      <c r="N42" s="172">
        <f t="shared" si="23"/>
        <v>350</v>
      </c>
      <c r="O42" s="188">
        <f t="shared" si="24"/>
        <v>1.0737833594976454</v>
      </c>
      <c r="P42" s="150">
        <f t="shared" si="25"/>
        <v>2.386185243328101</v>
      </c>
      <c r="Q42" s="150">
        <f t="shared" si="26"/>
        <v>0.44839305121879708</v>
      </c>
      <c r="R42" s="150">
        <f t="shared" si="27"/>
        <v>2.2222222222222219</v>
      </c>
    </row>
    <row r="43" spans="3:18">
      <c r="C43" s="147">
        <v>37</v>
      </c>
      <c r="D43" s="5">
        <f t="shared" si="28"/>
        <v>27.87</v>
      </c>
      <c r="E43" s="379">
        <f t="shared" si="15"/>
        <v>5.4</v>
      </c>
      <c r="F43" s="188">
        <f t="shared" si="16"/>
        <v>0.16230838593327321</v>
      </c>
      <c r="G43" s="149">
        <f t="shared" si="17"/>
        <v>11.308836789900811</v>
      </c>
      <c r="H43" s="188">
        <f t="shared" si="18"/>
        <v>2.2617673579801623</v>
      </c>
      <c r="I43" s="379">
        <f t="shared" si="19"/>
        <v>33.270000000000003</v>
      </c>
      <c r="J43" s="149">
        <f t="shared" si="20"/>
        <v>1.35</v>
      </c>
      <c r="K43" s="149">
        <f t="shared" si="21"/>
        <v>0.58127018299246502</v>
      </c>
      <c r="L43" s="149">
        <f t="shared" si="22"/>
        <v>3</v>
      </c>
      <c r="M43" s="379">
        <f t="shared" si="14"/>
        <v>279.23053802224223</v>
      </c>
      <c r="N43" s="172">
        <f t="shared" si="23"/>
        <v>350</v>
      </c>
      <c r="O43" s="188">
        <f t="shared" si="24"/>
        <v>1.0770320752286486</v>
      </c>
      <c r="P43" s="150">
        <f t="shared" si="25"/>
        <v>2.3934046116192187</v>
      </c>
      <c r="Q43" s="150">
        <f t="shared" si="26"/>
        <v>0.4511103687499613</v>
      </c>
      <c r="R43" s="150">
        <f t="shared" si="27"/>
        <v>2.2222222222222219</v>
      </c>
    </row>
    <row r="44" spans="3:18">
      <c r="C44" s="147">
        <v>38</v>
      </c>
      <c r="D44" s="5">
        <f t="shared" si="28"/>
        <v>28.38</v>
      </c>
      <c r="E44" s="379">
        <f t="shared" si="15"/>
        <v>5.4</v>
      </c>
      <c r="F44" s="188">
        <f t="shared" si="16"/>
        <v>0.15985790408525755</v>
      </c>
      <c r="G44" s="149">
        <f t="shared" si="17"/>
        <v>11.341918294849023</v>
      </c>
      <c r="H44" s="188">
        <f t="shared" si="18"/>
        <v>2.2683836589698045</v>
      </c>
      <c r="I44" s="379">
        <f t="shared" si="19"/>
        <v>33.78</v>
      </c>
      <c r="J44" s="149">
        <f t="shared" si="20"/>
        <v>1.35</v>
      </c>
      <c r="K44" s="149">
        <f t="shared" si="21"/>
        <v>0.57082452431289643</v>
      </c>
      <c r="L44" s="149">
        <f t="shared" si="22"/>
        <v>3</v>
      </c>
      <c r="M44" s="379">
        <f t="shared" si="14"/>
        <v>280.04736530491414</v>
      </c>
      <c r="N44" s="172">
        <f t="shared" si="23"/>
        <v>350</v>
      </c>
      <c r="O44" s="188">
        <f t="shared" si="24"/>
        <v>1.0801826947475262</v>
      </c>
      <c r="P44" s="150">
        <f t="shared" si="25"/>
        <v>2.4004059883278357</v>
      </c>
      <c r="Q44" s="150">
        <f t="shared" si="26"/>
        <v>0.45375347656801057</v>
      </c>
      <c r="R44" s="150">
        <f t="shared" si="27"/>
        <v>2.2222222222222219</v>
      </c>
    </row>
    <row r="45" spans="3:18">
      <c r="C45" s="147">
        <v>39</v>
      </c>
      <c r="D45" s="5">
        <f t="shared" si="28"/>
        <v>28.89</v>
      </c>
      <c r="E45" s="379">
        <f t="shared" si="15"/>
        <v>5.4</v>
      </c>
      <c r="F45" s="188">
        <f t="shared" si="16"/>
        <v>0.15748031496062995</v>
      </c>
      <c r="G45" s="149">
        <f t="shared" si="17"/>
        <v>11.374015748031498</v>
      </c>
      <c r="H45" s="188">
        <f t="shared" si="18"/>
        <v>2.2748031496062997</v>
      </c>
      <c r="I45" s="379">
        <f t="shared" si="19"/>
        <v>34.29</v>
      </c>
      <c r="J45" s="149">
        <f t="shared" si="20"/>
        <v>1.35</v>
      </c>
      <c r="K45" s="149">
        <f t="shared" si="21"/>
        <v>0.56074766355140193</v>
      </c>
      <c r="L45" s="149">
        <f t="shared" si="22"/>
        <v>3</v>
      </c>
      <c r="M45" s="379">
        <f t="shared" si="14"/>
        <v>280.83989501312334</v>
      </c>
      <c r="N45" s="172">
        <f t="shared" si="23"/>
        <v>350</v>
      </c>
      <c r="O45" s="188">
        <f t="shared" si="24"/>
        <v>1.0832395950506186</v>
      </c>
      <c r="P45" s="150">
        <f t="shared" si="25"/>
        <v>2.4071991001124857</v>
      </c>
      <c r="Q45" s="150">
        <f t="shared" si="26"/>
        <v>0.45632534122211094</v>
      </c>
      <c r="R45" s="150">
        <f t="shared" si="27"/>
        <v>2.2222222222222219</v>
      </c>
    </row>
    <row r="46" spans="3:18">
      <c r="C46" s="147">
        <v>40</v>
      </c>
      <c r="D46" s="5">
        <f t="shared" si="28"/>
        <v>29.400000000000002</v>
      </c>
      <c r="E46" s="379">
        <f t="shared" si="15"/>
        <v>5.4</v>
      </c>
      <c r="F46" s="188">
        <f t="shared" si="16"/>
        <v>0.15517241379310345</v>
      </c>
      <c r="G46" s="149">
        <f t="shared" si="17"/>
        <v>11.405172413793105</v>
      </c>
      <c r="H46" s="188">
        <f t="shared" si="18"/>
        <v>2.2810344827586211</v>
      </c>
      <c r="I46" s="379">
        <f t="shared" si="19"/>
        <v>34.800000000000004</v>
      </c>
      <c r="J46" s="149">
        <f t="shared" si="20"/>
        <v>1.35</v>
      </c>
      <c r="K46" s="149">
        <f t="shared" si="21"/>
        <v>0.55102040816326525</v>
      </c>
      <c r="L46" s="149">
        <f t="shared" si="22"/>
        <v>3</v>
      </c>
      <c r="M46" s="379">
        <f t="shared" si="14"/>
        <v>281.60919540229884</v>
      </c>
      <c r="N46" s="172">
        <f t="shared" si="23"/>
        <v>350</v>
      </c>
      <c r="O46" s="188">
        <f t="shared" si="24"/>
        <v>1.0862068965517242</v>
      </c>
      <c r="P46" s="150">
        <f t="shared" si="25"/>
        <v>2.4137931034482758</v>
      </c>
      <c r="Q46" s="150">
        <f t="shared" si="26"/>
        <v>0.45882877526753862</v>
      </c>
      <c r="R46" s="150">
        <f t="shared" si="27"/>
        <v>2.2222222222222219</v>
      </c>
    </row>
    <row r="47" spans="3:18">
      <c r="C47" s="147">
        <v>41</v>
      </c>
      <c r="D47" s="5">
        <f t="shared" si="28"/>
        <v>29.91</v>
      </c>
      <c r="E47" s="379">
        <f t="shared" si="15"/>
        <v>5.4</v>
      </c>
      <c r="F47" s="188">
        <f t="shared" si="16"/>
        <v>0.15293118096856415</v>
      </c>
      <c r="G47" s="149">
        <f t="shared" si="17"/>
        <v>11.435429056924384</v>
      </c>
      <c r="H47" s="188">
        <f t="shared" si="18"/>
        <v>2.2870858113848769</v>
      </c>
      <c r="I47" s="379">
        <f t="shared" si="19"/>
        <v>35.31</v>
      </c>
      <c r="J47" s="149">
        <f t="shared" si="20"/>
        <v>1.35</v>
      </c>
      <c r="K47" s="149">
        <f t="shared" si="21"/>
        <v>0.54162487462387165</v>
      </c>
      <c r="L47" s="149">
        <f t="shared" si="22"/>
        <v>3</v>
      </c>
      <c r="M47" s="379">
        <f t="shared" si="14"/>
        <v>282.35627301047862</v>
      </c>
      <c r="N47" s="172">
        <f t="shared" si="23"/>
        <v>350</v>
      </c>
      <c r="O47" s="188">
        <f t="shared" si="24"/>
        <v>1.089088481611846</v>
      </c>
      <c r="P47" s="150">
        <f t="shared" si="25"/>
        <v>2.4201966258041026</v>
      </c>
      <c r="Q47" s="150">
        <f t="shared" si="26"/>
        <v>0.46126644696984304</v>
      </c>
      <c r="R47" s="150">
        <f t="shared" si="27"/>
        <v>2.2222222222222219</v>
      </c>
    </row>
    <row r="48" spans="3:18">
      <c r="C48" s="147">
        <v>42</v>
      </c>
      <c r="D48" s="5">
        <f t="shared" si="28"/>
        <v>30.419999999999998</v>
      </c>
      <c r="E48" s="379">
        <f t="shared" si="15"/>
        <v>5.4</v>
      </c>
      <c r="F48" s="188">
        <f t="shared" si="16"/>
        <v>0.15075376884422112</v>
      </c>
      <c r="G48" s="149">
        <f t="shared" si="17"/>
        <v>11.464824120603014</v>
      </c>
      <c r="H48" s="188">
        <f t="shared" si="18"/>
        <v>2.2929648241206029</v>
      </c>
      <c r="I48" s="379">
        <f t="shared" si="19"/>
        <v>35.82</v>
      </c>
      <c r="J48" s="149">
        <f t="shared" si="20"/>
        <v>1.35</v>
      </c>
      <c r="K48" s="149">
        <f t="shared" si="21"/>
        <v>0.53254437869822491</v>
      </c>
      <c r="L48" s="149">
        <f t="shared" si="22"/>
        <v>3</v>
      </c>
      <c r="M48" s="379">
        <f t="shared" si="14"/>
        <v>283.08207705192626</v>
      </c>
      <c r="N48" s="172">
        <f t="shared" si="23"/>
        <v>350</v>
      </c>
      <c r="O48" s="188">
        <f t="shared" si="24"/>
        <v>1.0918880114860015</v>
      </c>
      <c r="P48" s="150">
        <f t="shared" si="25"/>
        <v>2.4264178033022255</v>
      </c>
      <c r="Q48" s="150">
        <f t="shared" si="26"/>
        <v>0.46364088929933228</v>
      </c>
      <c r="R48" s="150">
        <f t="shared" si="27"/>
        <v>2.2222222222222219</v>
      </c>
    </row>
    <row r="49" spans="3:18">
      <c r="C49" s="147">
        <v>43</v>
      </c>
      <c r="D49" s="5">
        <f t="shared" si="28"/>
        <v>30.93</v>
      </c>
      <c r="E49" s="379">
        <f t="shared" si="15"/>
        <v>5.4</v>
      </c>
      <c r="F49" s="188">
        <f t="shared" si="16"/>
        <v>0.14863748967795212</v>
      </c>
      <c r="G49" s="149">
        <f t="shared" si="17"/>
        <v>11.493393889347647</v>
      </c>
      <c r="H49" s="188">
        <f t="shared" si="18"/>
        <v>2.2986787778695295</v>
      </c>
      <c r="I49" s="379">
        <f t="shared" si="19"/>
        <v>36.33</v>
      </c>
      <c r="J49" s="149">
        <f t="shared" si="20"/>
        <v>1.35</v>
      </c>
      <c r="K49" s="149">
        <f t="shared" si="21"/>
        <v>0.52376333656644047</v>
      </c>
      <c r="L49" s="149">
        <f t="shared" si="22"/>
        <v>3</v>
      </c>
      <c r="M49" s="379">
        <f t="shared" si="14"/>
        <v>283.78750344068266</v>
      </c>
      <c r="N49" s="172">
        <f t="shared" si="23"/>
        <v>350</v>
      </c>
      <c r="O49" s="188">
        <f t="shared" si="24"/>
        <v>1.094608941842633</v>
      </c>
      <c r="P49" s="150">
        <f t="shared" si="25"/>
        <v>2.4324643152058512</v>
      </c>
      <c r="Q49" s="150">
        <f t="shared" si="26"/>
        <v>0.46595450827405227</v>
      </c>
      <c r="R49" s="150">
        <f t="shared" si="27"/>
        <v>2.2222222222222219</v>
      </c>
    </row>
    <row r="50" spans="3:18">
      <c r="C50" s="147">
        <v>44</v>
      </c>
      <c r="D50" s="5">
        <f t="shared" si="28"/>
        <v>31.44</v>
      </c>
      <c r="E50" s="379">
        <f t="shared" si="15"/>
        <v>5.4</v>
      </c>
      <c r="F50" s="188">
        <f t="shared" si="16"/>
        <v>0.1465798045602606</v>
      </c>
      <c r="G50" s="149">
        <f t="shared" si="17"/>
        <v>11.521172638436482</v>
      </c>
      <c r="H50" s="188">
        <f t="shared" si="18"/>
        <v>2.3042345276872966</v>
      </c>
      <c r="I50" s="379">
        <f t="shared" si="19"/>
        <v>36.840000000000003</v>
      </c>
      <c r="J50" s="149">
        <f t="shared" si="20"/>
        <v>1.35</v>
      </c>
      <c r="K50" s="149">
        <f t="shared" si="21"/>
        <v>0.51526717557251911</v>
      </c>
      <c r="L50" s="149">
        <f t="shared" si="22"/>
        <v>3</v>
      </c>
      <c r="M50" s="379">
        <f t="shared" si="14"/>
        <v>284.47339847991316</v>
      </c>
      <c r="N50" s="172">
        <f t="shared" si="23"/>
        <v>350</v>
      </c>
      <c r="O50" s="188">
        <f t="shared" si="24"/>
        <v>1.0972545369939506</v>
      </c>
      <c r="P50" s="150">
        <f t="shared" si="25"/>
        <v>2.438343415542112</v>
      </c>
      <c r="Q50" s="150">
        <f t="shared" si="26"/>
        <v>0.46820959070425894</v>
      </c>
      <c r="R50" s="150">
        <f t="shared" si="27"/>
        <v>2.2222222222222219</v>
      </c>
    </row>
    <row r="51" spans="3:18">
      <c r="C51" s="147">
        <v>45</v>
      </c>
      <c r="D51" s="5">
        <f t="shared" si="28"/>
        <v>31.95</v>
      </c>
      <c r="E51" s="379">
        <f t="shared" si="15"/>
        <v>5.4</v>
      </c>
      <c r="F51" s="188">
        <f t="shared" si="16"/>
        <v>0.14457831325301204</v>
      </c>
      <c r="G51" s="149">
        <f t="shared" si="17"/>
        <v>11.548192771084336</v>
      </c>
      <c r="H51" s="188">
        <f t="shared" si="18"/>
        <v>2.3096385542168671</v>
      </c>
      <c r="I51" s="379">
        <f t="shared" si="19"/>
        <v>37.35</v>
      </c>
      <c r="J51" s="149">
        <f t="shared" si="20"/>
        <v>1.35</v>
      </c>
      <c r="K51" s="149">
        <f t="shared" si="21"/>
        <v>0.50704225352112675</v>
      </c>
      <c r="L51" s="149">
        <f t="shared" si="22"/>
        <v>3</v>
      </c>
      <c r="M51" s="379">
        <f t="shared" si="14"/>
        <v>285.14056224899599</v>
      </c>
      <c r="N51" s="172">
        <f t="shared" si="23"/>
        <v>350</v>
      </c>
      <c r="O51" s="188">
        <f t="shared" si="24"/>
        <v>1.0998278829604131</v>
      </c>
      <c r="P51" s="150">
        <f t="shared" si="25"/>
        <v>2.4440619621342514</v>
      </c>
      <c r="Q51" s="150">
        <f t="shared" si="26"/>
        <v>0.47040831138668276</v>
      </c>
      <c r="R51" s="150">
        <f t="shared" si="27"/>
        <v>2.2222222222222219</v>
      </c>
    </row>
    <row r="52" spans="3:18">
      <c r="C52" s="147">
        <v>46</v>
      </c>
      <c r="D52" s="5">
        <f t="shared" si="28"/>
        <v>32.46</v>
      </c>
      <c r="E52" s="379">
        <f t="shared" si="15"/>
        <v>5.4</v>
      </c>
      <c r="F52" s="188">
        <f t="shared" si="16"/>
        <v>0.14263074484944532</v>
      </c>
      <c r="G52" s="149">
        <f t="shared" si="17"/>
        <v>11.574484944532488</v>
      </c>
      <c r="H52" s="188">
        <f t="shared" si="18"/>
        <v>2.3148969889064976</v>
      </c>
      <c r="I52" s="379">
        <f t="shared" si="19"/>
        <v>37.86</v>
      </c>
      <c r="J52" s="149">
        <f t="shared" si="20"/>
        <v>1.35</v>
      </c>
      <c r="K52" s="149">
        <f t="shared" si="21"/>
        <v>0.49907578558225507</v>
      </c>
      <c r="L52" s="149">
        <f t="shared" si="22"/>
        <v>3</v>
      </c>
      <c r="M52" s="379">
        <f t="shared" si="14"/>
        <v>285.78975171685158</v>
      </c>
      <c r="N52" s="172">
        <f t="shared" si="23"/>
        <v>350</v>
      </c>
      <c r="O52" s="188">
        <f t="shared" si="24"/>
        <v>1.1023318994792846</v>
      </c>
      <c r="P52" s="150">
        <f t="shared" si="25"/>
        <v>2.4496264432872987</v>
      </c>
      <c r="Q52" s="150">
        <f t="shared" si="26"/>
        <v>0.47255273979262508</v>
      </c>
      <c r="R52" s="150">
        <f t="shared" si="27"/>
        <v>2.2222222222222219</v>
      </c>
    </row>
    <row r="53" spans="3:18">
      <c r="C53" s="147">
        <v>47</v>
      </c>
      <c r="D53" s="5">
        <f t="shared" si="28"/>
        <v>32.97</v>
      </c>
      <c r="E53" s="379">
        <f t="shared" si="15"/>
        <v>5.4</v>
      </c>
      <c r="F53" s="188">
        <f t="shared" si="16"/>
        <v>0.14073494917904614</v>
      </c>
      <c r="G53" s="149">
        <f t="shared" si="17"/>
        <v>11.600078186082879</v>
      </c>
      <c r="H53" s="188">
        <f t="shared" si="18"/>
        <v>2.3200156372165757</v>
      </c>
      <c r="I53" s="379">
        <f t="shared" si="19"/>
        <v>38.369999999999997</v>
      </c>
      <c r="J53" s="149">
        <f t="shared" si="20"/>
        <v>1.35</v>
      </c>
      <c r="K53" s="149">
        <f t="shared" si="21"/>
        <v>0.49135577797998181</v>
      </c>
      <c r="L53" s="149">
        <f t="shared" si="22"/>
        <v>3</v>
      </c>
      <c r="M53" s="379">
        <f t="shared" si="14"/>
        <v>286.42168360698463</v>
      </c>
      <c r="N53" s="172">
        <f t="shared" si="23"/>
        <v>350</v>
      </c>
      <c r="O53" s="188">
        <f t="shared" si="24"/>
        <v>1.1047693510555121</v>
      </c>
      <c r="P53" s="150">
        <f t="shared" si="25"/>
        <v>2.4550430023455823</v>
      </c>
      <c r="Q53" s="150">
        <f t="shared" si="26"/>
        <v>0.47464484629007336</v>
      </c>
      <c r="R53" s="150">
        <f t="shared" si="27"/>
        <v>2.2222222222222219</v>
      </c>
    </row>
    <row r="54" spans="3:18">
      <c r="C54" s="147">
        <v>48</v>
      </c>
      <c r="D54" s="5">
        <f t="shared" si="28"/>
        <v>33.480000000000004</v>
      </c>
      <c r="E54" s="379">
        <f t="shared" si="15"/>
        <v>5.4</v>
      </c>
      <c r="F54" s="188">
        <f t="shared" si="16"/>
        <v>0.1388888888888889</v>
      </c>
      <c r="G54" s="149">
        <f t="shared" si="17"/>
        <v>11.625</v>
      </c>
      <c r="H54" s="188">
        <f t="shared" si="18"/>
        <v>2.3250000000000002</v>
      </c>
      <c r="I54" s="379">
        <f t="shared" si="19"/>
        <v>38.880000000000003</v>
      </c>
      <c r="J54" s="149">
        <f t="shared" si="20"/>
        <v>1.35</v>
      </c>
      <c r="K54" s="149">
        <f t="shared" si="21"/>
        <v>0.4838709677419355</v>
      </c>
      <c r="L54" s="149">
        <f t="shared" si="22"/>
        <v>3</v>
      </c>
      <c r="M54" s="379">
        <f t="shared" si="14"/>
        <v>287.03703703703701</v>
      </c>
      <c r="N54" s="172">
        <f t="shared" si="23"/>
        <v>350</v>
      </c>
      <c r="O54" s="188">
        <f t="shared" si="24"/>
        <v>1.1071428571428572</v>
      </c>
      <c r="P54" s="150">
        <f t="shared" si="25"/>
        <v>2.46031746031746</v>
      </c>
      <c r="Q54" s="150">
        <f t="shared" si="26"/>
        <v>0.47668650793650791</v>
      </c>
      <c r="R54" s="150">
        <f t="shared" si="27"/>
        <v>2.2222222222222219</v>
      </c>
    </row>
    <row r="55" spans="3:18">
      <c r="C55" s="147">
        <v>49</v>
      </c>
      <c r="D55" s="5">
        <f t="shared" si="28"/>
        <v>33.989999999999995</v>
      </c>
      <c r="E55" s="379">
        <f t="shared" si="15"/>
        <v>5.4</v>
      </c>
      <c r="F55" s="188">
        <f t="shared" si="16"/>
        <v>0.13709063214013711</v>
      </c>
      <c r="G55" s="149">
        <f t="shared" si="17"/>
        <v>11.64927646610815</v>
      </c>
      <c r="H55" s="188">
        <f t="shared" si="18"/>
        <v>2.3298552932216299</v>
      </c>
      <c r="I55" s="379">
        <f t="shared" si="19"/>
        <v>39.389999999999993</v>
      </c>
      <c r="J55" s="149">
        <f t="shared" si="20"/>
        <v>1.35</v>
      </c>
      <c r="K55" s="149">
        <f t="shared" si="21"/>
        <v>0.47661076787290391</v>
      </c>
      <c r="L55" s="149">
        <f t="shared" si="22"/>
        <v>3</v>
      </c>
      <c r="M55" s="379">
        <f t="shared" si="14"/>
        <v>287.63645595328762</v>
      </c>
      <c r="N55" s="172">
        <f t="shared" si="23"/>
        <v>350</v>
      </c>
      <c r="O55" s="188">
        <f t="shared" si="24"/>
        <v>1.1094549015341095</v>
      </c>
      <c r="P55" s="150">
        <f t="shared" si="25"/>
        <v>2.4654553367424654</v>
      </c>
      <c r="Q55" s="150">
        <f t="shared" si="26"/>
        <v>0.47867951387591245</v>
      </c>
      <c r="R55" s="150">
        <f t="shared" si="27"/>
        <v>2.2222222222222219</v>
      </c>
    </row>
    <row r="56" spans="3:18">
      <c r="C56" s="147">
        <v>50</v>
      </c>
      <c r="D56" s="5">
        <f t="shared" si="28"/>
        <v>34.5</v>
      </c>
      <c r="E56" s="379">
        <f t="shared" si="15"/>
        <v>5.4</v>
      </c>
      <c r="F56" s="188">
        <f t="shared" si="16"/>
        <v>0.13533834586466167</v>
      </c>
      <c r="G56" s="149">
        <f t="shared" si="17"/>
        <v>11.67293233082707</v>
      </c>
      <c r="H56" s="188">
        <f t="shared" si="18"/>
        <v>2.3345864661654141</v>
      </c>
      <c r="I56" s="379">
        <f t="shared" si="19"/>
        <v>39.9</v>
      </c>
      <c r="J56" s="149">
        <f t="shared" si="20"/>
        <v>1.35</v>
      </c>
      <c r="K56" s="149">
        <f t="shared" si="21"/>
        <v>0.46956521739130441</v>
      </c>
      <c r="L56" s="149">
        <f t="shared" si="22"/>
        <v>3</v>
      </c>
      <c r="M56" s="379">
        <f t="shared" si="14"/>
        <v>288.22055137844609</v>
      </c>
      <c r="N56" s="172">
        <f t="shared" si="23"/>
        <v>350</v>
      </c>
      <c r="O56" s="188">
        <f t="shared" si="24"/>
        <v>1.1117078410311494</v>
      </c>
      <c r="P56" s="150">
        <f t="shared" si="25"/>
        <v>2.4704618689581102</v>
      </c>
      <c r="Q56" s="150">
        <f t="shared" si="26"/>
        <v>0.48062557037060982</v>
      </c>
      <c r="R56" s="150">
        <f t="shared" si="27"/>
        <v>2.2222222222222219</v>
      </c>
    </row>
    <row r="57" spans="3:18">
      <c r="C57" s="147">
        <v>51</v>
      </c>
      <c r="D57" s="5">
        <f t="shared" si="28"/>
        <v>35.010000000000005</v>
      </c>
      <c r="E57" s="379">
        <f t="shared" si="15"/>
        <v>5.4</v>
      </c>
      <c r="F57" s="188">
        <f t="shared" si="16"/>
        <v>0.13363028953229397</v>
      </c>
      <c r="G57" s="149">
        <f t="shared" si="17"/>
        <v>11.695991091314031</v>
      </c>
      <c r="H57" s="188">
        <f t="shared" si="18"/>
        <v>2.3391982182628062</v>
      </c>
      <c r="I57" s="379">
        <f t="shared" si="19"/>
        <v>40.410000000000004</v>
      </c>
      <c r="J57" s="149">
        <f t="shared" si="20"/>
        <v>1.35</v>
      </c>
      <c r="K57" s="149">
        <f t="shared" si="21"/>
        <v>0.46272493573264778</v>
      </c>
      <c r="L57" s="149">
        <f t="shared" si="22"/>
        <v>3</v>
      </c>
      <c r="M57" s="379">
        <f t="shared" si="14"/>
        <v>288.78990348923531</v>
      </c>
      <c r="N57" s="172">
        <f t="shared" si="23"/>
        <v>350</v>
      </c>
      <c r="O57" s="188">
        <f t="shared" si="24"/>
        <v>1.1139039134584792</v>
      </c>
      <c r="P57" s="150">
        <f t="shared" si="25"/>
        <v>2.4753420299077313</v>
      </c>
      <c r="Q57" s="150">
        <f t="shared" si="26"/>
        <v>0.48252630549593356</v>
      </c>
      <c r="R57" s="150">
        <f t="shared" si="27"/>
        <v>2.2222222222222219</v>
      </c>
    </row>
    <row r="58" spans="3:18">
      <c r="C58" s="147">
        <v>52</v>
      </c>
      <c r="D58" s="5">
        <f t="shared" si="28"/>
        <v>35.519999999999996</v>
      </c>
      <c r="E58" s="379">
        <f t="shared" si="15"/>
        <v>5.4</v>
      </c>
      <c r="F58" s="188">
        <f t="shared" si="16"/>
        <v>0.13196480938416424</v>
      </c>
      <c r="G58" s="149">
        <f t="shared" si="17"/>
        <v>11.718475073313783</v>
      </c>
      <c r="H58" s="188">
        <f t="shared" si="18"/>
        <v>2.3436950146627566</v>
      </c>
      <c r="I58" s="379">
        <f t="shared" si="19"/>
        <v>40.919999999999995</v>
      </c>
      <c r="J58" s="149">
        <f t="shared" si="20"/>
        <v>1.35</v>
      </c>
      <c r="K58" s="149">
        <f t="shared" si="21"/>
        <v>0.45608108108108114</v>
      </c>
      <c r="L58" s="149">
        <f t="shared" si="22"/>
        <v>3</v>
      </c>
      <c r="M58" s="379">
        <f t="shared" si="14"/>
        <v>289.34506353861195</v>
      </c>
      <c r="N58" s="172">
        <f t="shared" si="23"/>
        <v>350</v>
      </c>
      <c r="O58" s="188">
        <f t="shared" si="24"/>
        <v>1.1160452450775031</v>
      </c>
      <c r="P58" s="150">
        <f t="shared" si="25"/>
        <v>2.4801005446166733</v>
      </c>
      <c r="Q58" s="150">
        <f t="shared" si="26"/>
        <v>0.48438327352337368</v>
      </c>
      <c r="R58" s="150">
        <f t="shared" si="27"/>
        <v>2.2222222222222219</v>
      </c>
    </row>
    <row r="59" spans="3:18">
      <c r="C59" s="147">
        <v>53</v>
      </c>
      <c r="D59" s="5">
        <f t="shared" si="28"/>
        <v>36.03</v>
      </c>
      <c r="E59" s="379">
        <f t="shared" si="15"/>
        <v>5.4</v>
      </c>
      <c r="F59" s="188">
        <f t="shared" si="16"/>
        <v>0.13034033309196236</v>
      </c>
      <c r="G59" s="149">
        <f t="shared" si="17"/>
        <v>11.740405503258508</v>
      </c>
      <c r="H59" s="188">
        <f t="shared" si="18"/>
        <v>2.3480811006517017</v>
      </c>
      <c r="I59" s="379">
        <f t="shared" si="19"/>
        <v>41.43</v>
      </c>
      <c r="J59" s="149">
        <f t="shared" si="20"/>
        <v>1.35</v>
      </c>
      <c r="K59" s="149">
        <f t="shared" si="21"/>
        <v>0.44962531223980018</v>
      </c>
      <c r="L59" s="149">
        <f t="shared" si="22"/>
        <v>3</v>
      </c>
      <c r="M59" s="379">
        <f t="shared" si="14"/>
        <v>289.88655563601253</v>
      </c>
      <c r="N59" s="172">
        <f t="shared" si="23"/>
        <v>350</v>
      </c>
      <c r="O59" s="188">
        <f t="shared" si="24"/>
        <v>1.1181338574531914</v>
      </c>
      <c r="P59" s="150">
        <f t="shared" si="25"/>
        <v>2.4847419054515365</v>
      </c>
      <c r="Q59" s="150">
        <f t="shared" si="26"/>
        <v>0.48619795901567087</v>
      </c>
      <c r="R59" s="150">
        <f t="shared" si="27"/>
        <v>2.2222222222222219</v>
      </c>
    </row>
    <row r="60" spans="3:18">
      <c r="C60" s="147">
        <v>54</v>
      </c>
      <c r="D60" s="5">
        <f t="shared" si="28"/>
        <v>36.540000000000006</v>
      </c>
      <c r="E60" s="379">
        <f t="shared" si="15"/>
        <v>5.4</v>
      </c>
      <c r="F60" s="188">
        <f t="shared" si="16"/>
        <v>0.12875536480686695</v>
      </c>
      <c r="G60" s="149">
        <f t="shared" si="17"/>
        <v>11.761802575107298</v>
      </c>
      <c r="H60" s="188">
        <f t="shared" si="18"/>
        <v>2.3523605150214597</v>
      </c>
      <c r="I60" s="379">
        <f t="shared" si="19"/>
        <v>41.940000000000005</v>
      </c>
      <c r="J60" s="149">
        <f t="shared" si="20"/>
        <v>1.35</v>
      </c>
      <c r="K60" s="149">
        <f t="shared" si="21"/>
        <v>0.44334975369458124</v>
      </c>
      <c r="L60" s="149">
        <f t="shared" si="22"/>
        <v>3</v>
      </c>
      <c r="M60" s="379">
        <f t="shared" si="14"/>
        <v>290.41487839771099</v>
      </c>
      <c r="N60" s="172">
        <f t="shared" si="23"/>
        <v>350</v>
      </c>
      <c r="O60" s="188">
        <f t="shared" si="24"/>
        <v>1.1201716738197425</v>
      </c>
      <c r="P60" s="150">
        <f t="shared" si="25"/>
        <v>2.4892703862660941</v>
      </c>
      <c r="Q60" s="150">
        <f t="shared" si="26"/>
        <v>0.48797178065538127</v>
      </c>
      <c r="R60" s="150">
        <f t="shared" si="27"/>
        <v>2.2222222222222219</v>
      </c>
    </row>
    <row r="61" spans="3:18">
      <c r="C61" s="147">
        <v>55</v>
      </c>
      <c r="D61" s="5">
        <f t="shared" si="28"/>
        <v>37.049999999999997</v>
      </c>
      <c r="E61" s="379">
        <f t="shared" si="15"/>
        <v>5.4</v>
      </c>
      <c r="F61" s="188">
        <f t="shared" si="16"/>
        <v>0.12720848056537104</v>
      </c>
      <c r="G61" s="149">
        <f t="shared" si="17"/>
        <v>11.782685512367493</v>
      </c>
      <c r="H61" s="188">
        <f t="shared" si="18"/>
        <v>2.3565371024734985</v>
      </c>
      <c r="I61" s="379">
        <f t="shared" si="19"/>
        <v>42.449999999999996</v>
      </c>
      <c r="J61" s="149">
        <f t="shared" si="20"/>
        <v>1.35</v>
      </c>
      <c r="K61" s="149">
        <f t="shared" si="21"/>
        <v>0.43724696356275311</v>
      </c>
      <c r="L61" s="149">
        <f t="shared" si="22"/>
        <v>3</v>
      </c>
      <c r="M61" s="379">
        <f t="shared" si="14"/>
        <v>290.93050647820968</v>
      </c>
      <c r="N61" s="172">
        <f t="shared" si="23"/>
        <v>350</v>
      </c>
      <c r="O61" s="188">
        <f t="shared" si="24"/>
        <v>1.1221605249873801</v>
      </c>
      <c r="P61" s="150">
        <f t="shared" si="25"/>
        <v>2.493690055527511</v>
      </c>
      <c r="Q61" s="150">
        <f t="shared" si="26"/>
        <v>0.48970609482664818</v>
      </c>
      <c r="R61" s="150">
        <f t="shared" si="27"/>
        <v>2.2222222222222219</v>
      </c>
    </row>
    <row r="62" spans="3:18">
      <c r="C62" s="147">
        <v>56</v>
      </c>
      <c r="D62" s="5">
        <f t="shared" si="28"/>
        <v>37.56</v>
      </c>
      <c r="E62" s="379">
        <f t="shared" si="15"/>
        <v>5.4</v>
      </c>
      <c r="F62" s="188">
        <f t="shared" si="16"/>
        <v>0.12569832402234637</v>
      </c>
      <c r="G62" s="149">
        <f t="shared" si="17"/>
        <v>11.803072625698325</v>
      </c>
      <c r="H62" s="188">
        <f t="shared" si="18"/>
        <v>2.3606145251396651</v>
      </c>
      <c r="I62" s="379">
        <f t="shared" si="19"/>
        <v>42.96</v>
      </c>
      <c r="J62" s="149">
        <f t="shared" si="20"/>
        <v>1.35</v>
      </c>
      <c r="K62" s="149">
        <f t="shared" si="21"/>
        <v>0.43130990415335463</v>
      </c>
      <c r="L62" s="149">
        <f t="shared" si="22"/>
        <v>3</v>
      </c>
      <c r="M62" s="379">
        <f t="shared" si="14"/>
        <v>291.4338919925512</v>
      </c>
      <c r="N62" s="172">
        <f t="shared" si="23"/>
        <v>350</v>
      </c>
      <c r="O62" s="188">
        <f t="shared" si="24"/>
        <v>1.1241021548284118</v>
      </c>
      <c r="P62" s="150">
        <f t="shared" si="25"/>
        <v>2.4980047885075818</v>
      </c>
      <c r="Q62" s="150">
        <f t="shared" si="26"/>
        <v>0.49140219896828613</v>
      </c>
      <c r="R62" s="150">
        <f t="shared" si="27"/>
        <v>2.2222222222222219</v>
      </c>
    </row>
    <row r="63" spans="3:18">
      <c r="C63" s="147">
        <v>57</v>
      </c>
      <c r="D63" s="5">
        <f t="shared" si="28"/>
        <v>38.069999999999993</v>
      </c>
      <c r="E63" s="379">
        <f t="shared" si="15"/>
        <v>5.4</v>
      </c>
      <c r="F63" s="188">
        <f t="shared" si="16"/>
        <v>0.12422360248447208</v>
      </c>
      <c r="G63" s="149">
        <f t="shared" si="17"/>
        <v>11.822981366459629</v>
      </c>
      <c r="H63" s="188">
        <f t="shared" si="18"/>
        <v>2.3645962732919257</v>
      </c>
      <c r="I63" s="379">
        <f t="shared" si="19"/>
        <v>43.469999999999992</v>
      </c>
      <c r="J63" s="149">
        <f t="shared" si="20"/>
        <v>1.35</v>
      </c>
      <c r="K63" s="149">
        <f t="shared" si="21"/>
        <v>0.42553191489361708</v>
      </c>
      <c r="L63" s="149">
        <f t="shared" si="22"/>
        <v>3</v>
      </c>
      <c r="M63" s="379">
        <f t="shared" si="14"/>
        <v>291.9254658385093</v>
      </c>
      <c r="N63" s="172">
        <f t="shared" si="23"/>
        <v>350</v>
      </c>
      <c r="O63" s="188">
        <f t="shared" si="24"/>
        <v>1.1259982253771075</v>
      </c>
      <c r="P63" s="150">
        <f t="shared" si="25"/>
        <v>2.502218278615794</v>
      </c>
      <c r="Q63" s="150">
        <f t="shared" si="26"/>
        <v>0.49306133471482033</v>
      </c>
      <c r="R63" s="150">
        <f t="shared" si="27"/>
        <v>2.2222222222222219</v>
      </c>
    </row>
    <row r="64" spans="3:18">
      <c r="C64" s="147">
        <v>58</v>
      </c>
      <c r="D64" s="5">
        <f t="shared" si="28"/>
        <v>38.58</v>
      </c>
      <c r="E64" s="379">
        <f t="shared" si="15"/>
        <v>5.4</v>
      </c>
      <c r="F64" s="188">
        <f t="shared" si="16"/>
        <v>0.12278308321964532</v>
      </c>
      <c r="G64" s="149">
        <f t="shared" si="17"/>
        <v>11.842428376534791</v>
      </c>
      <c r="H64" s="188">
        <f t="shared" si="18"/>
        <v>2.3684856753069581</v>
      </c>
      <c r="I64" s="379">
        <f t="shared" si="19"/>
        <v>43.98</v>
      </c>
      <c r="J64" s="149">
        <f t="shared" si="20"/>
        <v>1.35</v>
      </c>
      <c r="K64" s="149">
        <f t="shared" si="21"/>
        <v>0.41990668740279941</v>
      </c>
      <c r="L64" s="149">
        <f t="shared" si="22"/>
        <v>3</v>
      </c>
      <c r="M64" s="379">
        <f t="shared" si="14"/>
        <v>292.40563892678489</v>
      </c>
      <c r="N64" s="172">
        <f t="shared" si="23"/>
        <v>350</v>
      </c>
      <c r="O64" s="188">
        <f t="shared" si="24"/>
        <v>1.1278503215747417</v>
      </c>
      <c r="P64" s="150">
        <f t="shared" si="25"/>
        <v>2.5063340479438705</v>
      </c>
      <c r="Q64" s="150">
        <f t="shared" si="26"/>
        <v>0.49468469084076322</v>
      </c>
      <c r="R64" s="150">
        <f t="shared" si="27"/>
        <v>2.2222222222222219</v>
      </c>
    </row>
    <row r="65" spans="3:18">
      <c r="C65" s="147">
        <v>59</v>
      </c>
      <c r="D65" s="5">
        <f t="shared" si="28"/>
        <v>39.090000000000003</v>
      </c>
      <c r="E65" s="379">
        <f t="shared" si="15"/>
        <v>5.4</v>
      </c>
      <c r="F65" s="188">
        <f t="shared" si="16"/>
        <v>0.12137559002022927</v>
      </c>
      <c r="G65" s="149">
        <f t="shared" si="17"/>
        <v>11.861429534726906</v>
      </c>
      <c r="H65" s="188">
        <f t="shared" si="18"/>
        <v>2.3722859069453812</v>
      </c>
      <c r="I65" s="379">
        <f t="shared" si="19"/>
        <v>44.49</v>
      </c>
      <c r="J65" s="149">
        <f t="shared" si="20"/>
        <v>1.35</v>
      </c>
      <c r="K65" s="149">
        <f t="shared" si="21"/>
        <v>0.41442824251726784</v>
      </c>
      <c r="L65" s="149">
        <f t="shared" si="22"/>
        <v>3</v>
      </c>
      <c r="M65" s="379">
        <f t="shared" si="14"/>
        <v>292.87480332659027</v>
      </c>
      <c r="N65" s="172">
        <f t="shared" si="23"/>
        <v>350</v>
      </c>
      <c r="O65" s="188">
        <f t="shared" si="24"/>
        <v>1.1296599556882767</v>
      </c>
      <c r="P65" s="150">
        <f t="shared" si="25"/>
        <v>2.5103554570850592</v>
      </c>
      <c r="Q65" s="150">
        <f t="shared" si="26"/>
        <v>0.49627340602219305</v>
      </c>
      <c r="R65" s="150">
        <f t="shared" si="27"/>
        <v>2.2222222222222219</v>
      </c>
    </row>
    <row r="66" spans="3:18">
      <c r="C66" s="147">
        <v>60</v>
      </c>
      <c r="D66" s="5">
        <f t="shared" si="28"/>
        <v>39.599999999999994</v>
      </c>
      <c r="E66" s="379">
        <f t="shared" si="15"/>
        <v>5.4</v>
      </c>
      <c r="F66" s="188">
        <f t="shared" si="16"/>
        <v>0.12000000000000002</v>
      </c>
      <c r="G66" s="149">
        <f t="shared" si="17"/>
        <v>11.880000000000003</v>
      </c>
      <c r="H66" s="188">
        <f t="shared" si="18"/>
        <v>2.3760000000000003</v>
      </c>
      <c r="I66" s="379">
        <f t="shared" si="19"/>
        <v>44.999999999999993</v>
      </c>
      <c r="J66" s="149">
        <f t="shared" si="20"/>
        <v>1.35</v>
      </c>
      <c r="K66" s="149">
        <f t="shared" si="21"/>
        <v>0.40909090909090917</v>
      </c>
      <c r="L66" s="149">
        <f t="shared" si="22"/>
        <v>3</v>
      </c>
      <c r="M66" s="379">
        <f t="shared" si="14"/>
        <v>293.33333333333331</v>
      </c>
      <c r="N66" s="172">
        <f t="shared" si="23"/>
        <v>350</v>
      </c>
      <c r="O66" s="188">
        <f t="shared" si="24"/>
        <v>1.1314285714285715</v>
      </c>
      <c r="P66" s="150">
        <f t="shared" si="25"/>
        <v>2.5142857142857142</v>
      </c>
      <c r="Q66" s="150">
        <f t="shared" si="26"/>
        <v>0.4978285714285714</v>
      </c>
      <c r="R66" s="150">
        <f t="shared" si="27"/>
        <v>2.2222222222222219</v>
      </c>
    </row>
    <row r="67" spans="3:18">
      <c r="C67" s="147">
        <v>61</v>
      </c>
      <c r="D67" s="5">
        <f t="shared" si="28"/>
        <v>40.11</v>
      </c>
      <c r="E67" s="379">
        <f t="shared" si="15"/>
        <v>5.4</v>
      </c>
      <c r="F67" s="188">
        <f t="shared" si="16"/>
        <v>0.11865524060646013</v>
      </c>
      <c r="G67" s="149">
        <f t="shared" si="17"/>
        <v>11.898154251812789</v>
      </c>
      <c r="H67" s="188">
        <f t="shared" si="18"/>
        <v>2.3796308503625578</v>
      </c>
      <c r="I67" s="379">
        <f t="shared" si="19"/>
        <v>45.51</v>
      </c>
      <c r="J67" s="149">
        <f t="shared" si="20"/>
        <v>1.35</v>
      </c>
      <c r="K67" s="149">
        <f t="shared" si="21"/>
        <v>0.40388930441286464</v>
      </c>
      <c r="L67" s="149">
        <f t="shared" si="22"/>
        <v>3</v>
      </c>
      <c r="M67" s="379">
        <f t="shared" si="14"/>
        <v>293.78158646451328</v>
      </c>
      <c r="N67" s="172">
        <f t="shared" si="23"/>
        <v>350</v>
      </c>
      <c r="O67" s="188">
        <f t="shared" si="24"/>
        <v>1.1331575477916942</v>
      </c>
      <c r="P67" s="150">
        <f t="shared" si="25"/>
        <v>2.5181278839815424</v>
      </c>
      <c r="Q67" s="150">
        <f t="shared" si="26"/>
        <v>0.49935123315672225</v>
      </c>
      <c r="R67" s="150">
        <f t="shared" si="27"/>
        <v>2.2222222222222219</v>
      </c>
    </row>
    <row r="68" spans="3:18">
      <c r="C68" s="147">
        <v>62</v>
      </c>
      <c r="D68" s="5">
        <f t="shared" si="28"/>
        <v>40.620000000000005</v>
      </c>
      <c r="E68" s="379">
        <f t="shared" si="15"/>
        <v>5.4</v>
      </c>
      <c r="F68" s="188">
        <f t="shared" si="16"/>
        <v>0.11734028683181226</v>
      </c>
      <c r="G68" s="149">
        <f t="shared" si="17"/>
        <v>11.915906127770537</v>
      </c>
      <c r="H68" s="188">
        <f t="shared" si="18"/>
        <v>2.3831812255541074</v>
      </c>
      <c r="I68" s="379">
        <f t="shared" si="19"/>
        <v>46.02</v>
      </c>
      <c r="J68" s="149">
        <f t="shared" si="20"/>
        <v>1.35</v>
      </c>
      <c r="K68" s="149">
        <f t="shared" si="21"/>
        <v>0.3988183161004431</v>
      </c>
      <c r="L68" s="149">
        <f t="shared" si="22"/>
        <v>3</v>
      </c>
      <c r="M68" s="379">
        <f t="shared" si="14"/>
        <v>294.21990438939594</v>
      </c>
      <c r="N68" s="172">
        <f t="shared" si="23"/>
        <v>350</v>
      </c>
      <c r="O68" s="188">
        <f t="shared" si="24"/>
        <v>1.134848202644813</v>
      </c>
      <c r="P68" s="150">
        <f t="shared" si="25"/>
        <v>2.5218848947662509</v>
      </c>
      <c r="Q68" s="150">
        <f t="shared" si="26"/>
        <v>0.50084239451795209</v>
      </c>
      <c r="R68" s="150">
        <f t="shared" si="27"/>
        <v>2.2222222222222219</v>
      </c>
    </row>
    <row r="69" spans="3:18">
      <c r="C69" s="147">
        <v>63</v>
      </c>
      <c r="D69" s="5">
        <f t="shared" si="28"/>
        <v>41.13</v>
      </c>
      <c r="E69" s="379">
        <f t="shared" si="15"/>
        <v>5.4</v>
      </c>
      <c r="F69" s="188">
        <f t="shared" si="16"/>
        <v>0.11605415860735011</v>
      </c>
      <c r="G69" s="149">
        <f t="shared" si="17"/>
        <v>11.933268858800776</v>
      </c>
      <c r="H69" s="188">
        <f t="shared" si="18"/>
        <v>2.3866537717601553</v>
      </c>
      <c r="I69" s="379">
        <f t="shared" si="19"/>
        <v>46.53</v>
      </c>
      <c r="J69" s="149">
        <f t="shared" si="20"/>
        <v>1.35</v>
      </c>
      <c r="K69" s="149">
        <f t="shared" si="21"/>
        <v>0.39387308533916848</v>
      </c>
      <c r="L69" s="149">
        <f t="shared" si="22"/>
        <v>3</v>
      </c>
      <c r="M69" s="379">
        <f t="shared" si="14"/>
        <v>294.64861379754996</v>
      </c>
      <c r="N69" s="172">
        <f t="shared" si="23"/>
        <v>350</v>
      </c>
      <c r="O69" s="188">
        <f t="shared" si="24"/>
        <v>1.1365017960762642</v>
      </c>
      <c r="P69" s="150">
        <f t="shared" si="25"/>
        <v>2.5255595468361425</v>
      </c>
      <c r="Q69" s="150">
        <f t="shared" si="26"/>
        <v>0.50230301818844558</v>
      </c>
      <c r="R69" s="150">
        <f t="shared" si="27"/>
        <v>2.2222222222222219</v>
      </c>
    </row>
    <row r="70" spans="3:18">
      <c r="C70" s="147">
        <v>64</v>
      </c>
      <c r="D70" s="5">
        <f t="shared" si="28"/>
        <v>41.64</v>
      </c>
      <c r="E70" s="379">
        <f t="shared" ref="E70:E106" si="29">(Vout+Vfwd1)*Nps</f>
        <v>5.4</v>
      </c>
      <c r="F70" s="188">
        <f t="shared" ref="F70:F106" si="30">(Vout+Vfwd1)*Nps/((Vout+Vfwd1)*Nps+D70)</f>
        <v>0.11479591836734696</v>
      </c>
      <c r="G70" s="149">
        <f t="shared" ref="G70:G101" si="31">F70*D70*Isw_max*0.5*Efficiency</f>
        <v>11.950255102040819</v>
      </c>
      <c r="H70" s="188">
        <f t="shared" ref="H70:H101" si="32">G70/Vout</f>
        <v>2.3900510204081638</v>
      </c>
      <c r="I70" s="379">
        <f t="shared" ref="I70:I106" si="33">(Vout+Vfwd1)*Nps+D70</f>
        <v>47.04</v>
      </c>
      <c r="J70" s="149">
        <f t="shared" ref="J70:J106" si="34">MIN(2*Vout*Iout/(Efficiency*D70*F70), 1.35)</f>
        <v>1.35</v>
      </c>
      <c r="K70" s="149">
        <f t="shared" ref="K70:K101" si="35">L*J70/D70*1000000</f>
        <v>0.38904899135446686</v>
      </c>
      <c r="L70" s="149">
        <f t="shared" ref="L70:L106" si="36">L*J70/((Vout+Vfwd1)*Nps)*1000000</f>
        <v>3</v>
      </c>
      <c r="M70" s="379">
        <f t="shared" si="14"/>
        <v>295.0680272108844</v>
      </c>
      <c r="N70" s="172">
        <f t="shared" ref="N70:N106" si="37">IF(1/((350000*L)*(1/D70+1/E70))&gt;Isw_min, 350, 0.001/((Isw_min*L)*(1/D70+1/E70)))</f>
        <v>350</v>
      </c>
      <c r="O70" s="188">
        <f t="shared" ref="O70:O101" si="38">1/((N70*1000*L)*(1/D70+1/E70))</f>
        <v>1.1381195335276968</v>
      </c>
      <c r="P70" s="150">
        <f t="shared" ref="P70:P101" si="39">L*O70/E70*1000000</f>
        <v>2.5291545189504374</v>
      </c>
      <c r="Q70" s="150">
        <f t="shared" ref="Q70:Q101" si="40">0.5*P70*O70*Nps*N70/1000</f>
        <v>0.50373402823228419</v>
      </c>
      <c r="R70" s="150">
        <f t="shared" ref="R70:R106" si="41">L*Isw_min/E70*1000000</f>
        <v>2.2222222222222219</v>
      </c>
    </row>
    <row r="71" spans="3:18">
      <c r="C71" s="147">
        <v>65</v>
      </c>
      <c r="D71" s="5">
        <f t="shared" ref="D71:D102" si="42">C71/100*(VIN_max-VIN_min)+VIN_min</f>
        <v>42.15</v>
      </c>
      <c r="E71" s="379">
        <f t="shared" si="29"/>
        <v>5.4</v>
      </c>
      <c r="F71" s="188">
        <f t="shared" si="30"/>
        <v>0.1135646687697161</v>
      </c>
      <c r="G71" s="149">
        <f t="shared" si="31"/>
        <v>11.966876971608833</v>
      </c>
      <c r="H71" s="188">
        <f t="shared" si="32"/>
        <v>2.3933753943217666</v>
      </c>
      <c r="I71" s="379">
        <f t="shared" si="33"/>
        <v>47.55</v>
      </c>
      <c r="J71" s="149">
        <f t="shared" si="34"/>
        <v>1.35</v>
      </c>
      <c r="K71" s="149">
        <f t="shared" si="35"/>
        <v>0.3843416370106762</v>
      </c>
      <c r="L71" s="149">
        <f t="shared" si="36"/>
        <v>3</v>
      </c>
      <c r="M71" s="379">
        <f t="shared" ref="M71:M106" si="43">MIN(1/(K71+L71)*1000, 350)</f>
        <v>295.47844374342799</v>
      </c>
      <c r="N71" s="172">
        <f t="shared" si="37"/>
        <v>350</v>
      </c>
      <c r="O71" s="188">
        <f t="shared" si="38"/>
        <v>1.1397025687246507</v>
      </c>
      <c r="P71" s="150">
        <f t="shared" si="39"/>
        <v>2.5326723749436679</v>
      </c>
      <c r="Q71" s="150">
        <f t="shared" si="40"/>
        <v>0.50513631200572051</v>
      </c>
      <c r="R71" s="150">
        <f t="shared" si="41"/>
        <v>2.2222222222222219</v>
      </c>
    </row>
    <row r="72" spans="3:18">
      <c r="C72" s="147">
        <v>66</v>
      </c>
      <c r="D72" s="5">
        <f t="shared" si="42"/>
        <v>42.660000000000004</v>
      </c>
      <c r="E72" s="379">
        <f t="shared" si="29"/>
        <v>5.4</v>
      </c>
      <c r="F72" s="188">
        <f t="shared" si="30"/>
        <v>0.11235955056179775</v>
      </c>
      <c r="G72" s="149">
        <f t="shared" si="31"/>
        <v>11.983146067415731</v>
      </c>
      <c r="H72" s="188">
        <f t="shared" si="32"/>
        <v>2.3966292134831462</v>
      </c>
      <c r="I72" s="379">
        <f t="shared" si="33"/>
        <v>48.06</v>
      </c>
      <c r="J72" s="149">
        <f t="shared" si="34"/>
        <v>1.35</v>
      </c>
      <c r="K72" s="149">
        <f t="shared" si="35"/>
        <v>0.37974683544303794</v>
      </c>
      <c r="L72" s="149">
        <f t="shared" si="36"/>
        <v>3</v>
      </c>
      <c r="M72" s="379">
        <f t="shared" si="43"/>
        <v>295.88014981273409</v>
      </c>
      <c r="N72" s="172">
        <f t="shared" si="37"/>
        <v>350</v>
      </c>
      <c r="O72" s="188">
        <f t="shared" si="38"/>
        <v>1.1412520064205458</v>
      </c>
      <c r="P72" s="150">
        <f t="shared" si="39"/>
        <v>2.5361155698234348</v>
      </c>
      <c r="Q72" s="150">
        <f t="shared" si="40"/>
        <v>0.50651072195069158</v>
      </c>
      <c r="R72" s="150">
        <f t="shared" si="41"/>
        <v>2.2222222222222219</v>
      </c>
    </row>
    <row r="73" spans="3:18">
      <c r="C73" s="147">
        <v>67</v>
      </c>
      <c r="D73" s="5">
        <f t="shared" si="42"/>
        <v>43.17</v>
      </c>
      <c r="E73" s="379">
        <f t="shared" si="29"/>
        <v>5.4</v>
      </c>
      <c r="F73" s="188">
        <f t="shared" si="30"/>
        <v>0.11117974058060531</v>
      </c>
      <c r="G73" s="149">
        <f t="shared" si="31"/>
        <v>11.999073502161828</v>
      </c>
      <c r="H73" s="188">
        <f t="shared" si="32"/>
        <v>2.3998147004323656</v>
      </c>
      <c r="I73" s="379">
        <f t="shared" si="33"/>
        <v>48.57</v>
      </c>
      <c r="J73" s="149">
        <f t="shared" si="34"/>
        <v>1.35</v>
      </c>
      <c r="K73" s="149">
        <f t="shared" si="35"/>
        <v>0.37526059763724806</v>
      </c>
      <c r="L73" s="149">
        <f t="shared" si="36"/>
        <v>3</v>
      </c>
      <c r="M73" s="379">
        <f t="shared" si="43"/>
        <v>296.27341980646486</v>
      </c>
      <c r="N73" s="172">
        <f t="shared" si="37"/>
        <v>350</v>
      </c>
      <c r="O73" s="188">
        <f t="shared" si="38"/>
        <v>1.1427689049677932</v>
      </c>
      <c r="P73" s="150">
        <f t="shared" si="39"/>
        <v>2.5394864554839844</v>
      </c>
      <c r="Q73" s="150">
        <f t="shared" si="40"/>
        <v>0.5078580772849457</v>
      </c>
      <c r="R73" s="150">
        <f t="shared" si="41"/>
        <v>2.2222222222222219</v>
      </c>
    </row>
    <row r="74" spans="3:18">
      <c r="C74" s="147">
        <v>68</v>
      </c>
      <c r="D74" s="5">
        <f t="shared" si="42"/>
        <v>43.68</v>
      </c>
      <c r="E74" s="379">
        <f t="shared" si="29"/>
        <v>5.4</v>
      </c>
      <c r="F74" s="188">
        <f t="shared" si="30"/>
        <v>0.11002444987775062</v>
      </c>
      <c r="G74" s="149">
        <f t="shared" si="31"/>
        <v>12.014669926650367</v>
      </c>
      <c r="H74" s="188">
        <f t="shared" si="32"/>
        <v>2.4029339853300735</v>
      </c>
      <c r="I74" s="379">
        <f t="shared" si="33"/>
        <v>49.08</v>
      </c>
      <c r="J74" s="149">
        <f t="shared" si="34"/>
        <v>1.35</v>
      </c>
      <c r="K74" s="149">
        <f t="shared" si="35"/>
        <v>0.37087912087912089</v>
      </c>
      <c r="L74" s="149">
        <f t="shared" si="36"/>
        <v>3</v>
      </c>
      <c r="M74" s="379">
        <f t="shared" si="43"/>
        <v>296.65851670741642</v>
      </c>
      <c r="N74" s="172">
        <f t="shared" si="37"/>
        <v>350</v>
      </c>
      <c r="O74" s="188">
        <f t="shared" si="38"/>
        <v>1.1442542787286063</v>
      </c>
      <c r="P74" s="150">
        <f t="shared" si="39"/>
        <v>2.5427872860635694</v>
      </c>
      <c r="Q74" s="150">
        <f t="shared" si="40"/>
        <v>0.50917916559561449</v>
      </c>
      <c r="R74" s="150">
        <f t="shared" si="41"/>
        <v>2.2222222222222219</v>
      </c>
    </row>
    <row r="75" spans="3:18">
      <c r="C75" s="147">
        <v>69</v>
      </c>
      <c r="D75" s="5">
        <f t="shared" si="42"/>
        <v>44.19</v>
      </c>
      <c r="E75" s="379">
        <f t="shared" si="29"/>
        <v>5.4</v>
      </c>
      <c r="F75" s="188">
        <f t="shared" si="30"/>
        <v>0.10889292196007261</v>
      </c>
      <c r="G75" s="149">
        <f t="shared" si="31"/>
        <v>12.029945553539021</v>
      </c>
      <c r="H75" s="188">
        <f t="shared" si="32"/>
        <v>2.4059891107078042</v>
      </c>
      <c r="I75" s="379">
        <f t="shared" si="33"/>
        <v>49.589999999999996</v>
      </c>
      <c r="J75" s="149">
        <f t="shared" si="34"/>
        <v>1.35</v>
      </c>
      <c r="K75" s="149">
        <f t="shared" si="35"/>
        <v>0.36659877800407337</v>
      </c>
      <c r="L75" s="149">
        <f t="shared" si="36"/>
        <v>3</v>
      </c>
      <c r="M75" s="379">
        <f t="shared" si="43"/>
        <v>297.0356926799758</v>
      </c>
      <c r="N75" s="172">
        <f t="shared" si="37"/>
        <v>350</v>
      </c>
      <c r="O75" s="188">
        <f t="shared" si="38"/>
        <v>1.1457091003370494</v>
      </c>
      <c r="P75" s="150">
        <f t="shared" si="39"/>
        <v>2.546020222971221</v>
      </c>
      <c r="Q75" s="150">
        <f t="shared" si="40"/>
        <v>0.51047474434255102</v>
      </c>
      <c r="R75" s="150">
        <f t="shared" si="41"/>
        <v>2.2222222222222219</v>
      </c>
    </row>
    <row r="76" spans="3:18">
      <c r="C76" s="147">
        <v>70</v>
      </c>
      <c r="D76" s="5">
        <f t="shared" si="42"/>
        <v>44.699999999999996</v>
      </c>
      <c r="E76" s="379">
        <f t="shared" si="29"/>
        <v>5.4</v>
      </c>
      <c r="F76" s="188">
        <f t="shared" si="30"/>
        <v>0.10778443113772457</v>
      </c>
      <c r="G76" s="149">
        <f t="shared" si="31"/>
        <v>12.04491017964072</v>
      </c>
      <c r="H76" s="188">
        <f t="shared" si="32"/>
        <v>2.408982035928144</v>
      </c>
      <c r="I76" s="379">
        <f t="shared" si="33"/>
        <v>50.099999999999994</v>
      </c>
      <c r="J76" s="149">
        <f t="shared" si="34"/>
        <v>1.35</v>
      </c>
      <c r="K76" s="149">
        <f t="shared" si="35"/>
        <v>0.36241610738255042</v>
      </c>
      <c r="L76" s="149">
        <f t="shared" si="36"/>
        <v>3</v>
      </c>
      <c r="M76" s="379">
        <f t="shared" si="43"/>
        <v>297.40518962075845</v>
      </c>
      <c r="N76" s="172">
        <f t="shared" si="37"/>
        <v>350</v>
      </c>
      <c r="O76" s="188">
        <f t="shared" si="38"/>
        <v>1.1471343028229255</v>
      </c>
      <c r="P76" s="150">
        <f t="shared" si="39"/>
        <v>2.549187339606501</v>
      </c>
      <c r="Q76" s="150">
        <f t="shared" si="40"/>
        <v>0.51174554227729308</v>
      </c>
      <c r="R76" s="150">
        <f t="shared" si="41"/>
        <v>2.2222222222222219</v>
      </c>
    </row>
    <row r="77" spans="3:18">
      <c r="C77" s="147">
        <v>71</v>
      </c>
      <c r="D77" s="5">
        <f t="shared" si="42"/>
        <v>45.21</v>
      </c>
      <c r="E77" s="379">
        <f t="shared" si="29"/>
        <v>5.4</v>
      </c>
      <c r="F77" s="188">
        <f t="shared" si="30"/>
        <v>0.1066982809721399</v>
      </c>
      <c r="G77" s="149">
        <f t="shared" si="31"/>
        <v>12.059573206876113</v>
      </c>
      <c r="H77" s="188">
        <f t="shared" si="32"/>
        <v>2.4119146413752226</v>
      </c>
      <c r="I77" s="379">
        <f t="shared" si="33"/>
        <v>50.61</v>
      </c>
      <c r="J77" s="149">
        <f t="shared" si="34"/>
        <v>1.35</v>
      </c>
      <c r="K77" s="149">
        <f t="shared" si="35"/>
        <v>0.35832780358327804</v>
      </c>
      <c r="L77" s="149">
        <f t="shared" si="36"/>
        <v>3</v>
      </c>
      <c r="M77" s="379">
        <f t="shared" si="43"/>
        <v>297.76723967595336</v>
      </c>
      <c r="N77" s="172">
        <f t="shared" si="37"/>
        <v>350</v>
      </c>
      <c r="O77" s="188">
        <f t="shared" si="38"/>
        <v>1.1485307816072485</v>
      </c>
      <c r="P77" s="150">
        <f t="shared" si="39"/>
        <v>2.5522906257938853</v>
      </c>
      <c r="Q77" s="150">
        <f t="shared" si="40"/>
        <v>0.51299226078308335</v>
      </c>
      <c r="R77" s="150">
        <f t="shared" si="41"/>
        <v>2.2222222222222219</v>
      </c>
    </row>
    <row r="78" spans="3:18">
      <c r="C78" s="147">
        <v>72</v>
      </c>
      <c r="D78" s="5">
        <f t="shared" si="42"/>
        <v>45.72</v>
      </c>
      <c r="E78" s="379">
        <f t="shared" si="29"/>
        <v>5.4</v>
      </c>
      <c r="F78" s="188">
        <f t="shared" si="30"/>
        <v>0.10563380281690142</v>
      </c>
      <c r="G78" s="149">
        <f t="shared" si="31"/>
        <v>12.073943661971832</v>
      </c>
      <c r="H78" s="188">
        <f t="shared" si="32"/>
        <v>2.4147887323943662</v>
      </c>
      <c r="I78" s="379">
        <f t="shared" si="33"/>
        <v>51.12</v>
      </c>
      <c r="J78" s="149">
        <f t="shared" si="34"/>
        <v>1.35</v>
      </c>
      <c r="K78" s="149">
        <f t="shared" si="35"/>
        <v>0.35433070866141736</v>
      </c>
      <c r="L78" s="149">
        <f t="shared" si="36"/>
        <v>3</v>
      </c>
      <c r="M78" s="379">
        <f t="shared" si="43"/>
        <v>298.12206572769952</v>
      </c>
      <c r="N78" s="172">
        <f t="shared" si="37"/>
        <v>350</v>
      </c>
      <c r="O78" s="188">
        <f t="shared" si="38"/>
        <v>1.1498993963782695</v>
      </c>
      <c r="P78" s="150">
        <f t="shared" si="39"/>
        <v>2.5553319919517099</v>
      </c>
      <c r="Q78" s="150">
        <f t="shared" si="40"/>
        <v>0.51421557514098659</v>
      </c>
      <c r="R78" s="150">
        <f t="shared" si="41"/>
        <v>2.2222222222222219</v>
      </c>
    </row>
    <row r="79" spans="3:18">
      <c r="C79" s="147">
        <v>73</v>
      </c>
      <c r="D79" s="5">
        <f t="shared" si="42"/>
        <v>46.23</v>
      </c>
      <c r="E79" s="379">
        <f t="shared" si="29"/>
        <v>5.4</v>
      </c>
      <c r="F79" s="188">
        <f t="shared" si="30"/>
        <v>0.10459035444509009</v>
      </c>
      <c r="G79" s="149">
        <f t="shared" si="31"/>
        <v>12.088030214991285</v>
      </c>
      <c r="H79" s="188">
        <f t="shared" si="32"/>
        <v>2.4176060429982571</v>
      </c>
      <c r="I79" s="379">
        <f t="shared" si="33"/>
        <v>51.629999999999995</v>
      </c>
      <c r="J79" s="149">
        <f t="shared" si="34"/>
        <v>1.35</v>
      </c>
      <c r="K79" s="149">
        <f t="shared" si="35"/>
        <v>0.35042180402336148</v>
      </c>
      <c r="L79" s="149">
        <f t="shared" si="36"/>
        <v>3</v>
      </c>
      <c r="M79" s="379">
        <f t="shared" si="43"/>
        <v>298.46988185163661</v>
      </c>
      <c r="N79" s="172">
        <f t="shared" si="37"/>
        <v>350</v>
      </c>
      <c r="O79" s="188">
        <f t="shared" si="38"/>
        <v>1.1512409728563129</v>
      </c>
      <c r="P79" s="150">
        <f t="shared" si="39"/>
        <v>2.5583132730140283</v>
      </c>
      <c r="Q79" s="150">
        <f t="shared" si="40"/>
        <v>0.51541613572678036</v>
      </c>
      <c r="R79" s="150">
        <f t="shared" si="41"/>
        <v>2.2222222222222219</v>
      </c>
    </row>
    <row r="80" spans="3:18">
      <c r="C80" s="147">
        <v>74</v>
      </c>
      <c r="D80" s="5">
        <f t="shared" si="42"/>
        <v>46.74</v>
      </c>
      <c r="E80" s="379">
        <f t="shared" si="29"/>
        <v>5.4</v>
      </c>
      <c r="F80" s="188">
        <f t="shared" si="30"/>
        <v>0.10356731875719218</v>
      </c>
      <c r="G80" s="149">
        <f t="shared" si="31"/>
        <v>12.101841196777908</v>
      </c>
      <c r="H80" s="188">
        <f t="shared" si="32"/>
        <v>2.4203682393555814</v>
      </c>
      <c r="I80" s="379">
        <f t="shared" si="33"/>
        <v>52.14</v>
      </c>
      <c r="J80" s="149">
        <f t="shared" si="34"/>
        <v>1.35</v>
      </c>
      <c r="K80" s="149">
        <f t="shared" si="35"/>
        <v>0.34659820282413351</v>
      </c>
      <c r="L80" s="149">
        <f t="shared" si="36"/>
        <v>3</v>
      </c>
      <c r="M80" s="379">
        <f t="shared" si="43"/>
        <v>298.81089374760262</v>
      </c>
      <c r="N80" s="172">
        <f t="shared" si="37"/>
        <v>350</v>
      </c>
      <c r="O80" s="188">
        <f t="shared" si="38"/>
        <v>1.1525563044550384</v>
      </c>
      <c r="P80" s="150">
        <f t="shared" si="39"/>
        <v>2.5612362321223077</v>
      </c>
      <c r="Q80" s="150">
        <f t="shared" si="40"/>
        <v>0.51659456914296598</v>
      </c>
      <c r="R80" s="150">
        <f t="shared" si="41"/>
        <v>2.2222222222222219</v>
      </c>
    </row>
    <row r="81" spans="3:18">
      <c r="C81" s="147">
        <v>75</v>
      </c>
      <c r="D81" s="5">
        <f t="shared" si="42"/>
        <v>47.25</v>
      </c>
      <c r="E81" s="379">
        <f t="shared" si="29"/>
        <v>5.4</v>
      </c>
      <c r="F81" s="188">
        <f t="shared" si="30"/>
        <v>0.10256410256410257</v>
      </c>
      <c r="G81" s="149">
        <f t="shared" si="31"/>
        <v>12.115384615384617</v>
      </c>
      <c r="H81" s="188">
        <f t="shared" si="32"/>
        <v>2.4230769230769234</v>
      </c>
      <c r="I81" s="379">
        <f t="shared" si="33"/>
        <v>52.65</v>
      </c>
      <c r="J81" s="149">
        <f t="shared" si="34"/>
        <v>1.35</v>
      </c>
      <c r="K81" s="149">
        <f t="shared" si="35"/>
        <v>0.34285714285714286</v>
      </c>
      <c r="L81" s="149">
        <f t="shared" si="36"/>
        <v>3</v>
      </c>
      <c r="M81" s="379">
        <f t="shared" si="43"/>
        <v>299.14529914529913</v>
      </c>
      <c r="N81" s="172">
        <f t="shared" si="37"/>
        <v>350</v>
      </c>
      <c r="O81" s="188">
        <f t="shared" si="38"/>
        <v>1.1538461538461537</v>
      </c>
      <c r="P81" s="150">
        <f t="shared" si="39"/>
        <v>2.5641025641025634</v>
      </c>
      <c r="Q81" s="150">
        <f t="shared" si="40"/>
        <v>0.5177514792899407</v>
      </c>
      <c r="R81" s="150">
        <f t="shared" si="41"/>
        <v>2.2222222222222219</v>
      </c>
    </row>
    <row r="82" spans="3:18">
      <c r="C82" s="147">
        <v>76</v>
      </c>
      <c r="D82" s="5">
        <f t="shared" si="42"/>
        <v>47.76</v>
      </c>
      <c r="E82" s="379">
        <f t="shared" si="29"/>
        <v>5.4</v>
      </c>
      <c r="F82" s="188">
        <f t="shared" si="30"/>
        <v>0.1015801354401806</v>
      </c>
      <c r="G82" s="149">
        <f t="shared" si="31"/>
        <v>12.128668171557564</v>
      </c>
      <c r="H82" s="188">
        <f t="shared" si="32"/>
        <v>2.4257336343115128</v>
      </c>
      <c r="I82" s="379">
        <f t="shared" si="33"/>
        <v>53.16</v>
      </c>
      <c r="J82" s="149">
        <f t="shared" si="34"/>
        <v>1.35</v>
      </c>
      <c r="K82" s="149">
        <f t="shared" si="35"/>
        <v>0.33919597989949751</v>
      </c>
      <c r="L82" s="149">
        <f t="shared" si="36"/>
        <v>3</v>
      </c>
      <c r="M82" s="379">
        <f t="shared" si="43"/>
        <v>299.47328818660645</v>
      </c>
      <c r="N82" s="172">
        <f t="shared" si="37"/>
        <v>350</v>
      </c>
      <c r="O82" s="188">
        <f t="shared" si="38"/>
        <v>1.1551112544340536</v>
      </c>
      <c r="P82" s="150">
        <f t="shared" si="39"/>
        <v>2.5669138987423414</v>
      </c>
      <c r="Q82" s="150">
        <f t="shared" si="40"/>
        <v>0.51888744838008283</v>
      </c>
      <c r="R82" s="150">
        <f t="shared" si="41"/>
        <v>2.2222222222222219</v>
      </c>
    </row>
    <row r="83" spans="3:18">
      <c r="C83" s="147">
        <v>77</v>
      </c>
      <c r="D83" s="5">
        <f t="shared" si="42"/>
        <v>48.27</v>
      </c>
      <c r="E83" s="379">
        <f t="shared" si="29"/>
        <v>5.4</v>
      </c>
      <c r="F83" s="188">
        <f t="shared" si="30"/>
        <v>0.10061486864169927</v>
      </c>
      <c r="G83" s="149">
        <f t="shared" si="31"/>
        <v>12.141699273337061</v>
      </c>
      <c r="H83" s="188">
        <f t="shared" si="32"/>
        <v>2.4283398546674122</v>
      </c>
      <c r="I83" s="379">
        <f t="shared" si="33"/>
        <v>53.67</v>
      </c>
      <c r="J83" s="149">
        <f t="shared" si="34"/>
        <v>1.35</v>
      </c>
      <c r="K83" s="149">
        <f t="shared" si="35"/>
        <v>0.33561218147917959</v>
      </c>
      <c r="L83" s="149">
        <f t="shared" si="36"/>
        <v>3</v>
      </c>
      <c r="M83" s="379">
        <f t="shared" si="43"/>
        <v>299.79504378610028</v>
      </c>
      <c r="N83" s="172">
        <f t="shared" si="37"/>
        <v>350</v>
      </c>
      <c r="O83" s="188">
        <f t="shared" si="38"/>
        <v>1.1563523117463868</v>
      </c>
      <c r="P83" s="150">
        <f t="shared" si="39"/>
        <v>2.5696718038808593</v>
      </c>
      <c r="Q83" s="150">
        <f t="shared" si="40"/>
        <v>0.52000303789824942</v>
      </c>
      <c r="R83" s="150">
        <f t="shared" si="41"/>
        <v>2.2222222222222219</v>
      </c>
    </row>
    <row r="84" spans="3:18">
      <c r="C84" s="147">
        <v>78</v>
      </c>
      <c r="D84" s="5">
        <f t="shared" si="42"/>
        <v>48.78</v>
      </c>
      <c r="E84" s="379">
        <f t="shared" si="29"/>
        <v>5.4</v>
      </c>
      <c r="F84" s="188">
        <f t="shared" si="30"/>
        <v>9.9667774086378738E-2</v>
      </c>
      <c r="G84" s="149">
        <f t="shared" si="31"/>
        <v>12.154485049833887</v>
      </c>
      <c r="H84" s="188">
        <f t="shared" si="32"/>
        <v>2.4308970099667775</v>
      </c>
      <c r="I84" s="379">
        <f t="shared" si="33"/>
        <v>54.18</v>
      </c>
      <c r="J84" s="149">
        <f t="shared" si="34"/>
        <v>1.35</v>
      </c>
      <c r="K84" s="149">
        <f t="shared" si="35"/>
        <v>0.33210332103321033</v>
      </c>
      <c r="L84" s="149">
        <f t="shared" si="36"/>
        <v>3</v>
      </c>
      <c r="M84" s="379">
        <f t="shared" si="43"/>
        <v>300.11074197120706</v>
      </c>
      <c r="N84" s="172">
        <f t="shared" si="37"/>
        <v>350</v>
      </c>
      <c r="O84" s="188">
        <f t="shared" si="38"/>
        <v>1.1575700047460846</v>
      </c>
      <c r="P84" s="150">
        <f t="shared" si="39"/>
        <v>2.5723777883246322</v>
      </c>
      <c r="Q84" s="150">
        <f t="shared" si="40"/>
        <v>0.52109878951194177</v>
      </c>
      <c r="R84" s="150">
        <f t="shared" si="41"/>
        <v>2.2222222222222219</v>
      </c>
    </row>
    <row r="85" spans="3:18">
      <c r="C85" s="147">
        <v>79</v>
      </c>
      <c r="D85" s="5">
        <f t="shared" si="42"/>
        <v>49.29</v>
      </c>
      <c r="E85" s="379">
        <f t="shared" si="29"/>
        <v>5.4</v>
      </c>
      <c r="F85" s="188">
        <f t="shared" si="30"/>
        <v>9.873834339001647E-2</v>
      </c>
      <c r="G85" s="149">
        <f t="shared" si="31"/>
        <v>12.16703236423478</v>
      </c>
      <c r="H85" s="188">
        <f t="shared" si="32"/>
        <v>2.433406472846956</v>
      </c>
      <c r="I85" s="379">
        <f t="shared" si="33"/>
        <v>54.69</v>
      </c>
      <c r="J85" s="149">
        <f t="shared" si="34"/>
        <v>1.35</v>
      </c>
      <c r="K85" s="149">
        <f t="shared" si="35"/>
        <v>0.32866707242848447</v>
      </c>
      <c r="L85" s="149">
        <f t="shared" si="36"/>
        <v>3</v>
      </c>
      <c r="M85" s="379">
        <f t="shared" si="43"/>
        <v>300.42055220332787</v>
      </c>
      <c r="N85" s="172">
        <f t="shared" si="37"/>
        <v>350</v>
      </c>
      <c r="O85" s="188">
        <f t="shared" si="38"/>
        <v>1.1587649870699788</v>
      </c>
      <c r="P85" s="150">
        <f t="shared" si="39"/>
        <v>2.5750333045999532</v>
      </c>
      <c r="Q85" s="150">
        <f t="shared" si="40"/>
        <v>0.52217522593416765</v>
      </c>
      <c r="R85" s="150">
        <f t="shared" si="41"/>
        <v>2.2222222222222219</v>
      </c>
    </row>
    <row r="86" spans="3:18">
      <c r="C86" s="147">
        <v>80</v>
      </c>
      <c r="D86" s="5">
        <f t="shared" si="42"/>
        <v>49.800000000000004</v>
      </c>
      <c r="E86" s="379">
        <f t="shared" si="29"/>
        <v>5.4</v>
      </c>
      <c r="F86" s="188">
        <f t="shared" si="30"/>
        <v>9.7826086956521743E-2</v>
      </c>
      <c r="G86" s="149">
        <f t="shared" si="31"/>
        <v>12.179347826086957</v>
      </c>
      <c r="H86" s="188">
        <f t="shared" si="32"/>
        <v>2.4358695652173914</v>
      </c>
      <c r="I86" s="379">
        <f t="shared" si="33"/>
        <v>55.2</v>
      </c>
      <c r="J86" s="149">
        <f t="shared" si="34"/>
        <v>1.35</v>
      </c>
      <c r="K86" s="149">
        <f t="shared" si="35"/>
        <v>0.3253012048192771</v>
      </c>
      <c r="L86" s="149">
        <f t="shared" si="36"/>
        <v>3</v>
      </c>
      <c r="M86" s="379">
        <f t="shared" si="43"/>
        <v>300.72463768115944</v>
      </c>
      <c r="N86" s="172">
        <f t="shared" si="37"/>
        <v>350</v>
      </c>
      <c r="O86" s="188">
        <f t="shared" si="38"/>
        <v>1.1599378881987579</v>
      </c>
      <c r="P86" s="150">
        <f t="shared" si="39"/>
        <v>2.5776397515527951</v>
      </c>
      <c r="Q86" s="150">
        <f t="shared" si="40"/>
        <v>0.5232328517418311</v>
      </c>
      <c r="R86" s="150">
        <f t="shared" si="41"/>
        <v>2.2222222222222219</v>
      </c>
    </row>
    <row r="87" spans="3:18">
      <c r="C87" s="147">
        <v>81</v>
      </c>
      <c r="D87" s="5">
        <f t="shared" si="42"/>
        <v>50.31</v>
      </c>
      <c r="E87" s="379">
        <f t="shared" si="29"/>
        <v>5.4</v>
      </c>
      <c r="F87" s="188">
        <f t="shared" si="30"/>
        <v>9.6930533117932149E-2</v>
      </c>
      <c r="G87" s="149">
        <f t="shared" si="31"/>
        <v>12.191437802907917</v>
      </c>
      <c r="H87" s="188">
        <f t="shared" si="32"/>
        <v>2.4382875605815832</v>
      </c>
      <c r="I87" s="379">
        <f t="shared" si="33"/>
        <v>55.71</v>
      </c>
      <c r="J87" s="149">
        <f t="shared" si="34"/>
        <v>1.35</v>
      </c>
      <c r="K87" s="149">
        <f t="shared" si="35"/>
        <v>0.32200357781753131</v>
      </c>
      <c r="L87" s="149">
        <f t="shared" si="36"/>
        <v>3</v>
      </c>
      <c r="M87" s="379">
        <f t="shared" si="43"/>
        <v>301.023155627356</v>
      </c>
      <c r="N87" s="172">
        <f t="shared" si="37"/>
        <v>350</v>
      </c>
      <c r="O87" s="188">
        <f t="shared" si="38"/>
        <v>1.1610893145626586</v>
      </c>
      <c r="P87" s="150">
        <f t="shared" si="39"/>
        <v>2.5801984768059083</v>
      </c>
      <c r="Q87" s="150">
        <f t="shared" si="40"/>
        <v>0.52427215415228279</v>
      </c>
      <c r="R87" s="150">
        <f t="shared" si="41"/>
        <v>2.2222222222222219</v>
      </c>
    </row>
    <row r="88" spans="3:18">
      <c r="C88" s="147">
        <v>82</v>
      </c>
      <c r="D88" s="5">
        <f t="shared" si="42"/>
        <v>50.82</v>
      </c>
      <c r="E88" s="379">
        <f t="shared" si="29"/>
        <v>5.4</v>
      </c>
      <c r="F88" s="188">
        <f t="shared" si="30"/>
        <v>9.6051227321237997E-2</v>
      </c>
      <c r="G88" s="149">
        <f t="shared" si="31"/>
        <v>12.203308431163286</v>
      </c>
      <c r="H88" s="188">
        <f t="shared" si="32"/>
        <v>2.4406616862326573</v>
      </c>
      <c r="I88" s="379">
        <f t="shared" si="33"/>
        <v>56.22</v>
      </c>
      <c r="J88" s="149">
        <f t="shared" si="34"/>
        <v>1.35</v>
      </c>
      <c r="K88" s="149">
        <f t="shared" si="35"/>
        <v>0.31877213695395512</v>
      </c>
      <c r="L88" s="149">
        <f t="shared" si="36"/>
        <v>3</v>
      </c>
      <c r="M88" s="379">
        <f t="shared" si="43"/>
        <v>301.31625755958737</v>
      </c>
      <c r="N88" s="172">
        <f t="shared" si="37"/>
        <v>350</v>
      </c>
      <c r="O88" s="188">
        <f t="shared" si="38"/>
        <v>1.1622198505869799</v>
      </c>
      <c r="P88" s="150">
        <f t="shared" si="39"/>
        <v>2.5827107790821771</v>
      </c>
      <c r="Q88" s="150">
        <f t="shared" si="40"/>
        <v>0.52529360376049727</v>
      </c>
      <c r="R88" s="150">
        <f t="shared" si="41"/>
        <v>2.2222222222222219</v>
      </c>
    </row>
    <row r="89" spans="3:18">
      <c r="C89" s="147">
        <v>83</v>
      </c>
      <c r="D89" s="5">
        <f t="shared" si="42"/>
        <v>51.33</v>
      </c>
      <c r="E89" s="379">
        <f t="shared" si="29"/>
        <v>5.4</v>
      </c>
      <c r="F89" s="188">
        <f t="shared" si="30"/>
        <v>9.5187731359069286E-2</v>
      </c>
      <c r="G89" s="149">
        <f t="shared" si="31"/>
        <v>12.214965626652566</v>
      </c>
      <c r="H89" s="188">
        <f t="shared" si="32"/>
        <v>2.442993125330513</v>
      </c>
      <c r="I89" s="379">
        <f t="shared" si="33"/>
        <v>56.73</v>
      </c>
      <c r="J89" s="149">
        <f t="shared" si="34"/>
        <v>1.35</v>
      </c>
      <c r="K89" s="149">
        <f t="shared" si="35"/>
        <v>0.31560490940970198</v>
      </c>
      <c r="L89" s="149">
        <f t="shared" si="36"/>
        <v>3</v>
      </c>
      <c r="M89" s="379">
        <f t="shared" si="43"/>
        <v>301.60408954697692</v>
      </c>
      <c r="N89" s="172">
        <f t="shared" si="37"/>
        <v>350</v>
      </c>
      <c r="O89" s="188">
        <f t="shared" si="38"/>
        <v>1.1633300596811964</v>
      </c>
      <c r="P89" s="150">
        <f t="shared" si="39"/>
        <v>2.5851779104026589</v>
      </c>
      <c r="Q89" s="150">
        <f t="shared" si="40"/>
        <v>0.52629765523916627</v>
      </c>
      <c r="R89" s="150">
        <f t="shared" si="41"/>
        <v>2.2222222222222219</v>
      </c>
    </row>
    <row r="90" spans="3:18">
      <c r="C90" s="147">
        <v>84</v>
      </c>
      <c r="D90" s="5">
        <f t="shared" si="42"/>
        <v>51.839999999999996</v>
      </c>
      <c r="E90" s="379">
        <f t="shared" si="29"/>
        <v>5.4</v>
      </c>
      <c r="F90" s="188">
        <f t="shared" si="30"/>
        <v>9.4339622641509455E-2</v>
      </c>
      <c r="G90" s="149">
        <f t="shared" si="31"/>
        <v>12.226415094339625</v>
      </c>
      <c r="H90" s="188">
        <f t="shared" si="32"/>
        <v>2.4452830188679249</v>
      </c>
      <c r="I90" s="379">
        <f t="shared" si="33"/>
        <v>57.239999999999995</v>
      </c>
      <c r="J90" s="149">
        <f t="shared" si="34"/>
        <v>1.35</v>
      </c>
      <c r="K90" s="149">
        <f t="shared" si="35"/>
        <v>0.3125</v>
      </c>
      <c r="L90" s="149">
        <f t="shared" si="36"/>
        <v>3</v>
      </c>
      <c r="M90" s="379">
        <f t="shared" si="43"/>
        <v>301.88679245283015</v>
      </c>
      <c r="N90" s="172">
        <f t="shared" si="37"/>
        <v>350</v>
      </c>
      <c r="O90" s="188">
        <f t="shared" si="38"/>
        <v>1.1644204851752022</v>
      </c>
      <c r="P90" s="150">
        <f t="shared" si="39"/>
        <v>2.5876010781671162</v>
      </c>
      <c r="Q90" s="150">
        <f t="shared" si="40"/>
        <v>0.52728474800386527</v>
      </c>
      <c r="R90" s="150">
        <f t="shared" si="41"/>
        <v>2.2222222222222219</v>
      </c>
    </row>
    <row r="91" spans="3:18">
      <c r="C91" s="147">
        <v>85</v>
      </c>
      <c r="D91" s="5">
        <f t="shared" si="42"/>
        <v>52.35</v>
      </c>
      <c r="E91" s="379">
        <f t="shared" si="29"/>
        <v>5.4</v>
      </c>
      <c r="F91" s="188">
        <f t="shared" si="30"/>
        <v>9.350649350649351E-2</v>
      </c>
      <c r="G91" s="149">
        <f t="shared" si="31"/>
        <v>12.237662337662339</v>
      </c>
      <c r="H91" s="188">
        <f t="shared" si="32"/>
        <v>2.4475324675324677</v>
      </c>
      <c r="I91" s="379">
        <f t="shared" si="33"/>
        <v>57.75</v>
      </c>
      <c r="J91" s="149">
        <f t="shared" si="34"/>
        <v>1.35</v>
      </c>
      <c r="K91" s="149">
        <f t="shared" si="35"/>
        <v>0.30945558739255019</v>
      </c>
      <c r="L91" s="149">
        <f t="shared" si="36"/>
        <v>3</v>
      </c>
      <c r="M91" s="379">
        <f t="shared" si="43"/>
        <v>302.16450216450215</v>
      </c>
      <c r="N91" s="172">
        <f t="shared" si="37"/>
        <v>350</v>
      </c>
      <c r="O91" s="188">
        <f t="shared" si="38"/>
        <v>1.1654916512059368</v>
      </c>
      <c r="P91" s="150">
        <f t="shared" si="39"/>
        <v>2.5899814471243041</v>
      </c>
      <c r="Q91" s="150">
        <f t="shared" si="40"/>
        <v>0.5282553068452881</v>
      </c>
      <c r="R91" s="150">
        <f t="shared" si="41"/>
        <v>2.2222222222222219</v>
      </c>
    </row>
    <row r="92" spans="3:18">
      <c r="C92" s="147">
        <v>86</v>
      </c>
      <c r="D92" s="5">
        <f t="shared" si="42"/>
        <v>52.86</v>
      </c>
      <c r="E92" s="379">
        <f t="shared" si="29"/>
        <v>5.4</v>
      </c>
      <c r="F92" s="188">
        <f t="shared" si="30"/>
        <v>9.2687950566426369E-2</v>
      </c>
      <c r="G92" s="149">
        <f t="shared" si="31"/>
        <v>12.248712667353246</v>
      </c>
      <c r="H92" s="188">
        <f t="shared" si="32"/>
        <v>2.4497425334706491</v>
      </c>
      <c r="I92" s="379">
        <f t="shared" si="33"/>
        <v>58.26</v>
      </c>
      <c r="J92" s="149">
        <f t="shared" si="34"/>
        <v>1.35</v>
      </c>
      <c r="K92" s="149">
        <f t="shared" si="35"/>
        <v>0.30646992054483541</v>
      </c>
      <c r="L92" s="149">
        <f t="shared" si="36"/>
        <v>3</v>
      </c>
      <c r="M92" s="379">
        <f t="shared" si="43"/>
        <v>302.43734981119121</v>
      </c>
      <c r="N92" s="172">
        <f t="shared" si="37"/>
        <v>350</v>
      </c>
      <c r="O92" s="188">
        <f t="shared" si="38"/>
        <v>1.1665440635574518</v>
      </c>
      <c r="P92" s="150">
        <f t="shared" si="39"/>
        <v>2.5923201412387815</v>
      </c>
      <c r="Q92" s="150">
        <f t="shared" si="40"/>
        <v>0.52920974253044017</v>
      </c>
      <c r="R92" s="150">
        <f t="shared" si="41"/>
        <v>2.2222222222222219</v>
      </c>
    </row>
    <row r="93" spans="3:18">
      <c r="C93" s="147">
        <v>87</v>
      </c>
      <c r="D93" s="5">
        <f t="shared" si="42"/>
        <v>53.37</v>
      </c>
      <c r="E93" s="379">
        <f t="shared" si="29"/>
        <v>5.4</v>
      </c>
      <c r="F93" s="188">
        <f t="shared" si="30"/>
        <v>9.1883614088820842E-2</v>
      </c>
      <c r="G93" s="149">
        <f t="shared" si="31"/>
        <v>12.259571209800921</v>
      </c>
      <c r="H93" s="188">
        <f t="shared" si="32"/>
        <v>2.4519142419601843</v>
      </c>
      <c r="I93" s="379">
        <f t="shared" si="33"/>
        <v>58.769999999999996</v>
      </c>
      <c r="J93" s="149">
        <f t="shared" si="34"/>
        <v>1.35</v>
      </c>
      <c r="K93" s="149">
        <f t="shared" si="35"/>
        <v>0.30354131534569984</v>
      </c>
      <c r="L93" s="149">
        <f t="shared" si="36"/>
        <v>3</v>
      </c>
      <c r="M93" s="379">
        <f t="shared" si="43"/>
        <v>302.70546197039306</v>
      </c>
      <c r="N93" s="172">
        <f t="shared" si="37"/>
        <v>350</v>
      </c>
      <c r="O93" s="188">
        <f t="shared" si="38"/>
        <v>1.1675782104572303</v>
      </c>
      <c r="P93" s="150">
        <f t="shared" si="39"/>
        <v>2.5946182454605116</v>
      </c>
      <c r="Q93" s="150">
        <f t="shared" si="40"/>
        <v>0.53014845237453101</v>
      </c>
      <c r="R93" s="150">
        <f t="shared" si="41"/>
        <v>2.2222222222222219</v>
      </c>
    </row>
    <row r="94" spans="3:18">
      <c r="C94" s="147">
        <v>88</v>
      </c>
      <c r="D94" s="5">
        <f t="shared" si="42"/>
        <v>53.88</v>
      </c>
      <c r="E94" s="379">
        <f t="shared" si="29"/>
        <v>5.4</v>
      </c>
      <c r="F94" s="188">
        <f t="shared" si="30"/>
        <v>9.1093117408906882E-2</v>
      </c>
      <c r="G94" s="149">
        <f t="shared" si="31"/>
        <v>12.270242914979757</v>
      </c>
      <c r="H94" s="188">
        <f t="shared" si="32"/>
        <v>2.4540485829959513</v>
      </c>
      <c r="I94" s="379">
        <f t="shared" si="33"/>
        <v>59.28</v>
      </c>
      <c r="J94" s="149">
        <f t="shared" si="34"/>
        <v>1.35</v>
      </c>
      <c r="K94" s="149">
        <f t="shared" si="35"/>
        <v>0.30066815144766151</v>
      </c>
      <c r="L94" s="149">
        <f t="shared" si="36"/>
        <v>3</v>
      </c>
      <c r="M94" s="379">
        <f t="shared" si="43"/>
        <v>302.96896086369776</v>
      </c>
      <c r="N94" s="172">
        <f t="shared" si="37"/>
        <v>350</v>
      </c>
      <c r="O94" s="188">
        <f t="shared" si="38"/>
        <v>1.1685945633314054</v>
      </c>
      <c r="P94" s="150">
        <f t="shared" si="39"/>
        <v>2.5968768074031234</v>
      </c>
      <c r="Q94" s="150">
        <f t="shared" si="40"/>
        <v>0.53107182078522375</v>
      </c>
      <c r="R94" s="150">
        <f t="shared" si="41"/>
        <v>2.2222222222222219</v>
      </c>
    </row>
    <row r="95" spans="3:18">
      <c r="C95" s="147">
        <v>89</v>
      </c>
      <c r="D95" s="5">
        <f t="shared" si="42"/>
        <v>54.39</v>
      </c>
      <c r="E95" s="379">
        <f t="shared" si="29"/>
        <v>5.4</v>
      </c>
      <c r="F95" s="188">
        <f t="shared" si="30"/>
        <v>9.031610637230307E-2</v>
      </c>
      <c r="G95" s="149">
        <f t="shared" si="31"/>
        <v>12.28073256397391</v>
      </c>
      <c r="H95" s="188">
        <f t="shared" si="32"/>
        <v>2.4561465127947821</v>
      </c>
      <c r="I95" s="379">
        <f t="shared" si="33"/>
        <v>59.79</v>
      </c>
      <c r="J95" s="149">
        <f t="shared" si="34"/>
        <v>1.35</v>
      </c>
      <c r="K95" s="149">
        <f t="shared" si="35"/>
        <v>0.29784886927744075</v>
      </c>
      <c r="L95" s="149">
        <f t="shared" si="36"/>
        <v>3</v>
      </c>
      <c r="M95" s="379">
        <f t="shared" si="43"/>
        <v>303.22796454256564</v>
      </c>
      <c r="N95" s="172">
        <f t="shared" si="37"/>
        <v>350</v>
      </c>
      <c r="O95" s="188">
        <f t="shared" si="38"/>
        <v>1.1695935775213246</v>
      </c>
      <c r="P95" s="150">
        <f t="shared" si="39"/>
        <v>2.5990968389362772</v>
      </c>
      <c r="Q95" s="150">
        <f t="shared" si="40"/>
        <v>0.53198021978077314</v>
      </c>
      <c r="R95" s="150">
        <f t="shared" si="41"/>
        <v>2.2222222222222219</v>
      </c>
    </row>
    <row r="96" spans="3:18">
      <c r="C96" s="147">
        <v>90</v>
      </c>
      <c r="D96" s="5">
        <f t="shared" si="42"/>
        <v>54.9</v>
      </c>
      <c r="E96" s="379">
        <f t="shared" si="29"/>
        <v>5.4</v>
      </c>
      <c r="F96" s="188">
        <f t="shared" si="30"/>
        <v>8.9552238805970158E-2</v>
      </c>
      <c r="G96" s="149">
        <f t="shared" si="31"/>
        <v>12.291044776119405</v>
      </c>
      <c r="H96" s="188">
        <f t="shared" si="32"/>
        <v>2.4582089552238808</v>
      </c>
      <c r="I96" s="379">
        <f t="shared" si="33"/>
        <v>60.3</v>
      </c>
      <c r="J96" s="149">
        <f t="shared" si="34"/>
        <v>1.35</v>
      </c>
      <c r="K96" s="149">
        <f t="shared" si="35"/>
        <v>0.29508196721311475</v>
      </c>
      <c r="L96" s="149">
        <f t="shared" si="36"/>
        <v>3</v>
      </c>
      <c r="M96" s="379">
        <f t="shared" si="43"/>
        <v>303.48258706467664</v>
      </c>
      <c r="N96" s="172">
        <f t="shared" si="37"/>
        <v>350</v>
      </c>
      <c r="O96" s="188">
        <f t="shared" si="38"/>
        <v>1.1705756929637527</v>
      </c>
      <c r="P96" s="150">
        <f t="shared" si="39"/>
        <v>2.6012793176972284</v>
      </c>
      <c r="Q96" s="150">
        <f t="shared" si="40"/>
        <v>0.53287400948349939</v>
      </c>
      <c r="R96" s="150">
        <f t="shared" si="41"/>
        <v>2.2222222222222219</v>
      </c>
    </row>
    <row r="97" spans="3:18">
      <c r="C97" s="147">
        <v>91</v>
      </c>
      <c r="D97" s="5">
        <f t="shared" si="42"/>
        <v>55.410000000000004</v>
      </c>
      <c r="E97" s="379">
        <f t="shared" si="29"/>
        <v>5.4</v>
      </c>
      <c r="F97" s="188">
        <f t="shared" si="30"/>
        <v>8.8801184015786877E-2</v>
      </c>
      <c r="G97" s="149">
        <f t="shared" si="31"/>
        <v>12.301184015786879</v>
      </c>
      <c r="H97" s="188">
        <f t="shared" si="32"/>
        <v>2.4602368031573758</v>
      </c>
      <c r="I97" s="379">
        <f t="shared" si="33"/>
        <v>60.81</v>
      </c>
      <c r="J97" s="149">
        <f t="shared" si="34"/>
        <v>1.35</v>
      </c>
      <c r="K97" s="149">
        <f t="shared" si="35"/>
        <v>0.29236599891716292</v>
      </c>
      <c r="L97" s="149">
        <f t="shared" si="36"/>
        <v>3</v>
      </c>
      <c r="M97" s="379">
        <f t="shared" si="43"/>
        <v>303.73293866140438</v>
      </c>
      <c r="N97" s="172">
        <f t="shared" si="37"/>
        <v>350</v>
      </c>
      <c r="O97" s="188">
        <f t="shared" si="38"/>
        <v>1.1715413348368455</v>
      </c>
      <c r="P97" s="150">
        <f t="shared" si="39"/>
        <v>2.6034251885263231</v>
      </c>
      <c r="Q97" s="150">
        <f t="shared" si="40"/>
        <v>0.53375353858994901</v>
      </c>
      <c r="R97" s="150">
        <f t="shared" si="41"/>
        <v>2.2222222222222219</v>
      </c>
    </row>
    <row r="98" spans="3:18">
      <c r="C98" s="147">
        <v>92</v>
      </c>
      <c r="D98" s="5">
        <f t="shared" si="42"/>
        <v>55.92</v>
      </c>
      <c r="E98" s="379">
        <f t="shared" si="29"/>
        <v>5.4</v>
      </c>
      <c r="F98" s="188">
        <f t="shared" si="30"/>
        <v>8.8062622309197661E-2</v>
      </c>
      <c r="G98" s="149">
        <f t="shared" si="31"/>
        <v>12.311154598825834</v>
      </c>
      <c r="H98" s="188">
        <f t="shared" si="32"/>
        <v>2.4622309197651666</v>
      </c>
      <c r="I98" s="379">
        <f t="shared" si="33"/>
        <v>61.32</v>
      </c>
      <c r="J98" s="149">
        <f t="shared" si="34"/>
        <v>1.35</v>
      </c>
      <c r="K98" s="149">
        <f t="shared" si="35"/>
        <v>0.28969957081545067</v>
      </c>
      <c r="L98" s="149">
        <f t="shared" si="36"/>
        <v>3</v>
      </c>
      <c r="M98" s="379">
        <f t="shared" si="43"/>
        <v>303.97912589693408</v>
      </c>
      <c r="N98" s="172">
        <f t="shared" si="37"/>
        <v>350</v>
      </c>
      <c r="O98" s="188">
        <f t="shared" si="38"/>
        <v>1.1724909141738888</v>
      </c>
      <c r="P98" s="150">
        <f t="shared" si="39"/>
        <v>2.6055353648308643</v>
      </c>
      <c r="Q98" s="150">
        <f t="shared" si="40"/>
        <v>0.53461914481901396</v>
      </c>
      <c r="R98" s="150">
        <f t="shared" si="41"/>
        <v>2.2222222222222219</v>
      </c>
    </row>
    <row r="99" spans="3:18">
      <c r="C99" s="147">
        <v>93</v>
      </c>
      <c r="D99" s="5">
        <f t="shared" si="42"/>
        <v>56.43</v>
      </c>
      <c r="E99" s="379">
        <f t="shared" si="29"/>
        <v>5.4</v>
      </c>
      <c r="F99" s="188">
        <f t="shared" si="30"/>
        <v>8.7336244541484725E-2</v>
      </c>
      <c r="G99" s="149">
        <f t="shared" si="31"/>
        <v>12.320960698689959</v>
      </c>
      <c r="H99" s="188">
        <f t="shared" si="32"/>
        <v>2.4641921397379916</v>
      </c>
      <c r="I99" s="379">
        <f t="shared" si="33"/>
        <v>61.83</v>
      </c>
      <c r="J99" s="149">
        <f t="shared" si="34"/>
        <v>1.35</v>
      </c>
      <c r="K99" s="149">
        <f t="shared" si="35"/>
        <v>0.28708133971291866</v>
      </c>
      <c r="L99" s="149">
        <f t="shared" si="36"/>
        <v>3</v>
      </c>
      <c r="M99" s="379">
        <f t="shared" si="43"/>
        <v>304.22125181950508</v>
      </c>
      <c r="N99" s="172">
        <f t="shared" si="37"/>
        <v>350</v>
      </c>
      <c r="O99" s="188">
        <f t="shared" si="38"/>
        <v>1.1734248284466624</v>
      </c>
      <c r="P99" s="150">
        <f t="shared" si="39"/>
        <v>2.6076107298814719</v>
      </c>
      <c r="Q99" s="150">
        <f t="shared" si="40"/>
        <v>0.53547115533919731</v>
      </c>
      <c r="R99" s="150">
        <f t="shared" si="41"/>
        <v>2.2222222222222219</v>
      </c>
    </row>
    <row r="100" spans="3:18">
      <c r="C100" s="147">
        <v>94</v>
      </c>
      <c r="D100" s="5">
        <f t="shared" si="42"/>
        <v>56.94</v>
      </c>
      <c r="E100" s="379">
        <f t="shared" si="29"/>
        <v>5.4</v>
      </c>
      <c r="F100" s="188">
        <f t="shared" si="30"/>
        <v>8.6621751684311854E-2</v>
      </c>
      <c r="G100" s="149">
        <f t="shared" si="31"/>
        <v>12.330606352261793</v>
      </c>
      <c r="H100" s="188">
        <f t="shared" si="32"/>
        <v>2.4661212704523585</v>
      </c>
      <c r="I100" s="379">
        <f t="shared" si="33"/>
        <v>62.339999999999996</v>
      </c>
      <c r="J100" s="149">
        <f t="shared" si="34"/>
        <v>1.35</v>
      </c>
      <c r="K100" s="149">
        <f t="shared" si="35"/>
        <v>0.28451001053740782</v>
      </c>
      <c r="L100" s="149">
        <f t="shared" si="36"/>
        <v>3</v>
      </c>
      <c r="M100" s="379">
        <f t="shared" si="43"/>
        <v>304.45941610522937</v>
      </c>
      <c r="N100" s="172">
        <f t="shared" si="37"/>
        <v>350</v>
      </c>
      <c r="O100" s="188">
        <f t="shared" si="38"/>
        <v>1.1743434621201705</v>
      </c>
      <c r="P100" s="150">
        <f t="shared" si="39"/>
        <v>2.6096521380448232</v>
      </c>
      <c r="Q100" s="150">
        <f t="shared" si="40"/>
        <v>0.53630988717615102</v>
      </c>
      <c r="R100" s="150">
        <f t="shared" si="41"/>
        <v>2.2222222222222219</v>
      </c>
    </row>
    <row r="101" spans="3:18">
      <c r="C101" s="147">
        <v>95</v>
      </c>
      <c r="D101" s="5">
        <f t="shared" si="42"/>
        <v>57.449999999999996</v>
      </c>
      <c r="E101" s="379">
        <f t="shared" si="29"/>
        <v>5.4</v>
      </c>
      <c r="F101" s="188">
        <f t="shared" si="30"/>
        <v>8.591885441527447E-2</v>
      </c>
      <c r="G101" s="149">
        <f t="shared" si="31"/>
        <v>12.340095465393794</v>
      </c>
      <c r="H101" s="188">
        <f t="shared" si="32"/>
        <v>2.4680190930787589</v>
      </c>
      <c r="I101" s="379">
        <f t="shared" si="33"/>
        <v>62.849999999999994</v>
      </c>
      <c r="J101" s="149">
        <f t="shared" si="34"/>
        <v>1.35</v>
      </c>
      <c r="K101" s="149">
        <f t="shared" si="35"/>
        <v>0.28198433420365537</v>
      </c>
      <c r="L101" s="149">
        <f t="shared" si="36"/>
        <v>3</v>
      </c>
      <c r="M101" s="379">
        <f t="shared" si="43"/>
        <v>304.69371519490852</v>
      </c>
      <c r="N101" s="172">
        <f t="shared" si="37"/>
        <v>350</v>
      </c>
      <c r="O101" s="188">
        <f t="shared" si="38"/>
        <v>1.1752471871803614</v>
      </c>
      <c r="P101" s="150">
        <f t="shared" si="39"/>
        <v>2.6116604159563583</v>
      </c>
      <c r="Q101" s="150">
        <f t="shared" si="40"/>
        <v>0.53713564760152555</v>
      </c>
      <c r="R101" s="150">
        <f t="shared" si="41"/>
        <v>2.2222222222222219</v>
      </c>
    </row>
    <row r="102" spans="3:18">
      <c r="C102" s="147">
        <v>96</v>
      </c>
      <c r="D102" s="5">
        <f t="shared" si="42"/>
        <v>57.96</v>
      </c>
      <c r="E102" s="379">
        <f t="shared" si="29"/>
        <v>5.4</v>
      </c>
      <c r="F102" s="188">
        <f t="shared" si="30"/>
        <v>8.5227272727272735E-2</v>
      </c>
      <c r="G102" s="149">
        <f>F102*D102*Isw_max*0.5*Efficiency</f>
        <v>12.34943181818182</v>
      </c>
      <c r="H102" s="188">
        <f>G102/Vout</f>
        <v>2.4698863636363639</v>
      </c>
      <c r="I102" s="379">
        <f t="shared" si="33"/>
        <v>63.36</v>
      </c>
      <c r="J102" s="149">
        <f t="shared" si="34"/>
        <v>1.35</v>
      </c>
      <c r="K102" s="149">
        <f>L*J102/D102*1000000</f>
        <v>0.27950310559006214</v>
      </c>
      <c r="L102" s="149">
        <f t="shared" si="36"/>
        <v>3</v>
      </c>
      <c r="M102" s="379">
        <f t="shared" si="43"/>
        <v>304.92424242424244</v>
      </c>
      <c r="N102" s="172">
        <f t="shared" si="37"/>
        <v>350</v>
      </c>
      <c r="O102" s="188">
        <f>1/((N102*1000*L)*(1/D102+1/E102))</f>
        <v>1.1761363636363635</v>
      </c>
      <c r="P102" s="150">
        <f>L*O102/E102*1000000</f>
        <v>2.6136363636363633</v>
      </c>
      <c r="Q102" s="150">
        <f>0.5*P102*O102*Nps*N102/1000</f>
        <v>0.53794873450413205</v>
      </c>
      <c r="R102" s="150">
        <f t="shared" si="41"/>
        <v>2.2222222222222219</v>
      </c>
    </row>
    <row r="103" spans="3:18">
      <c r="C103" s="147">
        <v>97</v>
      </c>
      <c r="D103" s="5">
        <f>C103/100*(VIN_max-VIN_min)+VIN_min</f>
        <v>58.47</v>
      </c>
      <c r="E103" s="379">
        <f t="shared" si="29"/>
        <v>5.4</v>
      </c>
      <c r="F103" s="188">
        <f t="shared" si="30"/>
        <v>8.4546735556599348E-2</v>
      </c>
      <c r="G103" s="149">
        <f>F103*D103*Isw_max*0.5*Efficiency</f>
        <v>12.35861906998591</v>
      </c>
      <c r="H103" s="188">
        <f>G103/Vout</f>
        <v>2.471723813997182</v>
      </c>
      <c r="I103" s="379">
        <f t="shared" si="33"/>
        <v>63.87</v>
      </c>
      <c r="J103" s="149">
        <f t="shared" si="34"/>
        <v>1.35</v>
      </c>
      <c r="K103" s="149">
        <f>L*J103/D103*1000000</f>
        <v>0.27706516162134431</v>
      </c>
      <c r="L103" s="149">
        <f t="shared" si="36"/>
        <v>3</v>
      </c>
      <c r="M103" s="379">
        <f t="shared" si="43"/>
        <v>305.15108814780024</v>
      </c>
      <c r="N103" s="172">
        <f t="shared" si="37"/>
        <v>350</v>
      </c>
      <c r="O103" s="188">
        <f>1/((N103*1000*L)*(1/D103+1/E103))</f>
        <v>1.1770113399986579</v>
      </c>
      <c r="P103" s="150">
        <f>L*O103/E103*1000000</f>
        <v>2.615580755552573</v>
      </c>
      <c r="Q103" s="150">
        <f>0.5*P103*O103*Nps*N103/1000</f>
        <v>0.53874943674433629</v>
      </c>
      <c r="R103" s="150">
        <f t="shared" si="41"/>
        <v>2.2222222222222219</v>
      </c>
    </row>
    <row r="104" spans="3:18">
      <c r="C104" s="147">
        <v>98</v>
      </c>
      <c r="D104" s="5">
        <f>C104/100*(VIN_max-VIN_min)+VIN_min</f>
        <v>58.98</v>
      </c>
      <c r="E104" s="379">
        <f t="shared" si="29"/>
        <v>5.4</v>
      </c>
      <c r="F104" s="188">
        <f t="shared" si="30"/>
        <v>8.3876980428704576E-2</v>
      </c>
      <c r="G104" s="149">
        <f>F104*D104*Isw_max*0.5*Efficiency</f>
        <v>12.36766076421249</v>
      </c>
      <c r="H104" s="188">
        <f>G104/Vout</f>
        <v>2.4735321528424978</v>
      </c>
      <c r="I104" s="379">
        <f t="shared" si="33"/>
        <v>64.38</v>
      </c>
      <c r="J104" s="149">
        <f t="shared" si="34"/>
        <v>1.35</v>
      </c>
      <c r="K104" s="149">
        <f>L*J104/D104*1000000</f>
        <v>0.27466937945066128</v>
      </c>
      <c r="L104" s="149">
        <f t="shared" si="36"/>
        <v>3</v>
      </c>
      <c r="M104" s="379">
        <f t="shared" si="43"/>
        <v>305.37433985709845</v>
      </c>
      <c r="N104" s="172">
        <f t="shared" si="37"/>
        <v>350</v>
      </c>
      <c r="O104" s="188">
        <f>1/((N104*1000*L)*(1/D104+1/E104))</f>
        <v>1.1778724537345227</v>
      </c>
      <c r="P104" s="150">
        <f>L*O104/E104*1000000</f>
        <v>2.6174943416322725</v>
      </c>
      <c r="Q104" s="150">
        <f>0.5*P104*O104*Nps*N104/1000</f>
        <v>0.53953803449256088</v>
      </c>
      <c r="R104" s="150">
        <f t="shared" si="41"/>
        <v>2.2222222222222219</v>
      </c>
    </row>
    <row r="105" spans="3:18">
      <c r="C105" s="147">
        <v>99</v>
      </c>
      <c r="D105" s="5">
        <f>C105/100*(VIN_max-VIN_min)+VIN_min</f>
        <v>59.49</v>
      </c>
      <c r="E105" s="379">
        <f t="shared" si="29"/>
        <v>5.4</v>
      </c>
      <c r="F105" s="188">
        <f t="shared" si="30"/>
        <v>8.3217753120665747E-2</v>
      </c>
      <c r="G105" s="149">
        <f>F105*D105*Isw_max*0.5*Efficiency</f>
        <v>12.376560332871014</v>
      </c>
      <c r="H105" s="188">
        <f>G105/Vout</f>
        <v>2.4753120665742028</v>
      </c>
      <c r="I105" s="379">
        <f t="shared" si="33"/>
        <v>64.89</v>
      </c>
      <c r="J105" s="149">
        <f t="shared" si="34"/>
        <v>1.35</v>
      </c>
      <c r="K105" s="149">
        <f>L*J105/D105*1000000</f>
        <v>0.27231467473524962</v>
      </c>
      <c r="L105" s="149">
        <f t="shared" si="36"/>
        <v>3</v>
      </c>
      <c r="M105" s="379">
        <f t="shared" si="43"/>
        <v>305.5940822931114</v>
      </c>
      <c r="N105" s="172">
        <f t="shared" si="37"/>
        <v>350</v>
      </c>
      <c r="O105" s="188">
        <f>1/((N105*1000*L)*(1/D105+1/E105))</f>
        <v>1.1787200317020012</v>
      </c>
      <c r="P105" s="150">
        <f>L*O105/E105*1000000</f>
        <v>2.6193778482266694</v>
      </c>
      <c r="Q105" s="150">
        <f>0.5*P105*O105*Nps*N105/1000</f>
        <v>0.54031479955272044</v>
      </c>
      <c r="R105" s="150">
        <f t="shared" si="41"/>
        <v>2.2222222222222219</v>
      </c>
    </row>
    <row r="106" spans="3:18">
      <c r="C106" s="147">
        <v>100</v>
      </c>
      <c r="D106" s="5">
        <f>C106/100*(VIN_max-VIN_min)+VIN_min</f>
        <v>60</v>
      </c>
      <c r="E106" s="379">
        <f t="shared" si="29"/>
        <v>5.4</v>
      </c>
      <c r="F106" s="188">
        <f t="shared" si="30"/>
        <v>8.2568807339449546E-2</v>
      </c>
      <c r="G106" s="149">
        <f>F106*D106*Isw_max*0.5*Efficiency</f>
        <v>12.385321100917432</v>
      </c>
      <c r="H106" s="188">
        <f>G106/Vout</f>
        <v>2.4770642201834865</v>
      </c>
      <c r="I106" s="379">
        <f t="shared" si="33"/>
        <v>65.400000000000006</v>
      </c>
      <c r="J106" s="149">
        <f t="shared" si="34"/>
        <v>1.35</v>
      </c>
      <c r="K106" s="149">
        <f>L*J106/D106*1000000</f>
        <v>0.27</v>
      </c>
      <c r="L106" s="149">
        <f t="shared" si="36"/>
        <v>3</v>
      </c>
      <c r="M106" s="379">
        <f t="shared" si="43"/>
        <v>305.81039755351679</v>
      </c>
      <c r="N106" s="172">
        <f t="shared" si="37"/>
        <v>350</v>
      </c>
      <c r="O106" s="188">
        <f>1/((N106*1000*L)*(1/D106+1/E106))</f>
        <v>1.179554390563565</v>
      </c>
      <c r="P106" s="150">
        <f>L*O106/E106*1000000</f>
        <v>2.6212319790301444</v>
      </c>
      <c r="Q106" s="150">
        <f>0.5*P106*O106*Nps*N106/1000</f>
        <v>0.54107999567136011</v>
      </c>
      <c r="R106" s="150">
        <f t="shared" si="41"/>
        <v>2.2222222222222219</v>
      </c>
    </row>
  </sheetData>
  <sheetProtection sheet="1" objects="1" scenarios="1"/>
  <mergeCells count="1">
    <mergeCell ref="F4:O4"/>
  </mergeCells>
  <phoneticPr fontId="8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Q64"/>
  <sheetViews>
    <sheetView zoomScale="70" zoomScaleNormal="70" workbookViewId="0">
      <selection activeCell="Q36" sqref="Q36"/>
    </sheetView>
  </sheetViews>
  <sheetFormatPr defaultRowHeight="12.75"/>
  <cols>
    <col min="1" max="1" width="9.5703125" style="92" customWidth="1"/>
    <col min="2" max="2" width="11.42578125" style="92" customWidth="1"/>
    <col min="3" max="3" width="13.42578125" style="92" customWidth="1"/>
    <col min="4" max="4" width="20.140625" style="92" customWidth="1"/>
    <col min="5" max="5" width="17.28515625" style="92" customWidth="1"/>
    <col min="6" max="6" width="13.5703125" style="92" customWidth="1"/>
    <col min="7" max="7" width="16.140625" style="92" customWidth="1"/>
    <col min="8" max="8" width="18.140625" style="92" customWidth="1"/>
    <col min="9" max="9" width="10.85546875" style="92" customWidth="1"/>
    <col min="10" max="10" width="15.85546875" style="92" customWidth="1"/>
    <col min="11" max="11" width="11.85546875" style="393" customWidth="1"/>
    <col min="12" max="12" width="7.85546875" style="392" customWidth="1"/>
    <col min="13" max="13" width="11.7109375" style="92" customWidth="1"/>
    <col min="14" max="254" width="9.140625" style="92"/>
    <col min="255" max="255" width="8.7109375" style="92" bestFit="1" customWidth="1"/>
    <col min="256" max="256" width="13.28515625" style="92" customWidth="1"/>
    <col min="257" max="257" width="16.140625" style="92" bestFit="1" customWidth="1"/>
    <col min="258" max="258" width="23.5703125" style="92" customWidth="1"/>
    <col min="259" max="259" width="17.28515625" style="92" customWidth="1"/>
    <col min="260" max="260" width="20.5703125" style="92" bestFit="1" customWidth="1"/>
    <col min="261" max="261" width="17.140625" style="92" customWidth="1"/>
    <col min="262" max="262" width="21.85546875" style="92" bestFit="1" customWidth="1"/>
    <col min="263" max="263" width="17.140625" style="92" bestFit="1" customWidth="1"/>
    <col min="264" max="264" width="18.140625" style="92" bestFit="1" customWidth="1"/>
    <col min="265" max="265" width="26.42578125" style="92" customWidth="1"/>
    <col min="266" max="510" width="9.140625" style="92"/>
    <col min="511" max="511" width="8.7109375" style="92" bestFit="1" customWidth="1"/>
    <col min="512" max="512" width="13.28515625" style="92" customWidth="1"/>
    <col min="513" max="513" width="16.140625" style="92" bestFit="1" customWidth="1"/>
    <col min="514" max="514" width="23.5703125" style="92" customWidth="1"/>
    <col min="515" max="515" width="17.28515625" style="92" customWidth="1"/>
    <col min="516" max="516" width="20.5703125" style="92" bestFit="1" customWidth="1"/>
    <col min="517" max="517" width="17.140625" style="92" customWidth="1"/>
    <col min="518" max="518" width="21.85546875" style="92" bestFit="1" customWidth="1"/>
    <col min="519" max="519" width="17.140625" style="92" bestFit="1" customWidth="1"/>
    <col min="520" max="520" width="18.140625" style="92" bestFit="1" customWidth="1"/>
    <col min="521" max="521" width="26.42578125" style="92" customWidth="1"/>
    <col min="522" max="766" width="9.140625" style="92"/>
    <col min="767" max="767" width="8.7109375" style="92" bestFit="1" customWidth="1"/>
    <col min="768" max="768" width="13.28515625" style="92" customWidth="1"/>
    <col min="769" max="769" width="16.140625" style="92" bestFit="1" customWidth="1"/>
    <col min="770" max="770" width="23.5703125" style="92" customWidth="1"/>
    <col min="771" max="771" width="17.28515625" style="92" customWidth="1"/>
    <col min="772" max="772" width="20.5703125" style="92" bestFit="1" customWidth="1"/>
    <col min="773" max="773" width="17.140625" style="92" customWidth="1"/>
    <col min="774" max="774" width="21.85546875" style="92" bestFit="1" customWidth="1"/>
    <col min="775" max="775" width="17.140625" style="92" bestFit="1" customWidth="1"/>
    <col min="776" max="776" width="18.140625" style="92" bestFit="1" customWidth="1"/>
    <col min="777" max="777" width="26.42578125" style="92" customWidth="1"/>
    <col min="778" max="1022" width="9.140625" style="92"/>
    <col min="1023" max="1023" width="8.7109375" style="92" bestFit="1" customWidth="1"/>
    <col min="1024" max="1024" width="13.28515625" style="92" customWidth="1"/>
    <col min="1025" max="1025" width="16.140625" style="92" bestFit="1" customWidth="1"/>
    <col min="1026" max="1026" width="23.5703125" style="92" customWidth="1"/>
    <col min="1027" max="1027" width="17.28515625" style="92" customWidth="1"/>
    <col min="1028" max="1028" width="20.5703125" style="92" bestFit="1" customWidth="1"/>
    <col min="1029" max="1029" width="17.140625" style="92" customWidth="1"/>
    <col min="1030" max="1030" width="21.85546875" style="92" bestFit="1" customWidth="1"/>
    <col min="1031" max="1031" width="17.140625" style="92" bestFit="1" customWidth="1"/>
    <col min="1032" max="1032" width="18.140625" style="92" bestFit="1" customWidth="1"/>
    <col min="1033" max="1033" width="26.42578125" style="92" customWidth="1"/>
    <col min="1034" max="1278" width="9.140625" style="92"/>
    <col min="1279" max="1279" width="8.7109375" style="92" bestFit="1" customWidth="1"/>
    <col min="1280" max="1280" width="13.28515625" style="92" customWidth="1"/>
    <col min="1281" max="1281" width="16.140625" style="92" bestFit="1" customWidth="1"/>
    <col min="1282" max="1282" width="23.5703125" style="92" customWidth="1"/>
    <col min="1283" max="1283" width="17.28515625" style="92" customWidth="1"/>
    <col min="1284" max="1284" width="20.5703125" style="92" bestFit="1" customWidth="1"/>
    <col min="1285" max="1285" width="17.140625" style="92" customWidth="1"/>
    <col min="1286" max="1286" width="21.85546875" style="92" bestFit="1" customWidth="1"/>
    <col min="1287" max="1287" width="17.140625" style="92" bestFit="1" customWidth="1"/>
    <col min="1288" max="1288" width="18.140625" style="92" bestFit="1" customWidth="1"/>
    <col min="1289" max="1289" width="26.42578125" style="92" customWidth="1"/>
    <col min="1290" max="1534" width="9.140625" style="92"/>
    <col min="1535" max="1535" width="8.7109375" style="92" bestFit="1" customWidth="1"/>
    <col min="1536" max="1536" width="13.28515625" style="92" customWidth="1"/>
    <col min="1537" max="1537" width="16.140625" style="92" bestFit="1" customWidth="1"/>
    <col min="1538" max="1538" width="23.5703125" style="92" customWidth="1"/>
    <col min="1539" max="1539" width="17.28515625" style="92" customWidth="1"/>
    <col min="1540" max="1540" width="20.5703125" style="92" bestFit="1" customWidth="1"/>
    <col min="1541" max="1541" width="17.140625" style="92" customWidth="1"/>
    <col min="1542" max="1542" width="21.85546875" style="92" bestFit="1" customWidth="1"/>
    <col min="1543" max="1543" width="17.140625" style="92" bestFit="1" customWidth="1"/>
    <col min="1544" max="1544" width="18.140625" style="92" bestFit="1" customWidth="1"/>
    <col min="1545" max="1545" width="26.42578125" style="92" customWidth="1"/>
    <col min="1546" max="1790" width="9.140625" style="92"/>
    <col min="1791" max="1791" width="8.7109375" style="92" bestFit="1" customWidth="1"/>
    <col min="1792" max="1792" width="13.28515625" style="92" customWidth="1"/>
    <col min="1793" max="1793" width="16.140625" style="92" bestFit="1" customWidth="1"/>
    <col min="1794" max="1794" width="23.5703125" style="92" customWidth="1"/>
    <col min="1795" max="1795" width="17.28515625" style="92" customWidth="1"/>
    <col min="1796" max="1796" width="20.5703125" style="92" bestFit="1" customWidth="1"/>
    <col min="1797" max="1797" width="17.140625" style="92" customWidth="1"/>
    <col min="1798" max="1798" width="21.85546875" style="92" bestFit="1" customWidth="1"/>
    <col min="1799" max="1799" width="17.140625" style="92" bestFit="1" customWidth="1"/>
    <col min="1800" max="1800" width="18.140625" style="92" bestFit="1" customWidth="1"/>
    <col min="1801" max="1801" width="26.42578125" style="92" customWidth="1"/>
    <col min="1802" max="2046" width="9.140625" style="92"/>
    <col min="2047" max="2047" width="8.7109375" style="92" bestFit="1" customWidth="1"/>
    <col min="2048" max="2048" width="13.28515625" style="92" customWidth="1"/>
    <col min="2049" max="2049" width="16.140625" style="92" bestFit="1" customWidth="1"/>
    <col min="2050" max="2050" width="23.5703125" style="92" customWidth="1"/>
    <col min="2051" max="2051" width="17.28515625" style="92" customWidth="1"/>
    <col min="2052" max="2052" width="20.5703125" style="92" bestFit="1" customWidth="1"/>
    <col min="2053" max="2053" width="17.140625" style="92" customWidth="1"/>
    <col min="2054" max="2054" width="21.85546875" style="92" bestFit="1" customWidth="1"/>
    <col min="2055" max="2055" width="17.140625" style="92" bestFit="1" customWidth="1"/>
    <col min="2056" max="2056" width="18.140625" style="92" bestFit="1" customWidth="1"/>
    <col min="2057" max="2057" width="26.42578125" style="92" customWidth="1"/>
    <col min="2058" max="2302" width="9.140625" style="92"/>
    <col min="2303" max="2303" width="8.7109375" style="92" bestFit="1" customWidth="1"/>
    <col min="2304" max="2304" width="13.28515625" style="92" customWidth="1"/>
    <col min="2305" max="2305" width="16.140625" style="92" bestFit="1" customWidth="1"/>
    <col min="2306" max="2306" width="23.5703125" style="92" customWidth="1"/>
    <col min="2307" max="2307" width="17.28515625" style="92" customWidth="1"/>
    <col min="2308" max="2308" width="20.5703125" style="92" bestFit="1" customWidth="1"/>
    <col min="2309" max="2309" width="17.140625" style="92" customWidth="1"/>
    <col min="2310" max="2310" width="21.85546875" style="92" bestFit="1" customWidth="1"/>
    <col min="2311" max="2311" width="17.140625" style="92" bestFit="1" customWidth="1"/>
    <col min="2312" max="2312" width="18.140625" style="92" bestFit="1" customWidth="1"/>
    <col min="2313" max="2313" width="26.42578125" style="92" customWidth="1"/>
    <col min="2314" max="2558" width="9.140625" style="92"/>
    <col min="2559" max="2559" width="8.7109375" style="92" bestFit="1" customWidth="1"/>
    <col min="2560" max="2560" width="13.28515625" style="92" customWidth="1"/>
    <col min="2561" max="2561" width="16.140625" style="92" bestFit="1" customWidth="1"/>
    <col min="2562" max="2562" width="23.5703125" style="92" customWidth="1"/>
    <col min="2563" max="2563" width="17.28515625" style="92" customWidth="1"/>
    <col min="2564" max="2564" width="20.5703125" style="92" bestFit="1" customWidth="1"/>
    <col min="2565" max="2565" width="17.140625" style="92" customWidth="1"/>
    <col min="2566" max="2566" width="21.85546875" style="92" bestFit="1" customWidth="1"/>
    <col min="2567" max="2567" width="17.140625" style="92" bestFit="1" customWidth="1"/>
    <col min="2568" max="2568" width="18.140625" style="92" bestFit="1" customWidth="1"/>
    <col min="2569" max="2569" width="26.42578125" style="92" customWidth="1"/>
    <col min="2570" max="2814" width="9.140625" style="92"/>
    <col min="2815" max="2815" width="8.7109375" style="92" bestFit="1" customWidth="1"/>
    <col min="2816" max="2816" width="13.28515625" style="92" customWidth="1"/>
    <col min="2817" max="2817" width="16.140625" style="92" bestFit="1" customWidth="1"/>
    <col min="2818" max="2818" width="23.5703125" style="92" customWidth="1"/>
    <col min="2819" max="2819" width="17.28515625" style="92" customWidth="1"/>
    <col min="2820" max="2820" width="20.5703125" style="92" bestFit="1" customWidth="1"/>
    <col min="2821" max="2821" width="17.140625" style="92" customWidth="1"/>
    <col min="2822" max="2822" width="21.85546875" style="92" bestFit="1" customWidth="1"/>
    <col min="2823" max="2823" width="17.140625" style="92" bestFit="1" customWidth="1"/>
    <col min="2824" max="2824" width="18.140625" style="92" bestFit="1" customWidth="1"/>
    <col min="2825" max="2825" width="26.42578125" style="92" customWidth="1"/>
    <col min="2826" max="3070" width="9.140625" style="92"/>
    <col min="3071" max="3071" width="8.7109375" style="92" bestFit="1" customWidth="1"/>
    <col min="3072" max="3072" width="13.28515625" style="92" customWidth="1"/>
    <col min="3073" max="3073" width="16.140625" style="92" bestFit="1" customWidth="1"/>
    <col min="3074" max="3074" width="23.5703125" style="92" customWidth="1"/>
    <col min="3075" max="3075" width="17.28515625" style="92" customWidth="1"/>
    <col min="3076" max="3076" width="20.5703125" style="92" bestFit="1" customWidth="1"/>
    <col min="3077" max="3077" width="17.140625" style="92" customWidth="1"/>
    <col min="3078" max="3078" width="21.85546875" style="92" bestFit="1" customWidth="1"/>
    <col min="3079" max="3079" width="17.140625" style="92" bestFit="1" customWidth="1"/>
    <col min="3080" max="3080" width="18.140625" style="92" bestFit="1" customWidth="1"/>
    <col min="3081" max="3081" width="26.42578125" style="92" customWidth="1"/>
    <col min="3082" max="3326" width="9.140625" style="92"/>
    <col min="3327" max="3327" width="8.7109375" style="92" bestFit="1" customWidth="1"/>
    <col min="3328" max="3328" width="13.28515625" style="92" customWidth="1"/>
    <col min="3329" max="3329" width="16.140625" style="92" bestFit="1" customWidth="1"/>
    <col min="3330" max="3330" width="23.5703125" style="92" customWidth="1"/>
    <col min="3331" max="3331" width="17.28515625" style="92" customWidth="1"/>
    <col min="3332" max="3332" width="20.5703125" style="92" bestFit="1" customWidth="1"/>
    <col min="3333" max="3333" width="17.140625" style="92" customWidth="1"/>
    <col min="3334" max="3334" width="21.85546875" style="92" bestFit="1" customWidth="1"/>
    <col min="3335" max="3335" width="17.140625" style="92" bestFit="1" customWidth="1"/>
    <col min="3336" max="3336" width="18.140625" style="92" bestFit="1" customWidth="1"/>
    <col min="3337" max="3337" width="26.42578125" style="92" customWidth="1"/>
    <col min="3338" max="3582" width="9.140625" style="92"/>
    <col min="3583" max="3583" width="8.7109375" style="92" bestFit="1" customWidth="1"/>
    <col min="3584" max="3584" width="13.28515625" style="92" customWidth="1"/>
    <col min="3585" max="3585" width="16.140625" style="92" bestFit="1" customWidth="1"/>
    <col min="3586" max="3586" width="23.5703125" style="92" customWidth="1"/>
    <col min="3587" max="3587" width="17.28515625" style="92" customWidth="1"/>
    <col min="3588" max="3588" width="20.5703125" style="92" bestFit="1" customWidth="1"/>
    <col min="3589" max="3589" width="17.140625" style="92" customWidth="1"/>
    <col min="3590" max="3590" width="21.85546875" style="92" bestFit="1" customWidth="1"/>
    <col min="3591" max="3591" width="17.140625" style="92" bestFit="1" customWidth="1"/>
    <col min="3592" max="3592" width="18.140625" style="92" bestFit="1" customWidth="1"/>
    <col min="3593" max="3593" width="26.42578125" style="92" customWidth="1"/>
    <col min="3594" max="3838" width="9.140625" style="92"/>
    <col min="3839" max="3839" width="8.7109375" style="92" bestFit="1" customWidth="1"/>
    <col min="3840" max="3840" width="13.28515625" style="92" customWidth="1"/>
    <col min="3841" max="3841" width="16.140625" style="92" bestFit="1" customWidth="1"/>
    <col min="3842" max="3842" width="23.5703125" style="92" customWidth="1"/>
    <col min="3843" max="3843" width="17.28515625" style="92" customWidth="1"/>
    <col min="3844" max="3844" width="20.5703125" style="92" bestFit="1" customWidth="1"/>
    <col min="3845" max="3845" width="17.140625" style="92" customWidth="1"/>
    <col min="3846" max="3846" width="21.85546875" style="92" bestFit="1" customWidth="1"/>
    <col min="3847" max="3847" width="17.140625" style="92" bestFit="1" customWidth="1"/>
    <col min="3848" max="3848" width="18.140625" style="92" bestFit="1" customWidth="1"/>
    <col min="3849" max="3849" width="26.42578125" style="92" customWidth="1"/>
    <col min="3850" max="4094" width="9.140625" style="92"/>
    <col min="4095" max="4095" width="8.7109375" style="92" bestFit="1" customWidth="1"/>
    <col min="4096" max="4096" width="13.28515625" style="92" customWidth="1"/>
    <col min="4097" max="4097" width="16.140625" style="92" bestFit="1" customWidth="1"/>
    <col min="4098" max="4098" width="23.5703125" style="92" customWidth="1"/>
    <col min="4099" max="4099" width="17.28515625" style="92" customWidth="1"/>
    <col min="4100" max="4100" width="20.5703125" style="92" bestFit="1" customWidth="1"/>
    <col min="4101" max="4101" width="17.140625" style="92" customWidth="1"/>
    <col min="4102" max="4102" width="21.85546875" style="92" bestFit="1" customWidth="1"/>
    <col min="4103" max="4103" width="17.140625" style="92" bestFit="1" customWidth="1"/>
    <col min="4104" max="4104" width="18.140625" style="92" bestFit="1" customWidth="1"/>
    <col min="4105" max="4105" width="26.42578125" style="92" customWidth="1"/>
    <col min="4106" max="4350" width="9.140625" style="92"/>
    <col min="4351" max="4351" width="8.7109375" style="92" bestFit="1" customWidth="1"/>
    <col min="4352" max="4352" width="13.28515625" style="92" customWidth="1"/>
    <col min="4353" max="4353" width="16.140625" style="92" bestFit="1" customWidth="1"/>
    <col min="4354" max="4354" width="23.5703125" style="92" customWidth="1"/>
    <col min="4355" max="4355" width="17.28515625" style="92" customWidth="1"/>
    <col min="4356" max="4356" width="20.5703125" style="92" bestFit="1" customWidth="1"/>
    <col min="4357" max="4357" width="17.140625" style="92" customWidth="1"/>
    <col min="4358" max="4358" width="21.85546875" style="92" bestFit="1" customWidth="1"/>
    <col min="4359" max="4359" width="17.140625" style="92" bestFit="1" customWidth="1"/>
    <col min="4360" max="4360" width="18.140625" style="92" bestFit="1" customWidth="1"/>
    <col min="4361" max="4361" width="26.42578125" style="92" customWidth="1"/>
    <col min="4362" max="4606" width="9.140625" style="92"/>
    <col min="4607" max="4607" width="8.7109375" style="92" bestFit="1" customWidth="1"/>
    <col min="4608" max="4608" width="13.28515625" style="92" customWidth="1"/>
    <col min="4609" max="4609" width="16.140625" style="92" bestFit="1" customWidth="1"/>
    <col min="4610" max="4610" width="23.5703125" style="92" customWidth="1"/>
    <col min="4611" max="4611" width="17.28515625" style="92" customWidth="1"/>
    <col min="4612" max="4612" width="20.5703125" style="92" bestFit="1" customWidth="1"/>
    <col min="4613" max="4613" width="17.140625" style="92" customWidth="1"/>
    <col min="4614" max="4614" width="21.85546875" style="92" bestFit="1" customWidth="1"/>
    <col min="4615" max="4615" width="17.140625" style="92" bestFit="1" customWidth="1"/>
    <col min="4616" max="4616" width="18.140625" style="92" bestFit="1" customWidth="1"/>
    <col min="4617" max="4617" width="26.42578125" style="92" customWidth="1"/>
    <col min="4618" max="4862" width="9.140625" style="92"/>
    <col min="4863" max="4863" width="8.7109375" style="92" bestFit="1" customWidth="1"/>
    <col min="4864" max="4864" width="13.28515625" style="92" customWidth="1"/>
    <col min="4865" max="4865" width="16.140625" style="92" bestFit="1" customWidth="1"/>
    <col min="4866" max="4866" width="23.5703125" style="92" customWidth="1"/>
    <col min="4867" max="4867" width="17.28515625" style="92" customWidth="1"/>
    <col min="4868" max="4868" width="20.5703125" style="92" bestFit="1" customWidth="1"/>
    <col min="4869" max="4869" width="17.140625" style="92" customWidth="1"/>
    <col min="4870" max="4870" width="21.85546875" style="92" bestFit="1" customWidth="1"/>
    <col min="4871" max="4871" width="17.140625" style="92" bestFit="1" customWidth="1"/>
    <col min="4872" max="4872" width="18.140625" style="92" bestFit="1" customWidth="1"/>
    <col min="4873" max="4873" width="26.42578125" style="92" customWidth="1"/>
    <col min="4874" max="5118" width="9.140625" style="92"/>
    <col min="5119" max="5119" width="8.7109375" style="92" bestFit="1" customWidth="1"/>
    <col min="5120" max="5120" width="13.28515625" style="92" customWidth="1"/>
    <col min="5121" max="5121" width="16.140625" style="92" bestFit="1" customWidth="1"/>
    <col min="5122" max="5122" width="23.5703125" style="92" customWidth="1"/>
    <col min="5123" max="5123" width="17.28515625" style="92" customWidth="1"/>
    <col min="5124" max="5124" width="20.5703125" style="92" bestFit="1" customWidth="1"/>
    <col min="5125" max="5125" width="17.140625" style="92" customWidth="1"/>
    <col min="5126" max="5126" width="21.85546875" style="92" bestFit="1" customWidth="1"/>
    <col min="5127" max="5127" width="17.140625" style="92" bestFit="1" customWidth="1"/>
    <col min="5128" max="5128" width="18.140625" style="92" bestFit="1" customWidth="1"/>
    <col min="5129" max="5129" width="26.42578125" style="92" customWidth="1"/>
    <col min="5130" max="5374" width="9.140625" style="92"/>
    <col min="5375" max="5375" width="8.7109375" style="92" bestFit="1" customWidth="1"/>
    <col min="5376" max="5376" width="13.28515625" style="92" customWidth="1"/>
    <col min="5377" max="5377" width="16.140625" style="92" bestFit="1" customWidth="1"/>
    <col min="5378" max="5378" width="23.5703125" style="92" customWidth="1"/>
    <col min="5379" max="5379" width="17.28515625" style="92" customWidth="1"/>
    <col min="5380" max="5380" width="20.5703125" style="92" bestFit="1" customWidth="1"/>
    <col min="5381" max="5381" width="17.140625" style="92" customWidth="1"/>
    <col min="5382" max="5382" width="21.85546875" style="92" bestFit="1" customWidth="1"/>
    <col min="5383" max="5383" width="17.140625" style="92" bestFit="1" customWidth="1"/>
    <col min="5384" max="5384" width="18.140625" style="92" bestFit="1" customWidth="1"/>
    <col min="5385" max="5385" width="26.42578125" style="92" customWidth="1"/>
    <col min="5386" max="5630" width="9.140625" style="92"/>
    <col min="5631" max="5631" width="8.7109375" style="92" bestFit="1" customWidth="1"/>
    <col min="5632" max="5632" width="13.28515625" style="92" customWidth="1"/>
    <col min="5633" max="5633" width="16.140625" style="92" bestFit="1" customWidth="1"/>
    <col min="5634" max="5634" width="23.5703125" style="92" customWidth="1"/>
    <col min="5635" max="5635" width="17.28515625" style="92" customWidth="1"/>
    <col min="5636" max="5636" width="20.5703125" style="92" bestFit="1" customWidth="1"/>
    <col min="5637" max="5637" width="17.140625" style="92" customWidth="1"/>
    <col min="5638" max="5638" width="21.85546875" style="92" bestFit="1" customWidth="1"/>
    <col min="5639" max="5639" width="17.140625" style="92" bestFit="1" customWidth="1"/>
    <col min="5640" max="5640" width="18.140625" style="92" bestFit="1" customWidth="1"/>
    <col min="5641" max="5641" width="26.42578125" style="92" customWidth="1"/>
    <col min="5642" max="5886" width="9.140625" style="92"/>
    <col min="5887" max="5887" width="8.7109375" style="92" bestFit="1" customWidth="1"/>
    <col min="5888" max="5888" width="13.28515625" style="92" customWidth="1"/>
    <col min="5889" max="5889" width="16.140625" style="92" bestFit="1" customWidth="1"/>
    <col min="5890" max="5890" width="23.5703125" style="92" customWidth="1"/>
    <col min="5891" max="5891" width="17.28515625" style="92" customWidth="1"/>
    <col min="5892" max="5892" width="20.5703125" style="92" bestFit="1" customWidth="1"/>
    <col min="5893" max="5893" width="17.140625" style="92" customWidth="1"/>
    <col min="5894" max="5894" width="21.85546875" style="92" bestFit="1" customWidth="1"/>
    <col min="5895" max="5895" width="17.140625" style="92" bestFit="1" customWidth="1"/>
    <col min="5896" max="5896" width="18.140625" style="92" bestFit="1" customWidth="1"/>
    <col min="5897" max="5897" width="26.42578125" style="92" customWidth="1"/>
    <col min="5898" max="6142" width="9.140625" style="92"/>
    <col min="6143" max="6143" width="8.7109375" style="92" bestFit="1" customWidth="1"/>
    <col min="6144" max="6144" width="13.28515625" style="92" customWidth="1"/>
    <col min="6145" max="6145" width="16.140625" style="92" bestFit="1" customWidth="1"/>
    <col min="6146" max="6146" width="23.5703125" style="92" customWidth="1"/>
    <col min="6147" max="6147" width="17.28515625" style="92" customWidth="1"/>
    <col min="6148" max="6148" width="20.5703125" style="92" bestFit="1" customWidth="1"/>
    <col min="6149" max="6149" width="17.140625" style="92" customWidth="1"/>
    <col min="6150" max="6150" width="21.85546875" style="92" bestFit="1" customWidth="1"/>
    <col min="6151" max="6151" width="17.140625" style="92" bestFit="1" customWidth="1"/>
    <col min="6152" max="6152" width="18.140625" style="92" bestFit="1" customWidth="1"/>
    <col min="6153" max="6153" width="26.42578125" style="92" customWidth="1"/>
    <col min="6154" max="6398" width="9.140625" style="92"/>
    <col min="6399" max="6399" width="8.7109375" style="92" bestFit="1" customWidth="1"/>
    <col min="6400" max="6400" width="13.28515625" style="92" customWidth="1"/>
    <col min="6401" max="6401" width="16.140625" style="92" bestFit="1" customWidth="1"/>
    <col min="6402" max="6402" width="23.5703125" style="92" customWidth="1"/>
    <col min="6403" max="6403" width="17.28515625" style="92" customWidth="1"/>
    <col min="6404" max="6404" width="20.5703125" style="92" bestFit="1" customWidth="1"/>
    <col min="6405" max="6405" width="17.140625" style="92" customWidth="1"/>
    <col min="6406" max="6406" width="21.85546875" style="92" bestFit="1" customWidth="1"/>
    <col min="6407" max="6407" width="17.140625" style="92" bestFit="1" customWidth="1"/>
    <col min="6408" max="6408" width="18.140625" style="92" bestFit="1" customWidth="1"/>
    <col min="6409" max="6409" width="26.42578125" style="92" customWidth="1"/>
    <col min="6410" max="6654" width="9.140625" style="92"/>
    <col min="6655" max="6655" width="8.7109375" style="92" bestFit="1" customWidth="1"/>
    <col min="6656" max="6656" width="13.28515625" style="92" customWidth="1"/>
    <col min="6657" max="6657" width="16.140625" style="92" bestFit="1" customWidth="1"/>
    <col min="6658" max="6658" width="23.5703125" style="92" customWidth="1"/>
    <col min="6659" max="6659" width="17.28515625" style="92" customWidth="1"/>
    <col min="6660" max="6660" width="20.5703125" style="92" bestFit="1" customWidth="1"/>
    <col min="6661" max="6661" width="17.140625" style="92" customWidth="1"/>
    <col min="6662" max="6662" width="21.85546875" style="92" bestFit="1" customWidth="1"/>
    <col min="6663" max="6663" width="17.140625" style="92" bestFit="1" customWidth="1"/>
    <col min="6664" max="6664" width="18.140625" style="92" bestFit="1" customWidth="1"/>
    <col min="6665" max="6665" width="26.42578125" style="92" customWidth="1"/>
    <col min="6666" max="6910" width="9.140625" style="92"/>
    <col min="6911" max="6911" width="8.7109375" style="92" bestFit="1" customWidth="1"/>
    <col min="6912" max="6912" width="13.28515625" style="92" customWidth="1"/>
    <col min="6913" max="6913" width="16.140625" style="92" bestFit="1" customWidth="1"/>
    <col min="6914" max="6914" width="23.5703125" style="92" customWidth="1"/>
    <col min="6915" max="6915" width="17.28515625" style="92" customWidth="1"/>
    <col min="6916" max="6916" width="20.5703125" style="92" bestFit="1" customWidth="1"/>
    <col min="6917" max="6917" width="17.140625" style="92" customWidth="1"/>
    <col min="6918" max="6918" width="21.85546875" style="92" bestFit="1" customWidth="1"/>
    <col min="6919" max="6919" width="17.140625" style="92" bestFit="1" customWidth="1"/>
    <col min="6920" max="6920" width="18.140625" style="92" bestFit="1" customWidth="1"/>
    <col min="6921" max="6921" width="26.42578125" style="92" customWidth="1"/>
    <col min="6922" max="7166" width="9.140625" style="92"/>
    <col min="7167" max="7167" width="8.7109375" style="92" bestFit="1" customWidth="1"/>
    <col min="7168" max="7168" width="13.28515625" style="92" customWidth="1"/>
    <col min="7169" max="7169" width="16.140625" style="92" bestFit="1" customWidth="1"/>
    <col min="7170" max="7170" width="23.5703125" style="92" customWidth="1"/>
    <col min="7171" max="7171" width="17.28515625" style="92" customWidth="1"/>
    <col min="7172" max="7172" width="20.5703125" style="92" bestFit="1" customWidth="1"/>
    <col min="7173" max="7173" width="17.140625" style="92" customWidth="1"/>
    <col min="7174" max="7174" width="21.85546875" style="92" bestFit="1" customWidth="1"/>
    <col min="7175" max="7175" width="17.140625" style="92" bestFit="1" customWidth="1"/>
    <col min="7176" max="7176" width="18.140625" style="92" bestFit="1" customWidth="1"/>
    <col min="7177" max="7177" width="26.42578125" style="92" customWidth="1"/>
    <col min="7178" max="7422" width="9.140625" style="92"/>
    <col min="7423" max="7423" width="8.7109375" style="92" bestFit="1" customWidth="1"/>
    <col min="7424" max="7424" width="13.28515625" style="92" customWidth="1"/>
    <col min="7425" max="7425" width="16.140625" style="92" bestFit="1" customWidth="1"/>
    <col min="7426" max="7426" width="23.5703125" style="92" customWidth="1"/>
    <col min="7427" max="7427" width="17.28515625" style="92" customWidth="1"/>
    <col min="7428" max="7428" width="20.5703125" style="92" bestFit="1" customWidth="1"/>
    <col min="7429" max="7429" width="17.140625" style="92" customWidth="1"/>
    <col min="7430" max="7430" width="21.85546875" style="92" bestFit="1" customWidth="1"/>
    <col min="7431" max="7431" width="17.140625" style="92" bestFit="1" customWidth="1"/>
    <col min="7432" max="7432" width="18.140625" style="92" bestFit="1" customWidth="1"/>
    <col min="7433" max="7433" width="26.42578125" style="92" customWidth="1"/>
    <col min="7434" max="7678" width="9.140625" style="92"/>
    <col min="7679" max="7679" width="8.7109375" style="92" bestFit="1" customWidth="1"/>
    <col min="7680" max="7680" width="13.28515625" style="92" customWidth="1"/>
    <col min="7681" max="7681" width="16.140625" style="92" bestFit="1" customWidth="1"/>
    <col min="7682" max="7682" width="23.5703125" style="92" customWidth="1"/>
    <col min="7683" max="7683" width="17.28515625" style="92" customWidth="1"/>
    <col min="7684" max="7684" width="20.5703125" style="92" bestFit="1" customWidth="1"/>
    <col min="7685" max="7685" width="17.140625" style="92" customWidth="1"/>
    <col min="7686" max="7686" width="21.85546875" style="92" bestFit="1" customWidth="1"/>
    <col min="7687" max="7687" width="17.140625" style="92" bestFit="1" customWidth="1"/>
    <col min="7688" max="7688" width="18.140625" style="92" bestFit="1" customWidth="1"/>
    <col min="7689" max="7689" width="26.42578125" style="92" customWidth="1"/>
    <col min="7690" max="7934" width="9.140625" style="92"/>
    <col min="7935" max="7935" width="8.7109375" style="92" bestFit="1" customWidth="1"/>
    <col min="7936" max="7936" width="13.28515625" style="92" customWidth="1"/>
    <col min="7937" max="7937" width="16.140625" style="92" bestFit="1" customWidth="1"/>
    <col min="7938" max="7938" width="23.5703125" style="92" customWidth="1"/>
    <col min="7939" max="7939" width="17.28515625" style="92" customWidth="1"/>
    <col min="7940" max="7940" width="20.5703125" style="92" bestFit="1" customWidth="1"/>
    <col min="7941" max="7941" width="17.140625" style="92" customWidth="1"/>
    <col min="7942" max="7942" width="21.85546875" style="92" bestFit="1" customWidth="1"/>
    <col min="7943" max="7943" width="17.140625" style="92" bestFit="1" customWidth="1"/>
    <col min="7944" max="7944" width="18.140625" style="92" bestFit="1" customWidth="1"/>
    <col min="7945" max="7945" width="26.42578125" style="92" customWidth="1"/>
    <col min="7946" max="8190" width="9.140625" style="92"/>
    <col min="8191" max="8191" width="8.7109375" style="92" bestFit="1" customWidth="1"/>
    <col min="8192" max="8192" width="13.28515625" style="92" customWidth="1"/>
    <col min="8193" max="8193" width="16.140625" style="92" bestFit="1" customWidth="1"/>
    <col min="8194" max="8194" width="23.5703125" style="92" customWidth="1"/>
    <col min="8195" max="8195" width="17.28515625" style="92" customWidth="1"/>
    <col min="8196" max="8196" width="20.5703125" style="92" bestFit="1" customWidth="1"/>
    <col min="8197" max="8197" width="17.140625" style="92" customWidth="1"/>
    <col min="8198" max="8198" width="21.85546875" style="92" bestFit="1" customWidth="1"/>
    <col min="8199" max="8199" width="17.140625" style="92" bestFit="1" customWidth="1"/>
    <col min="8200" max="8200" width="18.140625" style="92" bestFit="1" customWidth="1"/>
    <col min="8201" max="8201" width="26.42578125" style="92" customWidth="1"/>
    <col min="8202" max="8446" width="9.140625" style="92"/>
    <col min="8447" max="8447" width="8.7109375" style="92" bestFit="1" customWidth="1"/>
    <col min="8448" max="8448" width="13.28515625" style="92" customWidth="1"/>
    <col min="8449" max="8449" width="16.140625" style="92" bestFit="1" customWidth="1"/>
    <col min="8450" max="8450" width="23.5703125" style="92" customWidth="1"/>
    <col min="8451" max="8451" width="17.28515625" style="92" customWidth="1"/>
    <col min="8452" max="8452" width="20.5703125" style="92" bestFit="1" customWidth="1"/>
    <col min="8453" max="8453" width="17.140625" style="92" customWidth="1"/>
    <col min="8454" max="8454" width="21.85546875" style="92" bestFit="1" customWidth="1"/>
    <col min="8455" max="8455" width="17.140625" style="92" bestFit="1" customWidth="1"/>
    <col min="8456" max="8456" width="18.140625" style="92" bestFit="1" customWidth="1"/>
    <col min="8457" max="8457" width="26.42578125" style="92" customWidth="1"/>
    <col min="8458" max="8702" width="9.140625" style="92"/>
    <col min="8703" max="8703" width="8.7109375" style="92" bestFit="1" customWidth="1"/>
    <col min="8704" max="8704" width="13.28515625" style="92" customWidth="1"/>
    <col min="8705" max="8705" width="16.140625" style="92" bestFit="1" customWidth="1"/>
    <col min="8706" max="8706" width="23.5703125" style="92" customWidth="1"/>
    <col min="8707" max="8707" width="17.28515625" style="92" customWidth="1"/>
    <col min="8708" max="8708" width="20.5703125" style="92" bestFit="1" customWidth="1"/>
    <col min="8709" max="8709" width="17.140625" style="92" customWidth="1"/>
    <col min="8710" max="8710" width="21.85546875" style="92" bestFit="1" customWidth="1"/>
    <col min="8711" max="8711" width="17.140625" style="92" bestFit="1" customWidth="1"/>
    <col min="8712" max="8712" width="18.140625" style="92" bestFit="1" customWidth="1"/>
    <col min="8713" max="8713" width="26.42578125" style="92" customWidth="1"/>
    <col min="8714" max="8958" width="9.140625" style="92"/>
    <col min="8959" max="8959" width="8.7109375" style="92" bestFit="1" customWidth="1"/>
    <col min="8960" max="8960" width="13.28515625" style="92" customWidth="1"/>
    <col min="8961" max="8961" width="16.140625" style="92" bestFit="1" customWidth="1"/>
    <col min="8962" max="8962" width="23.5703125" style="92" customWidth="1"/>
    <col min="8963" max="8963" width="17.28515625" style="92" customWidth="1"/>
    <col min="8964" max="8964" width="20.5703125" style="92" bestFit="1" customWidth="1"/>
    <col min="8965" max="8965" width="17.140625" style="92" customWidth="1"/>
    <col min="8966" max="8966" width="21.85546875" style="92" bestFit="1" customWidth="1"/>
    <col min="8967" max="8967" width="17.140625" style="92" bestFit="1" customWidth="1"/>
    <col min="8968" max="8968" width="18.140625" style="92" bestFit="1" customWidth="1"/>
    <col min="8969" max="8969" width="26.42578125" style="92" customWidth="1"/>
    <col min="8970" max="9214" width="9.140625" style="92"/>
    <col min="9215" max="9215" width="8.7109375" style="92" bestFit="1" customWidth="1"/>
    <col min="9216" max="9216" width="13.28515625" style="92" customWidth="1"/>
    <col min="9217" max="9217" width="16.140625" style="92" bestFit="1" customWidth="1"/>
    <col min="9218" max="9218" width="23.5703125" style="92" customWidth="1"/>
    <col min="9219" max="9219" width="17.28515625" style="92" customWidth="1"/>
    <col min="9220" max="9220" width="20.5703125" style="92" bestFit="1" customWidth="1"/>
    <col min="9221" max="9221" width="17.140625" style="92" customWidth="1"/>
    <col min="9222" max="9222" width="21.85546875" style="92" bestFit="1" customWidth="1"/>
    <col min="9223" max="9223" width="17.140625" style="92" bestFit="1" customWidth="1"/>
    <col min="9224" max="9224" width="18.140625" style="92" bestFit="1" customWidth="1"/>
    <col min="9225" max="9225" width="26.42578125" style="92" customWidth="1"/>
    <col min="9226" max="9470" width="9.140625" style="92"/>
    <col min="9471" max="9471" width="8.7109375" style="92" bestFit="1" customWidth="1"/>
    <col min="9472" max="9472" width="13.28515625" style="92" customWidth="1"/>
    <col min="9473" max="9473" width="16.140625" style="92" bestFit="1" customWidth="1"/>
    <col min="9474" max="9474" width="23.5703125" style="92" customWidth="1"/>
    <col min="9475" max="9475" width="17.28515625" style="92" customWidth="1"/>
    <col min="9476" max="9476" width="20.5703125" style="92" bestFit="1" customWidth="1"/>
    <col min="9477" max="9477" width="17.140625" style="92" customWidth="1"/>
    <col min="9478" max="9478" width="21.85546875" style="92" bestFit="1" customWidth="1"/>
    <col min="9479" max="9479" width="17.140625" style="92" bestFit="1" customWidth="1"/>
    <col min="9480" max="9480" width="18.140625" style="92" bestFit="1" customWidth="1"/>
    <col min="9481" max="9481" width="26.42578125" style="92" customWidth="1"/>
    <col min="9482" max="9726" width="9.140625" style="92"/>
    <col min="9727" max="9727" width="8.7109375" style="92" bestFit="1" customWidth="1"/>
    <col min="9728" max="9728" width="13.28515625" style="92" customWidth="1"/>
    <col min="9729" max="9729" width="16.140625" style="92" bestFit="1" customWidth="1"/>
    <col min="9730" max="9730" width="23.5703125" style="92" customWidth="1"/>
    <col min="9731" max="9731" width="17.28515625" style="92" customWidth="1"/>
    <col min="9732" max="9732" width="20.5703125" style="92" bestFit="1" customWidth="1"/>
    <col min="9733" max="9733" width="17.140625" style="92" customWidth="1"/>
    <col min="9734" max="9734" width="21.85546875" style="92" bestFit="1" customWidth="1"/>
    <col min="9735" max="9735" width="17.140625" style="92" bestFit="1" customWidth="1"/>
    <col min="9736" max="9736" width="18.140625" style="92" bestFit="1" customWidth="1"/>
    <col min="9737" max="9737" width="26.42578125" style="92" customWidth="1"/>
    <col min="9738" max="9982" width="9.140625" style="92"/>
    <col min="9983" max="9983" width="8.7109375" style="92" bestFit="1" customWidth="1"/>
    <col min="9984" max="9984" width="13.28515625" style="92" customWidth="1"/>
    <col min="9985" max="9985" width="16.140625" style="92" bestFit="1" customWidth="1"/>
    <col min="9986" max="9986" width="23.5703125" style="92" customWidth="1"/>
    <col min="9987" max="9987" width="17.28515625" style="92" customWidth="1"/>
    <col min="9988" max="9988" width="20.5703125" style="92" bestFit="1" customWidth="1"/>
    <col min="9989" max="9989" width="17.140625" style="92" customWidth="1"/>
    <col min="9990" max="9990" width="21.85546875" style="92" bestFit="1" customWidth="1"/>
    <col min="9991" max="9991" width="17.140625" style="92" bestFit="1" customWidth="1"/>
    <col min="9992" max="9992" width="18.140625" style="92" bestFit="1" customWidth="1"/>
    <col min="9993" max="9993" width="26.42578125" style="92" customWidth="1"/>
    <col min="9994" max="10238" width="9.140625" style="92"/>
    <col min="10239" max="10239" width="8.7109375" style="92" bestFit="1" customWidth="1"/>
    <col min="10240" max="10240" width="13.28515625" style="92" customWidth="1"/>
    <col min="10241" max="10241" width="16.140625" style="92" bestFit="1" customWidth="1"/>
    <col min="10242" max="10242" width="23.5703125" style="92" customWidth="1"/>
    <col min="10243" max="10243" width="17.28515625" style="92" customWidth="1"/>
    <col min="10244" max="10244" width="20.5703125" style="92" bestFit="1" customWidth="1"/>
    <col min="10245" max="10245" width="17.140625" style="92" customWidth="1"/>
    <col min="10246" max="10246" width="21.85546875" style="92" bestFit="1" customWidth="1"/>
    <col min="10247" max="10247" width="17.140625" style="92" bestFit="1" customWidth="1"/>
    <col min="10248" max="10248" width="18.140625" style="92" bestFit="1" customWidth="1"/>
    <col min="10249" max="10249" width="26.42578125" style="92" customWidth="1"/>
    <col min="10250" max="10494" width="9.140625" style="92"/>
    <col min="10495" max="10495" width="8.7109375" style="92" bestFit="1" customWidth="1"/>
    <col min="10496" max="10496" width="13.28515625" style="92" customWidth="1"/>
    <col min="10497" max="10497" width="16.140625" style="92" bestFit="1" customWidth="1"/>
    <col min="10498" max="10498" width="23.5703125" style="92" customWidth="1"/>
    <col min="10499" max="10499" width="17.28515625" style="92" customWidth="1"/>
    <col min="10500" max="10500" width="20.5703125" style="92" bestFit="1" customWidth="1"/>
    <col min="10501" max="10501" width="17.140625" style="92" customWidth="1"/>
    <col min="10502" max="10502" width="21.85546875" style="92" bestFit="1" customWidth="1"/>
    <col min="10503" max="10503" width="17.140625" style="92" bestFit="1" customWidth="1"/>
    <col min="10504" max="10504" width="18.140625" style="92" bestFit="1" customWidth="1"/>
    <col min="10505" max="10505" width="26.42578125" style="92" customWidth="1"/>
    <col min="10506" max="10750" width="9.140625" style="92"/>
    <col min="10751" max="10751" width="8.7109375" style="92" bestFit="1" customWidth="1"/>
    <col min="10752" max="10752" width="13.28515625" style="92" customWidth="1"/>
    <col min="10753" max="10753" width="16.140625" style="92" bestFit="1" customWidth="1"/>
    <col min="10754" max="10754" width="23.5703125" style="92" customWidth="1"/>
    <col min="10755" max="10755" width="17.28515625" style="92" customWidth="1"/>
    <col min="10756" max="10756" width="20.5703125" style="92" bestFit="1" customWidth="1"/>
    <col min="10757" max="10757" width="17.140625" style="92" customWidth="1"/>
    <col min="10758" max="10758" width="21.85546875" style="92" bestFit="1" customWidth="1"/>
    <col min="10759" max="10759" width="17.140625" style="92" bestFit="1" customWidth="1"/>
    <col min="10760" max="10760" width="18.140625" style="92" bestFit="1" customWidth="1"/>
    <col min="10761" max="10761" width="26.42578125" style="92" customWidth="1"/>
    <col min="10762" max="11006" width="9.140625" style="92"/>
    <col min="11007" max="11007" width="8.7109375" style="92" bestFit="1" customWidth="1"/>
    <col min="11008" max="11008" width="13.28515625" style="92" customWidth="1"/>
    <col min="11009" max="11009" width="16.140625" style="92" bestFit="1" customWidth="1"/>
    <col min="11010" max="11010" width="23.5703125" style="92" customWidth="1"/>
    <col min="11011" max="11011" width="17.28515625" style="92" customWidth="1"/>
    <col min="11012" max="11012" width="20.5703125" style="92" bestFit="1" customWidth="1"/>
    <col min="11013" max="11013" width="17.140625" style="92" customWidth="1"/>
    <col min="11014" max="11014" width="21.85546875" style="92" bestFit="1" customWidth="1"/>
    <col min="11015" max="11015" width="17.140625" style="92" bestFit="1" customWidth="1"/>
    <col min="11016" max="11016" width="18.140625" style="92" bestFit="1" customWidth="1"/>
    <col min="11017" max="11017" width="26.42578125" style="92" customWidth="1"/>
    <col min="11018" max="11262" width="9.140625" style="92"/>
    <col min="11263" max="11263" width="8.7109375" style="92" bestFit="1" customWidth="1"/>
    <col min="11264" max="11264" width="13.28515625" style="92" customWidth="1"/>
    <col min="11265" max="11265" width="16.140625" style="92" bestFit="1" customWidth="1"/>
    <col min="11266" max="11266" width="23.5703125" style="92" customWidth="1"/>
    <col min="11267" max="11267" width="17.28515625" style="92" customWidth="1"/>
    <col min="11268" max="11268" width="20.5703125" style="92" bestFit="1" customWidth="1"/>
    <col min="11269" max="11269" width="17.140625" style="92" customWidth="1"/>
    <col min="11270" max="11270" width="21.85546875" style="92" bestFit="1" customWidth="1"/>
    <col min="11271" max="11271" width="17.140625" style="92" bestFit="1" customWidth="1"/>
    <col min="11272" max="11272" width="18.140625" style="92" bestFit="1" customWidth="1"/>
    <col min="11273" max="11273" width="26.42578125" style="92" customWidth="1"/>
    <col min="11274" max="11518" width="9.140625" style="92"/>
    <col min="11519" max="11519" width="8.7109375" style="92" bestFit="1" customWidth="1"/>
    <col min="11520" max="11520" width="13.28515625" style="92" customWidth="1"/>
    <col min="11521" max="11521" width="16.140625" style="92" bestFit="1" customWidth="1"/>
    <col min="11522" max="11522" width="23.5703125" style="92" customWidth="1"/>
    <col min="11523" max="11523" width="17.28515625" style="92" customWidth="1"/>
    <col min="11524" max="11524" width="20.5703125" style="92" bestFit="1" customWidth="1"/>
    <col min="11525" max="11525" width="17.140625" style="92" customWidth="1"/>
    <col min="11526" max="11526" width="21.85546875" style="92" bestFit="1" customWidth="1"/>
    <col min="11527" max="11527" width="17.140625" style="92" bestFit="1" customWidth="1"/>
    <col min="11528" max="11528" width="18.140625" style="92" bestFit="1" customWidth="1"/>
    <col min="11529" max="11529" width="26.42578125" style="92" customWidth="1"/>
    <col min="11530" max="11774" width="9.140625" style="92"/>
    <col min="11775" max="11775" width="8.7109375" style="92" bestFit="1" customWidth="1"/>
    <col min="11776" max="11776" width="13.28515625" style="92" customWidth="1"/>
    <col min="11777" max="11777" width="16.140625" style="92" bestFit="1" customWidth="1"/>
    <col min="11778" max="11778" width="23.5703125" style="92" customWidth="1"/>
    <col min="11779" max="11779" width="17.28515625" style="92" customWidth="1"/>
    <col min="11780" max="11780" width="20.5703125" style="92" bestFit="1" customWidth="1"/>
    <col min="11781" max="11781" width="17.140625" style="92" customWidth="1"/>
    <col min="11782" max="11782" width="21.85546875" style="92" bestFit="1" customWidth="1"/>
    <col min="11783" max="11783" width="17.140625" style="92" bestFit="1" customWidth="1"/>
    <col min="11784" max="11784" width="18.140625" style="92" bestFit="1" customWidth="1"/>
    <col min="11785" max="11785" width="26.42578125" style="92" customWidth="1"/>
    <col min="11786" max="12030" width="9.140625" style="92"/>
    <col min="12031" max="12031" width="8.7109375" style="92" bestFit="1" customWidth="1"/>
    <col min="12032" max="12032" width="13.28515625" style="92" customWidth="1"/>
    <col min="12033" max="12033" width="16.140625" style="92" bestFit="1" customWidth="1"/>
    <col min="12034" max="12034" width="23.5703125" style="92" customWidth="1"/>
    <col min="12035" max="12035" width="17.28515625" style="92" customWidth="1"/>
    <col min="12036" max="12036" width="20.5703125" style="92" bestFit="1" customWidth="1"/>
    <col min="12037" max="12037" width="17.140625" style="92" customWidth="1"/>
    <col min="12038" max="12038" width="21.85546875" style="92" bestFit="1" customWidth="1"/>
    <col min="12039" max="12039" width="17.140625" style="92" bestFit="1" customWidth="1"/>
    <col min="12040" max="12040" width="18.140625" style="92" bestFit="1" customWidth="1"/>
    <col min="12041" max="12041" width="26.42578125" style="92" customWidth="1"/>
    <col min="12042" max="12286" width="9.140625" style="92"/>
    <col min="12287" max="12287" width="8.7109375" style="92" bestFit="1" customWidth="1"/>
    <col min="12288" max="12288" width="13.28515625" style="92" customWidth="1"/>
    <col min="12289" max="12289" width="16.140625" style="92" bestFit="1" customWidth="1"/>
    <col min="12290" max="12290" width="23.5703125" style="92" customWidth="1"/>
    <col min="12291" max="12291" width="17.28515625" style="92" customWidth="1"/>
    <col min="12292" max="12292" width="20.5703125" style="92" bestFit="1" customWidth="1"/>
    <col min="12293" max="12293" width="17.140625" style="92" customWidth="1"/>
    <col min="12294" max="12294" width="21.85546875" style="92" bestFit="1" customWidth="1"/>
    <col min="12295" max="12295" width="17.140625" style="92" bestFit="1" customWidth="1"/>
    <col min="12296" max="12296" width="18.140625" style="92" bestFit="1" customWidth="1"/>
    <col min="12297" max="12297" width="26.42578125" style="92" customWidth="1"/>
    <col min="12298" max="12542" width="9.140625" style="92"/>
    <col min="12543" max="12543" width="8.7109375" style="92" bestFit="1" customWidth="1"/>
    <col min="12544" max="12544" width="13.28515625" style="92" customWidth="1"/>
    <col min="12545" max="12545" width="16.140625" style="92" bestFit="1" customWidth="1"/>
    <col min="12546" max="12546" width="23.5703125" style="92" customWidth="1"/>
    <col min="12547" max="12547" width="17.28515625" style="92" customWidth="1"/>
    <col min="12548" max="12548" width="20.5703125" style="92" bestFit="1" customWidth="1"/>
    <col min="12549" max="12549" width="17.140625" style="92" customWidth="1"/>
    <col min="12550" max="12550" width="21.85546875" style="92" bestFit="1" customWidth="1"/>
    <col min="12551" max="12551" width="17.140625" style="92" bestFit="1" customWidth="1"/>
    <col min="12552" max="12552" width="18.140625" style="92" bestFit="1" customWidth="1"/>
    <col min="12553" max="12553" width="26.42578125" style="92" customWidth="1"/>
    <col min="12554" max="12798" width="9.140625" style="92"/>
    <col min="12799" max="12799" width="8.7109375" style="92" bestFit="1" customWidth="1"/>
    <col min="12800" max="12800" width="13.28515625" style="92" customWidth="1"/>
    <col min="12801" max="12801" width="16.140625" style="92" bestFit="1" customWidth="1"/>
    <col min="12802" max="12802" width="23.5703125" style="92" customWidth="1"/>
    <col min="12803" max="12803" width="17.28515625" style="92" customWidth="1"/>
    <col min="12804" max="12804" width="20.5703125" style="92" bestFit="1" customWidth="1"/>
    <col min="12805" max="12805" width="17.140625" style="92" customWidth="1"/>
    <col min="12806" max="12806" width="21.85546875" style="92" bestFit="1" customWidth="1"/>
    <col min="12807" max="12807" width="17.140625" style="92" bestFit="1" customWidth="1"/>
    <col min="12808" max="12808" width="18.140625" style="92" bestFit="1" customWidth="1"/>
    <col min="12809" max="12809" width="26.42578125" style="92" customWidth="1"/>
    <col min="12810" max="13054" width="9.140625" style="92"/>
    <col min="13055" max="13055" width="8.7109375" style="92" bestFit="1" customWidth="1"/>
    <col min="13056" max="13056" width="13.28515625" style="92" customWidth="1"/>
    <col min="13057" max="13057" width="16.140625" style="92" bestFit="1" customWidth="1"/>
    <col min="13058" max="13058" width="23.5703125" style="92" customWidth="1"/>
    <col min="13059" max="13059" width="17.28515625" style="92" customWidth="1"/>
    <col min="13060" max="13060" width="20.5703125" style="92" bestFit="1" customWidth="1"/>
    <col min="13061" max="13061" width="17.140625" style="92" customWidth="1"/>
    <col min="13062" max="13062" width="21.85546875" style="92" bestFit="1" customWidth="1"/>
    <col min="13063" max="13063" width="17.140625" style="92" bestFit="1" customWidth="1"/>
    <col min="13064" max="13064" width="18.140625" style="92" bestFit="1" customWidth="1"/>
    <col min="13065" max="13065" width="26.42578125" style="92" customWidth="1"/>
    <col min="13066" max="13310" width="9.140625" style="92"/>
    <col min="13311" max="13311" width="8.7109375" style="92" bestFit="1" customWidth="1"/>
    <col min="13312" max="13312" width="13.28515625" style="92" customWidth="1"/>
    <col min="13313" max="13313" width="16.140625" style="92" bestFit="1" customWidth="1"/>
    <col min="13314" max="13314" width="23.5703125" style="92" customWidth="1"/>
    <col min="13315" max="13315" width="17.28515625" style="92" customWidth="1"/>
    <col min="13316" max="13316" width="20.5703125" style="92" bestFit="1" customWidth="1"/>
    <col min="13317" max="13317" width="17.140625" style="92" customWidth="1"/>
    <col min="13318" max="13318" width="21.85546875" style="92" bestFit="1" customWidth="1"/>
    <col min="13319" max="13319" width="17.140625" style="92" bestFit="1" customWidth="1"/>
    <col min="13320" max="13320" width="18.140625" style="92" bestFit="1" customWidth="1"/>
    <col min="13321" max="13321" width="26.42578125" style="92" customWidth="1"/>
    <col min="13322" max="13566" width="9.140625" style="92"/>
    <col min="13567" max="13567" width="8.7109375" style="92" bestFit="1" customWidth="1"/>
    <col min="13568" max="13568" width="13.28515625" style="92" customWidth="1"/>
    <col min="13569" max="13569" width="16.140625" style="92" bestFit="1" customWidth="1"/>
    <col min="13570" max="13570" width="23.5703125" style="92" customWidth="1"/>
    <col min="13571" max="13571" width="17.28515625" style="92" customWidth="1"/>
    <col min="13572" max="13572" width="20.5703125" style="92" bestFit="1" customWidth="1"/>
    <col min="13573" max="13573" width="17.140625" style="92" customWidth="1"/>
    <col min="13574" max="13574" width="21.85546875" style="92" bestFit="1" customWidth="1"/>
    <col min="13575" max="13575" width="17.140625" style="92" bestFit="1" customWidth="1"/>
    <col min="13576" max="13576" width="18.140625" style="92" bestFit="1" customWidth="1"/>
    <col min="13577" max="13577" width="26.42578125" style="92" customWidth="1"/>
    <col min="13578" max="13822" width="9.140625" style="92"/>
    <col min="13823" max="13823" width="8.7109375" style="92" bestFit="1" customWidth="1"/>
    <col min="13824" max="13824" width="13.28515625" style="92" customWidth="1"/>
    <col min="13825" max="13825" width="16.140625" style="92" bestFit="1" customWidth="1"/>
    <col min="13826" max="13826" width="23.5703125" style="92" customWidth="1"/>
    <col min="13827" max="13827" width="17.28515625" style="92" customWidth="1"/>
    <col min="13828" max="13828" width="20.5703125" style="92" bestFit="1" customWidth="1"/>
    <col min="13829" max="13829" width="17.140625" style="92" customWidth="1"/>
    <col min="13830" max="13830" width="21.85546875" style="92" bestFit="1" customWidth="1"/>
    <col min="13831" max="13831" width="17.140625" style="92" bestFit="1" customWidth="1"/>
    <col min="13832" max="13832" width="18.140625" style="92" bestFit="1" customWidth="1"/>
    <col min="13833" max="13833" width="26.42578125" style="92" customWidth="1"/>
    <col min="13834" max="14078" width="9.140625" style="92"/>
    <col min="14079" max="14079" width="8.7109375" style="92" bestFit="1" customWidth="1"/>
    <col min="14080" max="14080" width="13.28515625" style="92" customWidth="1"/>
    <col min="14081" max="14081" width="16.140625" style="92" bestFit="1" customWidth="1"/>
    <col min="14082" max="14082" width="23.5703125" style="92" customWidth="1"/>
    <col min="14083" max="14083" width="17.28515625" style="92" customWidth="1"/>
    <col min="14084" max="14084" width="20.5703125" style="92" bestFit="1" customWidth="1"/>
    <col min="14085" max="14085" width="17.140625" style="92" customWidth="1"/>
    <col min="14086" max="14086" width="21.85546875" style="92" bestFit="1" customWidth="1"/>
    <col min="14087" max="14087" width="17.140625" style="92" bestFit="1" customWidth="1"/>
    <col min="14088" max="14088" width="18.140625" style="92" bestFit="1" customWidth="1"/>
    <col min="14089" max="14089" width="26.42578125" style="92" customWidth="1"/>
    <col min="14090" max="14334" width="9.140625" style="92"/>
    <col min="14335" max="14335" width="8.7109375" style="92" bestFit="1" customWidth="1"/>
    <col min="14336" max="14336" width="13.28515625" style="92" customWidth="1"/>
    <col min="14337" max="14337" width="16.140625" style="92" bestFit="1" customWidth="1"/>
    <col min="14338" max="14338" width="23.5703125" style="92" customWidth="1"/>
    <col min="14339" max="14339" width="17.28515625" style="92" customWidth="1"/>
    <col min="14340" max="14340" width="20.5703125" style="92" bestFit="1" customWidth="1"/>
    <col min="14341" max="14341" width="17.140625" style="92" customWidth="1"/>
    <col min="14342" max="14342" width="21.85546875" style="92" bestFit="1" customWidth="1"/>
    <col min="14343" max="14343" width="17.140625" style="92" bestFit="1" customWidth="1"/>
    <col min="14344" max="14344" width="18.140625" style="92" bestFit="1" customWidth="1"/>
    <col min="14345" max="14345" width="26.42578125" style="92" customWidth="1"/>
    <col min="14346" max="14590" width="9.140625" style="92"/>
    <col min="14591" max="14591" width="8.7109375" style="92" bestFit="1" customWidth="1"/>
    <col min="14592" max="14592" width="13.28515625" style="92" customWidth="1"/>
    <col min="14593" max="14593" width="16.140625" style="92" bestFit="1" customWidth="1"/>
    <col min="14594" max="14594" width="23.5703125" style="92" customWidth="1"/>
    <col min="14595" max="14595" width="17.28515625" style="92" customWidth="1"/>
    <col min="14596" max="14596" width="20.5703125" style="92" bestFit="1" customWidth="1"/>
    <col min="14597" max="14597" width="17.140625" style="92" customWidth="1"/>
    <col min="14598" max="14598" width="21.85546875" style="92" bestFit="1" customWidth="1"/>
    <col min="14599" max="14599" width="17.140625" style="92" bestFit="1" customWidth="1"/>
    <col min="14600" max="14600" width="18.140625" style="92" bestFit="1" customWidth="1"/>
    <col min="14601" max="14601" width="26.42578125" style="92" customWidth="1"/>
    <col min="14602" max="14846" width="9.140625" style="92"/>
    <col min="14847" max="14847" width="8.7109375" style="92" bestFit="1" customWidth="1"/>
    <col min="14848" max="14848" width="13.28515625" style="92" customWidth="1"/>
    <col min="14849" max="14849" width="16.140625" style="92" bestFit="1" customWidth="1"/>
    <col min="14850" max="14850" width="23.5703125" style="92" customWidth="1"/>
    <col min="14851" max="14851" width="17.28515625" style="92" customWidth="1"/>
    <col min="14852" max="14852" width="20.5703125" style="92" bestFit="1" customWidth="1"/>
    <col min="14853" max="14853" width="17.140625" style="92" customWidth="1"/>
    <col min="14854" max="14854" width="21.85546875" style="92" bestFit="1" customWidth="1"/>
    <col min="14855" max="14855" width="17.140625" style="92" bestFit="1" customWidth="1"/>
    <col min="14856" max="14856" width="18.140625" style="92" bestFit="1" customWidth="1"/>
    <col min="14857" max="14857" width="26.42578125" style="92" customWidth="1"/>
    <col min="14858" max="15102" width="9.140625" style="92"/>
    <col min="15103" max="15103" width="8.7109375" style="92" bestFit="1" customWidth="1"/>
    <col min="15104" max="15104" width="13.28515625" style="92" customWidth="1"/>
    <col min="15105" max="15105" width="16.140625" style="92" bestFit="1" customWidth="1"/>
    <col min="15106" max="15106" width="23.5703125" style="92" customWidth="1"/>
    <col min="15107" max="15107" width="17.28515625" style="92" customWidth="1"/>
    <col min="15108" max="15108" width="20.5703125" style="92" bestFit="1" customWidth="1"/>
    <col min="15109" max="15109" width="17.140625" style="92" customWidth="1"/>
    <col min="15110" max="15110" width="21.85546875" style="92" bestFit="1" customWidth="1"/>
    <col min="15111" max="15111" width="17.140625" style="92" bestFit="1" customWidth="1"/>
    <col min="15112" max="15112" width="18.140625" style="92" bestFit="1" customWidth="1"/>
    <col min="15113" max="15113" width="26.42578125" style="92" customWidth="1"/>
    <col min="15114" max="15358" width="9.140625" style="92"/>
    <col min="15359" max="15359" width="8.7109375" style="92" bestFit="1" customWidth="1"/>
    <col min="15360" max="15360" width="13.28515625" style="92" customWidth="1"/>
    <col min="15361" max="15361" width="16.140625" style="92" bestFit="1" customWidth="1"/>
    <col min="15362" max="15362" width="23.5703125" style="92" customWidth="1"/>
    <col min="15363" max="15363" width="17.28515625" style="92" customWidth="1"/>
    <col min="15364" max="15364" width="20.5703125" style="92" bestFit="1" customWidth="1"/>
    <col min="15365" max="15365" width="17.140625" style="92" customWidth="1"/>
    <col min="15366" max="15366" width="21.85546875" style="92" bestFit="1" customWidth="1"/>
    <col min="15367" max="15367" width="17.140625" style="92" bestFit="1" customWidth="1"/>
    <col min="15368" max="15368" width="18.140625" style="92" bestFit="1" customWidth="1"/>
    <col min="15369" max="15369" width="26.42578125" style="92" customWidth="1"/>
    <col min="15370" max="15614" width="9.140625" style="92"/>
    <col min="15615" max="15615" width="8.7109375" style="92" bestFit="1" customWidth="1"/>
    <col min="15616" max="15616" width="13.28515625" style="92" customWidth="1"/>
    <col min="15617" max="15617" width="16.140625" style="92" bestFit="1" customWidth="1"/>
    <col min="15618" max="15618" width="23.5703125" style="92" customWidth="1"/>
    <col min="15619" max="15619" width="17.28515625" style="92" customWidth="1"/>
    <col min="15620" max="15620" width="20.5703125" style="92" bestFit="1" customWidth="1"/>
    <col min="15621" max="15621" width="17.140625" style="92" customWidth="1"/>
    <col min="15622" max="15622" width="21.85546875" style="92" bestFit="1" customWidth="1"/>
    <col min="15623" max="15623" width="17.140625" style="92" bestFit="1" customWidth="1"/>
    <col min="15624" max="15624" width="18.140625" style="92" bestFit="1" customWidth="1"/>
    <col min="15625" max="15625" width="26.42578125" style="92" customWidth="1"/>
    <col min="15626" max="15870" width="9.140625" style="92"/>
    <col min="15871" max="15871" width="8.7109375" style="92" bestFit="1" customWidth="1"/>
    <col min="15872" max="15872" width="13.28515625" style="92" customWidth="1"/>
    <col min="15873" max="15873" width="16.140625" style="92" bestFit="1" customWidth="1"/>
    <col min="15874" max="15874" width="23.5703125" style="92" customWidth="1"/>
    <col min="15875" max="15875" width="17.28515625" style="92" customWidth="1"/>
    <col min="15876" max="15876" width="20.5703125" style="92" bestFit="1" customWidth="1"/>
    <col min="15877" max="15877" width="17.140625" style="92" customWidth="1"/>
    <col min="15878" max="15878" width="21.85546875" style="92" bestFit="1" customWidth="1"/>
    <col min="15879" max="15879" width="17.140625" style="92" bestFit="1" customWidth="1"/>
    <col min="15880" max="15880" width="18.140625" style="92" bestFit="1" customWidth="1"/>
    <col min="15881" max="15881" width="26.42578125" style="92" customWidth="1"/>
    <col min="15882" max="16126" width="9.140625" style="92"/>
    <col min="16127" max="16127" width="8.7109375" style="92" bestFit="1" customWidth="1"/>
    <col min="16128" max="16128" width="13.28515625" style="92" customWidth="1"/>
    <col min="16129" max="16129" width="16.140625" style="92" bestFit="1" customWidth="1"/>
    <col min="16130" max="16130" width="23.5703125" style="92" customWidth="1"/>
    <col min="16131" max="16131" width="17.28515625" style="92" customWidth="1"/>
    <col min="16132" max="16132" width="20.5703125" style="92" bestFit="1" customWidth="1"/>
    <col min="16133" max="16133" width="17.140625" style="92" customWidth="1"/>
    <col min="16134" max="16134" width="21.85546875" style="92" bestFit="1" customWidth="1"/>
    <col min="16135" max="16135" width="17.140625" style="92" bestFit="1" customWidth="1"/>
    <col min="16136" max="16136" width="18.140625" style="92" bestFit="1" customWidth="1"/>
    <col min="16137" max="16137" width="26.42578125" style="92" customWidth="1"/>
    <col min="16138" max="16384" width="9.140625" style="92"/>
  </cols>
  <sheetData>
    <row r="1" spans="11:12" s="109" customFormat="1">
      <c r="K1" s="401"/>
      <c r="L1" s="400"/>
    </row>
    <row r="2" spans="11:12" s="109" customFormat="1">
      <c r="K2" s="401"/>
      <c r="L2" s="400"/>
    </row>
    <row r="3" spans="11:12" s="109" customFormat="1">
      <c r="K3" s="401"/>
      <c r="L3" s="400"/>
    </row>
    <row r="4" spans="11:12" s="109" customFormat="1">
      <c r="K4" s="401"/>
      <c r="L4" s="400"/>
    </row>
    <row r="5" spans="11:12" s="109" customFormat="1">
      <c r="K5" s="401"/>
      <c r="L5" s="400"/>
    </row>
    <row r="6" spans="11:12" s="109" customFormat="1">
      <c r="K6" s="401"/>
      <c r="L6" s="400"/>
    </row>
    <row r="7" spans="11:12" s="109" customFormat="1">
      <c r="K7" s="401"/>
      <c r="L7" s="400"/>
    </row>
    <row r="8" spans="11:12" s="109" customFormat="1">
      <c r="K8" s="401"/>
      <c r="L8" s="400"/>
    </row>
    <row r="9" spans="11:12" s="109" customFormat="1">
      <c r="K9" s="401"/>
      <c r="L9" s="400"/>
    </row>
    <row r="10" spans="11:12" s="109" customFormat="1">
      <c r="K10" s="401"/>
      <c r="L10" s="400"/>
    </row>
    <row r="11" spans="11:12" s="109" customFormat="1">
      <c r="K11" s="401"/>
      <c r="L11" s="400"/>
    </row>
    <row r="12" spans="11:12" s="109" customFormat="1">
      <c r="K12" s="401"/>
      <c r="L12" s="400"/>
    </row>
    <row r="13" spans="11:12" s="109" customFormat="1">
      <c r="K13" s="401"/>
      <c r="L13" s="400"/>
    </row>
    <row r="14" spans="11:12" s="109" customFormat="1">
      <c r="K14" s="401"/>
      <c r="L14" s="400"/>
    </row>
    <row r="15" spans="11:12" s="109" customFormat="1">
      <c r="K15" s="401"/>
      <c r="L15" s="400"/>
    </row>
    <row r="16" spans="11:12" s="109" customFormat="1">
      <c r="K16" s="401"/>
      <c r="L16" s="400"/>
    </row>
    <row r="17" spans="1:17" s="109" customFormat="1">
      <c r="K17" s="401"/>
      <c r="L17" s="400"/>
    </row>
    <row r="18" spans="1:17" s="109" customFormat="1">
      <c r="K18" s="401"/>
      <c r="L18" s="400"/>
    </row>
    <row r="19" spans="1:17" s="109" customFormat="1">
      <c r="K19" s="401"/>
      <c r="L19" s="400"/>
    </row>
    <row r="20" spans="1:17" s="109" customFormat="1">
      <c r="K20" s="401"/>
      <c r="L20" s="400"/>
    </row>
    <row r="21" spans="1:17" s="109" customFormat="1">
      <c r="K21" s="401"/>
      <c r="L21" s="400"/>
    </row>
    <row r="22" spans="1:17" s="109" customFormat="1">
      <c r="K22" s="401"/>
      <c r="L22" s="400"/>
    </row>
    <row r="23" spans="1:17" s="109" customFormat="1">
      <c r="K23" s="401"/>
      <c r="L23" s="400"/>
    </row>
    <row r="24" spans="1:17" s="109" customFormat="1">
      <c r="K24" s="401"/>
      <c r="L24" s="400"/>
    </row>
    <row r="25" spans="1:17" s="109" customFormat="1">
      <c r="K25" s="401"/>
      <c r="L25" s="400"/>
    </row>
    <row r="26" spans="1:17" s="109" customFormat="1">
      <c r="K26" s="401"/>
      <c r="L26" s="400"/>
    </row>
    <row r="27" spans="1:17" s="109" customFormat="1">
      <c r="K27" s="401"/>
      <c r="L27" s="400"/>
    </row>
    <row r="28" spans="1:17" s="109" customFormat="1" ht="24.75" customHeight="1">
      <c r="A28" s="426" t="str">
        <f>CHOOSE(MODE, 'Variable Mgmt'!K11,'Variable Mgmt'!K12)</f>
        <v>SINGLE Output PSR Flyback Converter, VIN = 48 V, VOUT = 5 V, IOUT = 1.2 A</v>
      </c>
      <c r="K28" s="400"/>
      <c r="L28" s="400"/>
    </row>
    <row r="29" spans="1:17" ht="24.75" customHeight="1" thickBot="1">
      <c r="A29" s="93" t="s">
        <v>937</v>
      </c>
    </row>
    <row r="30" spans="1:17" ht="18" customHeight="1">
      <c r="A30" s="174" t="s">
        <v>123</v>
      </c>
      <c r="B30" s="175" t="s">
        <v>122</v>
      </c>
      <c r="C30" s="175" t="s">
        <v>6</v>
      </c>
      <c r="D30" s="829" t="s">
        <v>41</v>
      </c>
      <c r="E30" s="830"/>
      <c r="F30" s="831"/>
      <c r="G30" s="175" t="s">
        <v>116</v>
      </c>
      <c r="H30" s="175" t="s">
        <v>67</v>
      </c>
      <c r="I30" s="418" t="s">
        <v>117</v>
      </c>
      <c r="J30" s="419" t="s">
        <v>346</v>
      </c>
      <c r="K30" s="420" t="s">
        <v>354</v>
      </c>
      <c r="L30" s="394"/>
      <c r="N30" s="95"/>
      <c r="Q30" s="425"/>
    </row>
    <row r="31" spans="1:17" s="95" customFormat="1" ht="17.100000000000001" customHeight="1">
      <c r="A31" s="94">
        <f>ROUNDUP('Design Converter'!E30/10,0)</f>
        <v>3</v>
      </c>
      <c r="B31" s="105" t="s">
        <v>120</v>
      </c>
      <c r="C31" s="108">
        <f>Cin</f>
        <v>22</v>
      </c>
      <c r="D31" s="821" t="str">
        <f>IF(VIN_max&gt;35, "Capacitor, Ceramic, "&amp;'Variable Mgmt'!B250&amp;", 100V, X7R, 10%", "Capacitor, Ceramic, "&amp;'Variable Mgmt'!B250&amp;", 50V, X7R, 10%")</f>
        <v>Capacitor, Ceramic, 22µF, 100V, X7R, 10%</v>
      </c>
      <c r="E31" s="822"/>
      <c r="F31" s="822"/>
      <c r="G31" s="106"/>
      <c r="H31" s="107" t="s">
        <v>118</v>
      </c>
      <c r="I31" s="405" t="s">
        <v>118</v>
      </c>
      <c r="J31" s="414" t="str">
        <f>CHOOSE(Q31,'Variable Mgmt'!T78,'Variable Mgmt'!T79,'Variable Mgmt'!T80,'Variable Mgmt'!T81,'Variable Mgmt'!T82)</f>
        <v>1.0 x 0.5</v>
      </c>
      <c r="K31" s="412">
        <f>CHOOSE(Q31,'Variable Mgmt'!U78,'Variable Mgmt'!U79,'Variable Mgmt'!U80,'Variable Mgmt'!U81,'Variable Mgmt'!U82)</f>
        <v>0.5</v>
      </c>
      <c r="L31" s="417"/>
      <c r="Q31" s="423">
        <v>1</v>
      </c>
    </row>
    <row r="32" spans="1:17" s="95" customFormat="1" ht="17.100000000000001" customHeight="1">
      <c r="A32" s="94">
        <v>1</v>
      </c>
      <c r="B32" s="105" t="s">
        <v>121</v>
      </c>
      <c r="C32" s="108">
        <f>Cout</f>
        <v>110</v>
      </c>
      <c r="D32" s="834" t="str">
        <f>CHOOSE(Cout_Voltage_Rating, "Capacitor, Ceramic, "&amp;'Variable Mgmt'!B245&amp;", 6.3V, X7R, 10%", "Capacitor, Ceramic, "&amp;'Variable Mgmt'!B245&amp;", 10V, X7R, 10%", "Capacitor, Ceramic, "&amp;'Variable Mgmt'!B245&amp;", 16V, X7R, 10%", "Capacitor, Ceramic, "&amp;'Variable Mgmt'!B245&amp;", 25V, X7R, 10%",  "Capacitor, Ceramic, "&amp;'Variable Mgmt'!B245&amp;", 50V, X7R, 10%")</f>
        <v>Capacitor, Ceramic, 110µF, 6.3V, X7R, 10%</v>
      </c>
      <c r="E32" s="835"/>
      <c r="F32" s="835"/>
      <c r="G32" s="106"/>
      <c r="H32" s="107" t="s">
        <v>118</v>
      </c>
      <c r="I32" s="405" t="s">
        <v>118</v>
      </c>
      <c r="J32" s="414" t="str">
        <f>CHOOSE(Q32,'Variable Mgmt'!T78,'Variable Mgmt'!T79,'Variable Mgmt'!T80,'Variable Mgmt'!T81,'Variable Mgmt'!T82)</f>
        <v>3.2 x 2.5</v>
      </c>
      <c r="K32" s="412">
        <f>CHOOSE(Q32,'Variable Mgmt'!U78,'Variable Mgmt'!U79,'Variable Mgmt'!U80,'Variable Mgmt'!U81,'Variable Mgmt'!U82)</f>
        <v>8</v>
      </c>
      <c r="L32" s="417"/>
      <c r="Q32" s="423">
        <v>5</v>
      </c>
    </row>
    <row r="33" spans="1:17" s="95" customFormat="1" ht="17.100000000000001" customHeight="1">
      <c r="A33" s="94" t="str">
        <f>CHOOSE(MODE, "-", "1")</f>
        <v>-</v>
      </c>
      <c r="B33" s="105" t="s">
        <v>625</v>
      </c>
      <c r="C33" s="108" t="str">
        <f>CHOOSE(MODE, "-", Cout2)</f>
        <v>-</v>
      </c>
      <c r="D33" s="512" t="str">
        <f>CHOOSE(MODE, "-", CHOOSE(Cout_Voltage_Rating, "Capacitor, Ceramic, "&amp;'Variable Mgmt'!F245&amp;", 6.3V, X7R, 10%", "Capacitor, Ceramic, "&amp;'Variable Mgmt'!F245&amp;", 10V, X7R, 10%", "Capacitor, Ceramic, "&amp;'Variable Mgmt'!F245&amp;", 16V, X7R, 10%", "Capacitor, Ceramic, "&amp;'Variable Mgmt'!F245&amp;", 25V, X7R, 10%",  "Capacitor, Ceramic, "&amp;'Variable Mgmt'!F245&amp;", 50V, X7R, 10%"))</f>
        <v>-</v>
      </c>
      <c r="E33" s="513"/>
      <c r="F33" s="513"/>
      <c r="G33" s="106"/>
      <c r="H33" s="107" t="str">
        <f>CHOOSE(MODE, "-", "Std")</f>
        <v>-</v>
      </c>
      <c r="I33" s="405" t="str">
        <f>CHOOSE(MODE, "-", "Std")</f>
        <v>-</v>
      </c>
      <c r="J33" s="414" t="str">
        <f>CHOOSE(MODE, "-", CHOOSE(Q33,'Variable Mgmt'!T78,'Variable Mgmt'!T79,'Variable Mgmt'!T80,'Variable Mgmt'!T81,'Variable Mgmt'!T82))</f>
        <v>-</v>
      </c>
      <c r="K33" s="412" t="str">
        <f>CHOOSE(MODE, "-", CHOOSE(Q33,'Variable Mgmt'!U78,'Variable Mgmt'!U79,'Variable Mgmt'!U80,'Variable Mgmt'!U81,'Variable Mgmt'!U82))</f>
        <v>-</v>
      </c>
      <c r="L33" s="417"/>
      <c r="Q33" s="423">
        <v>5</v>
      </c>
    </row>
    <row r="34" spans="1:17" s="95" customFormat="1" ht="17.100000000000001" customHeight="1">
      <c r="A34" s="96" t="str">
        <f>CHOOSE(MODE_SS, "1", "-", "1")</f>
        <v>-</v>
      </c>
      <c r="B34" s="97" t="str">
        <f>CHOOSE(MODE_SS, "Css", "-")</f>
        <v>-</v>
      </c>
      <c r="C34" s="534" t="str">
        <f>CHOOSE(MODE_SS, 'Standard Value Calculator'!B4*1000000000&amp;"nF", "-", "100k")</f>
        <v>-</v>
      </c>
      <c r="D34" s="836" t="str">
        <f>CHOOSE(MODE_SS, "Capacitor, Ceramic, "&amp;'Standard Value Calculator'!B4*1000000000&amp;"nF"&amp;", 16V, X7R, 10%", "-")</f>
        <v>-</v>
      </c>
      <c r="E34" s="837"/>
      <c r="F34" s="837"/>
      <c r="G34" s="98"/>
      <c r="H34" s="99" t="str">
        <f>CHOOSE(MODE_SS, "Std", "-")</f>
        <v>-</v>
      </c>
      <c r="I34" s="406" t="str">
        <f>CHOOSE(MODE_SS, "Std", "-")</f>
        <v>-</v>
      </c>
      <c r="J34" s="414" t="str">
        <f>CHOOSE(MODE_SS,CHOOSE(Q34,'Variable Mgmt'!T78,'Variable Mgmt'!T79,'Variable Mgmt'!T80),"-",CHOOSE(Q34,'Variable Mgmt'!T78,'Variable Mgmt'!T79,'Variable Mgmt'!T80))</f>
        <v>-</v>
      </c>
      <c r="K34" s="412" t="str">
        <f>CHOOSE(MODE_SS, CHOOSE(Q34,'Variable Mgmt'!U78,'Variable Mgmt'!U79,'Variable Mgmt'!U80), "-", CHOOSE(Q34,'Variable Mgmt'!U78,'Variable Mgmt'!U79,'Variable Mgmt'!U80))</f>
        <v>-</v>
      </c>
      <c r="L34" s="417"/>
      <c r="Q34" s="423">
        <v>5</v>
      </c>
    </row>
    <row r="35" spans="1:17" s="95" customFormat="1" ht="17.100000000000001" customHeight="1">
      <c r="A35" s="96">
        <v>1</v>
      </c>
      <c r="B35" s="97" t="s">
        <v>929</v>
      </c>
      <c r="C35" s="534" t="str">
        <f>'Design Converter'!E62&amp;"nF"</f>
        <v>22nF</v>
      </c>
      <c r="D35" s="769" t="str">
        <f>"Capacitor, Ceramic, "&amp;C35&amp;", 16V, X7R, 10%"</f>
        <v>Capacitor, Ceramic, 22nF, 16V, X7R, 10%</v>
      </c>
      <c r="E35" s="770"/>
      <c r="F35" s="770"/>
      <c r="G35" s="106"/>
      <c r="H35" s="107" t="str">
        <f>CHOOSE(MODE, "-", "Std")</f>
        <v>-</v>
      </c>
      <c r="I35" s="405" t="str">
        <f>CHOOSE(MODE, "-", "Std")</f>
        <v>-</v>
      </c>
      <c r="J35" s="414" t="str">
        <f>CHOOSE(Q35,'Variable Mgmt'!T78,'Variable Mgmt'!T79,'Variable Mgmt'!T80,'Variable Mgmt'!T81,'Variable Mgmt'!T82)</f>
        <v>2.0 x 1.25</v>
      </c>
      <c r="K35" s="412">
        <f>CHOOSE(Q35,'Variable Mgmt'!U78,'Variable Mgmt'!U79,'Variable Mgmt'!U80,'Variable Mgmt'!U81,'Variable Mgmt'!U82)</f>
        <v>2.5</v>
      </c>
      <c r="L35" s="417"/>
      <c r="Q35" s="423">
        <v>3</v>
      </c>
    </row>
    <row r="36" spans="1:17" s="95" customFormat="1" ht="17.100000000000001" customHeight="1">
      <c r="A36" s="96">
        <v>1</v>
      </c>
      <c r="B36" s="97" t="s">
        <v>930</v>
      </c>
      <c r="C36" s="534" t="str">
        <f>'Design Converter'!E64&amp;"pF"</f>
        <v>47pF</v>
      </c>
      <c r="D36" s="769" t="str">
        <f>"Capacitor, Ceramic, "&amp;C36&amp;", 50V, X7R, 10%"</f>
        <v>Capacitor, Ceramic, 47pF, 50V, X7R, 10%</v>
      </c>
      <c r="E36" s="770"/>
      <c r="F36" s="770"/>
      <c r="G36" s="106"/>
      <c r="H36" s="107" t="str">
        <f>CHOOSE(MODE, "-", "Std")</f>
        <v>-</v>
      </c>
      <c r="I36" s="405" t="str">
        <f>CHOOSE(MODE, "-", "Std")</f>
        <v>-</v>
      </c>
      <c r="J36" s="414" t="str">
        <f>CHOOSE(Q36,'Variable Mgmt'!T78,'Variable Mgmt'!T79,'Variable Mgmt'!T80,'Variable Mgmt'!T81,'Variable Mgmt'!T82)</f>
        <v>3.2 x 1.6</v>
      </c>
      <c r="K36" s="412">
        <f>CHOOSE(Q36,'Variable Mgmt'!U78,'Variable Mgmt'!U79,'Variable Mgmt'!U80,'Variable Mgmt'!U81,'Variable Mgmt'!U82)</f>
        <v>5.0999999999999996</v>
      </c>
      <c r="L36" s="417"/>
      <c r="Q36" s="423">
        <v>4</v>
      </c>
    </row>
    <row r="37" spans="1:17" s="95" customFormat="1" ht="17.100000000000001" customHeight="1">
      <c r="A37" s="96">
        <v>1</v>
      </c>
      <c r="B37" s="97" t="s">
        <v>927</v>
      </c>
      <c r="C37" s="108">
        <v>1</v>
      </c>
      <c r="D37" s="834" t="s">
        <v>928</v>
      </c>
      <c r="E37" s="835"/>
      <c r="F37" s="835"/>
      <c r="G37" s="106"/>
      <c r="H37" s="107" t="s">
        <v>118</v>
      </c>
      <c r="I37" s="405" t="s">
        <v>118</v>
      </c>
      <c r="J37" s="414" t="str">
        <f>CHOOSE(Q37,'Variable Mgmt'!T78,'Variable Mgmt'!T79,'Variable Mgmt'!T80,'Variable Mgmt'!T81,'Variable Mgmt'!T82)</f>
        <v>1.6 x 0.8</v>
      </c>
      <c r="K37" s="412">
        <f>CHOOSE(Q37,'Variable Mgmt'!U78,'Variable Mgmt'!U79,'Variable Mgmt'!U80,'Variable Mgmt'!U81,'Variable Mgmt'!U82)</f>
        <v>1.3</v>
      </c>
      <c r="L37" s="417"/>
      <c r="Q37" s="423">
        <v>2</v>
      </c>
    </row>
    <row r="38" spans="1:17" s="95" customFormat="1" ht="17.100000000000001" customHeight="1">
      <c r="A38" s="96">
        <v>1</v>
      </c>
      <c r="B38" s="97" t="s">
        <v>934</v>
      </c>
      <c r="C38" s="108" t="s">
        <v>869</v>
      </c>
      <c r="D38" s="834" t="s">
        <v>935</v>
      </c>
      <c r="E38" s="835"/>
      <c r="F38" s="835"/>
      <c r="G38" s="106"/>
      <c r="H38" s="107" t="str">
        <f>CHOOSE(MODE, "-", "Std")</f>
        <v>-</v>
      </c>
      <c r="I38" s="405" t="str">
        <f>CHOOSE(MODE, "-", "Std")</f>
        <v>-</v>
      </c>
      <c r="J38" s="414" t="str">
        <f>CHOOSE(Q38,'Variable Mgmt'!T78,'Variable Mgmt'!T79,'Variable Mgmt'!T80,'Variable Mgmt'!T81,'Variable Mgmt'!T82)</f>
        <v>1.0 x 0.5</v>
      </c>
      <c r="K38" s="412">
        <f>CHOOSE(Q38,'Variable Mgmt'!U78,'Variable Mgmt'!U79,'Variable Mgmt'!U80,'Variable Mgmt'!U81,'Variable Mgmt'!U82)</f>
        <v>0.5</v>
      </c>
      <c r="L38" s="417"/>
      <c r="Q38" s="423">
        <v>1</v>
      </c>
    </row>
    <row r="39" spans="1:17" s="95" customFormat="1" ht="17.100000000000001" customHeight="1">
      <c r="A39" s="100">
        <v>1</v>
      </c>
      <c r="B39" s="101" t="s">
        <v>627</v>
      </c>
      <c r="C39" s="102" t="s">
        <v>193</v>
      </c>
      <c r="D39" s="832" t="str">
        <f>"Rectifying Diode, Schottky"</f>
        <v>Rectifying Diode, Schottky</v>
      </c>
      <c r="E39" s="833"/>
      <c r="F39" s="833"/>
      <c r="G39" s="103"/>
      <c r="H39" s="104" t="s">
        <v>118</v>
      </c>
      <c r="I39" s="407" t="s">
        <v>118</v>
      </c>
      <c r="J39" s="527" t="str">
        <f>CHOOSE(Q39,'Variable Mgmt'!Y88,'Variable Mgmt'!Y89,'Variable Mgmt'!Y90,'Variable Mgmt'!Y91)</f>
        <v>3.6 x 1.8</v>
      </c>
      <c r="K39" s="528">
        <f>CHOOSE(Q39,'Variable Mgmt'!Z88,'Variable Mgmt'!Z89,'Variable Mgmt'!Z90,'Variable Mgmt'!Z91)</f>
        <v>6.5</v>
      </c>
      <c r="L39" s="417"/>
      <c r="Q39" s="424">
        <v>3</v>
      </c>
    </row>
    <row r="40" spans="1:17" s="95" customFormat="1" ht="17.100000000000001" customHeight="1">
      <c r="A40" s="100" t="str">
        <f>CHOOSE(MODE, "-", "1")</f>
        <v>-</v>
      </c>
      <c r="B40" s="101" t="s">
        <v>626</v>
      </c>
      <c r="C40" s="102" t="str">
        <f>CHOOSE(MODE, "-", "Diode")</f>
        <v>-</v>
      </c>
      <c r="D40" s="826" t="str">
        <f>CHOOSE(MODE, "-", "Rectifying Diode, Schottky")</f>
        <v>-</v>
      </c>
      <c r="E40" s="827"/>
      <c r="F40" s="827"/>
      <c r="G40" s="103" t="s">
        <v>119</v>
      </c>
      <c r="H40" s="104" t="str">
        <f>CHOOSE(MODE, "-", "Std")</f>
        <v>-</v>
      </c>
      <c r="I40" s="407" t="str">
        <f>CHOOSE(MODE, "-", "Std")</f>
        <v>-</v>
      </c>
      <c r="J40" s="527" t="str">
        <f>CHOOSE(MODE, "-", CHOOSE(Q40,'Variable Mgmt'!Y88,'Variable Mgmt'!Y89,'Variable Mgmt'!Y90,'Variable Mgmt'!Y91))</f>
        <v>-</v>
      </c>
      <c r="K40" s="528" t="str">
        <f>CHOOSE(MODE, "-", CHOOSE(Q40,'Variable Mgmt'!Z88,'Variable Mgmt'!Z89,'Variable Mgmt'!Z90,'Variable Mgmt'!Z91))</f>
        <v>-</v>
      </c>
      <c r="L40" s="417"/>
      <c r="Q40" s="424">
        <v>3</v>
      </c>
    </row>
    <row r="41" spans="1:17" s="95" customFormat="1" ht="17.100000000000001" customHeight="1">
      <c r="A41" s="100">
        <v>1</v>
      </c>
      <c r="B41" s="101" t="s">
        <v>628</v>
      </c>
      <c r="C41" s="102" t="str">
        <f>"Diode"</f>
        <v>Diode</v>
      </c>
      <c r="D41" s="532" t="str">
        <f>"Clamp Circuit Diode, Fast Recovery"</f>
        <v>Clamp Circuit Diode, Fast Recovery</v>
      </c>
      <c r="E41" s="533"/>
      <c r="F41" s="533"/>
      <c r="G41" s="103"/>
      <c r="H41" s="104" t="s">
        <v>118</v>
      </c>
      <c r="I41" s="407" t="s">
        <v>118</v>
      </c>
      <c r="J41" s="527" t="str">
        <f>CHOOSE(Q41,'Variable Mgmt'!Y88,'Variable Mgmt'!Y89,'Variable Mgmt'!Y90,'Variable Mgmt'!Y91)</f>
        <v>1.6 x 0.8</v>
      </c>
      <c r="K41" s="528">
        <f>CHOOSE(Q41,'Variable Mgmt'!Z88,'Variable Mgmt'!Z89,'Variable Mgmt'!Z90,'Variable Mgmt'!Z91)</f>
        <v>1.3</v>
      </c>
      <c r="L41" s="417"/>
      <c r="Q41" s="424">
        <v>1</v>
      </c>
    </row>
    <row r="42" spans="1:17" s="95" customFormat="1" ht="17.100000000000001" customHeight="1">
      <c r="A42" s="100">
        <v>1</v>
      </c>
      <c r="B42" s="101" t="s">
        <v>623</v>
      </c>
      <c r="C42" s="102" t="s">
        <v>624</v>
      </c>
      <c r="D42" s="826" t="str">
        <f>"Clamp Circuit Diode, Zener, 24V"</f>
        <v>Clamp Circuit Diode, Zener, 24V</v>
      </c>
      <c r="E42" s="827"/>
      <c r="F42" s="827"/>
      <c r="G42" s="103" t="s">
        <v>119</v>
      </c>
      <c r="H42" s="104" t="s">
        <v>118</v>
      </c>
      <c r="I42" s="407" t="s">
        <v>118</v>
      </c>
      <c r="J42" s="527" t="str">
        <f>CHOOSE(Q42,'Variable Mgmt'!Y88,'Variable Mgmt'!Y89,'Variable Mgmt'!Y90,'Variable Mgmt'!Y91)</f>
        <v>5.0 x 2.5</v>
      </c>
      <c r="K42" s="528">
        <f>CHOOSE(Q42,'Variable Mgmt'!Z88,'Variable Mgmt'!Z89,'Variable Mgmt'!Z90,'Variable Mgmt'!Z91)</f>
        <v>12.5</v>
      </c>
      <c r="L42" s="417"/>
      <c r="Q42" s="424">
        <v>4</v>
      </c>
    </row>
    <row r="43" spans="1:17" s="95" customFormat="1" ht="17.100000000000001" customHeight="1">
      <c r="A43" s="100">
        <v>1</v>
      </c>
      <c r="B43" s="101" t="s">
        <v>941</v>
      </c>
      <c r="C43" s="102" t="str">
        <f>Vout*1.1&amp;"V"</f>
        <v>5.5V</v>
      </c>
      <c r="D43" s="532" t="str">
        <f>"Output Clamp Diode, Zener, "&amp;ROUND(Vout*1.125,0)&amp;"V"</f>
        <v>Output Clamp Diode, Zener, 6V</v>
      </c>
      <c r="E43" s="533"/>
      <c r="F43" s="533"/>
      <c r="G43" s="103"/>
      <c r="H43" s="104" t="s">
        <v>118</v>
      </c>
      <c r="I43" s="407" t="s">
        <v>118</v>
      </c>
      <c r="J43" s="527" t="str">
        <f>CHOOSE(Q43,'Variable Mgmt'!Y88,'Variable Mgmt'!Y89,'Variable Mgmt'!Y90,'Variable Mgmt'!Y91)</f>
        <v>3.6 x 1.8</v>
      </c>
      <c r="K43" s="528">
        <f>CHOOSE(Q43,'Variable Mgmt'!Z88,'Variable Mgmt'!Z89,'Variable Mgmt'!Z90,'Variable Mgmt'!Z91)</f>
        <v>6.5</v>
      </c>
      <c r="L43" s="417"/>
      <c r="Q43" s="424">
        <v>3</v>
      </c>
    </row>
    <row r="44" spans="1:17" s="95" customFormat="1" ht="17.100000000000001" customHeight="1">
      <c r="A44" s="100" t="str">
        <f>CHOOSE(MODE, "-", "1")</f>
        <v>-</v>
      </c>
      <c r="B44" s="101" t="s">
        <v>942</v>
      </c>
      <c r="C44" s="102" t="str">
        <f>Vout2*1.1&amp;"V"</f>
        <v>8.8V</v>
      </c>
      <c r="D44" s="826" t="str">
        <f>CHOOSE(MODE, "-", "Output Clamp Diode, Zener, "&amp;ROUND(Vout2*1.125,0)&amp;"V")</f>
        <v>-</v>
      </c>
      <c r="E44" s="827"/>
      <c r="F44" s="827"/>
      <c r="G44" s="103"/>
      <c r="H44" s="104" t="str">
        <f>CHOOSE(MODE, "-", "Std")</f>
        <v>-</v>
      </c>
      <c r="I44" s="407" t="str">
        <f>CHOOSE(MODE, "-", "Std")</f>
        <v>-</v>
      </c>
      <c r="J44" s="527" t="str">
        <f>CHOOSE(MODE, "-", CHOOSE(Q44,'Variable Mgmt'!Y88,'Variable Mgmt'!Y89,'Variable Mgmt'!Y90,'Variable Mgmt'!Y91))</f>
        <v>-</v>
      </c>
      <c r="K44" s="528" t="str">
        <f>CHOOSE(MODE, "-", CHOOSE(Q44,'Variable Mgmt'!Z88,'Variable Mgmt'!Z89,'Variable Mgmt'!Z90,'Variable Mgmt'!Z91))</f>
        <v>-</v>
      </c>
      <c r="L44" s="417"/>
      <c r="Q44" s="424">
        <v>3</v>
      </c>
    </row>
    <row r="45" spans="1:17" s="95" customFormat="1" ht="17.100000000000001" customHeight="1">
      <c r="A45" s="96">
        <v>1</v>
      </c>
      <c r="B45" s="97" t="s">
        <v>949</v>
      </c>
      <c r="C45" s="776" t="str">
        <f>IF(Vds_req&lt;30,30,IF(Vds_req&lt;40,40,IF(Vds_req&lt;50,50,IF(Vds_req&lt;60,60,IF(Vds_req&lt;80,80,IF(Vds_req&lt;100,100,IF(Vds_req&lt;120,120,IF(Vds_req&lt;150,150,IF(Vds_req&lt;200,200,IF(Vds_req&lt;250,250,IF(Vds_req&lt;300,300,500)))))))))))&amp;"V"</f>
        <v>100V</v>
      </c>
      <c r="D45" s="774" t="s">
        <v>950</v>
      </c>
      <c r="E45" s="775"/>
      <c r="F45" s="775"/>
      <c r="G45" s="98" t="s">
        <v>951</v>
      </c>
      <c r="H45" s="99" t="s">
        <v>118</v>
      </c>
      <c r="I45" s="406" t="s">
        <v>118</v>
      </c>
      <c r="J45" s="414" t="s">
        <v>952</v>
      </c>
      <c r="K45" s="412">
        <v>30</v>
      </c>
      <c r="L45" s="417"/>
      <c r="Q45" s="424"/>
    </row>
    <row r="46" spans="1:17" s="95" customFormat="1" ht="17.100000000000001" customHeight="1">
      <c r="A46" s="100">
        <v>1</v>
      </c>
      <c r="B46" s="101" t="s">
        <v>629</v>
      </c>
      <c r="C46" s="102">
        <v>12.1</v>
      </c>
      <c r="D46" s="818">
        <f>C46</f>
        <v>12.1</v>
      </c>
      <c r="E46" s="819"/>
      <c r="F46" s="819"/>
      <c r="G46" s="103" t="s">
        <v>119</v>
      </c>
      <c r="H46" s="104" t="s">
        <v>118</v>
      </c>
      <c r="I46" s="407" t="s">
        <v>118</v>
      </c>
      <c r="J46" s="527" t="str">
        <f>CHOOSE(Q46,'Variable Mgmt'!T78,'Variable Mgmt'!T79,'Variable Mgmt'!T80)</f>
        <v>1.6 x 0.8</v>
      </c>
      <c r="K46" s="528">
        <f>CHOOSE(Q46,'Variable Mgmt'!U78,'Variable Mgmt'!U79,'Variable Mgmt'!U80,'Variable Mgmt'!U81,'Variable Mgmt'!U82)</f>
        <v>1.3</v>
      </c>
      <c r="L46" s="417"/>
      <c r="Q46" s="424">
        <v>2</v>
      </c>
    </row>
    <row r="47" spans="1:17" s="95" customFormat="1" ht="17.100000000000001" customHeight="1">
      <c r="A47" s="100">
        <v>1</v>
      </c>
      <c r="B47" s="101" t="s">
        <v>524</v>
      </c>
      <c r="C47" s="102">
        <f>Rfb/1000</f>
        <v>168</v>
      </c>
      <c r="D47" s="818">
        <f>C47</f>
        <v>168</v>
      </c>
      <c r="E47" s="819"/>
      <c r="F47" s="819"/>
      <c r="G47" s="103" t="s">
        <v>119</v>
      </c>
      <c r="H47" s="104" t="s">
        <v>118</v>
      </c>
      <c r="I47" s="407" t="s">
        <v>118</v>
      </c>
      <c r="J47" s="527" t="str">
        <f>CHOOSE(Q47,'Variable Mgmt'!T78,'Variable Mgmt'!T79,'Variable Mgmt'!T80)</f>
        <v>2.0 x 1.25</v>
      </c>
      <c r="K47" s="528">
        <f>CHOOSE(Q47,'Variable Mgmt'!U78,'Variable Mgmt'!U79,'Variable Mgmt'!U80,'Variable Mgmt'!U81,'Variable Mgmt'!U82)</f>
        <v>2.5</v>
      </c>
      <c r="L47" s="417"/>
      <c r="Q47" s="424">
        <v>3</v>
      </c>
    </row>
    <row r="48" spans="1:17" s="95" customFormat="1" ht="17.100000000000001" customHeight="1">
      <c r="A48" s="100" t="str">
        <f>CHOOSE(MODE_UVLO, "1", "-")</f>
        <v>1</v>
      </c>
      <c r="B48" s="101" t="s">
        <v>126</v>
      </c>
      <c r="C48" s="777" t="str">
        <f>CHOOSE(MODE_UVLO, 'Variable Mgmt'!H269, "-")</f>
        <v>196k</v>
      </c>
      <c r="D48" s="826" t="str">
        <f>CHOOSE(MODE_UVLO, "Resistor, Chip, "&amp;'Variable Mgmt'!C269&amp;", 1/16W, 1%", "-")</f>
        <v>Resistor, Chip, 196kΩ, 1/16W, 1%</v>
      </c>
      <c r="E48" s="827"/>
      <c r="F48" s="827"/>
      <c r="G48" s="103" t="s">
        <v>119</v>
      </c>
      <c r="H48" s="104" t="str">
        <f>CHOOSE(MODE_UVLO, "Std", "-")</f>
        <v>Std</v>
      </c>
      <c r="I48" s="407" t="str">
        <f>CHOOSE(MODE_UVLO, "Std", "-")</f>
        <v>Std</v>
      </c>
      <c r="J48" s="527" t="str">
        <f>CHOOSE(MODE_UVLO, CHOOSE(Q48,'Variable Mgmt'!T78,'Variable Mgmt'!T79,'Variable Mgmt'!T80), "-")</f>
        <v>1.0 x 0.5</v>
      </c>
      <c r="K48" s="528">
        <f>CHOOSE(MODE_UVLO, CHOOSE(Q48,'Variable Mgmt'!U78,'Variable Mgmt'!U79,'Variable Mgmt'!U80,'Variable Mgmt'!U81,'Variable Mgmt'!U82),"-")</f>
        <v>0.5</v>
      </c>
      <c r="L48" s="417"/>
      <c r="Q48" s="424">
        <v>1</v>
      </c>
    </row>
    <row r="49" spans="1:17" s="95" customFormat="1" ht="17.100000000000001" customHeight="1">
      <c r="A49" s="100" t="str">
        <f>CHOOSE(MODE_UVLO, "1", "-")</f>
        <v>1</v>
      </c>
      <c r="B49" s="101" t="s">
        <v>127</v>
      </c>
      <c r="C49" s="777" t="str">
        <f>CHOOSE(MODE_UVLO, 'Variable Mgmt'!H270, "-")</f>
        <v>16.9k</v>
      </c>
      <c r="D49" s="826" t="str">
        <f>CHOOSE(MODE_UVLO, "Resistor, Chip, "&amp;'Variable Mgmt'!C270&amp;", 1/16W, 1%", "-")</f>
        <v>Resistor, Chip, 16.9kΩ, 1/16W, 1%</v>
      </c>
      <c r="E49" s="827"/>
      <c r="F49" s="827"/>
      <c r="G49" s="103" t="s">
        <v>119</v>
      </c>
      <c r="H49" s="104" t="str">
        <f>CHOOSE(MODE_UVLO, "Std", "-")</f>
        <v>Std</v>
      </c>
      <c r="I49" s="407" t="str">
        <f>CHOOSE(MODE_UVLO, "Std", "-")</f>
        <v>Std</v>
      </c>
      <c r="J49" s="527" t="str">
        <f>CHOOSE(MODE_UVLO, CHOOSE(Q49,'Variable Mgmt'!T78,'Variable Mgmt'!T79,'Variable Mgmt'!T80), "-")</f>
        <v>1.0 x 0.5</v>
      </c>
      <c r="K49" s="528">
        <f>CHOOSE(MODE_UVLO, CHOOSE(Q49,'Variable Mgmt'!U78,'Variable Mgmt'!U79,'Variable Mgmt'!U80,'Variable Mgmt'!U81,'Variable Mgmt'!U82),"-")</f>
        <v>0.5</v>
      </c>
      <c r="L49" s="417"/>
      <c r="Q49" s="424">
        <v>1</v>
      </c>
    </row>
    <row r="50" spans="1:17" s="95" customFormat="1" ht="17.100000000000001" customHeight="1">
      <c r="A50" s="100" t="str">
        <f>CHOOSE(MODE_TC, "1", "-")</f>
        <v>-</v>
      </c>
      <c r="B50" s="101" t="s">
        <v>516</v>
      </c>
      <c r="C50" s="102" t="str">
        <f>CHOOSE(MODE_TC, RTC, "-")</f>
        <v>-</v>
      </c>
      <c r="D50" s="818" t="str">
        <f>CHOOSE(MODE_TC, "Resistor, Chip, "&amp;'Variable Mgmt'!B265&amp;", 1/16W, 1%", "-")</f>
        <v>-</v>
      </c>
      <c r="E50" s="819"/>
      <c r="F50" s="819"/>
      <c r="G50" s="103" t="s">
        <v>119</v>
      </c>
      <c r="H50" s="104" t="str">
        <f>CHOOSE(MODE_TC, "Std", "-")</f>
        <v>-</v>
      </c>
      <c r="I50" s="407" t="str">
        <f>CHOOSE(MODE_TC, "Std", "-")</f>
        <v>-</v>
      </c>
      <c r="J50" s="527" t="str">
        <f>CHOOSE(MODE_TC, CHOOSE(Q50,'Variable Mgmt'!T78,'Variable Mgmt'!T409,'Variable Mgmt'!T80), "-")</f>
        <v>-</v>
      </c>
      <c r="K50" s="528" t="str">
        <f>CHOOSE(MODE_TC, CHOOSE(Q50,'Variable Mgmt'!U78,'Variable Mgmt'!U79,'Variable Mgmt'!U80,'Variable Mgmt'!U81,'Variable Mgmt'!U82),"-")</f>
        <v>-</v>
      </c>
      <c r="L50" s="417"/>
      <c r="Q50" s="424">
        <v>1</v>
      </c>
    </row>
    <row r="51" spans="1:17" s="95" customFormat="1" ht="17.100000000000001" customHeight="1">
      <c r="A51" s="100">
        <v>1</v>
      </c>
      <c r="B51" s="101" t="s">
        <v>932</v>
      </c>
      <c r="C51" s="102" t="str">
        <f>'Variable Mgmt'!D313</f>
        <v>20mΩ</v>
      </c>
      <c r="D51" s="828" t="s">
        <v>933</v>
      </c>
      <c r="E51" s="819"/>
      <c r="F51" s="819"/>
      <c r="G51" s="103" t="s">
        <v>119</v>
      </c>
      <c r="H51" s="104" t="s">
        <v>118</v>
      </c>
      <c r="I51" s="407" t="s">
        <v>118</v>
      </c>
      <c r="J51" s="527" t="str">
        <f>CHOOSE(Q51,'Variable Mgmt'!T79,'Variable Mgmt'!T80,'Variable Mgmt'!T81,'Variable Mgmt'!T82,'Variable Mgmt'!T83,'Variable Mgmt'!T84)</f>
        <v>9.3 x 2.7</v>
      </c>
      <c r="K51" s="528">
        <f>CHOOSE(Q51,'Variable Mgmt'!U79,'Variable Mgmt'!U80,'Variable Mgmt'!U81,'Variable Mgmt'!U82,'Variable Mgmt'!U83,'Variable Mgmt'!U84)</f>
        <v>25.1</v>
      </c>
      <c r="L51" s="417"/>
      <c r="Q51" s="424">
        <v>6</v>
      </c>
    </row>
    <row r="52" spans="1:17" s="95" customFormat="1" ht="17.100000000000001" customHeight="1">
      <c r="A52" s="100">
        <v>1</v>
      </c>
      <c r="B52" s="101" t="s">
        <v>931</v>
      </c>
      <c r="C52" s="102">
        <f>'Design Converter'!E60</f>
        <v>12.1</v>
      </c>
      <c r="D52" s="773" t="str">
        <f>"Resistor, Chip, "&amp;C52&amp;"kΩ, 1/16W, 1%"</f>
        <v>Resistor, Chip, 12.1kΩ, 1/16W, 1%</v>
      </c>
      <c r="E52" s="778"/>
      <c r="F52" s="778"/>
      <c r="G52" s="103" t="s">
        <v>119</v>
      </c>
      <c r="H52" s="104" t="s">
        <v>118</v>
      </c>
      <c r="I52" s="407" t="s">
        <v>118</v>
      </c>
      <c r="J52" s="527" t="str">
        <f>CHOOSE(Q52,'Variable Mgmt'!T78,'Variable Mgmt'!T79,'Variable Mgmt'!T80)</f>
        <v>1.6 x 0.8</v>
      </c>
      <c r="K52" s="528">
        <f>CHOOSE(Q52,'Variable Mgmt'!U78,'Variable Mgmt'!U79,'Variable Mgmt'!U80,'Variable Mgmt'!U81,'Variable Mgmt'!U82)</f>
        <v>1.3</v>
      </c>
      <c r="L52" s="417"/>
      <c r="Q52" s="424">
        <v>2</v>
      </c>
    </row>
    <row r="53" spans="1:17" s="95" customFormat="1" ht="17.100000000000001" customHeight="1">
      <c r="A53" s="100">
        <v>1</v>
      </c>
      <c r="B53" s="101" t="s">
        <v>936</v>
      </c>
      <c r="C53" s="102" t="str">
        <f>'Variable Mgmt'!D315</f>
        <v>100Ω</v>
      </c>
      <c r="D53" s="818" t="str">
        <f>"Resistor, Chip, "&amp;C53&amp;", 1/16W, 1%"</f>
        <v>Resistor, Chip, 100Ω, 1/16W, 1%</v>
      </c>
      <c r="E53" s="819"/>
      <c r="F53" s="819"/>
      <c r="G53" s="103" t="s">
        <v>119</v>
      </c>
      <c r="H53" s="104" t="s">
        <v>118</v>
      </c>
      <c r="I53" s="407" t="s">
        <v>118</v>
      </c>
      <c r="J53" s="527" t="str">
        <f>CHOOSE(Q53,'Variable Mgmt'!T78,'Variable Mgmt'!T79,'Variable Mgmt'!T80)</f>
        <v>1.0 x 0.5</v>
      </c>
      <c r="K53" s="528">
        <f>CHOOSE(Q53,'Variable Mgmt'!U78,'Variable Mgmt'!U79,'Variable Mgmt'!U80,'Variable Mgmt'!U81,'Variable Mgmt'!U82)</f>
        <v>0.5</v>
      </c>
      <c r="L53" s="417"/>
      <c r="Q53" s="424">
        <v>1</v>
      </c>
    </row>
    <row r="54" spans="1:17" s="530" customFormat="1" ht="16.5" customHeight="1">
      <c r="A54" s="96">
        <v>1</v>
      </c>
      <c r="B54" s="97" t="s">
        <v>523</v>
      </c>
      <c r="C54" s="779" t="str">
        <f>'Design Converter'!L7&amp;"k"</f>
        <v>12k</v>
      </c>
      <c r="D54" s="823" t="str">
        <f>"Transformer, "&amp;L*1000000&amp;"µH, "&amp;'Variable Mgmt'!W66&amp;", "&amp;Rdcr_pri*1000&amp;"mΩ Pri DCR"</f>
        <v>Transformer, 12µH, 1 : 1, 30mΩ Pri DCR</v>
      </c>
      <c r="E54" s="824"/>
      <c r="F54" s="825"/>
      <c r="G54" s="99" t="s">
        <v>125</v>
      </c>
      <c r="H54" s="99" t="s">
        <v>124</v>
      </c>
      <c r="I54" s="406" t="s">
        <v>124</v>
      </c>
      <c r="J54" s="414" t="str">
        <f>CHOOSE(Q54,'Variable Mgmt'!T89,'Variable Mgmt'!T90,'Variable Mgmt'!T91,'Variable Mgmt'!T92,'Variable Mgmt'!T93,'Variable Mgmt'!T94, 'Variable Mgmt'!T95, 'Variable Mgmt'!T96)</f>
        <v>23 x 17</v>
      </c>
      <c r="K54" s="776">
        <f>CHOOSE(Q54,'Variable Mgmt'!U89,'Variable Mgmt'!U90,'Variable Mgmt'!U91,'Variable Mgmt'!U92,'Variable Mgmt'!U93,'Variable Mgmt'!U94, 'Variable Mgmt'!U95,'Variable Mgmt'!U96)</f>
        <v>391</v>
      </c>
      <c r="L54" s="529"/>
      <c r="Q54" s="531">
        <v>8</v>
      </c>
    </row>
    <row r="55" spans="1:17" ht="17.100000000000001" customHeight="1">
      <c r="A55" s="391">
        <v>1</v>
      </c>
      <c r="B55" s="396" t="s">
        <v>128</v>
      </c>
      <c r="C55" s="416" t="s">
        <v>938</v>
      </c>
      <c r="D55" s="397" t="s">
        <v>939</v>
      </c>
      <c r="E55" s="398"/>
      <c r="F55" s="399"/>
      <c r="G55" s="395" t="s">
        <v>940</v>
      </c>
      <c r="H55" s="395" t="s">
        <v>938</v>
      </c>
      <c r="I55" s="397" t="s">
        <v>355</v>
      </c>
      <c r="J55" s="415" t="s">
        <v>953</v>
      </c>
      <c r="K55" s="413">
        <f>32</f>
        <v>32</v>
      </c>
      <c r="L55" s="394"/>
      <c r="M55" s="394"/>
      <c r="N55" s="95"/>
      <c r="Q55" s="427"/>
    </row>
    <row r="56" spans="1:17" ht="17.100000000000001" customHeight="1">
      <c r="J56" s="95"/>
      <c r="K56" s="404"/>
      <c r="L56" s="394"/>
      <c r="M56" s="394"/>
      <c r="N56" s="95"/>
    </row>
    <row r="57" spans="1:17" ht="17.25" hidden="1" customHeight="1">
      <c r="H57" s="820" t="s">
        <v>357</v>
      </c>
      <c r="I57" s="820"/>
      <c r="J57" s="820"/>
      <c r="K57" s="421">
        <f>SUM(K31:K55)*1.25</f>
        <v>661.75</v>
      </c>
      <c r="L57" s="428" t="s">
        <v>358</v>
      </c>
      <c r="M57" s="422">
        <f>K57/25.4/25.4</f>
        <v>1.0257145514291031</v>
      </c>
      <c r="N57" s="428" t="s">
        <v>356</v>
      </c>
    </row>
    <row r="58" spans="1:17" ht="17.100000000000001" customHeight="1">
      <c r="J58" s="408"/>
      <c r="K58" s="409"/>
      <c r="L58" s="410"/>
      <c r="M58" s="411"/>
      <c r="N58" s="410"/>
    </row>
    <row r="59" spans="1:17" ht="20.25" customHeight="1">
      <c r="A59" s="403" t="s">
        <v>137</v>
      </c>
    </row>
    <row r="60" spans="1:17">
      <c r="A60" s="92" t="s">
        <v>947</v>
      </c>
    </row>
    <row r="61" spans="1:17">
      <c r="A61" s="92" t="s">
        <v>677</v>
      </c>
      <c r="K61" s="402"/>
    </row>
    <row r="62" spans="1:17">
      <c r="A62" s="92" t="s">
        <v>676</v>
      </c>
    </row>
    <row r="63" spans="1:17">
      <c r="A63" s="92" t="s">
        <v>674</v>
      </c>
    </row>
    <row r="64" spans="1:17">
      <c r="A64" s="92" t="s">
        <v>675</v>
      </c>
    </row>
  </sheetData>
  <sheetProtection algorithmName="SHA-512" hashValue="LDB4IK7WyDQAJv8vPYNHmpeIcJchZtvJGk7AGokZ+o84M8XParPHLMtS2RIXTD1m393K8OHh8N2HD1gBIJAsWw==" saltValue="oU8kR652ub4qmJSrMqH4Kg==" spinCount="100000" sheet="1" objects="1" scenarios="1" selectLockedCells="1" selectUnlockedCells="1"/>
  <mergeCells count="19">
    <mergeCell ref="D30:F30"/>
    <mergeCell ref="D46:F46"/>
    <mergeCell ref="D47:F47"/>
    <mergeCell ref="D42:F42"/>
    <mergeCell ref="D40:F40"/>
    <mergeCell ref="D39:F39"/>
    <mergeCell ref="D32:F32"/>
    <mergeCell ref="D34:F34"/>
    <mergeCell ref="D37:F37"/>
    <mergeCell ref="D44:F44"/>
    <mergeCell ref="D38:F38"/>
    <mergeCell ref="D53:F53"/>
    <mergeCell ref="H57:J57"/>
    <mergeCell ref="D31:F31"/>
    <mergeCell ref="D54:F54"/>
    <mergeCell ref="D48:F48"/>
    <mergeCell ref="D49:F49"/>
    <mergeCell ref="D50:F50"/>
    <mergeCell ref="D51:F51"/>
  </mergeCells>
  <phoneticPr fontId="83"/>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40 G42 G48:G49 G46" numberStoredAsText="1"/>
    <ignoredError sqref="J40:K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9525</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9525</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39</xdr:row>
                    <xdr:rowOff>9525</xdr:rowOff>
                  </from>
                  <to>
                    <xdr:col>6</xdr:col>
                    <xdr:colOff>876300</xdr:colOff>
                    <xdr:row>40</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46</xdr:row>
                    <xdr:rowOff>9525</xdr:rowOff>
                  </from>
                  <to>
                    <xdr:col>6</xdr:col>
                    <xdr:colOff>876300</xdr:colOff>
                    <xdr:row>47</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41</xdr:row>
                    <xdr:rowOff>9525</xdr:rowOff>
                  </from>
                  <to>
                    <xdr:col>6</xdr:col>
                    <xdr:colOff>876300</xdr:colOff>
                    <xdr:row>42</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40</xdr:row>
                    <xdr:rowOff>9525</xdr:rowOff>
                  </from>
                  <to>
                    <xdr:col>6</xdr:col>
                    <xdr:colOff>876300</xdr:colOff>
                    <xdr:row>41</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45</xdr:row>
                    <xdr:rowOff>9525</xdr:rowOff>
                  </from>
                  <to>
                    <xdr:col>6</xdr:col>
                    <xdr:colOff>876300</xdr:colOff>
                    <xdr:row>46</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47</xdr:row>
                    <xdr:rowOff>9525</xdr:rowOff>
                  </from>
                  <to>
                    <xdr:col>6</xdr:col>
                    <xdr:colOff>876300</xdr:colOff>
                    <xdr:row>48</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48</xdr:row>
                    <xdr:rowOff>9525</xdr:rowOff>
                  </from>
                  <to>
                    <xdr:col>6</xdr:col>
                    <xdr:colOff>876300</xdr:colOff>
                    <xdr:row>49</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49</xdr:row>
                    <xdr:rowOff>9525</xdr:rowOff>
                  </from>
                  <to>
                    <xdr:col>6</xdr:col>
                    <xdr:colOff>876300</xdr:colOff>
                    <xdr:row>50</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38</xdr:row>
                    <xdr:rowOff>9525</xdr:rowOff>
                  </from>
                  <to>
                    <xdr:col>6</xdr:col>
                    <xdr:colOff>876300</xdr:colOff>
                    <xdr:row>39</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53</xdr:row>
                    <xdr:rowOff>9525</xdr:rowOff>
                  </from>
                  <to>
                    <xdr:col>6</xdr:col>
                    <xdr:colOff>876300</xdr:colOff>
                    <xdr:row>54</xdr:row>
                    <xdr:rowOff>0</xdr:rowOff>
                  </to>
                </anchor>
              </controlPr>
            </control>
          </mc:Choice>
        </mc:AlternateContent>
        <mc:AlternateContent xmlns:mc="http://schemas.openxmlformats.org/markup-compatibility/2006">
          <mc:Choice Requires="x14">
            <control shapeId="706019" r:id="rId16" name="Drop Down 1507">
              <controlPr defaultSize="0" autoLine="0" autoPict="0">
                <anchor moveWithCells="1">
                  <from>
                    <xdr:col>5</xdr:col>
                    <xdr:colOff>895350</xdr:colOff>
                    <xdr:row>32</xdr:row>
                    <xdr:rowOff>9525</xdr:rowOff>
                  </from>
                  <to>
                    <xdr:col>6</xdr:col>
                    <xdr:colOff>866775</xdr:colOff>
                    <xdr:row>33</xdr:row>
                    <xdr:rowOff>0</xdr:rowOff>
                  </to>
                </anchor>
              </controlPr>
            </control>
          </mc:Choice>
        </mc:AlternateContent>
        <mc:AlternateContent xmlns:mc="http://schemas.openxmlformats.org/markup-compatibility/2006">
          <mc:Choice Requires="x14">
            <control shapeId="706028" r:id="rId17" name="Drop Down 1516">
              <controlPr defaultSize="0" autoLine="0" autoPict="0">
                <anchor moveWithCells="1">
                  <from>
                    <xdr:col>6</xdr:col>
                    <xdr:colOff>0</xdr:colOff>
                    <xdr:row>42</xdr:row>
                    <xdr:rowOff>9525</xdr:rowOff>
                  </from>
                  <to>
                    <xdr:col>6</xdr:col>
                    <xdr:colOff>885825</xdr:colOff>
                    <xdr:row>43</xdr:row>
                    <xdr:rowOff>0</xdr:rowOff>
                  </to>
                </anchor>
              </controlPr>
            </control>
          </mc:Choice>
        </mc:AlternateContent>
        <mc:AlternateContent xmlns:mc="http://schemas.openxmlformats.org/markup-compatibility/2006">
          <mc:Choice Requires="x14">
            <control shapeId="764426" r:id="rId18" name="Drop Down 2570">
              <controlPr defaultSize="0" autoLine="0" autoPict="0">
                <anchor moveWithCells="1">
                  <from>
                    <xdr:col>6</xdr:col>
                    <xdr:colOff>0</xdr:colOff>
                    <xdr:row>51</xdr:row>
                    <xdr:rowOff>9525</xdr:rowOff>
                  </from>
                  <to>
                    <xdr:col>6</xdr:col>
                    <xdr:colOff>876300</xdr:colOff>
                    <xdr:row>51</xdr:row>
                    <xdr:rowOff>219075</xdr:rowOff>
                  </to>
                </anchor>
              </controlPr>
            </control>
          </mc:Choice>
        </mc:AlternateContent>
        <mc:AlternateContent xmlns:mc="http://schemas.openxmlformats.org/markup-compatibility/2006">
          <mc:Choice Requires="x14">
            <control shapeId="764430" r:id="rId19" name="Drop Down 2574">
              <controlPr defaultSize="0" autoLine="0" autoPict="0">
                <anchor moveWithCells="1">
                  <from>
                    <xdr:col>6</xdr:col>
                    <xdr:colOff>0</xdr:colOff>
                    <xdr:row>52</xdr:row>
                    <xdr:rowOff>9525</xdr:rowOff>
                  </from>
                  <to>
                    <xdr:col>6</xdr:col>
                    <xdr:colOff>876300</xdr:colOff>
                    <xdr:row>52</xdr:row>
                    <xdr:rowOff>219075</xdr:rowOff>
                  </to>
                </anchor>
              </controlPr>
            </control>
          </mc:Choice>
        </mc:AlternateContent>
        <mc:AlternateContent xmlns:mc="http://schemas.openxmlformats.org/markup-compatibility/2006">
          <mc:Choice Requires="x14">
            <control shapeId="764447" r:id="rId20" name="Drop Down 2591">
              <controlPr defaultSize="0" autoLine="0" autoPict="0">
                <anchor moveWithCells="1">
                  <from>
                    <xdr:col>6</xdr:col>
                    <xdr:colOff>0</xdr:colOff>
                    <xdr:row>34</xdr:row>
                    <xdr:rowOff>9525</xdr:rowOff>
                  </from>
                  <to>
                    <xdr:col>6</xdr:col>
                    <xdr:colOff>885825</xdr:colOff>
                    <xdr:row>35</xdr:row>
                    <xdr:rowOff>0</xdr:rowOff>
                  </to>
                </anchor>
              </controlPr>
            </control>
          </mc:Choice>
        </mc:AlternateContent>
        <mc:AlternateContent xmlns:mc="http://schemas.openxmlformats.org/markup-compatibility/2006">
          <mc:Choice Requires="x14">
            <control shapeId="764451" r:id="rId21" name="Drop Down 2595">
              <controlPr defaultSize="0" autoLine="0" autoPict="0">
                <anchor moveWithCells="1">
                  <from>
                    <xdr:col>6</xdr:col>
                    <xdr:colOff>0</xdr:colOff>
                    <xdr:row>43</xdr:row>
                    <xdr:rowOff>9525</xdr:rowOff>
                  </from>
                  <to>
                    <xdr:col>6</xdr:col>
                    <xdr:colOff>876300</xdr:colOff>
                    <xdr:row>44</xdr:row>
                    <xdr:rowOff>0</xdr:rowOff>
                  </to>
                </anchor>
              </controlPr>
            </control>
          </mc:Choice>
        </mc:AlternateContent>
        <mc:AlternateContent xmlns:mc="http://schemas.openxmlformats.org/markup-compatibility/2006">
          <mc:Choice Requires="x14">
            <control shapeId="764454" r:id="rId22" name="Drop Down 2598">
              <controlPr defaultSize="0" autoLine="0" autoPict="0">
                <anchor moveWithCells="1">
                  <from>
                    <xdr:col>6</xdr:col>
                    <xdr:colOff>0</xdr:colOff>
                    <xdr:row>35</xdr:row>
                    <xdr:rowOff>9525</xdr:rowOff>
                  </from>
                  <to>
                    <xdr:col>6</xdr:col>
                    <xdr:colOff>876300</xdr:colOff>
                    <xdr:row>36</xdr:row>
                    <xdr:rowOff>0</xdr:rowOff>
                  </to>
                </anchor>
              </controlPr>
            </control>
          </mc:Choice>
        </mc:AlternateContent>
        <mc:AlternateContent xmlns:mc="http://schemas.openxmlformats.org/markup-compatibility/2006">
          <mc:Choice Requires="x14">
            <control shapeId="764455" r:id="rId23" name="Drop Down 2599">
              <controlPr defaultSize="0" autoLine="0" autoPict="0">
                <anchor moveWithCells="1">
                  <from>
                    <xdr:col>6</xdr:col>
                    <xdr:colOff>0</xdr:colOff>
                    <xdr:row>36</xdr:row>
                    <xdr:rowOff>9525</xdr:rowOff>
                  </from>
                  <to>
                    <xdr:col>6</xdr:col>
                    <xdr:colOff>876300</xdr:colOff>
                    <xdr:row>37</xdr:row>
                    <xdr:rowOff>0</xdr:rowOff>
                  </to>
                </anchor>
              </controlPr>
            </control>
          </mc:Choice>
        </mc:AlternateContent>
        <mc:AlternateContent xmlns:mc="http://schemas.openxmlformats.org/markup-compatibility/2006">
          <mc:Choice Requires="x14">
            <control shapeId="764456" r:id="rId24" name="Drop Down 2600">
              <controlPr defaultSize="0" autoLine="0" autoPict="0">
                <anchor moveWithCells="1">
                  <from>
                    <xdr:col>6</xdr:col>
                    <xdr:colOff>0</xdr:colOff>
                    <xdr:row>37</xdr:row>
                    <xdr:rowOff>9525</xdr:rowOff>
                  </from>
                  <to>
                    <xdr:col>6</xdr:col>
                    <xdr:colOff>876300</xdr:colOff>
                    <xdr:row>38</xdr:row>
                    <xdr:rowOff>0</xdr:rowOff>
                  </to>
                </anchor>
              </controlPr>
            </control>
          </mc:Choice>
        </mc:AlternateContent>
        <mc:AlternateContent xmlns:mc="http://schemas.openxmlformats.org/markup-compatibility/2006">
          <mc:Choice Requires="x14">
            <control shapeId="764458" r:id="rId25" name="Drop Down 2602">
              <controlPr defaultSize="0" autoLine="0" autoPict="0">
                <anchor moveWithCells="1">
                  <from>
                    <xdr:col>6</xdr:col>
                    <xdr:colOff>0</xdr:colOff>
                    <xdr:row>50</xdr:row>
                    <xdr:rowOff>9525</xdr:rowOff>
                  </from>
                  <to>
                    <xdr:col>6</xdr:col>
                    <xdr:colOff>876300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8521D621-BE3D-4AAE-900E-18DA0D0FAC8E}">
            <xm:f>'Variable Mgmt'!$B$74=TRUE</xm:f>
            <x14:dxf>
              <font>
                <color rgb="FFFFFF99"/>
              </font>
            </x14:dxf>
          </x14:cfRule>
          <xm:sqref>B33</xm:sqref>
        </x14:conditionalFormatting>
        <x14:conditionalFormatting xmlns:xm="http://schemas.microsoft.com/office/excel/2006/main">
          <x14:cfRule type="expression" priority="2" id="{4B8E3D35-A815-4471-905F-8419AAA9FC23}">
            <xm:f>'Variable Mgmt'!$B$74=TRUE</xm:f>
            <x14:dxf>
              <font>
                <color theme="0"/>
              </font>
            </x14:dxf>
          </x14:cfRule>
          <xm:sqref>B40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7030A0"/>
    <pageSetUpPr fitToPage="1"/>
  </sheetPr>
  <dimension ref="A1:Q6"/>
  <sheetViews>
    <sheetView zoomScaleNormal="100" workbookViewId="0">
      <selection activeCell="M15" sqref="M15"/>
    </sheetView>
  </sheetViews>
  <sheetFormatPr defaultColWidth="9.140625" defaultRowHeight="12.75"/>
  <cols>
    <col min="1" max="13" width="9.140625" style="65"/>
    <col min="14" max="14" width="11.85546875" style="65" customWidth="1"/>
    <col min="15" max="16" width="9.140625" style="65"/>
    <col min="17" max="17" width="15.7109375" style="65" customWidth="1"/>
    <col min="18" max="16384" width="9.140625" style="65"/>
  </cols>
  <sheetData>
    <row r="1" spans="1:17" s="58" customFormat="1" ht="47.25" customHeight="1">
      <c r="A1" s="838" t="s">
        <v>948</v>
      </c>
      <c r="B1" s="839"/>
      <c r="C1" s="839"/>
      <c r="D1" s="839"/>
      <c r="E1" s="839"/>
      <c r="F1" s="839"/>
      <c r="G1" s="839"/>
      <c r="H1" s="839"/>
      <c r="I1" s="839"/>
      <c r="J1" s="839"/>
      <c r="K1" s="839"/>
      <c r="L1" s="839"/>
      <c r="M1" s="839"/>
      <c r="N1" s="839"/>
      <c r="O1" s="839"/>
      <c r="P1" s="839"/>
      <c r="Q1" s="839"/>
    </row>
    <row r="6" spans="1:17" ht="20.25">
      <c r="B6" s="66" t="s">
        <v>921</v>
      </c>
      <c r="N6" s="66" t="s">
        <v>946</v>
      </c>
    </row>
  </sheetData>
  <sheetProtection algorithmName="SHA-512" hashValue="tPvl2fh3glKsM+U9wmutkl9ZVBAqXCTdyJPzqtmwYjcUBHnYNN/9332VpUYstDE7h8BljUFt0E7mrD0NWOKCXQ==" saltValue="syN6z4runAzyyZkZejHLoQ==" spinCount="100000" sheet="1" objects="1" scenarios="1" selectLockedCells="1" selectUnlockedCells="1"/>
  <mergeCells count="1">
    <mergeCell ref="A1:Q1"/>
  </mergeCells>
  <phoneticPr fontId="83"/>
  <pageMargins left="0.19" right="0.2"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13</vt:i4>
      </vt:variant>
      <vt:variant>
        <vt:lpstr>命名范围</vt:lpstr>
      </vt:variant>
      <vt:variant>
        <vt:i4>209</vt:i4>
      </vt:variant>
    </vt:vector>
  </HeadingPairs>
  <TitlesOfParts>
    <vt:vector size="222" baseType="lpstr">
      <vt:lpstr>Design Converter</vt:lpstr>
      <vt:lpstr>Stability Calculations</vt:lpstr>
      <vt:lpstr>Variable Mgmt</vt:lpstr>
      <vt:lpstr>Parameters</vt:lpstr>
      <vt:lpstr>Calculations - Single</vt:lpstr>
      <vt:lpstr>Calculations - Dual</vt:lpstr>
      <vt:lpstr>Fsw vs VIN</vt:lpstr>
      <vt:lpstr>BOM &amp; Schematic</vt:lpstr>
      <vt:lpstr>EVMs</vt:lpstr>
      <vt:lpstr>Efficiency Plots</vt:lpstr>
      <vt:lpstr>Fsw Plots</vt:lpstr>
      <vt:lpstr>Schematic Mgmt</vt:lpstr>
      <vt:lpstr>Standard Value Calculator</vt:lpstr>
      <vt:lpstr>_Don1</vt:lpstr>
      <vt:lpstr>Acs</vt:lpstr>
      <vt:lpstr>Adc</vt:lpstr>
      <vt:lpstr>Aea</vt:lpstr>
      <vt:lpstr>Afb</vt:lpstr>
      <vt:lpstr>Am</vt:lpstr>
      <vt:lpstr>BDserR</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Fco_desire</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IpkCAL</vt:lpstr>
      <vt:lpstr>IQ</vt:lpstr>
      <vt:lpstr>Iripple</vt:lpstr>
      <vt:lpstr>Iss</vt:lpstr>
      <vt:lpstr>Isw_max</vt:lpstr>
      <vt:lpstr>Isw_min</vt:lpstr>
      <vt:lpstr>Iuvlo_hys</vt:lpstr>
      <vt:lpstr>Iuvlo1</vt:lpstr>
      <vt:lpstr>Iuvlo2</vt:lpstr>
      <vt:lpstr>k_core</vt:lpstr>
      <vt:lpstr>ktr_rcmd</vt:lpstr>
      <vt:lpstr>L</vt:lpstr>
      <vt:lpstr>Lleak</vt:lpstr>
      <vt:lpstr>Lmag</vt:lpstr>
      <vt:lpstr>Lmin</vt:lpstr>
      <vt:lpstr>Lmin_abs</vt:lpstr>
      <vt:lpstr>Ls1_</vt:lpstr>
      <vt:lpstr>Ls2_</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Pomax_allowed</vt:lpstr>
      <vt:lpstr>Pout</vt:lpstr>
      <vt:lpstr>Pout_total</vt:lpstr>
      <vt:lpstr>Pout2</vt:lpstr>
      <vt:lpstr>'BOM &amp; Schematic'!Print_Area</vt:lpstr>
      <vt:lpstr>'Design Converter'!Print_Area</vt:lpstr>
      <vt:lpstr>pterm1</vt:lpstr>
      <vt:lpstr>pterm2</vt:lpstr>
      <vt:lpstr>Qg</vt:lpstr>
      <vt:lpstr>radconv</vt:lpstr>
      <vt:lpstr>Parameters!RCinEsr</vt:lpstr>
      <vt:lpstr>RCinEsr</vt:lpstr>
      <vt:lpstr>Rcomp</vt:lpstr>
      <vt:lpstr>Parameters!RCoutEsr</vt:lpstr>
      <vt:lpstr>RCoutEsr</vt:lpstr>
      <vt:lpstr>RCS</vt:lpstr>
      <vt:lpstr>Rcs_gain</vt:lpstr>
      <vt:lpstr>RCSmin</vt:lpstr>
      <vt:lpstr>Rdcr_pri</vt:lpstr>
      <vt:lpstr>Rdcr_sec</vt:lpstr>
      <vt:lpstr>Rdcr_sec2</vt:lpstr>
      <vt:lpstr>Rdson</vt:lpstr>
      <vt:lpstr>RdsonTC</vt:lpstr>
      <vt:lpstr>REAout</vt:lpstr>
      <vt:lpstr>Rfb</vt:lpstr>
      <vt:lpstr>Rfb_recommend</vt:lpstr>
      <vt:lpstr>Rfb2_u</vt:lpstr>
      <vt:lpstr>Rload_pri</vt:lpstr>
      <vt:lpstr>Rload_sec</vt:lpstr>
      <vt:lpstr>RON</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Vdd</vt:lpstr>
      <vt:lpstr>Vds_req</vt:lpstr>
      <vt:lpstr>Vfwd1</vt:lpstr>
      <vt:lpstr>Vfwd2</vt:lpstr>
      <vt:lpstr>Vfwd22</vt:lpstr>
      <vt:lpstr>Vin</vt:lpstr>
      <vt:lpstr>Vin_eff</vt:lpstr>
      <vt:lpstr>VIN_max</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Wubin Wang</cp:lastModifiedBy>
  <cp:lastPrinted>2016-03-02T21:18:53Z</cp:lastPrinted>
  <dcterms:created xsi:type="dcterms:W3CDTF">1996-10-14T23:33:28Z</dcterms:created>
  <dcterms:modified xsi:type="dcterms:W3CDTF">2024-12-10T11:02:38Z</dcterms:modified>
</cp:coreProperties>
</file>